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 codeName="{91B80F79-697F-C00D-A1F8-6C9A07846A5C}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akub\Desktop\"/>
    </mc:Choice>
  </mc:AlternateContent>
  <bookViews>
    <workbookView xWindow="-30" yWindow="30" windowWidth="28560" windowHeight="13710" tabRatio="713" activeTab="2" xr2:uid="{00000000-000D-0000-FFFF-FFFF00000000}"/>
  </bookViews>
  <sheets>
    <sheet name="Úvod" sheetId="6" r:id="rId1"/>
    <sheet name="Vstupy" sheetId="3" r:id="rId2"/>
    <sheet name="Kód položek" sheetId="12" r:id="rId3"/>
    <sheet name="Rozpad zakázky" sheetId="1" r:id="rId4"/>
    <sheet name="Společné položky" sheetId="13" r:id="rId5"/>
    <sheet name="Nákup - tabulka" sheetId="14" r:id="rId6"/>
    <sheet name="Nákup - kont.t" sheetId="15" r:id="rId7"/>
    <sheet name="Import NAV" sheetId="16" r:id="rId8"/>
  </sheets>
  <definedNames>
    <definedName name="_xlnm._FilterDatabase" localSheetId="3" hidden="1">'Rozpad zakázky'!$B$16:$O$150</definedName>
    <definedName name="DUPLICITA1">'Rozpad zakázky'!$IY$6</definedName>
    <definedName name="DUPLICITA2">'Rozpad zakázky'!$JI$6</definedName>
    <definedName name="DUPLICITA3">'Rozpad zakázky'!$JJ$6:$KD$6</definedName>
    <definedName name="INDIKAT_CENA">'Kód položek'!$O$4:$P$87</definedName>
    <definedName name="KOD_POLOZEK">'Kód položek'!$O$5:$O$87</definedName>
    <definedName name="KURZY">'Rozpad zakázky'!$BR$7:$BT$10</definedName>
    <definedName name="MENA">Vstupy!$E$5:$E$8</definedName>
    <definedName name="MJCR">Vstupy!$B$20:$B$28</definedName>
    <definedName name="MJHR">Vstupy!$B$21:$B$28</definedName>
    <definedName name="OSOBY">Vstupy!$B$31:$B$34</definedName>
    <definedName name="_xlnm.Print_Area" localSheetId="3">'Rozpad zakázky'!$B$1:$AK$19</definedName>
    <definedName name="RESITEL">Vstupy!$E$31:$E$50</definedName>
    <definedName name="SPOLECNE_POLOZKY" localSheetId="6">Tabulka5[]</definedName>
    <definedName name="SPOLECNE_POLOZKY" localSheetId="5">Tabulka5[]</definedName>
    <definedName name="SPOLECNE_POLOZKY">Tabulka5[]</definedName>
    <definedName name="SPOLECNE_POLOZKY_1SLOUPEC" localSheetId="6">Tabulka5[Duplicita]</definedName>
    <definedName name="SPOLECNE_POLOZKY_1SLOUPEC" localSheetId="5">Tabulka5[Duplicita]</definedName>
    <definedName name="SPOLECNE_POLOZKY_1SLOUPEC">Tabulka5[Duplicita]</definedName>
    <definedName name="STAV_NAKUP">Vstupy!$J$11:$J$14</definedName>
    <definedName name="STAV_PROJEKCE">Vstupy!$E$11:$E$16</definedName>
    <definedName name="test" localSheetId="3" hidden="1">'Rozpad zakázky'!$B$15:$AF$19</definedName>
    <definedName name="VARIANTA">Vstupy!$B$11:$B$15</definedName>
  </definedNames>
  <calcPr calcId="171027"/>
  <pivotCaches>
    <pivotCache cacheId="0" r:id="rId9"/>
  </pivotCaches>
</workbook>
</file>

<file path=xl/calcChain.xml><?xml version="1.0" encoding="utf-8"?>
<calcChain xmlns="http://schemas.openxmlformats.org/spreadsheetml/2006/main">
  <c r="A5" i="16" l="1"/>
  <c r="D5" i="16" s="1"/>
  <c r="B5" i="16"/>
  <c r="C5" i="16"/>
  <c r="E5" i="16"/>
  <c r="A6" i="16"/>
  <c r="C6" i="16" s="1"/>
  <c r="A7" i="16"/>
  <c r="B7" i="16" s="1"/>
  <c r="A8" i="16"/>
  <c r="C8" i="16" s="1"/>
  <c r="A9" i="16"/>
  <c r="D9" i="16" s="1"/>
  <c r="A10" i="16"/>
  <c r="C10" i="16" s="1"/>
  <c r="A11" i="16"/>
  <c r="A12" i="16"/>
  <c r="B12" i="16"/>
  <c r="A13" i="16"/>
  <c r="D13" i="16" s="1"/>
  <c r="A14" i="16"/>
  <c r="C14" i="16" s="1"/>
  <c r="A15" i="16"/>
  <c r="B15" i="16" s="1"/>
  <c r="A16" i="16"/>
  <c r="B16" i="16" s="1"/>
  <c r="E16" i="16"/>
  <c r="A17" i="16"/>
  <c r="C17" i="16" s="1"/>
  <c r="A18" i="16"/>
  <c r="C18" i="16" s="1"/>
  <c r="A19" i="16"/>
  <c r="B19" i="16" s="1"/>
  <c r="A20" i="16"/>
  <c r="B20" i="16" s="1"/>
  <c r="A21" i="16"/>
  <c r="C21" i="16" s="1"/>
  <c r="A22" i="16"/>
  <c r="C22" i="16" s="1"/>
  <c r="A23" i="16"/>
  <c r="B23" i="16" s="1"/>
  <c r="A24" i="16"/>
  <c r="C24" i="16" s="1"/>
  <c r="A25" i="16"/>
  <c r="D25" i="16" s="1"/>
  <c r="B25" i="16"/>
  <c r="C25" i="16"/>
  <c r="A26" i="16"/>
  <c r="C26" i="16" s="1"/>
  <c r="E26" i="16"/>
  <c r="A27" i="16"/>
  <c r="A28" i="16"/>
  <c r="B28" i="16"/>
  <c r="C28" i="16"/>
  <c r="D28" i="16"/>
  <c r="E28" i="16"/>
  <c r="A29" i="16"/>
  <c r="D29" i="16" s="1"/>
  <c r="B29" i="16"/>
  <c r="C29" i="16"/>
  <c r="A30" i="16"/>
  <c r="C30" i="16" s="1"/>
  <c r="A31" i="16"/>
  <c r="B31" i="16" s="1"/>
  <c r="A32" i="16"/>
  <c r="A33" i="16"/>
  <c r="A34" i="16"/>
  <c r="C34" i="16" s="1"/>
  <c r="E34" i="16"/>
  <c r="A35" i="16"/>
  <c r="B35" i="16" s="1"/>
  <c r="A36" i="16"/>
  <c r="C36" i="16" s="1"/>
  <c r="A37" i="16"/>
  <c r="D37" i="16" s="1"/>
  <c r="B37" i="16"/>
  <c r="C37" i="16"/>
  <c r="E37" i="16"/>
  <c r="A38" i="16"/>
  <c r="C38" i="16" s="1"/>
  <c r="E38" i="16"/>
  <c r="A39" i="16"/>
  <c r="A40" i="16"/>
  <c r="A41" i="16"/>
  <c r="A42" i="16"/>
  <c r="C42" i="16" s="1"/>
  <c r="A43" i="16"/>
  <c r="A44" i="16"/>
  <c r="A45" i="16"/>
  <c r="A46" i="16"/>
  <c r="C46" i="16" s="1"/>
  <c r="A47" i="16"/>
  <c r="B47" i="16" s="1"/>
  <c r="A48" i="16"/>
  <c r="C48" i="16"/>
  <c r="A49" i="16"/>
  <c r="A50" i="16"/>
  <c r="C50" i="16" s="1"/>
  <c r="A51" i="16"/>
  <c r="A52" i="16"/>
  <c r="A53" i="16"/>
  <c r="D53" i="16" s="1"/>
  <c r="E53" i="16"/>
  <c r="A54" i="16"/>
  <c r="C54" i="16" s="1"/>
  <c r="A55" i="16"/>
  <c r="B55" i="16" s="1"/>
  <c r="D55" i="16"/>
  <c r="E55" i="16"/>
  <c r="A56" i="16"/>
  <c r="A57" i="16"/>
  <c r="C57" i="16" s="1"/>
  <c r="A58" i="16"/>
  <c r="C58" i="16" s="1"/>
  <c r="A59" i="16"/>
  <c r="B59" i="16" s="1"/>
  <c r="B60" i="16" s="1"/>
  <c r="D59" i="16"/>
  <c r="E59" i="16"/>
  <c r="A60" i="16"/>
  <c r="C60" i="16"/>
  <c r="A61" i="16"/>
  <c r="D61" i="16" s="1"/>
  <c r="A62" i="16"/>
  <c r="C62" i="16" s="1"/>
  <c r="A63" i="16"/>
  <c r="A64" i="16"/>
  <c r="D64" i="16" s="1"/>
  <c r="B64" i="16"/>
  <c r="C64" i="16"/>
  <c r="A65" i="16"/>
  <c r="D65" i="16" s="1"/>
  <c r="A66" i="16"/>
  <c r="C66" i="16" s="1"/>
  <c r="A67" i="16"/>
  <c r="B67" i="16" s="1"/>
  <c r="A68" i="16"/>
  <c r="B68" i="16" s="1"/>
  <c r="E68" i="16"/>
  <c r="A69" i="16"/>
  <c r="C69" i="16" s="1"/>
  <c r="A70" i="16"/>
  <c r="C70" i="16" s="1"/>
  <c r="A71" i="16"/>
  <c r="B71" i="16" s="1"/>
  <c r="D71" i="16"/>
  <c r="E71" i="16"/>
  <c r="A72" i="16"/>
  <c r="C72" i="16" s="1"/>
  <c r="A73" i="16"/>
  <c r="D73" i="16" s="1"/>
  <c r="B73" i="16"/>
  <c r="C73" i="16"/>
  <c r="A74" i="16"/>
  <c r="A75" i="16"/>
  <c r="A76" i="16"/>
  <c r="B76" i="16" s="1"/>
  <c r="E76" i="16"/>
  <c r="A77" i="16"/>
  <c r="A78" i="16"/>
  <c r="C78" i="16" s="1"/>
  <c r="A79" i="16"/>
  <c r="B79" i="16" s="1"/>
  <c r="A80" i="16"/>
  <c r="D80" i="16" s="1"/>
  <c r="B80" i="16"/>
  <c r="C80" i="16"/>
  <c r="E80" i="16"/>
  <c r="A81" i="16"/>
  <c r="D81" i="16" s="1"/>
  <c r="B81" i="16"/>
  <c r="C81" i="16"/>
  <c r="E81" i="16"/>
  <c r="A82" i="16"/>
  <c r="C82" i="16" s="1"/>
  <c r="E82" i="16"/>
  <c r="A83" i="16"/>
  <c r="D83" i="16" s="1"/>
  <c r="A84" i="16"/>
  <c r="B84" i="16"/>
  <c r="A85" i="16"/>
  <c r="B85" i="16" s="1"/>
  <c r="A86" i="16"/>
  <c r="C86" i="16" s="1"/>
  <c r="E86" i="16"/>
  <c r="A87" i="16"/>
  <c r="B87" i="16" s="1"/>
  <c r="D87" i="16"/>
  <c r="E87" i="16"/>
  <c r="A88" i="16"/>
  <c r="C88" i="16"/>
  <c r="A89" i="16"/>
  <c r="D89" i="16" s="1"/>
  <c r="B89" i="16"/>
  <c r="C89" i="16"/>
  <c r="E89" i="16"/>
  <c r="A90" i="16"/>
  <c r="C90" i="16" s="1"/>
  <c r="E90" i="16"/>
  <c r="A91" i="16"/>
  <c r="D91" i="16" s="1"/>
  <c r="A92" i="16"/>
  <c r="B92" i="16" s="1"/>
  <c r="A93" i="16"/>
  <c r="B93" i="16"/>
  <c r="A94" i="16"/>
  <c r="C94" i="16" s="1"/>
  <c r="E94" i="16"/>
  <c r="A95" i="16"/>
  <c r="B95" i="16" s="1"/>
  <c r="D95" i="16"/>
  <c r="E95" i="16"/>
  <c r="A96" i="16"/>
  <c r="A97" i="16"/>
  <c r="D97" i="16" s="1"/>
  <c r="B97" i="16"/>
  <c r="C97" i="16"/>
  <c r="E97" i="16"/>
  <c r="A98" i="16"/>
  <c r="C98" i="16" s="1"/>
  <c r="E98" i="16"/>
  <c r="A99" i="16"/>
  <c r="D99" i="16" s="1"/>
  <c r="A100" i="16"/>
  <c r="B100" i="16"/>
  <c r="A101" i="16"/>
  <c r="A102" i="16"/>
  <c r="C102" i="16" s="1"/>
  <c r="E102" i="16"/>
  <c r="A103" i="16"/>
  <c r="B103" i="16" s="1"/>
  <c r="D103" i="16"/>
  <c r="E103" i="16"/>
  <c r="A104" i="16"/>
  <c r="C104" i="16"/>
  <c r="A105" i="16"/>
  <c r="D105" i="16" s="1"/>
  <c r="B105" i="16"/>
  <c r="C105" i="16"/>
  <c r="E105" i="16"/>
  <c r="A106" i="16"/>
  <c r="C106" i="16" s="1"/>
  <c r="E106" i="16"/>
  <c r="A107" i="16"/>
  <c r="D107" i="16"/>
  <c r="A108" i="16"/>
  <c r="A109" i="16"/>
  <c r="B109" i="16"/>
  <c r="A110" i="16"/>
  <c r="C110" i="16" s="1"/>
  <c r="E110" i="16"/>
  <c r="A111" i="16"/>
  <c r="B111" i="16" s="1"/>
  <c r="D111" i="16"/>
  <c r="E111" i="16"/>
  <c r="A112" i="16"/>
  <c r="C112" i="16"/>
  <c r="A113" i="16"/>
  <c r="D113" i="16" s="1"/>
  <c r="B113" i="16"/>
  <c r="C113" i="16"/>
  <c r="E113" i="16"/>
  <c r="A114" i="16"/>
  <c r="C114" i="16" s="1"/>
  <c r="E114" i="16"/>
  <c r="A115" i="16"/>
  <c r="D115" i="16"/>
  <c r="A116" i="16"/>
  <c r="B116" i="16"/>
  <c r="A117" i="16"/>
  <c r="B117" i="16"/>
  <c r="A118" i="16"/>
  <c r="C118" i="16" s="1"/>
  <c r="E118" i="16"/>
  <c r="A119" i="16"/>
  <c r="B119" i="16" s="1"/>
  <c r="D119" i="16"/>
  <c r="E119" i="16"/>
  <c r="A120" i="16"/>
  <c r="A121" i="16"/>
  <c r="D121" i="16" s="1"/>
  <c r="B121" i="16"/>
  <c r="C121" i="16"/>
  <c r="E121" i="16"/>
  <c r="A122" i="16"/>
  <c r="C122" i="16" s="1"/>
  <c r="E122" i="16"/>
  <c r="A123" i="16"/>
  <c r="D123" i="16"/>
  <c r="A124" i="16"/>
  <c r="B124" i="16"/>
  <c r="A125" i="16"/>
  <c r="A126" i="16"/>
  <c r="C126" i="16" s="1"/>
  <c r="E126" i="16"/>
  <c r="A127" i="16"/>
  <c r="B127" i="16" s="1"/>
  <c r="D127" i="16"/>
  <c r="E127" i="16"/>
  <c r="A128" i="16"/>
  <c r="C128" i="16" s="1"/>
  <c r="A129" i="16"/>
  <c r="D129" i="16" s="1"/>
  <c r="B129" i="16"/>
  <c r="C129" i="16"/>
  <c r="E129" i="16"/>
  <c r="A130" i="16"/>
  <c r="C130" i="16" s="1"/>
  <c r="E130" i="16"/>
  <c r="A131" i="16"/>
  <c r="D131" i="16"/>
  <c r="A132" i="16"/>
  <c r="B132" i="16"/>
  <c r="A133" i="16"/>
  <c r="B133" i="16" s="1"/>
  <c r="A134" i="16"/>
  <c r="C134" i="16" s="1"/>
  <c r="E134" i="16"/>
  <c r="A135" i="16"/>
  <c r="B135" i="16" s="1"/>
  <c r="D135" i="16"/>
  <c r="E135" i="16"/>
  <c r="A136" i="16"/>
  <c r="C136" i="16"/>
  <c r="A137" i="16"/>
  <c r="D137" i="16" s="1"/>
  <c r="B137" i="16"/>
  <c r="C137" i="16"/>
  <c r="E137" i="16"/>
  <c r="A138" i="16"/>
  <c r="C138" i="16" s="1"/>
  <c r="E138" i="16"/>
  <c r="A139" i="16"/>
  <c r="D139" i="16"/>
  <c r="A140" i="16"/>
  <c r="A141" i="16"/>
  <c r="B141" i="16"/>
  <c r="A142" i="16"/>
  <c r="C142" i="16" s="1"/>
  <c r="E142" i="16"/>
  <c r="A143" i="16"/>
  <c r="B143" i="16" s="1"/>
  <c r="D143" i="16"/>
  <c r="E143" i="16"/>
  <c r="A144" i="16"/>
  <c r="C144" i="16"/>
  <c r="A145" i="16"/>
  <c r="D145" i="16" s="1"/>
  <c r="B145" i="16"/>
  <c r="C145" i="16"/>
  <c r="E145" i="16"/>
  <c r="A146" i="16"/>
  <c r="A147" i="16"/>
  <c r="A148" i="16"/>
  <c r="B148" i="16"/>
  <c r="C148" i="16"/>
  <c r="D148" i="16"/>
  <c r="E148" i="16"/>
  <c r="A149" i="16"/>
  <c r="A150" i="16"/>
  <c r="A151" i="16"/>
  <c r="A152" i="16"/>
  <c r="D152" i="16" s="1"/>
  <c r="B152" i="16"/>
  <c r="C152" i="16"/>
  <c r="A153" i="16"/>
  <c r="B153" i="16"/>
  <c r="E153" i="16"/>
  <c r="A154" i="16"/>
  <c r="A155" i="16"/>
  <c r="E155" i="16"/>
  <c r="A156" i="16"/>
  <c r="E156" i="16"/>
  <c r="A157" i="16"/>
  <c r="A158" i="16"/>
  <c r="A159" i="16"/>
  <c r="B159" i="16" s="1"/>
  <c r="D159" i="16"/>
  <c r="E159" i="16"/>
  <c r="A160" i="16"/>
  <c r="C160" i="16"/>
  <c r="A161" i="16"/>
  <c r="D161" i="16" s="1"/>
  <c r="B161" i="16"/>
  <c r="C161" i="16"/>
  <c r="E161" i="16"/>
  <c r="A162" i="16"/>
  <c r="A163" i="16"/>
  <c r="A164" i="16"/>
  <c r="B164" i="16"/>
  <c r="C164" i="16"/>
  <c r="D164" i="16"/>
  <c r="E164" i="16"/>
  <c r="A165" i="16"/>
  <c r="A166" i="16"/>
  <c r="E166" i="16" s="1"/>
  <c r="A167" i="16"/>
  <c r="A168" i="16"/>
  <c r="D168" i="16" s="1"/>
  <c r="B168" i="16"/>
  <c r="C168" i="16"/>
  <c r="A169" i="16"/>
  <c r="B169" i="16"/>
  <c r="E169" i="16"/>
  <c r="A170" i="16"/>
  <c r="E170" i="16" s="1"/>
  <c r="B170" i="16"/>
  <c r="A171" i="16"/>
  <c r="E171" i="16" s="1"/>
  <c r="A172" i="16"/>
  <c r="A173" i="16"/>
  <c r="A174" i="16"/>
  <c r="E174" i="16" s="1"/>
  <c r="A175" i="16"/>
  <c r="A176" i="16"/>
  <c r="C176" i="16" s="1"/>
  <c r="B176" i="16"/>
  <c r="D176" i="16"/>
  <c r="A177" i="16"/>
  <c r="C177" i="16"/>
  <c r="E177" i="16"/>
  <c r="A178" i="16"/>
  <c r="B178" i="16" s="1"/>
  <c r="E178" i="16"/>
  <c r="A179" i="16"/>
  <c r="E179" i="16" s="1"/>
  <c r="A180" i="16"/>
  <c r="B180" i="16"/>
  <c r="C180" i="16"/>
  <c r="D180" i="16"/>
  <c r="E180" i="16"/>
  <c r="A181" i="16"/>
  <c r="B181" i="16"/>
  <c r="C181" i="16"/>
  <c r="A182" i="16"/>
  <c r="E182" i="16"/>
  <c r="A183" i="16"/>
  <c r="A184" i="16"/>
  <c r="E184" i="16"/>
  <c r="A185" i="16"/>
  <c r="A186" i="16"/>
  <c r="A187" i="16"/>
  <c r="E187" i="16" s="1"/>
  <c r="A188" i="16"/>
  <c r="D188" i="16" s="1"/>
  <c r="B188" i="16"/>
  <c r="C188" i="16"/>
  <c r="A189" i="16"/>
  <c r="B189" i="16"/>
  <c r="E189" i="16"/>
  <c r="A190" i="16"/>
  <c r="E190" i="16" s="1"/>
  <c r="A191" i="16"/>
  <c r="D191" i="16" s="1"/>
  <c r="E191" i="16"/>
  <c r="A192" i="16"/>
  <c r="A193" i="16"/>
  <c r="A194" i="16"/>
  <c r="B194" i="16" s="1"/>
  <c r="A195" i="16"/>
  <c r="E195" i="16"/>
  <c r="A196" i="16"/>
  <c r="B196" i="16"/>
  <c r="C196" i="16"/>
  <c r="D196" i="16"/>
  <c r="E196" i="16"/>
  <c r="A197" i="16"/>
  <c r="A198" i="16"/>
  <c r="E198" i="16"/>
  <c r="A199" i="16"/>
  <c r="A200" i="16"/>
  <c r="D200" i="16" s="1"/>
  <c r="B200" i="16"/>
  <c r="C200" i="16"/>
  <c r="A201" i="16"/>
  <c r="B201" i="16"/>
  <c r="E201" i="16"/>
  <c r="A202" i="16"/>
  <c r="E202" i="16" s="1"/>
  <c r="B202" i="16"/>
  <c r="A203" i="16"/>
  <c r="E203" i="16" s="1"/>
  <c r="A204" i="16"/>
  <c r="E204" i="16"/>
  <c r="A205" i="16"/>
  <c r="A206" i="16"/>
  <c r="E206" i="16" s="1"/>
  <c r="A207" i="16"/>
  <c r="A208" i="16"/>
  <c r="C208" i="16" s="1"/>
  <c r="B208" i="16"/>
  <c r="D208" i="16"/>
  <c r="A209" i="16"/>
  <c r="D209" i="16" s="1"/>
  <c r="B209" i="16"/>
  <c r="C209" i="16"/>
  <c r="A210" i="16"/>
  <c r="B210" i="16"/>
  <c r="E210" i="16"/>
  <c r="A211" i="16"/>
  <c r="E211" i="16"/>
  <c r="A212" i="16"/>
  <c r="B212" i="16"/>
  <c r="E212" i="16"/>
  <c r="A213" i="16"/>
  <c r="A214" i="16"/>
  <c r="E214" i="16" s="1"/>
  <c r="A215" i="16"/>
  <c r="E215" i="16" s="1"/>
  <c r="D215" i="16"/>
  <c r="A216" i="16"/>
  <c r="D216" i="16"/>
  <c r="E216" i="16"/>
  <c r="A217" i="16"/>
  <c r="D217" i="16" s="1"/>
  <c r="B217" i="16"/>
  <c r="C217" i="16"/>
  <c r="E217" i="16"/>
  <c r="A218" i="16"/>
  <c r="E218" i="16" s="1"/>
  <c r="B218" i="16"/>
  <c r="A219" i="16"/>
  <c r="E219" i="16" s="1"/>
  <c r="A220" i="16"/>
  <c r="A221" i="16"/>
  <c r="D221" i="16" s="1"/>
  <c r="B221" i="16"/>
  <c r="C221" i="16"/>
  <c r="E221" i="16"/>
  <c r="A222" i="16"/>
  <c r="E222" i="16" s="1"/>
  <c r="A223" i="16"/>
  <c r="D223" i="16"/>
  <c r="E223" i="16"/>
  <c r="A224" i="16"/>
  <c r="B224" i="16"/>
  <c r="C224" i="16"/>
  <c r="D224" i="16"/>
  <c r="E224" i="16"/>
  <c r="A225" i="16"/>
  <c r="D225" i="16" s="1"/>
  <c r="B225" i="16"/>
  <c r="C225" i="16"/>
  <c r="A226" i="16"/>
  <c r="B226" i="16"/>
  <c r="E226" i="16"/>
  <c r="A227" i="16"/>
  <c r="E227" i="16"/>
  <c r="A228" i="16"/>
  <c r="A229" i="16"/>
  <c r="E229" i="16"/>
  <c r="A230" i="16"/>
  <c r="E230" i="16" s="1"/>
  <c r="A231" i="16"/>
  <c r="E231" i="16" s="1"/>
  <c r="D231" i="16"/>
  <c r="A232" i="16"/>
  <c r="D232" i="16"/>
  <c r="A233" i="16"/>
  <c r="D233" i="16" s="1"/>
  <c r="B233" i="16"/>
  <c r="C233" i="16"/>
  <c r="E233" i="16"/>
  <c r="A234" i="16"/>
  <c r="E234" i="16" s="1"/>
  <c r="B234" i="16"/>
  <c r="A235" i="16"/>
  <c r="E235" i="16" s="1"/>
  <c r="A236" i="16"/>
  <c r="D236" i="16"/>
  <c r="E236" i="16"/>
  <c r="A237" i="16"/>
  <c r="D237" i="16" s="1"/>
  <c r="B237" i="16"/>
  <c r="C237" i="16"/>
  <c r="E237" i="16"/>
  <c r="A238" i="16"/>
  <c r="E238" i="16" s="1"/>
  <c r="A239" i="16"/>
  <c r="D239" i="16"/>
  <c r="E239" i="16"/>
  <c r="A240" i="16"/>
  <c r="B240" i="16"/>
  <c r="C240" i="16"/>
  <c r="D240" i="16"/>
  <c r="E240" i="16"/>
  <c r="A241" i="16"/>
  <c r="D241" i="16" s="1"/>
  <c r="B241" i="16"/>
  <c r="C241" i="16"/>
  <c r="A242" i="16"/>
  <c r="C242" i="16" s="1"/>
  <c r="B242" i="16"/>
  <c r="D242" i="16"/>
  <c r="A243" i="16"/>
  <c r="B243" i="16" s="1"/>
  <c r="C243" i="16"/>
  <c r="D243" i="16"/>
  <c r="A244" i="16"/>
  <c r="D244" i="16" s="1"/>
  <c r="B244" i="16"/>
  <c r="C244" i="16"/>
  <c r="E244" i="16"/>
  <c r="A245" i="16"/>
  <c r="D245" i="16" s="1"/>
  <c r="A246" i="16"/>
  <c r="C246" i="16" s="1"/>
  <c r="A247" i="16"/>
  <c r="B247" i="16" s="1"/>
  <c r="A248" i="16"/>
  <c r="D248" i="16" s="1"/>
  <c r="B248" i="16"/>
  <c r="C248" i="16"/>
  <c r="E248" i="16"/>
  <c r="A249" i="16"/>
  <c r="B249" i="16"/>
  <c r="A250" i="16"/>
  <c r="C250" i="16" s="1"/>
  <c r="B250" i="16"/>
  <c r="E250" i="16"/>
  <c r="A251" i="16"/>
  <c r="B251" i="16" s="1"/>
  <c r="C251" i="16"/>
  <c r="E251" i="16"/>
  <c r="A252" i="16"/>
  <c r="D252" i="16"/>
  <c r="E252" i="16"/>
  <c r="A253" i="16"/>
  <c r="D253" i="16" s="1"/>
  <c r="C253" i="16"/>
  <c r="A254" i="16"/>
  <c r="C254" i="16" s="1"/>
  <c r="D254" i="16"/>
  <c r="A255" i="16"/>
  <c r="B255" i="16" s="1"/>
  <c r="D255" i="16"/>
  <c r="A256" i="16"/>
  <c r="B256" i="16"/>
  <c r="E256" i="16"/>
  <c r="A257" i="16"/>
  <c r="E257" i="16"/>
  <c r="A258" i="16"/>
  <c r="E258" i="16" s="1"/>
  <c r="A259" i="16"/>
  <c r="E259" i="16"/>
  <c r="A260" i="16"/>
  <c r="D260" i="16" s="1"/>
  <c r="A261" i="16"/>
  <c r="D261" i="16" s="1"/>
  <c r="A262" i="16"/>
  <c r="C262" i="16" s="1"/>
  <c r="A263" i="16"/>
  <c r="B263" i="16" s="1"/>
  <c r="A264" i="16"/>
  <c r="D264" i="16"/>
  <c r="E264" i="16"/>
  <c r="A265" i="16"/>
  <c r="D265" i="16" s="1"/>
  <c r="B265" i="16"/>
  <c r="E265" i="16"/>
  <c r="A266" i="16"/>
  <c r="A267" i="16"/>
  <c r="A268" i="16"/>
  <c r="D268" i="16" s="1"/>
  <c r="B268" i="16"/>
  <c r="C268" i="16"/>
  <c r="E268" i="16"/>
  <c r="A269" i="16"/>
  <c r="D269" i="16" s="1"/>
  <c r="C269" i="16"/>
  <c r="A270" i="16"/>
  <c r="C270" i="16" s="1"/>
  <c r="D270" i="16"/>
  <c r="A271" i="16"/>
  <c r="B271" i="16" s="1"/>
  <c r="D271" i="16"/>
  <c r="A272" i="16"/>
  <c r="B272" i="16"/>
  <c r="C272" i="16"/>
  <c r="D272" i="16"/>
  <c r="E272" i="16"/>
  <c r="A273" i="16"/>
  <c r="D273" i="16" s="1"/>
  <c r="B273" i="16"/>
  <c r="C273" i="16"/>
  <c r="A274" i="16"/>
  <c r="C274" i="16" s="1"/>
  <c r="B274" i="16"/>
  <c r="D274" i="16"/>
  <c r="A275" i="16"/>
  <c r="B275" i="16" s="1"/>
  <c r="C275" i="16"/>
  <c r="D275" i="16"/>
  <c r="A276" i="16"/>
  <c r="D276" i="16" s="1"/>
  <c r="B276" i="16"/>
  <c r="C276" i="16"/>
  <c r="E276" i="16"/>
  <c r="A277" i="16"/>
  <c r="D277" i="16" s="1"/>
  <c r="A278" i="16"/>
  <c r="C278" i="16" s="1"/>
  <c r="A279" i="16"/>
  <c r="B279" i="16" s="1"/>
  <c r="A280" i="16"/>
  <c r="D280" i="16" s="1"/>
  <c r="B280" i="16"/>
  <c r="C280" i="16"/>
  <c r="E280" i="16"/>
  <c r="A281" i="16"/>
  <c r="B281" i="16"/>
  <c r="A282" i="16"/>
  <c r="C282" i="16" s="1"/>
  <c r="B282" i="16"/>
  <c r="E282" i="16"/>
  <c r="A283" i="16"/>
  <c r="B283" i="16" s="1"/>
  <c r="C283" i="16"/>
  <c r="E283" i="16"/>
  <c r="A284" i="16"/>
  <c r="D284" i="16"/>
  <c r="E284" i="16"/>
  <c r="A285" i="16"/>
  <c r="D285" i="16" s="1"/>
  <c r="C285" i="16"/>
  <c r="A286" i="16"/>
  <c r="C286" i="16" s="1"/>
  <c r="D286" i="16"/>
  <c r="A287" i="16"/>
  <c r="B287" i="16" s="1"/>
  <c r="D287" i="16"/>
  <c r="A288" i="16"/>
  <c r="B288" i="16"/>
  <c r="E288" i="16"/>
  <c r="A289" i="16"/>
  <c r="E289" i="16"/>
  <c r="A290" i="16"/>
  <c r="E290" i="16"/>
  <c r="A291" i="16"/>
  <c r="E291" i="16"/>
  <c r="A292" i="16"/>
  <c r="D292" i="16"/>
  <c r="A293" i="16"/>
  <c r="D293" i="16" s="1"/>
  <c r="A294" i="16"/>
  <c r="C294" i="16" s="1"/>
  <c r="A295" i="16"/>
  <c r="B295" i="16" s="1"/>
  <c r="A296" i="16"/>
  <c r="D296" i="16"/>
  <c r="E296" i="16"/>
  <c r="A297" i="16"/>
  <c r="D297" i="16" s="1"/>
  <c r="B297" i="16"/>
  <c r="E297" i="16"/>
  <c r="A298" i="16"/>
  <c r="A299" i="16"/>
  <c r="A300" i="16"/>
  <c r="D300" i="16" s="1"/>
  <c r="B300" i="16"/>
  <c r="C300" i="16"/>
  <c r="E300" i="16"/>
  <c r="A301" i="16"/>
  <c r="D301" i="16" s="1"/>
  <c r="C301" i="16"/>
  <c r="A302" i="16"/>
  <c r="C302" i="16" s="1"/>
  <c r="D302" i="16"/>
  <c r="A303" i="16"/>
  <c r="B303" i="16" s="1"/>
  <c r="D303" i="16"/>
  <c r="A304" i="16"/>
  <c r="B304" i="16"/>
  <c r="C304" i="16"/>
  <c r="D304" i="16"/>
  <c r="E304" i="16"/>
  <c r="A305" i="16"/>
  <c r="D305" i="16" s="1"/>
  <c r="B305" i="16"/>
  <c r="C305" i="16"/>
  <c r="A306" i="16"/>
  <c r="C306" i="16" s="1"/>
  <c r="B306" i="16"/>
  <c r="D306" i="16"/>
  <c r="A307" i="16"/>
  <c r="B307" i="16" s="1"/>
  <c r="C307" i="16"/>
  <c r="D307" i="16"/>
  <c r="A308" i="16"/>
  <c r="D308" i="16" s="1"/>
  <c r="B308" i="16"/>
  <c r="C308" i="16"/>
  <c r="E308" i="16"/>
  <c r="A309" i="16"/>
  <c r="D309" i="16" s="1"/>
  <c r="A310" i="16"/>
  <c r="C310" i="16" s="1"/>
  <c r="A311" i="16"/>
  <c r="B311" i="16" s="1"/>
  <c r="A312" i="16"/>
  <c r="D312" i="16" s="1"/>
  <c r="B312" i="16"/>
  <c r="C312" i="16"/>
  <c r="E312" i="16"/>
  <c r="A313" i="16"/>
  <c r="B313" i="16"/>
  <c r="A314" i="16"/>
  <c r="C314" i="16" s="1"/>
  <c r="B314" i="16"/>
  <c r="E314" i="16"/>
  <c r="A315" i="16"/>
  <c r="B315" i="16" s="1"/>
  <c r="C315" i="16"/>
  <c r="E315" i="16"/>
  <c r="A316" i="16"/>
  <c r="D316" i="16"/>
  <c r="E316" i="16"/>
  <c r="A317" i="16"/>
  <c r="D317" i="16" s="1"/>
  <c r="C317" i="16"/>
  <c r="A318" i="16"/>
  <c r="C318" i="16" s="1"/>
  <c r="D318" i="16"/>
  <c r="A319" i="16"/>
  <c r="B319" i="16" s="1"/>
  <c r="D319" i="16"/>
  <c r="A320" i="16"/>
  <c r="B320" i="16"/>
  <c r="E320" i="16"/>
  <c r="A321" i="16"/>
  <c r="E321" i="16"/>
  <c r="A322" i="16"/>
  <c r="E322" i="16" s="1"/>
  <c r="A323" i="16"/>
  <c r="E323" i="16"/>
  <c r="A324" i="16"/>
  <c r="D324" i="16" s="1"/>
  <c r="A325" i="16"/>
  <c r="D325" i="16" s="1"/>
  <c r="A326" i="16"/>
  <c r="C326" i="16" s="1"/>
  <c r="A327" i="16"/>
  <c r="B327" i="16" s="1"/>
  <c r="A328" i="16"/>
  <c r="D328" i="16"/>
  <c r="E328" i="16"/>
  <c r="A329" i="16"/>
  <c r="D329" i="16" s="1"/>
  <c r="B329" i="16"/>
  <c r="E329" i="16"/>
  <c r="A330" i="16"/>
  <c r="A331" i="16"/>
  <c r="A332" i="16"/>
  <c r="D332" i="16" s="1"/>
  <c r="B332" i="16"/>
  <c r="C332" i="16"/>
  <c r="E332" i="16"/>
  <c r="A333" i="16"/>
  <c r="D333" i="16" s="1"/>
  <c r="C333" i="16"/>
  <c r="A334" i="16"/>
  <c r="C334" i="16" s="1"/>
  <c r="D334" i="16"/>
  <c r="A335" i="16"/>
  <c r="B335" i="16" s="1"/>
  <c r="D335" i="16"/>
  <c r="A336" i="16"/>
  <c r="B336" i="16"/>
  <c r="C336" i="16"/>
  <c r="D336" i="16"/>
  <c r="E336" i="16"/>
  <c r="A337" i="16"/>
  <c r="D337" i="16" s="1"/>
  <c r="B337" i="16"/>
  <c r="C337" i="16"/>
  <c r="A338" i="16"/>
  <c r="D338" i="16" s="1"/>
  <c r="B338" i="16"/>
  <c r="C338" i="16"/>
  <c r="E338" i="16"/>
  <c r="A339" i="16"/>
  <c r="A340" i="16"/>
  <c r="C340" i="16" s="1"/>
  <c r="B340" i="16"/>
  <c r="D340" i="16"/>
  <c r="E340" i="16"/>
  <c r="A341" i="16"/>
  <c r="D341" i="16" s="1"/>
  <c r="C341" i="16"/>
  <c r="E341" i="16"/>
  <c r="A342" i="16"/>
  <c r="D342" i="16"/>
  <c r="E342" i="16"/>
  <c r="A343" i="16"/>
  <c r="B343" i="16" s="1"/>
  <c r="E343" i="16"/>
  <c r="A344" i="16"/>
  <c r="B344" i="16"/>
  <c r="A345" i="16"/>
  <c r="A346" i="16"/>
  <c r="D346" i="16" s="1"/>
  <c r="B346" i="16"/>
  <c r="C346" i="16"/>
  <c r="E346" i="16"/>
  <c r="A347" i="16"/>
  <c r="B347" i="16" s="1"/>
  <c r="E347" i="16"/>
  <c r="A348" i="16"/>
  <c r="C348" i="16" s="1"/>
  <c r="B348" i="16"/>
  <c r="D348" i="16"/>
  <c r="E348" i="16"/>
  <c r="A349" i="16"/>
  <c r="D349" i="16" s="1"/>
  <c r="C349" i="16"/>
  <c r="E349" i="16"/>
  <c r="A350" i="16"/>
  <c r="C350" i="16" s="1"/>
  <c r="A351" i="16"/>
  <c r="B351" i="16" s="1"/>
  <c r="E351" i="16"/>
  <c r="A352" i="16"/>
  <c r="B352" i="16"/>
  <c r="E352" i="16"/>
  <c r="A353" i="16"/>
  <c r="A354" i="16"/>
  <c r="D354" i="16" s="1"/>
  <c r="B354" i="16"/>
  <c r="C354" i="16"/>
  <c r="A355" i="16"/>
  <c r="B355" i="16" s="1"/>
  <c r="E355" i="16"/>
  <c r="A356" i="16"/>
  <c r="C356" i="16" s="1"/>
  <c r="B356" i="16"/>
  <c r="D356" i="16"/>
  <c r="E356" i="16"/>
  <c r="A357" i="16"/>
  <c r="D357" i="16" s="1"/>
  <c r="C357" i="16"/>
  <c r="E357" i="16"/>
  <c r="A358" i="16"/>
  <c r="C358" i="16" s="1"/>
  <c r="A359" i="16"/>
  <c r="B359" i="16" s="1"/>
  <c r="E359" i="16"/>
  <c r="A360" i="16"/>
  <c r="B360" i="16"/>
  <c r="E360" i="16"/>
  <c r="A361" i="16"/>
  <c r="A362" i="16"/>
  <c r="D362" i="16" s="1"/>
  <c r="B362" i="16"/>
  <c r="C362" i="16"/>
  <c r="A363" i="16"/>
  <c r="B363" i="16" s="1"/>
  <c r="E363" i="16"/>
  <c r="A364" i="16"/>
  <c r="C364" i="16" s="1"/>
  <c r="B364" i="16"/>
  <c r="D364" i="16"/>
  <c r="E364" i="16"/>
  <c r="A365" i="16"/>
  <c r="D365" i="16" s="1"/>
  <c r="C365" i="16"/>
  <c r="E365" i="16"/>
  <c r="A366" i="16"/>
  <c r="C366" i="16" s="1"/>
  <c r="A367" i="16"/>
  <c r="B367" i="16" s="1"/>
  <c r="E367" i="16"/>
  <c r="A368" i="16"/>
  <c r="B368" i="16"/>
  <c r="E368" i="16"/>
  <c r="A369" i="16"/>
  <c r="A370" i="16"/>
  <c r="D370" i="16" s="1"/>
  <c r="B370" i="16"/>
  <c r="C370" i="16"/>
  <c r="A371" i="16"/>
  <c r="B371" i="16" s="1"/>
  <c r="E371" i="16"/>
  <c r="A372" i="16"/>
  <c r="C372" i="16" s="1"/>
  <c r="B372" i="16"/>
  <c r="D372" i="16"/>
  <c r="E372" i="16"/>
  <c r="A373" i="16"/>
  <c r="D373" i="16" s="1"/>
  <c r="C373" i="16"/>
  <c r="E373" i="16"/>
  <c r="A374" i="16"/>
  <c r="C374" i="16" s="1"/>
  <c r="A375" i="16"/>
  <c r="B375" i="16" s="1"/>
  <c r="E375" i="16"/>
  <c r="A376" i="16"/>
  <c r="B376" i="16"/>
  <c r="E376" i="16"/>
  <c r="A377" i="16"/>
  <c r="A378" i="16"/>
  <c r="D378" i="16" s="1"/>
  <c r="B378" i="16"/>
  <c r="C378" i="16"/>
  <c r="A379" i="16"/>
  <c r="A380" i="16"/>
  <c r="D380" i="16" s="1"/>
  <c r="A381" i="16"/>
  <c r="E381" i="16"/>
  <c r="A382" i="16"/>
  <c r="E382" i="16" s="1"/>
  <c r="A383" i="16"/>
  <c r="A384" i="16"/>
  <c r="C384" i="16" s="1"/>
  <c r="B384" i="16"/>
  <c r="D384" i="16"/>
  <c r="E384" i="16"/>
  <c r="A385" i="16"/>
  <c r="D385" i="16" s="1"/>
  <c r="C385" i="16"/>
  <c r="E385" i="16"/>
  <c r="A386" i="16"/>
  <c r="E386" i="16"/>
  <c r="A387" i="16"/>
  <c r="A388" i="16"/>
  <c r="B388" i="16"/>
  <c r="D388" i="16"/>
  <c r="A389" i="16"/>
  <c r="A390" i="16"/>
  <c r="B390" i="16"/>
  <c r="C390" i="16"/>
  <c r="D390" i="16"/>
  <c r="E390" i="16"/>
  <c r="A391" i="16"/>
  <c r="A392" i="16"/>
  <c r="B392" i="16"/>
  <c r="E392" i="16"/>
  <c r="A393" i="16"/>
  <c r="A394" i="16"/>
  <c r="D394" i="16" s="1"/>
  <c r="B394" i="16"/>
  <c r="C394" i="16"/>
  <c r="A395" i="16"/>
  <c r="A396" i="16"/>
  <c r="A397" i="16"/>
  <c r="E397" i="16"/>
  <c r="A398" i="16"/>
  <c r="A399" i="16"/>
  <c r="A400" i="16"/>
  <c r="C400" i="16" s="1"/>
  <c r="B400" i="16"/>
  <c r="D400" i="16"/>
  <c r="E400" i="16"/>
  <c r="A401" i="16"/>
  <c r="D401" i="16" s="1"/>
  <c r="C401" i="16"/>
  <c r="E401" i="16"/>
  <c r="A402" i="16"/>
  <c r="E402" i="16"/>
  <c r="A403" i="16"/>
  <c r="A404" i="16"/>
  <c r="B404" i="16"/>
  <c r="D404" i="16"/>
  <c r="A405" i="16"/>
  <c r="A406" i="16"/>
  <c r="B406" i="16"/>
  <c r="C406" i="16"/>
  <c r="D406" i="16"/>
  <c r="E406" i="16"/>
  <c r="A407" i="16"/>
  <c r="A408" i="16"/>
  <c r="B408" i="16"/>
  <c r="E408" i="16"/>
  <c r="A409" i="16"/>
  <c r="A410" i="16"/>
  <c r="D410" i="16" s="1"/>
  <c r="B410" i="16"/>
  <c r="C410" i="16"/>
  <c r="A411" i="16"/>
  <c r="A412" i="16"/>
  <c r="A413" i="16"/>
  <c r="E413" i="16"/>
  <c r="A414" i="16"/>
  <c r="A415" i="16"/>
  <c r="A416" i="16"/>
  <c r="C416" i="16" s="1"/>
  <c r="B416" i="16"/>
  <c r="D416" i="16"/>
  <c r="E416" i="16"/>
  <c r="A417" i="16"/>
  <c r="C417" i="16"/>
  <c r="E417" i="16"/>
  <c r="A418" i="16"/>
  <c r="E418" i="16" s="1"/>
  <c r="A419" i="16"/>
  <c r="C419" i="16"/>
  <c r="E419" i="16"/>
  <c r="A420" i="16"/>
  <c r="D420" i="16"/>
  <c r="A421" i="16"/>
  <c r="E421" i="16" s="1"/>
  <c r="A422" i="16"/>
  <c r="B422" i="16" s="1"/>
  <c r="A423" i="16"/>
  <c r="E423" i="16"/>
  <c r="A424" i="16"/>
  <c r="C424" i="16" s="1"/>
  <c r="B424" i="16"/>
  <c r="D424" i="16"/>
  <c r="E424" i="16"/>
  <c r="A425" i="16"/>
  <c r="C425" i="16"/>
  <c r="A426" i="16"/>
  <c r="B426" i="16"/>
  <c r="A427" i="16"/>
  <c r="C427" i="16" s="1"/>
  <c r="A428" i="16"/>
  <c r="A429" i="16"/>
  <c r="A430" i="16"/>
  <c r="A431" i="16"/>
  <c r="A432" i="16"/>
  <c r="C432" i="16" s="1"/>
  <c r="B432" i="16"/>
  <c r="D432" i="16"/>
  <c r="E432" i="16"/>
  <c r="A433" i="16"/>
  <c r="C433" i="16"/>
  <c r="E433" i="16"/>
  <c r="A434" i="16"/>
  <c r="D434" i="16"/>
  <c r="E434" i="16"/>
  <c r="A435" i="16"/>
  <c r="C435" i="16"/>
  <c r="E435" i="16"/>
  <c r="A436" i="16"/>
  <c r="A437" i="16"/>
  <c r="E437" i="16" s="1"/>
  <c r="A438" i="16"/>
  <c r="A439" i="16"/>
  <c r="E439" i="16"/>
  <c r="A440" i="16"/>
  <c r="C440" i="16" s="1"/>
  <c r="B440" i="16"/>
  <c r="D440" i="16"/>
  <c r="E440" i="16"/>
  <c r="A441" i="16"/>
  <c r="C441" i="16"/>
  <c r="A442" i="16"/>
  <c r="B442" i="16"/>
  <c r="E442" i="16"/>
  <c r="A443" i="16"/>
  <c r="C443" i="16" s="1"/>
  <c r="A444" i="16"/>
  <c r="D444" i="16"/>
  <c r="A445" i="16"/>
  <c r="A446" i="16"/>
  <c r="B446" i="16" s="1"/>
  <c r="D446" i="16"/>
  <c r="E446" i="16"/>
  <c r="A447" i="16"/>
  <c r="A448" i="16"/>
  <c r="B448" i="16"/>
  <c r="D448" i="16"/>
  <c r="A449" i="16"/>
  <c r="C449" i="16" s="1"/>
  <c r="E449" i="16"/>
  <c r="A450" i="16"/>
  <c r="B450" i="16"/>
  <c r="C450" i="16"/>
  <c r="D450" i="16"/>
  <c r="E450" i="16"/>
  <c r="A451" i="16"/>
  <c r="C451" i="16" s="1"/>
  <c r="E451" i="16"/>
  <c r="A452" i="16"/>
  <c r="C452" i="16" s="1"/>
  <c r="B452" i="16"/>
  <c r="D452" i="16"/>
  <c r="E452" i="16"/>
  <c r="A453" i="16"/>
  <c r="B453" i="16" s="1"/>
  <c r="D453" i="16"/>
  <c r="A454" i="16"/>
  <c r="C454" i="16" s="1"/>
  <c r="B454" i="16"/>
  <c r="D454" i="16"/>
  <c r="E454" i="16"/>
  <c r="A455" i="16"/>
  <c r="C455" i="16"/>
  <c r="E455" i="16"/>
  <c r="A456" i="16"/>
  <c r="D456" i="16" s="1"/>
  <c r="E456" i="16"/>
  <c r="A457" i="16"/>
  <c r="A458" i="16"/>
  <c r="C458" i="16"/>
  <c r="A459" i="16"/>
  <c r="D459" i="16" s="1"/>
  <c r="A460" i="16"/>
  <c r="C460" i="16" s="1"/>
  <c r="A461" i="16"/>
  <c r="B461" i="16" s="1"/>
  <c r="A462" i="16"/>
  <c r="B462" i="16" s="1"/>
  <c r="C462" i="16"/>
  <c r="D462" i="16"/>
  <c r="E462" i="16"/>
  <c r="A463" i="16"/>
  <c r="D463" i="16" s="1"/>
  <c r="B463" i="16"/>
  <c r="E463" i="16"/>
  <c r="A464" i="16"/>
  <c r="E464" i="16" s="1"/>
  <c r="A465" i="16"/>
  <c r="C465" i="16"/>
  <c r="A466" i="16"/>
  <c r="D466" i="16" s="1"/>
  <c r="C466" i="16"/>
  <c r="E466" i="16"/>
  <c r="A467" i="16"/>
  <c r="D467" i="16" s="1"/>
  <c r="A468" i="16"/>
  <c r="C468" i="16" s="1"/>
  <c r="D468" i="16"/>
  <c r="A469" i="16"/>
  <c r="B469" i="16" s="1"/>
  <c r="A470" i="16"/>
  <c r="B470" i="16"/>
  <c r="C470" i="16"/>
  <c r="D470" i="16"/>
  <c r="E470" i="16"/>
  <c r="A471" i="16"/>
  <c r="A472" i="16"/>
  <c r="B472" i="16" s="1"/>
  <c r="A473" i="16"/>
  <c r="C473" i="16"/>
  <c r="D473" i="16"/>
  <c r="A474" i="16"/>
  <c r="D474" i="16" s="1"/>
  <c r="C474" i="16"/>
  <c r="E474" i="16"/>
  <c r="A475" i="16"/>
  <c r="D475" i="16" s="1"/>
  <c r="A476" i="16"/>
  <c r="C476" i="16" s="1"/>
  <c r="A477" i="16"/>
  <c r="B477" i="16" s="1"/>
  <c r="A478" i="16"/>
  <c r="A479" i="16"/>
  <c r="A480" i="16"/>
  <c r="C480" i="16" s="1"/>
  <c r="B480" i="16"/>
  <c r="E480" i="16"/>
  <c r="A481" i="16"/>
  <c r="B481" i="16" s="1"/>
  <c r="C481" i="16"/>
  <c r="E481" i="16"/>
  <c r="A482" i="16"/>
  <c r="E482" i="16" s="1"/>
  <c r="A483" i="16"/>
  <c r="D483" i="16" s="1"/>
  <c r="C483" i="16"/>
  <c r="A484" i="16"/>
  <c r="C484" i="16" s="1"/>
  <c r="D484" i="16"/>
  <c r="A485" i="16"/>
  <c r="B485" i="16" s="1"/>
  <c r="D485" i="16"/>
  <c r="A486" i="16"/>
  <c r="C486" i="16" s="1"/>
  <c r="B486" i="16"/>
  <c r="D486" i="16"/>
  <c r="E486" i="16"/>
  <c r="A487" i="16"/>
  <c r="C487" i="16"/>
  <c r="E487" i="16"/>
  <c r="A488" i="16"/>
  <c r="D488" i="16" s="1"/>
  <c r="E488" i="16"/>
  <c r="A489" i="16"/>
  <c r="A490" i="16"/>
  <c r="C490" i="16"/>
  <c r="A491" i="16"/>
  <c r="D491" i="16" s="1"/>
  <c r="A492" i="16"/>
  <c r="C492" i="16" s="1"/>
  <c r="A493" i="16"/>
  <c r="B493" i="16" s="1"/>
  <c r="A494" i="16"/>
  <c r="B494" i="16" s="1"/>
  <c r="C494" i="16"/>
  <c r="D494" i="16"/>
  <c r="E494" i="16"/>
  <c r="A495" i="16"/>
  <c r="D495" i="16" s="1"/>
  <c r="B495" i="16"/>
  <c r="E495" i="16"/>
  <c r="A496" i="16"/>
  <c r="E496" i="16" s="1"/>
  <c r="A497" i="16"/>
  <c r="A498" i="16"/>
  <c r="D498" i="16" s="1"/>
  <c r="C498" i="16"/>
  <c r="E498" i="16"/>
  <c r="A499" i="16"/>
  <c r="D499" i="16" s="1"/>
  <c r="A500" i="16"/>
  <c r="C500" i="16" s="1"/>
  <c r="D500" i="16"/>
  <c r="A501" i="16"/>
  <c r="B501" i="16" s="1"/>
  <c r="A502" i="16"/>
  <c r="B502" i="16"/>
  <c r="C502" i="16"/>
  <c r="D502" i="16"/>
  <c r="E502" i="16"/>
  <c r="A503" i="16"/>
  <c r="A504" i="16"/>
  <c r="B504" i="16"/>
  <c r="A505" i="16"/>
  <c r="C505" i="16"/>
  <c r="D505" i="16"/>
  <c r="A506" i="16"/>
  <c r="D506" i="16" s="1"/>
  <c r="C506" i="16"/>
  <c r="E506" i="16"/>
  <c r="A507" i="16"/>
  <c r="D507" i="16" s="1"/>
  <c r="A508" i="16"/>
  <c r="C508" i="16" s="1"/>
  <c r="A509" i="16"/>
  <c r="B509" i="16" s="1"/>
  <c r="A510" i="16"/>
  <c r="E510" i="16"/>
  <c r="A511" i="16"/>
  <c r="A512" i="16"/>
  <c r="C512" i="16" s="1"/>
  <c r="B512" i="16"/>
  <c r="E512" i="16"/>
  <c r="A513" i="16"/>
  <c r="B513" i="16" s="1"/>
  <c r="C513" i="16"/>
  <c r="E513" i="16"/>
  <c r="A514" i="16"/>
  <c r="E514" i="16"/>
  <c r="A515" i="16"/>
  <c r="D515" i="16" s="1"/>
  <c r="C515" i="16"/>
  <c r="A516" i="16"/>
  <c r="C516" i="16" s="1"/>
  <c r="D516" i="16"/>
  <c r="A517" i="16"/>
  <c r="B517" i="16" s="1"/>
  <c r="D517" i="16"/>
  <c r="A518" i="16"/>
  <c r="C518" i="16" s="1"/>
  <c r="B518" i="16"/>
  <c r="D518" i="16"/>
  <c r="E518" i="16"/>
  <c r="A519" i="16"/>
  <c r="C519" i="16"/>
  <c r="E519" i="16"/>
  <c r="A520" i="16"/>
  <c r="D520" i="16" s="1"/>
  <c r="E520" i="16"/>
  <c r="A521" i="16"/>
  <c r="A522" i="16"/>
  <c r="C522" i="16" s="1"/>
  <c r="A523" i="16"/>
  <c r="D523" i="16" s="1"/>
  <c r="A524" i="16"/>
  <c r="C524" i="16" s="1"/>
  <c r="A525" i="16"/>
  <c r="B525" i="16" s="1"/>
  <c r="A526" i="16"/>
  <c r="B526" i="16" s="1"/>
  <c r="C526" i="16"/>
  <c r="D526" i="16"/>
  <c r="E526" i="16"/>
  <c r="A527" i="16"/>
  <c r="D527" i="16" s="1"/>
  <c r="B527" i="16"/>
  <c r="E527" i="16"/>
  <c r="A528" i="16"/>
  <c r="E528" i="16" s="1"/>
  <c r="A529" i="16"/>
  <c r="C529" i="16"/>
  <c r="A530" i="16"/>
  <c r="D530" i="16" s="1"/>
  <c r="C530" i="16"/>
  <c r="E530" i="16"/>
  <c r="A531" i="16"/>
  <c r="D531" i="16" s="1"/>
  <c r="A532" i="16"/>
  <c r="C532" i="16" s="1"/>
  <c r="D532" i="16"/>
  <c r="A533" i="16"/>
  <c r="B533" i="16" s="1"/>
  <c r="A534" i="16"/>
  <c r="B534" i="16"/>
  <c r="C534" i="16"/>
  <c r="D534" i="16"/>
  <c r="E534" i="16"/>
  <c r="A535" i="16"/>
  <c r="A536" i="16"/>
  <c r="B536" i="16" s="1"/>
  <c r="A537" i="16"/>
  <c r="C537" i="16"/>
  <c r="D537" i="16"/>
  <c r="A538" i="16"/>
  <c r="D538" i="16" s="1"/>
  <c r="C538" i="16"/>
  <c r="E538" i="16"/>
  <c r="A539" i="16"/>
  <c r="D539" i="16" s="1"/>
  <c r="A540" i="16"/>
  <c r="C540" i="16" s="1"/>
  <c r="A541" i="16"/>
  <c r="B541" i="16" s="1"/>
  <c r="A542" i="16"/>
  <c r="A543" i="16"/>
  <c r="A544" i="16"/>
  <c r="C544" i="16" s="1"/>
  <c r="B544" i="16"/>
  <c r="E544" i="16"/>
  <c r="A545" i="16"/>
  <c r="B545" i="16" s="1"/>
  <c r="C545" i="16"/>
  <c r="E545" i="16"/>
  <c r="A546" i="16"/>
  <c r="E546" i="16" s="1"/>
  <c r="A547" i="16"/>
  <c r="D547" i="16" s="1"/>
  <c r="C547" i="16"/>
  <c r="A548" i="16"/>
  <c r="C548" i="16" s="1"/>
  <c r="D548" i="16"/>
  <c r="A549" i="16"/>
  <c r="B549" i="16" s="1"/>
  <c r="D549" i="16"/>
  <c r="A550" i="16"/>
  <c r="C550" i="16" s="1"/>
  <c r="B550" i="16"/>
  <c r="D550" i="16"/>
  <c r="E550" i="16"/>
  <c r="A551" i="16"/>
  <c r="C551" i="16"/>
  <c r="E551" i="16"/>
  <c r="A552" i="16"/>
  <c r="D552" i="16" s="1"/>
  <c r="E552" i="16"/>
  <c r="A553" i="16"/>
  <c r="A554" i="16"/>
  <c r="C554" i="16"/>
  <c r="A555" i="16"/>
  <c r="D555" i="16" s="1"/>
  <c r="A556" i="16"/>
  <c r="C556" i="16" s="1"/>
  <c r="A557" i="16"/>
  <c r="B557" i="16" s="1"/>
  <c r="A558" i="16"/>
  <c r="B558" i="16" s="1"/>
  <c r="C558" i="16"/>
  <c r="D558" i="16"/>
  <c r="E558" i="16"/>
  <c r="A559" i="16"/>
  <c r="D559" i="16" s="1"/>
  <c r="B559" i="16"/>
  <c r="E559" i="16"/>
  <c r="A560" i="16"/>
  <c r="E560" i="16" s="1"/>
  <c r="A561" i="16"/>
  <c r="A562" i="16"/>
  <c r="D562" i="16" s="1"/>
  <c r="C562" i="16"/>
  <c r="E562" i="16"/>
  <c r="A563" i="16"/>
  <c r="D563" i="16" s="1"/>
  <c r="A564" i="16"/>
  <c r="C564" i="16" s="1"/>
  <c r="D564" i="16"/>
  <c r="A565" i="16"/>
  <c r="B565" i="16" s="1"/>
  <c r="A566" i="16"/>
  <c r="B566" i="16"/>
  <c r="C566" i="16"/>
  <c r="D566" i="16"/>
  <c r="E566" i="16"/>
  <c r="A567" i="16"/>
  <c r="A568" i="16"/>
  <c r="B568" i="16"/>
  <c r="A569" i="16"/>
  <c r="C569" i="16"/>
  <c r="D569" i="16"/>
  <c r="A570" i="16"/>
  <c r="D570" i="16" s="1"/>
  <c r="C570" i="16"/>
  <c r="E570" i="16"/>
  <c r="A571" i="16"/>
  <c r="D571" i="16" s="1"/>
  <c r="A572" i="16"/>
  <c r="C572" i="16" s="1"/>
  <c r="A573" i="16"/>
  <c r="B573" i="16" s="1"/>
  <c r="A574" i="16"/>
  <c r="E574" i="16"/>
  <c r="A575" i="16"/>
  <c r="A576" i="16"/>
  <c r="C576" i="16" s="1"/>
  <c r="B576" i="16"/>
  <c r="E576" i="16"/>
  <c r="A577" i="16"/>
  <c r="B577" i="16" s="1"/>
  <c r="C577" i="16"/>
  <c r="E577" i="16"/>
  <c r="A578" i="16"/>
  <c r="A579" i="16"/>
  <c r="A580" i="16"/>
  <c r="C580" i="16" s="1"/>
  <c r="D580" i="16"/>
  <c r="E580" i="16"/>
  <c r="A581" i="16"/>
  <c r="A582" i="16"/>
  <c r="B582" i="16"/>
  <c r="D582" i="16"/>
  <c r="A583" i="16"/>
  <c r="B583" i="16" s="1"/>
  <c r="E583" i="16"/>
  <c r="A584" i="16"/>
  <c r="B584" i="16"/>
  <c r="C584" i="16"/>
  <c r="D584" i="16"/>
  <c r="E584" i="16"/>
  <c r="A585" i="16"/>
  <c r="D585" i="16" s="1"/>
  <c r="A586" i="16"/>
  <c r="D586" i="16"/>
  <c r="E586" i="16"/>
  <c r="A587" i="16"/>
  <c r="E587" i="16"/>
  <c r="A588" i="16"/>
  <c r="B588" i="16"/>
  <c r="E588" i="16"/>
  <c r="A589" i="16"/>
  <c r="A590" i="16"/>
  <c r="D590" i="16"/>
  <c r="A591" i="16"/>
  <c r="A592" i="16"/>
  <c r="B592" i="16"/>
  <c r="C592" i="16"/>
  <c r="D592" i="16"/>
  <c r="E592" i="16"/>
  <c r="A593" i="16"/>
  <c r="D593" i="16" s="1"/>
  <c r="E593" i="16"/>
  <c r="A594" i="16"/>
  <c r="D594" i="16"/>
  <c r="E594" i="16"/>
  <c r="A595" i="16"/>
  <c r="A596" i="16"/>
  <c r="B596" i="16"/>
  <c r="D596" i="16"/>
  <c r="A597" i="16"/>
  <c r="A598" i="16"/>
  <c r="B598" i="16"/>
  <c r="A599" i="16"/>
  <c r="B599" i="16" s="1"/>
  <c r="C599" i="16"/>
  <c r="A600" i="16"/>
  <c r="B600" i="16"/>
  <c r="C600" i="16"/>
  <c r="D600" i="16"/>
  <c r="E600" i="16"/>
  <c r="A601" i="16"/>
  <c r="D601" i="16" s="1"/>
  <c r="E601" i="16"/>
  <c r="A602" i="16"/>
  <c r="E602" i="16"/>
  <c r="A603" i="16"/>
  <c r="E603" i="16"/>
  <c r="A604" i="16"/>
  <c r="C604" i="16" s="1"/>
  <c r="B604" i="16"/>
  <c r="D604" i="16"/>
  <c r="E604" i="16"/>
  <c r="A605" i="16"/>
  <c r="A606" i="16"/>
  <c r="B606" i="16"/>
  <c r="D606" i="16"/>
  <c r="A607" i="16"/>
  <c r="B607" i="16" s="1"/>
  <c r="C607" i="16"/>
  <c r="E607" i="16"/>
  <c r="A608" i="16"/>
  <c r="B608" i="16"/>
  <c r="C608" i="16"/>
  <c r="D608" i="16"/>
  <c r="E608" i="16"/>
  <c r="A609" i="16"/>
  <c r="D609" i="16" s="1"/>
  <c r="E609" i="16"/>
  <c r="A610" i="16"/>
  <c r="D610" i="16"/>
  <c r="A611" i="16"/>
  <c r="E611" i="16"/>
  <c r="A612" i="16"/>
  <c r="A613" i="16"/>
  <c r="A614" i="16"/>
  <c r="B614" i="16"/>
  <c r="D614" i="16"/>
  <c r="A615" i="16"/>
  <c r="A616" i="16"/>
  <c r="B616" i="16"/>
  <c r="C616" i="16"/>
  <c r="D616" i="16"/>
  <c r="E616" i="16"/>
  <c r="A617" i="16"/>
  <c r="A618" i="16"/>
  <c r="D618" i="16"/>
  <c r="E618" i="16"/>
  <c r="A619" i="16"/>
  <c r="E619" i="16"/>
  <c r="A620" i="16"/>
  <c r="C620" i="16" s="1"/>
  <c r="B620" i="16"/>
  <c r="A621" i="16"/>
  <c r="A622" i="16"/>
  <c r="A623" i="16"/>
  <c r="B623" i="16" s="1"/>
  <c r="C623" i="16"/>
  <c r="A624" i="16"/>
  <c r="B624" i="16"/>
  <c r="C624" i="16"/>
  <c r="D624" i="16"/>
  <c r="E624" i="16"/>
  <c r="A625" i="16"/>
  <c r="D625" i="16" s="1"/>
  <c r="E625" i="16"/>
  <c r="A626" i="16"/>
  <c r="D626" i="16" s="1"/>
  <c r="E626" i="16"/>
  <c r="A627" i="16"/>
  <c r="A628" i="16"/>
  <c r="C628" i="16" s="1"/>
  <c r="B628" i="16"/>
  <c r="D628" i="16"/>
  <c r="E628" i="16"/>
  <c r="A629" i="16"/>
  <c r="A630" i="16"/>
  <c r="B630" i="16"/>
  <c r="A631" i="16"/>
  <c r="B631" i="16" s="1"/>
  <c r="C631" i="16"/>
  <c r="E631" i="16"/>
  <c r="A632" i="16"/>
  <c r="B632" i="16"/>
  <c r="C632" i="16"/>
  <c r="D632" i="16"/>
  <c r="E632" i="16"/>
  <c r="A633" i="16"/>
  <c r="D633" i="16" s="1"/>
  <c r="E633" i="16"/>
  <c r="A634" i="16"/>
  <c r="A635" i="16"/>
  <c r="E635" i="16"/>
  <c r="A636" i="16"/>
  <c r="C636" i="16" s="1"/>
  <c r="B636" i="16"/>
  <c r="D636" i="16"/>
  <c r="E636" i="16"/>
  <c r="A637" i="16"/>
  <c r="A638" i="16"/>
  <c r="B638" i="16"/>
  <c r="D638" i="16"/>
  <c r="A639" i="16"/>
  <c r="B639" i="16" s="1"/>
  <c r="C639" i="16"/>
  <c r="E639" i="16"/>
  <c r="A640" i="16"/>
  <c r="B640" i="16"/>
  <c r="C640" i="16"/>
  <c r="D640" i="16"/>
  <c r="E640" i="16"/>
  <c r="A641" i="16"/>
  <c r="D641" i="16" s="1"/>
  <c r="E641" i="16"/>
  <c r="A642" i="16"/>
  <c r="D642" i="16"/>
  <c r="A643" i="16"/>
  <c r="E643" i="16"/>
  <c r="A644" i="16"/>
  <c r="A645" i="16"/>
  <c r="A646" i="16"/>
  <c r="B646" i="16"/>
  <c r="D646" i="16"/>
  <c r="A647" i="16"/>
  <c r="A648" i="16"/>
  <c r="B648" i="16"/>
  <c r="C648" i="16"/>
  <c r="D648" i="16"/>
  <c r="E648" i="16"/>
  <c r="A649" i="16"/>
  <c r="A650" i="16"/>
  <c r="D650" i="16"/>
  <c r="E650" i="16"/>
  <c r="A651" i="16"/>
  <c r="E651" i="16"/>
  <c r="A652" i="16"/>
  <c r="C652" i="16" s="1"/>
  <c r="B652" i="16"/>
  <c r="A653" i="16"/>
  <c r="A654" i="16"/>
  <c r="A655" i="16"/>
  <c r="B655" i="16" s="1"/>
  <c r="C655" i="16"/>
  <c r="A656" i="16"/>
  <c r="B656" i="16"/>
  <c r="C656" i="16"/>
  <c r="D656" i="16"/>
  <c r="E656" i="16"/>
  <c r="A657" i="16"/>
  <c r="D657" i="16" s="1"/>
  <c r="E657" i="16"/>
  <c r="A658" i="16"/>
  <c r="D658" i="16"/>
  <c r="E658" i="16"/>
  <c r="A659" i="16"/>
  <c r="A660" i="16"/>
  <c r="C660" i="16" s="1"/>
  <c r="B660" i="16"/>
  <c r="D660" i="16"/>
  <c r="E660" i="16"/>
  <c r="A661" i="16"/>
  <c r="A662" i="16"/>
  <c r="B662" i="16"/>
  <c r="A663" i="16"/>
  <c r="B663" i="16" s="1"/>
  <c r="C663" i="16"/>
  <c r="E663" i="16"/>
  <c r="A664" i="16"/>
  <c r="B664" i="16"/>
  <c r="C664" i="16"/>
  <c r="D664" i="16"/>
  <c r="E664" i="16"/>
  <c r="A665" i="16"/>
  <c r="D665" i="16" s="1"/>
  <c r="E665" i="16"/>
  <c r="A666" i="16"/>
  <c r="A667" i="16"/>
  <c r="E667" i="16"/>
  <c r="A668" i="16"/>
  <c r="C668" i="16" s="1"/>
  <c r="B668" i="16"/>
  <c r="D668" i="16"/>
  <c r="E668" i="16"/>
  <c r="A669" i="16"/>
  <c r="A670" i="16"/>
  <c r="B670" i="16"/>
  <c r="D670" i="16"/>
  <c r="A671" i="16"/>
  <c r="B671" i="16" s="1"/>
  <c r="C671" i="16"/>
  <c r="E671" i="16"/>
  <c r="A672" i="16"/>
  <c r="B672" i="16"/>
  <c r="C672" i="16"/>
  <c r="D672" i="16"/>
  <c r="E672" i="16"/>
  <c r="A673" i="16"/>
  <c r="D673" i="16" s="1"/>
  <c r="E673" i="16"/>
  <c r="A674" i="16"/>
  <c r="D674" i="16"/>
  <c r="A675" i="16"/>
  <c r="E675" i="16"/>
  <c r="A676" i="16"/>
  <c r="A677" i="16"/>
  <c r="A678" i="16"/>
  <c r="B678" i="16"/>
  <c r="D678" i="16"/>
  <c r="A679" i="16"/>
  <c r="A680" i="16"/>
  <c r="B680" i="16"/>
  <c r="C680" i="16"/>
  <c r="D680" i="16"/>
  <c r="E680" i="16"/>
  <c r="A681" i="16"/>
  <c r="A682" i="16"/>
  <c r="D682" i="16"/>
  <c r="E682" i="16"/>
  <c r="A683" i="16"/>
  <c r="E683" i="16"/>
  <c r="A684" i="16"/>
  <c r="C684" i="16" s="1"/>
  <c r="B684" i="16"/>
  <c r="A685" i="16"/>
  <c r="A686" i="16"/>
  <c r="A687" i="16"/>
  <c r="B687" i="16" s="1"/>
  <c r="C687" i="16"/>
  <c r="A688" i="16"/>
  <c r="B688" i="16"/>
  <c r="C688" i="16"/>
  <c r="D688" i="16"/>
  <c r="E688" i="16"/>
  <c r="A689" i="16"/>
  <c r="D689" i="16" s="1"/>
  <c r="E689" i="16"/>
  <c r="A690" i="16"/>
  <c r="D690" i="16"/>
  <c r="E690" i="16"/>
  <c r="A691" i="16"/>
  <c r="A692" i="16"/>
  <c r="C692" i="16" s="1"/>
  <c r="B692" i="16"/>
  <c r="D692" i="16"/>
  <c r="A693" i="16"/>
  <c r="A694" i="16"/>
  <c r="B694" i="16"/>
  <c r="A695" i="16"/>
  <c r="B695" i="16" s="1"/>
  <c r="C695" i="16"/>
  <c r="E695" i="16"/>
  <c r="A696" i="16"/>
  <c r="B696" i="16"/>
  <c r="C696" i="16"/>
  <c r="D696" i="16"/>
  <c r="E696" i="16"/>
  <c r="A697" i="16"/>
  <c r="D697" i="16" s="1"/>
  <c r="E697" i="16"/>
  <c r="A698" i="16"/>
  <c r="A699" i="16"/>
  <c r="E699" i="16"/>
  <c r="A700" i="16"/>
  <c r="C700" i="16" s="1"/>
  <c r="B700" i="16"/>
  <c r="D700" i="16"/>
  <c r="E700" i="16"/>
  <c r="A701" i="16"/>
  <c r="A702" i="16"/>
  <c r="B702" i="16"/>
  <c r="D702" i="16"/>
  <c r="A703" i="16"/>
  <c r="B703" i="16" s="1"/>
  <c r="C703" i="16"/>
  <c r="E703" i="16"/>
  <c r="A704" i="16"/>
  <c r="B704" i="16"/>
  <c r="C704" i="16"/>
  <c r="D704" i="16"/>
  <c r="E704" i="16"/>
  <c r="A705" i="16"/>
  <c r="D705" i="16" s="1"/>
  <c r="E705" i="16"/>
  <c r="A706" i="16"/>
  <c r="D706" i="16"/>
  <c r="A707" i="16"/>
  <c r="E707" i="16"/>
  <c r="A708" i="16"/>
  <c r="A709" i="16"/>
  <c r="A710" i="16"/>
  <c r="B710" i="16"/>
  <c r="D710" i="16"/>
  <c r="A711" i="16"/>
  <c r="A712" i="16"/>
  <c r="B712" i="16"/>
  <c r="C712" i="16"/>
  <c r="D712" i="16"/>
  <c r="E712" i="16"/>
  <c r="A713" i="16"/>
  <c r="A714" i="16"/>
  <c r="D714" i="16"/>
  <c r="E714" i="16"/>
  <c r="A715" i="16"/>
  <c r="E715" i="16"/>
  <c r="A716" i="16"/>
  <c r="C716" i="16" s="1"/>
  <c r="B716" i="16"/>
  <c r="A717" i="16"/>
  <c r="A718" i="16"/>
  <c r="A719" i="16"/>
  <c r="B719" i="16" s="1"/>
  <c r="C719" i="16"/>
  <c r="A720" i="16"/>
  <c r="B720" i="16"/>
  <c r="C720" i="16"/>
  <c r="D720" i="16"/>
  <c r="E720" i="16"/>
  <c r="A721" i="16"/>
  <c r="D721" i="16" s="1"/>
  <c r="E721" i="16"/>
  <c r="A722" i="16"/>
  <c r="D722" i="16"/>
  <c r="E722" i="16"/>
  <c r="A723" i="16"/>
  <c r="A724" i="16"/>
  <c r="C724" i="16" s="1"/>
  <c r="B724" i="16"/>
  <c r="D724" i="16"/>
  <c r="A725" i="16"/>
  <c r="A726" i="16"/>
  <c r="B726" i="16"/>
  <c r="A727" i="16"/>
  <c r="B727" i="16" s="1"/>
  <c r="C727" i="16"/>
  <c r="E727" i="16"/>
  <c r="A728" i="16"/>
  <c r="B728" i="16"/>
  <c r="C728" i="16"/>
  <c r="D728" i="16"/>
  <c r="E728" i="16"/>
  <c r="A729" i="16"/>
  <c r="D729" i="16" s="1"/>
  <c r="E729" i="16"/>
  <c r="A730" i="16"/>
  <c r="A731" i="16"/>
  <c r="E731" i="16"/>
  <c r="A732" i="16"/>
  <c r="C732" i="16" s="1"/>
  <c r="B732" i="16"/>
  <c r="D732" i="16"/>
  <c r="E732" i="16"/>
  <c r="A733" i="16"/>
  <c r="A734" i="16"/>
  <c r="B734" i="16"/>
  <c r="D734" i="16"/>
  <c r="A735" i="16"/>
  <c r="B735" i="16" s="1"/>
  <c r="C735" i="16"/>
  <c r="E735" i="16"/>
  <c r="A736" i="16"/>
  <c r="B736" i="16"/>
  <c r="C736" i="16"/>
  <c r="D736" i="16"/>
  <c r="E736" i="16"/>
  <c r="A737" i="16"/>
  <c r="D737" i="16" s="1"/>
  <c r="E737" i="16"/>
  <c r="A738" i="16"/>
  <c r="D738" i="16"/>
  <c r="A739" i="16"/>
  <c r="E739" i="16"/>
  <c r="A740" i="16"/>
  <c r="A741" i="16"/>
  <c r="A742" i="16"/>
  <c r="C742" i="16" s="1"/>
  <c r="B742" i="16"/>
  <c r="D742" i="16"/>
  <c r="E742" i="16"/>
  <c r="A743" i="16"/>
  <c r="B743" i="16" s="1"/>
  <c r="C743" i="16"/>
  <c r="E743" i="16"/>
  <c r="A744" i="16"/>
  <c r="A745" i="16"/>
  <c r="A746" i="16"/>
  <c r="B746" i="16"/>
  <c r="D746" i="16"/>
  <c r="A747" i="16"/>
  <c r="A748" i="16"/>
  <c r="B748" i="16"/>
  <c r="C748" i="16"/>
  <c r="D748" i="16"/>
  <c r="E748" i="16"/>
  <c r="A749" i="16"/>
  <c r="A750" i="16"/>
  <c r="B750" i="16"/>
  <c r="E750" i="16"/>
  <c r="A751" i="16"/>
  <c r="A752" i="16"/>
  <c r="D752" i="16" s="1"/>
  <c r="B752" i="16"/>
  <c r="C752" i="16"/>
  <c r="A753" i="16"/>
  <c r="A754" i="16"/>
  <c r="D754" i="16"/>
  <c r="A755" i="16"/>
  <c r="E755" i="16"/>
  <c r="A756" i="16"/>
  <c r="A757" i="16"/>
  <c r="A758" i="16"/>
  <c r="C758" i="16" s="1"/>
  <c r="B758" i="16"/>
  <c r="D758" i="16"/>
  <c r="E758" i="16"/>
  <c r="A759" i="16"/>
  <c r="B759" i="16" s="1"/>
  <c r="C759" i="16"/>
  <c r="E759" i="16"/>
  <c r="A760" i="16"/>
  <c r="A761" i="16"/>
  <c r="A762" i="16"/>
  <c r="B762" i="16"/>
  <c r="D762" i="16"/>
  <c r="A763" i="16"/>
  <c r="A764" i="16"/>
  <c r="B764" i="16"/>
  <c r="C764" i="16"/>
  <c r="D764" i="16"/>
  <c r="E764" i="16"/>
  <c r="A765" i="16"/>
  <c r="A766" i="16"/>
  <c r="B766" i="16"/>
  <c r="E766" i="16"/>
  <c r="A767" i="16"/>
  <c r="A768" i="16"/>
  <c r="D768" i="16" s="1"/>
  <c r="B768" i="16"/>
  <c r="C768" i="16"/>
  <c r="A769" i="16"/>
  <c r="A770" i="16"/>
  <c r="D770" i="16"/>
  <c r="A771" i="16"/>
  <c r="E771" i="16"/>
  <c r="A772" i="16"/>
  <c r="A773" i="16"/>
  <c r="A774" i="16"/>
  <c r="C774" i="16" s="1"/>
  <c r="B774" i="16"/>
  <c r="D774" i="16"/>
  <c r="E774" i="16"/>
  <c r="A775" i="16"/>
  <c r="B775" i="16" s="1"/>
  <c r="C775" i="16"/>
  <c r="E775" i="16"/>
  <c r="A776" i="16"/>
  <c r="A777" i="16"/>
  <c r="A778" i="16"/>
  <c r="B778" i="16"/>
  <c r="D778" i="16"/>
  <c r="A779" i="16"/>
  <c r="A780" i="16"/>
  <c r="B780" i="16"/>
  <c r="C780" i="16"/>
  <c r="D780" i="16"/>
  <c r="E780" i="16"/>
  <c r="A781" i="16"/>
  <c r="A782" i="16"/>
  <c r="B782" i="16"/>
  <c r="E782" i="16"/>
  <c r="A783" i="16"/>
  <c r="A784" i="16"/>
  <c r="D784" i="16" s="1"/>
  <c r="B784" i="16"/>
  <c r="C784" i="16"/>
  <c r="A785" i="16"/>
  <c r="A786" i="16"/>
  <c r="D786" i="16"/>
  <c r="A787" i="16"/>
  <c r="E787" i="16"/>
  <c r="A788" i="16"/>
  <c r="A789" i="16"/>
  <c r="A790" i="16"/>
  <c r="C790" i="16" s="1"/>
  <c r="B790" i="16"/>
  <c r="D790" i="16"/>
  <c r="E790" i="16"/>
  <c r="A791" i="16"/>
  <c r="B791" i="16" s="1"/>
  <c r="C791" i="16"/>
  <c r="E791" i="16"/>
  <c r="A792" i="16"/>
  <c r="A793" i="16"/>
  <c r="E793" i="16"/>
  <c r="A794" i="16"/>
  <c r="B794" i="16"/>
  <c r="E794" i="16"/>
  <c r="A795" i="16"/>
  <c r="E795" i="16" s="1"/>
  <c r="C795" i="16"/>
  <c r="A796" i="16"/>
  <c r="B796" i="16"/>
  <c r="C796" i="16"/>
  <c r="D796" i="16"/>
  <c r="E796" i="16"/>
  <c r="A797" i="16"/>
  <c r="A798" i="16"/>
  <c r="D798" i="16"/>
  <c r="E798" i="16"/>
  <c r="A799" i="16"/>
  <c r="E799" i="16" s="1"/>
  <c r="A800" i="16"/>
  <c r="B800" i="16"/>
  <c r="C800" i="16"/>
  <c r="D800" i="16"/>
  <c r="E800" i="16"/>
  <c r="A801" i="16"/>
  <c r="E801" i="16" s="1"/>
  <c r="A802" i="16"/>
  <c r="A803" i="16"/>
  <c r="E803" i="16" s="1"/>
  <c r="C803" i="16"/>
  <c r="A804" i="16"/>
  <c r="D804" i="16" s="1"/>
  <c r="B804" i="16"/>
  <c r="C804" i="16"/>
  <c r="E804" i="16"/>
  <c r="A805" i="16"/>
  <c r="E805" i="16" s="1"/>
  <c r="C805" i="16"/>
  <c r="A806" i="16"/>
  <c r="B806" i="16"/>
  <c r="A807" i="16"/>
  <c r="E807" i="16"/>
  <c r="A808" i="16"/>
  <c r="A809" i="16"/>
  <c r="E809" i="16"/>
  <c r="A810" i="16"/>
  <c r="B810" i="16"/>
  <c r="E810" i="16"/>
  <c r="A811" i="16"/>
  <c r="E811" i="16" s="1"/>
  <c r="C811" i="16"/>
  <c r="A812" i="16"/>
  <c r="B812" i="16"/>
  <c r="C812" i="16"/>
  <c r="D812" i="16"/>
  <c r="E812" i="16"/>
  <c r="A813" i="16"/>
  <c r="A814" i="16"/>
  <c r="D814" i="16"/>
  <c r="E814" i="16"/>
  <c r="A815" i="16"/>
  <c r="E815" i="16" s="1"/>
  <c r="A816" i="16"/>
  <c r="D816" i="16" s="1"/>
  <c r="B816" i="16"/>
  <c r="C816" i="16"/>
  <c r="A817" i="16"/>
  <c r="E817" i="16"/>
  <c r="A818" i="16"/>
  <c r="C818" i="16" s="1"/>
  <c r="B818" i="16"/>
  <c r="D818" i="16"/>
  <c r="E818" i="16"/>
  <c r="A819" i="16"/>
  <c r="C819" i="16"/>
  <c r="E819" i="16"/>
  <c r="A820" i="16"/>
  <c r="B820" i="16" s="1"/>
  <c r="C820" i="16"/>
  <c r="A821" i="16"/>
  <c r="C821" i="16"/>
  <c r="E821" i="16"/>
  <c r="A822" i="16"/>
  <c r="D822" i="16"/>
  <c r="E822" i="16"/>
  <c r="A823" i="16"/>
  <c r="A824" i="16"/>
  <c r="B824" i="16"/>
  <c r="C824" i="16"/>
  <c r="D824" i="16"/>
  <c r="E824" i="16"/>
  <c r="A825" i="16"/>
  <c r="A826" i="16"/>
  <c r="A827" i="16"/>
  <c r="E827" i="16" s="1"/>
  <c r="C827" i="16"/>
  <c r="A828" i="16"/>
  <c r="B828" i="16"/>
  <c r="C828" i="16"/>
  <c r="D828" i="16"/>
  <c r="E828" i="16"/>
  <c r="A829" i="16"/>
  <c r="E829" i="16" s="1"/>
  <c r="C829" i="16"/>
  <c r="A830" i="16"/>
  <c r="A831" i="16"/>
  <c r="E831" i="16" s="1"/>
  <c r="A832" i="16"/>
  <c r="A833" i="16"/>
  <c r="E833" i="16" s="1"/>
  <c r="A834" i="16"/>
  <c r="C834" i="16" s="1"/>
  <c r="B834" i="16"/>
  <c r="D834" i="16"/>
  <c r="E834" i="16"/>
  <c r="A835" i="16"/>
  <c r="C835" i="16"/>
  <c r="E835" i="16"/>
  <c r="A836" i="16"/>
  <c r="B836" i="16" s="1"/>
  <c r="C836" i="16"/>
  <c r="D836" i="16"/>
  <c r="E836" i="16"/>
  <c r="A837" i="16"/>
  <c r="C837" i="16"/>
  <c r="E837" i="16"/>
  <c r="A838" i="16"/>
  <c r="A839" i="16"/>
  <c r="A840" i="16"/>
  <c r="B840" i="16"/>
  <c r="C840" i="16"/>
  <c r="D840" i="16"/>
  <c r="E840" i="16"/>
  <c r="A841" i="16"/>
  <c r="A842" i="16"/>
  <c r="B842" i="16"/>
  <c r="E842" i="16"/>
  <c r="A843" i="16"/>
  <c r="E843" i="16" s="1"/>
  <c r="C843" i="16"/>
  <c r="A844" i="16"/>
  <c r="B844" i="16"/>
  <c r="C844" i="16"/>
  <c r="D844" i="16"/>
  <c r="E844" i="16"/>
  <c r="A845" i="16"/>
  <c r="A846" i="16"/>
  <c r="D846" i="16"/>
  <c r="E846" i="16"/>
  <c r="A847" i="16"/>
  <c r="E847" i="16" s="1"/>
  <c r="A848" i="16"/>
  <c r="D848" i="16" s="1"/>
  <c r="B848" i="16"/>
  <c r="C848" i="16"/>
  <c r="A849" i="16"/>
  <c r="E849" i="16"/>
  <c r="A850" i="16"/>
  <c r="C850" i="16" s="1"/>
  <c r="B850" i="16"/>
  <c r="D850" i="16"/>
  <c r="E850" i="16"/>
  <c r="A851" i="16"/>
  <c r="C851" i="16"/>
  <c r="E851" i="16"/>
  <c r="A852" i="16"/>
  <c r="B852" i="16" s="1"/>
  <c r="C852" i="16"/>
  <c r="A853" i="16"/>
  <c r="C853" i="16"/>
  <c r="E853" i="16"/>
  <c r="A854" i="16"/>
  <c r="D854" i="16"/>
  <c r="E854" i="16"/>
  <c r="A855" i="16"/>
  <c r="A856" i="16"/>
  <c r="B856" i="16"/>
  <c r="C856" i="16"/>
  <c r="D856" i="16"/>
  <c r="E856" i="16"/>
  <c r="A857" i="16"/>
  <c r="A858" i="16"/>
  <c r="A859" i="16"/>
  <c r="E859" i="16" s="1"/>
  <c r="C859" i="16"/>
  <c r="A860" i="16"/>
  <c r="B860" i="16"/>
  <c r="C860" i="16"/>
  <c r="D860" i="16"/>
  <c r="E860" i="16"/>
  <c r="A861" i="16"/>
  <c r="E861" i="16" s="1"/>
  <c r="C861" i="16"/>
  <c r="A862" i="16"/>
  <c r="A863" i="16"/>
  <c r="E863" i="16" s="1"/>
  <c r="A864" i="16"/>
  <c r="A865" i="16"/>
  <c r="E865" i="16" s="1"/>
  <c r="A866" i="16"/>
  <c r="C866" i="16" s="1"/>
  <c r="B866" i="16"/>
  <c r="D866" i="16"/>
  <c r="E866" i="16"/>
  <c r="A867" i="16"/>
  <c r="C867" i="16"/>
  <c r="E867" i="16"/>
  <c r="A868" i="16"/>
  <c r="B868" i="16" s="1"/>
  <c r="C868" i="16"/>
  <c r="D868" i="16"/>
  <c r="E868" i="16"/>
  <c r="A869" i="16"/>
  <c r="C869" i="16"/>
  <c r="E869" i="16"/>
  <c r="A870" i="16"/>
  <c r="A871" i="16"/>
  <c r="A872" i="16"/>
  <c r="B872" i="16"/>
  <c r="C872" i="16"/>
  <c r="D872" i="16"/>
  <c r="E872" i="16"/>
  <c r="A873" i="16"/>
  <c r="A874" i="16"/>
  <c r="B874" i="16"/>
  <c r="E874" i="16"/>
  <c r="A875" i="16"/>
  <c r="E875" i="16" s="1"/>
  <c r="C875" i="16"/>
  <c r="A876" i="16"/>
  <c r="B876" i="16"/>
  <c r="C876" i="16"/>
  <c r="D876" i="16"/>
  <c r="E876" i="16"/>
  <c r="A877" i="16"/>
  <c r="A878" i="16"/>
  <c r="D878" i="16"/>
  <c r="E878" i="16"/>
  <c r="A879" i="16"/>
  <c r="E879" i="16" s="1"/>
  <c r="A880" i="16"/>
  <c r="D880" i="16" s="1"/>
  <c r="B880" i="16"/>
  <c r="C880" i="16"/>
  <c r="A881" i="16"/>
  <c r="E881" i="16"/>
  <c r="A882" i="16"/>
  <c r="C882" i="16" s="1"/>
  <c r="B882" i="16"/>
  <c r="D882" i="16"/>
  <c r="E882" i="16"/>
  <c r="A883" i="16"/>
  <c r="C883" i="16"/>
  <c r="E883" i="16"/>
  <c r="A884" i="16"/>
  <c r="B884" i="16" s="1"/>
  <c r="C884" i="16"/>
  <c r="A885" i="16"/>
  <c r="C885" i="16"/>
  <c r="E885" i="16"/>
  <c r="A886" i="16"/>
  <c r="D886" i="16"/>
  <c r="E886" i="16"/>
  <c r="A887" i="16"/>
  <c r="A888" i="16"/>
  <c r="B888" i="16"/>
  <c r="C888" i="16"/>
  <c r="D888" i="16"/>
  <c r="E888" i="16"/>
  <c r="A889" i="16"/>
  <c r="A890" i="16"/>
  <c r="A891" i="16"/>
  <c r="E891" i="16" s="1"/>
  <c r="C891" i="16"/>
  <c r="A892" i="16"/>
  <c r="B892" i="16"/>
  <c r="C892" i="16"/>
  <c r="D892" i="16"/>
  <c r="E892" i="16"/>
  <c r="A893" i="16"/>
  <c r="E893" i="16" s="1"/>
  <c r="C893" i="16"/>
  <c r="A894" i="16"/>
  <c r="A895" i="16"/>
  <c r="E895" i="16" s="1"/>
  <c r="A896" i="16"/>
  <c r="A897" i="16"/>
  <c r="E897" i="16" s="1"/>
  <c r="A898" i="16"/>
  <c r="C898" i="16" s="1"/>
  <c r="B898" i="16"/>
  <c r="D898" i="16"/>
  <c r="E898" i="16"/>
  <c r="A899" i="16"/>
  <c r="C899" i="16"/>
  <c r="E899" i="16"/>
  <c r="A900" i="16"/>
  <c r="B900" i="16" s="1"/>
  <c r="C900" i="16"/>
  <c r="D900" i="16"/>
  <c r="E900" i="16"/>
  <c r="A901" i="16"/>
  <c r="C901" i="16"/>
  <c r="E901" i="16"/>
  <c r="A902" i="16"/>
  <c r="A903" i="16"/>
  <c r="A904" i="16"/>
  <c r="B904" i="16"/>
  <c r="C904" i="16"/>
  <c r="D904" i="16"/>
  <c r="E904" i="16"/>
  <c r="A905" i="16"/>
  <c r="A906" i="16"/>
  <c r="B906" i="16"/>
  <c r="E906" i="16"/>
  <c r="A907" i="16"/>
  <c r="E907" i="16" s="1"/>
  <c r="C907" i="16"/>
  <c r="A908" i="16"/>
  <c r="B908" i="16"/>
  <c r="C908" i="16"/>
  <c r="D908" i="16"/>
  <c r="E908" i="16"/>
  <c r="A909" i="16"/>
  <c r="A910" i="16"/>
  <c r="D910" i="16"/>
  <c r="E910" i="16"/>
  <c r="A911" i="16"/>
  <c r="E911" i="16" s="1"/>
  <c r="A912" i="16"/>
  <c r="D912" i="16" s="1"/>
  <c r="B912" i="16"/>
  <c r="C912" i="16"/>
  <c r="A913" i="16"/>
  <c r="E913" i="16"/>
  <c r="A914" i="16"/>
  <c r="C914" i="16" s="1"/>
  <c r="B914" i="16"/>
  <c r="D914" i="16"/>
  <c r="E914" i="16"/>
  <c r="A915" i="16"/>
  <c r="C915" i="16"/>
  <c r="E915" i="16"/>
  <c r="A916" i="16"/>
  <c r="C916" i="16"/>
  <c r="A917" i="16"/>
  <c r="C917" i="16"/>
  <c r="E917" i="16"/>
  <c r="A918" i="16"/>
  <c r="D918" i="16"/>
  <c r="E918" i="16"/>
  <c r="A919" i="16"/>
  <c r="A920" i="16"/>
  <c r="B920" i="16"/>
  <c r="C920" i="16"/>
  <c r="D920" i="16"/>
  <c r="E920" i="16"/>
  <c r="A921" i="16"/>
  <c r="A922" i="16"/>
  <c r="A923" i="16"/>
  <c r="E923" i="16" s="1"/>
  <c r="C923" i="16"/>
  <c r="A924" i="16"/>
  <c r="B924" i="16"/>
  <c r="C924" i="16"/>
  <c r="D924" i="16"/>
  <c r="E924" i="16"/>
  <c r="A925" i="16"/>
  <c r="E925" i="16" s="1"/>
  <c r="C925" i="16"/>
  <c r="A926" i="16"/>
  <c r="A927" i="16"/>
  <c r="A928" i="16"/>
  <c r="A929" i="16"/>
  <c r="A930" i="16"/>
  <c r="C930" i="16" s="1"/>
  <c r="B930" i="16"/>
  <c r="E930" i="16"/>
  <c r="A931" i="16"/>
  <c r="B931" i="16" s="1"/>
  <c r="C931" i="16"/>
  <c r="E931" i="16"/>
  <c r="A932" i="16"/>
  <c r="E932" i="16"/>
  <c r="A933" i="16"/>
  <c r="D933" i="16" s="1"/>
  <c r="A934" i="16"/>
  <c r="C934" i="16" s="1"/>
  <c r="A935" i="16"/>
  <c r="B935" i="16" s="1"/>
  <c r="A936" i="16"/>
  <c r="C936" i="16" s="1"/>
  <c r="A937" i="16"/>
  <c r="D937" i="16" s="1"/>
  <c r="B937" i="16"/>
  <c r="C937" i="16"/>
  <c r="E937" i="16"/>
  <c r="A938" i="16"/>
  <c r="C938" i="16" s="1"/>
  <c r="B938" i="16"/>
  <c r="D938" i="16"/>
  <c r="E938" i="16"/>
  <c r="A939" i="16"/>
  <c r="B939" i="16" s="1"/>
  <c r="C939" i="16"/>
  <c r="D939" i="16"/>
  <c r="E939" i="16"/>
  <c r="A940" i="16"/>
  <c r="B940" i="16"/>
  <c r="C940" i="16"/>
  <c r="D940" i="16"/>
  <c r="E940" i="16"/>
  <c r="A941" i="16"/>
  <c r="A942" i="16"/>
  <c r="A943" i="16"/>
  <c r="B943" i="16" s="1"/>
  <c r="D943" i="16"/>
  <c r="A944" i="16"/>
  <c r="B944" i="16" s="1"/>
  <c r="C944" i="16"/>
  <c r="D944" i="16"/>
  <c r="E944" i="16"/>
  <c r="A945" i="16"/>
  <c r="D945" i="16" s="1"/>
  <c r="B945" i="16"/>
  <c r="E945" i="16"/>
  <c r="A946" i="16"/>
  <c r="A947" i="16"/>
  <c r="C947" i="16"/>
  <c r="A948" i="16"/>
  <c r="E948" i="16"/>
  <c r="A949" i="16"/>
  <c r="D949" i="16" s="1"/>
  <c r="A950" i="16"/>
  <c r="C950" i="16" s="1"/>
  <c r="A951" i="16"/>
  <c r="B951" i="16" s="1"/>
  <c r="A952" i="16"/>
  <c r="A953" i="16"/>
  <c r="B953" i="16"/>
  <c r="A954" i="16"/>
  <c r="B954" i="16"/>
  <c r="E954" i="16"/>
  <c r="A955" i="16"/>
  <c r="C955" i="16"/>
  <c r="E955" i="16"/>
  <c r="A956" i="16"/>
  <c r="E956" i="16"/>
  <c r="A957" i="16"/>
  <c r="A958" i="16"/>
  <c r="C958" i="16" s="1"/>
  <c r="D958" i="16"/>
  <c r="A959" i="16"/>
  <c r="A960" i="16"/>
  <c r="A961" i="16"/>
  <c r="A962" i="16"/>
  <c r="C962" i="16" s="1"/>
  <c r="B962" i="16"/>
  <c r="E962" i="16"/>
  <c r="A963" i="16"/>
  <c r="B963" i="16" s="1"/>
  <c r="C963" i="16"/>
  <c r="E963" i="16"/>
  <c r="A964" i="16"/>
  <c r="E964" i="16"/>
  <c r="A965" i="16"/>
  <c r="D965" i="16" s="1"/>
  <c r="A966" i="16"/>
  <c r="C966" i="16" s="1"/>
  <c r="A967" i="16"/>
  <c r="B967" i="16" s="1"/>
  <c r="A968" i="16"/>
  <c r="C968" i="16" s="1"/>
  <c r="A969" i="16"/>
  <c r="D969" i="16" s="1"/>
  <c r="B969" i="16"/>
  <c r="C969" i="16"/>
  <c r="E969" i="16"/>
  <c r="A970" i="16"/>
  <c r="C970" i="16" s="1"/>
  <c r="B970" i="16"/>
  <c r="D970" i="16"/>
  <c r="E970" i="16"/>
  <c r="A971" i="16"/>
  <c r="B971" i="16" s="1"/>
  <c r="C971" i="16"/>
  <c r="D971" i="16"/>
  <c r="E971" i="16"/>
  <c r="A972" i="16"/>
  <c r="B972" i="16"/>
  <c r="C972" i="16"/>
  <c r="D972" i="16"/>
  <c r="E972" i="16"/>
  <c r="A973" i="16"/>
  <c r="A974" i="16"/>
  <c r="A975" i="16"/>
  <c r="B975" i="16" s="1"/>
  <c r="D975" i="16"/>
  <c r="A976" i="16"/>
  <c r="B976" i="16" s="1"/>
  <c r="C976" i="16"/>
  <c r="D976" i="16"/>
  <c r="E976" i="16"/>
  <c r="A977" i="16"/>
  <c r="D977" i="16" s="1"/>
  <c r="B977" i="16"/>
  <c r="E977" i="16"/>
  <c r="A978" i="16"/>
  <c r="A979" i="16"/>
  <c r="B979" i="16" s="1"/>
  <c r="C979" i="16"/>
  <c r="E979" i="16"/>
  <c r="A980" i="16"/>
  <c r="B980" i="16"/>
  <c r="C980" i="16"/>
  <c r="D980" i="16"/>
  <c r="E980" i="16"/>
  <c r="A981" i="16"/>
  <c r="D981" i="16" s="1"/>
  <c r="A982" i="16"/>
  <c r="C982" i="16" s="1"/>
  <c r="A983" i="16"/>
  <c r="B983" i="16" s="1"/>
  <c r="A984" i="16"/>
  <c r="B984" i="16"/>
  <c r="C984" i="16"/>
  <c r="D984" i="16"/>
  <c r="E984" i="16"/>
  <c r="A985" i="16"/>
  <c r="D985" i="16" s="1"/>
  <c r="B985" i="16"/>
  <c r="C985" i="16"/>
  <c r="A986" i="16"/>
  <c r="C986" i="16" s="1"/>
  <c r="B986" i="16"/>
  <c r="D986" i="16"/>
  <c r="A987" i="16"/>
  <c r="B987" i="16" s="1"/>
  <c r="C987" i="16"/>
  <c r="D987" i="16"/>
  <c r="A988" i="16"/>
  <c r="D988" i="16" s="1"/>
  <c r="B988" i="16"/>
  <c r="C988" i="16"/>
  <c r="E988" i="16"/>
  <c r="A989" i="16"/>
  <c r="D989" i="16" s="1"/>
  <c r="C989" i="16"/>
  <c r="A990" i="16"/>
  <c r="C990" i="16" s="1"/>
  <c r="D990" i="16"/>
  <c r="A991" i="16"/>
  <c r="B991" i="16" s="1"/>
  <c r="D991" i="16"/>
  <c r="A992" i="16"/>
  <c r="B992" i="16"/>
  <c r="C992" i="16"/>
  <c r="D992" i="16"/>
  <c r="E992" i="16"/>
  <c r="A993" i="16"/>
  <c r="D993" i="16" s="1"/>
  <c r="B993" i="16"/>
  <c r="E993" i="16"/>
  <c r="A994" i="16"/>
  <c r="C994" i="16" s="1"/>
  <c r="B994" i="16"/>
  <c r="E994" i="16"/>
  <c r="A995" i="16"/>
  <c r="A996" i="16"/>
  <c r="A997" i="16"/>
  <c r="D997" i="16" s="1"/>
  <c r="A998" i="16"/>
  <c r="C998" i="16" s="1"/>
  <c r="A999" i="16"/>
  <c r="B999" i="16" s="1"/>
  <c r="A1000" i="16"/>
  <c r="B1000" i="16" s="1"/>
  <c r="E1000" i="16"/>
  <c r="A1001" i="16"/>
  <c r="E1001" i="16"/>
  <c r="A1002" i="16"/>
  <c r="E1002" i="16"/>
  <c r="A1003" i="16"/>
  <c r="E1003" i="16"/>
  <c r="A1004" i="16"/>
  <c r="D1004" i="16"/>
  <c r="A1005" i="16"/>
  <c r="D1005" i="16" s="1"/>
  <c r="C1005" i="16"/>
  <c r="A1006" i="16"/>
  <c r="A1007" i="16"/>
  <c r="B1007" i="16" s="1"/>
  <c r="D1007" i="16"/>
  <c r="A1008" i="16"/>
  <c r="A1009" i="16"/>
  <c r="A1010" i="16"/>
  <c r="A1011" i="16"/>
  <c r="B1011" i="16" s="1"/>
  <c r="C1011" i="16"/>
  <c r="E1011" i="16"/>
  <c r="A1012" i="16"/>
  <c r="B1012" i="16"/>
  <c r="C1012" i="16"/>
  <c r="D1012" i="16"/>
  <c r="E1012" i="16"/>
  <c r="A1013" i="16"/>
  <c r="D1013" i="16" s="1"/>
  <c r="A1014" i="16"/>
  <c r="C1014" i="16" s="1"/>
  <c r="A1015" i="16"/>
  <c r="B1015" i="16" s="1"/>
  <c r="A1016" i="16"/>
  <c r="B1016" i="16"/>
  <c r="C1016" i="16"/>
  <c r="D1016" i="16"/>
  <c r="E1016" i="16"/>
  <c r="A1017" i="16"/>
  <c r="D1017" i="16" s="1"/>
  <c r="B1017" i="16"/>
  <c r="C1017" i="16"/>
  <c r="A1018" i="16"/>
  <c r="C1018" i="16" s="1"/>
  <c r="B1018" i="16"/>
  <c r="D1018" i="16"/>
  <c r="A1019" i="16"/>
  <c r="B1019" i="16" s="1"/>
  <c r="C1019" i="16"/>
  <c r="D1019" i="16"/>
  <c r="A1020" i="16"/>
  <c r="D1020" i="16" s="1"/>
  <c r="B1020" i="16"/>
  <c r="C1020" i="16"/>
  <c r="E1020" i="16"/>
  <c r="A1021" i="16"/>
  <c r="D1021" i="16" s="1"/>
  <c r="C1021" i="16"/>
  <c r="A1022" i="16"/>
  <c r="C1022" i="16" s="1"/>
  <c r="D1022" i="16"/>
  <c r="A1023" i="16"/>
  <c r="B1023" i="16" s="1"/>
  <c r="D1023" i="16"/>
  <c r="A1024" i="16"/>
  <c r="B1024" i="16"/>
  <c r="C1024" i="16"/>
  <c r="D1024" i="16"/>
  <c r="E1024" i="16"/>
  <c r="A1025" i="16"/>
  <c r="D1025" i="16" s="1"/>
  <c r="B1025" i="16"/>
  <c r="E1025" i="16"/>
  <c r="A1026" i="16"/>
  <c r="C1026" i="16" s="1"/>
  <c r="B1026" i="16"/>
  <c r="E1026" i="16"/>
  <c r="A1027" i="16"/>
  <c r="A1028" i="16"/>
  <c r="B1028" i="16"/>
  <c r="E1028" i="16"/>
  <c r="A1029" i="16"/>
  <c r="D1029" i="16" s="1"/>
  <c r="A1030" i="16"/>
  <c r="C1030" i="16" s="1"/>
  <c r="A1031" i="16"/>
  <c r="B1031" i="16" s="1"/>
  <c r="A1032" i="16"/>
  <c r="B1032" i="16"/>
  <c r="A1033" i="16"/>
  <c r="E1033" i="16"/>
  <c r="A1034" i="16"/>
  <c r="A1035" i="16"/>
  <c r="E1035" i="16"/>
  <c r="A1036" i="16"/>
  <c r="A1037" i="16"/>
  <c r="D1037" i="16" s="1"/>
  <c r="C1037" i="16"/>
  <c r="A1038" i="16"/>
  <c r="C1038" i="16" s="1"/>
  <c r="D1038" i="16"/>
  <c r="A1039" i="16"/>
  <c r="B1039" i="16" s="1"/>
  <c r="D1039" i="16"/>
  <c r="A1040" i="16"/>
  <c r="B1040" i="16"/>
  <c r="E1040" i="16"/>
  <c r="A1041" i="16"/>
  <c r="A1042" i="16"/>
  <c r="B1042" i="16"/>
  <c r="A1043" i="16"/>
  <c r="B1043" i="16" s="1"/>
  <c r="C1043" i="16"/>
  <c r="E1043" i="16"/>
  <c r="A1044" i="16"/>
  <c r="B1044" i="16"/>
  <c r="C1044" i="16"/>
  <c r="D1044" i="16"/>
  <c r="E1044" i="16"/>
  <c r="A1045" i="16"/>
  <c r="D1045" i="16" s="1"/>
  <c r="A1046" i="16"/>
  <c r="C1046" i="16" s="1"/>
  <c r="A1047" i="16"/>
  <c r="B1047" i="16" s="1"/>
  <c r="A1048" i="16"/>
  <c r="B1048" i="16"/>
  <c r="C1048" i="16"/>
  <c r="D1048" i="16"/>
  <c r="E1048" i="16"/>
  <c r="A1049" i="16"/>
  <c r="D1049" i="16" s="1"/>
  <c r="B1049" i="16"/>
  <c r="C1049" i="16"/>
  <c r="A1050" i="16"/>
  <c r="C1050" i="16" s="1"/>
  <c r="B1050" i="16"/>
  <c r="D1050" i="16"/>
  <c r="A1051" i="16"/>
  <c r="B1051" i="16" s="1"/>
  <c r="C1051" i="16"/>
  <c r="D1051" i="16"/>
  <c r="A1052" i="16"/>
  <c r="D1052" i="16" s="1"/>
  <c r="B1052" i="16"/>
  <c r="C1052" i="16"/>
  <c r="E1052" i="16"/>
  <c r="A1053" i="16"/>
  <c r="A1054" i="16"/>
  <c r="C1054" i="16" s="1"/>
  <c r="D1054" i="16"/>
  <c r="A1055" i="16"/>
  <c r="A1056" i="16"/>
  <c r="B1056" i="16"/>
  <c r="C1056" i="16"/>
  <c r="D1056" i="16"/>
  <c r="E1056" i="16"/>
  <c r="A1057" i="16"/>
  <c r="D1057" i="16" s="1"/>
  <c r="B1057" i="16"/>
  <c r="E1057" i="16"/>
  <c r="A1058" i="16"/>
  <c r="C1058" i="16" s="1"/>
  <c r="B1058" i="16"/>
  <c r="E1058" i="16"/>
  <c r="A1059" i="16"/>
  <c r="A1060" i="16"/>
  <c r="B1060" i="16"/>
  <c r="E1060" i="16"/>
  <c r="A1061" i="16"/>
  <c r="D1061" i="16" s="1"/>
  <c r="A1062" i="16"/>
  <c r="C1062" i="16" s="1"/>
  <c r="A1063" i="16"/>
  <c r="B1063" i="16" s="1"/>
  <c r="A1064" i="16"/>
  <c r="A1065" i="16"/>
  <c r="E1065" i="16"/>
  <c r="A1066" i="16"/>
  <c r="E1066" i="16"/>
  <c r="A1067" i="16"/>
  <c r="E1067" i="16"/>
  <c r="A1068" i="16"/>
  <c r="D1068" i="16"/>
  <c r="E1068" i="16"/>
  <c r="A1069" i="16"/>
  <c r="D1069" i="16" s="1"/>
  <c r="C1069" i="16"/>
  <c r="A1070" i="16"/>
  <c r="C1070" i="16" s="1"/>
  <c r="D1070" i="16"/>
  <c r="A1071" i="16"/>
  <c r="B1071" i="16" s="1"/>
  <c r="D1071" i="16"/>
  <c r="A1072" i="16"/>
  <c r="B1072" i="16"/>
  <c r="E1072" i="16"/>
  <c r="A1073" i="16"/>
  <c r="A1074" i="16"/>
  <c r="B1074" i="16"/>
  <c r="A1075" i="16"/>
  <c r="B1075" i="16" s="1"/>
  <c r="C1075" i="16"/>
  <c r="E1075" i="16"/>
  <c r="A1076" i="16"/>
  <c r="B1076" i="16"/>
  <c r="C1076" i="16"/>
  <c r="D1076" i="16"/>
  <c r="E1076" i="16"/>
  <c r="A1077" i="16"/>
  <c r="D1077" i="16" s="1"/>
  <c r="A1078" i="16"/>
  <c r="C1078" i="16" s="1"/>
  <c r="A1079" i="16"/>
  <c r="B1079" i="16" s="1"/>
  <c r="A1080" i="16"/>
  <c r="B1080" i="16"/>
  <c r="C1080" i="16"/>
  <c r="D1080" i="16"/>
  <c r="E1080" i="16"/>
  <c r="A1081" i="16"/>
  <c r="D1081" i="16" s="1"/>
  <c r="B1081" i="16"/>
  <c r="C1081" i="16"/>
  <c r="A1082" i="16"/>
  <c r="C1082" i="16" s="1"/>
  <c r="B1082" i="16"/>
  <c r="D1082" i="16"/>
  <c r="A1083" i="16"/>
  <c r="B1083" i="16" s="1"/>
  <c r="C1083" i="16"/>
  <c r="D1083" i="16"/>
  <c r="A1084" i="16"/>
  <c r="D1084" i="16" s="1"/>
  <c r="B1084" i="16"/>
  <c r="C1084" i="16"/>
  <c r="E1084" i="16"/>
  <c r="A1085" i="16"/>
  <c r="D1085" i="16" s="1"/>
  <c r="C1085" i="16"/>
  <c r="A1086" i="16"/>
  <c r="C1086" i="16" s="1"/>
  <c r="D1086" i="16"/>
  <c r="A1087" i="16"/>
  <c r="B1087" i="16" s="1"/>
  <c r="D1087" i="16"/>
  <c r="A1088" i="16"/>
  <c r="B1088" i="16"/>
  <c r="C1088" i="16"/>
  <c r="D1088" i="16"/>
  <c r="E1088" i="16"/>
  <c r="A1089" i="16"/>
  <c r="D1089" i="16" s="1"/>
  <c r="B1089" i="16"/>
  <c r="E1089" i="16"/>
  <c r="A1090" i="16"/>
  <c r="C1090" i="16" s="1"/>
  <c r="B1090" i="16"/>
  <c r="E1090" i="16"/>
  <c r="A1091" i="16"/>
  <c r="A1092" i="16"/>
  <c r="B1092" i="16"/>
  <c r="A1093" i="16"/>
  <c r="D1093" i="16" s="1"/>
  <c r="A1094" i="16"/>
  <c r="C1094" i="16" s="1"/>
  <c r="A1095" i="16"/>
  <c r="B1095" i="16" s="1"/>
  <c r="A1096" i="16"/>
  <c r="B1096" i="16"/>
  <c r="E1096" i="16"/>
  <c r="A1097" i="16"/>
  <c r="A1098" i="16"/>
  <c r="E1098" i="16" s="1"/>
  <c r="A1099" i="16"/>
  <c r="A1100" i="16"/>
  <c r="D1100" i="16" s="1"/>
  <c r="E1100" i="16"/>
  <c r="A1101" i="16"/>
  <c r="D1101" i="16" s="1"/>
  <c r="C1101" i="16"/>
  <c r="A1102" i="16"/>
  <c r="C1102" i="16" s="1"/>
  <c r="D1102" i="16"/>
  <c r="A1103" i="16"/>
  <c r="B1103" i="16" s="1"/>
  <c r="D1103" i="16"/>
  <c r="A1104" i="16"/>
  <c r="B1104" i="16"/>
  <c r="A1105" i="16"/>
  <c r="A1106" i="16"/>
  <c r="B1106" i="16"/>
  <c r="A1107" i="16"/>
  <c r="B1107" i="16" s="1"/>
  <c r="C1107" i="16"/>
  <c r="E1107" i="16"/>
  <c r="A1108" i="16"/>
  <c r="B1108" i="16"/>
  <c r="C1108" i="16"/>
  <c r="D1108" i="16"/>
  <c r="E1108" i="16"/>
  <c r="A1109" i="16"/>
  <c r="D1109" i="16" s="1"/>
  <c r="A1110" i="16"/>
  <c r="C1110" i="16" s="1"/>
  <c r="A1111" i="16"/>
  <c r="B1111" i="16" s="1"/>
  <c r="A1112" i="16"/>
  <c r="B1112" i="16"/>
  <c r="C1112" i="16"/>
  <c r="D1112" i="16"/>
  <c r="E1112" i="16"/>
  <c r="A1113" i="16"/>
  <c r="D1113" i="16" s="1"/>
  <c r="B1113" i="16"/>
  <c r="C1113" i="16"/>
  <c r="A1114" i="16"/>
  <c r="C1114" i="16" s="1"/>
  <c r="B1114" i="16"/>
  <c r="D1114" i="16"/>
  <c r="A1115" i="16"/>
  <c r="B1115" i="16" s="1"/>
  <c r="C1115" i="16"/>
  <c r="D1115" i="16"/>
  <c r="A1116" i="16"/>
  <c r="D1116" i="16" s="1"/>
  <c r="B1116" i="16"/>
  <c r="C1116" i="16"/>
  <c r="E1116" i="16"/>
  <c r="A1117" i="16"/>
  <c r="D1117" i="16" s="1"/>
  <c r="A1118" i="16"/>
  <c r="C1118" i="16" s="1"/>
  <c r="D1118" i="16"/>
  <c r="A1119" i="16"/>
  <c r="B1119" i="16" s="1"/>
  <c r="A1120" i="16"/>
  <c r="B1120" i="16"/>
  <c r="C1120" i="16"/>
  <c r="D1120" i="16"/>
  <c r="E1120" i="16"/>
  <c r="A1121" i="16"/>
  <c r="D1121" i="16" s="1"/>
  <c r="B1121" i="16"/>
  <c r="E1121" i="16"/>
  <c r="A1122" i="16"/>
  <c r="C1122" i="16" s="1"/>
  <c r="B1122" i="16"/>
  <c r="E1122" i="16"/>
  <c r="A1123" i="16"/>
  <c r="A1124" i="16"/>
  <c r="A1125" i="16"/>
  <c r="D1125" i="16" s="1"/>
  <c r="A1126" i="16"/>
  <c r="C1126" i="16" s="1"/>
  <c r="A1127" i="16"/>
  <c r="B1127" i="16" s="1"/>
  <c r="A1128" i="16"/>
  <c r="B1128" i="16" s="1"/>
  <c r="E1128" i="16"/>
  <c r="A1129" i="16"/>
  <c r="E1129" i="16"/>
  <c r="A1130" i="16"/>
  <c r="E1130" i="16"/>
  <c r="A1131" i="16"/>
  <c r="E1131" i="16"/>
  <c r="A1132" i="16"/>
  <c r="D1132" i="16"/>
  <c r="A1133" i="16"/>
  <c r="D1133" i="16" s="1"/>
  <c r="C1133" i="16"/>
  <c r="A1134" i="16"/>
  <c r="A1135" i="16"/>
  <c r="B1135" i="16" s="1"/>
  <c r="D1135" i="16"/>
  <c r="A1136" i="16"/>
  <c r="A1137" i="16"/>
  <c r="A1138" i="16"/>
  <c r="A1139" i="16"/>
  <c r="B1139" i="16" s="1"/>
  <c r="C1139" i="16"/>
  <c r="E1139" i="16"/>
  <c r="A1140" i="16"/>
  <c r="B1140" i="16"/>
  <c r="C1140" i="16"/>
  <c r="D1140" i="16"/>
  <c r="E1140" i="16"/>
  <c r="A1141" i="16"/>
  <c r="D1141" i="16" s="1"/>
  <c r="A1142" i="16"/>
  <c r="C1142" i="16" s="1"/>
  <c r="A1143" i="16"/>
  <c r="B1143" i="16" s="1"/>
  <c r="A1144" i="16"/>
  <c r="B1144" i="16"/>
  <c r="C1144" i="16"/>
  <c r="D1144" i="16"/>
  <c r="E1144" i="16"/>
  <c r="A1145" i="16"/>
  <c r="D1145" i="16" s="1"/>
  <c r="B1145" i="16"/>
  <c r="C1145" i="16"/>
  <c r="A1146" i="16"/>
  <c r="C1146" i="16" s="1"/>
  <c r="B1146" i="16"/>
  <c r="D1146" i="16"/>
  <c r="A1147" i="16"/>
  <c r="B1147" i="16" s="1"/>
  <c r="C1147" i="16"/>
  <c r="D1147" i="16"/>
  <c r="A1148" i="16"/>
  <c r="D1148" i="16" s="1"/>
  <c r="B1148" i="16"/>
  <c r="C1148" i="16"/>
  <c r="E1148" i="16"/>
  <c r="A1149" i="16"/>
  <c r="D1149" i="16" s="1"/>
  <c r="C1149" i="16"/>
  <c r="A1150" i="16"/>
  <c r="B1150" i="16" s="1"/>
  <c r="C1150" i="16"/>
  <c r="E1150" i="16"/>
  <c r="A1151" i="16"/>
  <c r="A1152" i="16"/>
  <c r="A1153" i="16"/>
  <c r="D1153" i="16" s="1"/>
  <c r="B1153" i="16"/>
  <c r="C1153" i="16"/>
  <c r="E1153" i="16"/>
  <c r="A1154" i="16"/>
  <c r="C1154" i="16"/>
  <c r="A1155" i="16"/>
  <c r="C1155" i="16" s="1"/>
  <c r="B1155" i="16"/>
  <c r="D1155" i="16"/>
  <c r="A1156" i="16"/>
  <c r="D1156" i="16" s="1"/>
  <c r="E1156" i="16"/>
  <c r="A1157" i="16"/>
  <c r="D1157" i="16" s="1"/>
  <c r="E1157" i="16"/>
  <c r="A1158" i="16"/>
  <c r="B1158" i="16" s="1"/>
  <c r="C1158" i="16"/>
  <c r="E1158" i="16"/>
  <c r="A1159" i="16"/>
  <c r="A1160" i="16"/>
  <c r="A1161" i="16"/>
  <c r="D1161" i="16" s="1"/>
  <c r="B1161" i="16"/>
  <c r="C1161" i="16"/>
  <c r="E1161" i="16"/>
  <c r="A1162" i="16"/>
  <c r="C1162" i="16"/>
  <c r="A1163" i="16"/>
  <c r="C1163" i="16" s="1"/>
  <c r="B1163" i="16"/>
  <c r="D1163" i="16"/>
  <c r="A1164" i="16"/>
  <c r="D1164" i="16" s="1"/>
  <c r="E1164" i="16"/>
  <c r="A1165" i="16"/>
  <c r="D1165" i="16" s="1"/>
  <c r="E1165" i="16"/>
  <c r="A1166" i="16"/>
  <c r="B1166" i="16" s="1"/>
  <c r="C1166" i="16"/>
  <c r="E1166" i="16"/>
  <c r="A1167" i="16"/>
  <c r="A1168" i="16"/>
  <c r="A1169" i="16"/>
  <c r="D1169" i="16" s="1"/>
  <c r="B1169" i="16"/>
  <c r="C1169" i="16"/>
  <c r="E1169" i="16"/>
  <c r="A1170" i="16"/>
  <c r="C1170" i="16"/>
  <c r="A1171" i="16"/>
  <c r="C1171" i="16" s="1"/>
  <c r="B1171" i="16"/>
  <c r="D1171" i="16"/>
  <c r="A1172" i="16"/>
  <c r="D1172" i="16" s="1"/>
  <c r="E1172" i="16"/>
  <c r="A1173" i="16"/>
  <c r="D1173" i="16"/>
  <c r="E1173" i="16"/>
  <c r="A1174" i="16"/>
  <c r="B1174" i="16" s="1"/>
  <c r="C1174" i="16"/>
  <c r="E1174" i="16"/>
  <c r="A1175" i="16"/>
  <c r="A1176" i="16"/>
  <c r="A1177" i="16"/>
  <c r="D1177" i="16" s="1"/>
  <c r="B1177" i="16"/>
  <c r="C1177" i="16"/>
  <c r="E1177" i="16"/>
  <c r="A1178" i="16"/>
  <c r="C1178" i="16"/>
  <c r="A1179" i="16"/>
  <c r="C1179" i="16" s="1"/>
  <c r="B1179" i="16"/>
  <c r="D1179" i="16"/>
  <c r="A1180" i="16"/>
  <c r="D1180" i="16" s="1"/>
  <c r="E1180" i="16"/>
  <c r="A1181" i="16"/>
  <c r="D1181" i="16"/>
  <c r="E1181" i="16"/>
  <c r="A1182" i="16"/>
  <c r="B1182" i="16" s="1"/>
  <c r="C1182" i="16"/>
  <c r="E1182" i="16"/>
  <c r="A1183" i="16"/>
  <c r="A1184" i="16"/>
  <c r="A1185" i="16"/>
  <c r="D1185" i="16" s="1"/>
  <c r="B1185" i="16"/>
  <c r="C1185" i="16"/>
  <c r="E1185" i="16"/>
  <c r="A1186" i="16"/>
  <c r="C1186" i="16"/>
  <c r="A1187" i="16"/>
  <c r="C1187" i="16" s="1"/>
  <c r="B1187" i="16"/>
  <c r="D1187" i="16"/>
  <c r="A1188" i="16"/>
  <c r="D1188" i="16" s="1"/>
  <c r="E1188" i="16"/>
  <c r="A1189" i="16"/>
  <c r="D1189" i="16"/>
  <c r="E1189" i="16"/>
  <c r="A1190" i="16"/>
  <c r="B1190" i="16" s="1"/>
  <c r="C1190" i="16"/>
  <c r="E1190" i="16"/>
  <c r="A1191" i="16"/>
  <c r="A1192" i="16"/>
  <c r="A1193" i="16"/>
  <c r="D1193" i="16" s="1"/>
  <c r="B1193" i="16"/>
  <c r="C1193" i="16"/>
  <c r="E1193" i="16"/>
  <c r="A1194" i="16"/>
  <c r="C1194" i="16"/>
  <c r="A1195" i="16"/>
  <c r="C1195" i="16" s="1"/>
  <c r="B1195" i="16"/>
  <c r="D1195" i="16"/>
  <c r="A1196" i="16"/>
  <c r="D1196" i="16" s="1"/>
  <c r="E1196" i="16"/>
  <c r="A1197" i="16"/>
  <c r="D1197" i="16" s="1"/>
  <c r="E1197" i="16"/>
  <c r="A1198" i="16"/>
  <c r="B1198" i="16" s="1"/>
  <c r="C1198" i="16"/>
  <c r="E1198" i="16"/>
  <c r="A1199" i="16"/>
  <c r="A1200" i="16"/>
  <c r="A1201" i="16"/>
  <c r="D1201" i="16" s="1"/>
  <c r="B1201" i="16"/>
  <c r="C1201" i="16"/>
  <c r="E1201" i="16"/>
  <c r="A1202" i="16"/>
  <c r="C1202" i="16"/>
  <c r="A1203" i="16"/>
  <c r="C1203" i="16" s="1"/>
  <c r="B1203" i="16"/>
  <c r="D1203" i="16"/>
  <c r="A1204" i="16"/>
  <c r="D1204" i="16" s="1"/>
  <c r="E1204" i="16"/>
  <c r="A1205" i="16"/>
  <c r="D1205" i="16"/>
  <c r="E1205" i="16"/>
  <c r="A1206" i="16"/>
  <c r="B1206" i="16" s="1"/>
  <c r="C1206" i="16"/>
  <c r="E1206" i="16"/>
  <c r="A1207" i="16"/>
  <c r="A1208" i="16"/>
  <c r="A1209" i="16"/>
  <c r="D1209" i="16" s="1"/>
  <c r="B1209" i="16"/>
  <c r="C1209" i="16"/>
  <c r="E1209" i="16"/>
  <c r="A1210" i="16"/>
  <c r="C1210" i="16"/>
  <c r="A1211" i="16"/>
  <c r="C1211" i="16" s="1"/>
  <c r="B1211" i="16"/>
  <c r="D1211" i="16"/>
  <c r="A1212" i="16"/>
  <c r="D1212" i="16" s="1"/>
  <c r="E1212" i="16"/>
  <c r="A1213" i="16"/>
  <c r="D1213" i="16"/>
  <c r="E1213" i="16"/>
  <c r="A1214" i="16"/>
  <c r="B1214" i="16" s="1"/>
  <c r="C1214" i="16"/>
  <c r="E1214" i="16"/>
  <c r="A1215" i="16"/>
  <c r="A1216" i="16"/>
  <c r="A1217" i="16"/>
  <c r="D1217" i="16" s="1"/>
  <c r="B1217" i="16"/>
  <c r="C1217" i="16"/>
  <c r="E1217" i="16"/>
  <c r="A1218" i="16"/>
  <c r="C1218" i="16"/>
  <c r="A1219" i="16"/>
  <c r="C1219" i="16" s="1"/>
  <c r="B1219" i="16"/>
  <c r="D1219" i="16"/>
  <c r="A1220" i="16"/>
  <c r="D1220" i="16" s="1"/>
  <c r="E1220" i="16"/>
  <c r="A1221" i="16"/>
  <c r="D1221" i="16"/>
  <c r="E1221" i="16"/>
  <c r="A1222" i="16"/>
  <c r="B1222" i="16" s="1"/>
  <c r="C1222" i="16"/>
  <c r="E1222" i="16"/>
  <c r="A1223" i="16"/>
  <c r="A1224" i="16"/>
  <c r="A1225" i="16"/>
  <c r="D1225" i="16" s="1"/>
  <c r="B1225" i="16"/>
  <c r="C1225" i="16"/>
  <c r="E1225" i="16"/>
  <c r="A1226" i="16"/>
  <c r="C1226" i="16"/>
  <c r="A1227" i="16"/>
  <c r="C1227" i="16" s="1"/>
  <c r="B1227" i="16"/>
  <c r="D1227" i="16"/>
  <c r="A1228" i="16"/>
  <c r="D1228" i="16" s="1"/>
  <c r="E1228" i="16"/>
  <c r="A1229" i="16"/>
  <c r="D1229" i="16"/>
  <c r="E1229" i="16"/>
  <c r="A1230" i="16"/>
  <c r="B1230" i="16" s="1"/>
  <c r="C1230" i="16"/>
  <c r="E1230" i="16"/>
  <c r="A1231" i="16"/>
  <c r="A1232" i="16"/>
  <c r="A1233" i="16"/>
  <c r="D1233" i="16" s="1"/>
  <c r="B1233" i="16"/>
  <c r="C1233" i="16"/>
  <c r="E1233" i="16"/>
  <c r="A1234" i="16"/>
  <c r="C1234" i="16"/>
  <c r="A1235" i="16"/>
  <c r="C1235" i="16" s="1"/>
  <c r="B1235" i="16"/>
  <c r="D1235" i="16"/>
  <c r="A1236" i="16"/>
  <c r="D1236" i="16" s="1"/>
  <c r="E1236" i="16"/>
  <c r="A1237" i="16"/>
  <c r="D1237" i="16"/>
  <c r="E1237" i="16"/>
  <c r="A1238" i="16"/>
  <c r="B1238" i="16" s="1"/>
  <c r="C1238" i="16"/>
  <c r="E1238" i="16"/>
  <c r="A1239" i="16"/>
  <c r="A1240" i="16"/>
  <c r="A1241" i="16"/>
  <c r="D1241" i="16" s="1"/>
  <c r="B1241" i="16"/>
  <c r="C1241" i="16"/>
  <c r="E1241" i="16"/>
  <c r="A1242" i="16"/>
  <c r="C1242" i="16"/>
  <c r="A1243" i="16"/>
  <c r="C1243" i="16" s="1"/>
  <c r="B1243" i="16"/>
  <c r="D1243" i="16"/>
  <c r="A1244" i="16"/>
  <c r="D1244" i="16" s="1"/>
  <c r="E1244" i="16"/>
  <c r="A1245" i="16"/>
  <c r="D1245" i="16"/>
  <c r="E1245" i="16"/>
  <c r="A1246" i="16"/>
  <c r="B1246" i="16" s="1"/>
  <c r="C1246" i="16"/>
  <c r="E1246" i="16"/>
  <c r="A1247" i="16"/>
  <c r="A1248" i="16"/>
  <c r="A1249" i="16"/>
  <c r="D1249" i="16" s="1"/>
  <c r="B1249" i="16"/>
  <c r="C1249" i="16"/>
  <c r="E1249" i="16"/>
  <c r="A1250" i="16"/>
  <c r="C1250" i="16"/>
  <c r="A1251" i="16"/>
  <c r="C1251" i="16" s="1"/>
  <c r="B1251" i="16"/>
  <c r="D1251" i="16"/>
  <c r="A1252" i="16"/>
  <c r="D1252" i="16" s="1"/>
  <c r="E1252" i="16"/>
  <c r="A1253" i="16"/>
  <c r="D1253" i="16"/>
  <c r="E1253" i="16"/>
  <c r="A1254" i="16"/>
  <c r="B1254" i="16" s="1"/>
  <c r="C1254" i="16"/>
  <c r="E1254" i="16"/>
  <c r="A1255" i="16"/>
  <c r="A1256" i="16"/>
  <c r="A1257" i="16"/>
  <c r="D1257" i="16" s="1"/>
  <c r="B1257" i="16"/>
  <c r="C1257" i="16"/>
  <c r="E1257" i="16"/>
  <c r="A1258" i="16"/>
  <c r="C1258" i="16"/>
  <c r="A1259" i="16"/>
  <c r="C1259" i="16" s="1"/>
  <c r="B1259" i="16"/>
  <c r="D1259" i="16"/>
  <c r="A1260" i="16"/>
  <c r="D1260" i="16" s="1"/>
  <c r="E1260" i="16"/>
  <c r="A1261" i="16"/>
  <c r="D1261" i="16"/>
  <c r="E1261" i="16"/>
  <c r="A1262" i="16"/>
  <c r="B1262" i="16" s="1"/>
  <c r="C1262" i="16"/>
  <c r="E1262" i="16"/>
  <c r="A1263" i="16"/>
  <c r="A1264" i="16"/>
  <c r="A1265" i="16"/>
  <c r="D1265" i="16" s="1"/>
  <c r="B1265" i="16"/>
  <c r="C1265" i="16"/>
  <c r="E1265" i="16"/>
  <c r="A1266" i="16"/>
  <c r="C1266" i="16"/>
  <c r="A1267" i="16"/>
  <c r="C1267" i="16" s="1"/>
  <c r="B1267" i="16"/>
  <c r="D1267" i="16"/>
  <c r="A1268" i="16"/>
  <c r="D1268" i="16" s="1"/>
  <c r="E1268" i="16"/>
  <c r="A1269" i="16"/>
  <c r="D1269" i="16"/>
  <c r="E1269" i="16"/>
  <c r="A1270" i="16"/>
  <c r="B1270" i="16" s="1"/>
  <c r="C1270" i="16"/>
  <c r="E1270" i="16"/>
  <c r="A1271" i="16"/>
  <c r="A1272" i="16"/>
  <c r="A1273" i="16"/>
  <c r="D1273" i="16" s="1"/>
  <c r="B1273" i="16"/>
  <c r="C1273" i="16"/>
  <c r="E1273" i="16"/>
  <c r="A1274" i="16"/>
  <c r="C1274" i="16"/>
  <c r="A1275" i="16"/>
  <c r="C1275" i="16" s="1"/>
  <c r="B1275" i="16"/>
  <c r="D1275" i="16"/>
  <c r="A1276" i="16"/>
  <c r="D1276" i="16" s="1"/>
  <c r="E1276" i="16"/>
  <c r="A1277" i="16"/>
  <c r="D1277" i="16"/>
  <c r="E1277" i="16"/>
  <c r="A1278" i="16"/>
  <c r="B1278" i="16" s="1"/>
  <c r="C1278" i="16"/>
  <c r="E1278" i="16"/>
  <c r="A1279" i="16"/>
  <c r="A1280" i="16"/>
  <c r="A1281" i="16"/>
  <c r="D1281" i="16" s="1"/>
  <c r="B1281" i="16"/>
  <c r="C1281" i="16"/>
  <c r="E1281" i="16"/>
  <c r="A1282" i="16"/>
  <c r="C1282" i="16"/>
  <c r="A1283" i="16"/>
  <c r="C1283" i="16" s="1"/>
  <c r="B1283" i="16"/>
  <c r="D1283" i="16"/>
  <c r="A1284" i="16"/>
  <c r="D1284" i="16" s="1"/>
  <c r="E1284" i="16"/>
  <c r="A1285" i="16"/>
  <c r="D1285" i="16"/>
  <c r="E1285" i="16"/>
  <c r="A1286" i="16"/>
  <c r="B1286" i="16" s="1"/>
  <c r="C1286" i="16"/>
  <c r="E1286" i="16"/>
  <c r="A1287" i="16"/>
  <c r="A1288" i="16"/>
  <c r="A1289" i="16"/>
  <c r="D1289" i="16" s="1"/>
  <c r="B1289" i="16"/>
  <c r="C1289" i="16"/>
  <c r="E1289" i="16"/>
  <c r="A1290" i="16"/>
  <c r="C1290" i="16"/>
  <c r="A1291" i="16"/>
  <c r="C1291" i="16" s="1"/>
  <c r="B1291" i="16"/>
  <c r="D1291" i="16"/>
  <c r="A1292" i="16"/>
  <c r="D1292" i="16" s="1"/>
  <c r="E1292" i="16"/>
  <c r="A1293" i="16"/>
  <c r="D1293" i="16"/>
  <c r="E1293" i="16"/>
  <c r="A1294" i="16"/>
  <c r="B1294" i="16" s="1"/>
  <c r="C1294" i="16"/>
  <c r="E1294" i="16"/>
  <c r="A1295" i="16"/>
  <c r="A1296" i="16"/>
  <c r="A1297" i="16"/>
  <c r="D1297" i="16" s="1"/>
  <c r="B1297" i="16"/>
  <c r="C1297" i="16"/>
  <c r="E1297" i="16"/>
  <c r="A1298" i="16"/>
  <c r="C1298" i="16"/>
  <c r="A1299" i="16"/>
  <c r="C1299" i="16" s="1"/>
  <c r="B1299" i="16"/>
  <c r="D1299" i="16"/>
  <c r="A1300" i="16"/>
  <c r="D1300" i="16" s="1"/>
  <c r="E1300" i="16"/>
  <c r="A1301" i="16"/>
  <c r="D1301" i="16"/>
  <c r="E1301" i="16"/>
  <c r="A1302" i="16"/>
  <c r="B1302" i="16" s="1"/>
  <c r="C1302" i="16"/>
  <c r="E1302" i="16"/>
  <c r="A1303" i="16"/>
  <c r="A1304" i="16"/>
  <c r="A1305" i="16"/>
  <c r="A1306" i="16"/>
  <c r="A1307" i="16"/>
  <c r="B1307" i="16"/>
  <c r="D1307" i="16"/>
  <c r="A1308" i="16"/>
  <c r="D1308" i="16" s="1"/>
  <c r="E1308" i="16"/>
  <c r="A1309" i="16"/>
  <c r="B1309" i="16" s="1"/>
  <c r="C1309" i="16"/>
  <c r="A1310" i="16"/>
  <c r="B1310" i="16" s="1"/>
  <c r="C1310" i="16"/>
  <c r="E1310" i="16"/>
  <c r="A1311" i="16"/>
  <c r="D1311" i="16"/>
  <c r="E1311" i="16"/>
  <c r="A1312" i="16"/>
  <c r="A1313" i="16"/>
  <c r="D1313" i="16" s="1"/>
  <c r="B1313" i="16"/>
  <c r="C1313" i="16"/>
  <c r="A1314" i="16"/>
  <c r="C1314" i="16"/>
  <c r="A1315" i="16"/>
  <c r="A1316" i="16"/>
  <c r="D1316" i="16" s="1"/>
  <c r="E1316" i="16"/>
  <c r="A1317" i="16"/>
  <c r="B1317" i="16" s="1"/>
  <c r="C1317" i="16"/>
  <c r="D1317" i="16"/>
  <c r="E1317" i="16"/>
  <c r="A1318" i="16"/>
  <c r="B1318" i="16" s="1"/>
  <c r="C1318" i="16"/>
  <c r="E1318" i="16"/>
  <c r="A1319" i="16"/>
  <c r="A1320" i="16"/>
  <c r="A1321" i="16"/>
  <c r="A1322" i="16"/>
  <c r="A1323" i="16"/>
  <c r="B1323" i="16"/>
  <c r="D1323" i="16"/>
  <c r="A1324" i="16"/>
  <c r="D1324" i="16" s="1"/>
  <c r="E1324" i="16"/>
  <c r="A1325" i="16"/>
  <c r="B1325" i="16" s="1"/>
  <c r="C1325" i="16"/>
  <c r="A1326" i="16"/>
  <c r="B1326" i="16" s="1"/>
  <c r="C1326" i="16"/>
  <c r="E1326" i="16"/>
  <c r="A1327" i="16"/>
  <c r="D1327" i="16"/>
  <c r="E1327" i="16"/>
  <c r="A1328" i="16"/>
  <c r="A1329" i="16"/>
  <c r="D1329" i="16" s="1"/>
  <c r="B1329" i="16"/>
  <c r="C1329" i="16"/>
  <c r="A1330" i="16"/>
  <c r="C1330" i="16"/>
  <c r="A1331" i="16"/>
  <c r="A1332" i="16"/>
  <c r="D1332" i="16" s="1"/>
  <c r="E1332" i="16"/>
  <c r="A1333" i="16"/>
  <c r="B1333" i="16" s="1"/>
  <c r="C1333" i="16"/>
  <c r="D1333" i="16"/>
  <c r="E1333" i="16"/>
  <c r="A1334" i="16"/>
  <c r="B1334" i="16" s="1"/>
  <c r="C1334" i="16"/>
  <c r="E1334" i="16"/>
  <c r="A1335" i="16"/>
  <c r="A1336" i="16"/>
  <c r="A1337" i="16"/>
  <c r="A1338" i="16"/>
  <c r="A1339" i="16"/>
  <c r="B1339" i="16"/>
  <c r="D1339" i="16"/>
  <c r="A1340" i="16"/>
  <c r="D1340" i="16" s="1"/>
  <c r="E1340" i="16"/>
  <c r="A1341" i="16"/>
  <c r="B1341" i="16" s="1"/>
  <c r="C1341" i="16"/>
  <c r="A1342" i="16"/>
  <c r="B1342" i="16" s="1"/>
  <c r="C1342" i="16"/>
  <c r="E1342" i="16"/>
  <c r="A1343" i="16"/>
  <c r="D1343" i="16"/>
  <c r="E1343" i="16"/>
  <c r="A1344" i="16"/>
  <c r="A1345" i="16"/>
  <c r="D1345" i="16" s="1"/>
  <c r="B1345" i="16"/>
  <c r="C1345" i="16"/>
  <c r="A1346" i="16"/>
  <c r="C1346" i="16"/>
  <c r="A1347" i="16"/>
  <c r="A1348" i="16"/>
  <c r="D1348" i="16" s="1"/>
  <c r="E1348" i="16"/>
  <c r="A1349" i="16"/>
  <c r="B1349" i="16" s="1"/>
  <c r="C1349" i="16"/>
  <c r="D1349" i="16"/>
  <c r="E1349" i="16"/>
  <c r="A1350" i="16"/>
  <c r="B1350" i="16" s="1"/>
  <c r="C1350" i="16"/>
  <c r="E1350" i="16"/>
  <c r="A1351" i="16"/>
  <c r="A1352" i="16"/>
  <c r="A1353" i="16"/>
  <c r="A1354" i="16"/>
  <c r="A1355" i="16"/>
  <c r="B1355" i="16"/>
  <c r="D1355" i="16"/>
  <c r="A1356" i="16"/>
  <c r="D1356" i="16" s="1"/>
  <c r="E1356" i="16"/>
  <c r="A1357" i="16"/>
  <c r="B1357" i="16" s="1"/>
  <c r="C1357" i="16"/>
  <c r="A1358" i="16"/>
  <c r="B1358" i="16" s="1"/>
  <c r="C1358" i="16"/>
  <c r="E1358" i="16"/>
  <c r="A1359" i="16"/>
  <c r="D1359" i="16"/>
  <c r="E1359" i="16"/>
  <c r="A1360" i="16"/>
  <c r="A1361" i="16"/>
  <c r="D1361" i="16" s="1"/>
  <c r="B1361" i="16"/>
  <c r="C1361" i="16"/>
  <c r="A1362" i="16"/>
  <c r="C1362" i="16"/>
  <c r="A1363" i="16"/>
  <c r="A1364" i="16"/>
  <c r="D1364" i="16" s="1"/>
  <c r="E1364" i="16"/>
  <c r="A1365" i="16"/>
  <c r="B1365" i="16" s="1"/>
  <c r="C1365" i="16"/>
  <c r="D1365" i="16"/>
  <c r="E1365" i="16"/>
  <c r="A1366" i="16"/>
  <c r="B1366" i="16" s="1"/>
  <c r="C1366" i="16"/>
  <c r="E1366" i="16"/>
  <c r="A1367" i="16"/>
  <c r="A1368" i="16"/>
  <c r="A1369" i="16"/>
  <c r="A1370" i="16"/>
  <c r="A1371" i="16"/>
  <c r="B1371" i="16"/>
  <c r="D1371" i="16"/>
  <c r="A1372" i="16"/>
  <c r="D1372" i="16" s="1"/>
  <c r="E1372" i="16"/>
  <c r="A1373" i="16"/>
  <c r="B1373" i="16" s="1"/>
  <c r="C1373" i="16"/>
  <c r="A1374" i="16"/>
  <c r="B1374" i="16" s="1"/>
  <c r="C1374" i="16"/>
  <c r="E1374" i="16"/>
  <c r="A1375" i="16"/>
  <c r="D1375" i="16"/>
  <c r="E1375" i="16"/>
  <c r="A1376" i="16"/>
  <c r="A1377" i="16"/>
  <c r="D1377" i="16" s="1"/>
  <c r="B1377" i="16"/>
  <c r="C1377" i="16"/>
  <c r="A1378" i="16"/>
  <c r="C1378" i="16"/>
  <c r="A1379" i="16"/>
  <c r="A1380" i="16"/>
  <c r="D1380" i="16" s="1"/>
  <c r="E1380" i="16"/>
  <c r="A1381" i="16"/>
  <c r="B1381" i="16" s="1"/>
  <c r="C1381" i="16"/>
  <c r="D1381" i="16"/>
  <c r="E1381" i="16"/>
  <c r="A1382" i="16"/>
  <c r="B1382" i="16" s="1"/>
  <c r="C1382" i="16"/>
  <c r="E1382" i="16"/>
  <c r="A1383" i="16"/>
  <c r="A1384" i="16"/>
  <c r="A1385" i="16"/>
  <c r="D1385" i="16" s="1"/>
  <c r="B1385" i="16"/>
  <c r="C1385" i="16"/>
  <c r="E1385" i="16"/>
  <c r="A1386" i="16"/>
  <c r="B1386" i="16" s="1"/>
  <c r="C1386" i="16"/>
  <c r="A1387" i="16"/>
  <c r="C1387" i="16" s="1"/>
  <c r="B1387" i="16"/>
  <c r="D1387" i="16"/>
  <c r="A1388" i="16"/>
  <c r="D1388" i="16" s="1"/>
  <c r="E1388" i="16"/>
  <c r="A1389" i="16"/>
  <c r="E1389" i="16"/>
  <c r="A1390" i="16"/>
  <c r="B1390" i="16" s="1"/>
  <c r="C1390" i="16"/>
  <c r="E1390" i="16"/>
  <c r="A1391" i="16"/>
  <c r="A1392" i="16"/>
  <c r="D1392" i="16" s="1"/>
  <c r="A1393" i="16"/>
  <c r="B1393" i="16"/>
  <c r="C1393" i="16"/>
  <c r="D1393" i="16"/>
  <c r="E1393" i="16"/>
  <c r="A1394" i="16"/>
  <c r="B1394" i="16" s="1"/>
  <c r="C1394" i="16"/>
  <c r="E1394" i="16"/>
  <c r="A1395" i="16"/>
  <c r="C1395" i="16" s="1"/>
  <c r="B1395" i="16"/>
  <c r="D1395" i="16"/>
  <c r="E1395" i="16"/>
  <c r="A1396" i="16"/>
  <c r="D1396" i="16" s="1"/>
  <c r="E1396" i="16"/>
  <c r="A1397" i="16"/>
  <c r="C1397" i="16" s="1"/>
  <c r="B1397" i="16"/>
  <c r="E1397" i="16"/>
  <c r="A1398" i="16"/>
  <c r="A1399" i="16"/>
  <c r="C1399" i="16" s="1"/>
  <c r="B1399" i="16"/>
  <c r="A1400" i="16"/>
  <c r="D1400" i="16" s="1"/>
  <c r="A1401" i="16"/>
  <c r="E1401" i="16"/>
  <c r="A1402" i="16"/>
  <c r="B1402" i="16" s="1"/>
  <c r="C1402" i="16"/>
  <c r="E1402" i="16"/>
  <c r="A1403" i="16"/>
  <c r="A1404" i="16"/>
  <c r="D1404" i="16" s="1"/>
  <c r="A1405" i="16"/>
  <c r="B1405" i="16"/>
  <c r="C1405" i="16"/>
  <c r="D1405" i="16"/>
  <c r="E1405" i="16"/>
  <c r="A1406" i="16"/>
  <c r="B1406" i="16" s="1"/>
  <c r="C1406" i="16"/>
  <c r="E1406" i="16"/>
  <c r="A1407" i="16"/>
  <c r="C1407" i="16" s="1"/>
  <c r="B1407" i="16"/>
  <c r="D1407" i="16"/>
  <c r="E1407" i="16"/>
  <c r="A1408" i="16"/>
  <c r="D1408" i="16" s="1"/>
  <c r="A1409" i="16"/>
  <c r="D1409" i="16" s="1"/>
  <c r="B1409" i="16"/>
  <c r="C1409" i="16"/>
  <c r="E1409" i="16"/>
  <c r="A1410" i="16"/>
  <c r="B1410" i="16" s="1"/>
  <c r="C1410" i="16"/>
  <c r="A1411" i="16"/>
  <c r="C1411" i="16" s="1"/>
  <c r="B1411" i="16"/>
  <c r="D1411" i="16"/>
  <c r="A1412" i="16"/>
  <c r="D1412" i="16" s="1"/>
  <c r="A1413" i="16"/>
  <c r="C1413" i="16" s="1"/>
  <c r="B1413" i="16"/>
  <c r="E1413" i="16"/>
  <c r="A1414" i="16"/>
  <c r="A1415" i="16"/>
  <c r="C1415" i="16" s="1"/>
  <c r="B1415" i="16"/>
  <c r="A1416" i="16"/>
  <c r="D1416" i="16" s="1"/>
  <c r="A1417" i="16"/>
  <c r="A1418" i="16"/>
  <c r="B1418" i="16" s="1"/>
  <c r="C1418" i="16"/>
  <c r="E1418" i="16"/>
  <c r="A1419" i="16"/>
  <c r="A1420" i="16"/>
  <c r="A1421" i="16"/>
  <c r="D1421" i="16" s="1"/>
  <c r="B1421" i="16"/>
  <c r="C1421" i="16"/>
  <c r="E1421" i="16"/>
  <c r="A1422" i="16"/>
  <c r="B1422" i="16" s="1"/>
  <c r="C1422" i="16"/>
  <c r="A1423" i="16"/>
  <c r="C1423" i="16" s="1"/>
  <c r="B1423" i="16"/>
  <c r="D1423" i="16"/>
  <c r="A1424" i="16"/>
  <c r="D1424" i="16" s="1"/>
  <c r="A1425" i="16"/>
  <c r="C1425" i="16" s="1"/>
  <c r="B1425" i="16"/>
  <c r="E1425" i="16"/>
  <c r="A1426" i="16"/>
  <c r="A1427" i="16"/>
  <c r="C1427" i="16" s="1"/>
  <c r="B1427" i="16"/>
  <c r="A1428" i="16"/>
  <c r="D1428" i="16" s="1"/>
  <c r="E1428" i="16"/>
  <c r="A1429" i="16"/>
  <c r="B1429" i="16"/>
  <c r="C1429" i="16"/>
  <c r="D1429" i="16"/>
  <c r="E1429" i="16"/>
  <c r="A1430" i="16"/>
  <c r="B1430" i="16" s="1"/>
  <c r="C1430" i="16"/>
  <c r="E1430" i="16"/>
  <c r="A1431" i="16"/>
  <c r="C1431" i="16" s="1"/>
  <c r="B1431" i="16"/>
  <c r="D1431" i="16"/>
  <c r="E1431" i="16"/>
  <c r="A1432" i="16"/>
  <c r="D1432" i="16" s="1"/>
  <c r="A1433" i="16"/>
  <c r="D1433" i="16" s="1"/>
  <c r="B1433" i="16"/>
  <c r="C1433" i="16"/>
  <c r="E1433" i="16"/>
  <c r="A1434" i="16"/>
  <c r="B1434" i="16" s="1"/>
  <c r="C1434" i="16"/>
  <c r="A1435" i="16"/>
  <c r="C1435" i="16" s="1"/>
  <c r="B1435" i="16"/>
  <c r="D1435" i="16"/>
  <c r="A1436" i="16"/>
  <c r="D1436" i="16" s="1"/>
  <c r="E1436" i="16"/>
  <c r="A1437" i="16"/>
  <c r="E1437" i="16" s="1"/>
  <c r="A1438" i="16"/>
  <c r="B1438" i="16" s="1"/>
  <c r="C1438" i="16"/>
  <c r="E1438" i="16"/>
  <c r="A1439" i="16"/>
  <c r="A1440" i="16"/>
  <c r="D1440" i="16" s="1"/>
  <c r="A1441" i="16"/>
  <c r="B1441" i="16"/>
  <c r="C1441" i="16"/>
  <c r="D1441" i="16"/>
  <c r="E1441" i="16"/>
  <c r="A1442" i="16"/>
  <c r="B1442" i="16" s="1"/>
  <c r="C1442" i="16"/>
  <c r="E1442" i="16"/>
  <c r="A1443" i="16"/>
  <c r="C1443" i="16" s="1"/>
  <c r="B1443" i="16"/>
  <c r="D1443" i="16"/>
  <c r="E1443" i="16"/>
  <c r="A1444" i="16"/>
  <c r="D1444" i="16" s="1"/>
  <c r="A1445" i="16"/>
  <c r="D1445" i="16" s="1"/>
  <c r="B1445" i="16"/>
  <c r="C1445" i="16"/>
  <c r="E1445" i="16"/>
  <c r="A1446" i="16"/>
  <c r="B1446" i="16" s="1"/>
  <c r="C1446" i="16"/>
  <c r="A1447" i="16"/>
  <c r="C1447" i="16" s="1"/>
  <c r="B1447" i="16"/>
  <c r="D1447" i="16"/>
  <c r="A1448" i="16"/>
  <c r="D1448" i="16" s="1"/>
  <c r="E1448" i="16"/>
  <c r="A1449" i="16"/>
  <c r="A1450" i="16"/>
  <c r="B1450" i="16" s="1"/>
  <c r="C1450" i="16"/>
  <c r="E1450" i="16"/>
  <c r="A1451" i="16"/>
  <c r="A1452" i="16"/>
  <c r="D1452" i="16" s="1"/>
  <c r="A1453" i="16"/>
  <c r="B1453" i="16"/>
  <c r="C1453" i="16"/>
  <c r="D1453" i="16"/>
  <c r="E1453" i="16"/>
  <c r="A1454" i="16"/>
  <c r="B1454" i="16" s="1"/>
  <c r="C1454" i="16"/>
  <c r="E1454" i="16"/>
  <c r="A1455" i="16"/>
  <c r="C1455" i="16" s="1"/>
  <c r="B1455" i="16"/>
  <c r="D1455" i="16"/>
  <c r="E1455" i="16"/>
  <c r="A1456" i="16"/>
  <c r="D1456" i="16" s="1"/>
  <c r="A1457" i="16"/>
  <c r="D1457" i="16" s="1"/>
  <c r="B1457" i="16"/>
  <c r="C1457" i="16"/>
  <c r="E1457" i="16"/>
  <c r="A1458" i="16"/>
  <c r="B1458" i="16" s="1"/>
  <c r="C1458" i="16"/>
  <c r="A1459" i="16"/>
  <c r="C1459" i="16" s="1"/>
  <c r="B1459" i="16"/>
  <c r="D1459" i="16"/>
  <c r="A1460" i="16"/>
  <c r="D1460" i="16" s="1"/>
  <c r="E1460" i="16"/>
  <c r="A1461" i="16"/>
  <c r="E1461" i="16"/>
  <c r="A1462" i="16"/>
  <c r="B1462" i="16" s="1"/>
  <c r="C1462" i="16"/>
  <c r="E1462" i="16"/>
  <c r="A1463" i="16"/>
  <c r="A1464" i="16"/>
  <c r="A1465" i="16"/>
  <c r="D1465" i="16" s="1"/>
  <c r="B1465" i="16"/>
  <c r="C1465" i="16"/>
  <c r="E1465" i="16"/>
  <c r="A1466" i="16"/>
  <c r="B1466" i="16" s="1"/>
  <c r="C1466" i="16"/>
  <c r="A1467" i="16"/>
  <c r="C1467" i="16" s="1"/>
  <c r="B1467" i="16"/>
  <c r="D1467" i="16"/>
  <c r="A1468" i="16"/>
  <c r="D1468" i="16" s="1"/>
  <c r="E1468" i="16"/>
  <c r="A1469" i="16"/>
  <c r="E1469" i="16" s="1"/>
  <c r="A1470" i="16"/>
  <c r="B1470" i="16" s="1"/>
  <c r="C1470" i="16"/>
  <c r="E1470" i="16"/>
  <c r="A1471" i="16"/>
  <c r="A1472" i="16"/>
  <c r="D1472" i="16" s="1"/>
  <c r="A1473" i="16"/>
  <c r="B1473" i="16"/>
  <c r="C1473" i="16"/>
  <c r="D1473" i="16"/>
  <c r="E1473" i="16"/>
  <c r="A1474" i="16"/>
  <c r="B1474" i="16" s="1"/>
  <c r="C1474" i="16"/>
  <c r="E1474" i="16"/>
  <c r="A1475" i="16"/>
  <c r="C1475" i="16" s="1"/>
  <c r="B1475" i="16"/>
  <c r="D1475" i="16"/>
  <c r="E1475" i="16"/>
  <c r="A1476" i="16"/>
  <c r="D1476" i="16" s="1"/>
  <c r="E1476" i="16"/>
  <c r="A1477" i="16"/>
  <c r="C1477" i="16" s="1"/>
  <c r="B1477" i="16"/>
  <c r="E1477" i="16"/>
  <c r="A1478" i="16"/>
  <c r="A1479" i="16"/>
  <c r="C1479" i="16" s="1"/>
  <c r="B1479" i="16"/>
  <c r="A1480" i="16"/>
  <c r="D1480" i="16" s="1"/>
  <c r="A1481" i="16"/>
  <c r="E1481" i="16"/>
  <c r="A1482" i="16"/>
  <c r="B1482" i="16" s="1"/>
  <c r="C1482" i="16"/>
  <c r="E1482" i="16"/>
  <c r="A1483" i="16"/>
  <c r="A1484" i="16"/>
  <c r="A1485" i="16"/>
  <c r="D1485" i="16" s="1"/>
  <c r="B1485" i="16"/>
  <c r="C1485" i="16"/>
  <c r="E1485" i="16"/>
  <c r="A1486" i="16"/>
  <c r="B1486" i="16" s="1"/>
  <c r="C1486" i="16"/>
  <c r="A1487" i="16"/>
  <c r="C1487" i="16" s="1"/>
  <c r="B1487" i="16"/>
  <c r="D1487" i="16"/>
  <c r="A1488" i="16"/>
  <c r="D1488" i="16" s="1"/>
  <c r="A1489" i="16"/>
  <c r="C1489" i="16" s="1"/>
  <c r="B1489" i="16"/>
  <c r="E1489" i="16"/>
  <c r="A1490" i="16"/>
  <c r="A1491" i="16"/>
  <c r="C1491" i="16" s="1"/>
  <c r="B1491" i="16"/>
  <c r="A1492" i="16"/>
  <c r="D1492" i="16" s="1"/>
  <c r="E1492" i="16"/>
  <c r="A1493" i="16"/>
  <c r="B1493" i="16"/>
  <c r="C1493" i="16"/>
  <c r="D1493" i="16"/>
  <c r="E1493" i="16"/>
  <c r="A1494" i="16"/>
  <c r="B1494" i="16" s="1"/>
  <c r="C1494" i="16"/>
  <c r="E1494" i="16"/>
  <c r="A1495" i="16"/>
  <c r="C1495" i="16" s="1"/>
  <c r="B1495" i="16"/>
  <c r="D1495" i="16"/>
  <c r="E1495" i="16"/>
  <c r="A1496" i="16"/>
  <c r="D1496" i="16" s="1"/>
  <c r="A1497" i="16"/>
  <c r="D1497" i="16" s="1"/>
  <c r="B1497" i="16"/>
  <c r="C1497" i="16"/>
  <c r="E1497" i="16"/>
  <c r="A1498" i="16"/>
  <c r="B1498" i="16" s="1"/>
  <c r="C1498" i="16"/>
  <c r="A1499" i="16"/>
  <c r="C1499" i="16" s="1"/>
  <c r="B1499" i="16"/>
  <c r="D1499" i="16"/>
  <c r="A1500" i="16"/>
  <c r="D1500" i="16" s="1"/>
  <c r="E1500" i="16"/>
  <c r="A135" i="14"/>
  <c r="F135" i="14"/>
  <c r="A136" i="14"/>
  <c r="A137" i="14"/>
  <c r="E137" i="14"/>
  <c r="I137" i="14"/>
  <c r="A138" i="14"/>
  <c r="D138" i="14" s="1"/>
  <c r="C138" i="14"/>
  <c r="I138" i="14"/>
  <c r="K138" i="14"/>
  <c r="A139" i="14"/>
  <c r="C139" i="14" s="1"/>
  <c r="D139" i="14"/>
  <c r="E139" i="14"/>
  <c r="F139" i="14"/>
  <c r="I139" i="14"/>
  <c r="J139" i="14"/>
  <c r="A140" i="14"/>
  <c r="C140" i="14" s="1"/>
  <c r="I140" i="14"/>
  <c r="A141" i="14"/>
  <c r="A142" i="14"/>
  <c r="D142" i="14" s="1"/>
  <c r="C142" i="14"/>
  <c r="I142" i="14"/>
  <c r="K142" i="14"/>
  <c r="A143" i="14"/>
  <c r="C143" i="14" s="1"/>
  <c r="D143" i="14"/>
  <c r="E143" i="14"/>
  <c r="F143" i="14"/>
  <c r="I143" i="14"/>
  <c r="J143" i="14"/>
  <c r="A144" i="14"/>
  <c r="C144" i="14" s="1"/>
  <c r="I144" i="14"/>
  <c r="A145" i="14"/>
  <c r="E145" i="14"/>
  <c r="A146" i="14"/>
  <c r="D146" i="14" s="1"/>
  <c r="C146" i="14"/>
  <c r="I146" i="14"/>
  <c r="K146" i="14"/>
  <c r="A147" i="14"/>
  <c r="C147" i="14" s="1"/>
  <c r="D147" i="14"/>
  <c r="E147" i="14"/>
  <c r="F147" i="14"/>
  <c r="I147" i="14"/>
  <c r="J147" i="14"/>
  <c r="A148" i="14"/>
  <c r="C148" i="14" s="1"/>
  <c r="I148" i="14"/>
  <c r="A149" i="14"/>
  <c r="E149" i="14"/>
  <c r="I149" i="14"/>
  <c r="A150" i="14"/>
  <c r="D150" i="14" s="1"/>
  <c r="C150" i="14"/>
  <c r="I150" i="14"/>
  <c r="K150" i="14"/>
  <c r="A151" i="14"/>
  <c r="C151" i="14" s="1"/>
  <c r="D151" i="14"/>
  <c r="E151" i="14"/>
  <c r="F151" i="14"/>
  <c r="I151" i="14"/>
  <c r="J151" i="14"/>
  <c r="A152" i="14"/>
  <c r="C152" i="14" s="1"/>
  <c r="I152" i="14"/>
  <c r="A153" i="14"/>
  <c r="E153" i="14"/>
  <c r="I153" i="14"/>
  <c r="A154" i="14"/>
  <c r="D154" i="14" s="1"/>
  <c r="C154" i="14"/>
  <c r="I154" i="14"/>
  <c r="K154" i="14"/>
  <c r="A155" i="14"/>
  <c r="C155" i="14" s="1"/>
  <c r="D155" i="14"/>
  <c r="E155" i="14"/>
  <c r="F155" i="14"/>
  <c r="I155" i="14"/>
  <c r="J155" i="14"/>
  <c r="A156" i="14"/>
  <c r="C156" i="14" s="1"/>
  <c r="I156" i="14"/>
  <c r="A157" i="14"/>
  <c r="A158" i="14"/>
  <c r="D158" i="14" s="1"/>
  <c r="C158" i="14"/>
  <c r="I158" i="14"/>
  <c r="K158" i="14"/>
  <c r="A159" i="14"/>
  <c r="C159" i="14" s="1"/>
  <c r="D159" i="14"/>
  <c r="E159" i="14"/>
  <c r="F159" i="14"/>
  <c r="I159" i="14"/>
  <c r="J159" i="14"/>
  <c r="A160" i="14"/>
  <c r="C160" i="14" s="1"/>
  <c r="I160" i="14"/>
  <c r="A161" i="14"/>
  <c r="E161" i="14"/>
  <c r="A162" i="14"/>
  <c r="D162" i="14" s="1"/>
  <c r="C162" i="14"/>
  <c r="I162" i="14"/>
  <c r="K162" i="14"/>
  <c r="A163" i="14"/>
  <c r="C163" i="14" s="1"/>
  <c r="D163" i="14"/>
  <c r="E163" i="14"/>
  <c r="F163" i="14"/>
  <c r="I163" i="14"/>
  <c r="J163" i="14"/>
  <c r="A164" i="14"/>
  <c r="C164" i="14" s="1"/>
  <c r="I164" i="14"/>
  <c r="A165" i="14"/>
  <c r="E165" i="14"/>
  <c r="I165" i="14"/>
  <c r="A166" i="14"/>
  <c r="D166" i="14" s="1"/>
  <c r="C166" i="14"/>
  <c r="I166" i="14"/>
  <c r="K166" i="14"/>
  <c r="A167" i="14"/>
  <c r="C167" i="14" s="1"/>
  <c r="D167" i="14"/>
  <c r="E167" i="14"/>
  <c r="F167" i="14"/>
  <c r="I167" i="14"/>
  <c r="J167" i="14"/>
  <c r="A168" i="14"/>
  <c r="C168" i="14" s="1"/>
  <c r="I168" i="14"/>
  <c r="A169" i="14"/>
  <c r="E169" i="14"/>
  <c r="I169" i="14"/>
  <c r="A170" i="14"/>
  <c r="D170" i="14" s="1"/>
  <c r="C170" i="14"/>
  <c r="I170" i="14"/>
  <c r="K170" i="14"/>
  <c r="A171" i="14"/>
  <c r="C171" i="14" s="1"/>
  <c r="D171" i="14"/>
  <c r="E171" i="14"/>
  <c r="F171" i="14"/>
  <c r="I171" i="14"/>
  <c r="J171" i="14"/>
  <c r="A172" i="14"/>
  <c r="C172" i="14" s="1"/>
  <c r="I172" i="14"/>
  <c r="A173" i="14"/>
  <c r="A174" i="14"/>
  <c r="D174" i="14" s="1"/>
  <c r="C174" i="14"/>
  <c r="I174" i="14"/>
  <c r="K174" i="14"/>
  <c r="A175" i="14"/>
  <c r="C175" i="14" s="1"/>
  <c r="D175" i="14"/>
  <c r="E175" i="14"/>
  <c r="F175" i="14"/>
  <c r="I175" i="14"/>
  <c r="J175" i="14"/>
  <c r="A176" i="14"/>
  <c r="C176" i="14" s="1"/>
  <c r="I176" i="14"/>
  <c r="A177" i="14"/>
  <c r="E177" i="14"/>
  <c r="A178" i="14"/>
  <c r="D178" i="14" s="1"/>
  <c r="C178" i="14"/>
  <c r="I178" i="14"/>
  <c r="K178" i="14"/>
  <c r="A179" i="14"/>
  <c r="C179" i="14" s="1"/>
  <c r="D179" i="14"/>
  <c r="E179" i="14"/>
  <c r="F179" i="14"/>
  <c r="I179" i="14"/>
  <c r="J179" i="14"/>
  <c r="A180" i="14"/>
  <c r="C180" i="14" s="1"/>
  <c r="I180" i="14"/>
  <c r="A181" i="14"/>
  <c r="E181" i="14"/>
  <c r="I181" i="14"/>
  <c r="A182" i="14"/>
  <c r="D182" i="14" s="1"/>
  <c r="C182" i="14"/>
  <c r="I182" i="14"/>
  <c r="K182" i="14"/>
  <c r="A183" i="14"/>
  <c r="C183" i="14" s="1"/>
  <c r="D183" i="14"/>
  <c r="E183" i="14"/>
  <c r="F183" i="14"/>
  <c r="I183" i="14"/>
  <c r="J183" i="14"/>
  <c r="A184" i="14"/>
  <c r="C184" i="14" s="1"/>
  <c r="I184" i="14"/>
  <c r="A185" i="14"/>
  <c r="E185" i="14"/>
  <c r="I185" i="14"/>
  <c r="A186" i="14"/>
  <c r="D186" i="14" s="1"/>
  <c r="C186" i="14"/>
  <c r="I186" i="14"/>
  <c r="K186" i="14"/>
  <c r="A187" i="14"/>
  <c r="C187" i="14" s="1"/>
  <c r="D187" i="14"/>
  <c r="E187" i="14"/>
  <c r="F187" i="14"/>
  <c r="I187" i="14"/>
  <c r="J187" i="14"/>
  <c r="A188" i="14"/>
  <c r="C188" i="14" s="1"/>
  <c r="I188" i="14"/>
  <c r="A189" i="14"/>
  <c r="I189" i="14"/>
  <c r="A190" i="14"/>
  <c r="C190" i="14"/>
  <c r="I190" i="14"/>
  <c r="K190" i="14"/>
  <c r="A191" i="14"/>
  <c r="C191" i="14" s="1"/>
  <c r="D191" i="14"/>
  <c r="E191" i="14"/>
  <c r="F191" i="14"/>
  <c r="I191" i="14"/>
  <c r="J191" i="14"/>
  <c r="A192" i="14"/>
  <c r="A193" i="14"/>
  <c r="B193" i="14"/>
  <c r="C193" i="14"/>
  <c r="D193" i="14"/>
  <c r="E193" i="14"/>
  <c r="F193" i="14"/>
  <c r="G193" i="14"/>
  <c r="H193" i="14"/>
  <c r="I193" i="14"/>
  <c r="J193" i="14"/>
  <c r="K193" i="14"/>
  <c r="A194" i="14"/>
  <c r="D194" i="14" s="1"/>
  <c r="E194" i="14"/>
  <c r="G194" i="14"/>
  <c r="I194" i="14"/>
  <c r="A195" i="14"/>
  <c r="B195" i="14"/>
  <c r="F195" i="14"/>
  <c r="H195" i="14"/>
  <c r="A196" i="14"/>
  <c r="A197" i="14"/>
  <c r="I197" i="14"/>
  <c r="A198" i="14"/>
  <c r="C198" i="14" s="1"/>
  <c r="K198" i="14"/>
  <c r="A199" i="14"/>
  <c r="C199" i="14" s="1"/>
  <c r="D199" i="14"/>
  <c r="E199" i="14"/>
  <c r="F199" i="14"/>
  <c r="I199" i="14"/>
  <c r="J199" i="14"/>
  <c r="A200" i="14"/>
  <c r="A201" i="14"/>
  <c r="B201" i="14"/>
  <c r="C201" i="14"/>
  <c r="D201" i="14"/>
  <c r="E201" i="14"/>
  <c r="F201" i="14"/>
  <c r="G201" i="14"/>
  <c r="H201" i="14"/>
  <c r="I201" i="14"/>
  <c r="J201" i="14"/>
  <c r="K201" i="14"/>
  <c r="A202" i="14"/>
  <c r="D202" i="14" s="1"/>
  <c r="E202" i="14"/>
  <c r="G202" i="14"/>
  <c r="I202" i="14"/>
  <c r="A203" i="14"/>
  <c r="B203" i="14"/>
  <c r="F203" i="14"/>
  <c r="H203" i="14"/>
  <c r="A204" i="14"/>
  <c r="G204" i="14" s="1"/>
  <c r="I204" i="14"/>
  <c r="A205" i="14"/>
  <c r="B205" i="14" s="1"/>
  <c r="C205" i="14"/>
  <c r="D205" i="14"/>
  <c r="E205" i="14"/>
  <c r="G205" i="14"/>
  <c r="H205" i="14"/>
  <c r="I205" i="14"/>
  <c r="K205" i="14"/>
  <c r="A206" i="14"/>
  <c r="I206" i="14" s="1"/>
  <c r="A207" i="14"/>
  <c r="C207" i="14" s="1"/>
  <c r="D207" i="14"/>
  <c r="E207" i="14"/>
  <c r="F207" i="14"/>
  <c r="I207" i="14"/>
  <c r="J207" i="14"/>
  <c r="A208" i="14"/>
  <c r="C208" i="14" s="1"/>
  <c r="E208" i="14"/>
  <c r="G208" i="14"/>
  <c r="I208" i="14"/>
  <c r="A209" i="14"/>
  <c r="B209" i="14" s="1"/>
  <c r="E209" i="14"/>
  <c r="F209" i="14"/>
  <c r="I209" i="14"/>
  <c r="A210" i="14"/>
  <c r="G210" i="14" s="1"/>
  <c r="I210" i="14"/>
  <c r="A211" i="14"/>
  <c r="E211" i="14" s="1"/>
  <c r="F211" i="14"/>
  <c r="A212" i="14"/>
  <c r="A213" i="14"/>
  <c r="B213" i="14"/>
  <c r="E213" i="14"/>
  <c r="F213" i="14"/>
  <c r="I213" i="14"/>
  <c r="J213" i="14"/>
  <c r="A214" i="14"/>
  <c r="C214" i="14"/>
  <c r="E214" i="14"/>
  <c r="G214" i="14"/>
  <c r="I214" i="14"/>
  <c r="K214" i="14"/>
  <c r="A215" i="14"/>
  <c r="E215" i="14"/>
  <c r="F215" i="14"/>
  <c r="J215" i="14"/>
  <c r="A216" i="14"/>
  <c r="I216" i="14"/>
  <c r="K216" i="14"/>
  <c r="A217" i="14"/>
  <c r="B217" i="14" s="1"/>
  <c r="C217" i="14"/>
  <c r="D217" i="14"/>
  <c r="E217" i="14"/>
  <c r="G217" i="14"/>
  <c r="H217" i="14"/>
  <c r="I217" i="14"/>
  <c r="K217" i="14"/>
  <c r="A218" i="14"/>
  <c r="A219" i="14"/>
  <c r="B219" i="14"/>
  <c r="F219" i="14"/>
  <c r="H219" i="14"/>
  <c r="A220" i="14"/>
  <c r="G220" i="14" s="1"/>
  <c r="I220" i="14"/>
  <c r="A221" i="14"/>
  <c r="B221" i="14" s="1"/>
  <c r="C221" i="14"/>
  <c r="D221" i="14"/>
  <c r="E221" i="14"/>
  <c r="G221" i="14"/>
  <c r="H221" i="14"/>
  <c r="I221" i="14"/>
  <c r="K221" i="14"/>
  <c r="A222" i="14"/>
  <c r="K222" i="14" s="1"/>
  <c r="I222" i="14"/>
  <c r="A223" i="14"/>
  <c r="C223" i="14" s="1"/>
  <c r="D223" i="14"/>
  <c r="E223" i="14"/>
  <c r="F223" i="14"/>
  <c r="I223" i="14"/>
  <c r="J223" i="14"/>
  <c r="A224" i="14"/>
  <c r="C224" i="14" s="1"/>
  <c r="E224" i="14"/>
  <c r="G224" i="14"/>
  <c r="I224" i="14"/>
  <c r="A225" i="14"/>
  <c r="B225" i="14" s="1"/>
  <c r="E225" i="14"/>
  <c r="I225" i="14"/>
  <c r="A226" i="14"/>
  <c r="G226" i="14" s="1"/>
  <c r="I226" i="14"/>
  <c r="A227" i="14"/>
  <c r="E227" i="14" s="1"/>
  <c r="F227" i="14"/>
  <c r="A228" i="14"/>
  <c r="A229" i="14"/>
  <c r="B229" i="14"/>
  <c r="E229" i="14"/>
  <c r="F229" i="14"/>
  <c r="I229" i="14"/>
  <c r="J229" i="14"/>
  <c r="A230" i="14"/>
  <c r="C230" i="14"/>
  <c r="E230" i="14"/>
  <c r="G230" i="14"/>
  <c r="I230" i="14"/>
  <c r="K230" i="14"/>
  <c r="A231" i="14"/>
  <c r="B231" i="14"/>
  <c r="E231" i="14"/>
  <c r="F231" i="14"/>
  <c r="H231" i="14"/>
  <c r="J231" i="14"/>
  <c r="A232" i="14"/>
  <c r="I232" i="14" s="1"/>
  <c r="C232" i="14"/>
  <c r="K232" i="14"/>
  <c r="A233" i="14"/>
  <c r="D233" i="14" s="1"/>
  <c r="C233" i="14"/>
  <c r="E233" i="14"/>
  <c r="G233" i="14"/>
  <c r="H233" i="14"/>
  <c r="K233" i="14"/>
  <c r="A234" i="14"/>
  <c r="E234" i="14"/>
  <c r="A235" i="14"/>
  <c r="B235" i="14"/>
  <c r="D235" i="14"/>
  <c r="F235" i="14"/>
  <c r="H235" i="14"/>
  <c r="I235" i="14"/>
  <c r="A236" i="14"/>
  <c r="G236" i="14" s="1"/>
  <c r="I236" i="14"/>
  <c r="A237" i="14"/>
  <c r="C237" i="14"/>
  <c r="D237" i="14"/>
  <c r="E237" i="14"/>
  <c r="G237" i="14"/>
  <c r="H237" i="14"/>
  <c r="I237" i="14"/>
  <c r="K237" i="14"/>
  <c r="A238" i="14"/>
  <c r="C238" i="14"/>
  <c r="I238" i="14"/>
  <c r="K238" i="14"/>
  <c r="A239" i="14"/>
  <c r="D239" i="14"/>
  <c r="E239" i="14"/>
  <c r="F239" i="14"/>
  <c r="I239" i="14"/>
  <c r="J239" i="14"/>
  <c r="A240" i="14"/>
  <c r="E240" i="14" s="1"/>
  <c r="C240" i="14"/>
  <c r="F240" i="14"/>
  <c r="I240" i="14"/>
  <c r="J240" i="14"/>
  <c r="A241" i="14"/>
  <c r="B241" i="14"/>
  <c r="C241" i="14"/>
  <c r="D241" i="14"/>
  <c r="E241" i="14"/>
  <c r="F241" i="14"/>
  <c r="G241" i="14"/>
  <c r="H241" i="14"/>
  <c r="I241" i="14"/>
  <c r="J241" i="14"/>
  <c r="K241" i="14"/>
  <c r="A242" i="14"/>
  <c r="D242" i="14"/>
  <c r="E242" i="14"/>
  <c r="G242" i="14"/>
  <c r="I242" i="14"/>
  <c r="K242" i="14"/>
  <c r="A243" i="14"/>
  <c r="E243" i="14" s="1"/>
  <c r="D243" i="14"/>
  <c r="F243" i="14"/>
  <c r="I243" i="14"/>
  <c r="J243" i="14"/>
  <c r="A244" i="14"/>
  <c r="C244" i="14"/>
  <c r="E244" i="14"/>
  <c r="F244" i="14"/>
  <c r="I244" i="14"/>
  <c r="J244" i="14"/>
  <c r="K244" i="14"/>
  <c r="A245" i="14"/>
  <c r="B245" i="14"/>
  <c r="C245" i="14"/>
  <c r="D245" i="14"/>
  <c r="E245" i="14"/>
  <c r="F245" i="14"/>
  <c r="G245" i="14"/>
  <c r="H245" i="14"/>
  <c r="I245" i="14"/>
  <c r="J245" i="14"/>
  <c r="K245" i="14"/>
  <c r="A246" i="14"/>
  <c r="E246" i="14" s="1"/>
  <c r="D246" i="14"/>
  <c r="G246" i="14"/>
  <c r="I246" i="14"/>
  <c r="K246" i="14"/>
  <c r="A247" i="14"/>
  <c r="D247" i="14"/>
  <c r="E247" i="14"/>
  <c r="F247" i="14"/>
  <c r="I247" i="14"/>
  <c r="J247" i="14"/>
  <c r="A248" i="14"/>
  <c r="E248" i="14" s="1"/>
  <c r="C248" i="14"/>
  <c r="F248" i="14"/>
  <c r="I248" i="14"/>
  <c r="J248" i="14"/>
  <c r="A249" i="14"/>
  <c r="B249" i="14"/>
  <c r="C249" i="14"/>
  <c r="D249" i="14"/>
  <c r="E249" i="14"/>
  <c r="F249" i="14"/>
  <c r="G249" i="14"/>
  <c r="H249" i="14"/>
  <c r="I249" i="14"/>
  <c r="J249" i="14"/>
  <c r="K249" i="14"/>
  <c r="A250" i="14"/>
  <c r="D250" i="14"/>
  <c r="E250" i="14"/>
  <c r="G250" i="14"/>
  <c r="I250" i="14"/>
  <c r="K250" i="14"/>
  <c r="A251" i="14"/>
  <c r="E251" i="14" s="1"/>
  <c r="D251" i="14"/>
  <c r="F251" i="14"/>
  <c r="I251" i="14"/>
  <c r="J251" i="14"/>
  <c r="A252" i="14"/>
  <c r="C252" i="14"/>
  <c r="E252" i="14"/>
  <c r="F252" i="14"/>
  <c r="I252" i="14"/>
  <c r="J252" i="14"/>
  <c r="K252" i="14"/>
  <c r="A253" i="14"/>
  <c r="B253" i="14"/>
  <c r="C253" i="14"/>
  <c r="D253" i="14"/>
  <c r="E253" i="14"/>
  <c r="F253" i="14"/>
  <c r="G253" i="14"/>
  <c r="H253" i="14"/>
  <c r="I253" i="14"/>
  <c r="J253" i="14"/>
  <c r="K253" i="14"/>
  <c r="A254" i="14"/>
  <c r="D254" i="14" s="1"/>
  <c r="G254" i="14"/>
  <c r="I254" i="14"/>
  <c r="A255" i="14"/>
  <c r="D255" i="14"/>
  <c r="E255" i="14"/>
  <c r="F255" i="14"/>
  <c r="I255" i="14"/>
  <c r="J255" i="14"/>
  <c r="A256" i="14"/>
  <c r="C256" i="14" s="1"/>
  <c r="F256" i="14"/>
  <c r="I256" i="14"/>
  <c r="A257" i="14"/>
  <c r="B257" i="14"/>
  <c r="C257" i="14"/>
  <c r="D257" i="14"/>
  <c r="E257" i="14"/>
  <c r="F257" i="14"/>
  <c r="G257" i="14"/>
  <c r="H257" i="14"/>
  <c r="I257" i="14"/>
  <c r="J257" i="14"/>
  <c r="K257" i="14"/>
  <c r="A258" i="14"/>
  <c r="D258" i="14"/>
  <c r="E258" i="14"/>
  <c r="G258" i="14"/>
  <c r="I258" i="14"/>
  <c r="K258" i="14"/>
  <c r="A259" i="14"/>
  <c r="D259" i="14" s="1"/>
  <c r="F259" i="14"/>
  <c r="I259" i="14"/>
  <c r="A260" i="14"/>
  <c r="C260" i="14"/>
  <c r="E260" i="14"/>
  <c r="F260" i="14"/>
  <c r="I260" i="14"/>
  <c r="J260" i="14"/>
  <c r="K260" i="14"/>
  <c r="A261" i="14"/>
  <c r="B261" i="14"/>
  <c r="C261" i="14"/>
  <c r="D261" i="14"/>
  <c r="E261" i="14"/>
  <c r="F261" i="14"/>
  <c r="G261" i="14"/>
  <c r="H261" i="14"/>
  <c r="I261" i="14"/>
  <c r="J261" i="14"/>
  <c r="K261" i="14"/>
  <c r="A262" i="14"/>
  <c r="D262" i="14" s="1"/>
  <c r="G262" i="14"/>
  <c r="I262" i="14"/>
  <c r="A263" i="14"/>
  <c r="D263" i="14"/>
  <c r="E263" i="14"/>
  <c r="F263" i="14"/>
  <c r="I263" i="14"/>
  <c r="J263" i="14"/>
  <c r="A264" i="14"/>
  <c r="C264" i="14" s="1"/>
  <c r="F264" i="14"/>
  <c r="I264" i="14"/>
  <c r="A265" i="14"/>
  <c r="B265" i="14"/>
  <c r="C265" i="14"/>
  <c r="D265" i="14"/>
  <c r="E265" i="14"/>
  <c r="F265" i="14"/>
  <c r="G265" i="14"/>
  <c r="H265" i="14"/>
  <c r="I265" i="14"/>
  <c r="J265" i="14"/>
  <c r="K265" i="14"/>
  <c r="A266" i="14"/>
  <c r="D266" i="14"/>
  <c r="E266" i="14"/>
  <c r="G266" i="14"/>
  <c r="I266" i="14"/>
  <c r="K266" i="14"/>
  <c r="A267" i="14"/>
  <c r="D267" i="14" s="1"/>
  <c r="F267" i="14"/>
  <c r="I267" i="14"/>
  <c r="A268" i="14"/>
  <c r="C268" i="14"/>
  <c r="E268" i="14"/>
  <c r="F268" i="14"/>
  <c r="I268" i="14"/>
  <c r="J268" i="14"/>
  <c r="K268" i="14"/>
  <c r="A269" i="14"/>
  <c r="B269" i="14"/>
  <c r="C269" i="14"/>
  <c r="D269" i="14"/>
  <c r="E269" i="14"/>
  <c r="F269" i="14"/>
  <c r="G269" i="14"/>
  <c r="H269" i="14"/>
  <c r="I269" i="14"/>
  <c r="J269" i="14"/>
  <c r="K269" i="14"/>
  <c r="A270" i="14"/>
  <c r="D270" i="14" s="1"/>
  <c r="G270" i="14"/>
  <c r="I270" i="14"/>
  <c r="A271" i="14"/>
  <c r="D271" i="14"/>
  <c r="E271" i="14"/>
  <c r="F271" i="14"/>
  <c r="I271" i="14"/>
  <c r="J271" i="14"/>
  <c r="A272" i="14"/>
  <c r="C272" i="14" s="1"/>
  <c r="F272" i="14"/>
  <c r="I272" i="14"/>
  <c r="A273" i="14"/>
  <c r="B273" i="14"/>
  <c r="C273" i="14"/>
  <c r="D273" i="14"/>
  <c r="E273" i="14"/>
  <c r="F273" i="14"/>
  <c r="G273" i="14"/>
  <c r="H273" i="14"/>
  <c r="I273" i="14"/>
  <c r="J273" i="14"/>
  <c r="K273" i="14"/>
  <c r="A274" i="14"/>
  <c r="D274" i="14"/>
  <c r="E274" i="14"/>
  <c r="G274" i="14"/>
  <c r="I274" i="14"/>
  <c r="K274" i="14"/>
  <c r="A275" i="14"/>
  <c r="D275" i="14" s="1"/>
  <c r="F275" i="14"/>
  <c r="I275" i="14"/>
  <c r="A276" i="14"/>
  <c r="C276" i="14"/>
  <c r="E276" i="14"/>
  <c r="F276" i="14"/>
  <c r="I276" i="14"/>
  <c r="J276" i="14"/>
  <c r="K276" i="14"/>
  <c r="A277" i="14"/>
  <c r="B277" i="14"/>
  <c r="C277" i="14"/>
  <c r="D277" i="14"/>
  <c r="E277" i="14"/>
  <c r="F277" i="14"/>
  <c r="G277" i="14"/>
  <c r="H277" i="14"/>
  <c r="I277" i="14"/>
  <c r="J277" i="14"/>
  <c r="K277" i="14"/>
  <c r="A278" i="14"/>
  <c r="D278" i="14" s="1"/>
  <c r="G278" i="14"/>
  <c r="I278" i="14"/>
  <c r="A279" i="14"/>
  <c r="D279" i="14"/>
  <c r="E279" i="14"/>
  <c r="F279" i="14"/>
  <c r="I279" i="14"/>
  <c r="J279" i="14"/>
  <c r="A280" i="14"/>
  <c r="C280" i="14" s="1"/>
  <c r="F280" i="14"/>
  <c r="I280" i="14"/>
  <c r="A281" i="14"/>
  <c r="B281" i="14"/>
  <c r="C281" i="14"/>
  <c r="D281" i="14"/>
  <c r="E281" i="14"/>
  <c r="F281" i="14"/>
  <c r="G281" i="14"/>
  <c r="H281" i="14"/>
  <c r="I281" i="14"/>
  <c r="J281" i="14"/>
  <c r="K281" i="14"/>
  <c r="A282" i="14"/>
  <c r="D282" i="14"/>
  <c r="E282" i="14"/>
  <c r="G282" i="14"/>
  <c r="I282" i="14"/>
  <c r="K282" i="14"/>
  <c r="A283" i="14"/>
  <c r="D283" i="14" s="1"/>
  <c r="F283" i="14"/>
  <c r="I283" i="14"/>
  <c r="A284" i="14"/>
  <c r="C284" i="14"/>
  <c r="E284" i="14"/>
  <c r="I284" i="14"/>
  <c r="J284" i="14"/>
  <c r="K284" i="14"/>
  <c r="A285" i="14"/>
  <c r="B285" i="14"/>
  <c r="C285" i="14"/>
  <c r="D285" i="14"/>
  <c r="E285" i="14"/>
  <c r="F285" i="14"/>
  <c r="G285" i="14"/>
  <c r="H285" i="14"/>
  <c r="I285" i="14"/>
  <c r="J285" i="14"/>
  <c r="K285" i="14"/>
  <c r="A286" i="14"/>
  <c r="D286" i="14" s="1"/>
  <c r="G286" i="14"/>
  <c r="I286" i="14"/>
  <c r="A287" i="14"/>
  <c r="D287" i="14"/>
  <c r="E287" i="14"/>
  <c r="I287" i="14"/>
  <c r="J287" i="14"/>
  <c r="A288" i="14"/>
  <c r="C288" i="14" s="1"/>
  <c r="F288" i="14"/>
  <c r="I288" i="14"/>
  <c r="A289" i="14"/>
  <c r="B289" i="14"/>
  <c r="C289" i="14"/>
  <c r="D289" i="14"/>
  <c r="E289" i="14"/>
  <c r="F289" i="14"/>
  <c r="G289" i="14"/>
  <c r="H289" i="14"/>
  <c r="I289" i="14"/>
  <c r="J289" i="14"/>
  <c r="K289" i="14"/>
  <c r="A290" i="14"/>
  <c r="D290" i="14"/>
  <c r="E290" i="14"/>
  <c r="I290" i="14"/>
  <c r="K290" i="14"/>
  <c r="A291" i="14"/>
  <c r="D291" i="14" s="1"/>
  <c r="F291" i="14"/>
  <c r="I291" i="14"/>
  <c r="A292" i="14"/>
  <c r="C292" i="14"/>
  <c r="E292" i="14"/>
  <c r="I292" i="14"/>
  <c r="J292" i="14"/>
  <c r="K292" i="14"/>
  <c r="A293" i="14"/>
  <c r="B293" i="14"/>
  <c r="C293" i="14"/>
  <c r="D293" i="14"/>
  <c r="E293" i="14"/>
  <c r="F293" i="14"/>
  <c r="G293" i="14"/>
  <c r="H293" i="14"/>
  <c r="I293" i="14"/>
  <c r="J293" i="14"/>
  <c r="K293" i="14"/>
  <c r="A294" i="14"/>
  <c r="E294" i="14" s="1"/>
  <c r="I294" i="14"/>
  <c r="A295" i="14"/>
  <c r="F295" i="14" s="1"/>
  <c r="I295" i="14"/>
  <c r="J295" i="14"/>
  <c r="A296" i="14"/>
  <c r="C296" i="14"/>
  <c r="E296" i="14"/>
  <c r="F296" i="14"/>
  <c r="I296" i="14"/>
  <c r="J296" i="14"/>
  <c r="K296" i="14"/>
  <c r="A297" i="14"/>
  <c r="B297" i="14" s="1"/>
  <c r="D297" i="14"/>
  <c r="E297" i="14"/>
  <c r="H297" i="14"/>
  <c r="I297" i="14"/>
  <c r="A298" i="14"/>
  <c r="G298" i="14" s="1"/>
  <c r="A299" i="14"/>
  <c r="F299" i="14" s="1"/>
  <c r="A300" i="14"/>
  <c r="K300" i="14" s="1"/>
  <c r="A301" i="14"/>
  <c r="A302" i="14"/>
  <c r="A303" i="14"/>
  <c r="F303" i="14" s="1"/>
  <c r="A304" i="14"/>
  <c r="K304" i="14" s="1"/>
  <c r="A305" i="14"/>
  <c r="D305" i="14" s="1"/>
  <c r="B305" i="14"/>
  <c r="C305" i="14"/>
  <c r="E305" i="14"/>
  <c r="F305" i="14"/>
  <c r="G305" i="14"/>
  <c r="I305" i="14"/>
  <c r="J305" i="14"/>
  <c r="K305" i="14"/>
  <c r="A306" i="14"/>
  <c r="G306" i="14" s="1"/>
  <c r="A307" i="14"/>
  <c r="A308" i="14"/>
  <c r="K308" i="14" s="1"/>
  <c r="A309" i="14"/>
  <c r="B309" i="14" s="1"/>
  <c r="D309" i="14"/>
  <c r="E309" i="14"/>
  <c r="H309" i="14"/>
  <c r="I309" i="14"/>
  <c r="A310" i="14"/>
  <c r="A311" i="14"/>
  <c r="F311" i="14" s="1"/>
  <c r="A312" i="14"/>
  <c r="K312" i="14"/>
  <c r="A313" i="14"/>
  <c r="E313" i="14"/>
  <c r="I313" i="14"/>
  <c r="A314" i="14"/>
  <c r="G314" i="14" s="1"/>
  <c r="A315" i="14"/>
  <c r="A316" i="14"/>
  <c r="J316" i="14" s="1"/>
  <c r="A317" i="14"/>
  <c r="D317" i="14" s="1"/>
  <c r="B317" i="14"/>
  <c r="C317" i="14"/>
  <c r="E317" i="14"/>
  <c r="F317" i="14"/>
  <c r="G317" i="14"/>
  <c r="I317" i="14"/>
  <c r="J317" i="14"/>
  <c r="K317" i="14"/>
  <c r="A318" i="14"/>
  <c r="D318" i="14" s="1"/>
  <c r="B318" i="14"/>
  <c r="C318" i="14"/>
  <c r="E318" i="14"/>
  <c r="F318" i="14"/>
  <c r="G318" i="14"/>
  <c r="I318" i="14"/>
  <c r="J318" i="14"/>
  <c r="K318" i="14"/>
  <c r="A319" i="14"/>
  <c r="I319" i="14" s="1"/>
  <c r="E319" i="14"/>
  <c r="A320" i="14"/>
  <c r="I320" i="14" s="1"/>
  <c r="A321" i="14"/>
  <c r="D321" i="14" s="1"/>
  <c r="B321" i="14"/>
  <c r="C321" i="14"/>
  <c r="E321" i="14"/>
  <c r="F321" i="14"/>
  <c r="G321" i="14"/>
  <c r="I321" i="14"/>
  <c r="J321" i="14"/>
  <c r="K321" i="14"/>
  <c r="A322" i="14"/>
  <c r="D322" i="14" s="1"/>
  <c r="B322" i="14"/>
  <c r="C322" i="14"/>
  <c r="E322" i="14"/>
  <c r="F322" i="14"/>
  <c r="G322" i="14"/>
  <c r="I322" i="14"/>
  <c r="J322" i="14"/>
  <c r="K322" i="14"/>
  <c r="A323" i="14"/>
  <c r="I323" i="14" s="1"/>
  <c r="A324" i="14"/>
  <c r="D324" i="14" s="1"/>
  <c r="B324" i="14"/>
  <c r="E324" i="14"/>
  <c r="I324" i="14"/>
  <c r="J324" i="14"/>
  <c r="A325" i="14"/>
  <c r="D325" i="14" s="1"/>
  <c r="E325" i="14"/>
  <c r="F325" i="14"/>
  <c r="J325" i="14"/>
  <c r="K325" i="14"/>
  <c r="A326" i="14"/>
  <c r="B326" i="14"/>
  <c r="C326" i="14"/>
  <c r="D326" i="14"/>
  <c r="E326" i="14"/>
  <c r="F326" i="14"/>
  <c r="G326" i="14"/>
  <c r="H326" i="14"/>
  <c r="I326" i="14"/>
  <c r="J326" i="14"/>
  <c r="K326" i="14"/>
  <c r="A327" i="14"/>
  <c r="A328" i="14"/>
  <c r="A329" i="14"/>
  <c r="D329" i="14" s="1"/>
  <c r="B329" i="14"/>
  <c r="C329" i="14"/>
  <c r="E329" i="14"/>
  <c r="F329" i="14"/>
  <c r="G329" i="14"/>
  <c r="I329" i="14"/>
  <c r="J329" i="14"/>
  <c r="K329" i="14"/>
  <c r="A330" i="14"/>
  <c r="D330" i="14" s="1"/>
  <c r="B330" i="14"/>
  <c r="C330" i="14"/>
  <c r="E330" i="14"/>
  <c r="F330" i="14"/>
  <c r="G330" i="14"/>
  <c r="I330" i="14"/>
  <c r="J330" i="14"/>
  <c r="K330" i="14"/>
  <c r="A331" i="14"/>
  <c r="I331" i="14"/>
  <c r="A332" i="14"/>
  <c r="A333" i="14"/>
  <c r="D333" i="14" s="1"/>
  <c r="B333" i="14"/>
  <c r="C333" i="14"/>
  <c r="E333" i="14"/>
  <c r="F333" i="14"/>
  <c r="G333" i="14"/>
  <c r="I333" i="14"/>
  <c r="J333" i="14"/>
  <c r="K333" i="14"/>
  <c r="A334" i="14"/>
  <c r="D334" i="14" s="1"/>
  <c r="B334" i="14"/>
  <c r="C334" i="14"/>
  <c r="E334" i="14"/>
  <c r="F334" i="14"/>
  <c r="G334" i="14"/>
  <c r="I334" i="14"/>
  <c r="J334" i="14"/>
  <c r="K334" i="14"/>
  <c r="A335" i="14"/>
  <c r="I335" i="14" s="1"/>
  <c r="E335" i="14"/>
  <c r="A336" i="14"/>
  <c r="A337" i="14"/>
  <c r="D337" i="14" s="1"/>
  <c r="B337" i="14"/>
  <c r="C337" i="14"/>
  <c r="E337" i="14"/>
  <c r="F337" i="14"/>
  <c r="G337" i="14"/>
  <c r="I337" i="14"/>
  <c r="J337" i="14"/>
  <c r="K337" i="14"/>
  <c r="A338" i="14"/>
  <c r="D338" i="14" s="1"/>
  <c r="B338" i="14"/>
  <c r="C338" i="14"/>
  <c r="E338" i="14"/>
  <c r="F338" i="14"/>
  <c r="G338" i="14"/>
  <c r="I338" i="14"/>
  <c r="J338" i="14"/>
  <c r="K338" i="14"/>
  <c r="A339" i="14"/>
  <c r="I339" i="14" s="1"/>
  <c r="A340" i="14"/>
  <c r="D340" i="14" s="1"/>
  <c r="B340" i="14"/>
  <c r="E340" i="14"/>
  <c r="I340" i="14"/>
  <c r="J340" i="14"/>
  <c r="A341" i="14"/>
  <c r="A342" i="14"/>
  <c r="B342" i="14"/>
  <c r="C342" i="14"/>
  <c r="D342" i="14"/>
  <c r="E342" i="14"/>
  <c r="F342" i="14"/>
  <c r="G342" i="14"/>
  <c r="H342" i="14"/>
  <c r="I342" i="14"/>
  <c r="J342" i="14"/>
  <c r="K342" i="14"/>
  <c r="A343" i="14"/>
  <c r="A344" i="14"/>
  <c r="B344" i="14" s="1"/>
  <c r="J344" i="14"/>
  <c r="A345" i="14"/>
  <c r="D345" i="14" s="1"/>
  <c r="B345" i="14"/>
  <c r="C345" i="14"/>
  <c r="E345" i="14"/>
  <c r="F345" i="14"/>
  <c r="G345" i="14"/>
  <c r="I345" i="14"/>
  <c r="J345" i="14"/>
  <c r="K345" i="14"/>
  <c r="A346" i="14"/>
  <c r="D346" i="14" s="1"/>
  <c r="B346" i="14"/>
  <c r="C346" i="14"/>
  <c r="E346" i="14"/>
  <c r="F346" i="14"/>
  <c r="G346" i="14"/>
  <c r="I346" i="14"/>
  <c r="J346" i="14"/>
  <c r="K346" i="14"/>
  <c r="A347" i="14"/>
  <c r="E347" i="14"/>
  <c r="I347" i="14"/>
  <c r="A348" i="14"/>
  <c r="F348" i="14"/>
  <c r="I348" i="14"/>
  <c r="A349" i="14"/>
  <c r="B349" i="14" s="1"/>
  <c r="F349" i="14"/>
  <c r="G349" i="14"/>
  <c r="A350" i="14"/>
  <c r="F350" i="14"/>
  <c r="A351" i="14"/>
  <c r="A352" i="14"/>
  <c r="E352" i="14"/>
  <c r="F352" i="14"/>
  <c r="I352" i="14"/>
  <c r="A353" i="14"/>
  <c r="B353" i="14"/>
  <c r="C353" i="14"/>
  <c r="F353" i="14"/>
  <c r="G353" i="14"/>
  <c r="I353" i="14"/>
  <c r="K353" i="14"/>
  <c r="A354" i="14"/>
  <c r="B354" i="14" s="1"/>
  <c r="E354" i="14"/>
  <c r="F354" i="14"/>
  <c r="J354" i="14"/>
  <c r="A355" i="14"/>
  <c r="I355" i="14" s="1"/>
  <c r="A356" i="14"/>
  <c r="B356" i="14"/>
  <c r="F356" i="14"/>
  <c r="I356" i="14"/>
  <c r="J356" i="14"/>
  <c r="A357" i="14"/>
  <c r="D357" i="14" s="1"/>
  <c r="B357" i="14"/>
  <c r="C357" i="14"/>
  <c r="E357" i="14"/>
  <c r="F357" i="14"/>
  <c r="G357" i="14"/>
  <c r="I357" i="14"/>
  <c r="J357" i="14"/>
  <c r="K357" i="14"/>
  <c r="A358" i="14"/>
  <c r="A359" i="14"/>
  <c r="D359" i="14" s="1"/>
  <c r="H359" i="14"/>
  <c r="I359" i="14"/>
  <c r="A360" i="14"/>
  <c r="F360" i="14" s="1"/>
  <c r="B360" i="14"/>
  <c r="E360" i="14"/>
  <c r="I360" i="14"/>
  <c r="J360" i="14"/>
  <c r="A361" i="14"/>
  <c r="D361" i="14" s="1"/>
  <c r="B361" i="14"/>
  <c r="C361" i="14"/>
  <c r="E361" i="14"/>
  <c r="F361" i="14"/>
  <c r="G361" i="14"/>
  <c r="I361" i="14"/>
  <c r="J361" i="14"/>
  <c r="K361" i="14"/>
  <c r="A362" i="14"/>
  <c r="A363" i="14"/>
  <c r="H363" i="14" s="1"/>
  <c r="I363" i="14"/>
  <c r="A364" i="14"/>
  <c r="B364" i="14" s="1"/>
  <c r="F364" i="14"/>
  <c r="I364" i="14"/>
  <c r="A365" i="14"/>
  <c r="D365" i="14" s="1"/>
  <c r="B365" i="14"/>
  <c r="C365" i="14"/>
  <c r="F365" i="14"/>
  <c r="G365" i="14"/>
  <c r="I365" i="14"/>
  <c r="K365" i="14"/>
  <c r="A366" i="14"/>
  <c r="E366" i="14"/>
  <c r="A367" i="14"/>
  <c r="H367" i="14" s="1"/>
  <c r="D367" i="14"/>
  <c r="I367" i="14"/>
  <c r="A368" i="14"/>
  <c r="F368" i="14" s="1"/>
  <c r="I368" i="14"/>
  <c r="A369" i="14"/>
  <c r="F369" i="14"/>
  <c r="A370" i="14"/>
  <c r="B370" i="14" s="1"/>
  <c r="D370" i="14"/>
  <c r="E370" i="14"/>
  <c r="H370" i="14"/>
  <c r="I370" i="14"/>
  <c r="A371" i="14"/>
  <c r="A372" i="14"/>
  <c r="A373" i="14"/>
  <c r="F373" i="14" s="1"/>
  <c r="K373" i="14"/>
  <c r="A374" i="14"/>
  <c r="B374" i="14" s="1"/>
  <c r="D374" i="14"/>
  <c r="E374" i="14"/>
  <c r="H374" i="14"/>
  <c r="I374" i="14"/>
  <c r="A375" i="14"/>
  <c r="G375" i="14" s="1"/>
  <c r="H375" i="14"/>
  <c r="A376" i="14"/>
  <c r="A377" i="14"/>
  <c r="K377" i="14"/>
  <c r="A378" i="14"/>
  <c r="D378" i="14" s="1"/>
  <c r="E378" i="14"/>
  <c r="H378" i="14"/>
  <c r="I378" i="14"/>
  <c r="A379" i="14"/>
  <c r="C379" i="14"/>
  <c r="G379" i="14"/>
  <c r="H379" i="14"/>
  <c r="A380" i="14"/>
  <c r="B380" i="14"/>
  <c r="F380" i="14"/>
  <c r="H380" i="14"/>
  <c r="A381" i="14"/>
  <c r="B381" i="14"/>
  <c r="F381" i="14"/>
  <c r="G381" i="14"/>
  <c r="K381" i="14"/>
  <c r="A382" i="14"/>
  <c r="D382" i="14"/>
  <c r="I382" i="14"/>
  <c r="A383" i="14"/>
  <c r="A384" i="14"/>
  <c r="A385" i="14"/>
  <c r="K385" i="14"/>
  <c r="A386" i="14"/>
  <c r="D386" i="14" s="1"/>
  <c r="E386" i="14"/>
  <c r="H386" i="14"/>
  <c r="I386" i="14"/>
  <c r="A387" i="14"/>
  <c r="D387" i="14"/>
  <c r="I387" i="14"/>
  <c r="K387" i="14"/>
  <c r="A388" i="14"/>
  <c r="D388" i="14"/>
  <c r="E388" i="14"/>
  <c r="F388" i="14"/>
  <c r="I388" i="14"/>
  <c r="J388" i="14"/>
  <c r="A389" i="14"/>
  <c r="A390" i="14"/>
  <c r="D390" i="14" s="1"/>
  <c r="B390" i="14"/>
  <c r="C390" i="14"/>
  <c r="E390" i="14"/>
  <c r="F390" i="14"/>
  <c r="G390" i="14"/>
  <c r="I390" i="14"/>
  <c r="J390" i="14"/>
  <c r="K390" i="14"/>
  <c r="A391" i="14"/>
  <c r="D391" i="14"/>
  <c r="E391" i="14"/>
  <c r="G391" i="14"/>
  <c r="I391" i="14"/>
  <c r="K391" i="14"/>
  <c r="A392" i="14"/>
  <c r="D392" i="14"/>
  <c r="A393" i="14"/>
  <c r="C393" i="14"/>
  <c r="E393" i="14"/>
  <c r="F393" i="14"/>
  <c r="I393" i="14"/>
  <c r="J393" i="14"/>
  <c r="K393" i="14"/>
  <c r="A394" i="14"/>
  <c r="D394" i="14"/>
  <c r="E394" i="14"/>
  <c r="H394" i="14"/>
  <c r="I394" i="14"/>
  <c r="A395" i="14"/>
  <c r="D395" i="14"/>
  <c r="A396" i="14"/>
  <c r="D396" i="14"/>
  <c r="E396" i="14"/>
  <c r="F396" i="14"/>
  <c r="I396" i="14"/>
  <c r="J396" i="14"/>
  <c r="A397" i="14"/>
  <c r="C397" i="14" s="1"/>
  <c r="I397" i="14"/>
  <c r="J397" i="14"/>
  <c r="A398" i="14"/>
  <c r="D398" i="14" s="1"/>
  <c r="B398" i="14"/>
  <c r="C398" i="14"/>
  <c r="E398" i="14"/>
  <c r="F398" i="14"/>
  <c r="G398" i="14"/>
  <c r="I398" i="14"/>
  <c r="J398" i="14"/>
  <c r="K398" i="14"/>
  <c r="A399" i="14"/>
  <c r="D399" i="14"/>
  <c r="E399" i="14"/>
  <c r="G399" i="14"/>
  <c r="I399" i="14"/>
  <c r="K399" i="14"/>
  <c r="A400" i="14"/>
  <c r="A401" i="14"/>
  <c r="C401" i="14"/>
  <c r="E401" i="14"/>
  <c r="F401" i="14"/>
  <c r="I401" i="14"/>
  <c r="J401" i="14"/>
  <c r="K401" i="14"/>
  <c r="A402" i="14"/>
  <c r="D402" i="14"/>
  <c r="I402" i="14"/>
  <c r="A403" i="14"/>
  <c r="A404" i="14"/>
  <c r="D404" i="14"/>
  <c r="E404" i="14"/>
  <c r="F404" i="14"/>
  <c r="I404" i="14"/>
  <c r="J404" i="14"/>
  <c r="A405" i="14"/>
  <c r="C405" i="14"/>
  <c r="I405" i="14"/>
  <c r="J405" i="14"/>
  <c r="A406" i="14"/>
  <c r="D406" i="14" s="1"/>
  <c r="B406" i="14"/>
  <c r="C406" i="14"/>
  <c r="E406" i="14"/>
  <c r="F406" i="14"/>
  <c r="G406" i="14"/>
  <c r="I406" i="14"/>
  <c r="J406" i="14"/>
  <c r="K406" i="14"/>
  <c r="A407" i="14"/>
  <c r="D407" i="14"/>
  <c r="E407" i="14"/>
  <c r="G407" i="14"/>
  <c r="I407" i="14"/>
  <c r="K407" i="14"/>
  <c r="A408" i="14"/>
  <c r="D408" i="14" s="1"/>
  <c r="I408" i="14"/>
  <c r="J408" i="14"/>
  <c r="A409" i="14"/>
  <c r="C409" i="14"/>
  <c r="E409" i="14"/>
  <c r="F409" i="14"/>
  <c r="I409" i="14"/>
  <c r="J409" i="14"/>
  <c r="K409" i="14"/>
  <c r="A410" i="14"/>
  <c r="I410" i="14"/>
  <c r="A411" i="14"/>
  <c r="D411" i="14" s="1"/>
  <c r="I411" i="14"/>
  <c r="K411" i="14"/>
  <c r="A412" i="14"/>
  <c r="D412" i="14"/>
  <c r="E412" i="14"/>
  <c r="F412" i="14"/>
  <c r="I412" i="14"/>
  <c r="J412" i="14"/>
  <c r="A413" i="14"/>
  <c r="C413" i="14"/>
  <c r="A414" i="14"/>
  <c r="D414" i="14" s="1"/>
  <c r="B414" i="14"/>
  <c r="C414" i="14"/>
  <c r="E414" i="14"/>
  <c r="F414" i="14"/>
  <c r="G414" i="14"/>
  <c r="I414" i="14"/>
  <c r="J414" i="14"/>
  <c r="K414" i="14"/>
  <c r="A415" i="14"/>
  <c r="D415" i="14"/>
  <c r="E415" i="14"/>
  <c r="G415" i="14"/>
  <c r="I415" i="14"/>
  <c r="K415" i="14"/>
  <c r="A416" i="14"/>
  <c r="D416" i="14"/>
  <c r="I416" i="14"/>
  <c r="J416" i="14"/>
  <c r="A417" i="14"/>
  <c r="C417" i="14"/>
  <c r="E417" i="14"/>
  <c r="F417" i="14"/>
  <c r="I417" i="14"/>
  <c r="J417" i="14"/>
  <c r="K417" i="14"/>
  <c r="A418" i="14"/>
  <c r="D418" i="14" s="1"/>
  <c r="E418" i="14"/>
  <c r="H418" i="14"/>
  <c r="I418" i="14"/>
  <c r="A419" i="14"/>
  <c r="D419" i="14"/>
  <c r="I419" i="14"/>
  <c r="K419" i="14"/>
  <c r="A420" i="14"/>
  <c r="D420" i="14"/>
  <c r="E420" i="14"/>
  <c r="F420" i="14"/>
  <c r="I420" i="14"/>
  <c r="J420" i="14"/>
  <c r="A421" i="14"/>
  <c r="A422" i="14"/>
  <c r="D422" i="14" s="1"/>
  <c r="B422" i="14"/>
  <c r="C422" i="14"/>
  <c r="E422" i="14"/>
  <c r="F422" i="14"/>
  <c r="G422" i="14"/>
  <c r="I422" i="14"/>
  <c r="J422" i="14"/>
  <c r="K422" i="14"/>
  <c r="A423" i="14"/>
  <c r="D423" i="14"/>
  <c r="E423" i="14"/>
  <c r="G423" i="14"/>
  <c r="I423" i="14"/>
  <c r="K423" i="14"/>
  <c r="A424" i="14"/>
  <c r="D424" i="14"/>
  <c r="A425" i="14"/>
  <c r="C425" i="14"/>
  <c r="E425" i="14"/>
  <c r="F425" i="14"/>
  <c r="I425" i="14"/>
  <c r="J425" i="14"/>
  <c r="K425" i="14"/>
  <c r="A426" i="14"/>
  <c r="D426" i="14"/>
  <c r="E426" i="14"/>
  <c r="H426" i="14"/>
  <c r="I426" i="14"/>
  <c r="A427" i="14"/>
  <c r="D427" i="14"/>
  <c r="A428" i="14"/>
  <c r="D428" i="14" s="1"/>
  <c r="B428" i="14"/>
  <c r="E428" i="14"/>
  <c r="I428" i="14"/>
  <c r="J428" i="14"/>
  <c r="A429" i="14"/>
  <c r="I429" i="14"/>
  <c r="A430" i="14"/>
  <c r="C430" i="14" s="1"/>
  <c r="G430" i="14"/>
  <c r="H430" i="14"/>
  <c r="A431" i="14"/>
  <c r="E431" i="14" s="1"/>
  <c r="A432" i="14"/>
  <c r="D432" i="14" s="1"/>
  <c r="B432" i="14"/>
  <c r="E432" i="14"/>
  <c r="I432" i="14"/>
  <c r="J432" i="14"/>
  <c r="A433" i="14"/>
  <c r="I433" i="14"/>
  <c r="A434" i="14"/>
  <c r="C434" i="14" s="1"/>
  <c r="G434" i="14"/>
  <c r="H434" i="14"/>
  <c r="A435" i="14"/>
  <c r="E435" i="14" s="1"/>
  <c r="A436" i="14"/>
  <c r="D436" i="14" s="1"/>
  <c r="B436" i="14"/>
  <c r="E436" i="14"/>
  <c r="I436" i="14"/>
  <c r="J436" i="14"/>
  <c r="A437" i="14"/>
  <c r="I437" i="14"/>
  <c r="A438" i="14"/>
  <c r="C438" i="14" s="1"/>
  <c r="G438" i="14"/>
  <c r="H438" i="14"/>
  <c r="A439" i="14"/>
  <c r="E439" i="14" s="1"/>
  <c r="A440" i="14"/>
  <c r="D440" i="14" s="1"/>
  <c r="B440" i="14"/>
  <c r="E440" i="14"/>
  <c r="I440" i="14"/>
  <c r="J440" i="14"/>
  <c r="A441" i="14"/>
  <c r="I441" i="14"/>
  <c r="A442" i="14"/>
  <c r="C442" i="14" s="1"/>
  <c r="G442" i="14"/>
  <c r="H442" i="14"/>
  <c r="A443" i="14"/>
  <c r="E443" i="14" s="1"/>
  <c r="A444" i="14"/>
  <c r="D444" i="14" s="1"/>
  <c r="B444" i="14"/>
  <c r="E444" i="14"/>
  <c r="I444" i="14"/>
  <c r="J444" i="14"/>
  <c r="A445" i="14"/>
  <c r="I445" i="14"/>
  <c r="A446" i="14"/>
  <c r="C446" i="14" s="1"/>
  <c r="G446" i="14"/>
  <c r="H446" i="14"/>
  <c r="A447" i="14"/>
  <c r="E447" i="14" s="1"/>
  <c r="A448" i="14"/>
  <c r="D448" i="14" s="1"/>
  <c r="B448" i="14"/>
  <c r="E448" i="14"/>
  <c r="I448" i="14"/>
  <c r="J448" i="14"/>
  <c r="A449" i="14"/>
  <c r="I449" i="14"/>
  <c r="A450" i="14"/>
  <c r="C450" i="14" s="1"/>
  <c r="G450" i="14"/>
  <c r="H450" i="14"/>
  <c r="A451" i="14"/>
  <c r="A452" i="14"/>
  <c r="F452" i="14"/>
  <c r="I452" i="14"/>
  <c r="A453" i="14"/>
  <c r="D453" i="14" s="1"/>
  <c r="B453" i="14"/>
  <c r="C453" i="14"/>
  <c r="E453" i="14"/>
  <c r="F453" i="14"/>
  <c r="G453" i="14"/>
  <c r="I453" i="14"/>
  <c r="J453" i="14"/>
  <c r="K453" i="14"/>
  <c r="A454" i="14"/>
  <c r="B454" i="14" s="1"/>
  <c r="C454" i="14"/>
  <c r="D454" i="14"/>
  <c r="E454" i="14"/>
  <c r="G454" i="14"/>
  <c r="H454" i="14"/>
  <c r="I454" i="14"/>
  <c r="K454" i="14"/>
  <c r="A455" i="14"/>
  <c r="A456" i="14"/>
  <c r="D456" i="14" s="1"/>
  <c r="B456" i="14"/>
  <c r="E456" i="14"/>
  <c r="I456" i="14"/>
  <c r="J456" i="14"/>
  <c r="A457" i="14"/>
  <c r="I457" i="14"/>
  <c r="A458" i="14"/>
  <c r="C458" i="14" s="1"/>
  <c r="G458" i="14"/>
  <c r="H458" i="14"/>
  <c r="A459" i="14"/>
  <c r="A460" i="14"/>
  <c r="F460" i="14"/>
  <c r="I460" i="14"/>
  <c r="A461" i="14"/>
  <c r="D461" i="14" s="1"/>
  <c r="B461" i="14"/>
  <c r="C461" i="14"/>
  <c r="E461" i="14"/>
  <c r="F461" i="14"/>
  <c r="G461" i="14"/>
  <c r="I461" i="14"/>
  <c r="J461" i="14"/>
  <c r="K461" i="14"/>
  <c r="A462" i="14"/>
  <c r="B462" i="14" s="1"/>
  <c r="C462" i="14"/>
  <c r="D462" i="14"/>
  <c r="E462" i="14"/>
  <c r="G462" i="14"/>
  <c r="H462" i="14"/>
  <c r="I462" i="14"/>
  <c r="K462" i="14"/>
  <c r="A463" i="14"/>
  <c r="A464" i="14"/>
  <c r="D464" i="14" s="1"/>
  <c r="B464" i="14"/>
  <c r="E464" i="14"/>
  <c r="I464" i="14"/>
  <c r="J464" i="14"/>
  <c r="A465" i="14"/>
  <c r="I465" i="14"/>
  <c r="A466" i="14"/>
  <c r="C466" i="14" s="1"/>
  <c r="G466" i="14"/>
  <c r="H466" i="14"/>
  <c r="A467" i="14"/>
  <c r="A468" i="14"/>
  <c r="F468" i="14"/>
  <c r="I468" i="14"/>
  <c r="A469" i="14"/>
  <c r="D469" i="14" s="1"/>
  <c r="B469" i="14"/>
  <c r="C469" i="14"/>
  <c r="E469" i="14"/>
  <c r="F469" i="14"/>
  <c r="G469" i="14"/>
  <c r="I469" i="14"/>
  <c r="J469" i="14"/>
  <c r="K469" i="14"/>
  <c r="A470" i="14"/>
  <c r="B470" i="14" s="1"/>
  <c r="C470" i="14"/>
  <c r="D470" i="14"/>
  <c r="E470" i="14"/>
  <c r="G470" i="14"/>
  <c r="H470" i="14"/>
  <c r="I470" i="14"/>
  <c r="K470" i="14"/>
  <c r="A471" i="14"/>
  <c r="I471" i="14"/>
  <c r="A472" i="14"/>
  <c r="A473" i="14"/>
  <c r="B473" i="14"/>
  <c r="C473" i="14"/>
  <c r="D473" i="14"/>
  <c r="E473" i="14"/>
  <c r="F473" i="14"/>
  <c r="G473" i="14"/>
  <c r="H473" i="14"/>
  <c r="I473" i="14"/>
  <c r="J473" i="14"/>
  <c r="K473" i="14"/>
  <c r="A474" i="14"/>
  <c r="E474" i="14"/>
  <c r="A475" i="14"/>
  <c r="I475" i="14"/>
  <c r="A476" i="14"/>
  <c r="J476" i="14" s="1"/>
  <c r="A477" i="14"/>
  <c r="D477" i="14"/>
  <c r="I477" i="14"/>
  <c r="A478" i="14"/>
  <c r="A479" i="14"/>
  <c r="I479" i="14" s="1"/>
  <c r="A480" i="14"/>
  <c r="B480" i="14"/>
  <c r="E480" i="14"/>
  <c r="F480" i="14"/>
  <c r="I480" i="14"/>
  <c r="J480" i="14"/>
  <c r="A481" i="14"/>
  <c r="I481" i="14"/>
  <c r="A482" i="14"/>
  <c r="B482" i="14" s="1"/>
  <c r="C482" i="14"/>
  <c r="D482" i="14"/>
  <c r="G482" i="14"/>
  <c r="H482" i="14"/>
  <c r="I482" i="14"/>
  <c r="A483" i="14"/>
  <c r="H483" i="14" s="1"/>
  <c r="D483" i="14"/>
  <c r="E483" i="14"/>
  <c r="A484" i="14"/>
  <c r="F484" i="14" s="1"/>
  <c r="B484" i="14"/>
  <c r="I484" i="14"/>
  <c r="A485" i="14"/>
  <c r="D485" i="14" s="1"/>
  <c r="B485" i="14"/>
  <c r="C485" i="14"/>
  <c r="E485" i="14"/>
  <c r="F485" i="14"/>
  <c r="G485" i="14"/>
  <c r="I485" i="14"/>
  <c r="J485" i="14"/>
  <c r="K485" i="14"/>
  <c r="A486" i="14"/>
  <c r="B486" i="14" s="1"/>
  <c r="C486" i="14"/>
  <c r="D486" i="14"/>
  <c r="E486" i="14"/>
  <c r="G486" i="14"/>
  <c r="H486" i="14"/>
  <c r="I486" i="14"/>
  <c r="K486" i="14"/>
  <c r="A487" i="14"/>
  <c r="I487" i="14"/>
  <c r="A488" i="14"/>
  <c r="B488" i="14" s="1"/>
  <c r="I488" i="14"/>
  <c r="J488" i="14"/>
  <c r="A489" i="14"/>
  <c r="B489" i="14"/>
  <c r="C489" i="14"/>
  <c r="D489" i="14"/>
  <c r="E489" i="14"/>
  <c r="F489" i="14"/>
  <c r="G489" i="14"/>
  <c r="H489" i="14"/>
  <c r="I489" i="14"/>
  <c r="J489" i="14"/>
  <c r="K489" i="14"/>
  <c r="A490" i="14"/>
  <c r="A491" i="14"/>
  <c r="A492" i="14"/>
  <c r="J492" i="14"/>
  <c r="A493" i="14"/>
  <c r="I493" i="14"/>
  <c r="A494" i="14"/>
  <c r="C494" i="14" s="1"/>
  <c r="G494" i="14"/>
  <c r="H494" i="14"/>
  <c r="A495" i="14"/>
  <c r="I495" i="14" s="1"/>
  <c r="A496" i="14"/>
  <c r="B496" i="14"/>
  <c r="E496" i="14"/>
  <c r="F496" i="14"/>
  <c r="I496" i="14"/>
  <c r="J496" i="14"/>
  <c r="A497" i="14"/>
  <c r="B497" i="14" s="1"/>
  <c r="E497" i="14"/>
  <c r="F497" i="14"/>
  <c r="I497" i="14"/>
  <c r="A498" i="14"/>
  <c r="B498" i="14" s="1"/>
  <c r="C498" i="14"/>
  <c r="D498" i="14"/>
  <c r="G498" i="14"/>
  <c r="H498" i="14"/>
  <c r="I498" i="14"/>
  <c r="A499" i="14"/>
  <c r="H499" i="14" s="1"/>
  <c r="D499" i="14"/>
  <c r="E499" i="14"/>
  <c r="A500" i="14"/>
  <c r="F500" i="14" s="1"/>
  <c r="B500" i="14"/>
  <c r="I500" i="14"/>
  <c r="A501" i="14"/>
  <c r="D501" i="14" s="1"/>
  <c r="B501" i="14"/>
  <c r="C501" i="14"/>
  <c r="E501" i="14"/>
  <c r="F501" i="14"/>
  <c r="G501" i="14"/>
  <c r="I501" i="14"/>
  <c r="J501" i="14"/>
  <c r="K501" i="14"/>
  <c r="A502" i="14"/>
  <c r="B502" i="14" s="1"/>
  <c r="C502" i="14"/>
  <c r="D502" i="14"/>
  <c r="E502" i="14"/>
  <c r="G502" i="14"/>
  <c r="H502" i="14"/>
  <c r="I502" i="14"/>
  <c r="K502" i="14"/>
  <c r="A503" i="14"/>
  <c r="I503" i="14"/>
  <c r="A504" i="14"/>
  <c r="B504" i="14"/>
  <c r="I504" i="14"/>
  <c r="J504" i="14"/>
  <c r="A505" i="14"/>
  <c r="B505" i="14"/>
  <c r="C505" i="14"/>
  <c r="D505" i="14"/>
  <c r="E505" i="14"/>
  <c r="F505" i="14"/>
  <c r="G505" i="14"/>
  <c r="H505" i="14"/>
  <c r="I505" i="14"/>
  <c r="J505" i="14"/>
  <c r="K505" i="14"/>
  <c r="A506" i="14"/>
  <c r="E506" i="14" s="1"/>
  <c r="G506" i="14"/>
  <c r="K506" i="14"/>
  <c r="A507" i="14"/>
  <c r="I507" i="14" s="1"/>
  <c r="A508" i="14"/>
  <c r="J508" i="14"/>
  <c r="A509" i="14"/>
  <c r="D509" i="14" s="1"/>
  <c r="E509" i="14"/>
  <c r="H509" i="14"/>
  <c r="I509" i="14"/>
  <c r="A510" i="14"/>
  <c r="C510" i="14"/>
  <c r="G510" i="14"/>
  <c r="H510" i="14"/>
  <c r="A511" i="14"/>
  <c r="I511" i="14"/>
  <c r="A512" i="14"/>
  <c r="B512" i="14"/>
  <c r="E512" i="14"/>
  <c r="F512" i="14"/>
  <c r="I512" i="14"/>
  <c r="J512" i="14"/>
  <c r="A513" i="14"/>
  <c r="B513" i="14"/>
  <c r="E513" i="14"/>
  <c r="F513" i="14"/>
  <c r="I513" i="14"/>
  <c r="J513" i="14"/>
  <c r="A514" i="14"/>
  <c r="B514" i="14" s="1"/>
  <c r="C514" i="14"/>
  <c r="D514" i="14"/>
  <c r="G514" i="14"/>
  <c r="H514" i="14"/>
  <c r="I514" i="14"/>
  <c r="A515" i="14"/>
  <c r="E515" i="14" s="1"/>
  <c r="B515" i="14"/>
  <c r="D515" i="14"/>
  <c r="H515" i="14"/>
  <c r="I515" i="14"/>
  <c r="A516" i="14"/>
  <c r="F516" i="14"/>
  <c r="A517" i="14"/>
  <c r="B517" i="14"/>
  <c r="F517" i="14"/>
  <c r="H517" i="14"/>
  <c r="A518" i="14"/>
  <c r="C518" i="14"/>
  <c r="I518" i="14"/>
  <c r="A519" i="14"/>
  <c r="A520" i="14"/>
  <c r="I520" i="14"/>
  <c r="A521" i="14"/>
  <c r="B521" i="14"/>
  <c r="C521" i="14"/>
  <c r="D521" i="14"/>
  <c r="E521" i="14"/>
  <c r="F521" i="14"/>
  <c r="G521" i="14"/>
  <c r="H521" i="14"/>
  <c r="I521" i="14"/>
  <c r="J521" i="14"/>
  <c r="K521" i="14"/>
  <c r="A522" i="14"/>
  <c r="G522" i="14" s="1"/>
  <c r="I522" i="14"/>
  <c r="A523" i="14"/>
  <c r="A524" i="14"/>
  <c r="F524" i="14"/>
  <c r="A525" i="14"/>
  <c r="B525" i="14"/>
  <c r="C525" i="14"/>
  <c r="D525" i="14"/>
  <c r="E525" i="14"/>
  <c r="F525" i="14"/>
  <c r="G525" i="14"/>
  <c r="H525" i="14"/>
  <c r="I525" i="14"/>
  <c r="J525" i="14"/>
  <c r="K525" i="14"/>
  <c r="A526" i="14"/>
  <c r="G526" i="14"/>
  <c r="I526" i="14"/>
  <c r="A527" i="14"/>
  <c r="F527" i="14" s="1"/>
  <c r="I527" i="14"/>
  <c r="A528" i="14"/>
  <c r="A529" i="14"/>
  <c r="B529" i="14"/>
  <c r="C529" i="14"/>
  <c r="D529" i="14"/>
  <c r="E529" i="14"/>
  <c r="F529" i="14"/>
  <c r="G529" i="14"/>
  <c r="H529" i="14"/>
  <c r="I529" i="14"/>
  <c r="J529" i="14"/>
  <c r="K529" i="14"/>
  <c r="A530" i="14"/>
  <c r="G530" i="14"/>
  <c r="A531" i="14"/>
  <c r="F531" i="14"/>
  <c r="I531" i="14"/>
  <c r="A532" i="14"/>
  <c r="F532" i="14" s="1"/>
  <c r="I532" i="14"/>
  <c r="K532" i="14"/>
  <c r="A533" i="14"/>
  <c r="B533" i="14"/>
  <c r="C533" i="14"/>
  <c r="D533" i="14"/>
  <c r="E533" i="14"/>
  <c r="F533" i="14"/>
  <c r="G533" i="14"/>
  <c r="H533" i="14"/>
  <c r="I533" i="14"/>
  <c r="J533" i="14"/>
  <c r="K533" i="14"/>
  <c r="A534" i="14"/>
  <c r="A535" i="14"/>
  <c r="F535" i="14"/>
  <c r="A536" i="14"/>
  <c r="F536" i="14"/>
  <c r="I536" i="14"/>
  <c r="K536" i="14"/>
  <c r="A537" i="14"/>
  <c r="B537" i="14"/>
  <c r="C537" i="14"/>
  <c r="D537" i="14"/>
  <c r="E537" i="14"/>
  <c r="F537" i="14"/>
  <c r="G537" i="14"/>
  <c r="H537" i="14"/>
  <c r="I537" i="14"/>
  <c r="J537" i="14"/>
  <c r="K537" i="14"/>
  <c r="A538" i="14"/>
  <c r="G538" i="14" s="1"/>
  <c r="I538" i="14"/>
  <c r="A539" i="14"/>
  <c r="A540" i="14"/>
  <c r="F540" i="14"/>
  <c r="A541" i="14"/>
  <c r="B541" i="14"/>
  <c r="C541" i="14"/>
  <c r="D541" i="14"/>
  <c r="E541" i="14"/>
  <c r="F541" i="14"/>
  <c r="G541" i="14"/>
  <c r="H541" i="14"/>
  <c r="I541" i="14"/>
  <c r="J541" i="14"/>
  <c r="K541" i="14"/>
  <c r="A542" i="14"/>
  <c r="G542" i="14"/>
  <c r="I542" i="14"/>
  <c r="A543" i="14"/>
  <c r="F543" i="14" s="1"/>
  <c r="I543" i="14"/>
  <c r="A544" i="14"/>
  <c r="A545" i="14"/>
  <c r="B545" i="14"/>
  <c r="C545" i="14"/>
  <c r="D545" i="14"/>
  <c r="E545" i="14"/>
  <c r="F545" i="14"/>
  <c r="G545" i="14"/>
  <c r="H545" i="14"/>
  <c r="I545" i="14"/>
  <c r="J545" i="14"/>
  <c r="K545" i="14"/>
  <c r="A546" i="14"/>
  <c r="G546" i="14"/>
  <c r="A547" i="14"/>
  <c r="I547" i="14" s="1"/>
  <c r="A548" i="14"/>
  <c r="I548" i="14" s="1"/>
  <c r="K548" i="14"/>
  <c r="A549" i="14"/>
  <c r="B549" i="14" s="1"/>
  <c r="D549" i="14"/>
  <c r="E549" i="14"/>
  <c r="F549" i="14"/>
  <c r="I549" i="14"/>
  <c r="J549" i="14"/>
  <c r="A550" i="14"/>
  <c r="I550" i="14" s="1"/>
  <c r="A551" i="14"/>
  <c r="I551" i="14" s="1"/>
  <c r="A552" i="14"/>
  <c r="A553" i="14"/>
  <c r="F553" i="14"/>
  <c r="K553" i="14"/>
  <c r="A554" i="14"/>
  <c r="I554" i="14" s="1"/>
  <c r="A555" i="14"/>
  <c r="I555" i="14" s="1"/>
  <c r="A556" i="14"/>
  <c r="I556" i="14" s="1"/>
  <c r="K556" i="14"/>
  <c r="A557" i="14"/>
  <c r="B557" i="14"/>
  <c r="C557" i="14"/>
  <c r="D557" i="14"/>
  <c r="E557" i="14"/>
  <c r="F557" i="14"/>
  <c r="G557" i="14"/>
  <c r="H557" i="14"/>
  <c r="I557" i="14"/>
  <c r="J557" i="14"/>
  <c r="K557" i="14"/>
  <c r="A558" i="14"/>
  <c r="I558" i="14" s="1"/>
  <c r="A559" i="14"/>
  <c r="I559" i="14" s="1"/>
  <c r="A560" i="14"/>
  <c r="I560" i="14" s="1"/>
  <c r="K560" i="14"/>
  <c r="A561" i="14"/>
  <c r="B561" i="14" s="1"/>
  <c r="E561" i="14"/>
  <c r="I561" i="14"/>
  <c r="A562" i="14"/>
  <c r="I562" i="14" s="1"/>
  <c r="A563" i="14"/>
  <c r="I563" i="14" s="1"/>
  <c r="A564" i="14"/>
  <c r="I564" i="14" s="1"/>
  <c r="A565" i="14"/>
  <c r="C565" i="14" s="1"/>
  <c r="B565" i="14"/>
  <c r="E565" i="14"/>
  <c r="F565" i="14"/>
  <c r="I565" i="14"/>
  <c r="J565" i="14"/>
  <c r="A566" i="14"/>
  <c r="I566" i="14" s="1"/>
  <c r="A567" i="14"/>
  <c r="I567" i="14" s="1"/>
  <c r="A568" i="14"/>
  <c r="I568" i="14" s="1"/>
  <c r="A569" i="14"/>
  <c r="B569" i="14"/>
  <c r="C569" i="14"/>
  <c r="D569" i="14"/>
  <c r="E569" i="14"/>
  <c r="F569" i="14"/>
  <c r="G569" i="14"/>
  <c r="H569" i="14"/>
  <c r="I569" i="14"/>
  <c r="J569" i="14"/>
  <c r="K569" i="14"/>
  <c r="A570" i="14"/>
  <c r="I570" i="14" s="1"/>
  <c r="A571" i="14"/>
  <c r="I571" i="14" s="1"/>
  <c r="A572" i="14"/>
  <c r="I572" i="14" s="1"/>
  <c r="K572" i="14"/>
  <c r="A573" i="14"/>
  <c r="B573" i="14" s="1"/>
  <c r="C573" i="14"/>
  <c r="D573" i="14"/>
  <c r="E573" i="14"/>
  <c r="G573" i="14"/>
  <c r="H573" i="14"/>
  <c r="I573" i="14"/>
  <c r="K573" i="14"/>
  <c r="A574" i="14"/>
  <c r="I574" i="14" s="1"/>
  <c r="A575" i="14"/>
  <c r="I575" i="14" s="1"/>
  <c r="A576" i="14"/>
  <c r="I576" i="14" s="1"/>
  <c r="K576" i="14"/>
  <c r="A577" i="14"/>
  <c r="B577" i="14" s="1"/>
  <c r="E577" i="14"/>
  <c r="I577" i="14"/>
  <c r="A578" i="14"/>
  <c r="I578" i="14" s="1"/>
  <c r="A579" i="14"/>
  <c r="I579" i="14" s="1"/>
  <c r="A580" i="14"/>
  <c r="I580" i="14" s="1"/>
  <c r="A581" i="14"/>
  <c r="C581" i="14" s="1"/>
  <c r="B581" i="14"/>
  <c r="E581" i="14"/>
  <c r="F581" i="14"/>
  <c r="I581" i="14"/>
  <c r="J581" i="14"/>
  <c r="A582" i="14"/>
  <c r="I582" i="14" s="1"/>
  <c r="A583" i="14"/>
  <c r="I583" i="14" s="1"/>
  <c r="A584" i="14"/>
  <c r="I584" i="14" s="1"/>
  <c r="A585" i="14"/>
  <c r="B585" i="14"/>
  <c r="C585" i="14"/>
  <c r="D585" i="14"/>
  <c r="E585" i="14"/>
  <c r="F585" i="14"/>
  <c r="G585" i="14"/>
  <c r="H585" i="14"/>
  <c r="I585" i="14"/>
  <c r="J585" i="14"/>
  <c r="K585" i="14"/>
  <c r="A586" i="14"/>
  <c r="I586" i="14" s="1"/>
  <c r="A587" i="14"/>
  <c r="I587" i="14" s="1"/>
  <c r="A588" i="14"/>
  <c r="I588" i="14" s="1"/>
  <c r="K588" i="14"/>
  <c r="A589" i="14"/>
  <c r="B589" i="14" s="1"/>
  <c r="C589" i="14"/>
  <c r="D589" i="14"/>
  <c r="E589" i="14"/>
  <c r="G589" i="14"/>
  <c r="H589" i="14"/>
  <c r="I589" i="14"/>
  <c r="K589" i="14"/>
  <c r="A590" i="14"/>
  <c r="I590" i="14" s="1"/>
  <c r="A591" i="14"/>
  <c r="I591" i="14" s="1"/>
  <c r="A592" i="14"/>
  <c r="I592" i="14" s="1"/>
  <c r="K592" i="14"/>
  <c r="A593" i="14"/>
  <c r="B593" i="14" s="1"/>
  <c r="E593" i="14"/>
  <c r="I593" i="14"/>
  <c r="A594" i="14"/>
  <c r="I594" i="14" s="1"/>
  <c r="A595" i="14"/>
  <c r="I595" i="14" s="1"/>
  <c r="A596" i="14"/>
  <c r="I596" i="14" s="1"/>
  <c r="A597" i="14"/>
  <c r="C597" i="14" s="1"/>
  <c r="B597" i="14"/>
  <c r="E597" i="14"/>
  <c r="F597" i="14"/>
  <c r="I597" i="14"/>
  <c r="J597" i="14"/>
  <c r="A598" i="14"/>
  <c r="I598" i="14" s="1"/>
  <c r="A599" i="14"/>
  <c r="I599" i="14" s="1"/>
  <c r="A600" i="14"/>
  <c r="I600" i="14" s="1"/>
  <c r="A601" i="14"/>
  <c r="B601" i="14"/>
  <c r="C601" i="14"/>
  <c r="D601" i="14"/>
  <c r="E601" i="14"/>
  <c r="F601" i="14"/>
  <c r="G601" i="14"/>
  <c r="H601" i="14"/>
  <c r="I601" i="14"/>
  <c r="J601" i="14"/>
  <c r="K601" i="14"/>
  <c r="A602" i="14"/>
  <c r="I602" i="14" s="1"/>
  <c r="A603" i="14"/>
  <c r="I603" i="14" s="1"/>
  <c r="A604" i="14"/>
  <c r="I604" i="14" s="1"/>
  <c r="K604" i="14"/>
  <c r="A605" i="14"/>
  <c r="B605" i="14" s="1"/>
  <c r="C605" i="14"/>
  <c r="D605" i="14"/>
  <c r="E605" i="14"/>
  <c r="G605" i="14"/>
  <c r="H605" i="14"/>
  <c r="I605" i="14"/>
  <c r="K605" i="14"/>
  <c r="A606" i="14"/>
  <c r="I606" i="14" s="1"/>
  <c r="A607" i="14"/>
  <c r="I607" i="14" s="1"/>
  <c r="A608" i="14"/>
  <c r="I608" i="14" s="1"/>
  <c r="K608" i="14"/>
  <c r="A609" i="14"/>
  <c r="B609" i="14" s="1"/>
  <c r="E609" i="14"/>
  <c r="I609" i="14"/>
  <c r="A610" i="14"/>
  <c r="G610" i="14" s="1"/>
  <c r="I610" i="14"/>
  <c r="A611" i="14"/>
  <c r="F611" i="14" s="1"/>
  <c r="I611" i="14"/>
  <c r="A612" i="14"/>
  <c r="F612" i="14" s="1"/>
  <c r="A613" i="14"/>
  <c r="B613" i="14"/>
  <c r="C613" i="14"/>
  <c r="D613" i="14"/>
  <c r="E613" i="14"/>
  <c r="F613" i="14"/>
  <c r="G613" i="14"/>
  <c r="H613" i="14"/>
  <c r="I613" i="14"/>
  <c r="J613" i="14"/>
  <c r="K613" i="14"/>
  <c r="A614" i="14"/>
  <c r="G614" i="14" s="1"/>
  <c r="I614" i="14"/>
  <c r="A615" i="14"/>
  <c r="F615" i="14" s="1"/>
  <c r="A616" i="14"/>
  <c r="F616" i="14" s="1"/>
  <c r="E616" i="14"/>
  <c r="I616" i="14"/>
  <c r="K616" i="14"/>
  <c r="A617" i="14"/>
  <c r="B617" i="14"/>
  <c r="C617" i="14"/>
  <c r="D617" i="14"/>
  <c r="E617" i="14"/>
  <c r="F617" i="14"/>
  <c r="G617" i="14"/>
  <c r="H617" i="14"/>
  <c r="I617" i="14"/>
  <c r="J617" i="14"/>
  <c r="K617" i="14"/>
  <c r="A618" i="14"/>
  <c r="G618" i="14" s="1"/>
  <c r="A619" i="14"/>
  <c r="F619" i="14" s="1"/>
  <c r="E619" i="14"/>
  <c r="A620" i="14"/>
  <c r="F620" i="14" s="1"/>
  <c r="I620" i="14"/>
  <c r="A621" i="14"/>
  <c r="B621" i="14" s="1"/>
  <c r="E621" i="14"/>
  <c r="I621" i="14"/>
  <c r="A622" i="14"/>
  <c r="G622" i="14" s="1"/>
  <c r="E622" i="14"/>
  <c r="A623" i="14"/>
  <c r="F623" i="14" s="1"/>
  <c r="I623" i="14"/>
  <c r="A624" i="14"/>
  <c r="F624" i="14" s="1"/>
  <c r="A625" i="14"/>
  <c r="B625" i="14" s="1"/>
  <c r="E625" i="14"/>
  <c r="I625" i="14"/>
  <c r="A626" i="14"/>
  <c r="G626" i="14" s="1"/>
  <c r="I626" i="14"/>
  <c r="A627" i="14"/>
  <c r="F627" i="14" s="1"/>
  <c r="I627" i="14"/>
  <c r="A628" i="14"/>
  <c r="F628" i="14" s="1"/>
  <c r="A629" i="14"/>
  <c r="B629" i="14"/>
  <c r="C629" i="14"/>
  <c r="D629" i="14"/>
  <c r="E629" i="14"/>
  <c r="F629" i="14"/>
  <c r="G629" i="14"/>
  <c r="H629" i="14"/>
  <c r="I629" i="14"/>
  <c r="J629" i="14"/>
  <c r="K629" i="14"/>
  <c r="A630" i="14"/>
  <c r="G630" i="14" s="1"/>
  <c r="I630" i="14"/>
  <c r="A631" i="14"/>
  <c r="F631" i="14" s="1"/>
  <c r="A632" i="14"/>
  <c r="F632" i="14" s="1"/>
  <c r="E632" i="14"/>
  <c r="I632" i="14"/>
  <c r="K632" i="14"/>
  <c r="A633" i="14"/>
  <c r="B633" i="14"/>
  <c r="C633" i="14"/>
  <c r="D633" i="14"/>
  <c r="E633" i="14"/>
  <c r="F633" i="14"/>
  <c r="G633" i="14"/>
  <c r="H633" i="14"/>
  <c r="I633" i="14"/>
  <c r="J633" i="14"/>
  <c r="K633" i="14"/>
  <c r="A634" i="14"/>
  <c r="G634" i="14" s="1"/>
  <c r="A635" i="14"/>
  <c r="F635" i="14" s="1"/>
  <c r="E635" i="14"/>
  <c r="A636" i="14"/>
  <c r="F636" i="14" s="1"/>
  <c r="I636" i="14"/>
  <c r="A637" i="14"/>
  <c r="B637" i="14" s="1"/>
  <c r="E637" i="14"/>
  <c r="I637" i="14"/>
  <c r="A638" i="14"/>
  <c r="G638" i="14" s="1"/>
  <c r="E638" i="14"/>
  <c r="A639" i="14"/>
  <c r="F639" i="14" s="1"/>
  <c r="I639" i="14"/>
  <c r="A640" i="14"/>
  <c r="F640" i="14" s="1"/>
  <c r="A641" i="14"/>
  <c r="B641" i="14" s="1"/>
  <c r="E641" i="14"/>
  <c r="I641" i="14"/>
  <c r="A642" i="14"/>
  <c r="G642" i="14" s="1"/>
  <c r="I642" i="14"/>
  <c r="A643" i="14"/>
  <c r="F643" i="14" s="1"/>
  <c r="I643" i="14"/>
  <c r="A644" i="14"/>
  <c r="F644" i="14" s="1"/>
  <c r="A645" i="14"/>
  <c r="B645" i="14"/>
  <c r="C645" i="14"/>
  <c r="D645" i="14"/>
  <c r="E645" i="14"/>
  <c r="F645" i="14"/>
  <c r="G645" i="14"/>
  <c r="H645" i="14"/>
  <c r="I645" i="14"/>
  <c r="J645" i="14"/>
  <c r="K645" i="14"/>
  <c r="A646" i="14"/>
  <c r="G646" i="14" s="1"/>
  <c r="I646" i="14"/>
  <c r="A647" i="14"/>
  <c r="F647" i="14" s="1"/>
  <c r="A648" i="14"/>
  <c r="B648" i="14"/>
  <c r="C648" i="14"/>
  <c r="D648" i="14"/>
  <c r="E648" i="14"/>
  <c r="F648" i="14"/>
  <c r="G648" i="14"/>
  <c r="H648" i="14"/>
  <c r="I648" i="14"/>
  <c r="J648" i="14"/>
  <c r="K648" i="14"/>
  <c r="A649" i="14"/>
  <c r="E649" i="14" s="1"/>
  <c r="G649" i="14"/>
  <c r="I649" i="14"/>
  <c r="A650" i="14"/>
  <c r="E650" i="14" s="1"/>
  <c r="F650" i="14"/>
  <c r="I650" i="14"/>
  <c r="A651" i="14"/>
  <c r="E651" i="14" s="1"/>
  <c r="F651" i="14"/>
  <c r="I651" i="14"/>
  <c r="K651" i="14"/>
  <c r="A652" i="14"/>
  <c r="B652" i="14"/>
  <c r="C652" i="14"/>
  <c r="D652" i="14"/>
  <c r="E652" i="14"/>
  <c r="F652" i="14"/>
  <c r="G652" i="14"/>
  <c r="H652" i="14"/>
  <c r="I652" i="14"/>
  <c r="J652" i="14"/>
  <c r="K652" i="14"/>
  <c r="A653" i="14"/>
  <c r="E653" i="14" s="1"/>
  <c r="G653" i="14"/>
  <c r="I653" i="14"/>
  <c r="A654" i="14"/>
  <c r="E654" i="14" s="1"/>
  <c r="F654" i="14"/>
  <c r="I654" i="14"/>
  <c r="A655" i="14"/>
  <c r="E655" i="14" s="1"/>
  <c r="F655" i="14"/>
  <c r="I655" i="14"/>
  <c r="K655" i="14"/>
  <c r="A656" i="14"/>
  <c r="B656" i="14"/>
  <c r="C656" i="14"/>
  <c r="D656" i="14"/>
  <c r="E656" i="14"/>
  <c r="F656" i="14"/>
  <c r="G656" i="14"/>
  <c r="H656" i="14"/>
  <c r="I656" i="14"/>
  <c r="J656" i="14"/>
  <c r="K656" i="14"/>
  <c r="A657" i="14"/>
  <c r="E657" i="14" s="1"/>
  <c r="G657" i="14"/>
  <c r="I657" i="14"/>
  <c r="A658" i="14"/>
  <c r="E658" i="14" s="1"/>
  <c r="F658" i="14"/>
  <c r="I658" i="14"/>
  <c r="A659" i="14"/>
  <c r="E659" i="14" s="1"/>
  <c r="F659" i="14"/>
  <c r="I659" i="14"/>
  <c r="K659" i="14"/>
  <c r="A660" i="14"/>
  <c r="B660" i="14"/>
  <c r="C660" i="14"/>
  <c r="D660" i="14"/>
  <c r="E660" i="14"/>
  <c r="F660" i="14"/>
  <c r="G660" i="14"/>
  <c r="H660" i="14"/>
  <c r="I660" i="14"/>
  <c r="J660" i="14"/>
  <c r="K660" i="14"/>
  <c r="A661" i="14"/>
  <c r="E661" i="14" s="1"/>
  <c r="G661" i="14"/>
  <c r="I661" i="14"/>
  <c r="A662" i="14"/>
  <c r="E662" i="14" s="1"/>
  <c r="F662" i="14"/>
  <c r="I662" i="14"/>
  <c r="A663" i="14"/>
  <c r="E663" i="14" s="1"/>
  <c r="F663" i="14"/>
  <c r="I663" i="14"/>
  <c r="K663" i="14"/>
  <c r="A664" i="14"/>
  <c r="B664" i="14"/>
  <c r="C664" i="14"/>
  <c r="D664" i="14"/>
  <c r="E664" i="14"/>
  <c r="F664" i="14"/>
  <c r="G664" i="14"/>
  <c r="H664" i="14"/>
  <c r="I664" i="14"/>
  <c r="J664" i="14"/>
  <c r="K664" i="14"/>
  <c r="A665" i="14"/>
  <c r="E665" i="14" s="1"/>
  <c r="G665" i="14"/>
  <c r="I665" i="14"/>
  <c r="A666" i="14"/>
  <c r="E666" i="14" s="1"/>
  <c r="F666" i="14"/>
  <c r="I666" i="14"/>
  <c r="A667" i="14"/>
  <c r="E667" i="14" s="1"/>
  <c r="F667" i="14"/>
  <c r="I667" i="14"/>
  <c r="K667" i="14"/>
  <c r="A668" i="14"/>
  <c r="B668" i="14"/>
  <c r="C668" i="14"/>
  <c r="D668" i="14"/>
  <c r="E668" i="14"/>
  <c r="F668" i="14"/>
  <c r="G668" i="14"/>
  <c r="H668" i="14"/>
  <c r="I668" i="14"/>
  <c r="J668" i="14"/>
  <c r="K668" i="14"/>
  <c r="A669" i="14"/>
  <c r="E669" i="14" s="1"/>
  <c r="G669" i="14"/>
  <c r="I669" i="14"/>
  <c r="A670" i="14"/>
  <c r="E670" i="14" s="1"/>
  <c r="F670" i="14"/>
  <c r="I670" i="14"/>
  <c r="A671" i="14"/>
  <c r="E671" i="14" s="1"/>
  <c r="F671" i="14"/>
  <c r="I671" i="14"/>
  <c r="K671" i="14"/>
  <c r="A672" i="14"/>
  <c r="B672" i="14"/>
  <c r="C672" i="14"/>
  <c r="D672" i="14"/>
  <c r="E672" i="14"/>
  <c r="F672" i="14"/>
  <c r="G672" i="14"/>
  <c r="H672" i="14"/>
  <c r="I672" i="14"/>
  <c r="J672" i="14"/>
  <c r="K672" i="14"/>
  <c r="A673" i="14"/>
  <c r="E673" i="14" s="1"/>
  <c r="G673" i="14"/>
  <c r="I673" i="14"/>
  <c r="A674" i="14"/>
  <c r="E674" i="14" s="1"/>
  <c r="F674" i="14"/>
  <c r="I674" i="14"/>
  <c r="A675" i="14"/>
  <c r="E675" i="14" s="1"/>
  <c r="F675" i="14"/>
  <c r="I675" i="14"/>
  <c r="K675" i="14"/>
  <c r="A676" i="14"/>
  <c r="B676" i="14"/>
  <c r="C676" i="14"/>
  <c r="D676" i="14"/>
  <c r="E676" i="14"/>
  <c r="F676" i="14"/>
  <c r="G676" i="14"/>
  <c r="H676" i="14"/>
  <c r="I676" i="14"/>
  <c r="J676" i="14"/>
  <c r="K676" i="14"/>
  <c r="A677" i="14"/>
  <c r="E677" i="14" s="1"/>
  <c r="G677" i="14"/>
  <c r="I677" i="14"/>
  <c r="A678" i="14"/>
  <c r="C678" i="14" s="1"/>
  <c r="F678" i="14"/>
  <c r="H678" i="14"/>
  <c r="J678" i="14"/>
  <c r="A679" i="14"/>
  <c r="C679" i="14" s="1"/>
  <c r="E679" i="14"/>
  <c r="I679" i="14"/>
  <c r="A680" i="14"/>
  <c r="B680" i="14" s="1"/>
  <c r="C680" i="14"/>
  <c r="D680" i="14"/>
  <c r="E680" i="14"/>
  <c r="G680" i="14"/>
  <c r="H680" i="14"/>
  <c r="I680" i="14"/>
  <c r="K680" i="14"/>
  <c r="A681" i="14"/>
  <c r="D681" i="14" s="1"/>
  <c r="I681" i="14"/>
  <c r="A682" i="14"/>
  <c r="C682" i="14" s="1"/>
  <c r="B682" i="14"/>
  <c r="D682" i="14"/>
  <c r="E682" i="14"/>
  <c r="F682" i="14"/>
  <c r="H682" i="14"/>
  <c r="I682" i="14"/>
  <c r="J682" i="14"/>
  <c r="A683" i="14"/>
  <c r="C683" i="14" s="1"/>
  <c r="E683" i="14"/>
  <c r="I683" i="14"/>
  <c r="A684" i="14"/>
  <c r="B684" i="14" s="1"/>
  <c r="C684" i="14"/>
  <c r="D684" i="14"/>
  <c r="E684" i="14"/>
  <c r="G684" i="14"/>
  <c r="H684" i="14"/>
  <c r="I684" i="14"/>
  <c r="K684" i="14"/>
  <c r="A685" i="14"/>
  <c r="D685" i="14" s="1"/>
  <c r="I685" i="14"/>
  <c r="A686" i="14"/>
  <c r="C686" i="14" s="1"/>
  <c r="B686" i="14"/>
  <c r="D686" i="14"/>
  <c r="E686" i="14"/>
  <c r="F686" i="14"/>
  <c r="H686" i="14"/>
  <c r="I686" i="14"/>
  <c r="J686" i="14"/>
  <c r="A687" i="14"/>
  <c r="C687" i="14" s="1"/>
  <c r="E687" i="14"/>
  <c r="I687" i="14"/>
  <c r="A688" i="14"/>
  <c r="B688" i="14" s="1"/>
  <c r="C688" i="14"/>
  <c r="D688" i="14"/>
  <c r="E688" i="14"/>
  <c r="G688" i="14"/>
  <c r="H688" i="14"/>
  <c r="I688" i="14"/>
  <c r="K688" i="14"/>
  <c r="A689" i="14"/>
  <c r="D689" i="14" s="1"/>
  <c r="I689" i="14"/>
  <c r="A690" i="14"/>
  <c r="C690" i="14" s="1"/>
  <c r="B690" i="14"/>
  <c r="D690" i="14"/>
  <c r="E690" i="14"/>
  <c r="F690" i="14"/>
  <c r="H690" i="14"/>
  <c r="I690" i="14"/>
  <c r="J690" i="14"/>
  <c r="A691" i="14"/>
  <c r="C691" i="14" s="1"/>
  <c r="E691" i="14"/>
  <c r="I691" i="14"/>
  <c r="A692" i="14"/>
  <c r="B692" i="14" s="1"/>
  <c r="C692" i="14"/>
  <c r="D692" i="14"/>
  <c r="E692" i="14"/>
  <c r="G692" i="14"/>
  <c r="H692" i="14"/>
  <c r="I692" i="14"/>
  <c r="K692" i="14"/>
  <c r="A693" i="14"/>
  <c r="D693" i="14" s="1"/>
  <c r="I693" i="14"/>
  <c r="A694" i="14"/>
  <c r="C694" i="14" s="1"/>
  <c r="B694" i="14"/>
  <c r="D694" i="14"/>
  <c r="E694" i="14"/>
  <c r="F694" i="14"/>
  <c r="H694" i="14"/>
  <c r="I694" i="14"/>
  <c r="J694" i="14"/>
  <c r="A695" i="14"/>
  <c r="C695" i="14" s="1"/>
  <c r="E695" i="14"/>
  <c r="I695" i="14"/>
  <c r="A696" i="14"/>
  <c r="B696" i="14" s="1"/>
  <c r="C696" i="14"/>
  <c r="D696" i="14"/>
  <c r="E696" i="14"/>
  <c r="G696" i="14"/>
  <c r="H696" i="14"/>
  <c r="I696" i="14"/>
  <c r="K696" i="14"/>
  <c r="A697" i="14"/>
  <c r="D697" i="14" s="1"/>
  <c r="I697" i="14"/>
  <c r="A698" i="14"/>
  <c r="C698" i="14" s="1"/>
  <c r="B698" i="14"/>
  <c r="D698" i="14"/>
  <c r="E698" i="14"/>
  <c r="F698" i="14"/>
  <c r="H698" i="14"/>
  <c r="I698" i="14"/>
  <c r="J698" i="14"/>
  <c r="A699" i="14"/>
  <c r="C699" i="14" s="1"/>
  <c r="E699" i="14"/>
  <c r="I699" i="14"/>
  <c r="A700" i="14"/>
  <c r="B700" i="14" s="1"/>
  <c r="C700" i="14"/>
  <c r="D700" i="14"/>
  <c r="E700" i="14"/>
  <c r="G700" i="14"/>
  <c r="H700" i="14"/>
  <c r="I700" i="14"/>
  <c r="K700" i="14"/>
  <c r="A701" i="14"/>
  <c r="D701" i="14" s="1"/>
  <c r="I701" i="14"/>
  <c r="A702" i="14"/>
  <c r="C702" i="14" s="1"/>
  <c r="B702" i="14"/>
  <c r="D702" i="14"/>
  <c r="E702" i="14"/>
  <c r="F702" i="14"/>
  <c r="H702" i="14"/>
  <c r="I702" i="14"/>
  <c r="J702" i="14"/>
  <c r="A703" i="14"/>
  <c r="C703" i="14" s="1"/>
  <c r="E703" i="14"/>
  <c r="I703" i="14"/>
  <c r="A704" i="14"/>
  <c r="B704" i="14" s="1"/>
  <c r="C704" i="14"/>
  <c r="D704" i="14"/>
  <c r="E704" i="14"/>
  <c r="G704" i="14"/>
  <c r="H704" i="14"/>
  <c r="I704" i="14"/>
  <c r="K704" i="14"/>
  <c r="A705" i="14"/>
  <c r="D705" i="14" s="1"/>
  <c r="I705" i="14"/>
  <c r="A706" i="14"/>
  <c r="C706" i="14" s="1"/>
  <c r="B706" i="14"/>
  <c r="D706" i="14"/>
  <c r="E706" i="14"/>
  <c r="F706" i="14"/>
  <c r="H706" i="14"/>
  <c r="I706" i="14"/>
  <c r="J706" i="14"/>
  <c r="A707" i="14"/>
  <c r="C707" i="14" s="1"/>
  <c r="E707" i="14"/>
  <c r="I707" i="14"/>
  <c r="A708" i="14"/>
  <c r="B708" i="14" s="1"/>
  <c r="C708" i="14"/>
  <c r="D708" i="14"/>
  <c r="E708" i="14"/>
  <c r="G708" i="14"/>
  <c r="H708" i="14"/>
  <c r="I708" i="14"/>
  <c r="K708" i="14"/>
  <c r="A709" i="14"/>
  <c r="D709" i="14" s="1"/>
  <c r="I709" i="14"/>
  <c r="A710" i="14"/>
  <c r="C710" i="14" s="1"/>
  <c r="B710" i="14"/>
  <c r="D710" i="14"/>
  <c r="E710" i="14"/>
  <c r="F710" i="14"/>
  <c r="H710" i="14"/>
  <c r="I710" i="14"/>
  <c r="J710" i="14"/>
  <c r="A711" i="14"/>
  <c r="C711" i="14" s="1"/>
  <c r="E711" i="14"/>
  <c r="I711" i="14"/>
  <c r="A712" i="14"/>
  <c r="B712" i="14" s="1"/>
  <c r="C712" i="14"/>
  <c r="D712" i="14"/>
  <c r="E712" i="14"/>
  <c r="G712" i="14"/>
  <c r="H712" i="14"/>
  <c r="I712" i="14"/>
  <c r="K712" i="14"/>
  <c r="A713" i="14"/>
  <c r="D713" i="14" s="1"/>
  <c r="I713" i="14"/>
  <c r="A714" i="14"/>
  <c r="C714" i="14" s="1"/>
  <c r="B714" i="14"/>
  <c r="D714" i="14"/>
  <c r="E714" i="14"/>
  <c r="F714" i="14"/>
  <c r="H714" i="14"/>
  <c r="I714" i="14"/>
  <c r="J714" i="14"/>
  <c r="A715" i="14"/>
  <c r="C715" i="14" s="1"/>
  <c r="E715" i="14"/>
  <c r="I715" i="14"/>
  <c r="A716" i="14"/>
  <c r="B716" i="14" s="1"/>
  <c r="C716" i="14"/>
  <c r="D716" i="14"/>
  <c r="E716" i="14"/>
  <c r="G716" i="14"/>
  <c r="H716" i="14"/>
  <c r="I716" i="14"/>
  <c r="K716" i="14"/>
  <c r="A717" i="14"/>
  <c r="D717" i="14" s="1"/>
  <c r="I717" i="14"/>
  <c r="A718" i="14"/>
  <c r="C718" i="14" s="1"/>
  <c r="B718" i="14"/>
  <c r="D718" i="14"/>
  <c r="E718" i="14"/>
  <c r="F718" i="14"/>
  <c r="H718" i="14"/>
  <c r="I718" i="14"/>
  <c r="J718" i="14"/>
  <c r="A719" i="14"/>
  <c r="C719" i="14" s="1"/>
  <c r="E719" i="14"/>
  <c r="I719" i="14"/>
  <c r="A720" i="14"/>
  <c r="B720" i="14" s="1"/>
  <c r="C720" i="14"/>
  <c r="D720" i="14"/>
  <c r="E720" i="14"/>
  <c r="G720" i="14"/>
  <c r="H720" i="14"/>
  <c r="I720" i="14"/>
  <c r="K720" i="14"/>
  <c r="A721" i="14"/>
  <c r="D721" i="14" s="1"/>
  <c r="I721" i="14"/>
  <c r="A722" i="14"/>
  <c r="C722" i="14" s="1"/>
  <c r="B722" i="14"/>
  <c r="D722" i="14"/>
  <c r="E722" i="14"/>
  <c r="F722" i="14"/>
  <c r="H722" i="14"/>
  <c r="I722" i="14"/>
  <c r="J722" i="14"/>
  <c r="A723" i="14"/>
  <c r="C723" i="14" s="1"/>
  <c r="E723" i="14"/>
  <c r="I723" i="14"/>
  <c r="A724" i="14"/>
  <c r="B724" i="14" s="1"/>
  <c r="C724" i="14"/>
  <c r="D724" i="14"/>
  <c r="E724" i="14"/>
  <c r="G724" i="14"/>
  <c r="H724" i="14"/>
  <c r="I724" i="14"/>
  <c r="K724" i="14"/>
  <c r="A725" i="14"/>
  <c r="D725" i="14" s="1"/>
  <c r="I725" i="14"/>
  <c r="A726" i="14"/>
  <c r="C726" i="14" s="1"/>
  <c r="B726" i="14"/>
  <c r="D726" i="14"/>
  <c r="E726" i="14"/>
  <c r="F726" i="14"/>
  <c r="H726" i="14"/>
  <c r="I726" i="14"/>
  <c r="J726" i="14"/>
  <c r="A727" i="14"/>
  <c r="C727" i="14" s="1"/>
  <c r="E727" i="14"/>
  <c r="I727" i="14"/>
  <c r="A728" i="14"/>
  <c r="B728" i="14" s="1"/>
  <c r="C728" i="14"/>
  <c r="D728" i="14"/>
  <c r="E728" i="14"/>
  <c r="G728" i="14"/>
  <c r="H728" i="14"/>
  <c r="I728" i="14"/>
  <c r="K728" i="14"/>
  <c r="A729" i="14"/>
  <c r="D729" i="14" s="1"/>
  <c r="I729" i="14"/>
  <c r="A730" i="14"/>
  <c r="C730" i="14" s="1"/>
  <c r="B730" i="14"/>
  <c r="D730" i="14"/>
  <c r="E730" i="14"/>
  <c r="F730" i="14"/>
  <c r="H730" i="14"/>
  <c r="I730" i="14"/>
  <c r="J730" i="14"/>
  <c r="A731" i="14"/>
  <c r="C731" i="14" s="1"/>
  <c r="E731" i="14"/>
  <c r="I731" i="14"/>
  <c r="A732" i="14"/>
  <c r="B732" i="14" s="1"/>
  <c r="C732" i="14"/>
  <c r="D732" i="14"/>
  <c r="E732" i="14"/>
  <c r="G732" i="14"/>
  <c r="H732" i="14"/>
  <c r="I732" i="14"/>
  <c r="K732" i="14"/>
  <c r="A733" i="14"/>
  <c r="D733" i="14" s="1"/>
  <c r="I733" i="14"/>
  <c r="A734" i="14"/>
  <c r="C734" i="14" s="1"/>
  <c r="B734" i="14"/>
  <c r="D734" i="14"/>
  <c r="E734" i="14"/>
  <c r="F734" i="14"/>
  <c r="H734" i="14"/>
  <c r="I734" i="14"/>
  <c r="J734" i="14"/>
  <c r="A735" i="14"/>
  <c r="C735" i="14" s="1"/>
  <c r="E735" i="14"/>
  <c r="I735" i="14"/>
  <c r="A736" i="14"/>
  <c r="B736" i="14" s="1"/>
  <c r="C736" i="14"/>
  <c r="D736" i="14"/>
  <c r="E736" i="14"/>
  <c r="G736" i="14"/>
  <c r="H736" i="14"/>
  <c r="I736" i="14"/>
  <c r="K736" i="14"/>
  <c r="A737" i="14"/>
  <c r="D737" i="14" s="1"/>
  <c r="I737" i="14"/>
  <c r="A738" i="14"/>
  <c r="C738" i="14" s="1"/>
  <c r="B738" i="14"/>
  <c r="D738" i="14"/>
  <c r="E738" i="14"/>
  <c r="F738" i="14"/>
  <c r="H738" i="14"/>
  <c r="I738" i="14"/>
  <c r="J738" i="14"/>
  <c r="A739" i="14"/>
  <c r="C739" i="14" s="1"/>
  <c r="E739" i="14"/>
  <c r="I739" i="14"/>
  <c r="A740" i="14"/>
  <c r="B740" i="14" s="1"/>
  <c r="C740" i="14"/>
  <c r="D740" i="14"/>
  <c r="E740" i="14"/>
  <c r="G740" i="14"/>
  <c r="H740" i="14"/>
  <c r="I740" i="14"/>
  <c r="K740" i="14"/>
  <c r="A741" i="14"/>
  <c r="D741" i="14" s="1"/>
  <c r="I741" i="14"/>
  <c r="A742" i="14"/>
  <c r="C742" i="14" s="1"/>
  <c r="B742" i="14"/>
  <c r="D742" i="14"/>
  <c r="E742" i="14"/>
  <c r="F742" i="14"/>
  <c r="H742" i="14"/>
  <c r="I742" i="14"/>
  <c r="J742" i="14"/>
  <c r="A743" i="14"/>
  <c r="C743" i="14" s="1"/>
  <c r="E743" i="14"/>
  <c r="I743" i="14"/>
  <c r="A744" i="14"/>
  <c r="B744" i="14" s="1"/>
  <c r="C744" i="14"/>
  <c r="D744" i="14"/>
  <c r="E744" i="14"/>
  <c r="G744" i="14"/>
  <c r="H744" i="14"/>
  <c r="I744" i="14"/>
  <c r="K744" i="14"/>
  <c r="A745" i="14"/>
  <c r="D745" i="14" s="1"/>
  <c r="I745" i="14"/>
  <c r="A746" i="14"/>
  <c r="C746" i="14" s="1"/>
  <c r="B746" i="14"/>
  <c r="D746" i="14"/>
  <c r="E746" i="14"/>
  <c r="F746" i="14"/>
  <c r="H746" i="14"/>
  <c r="I746" i="14"/>
  <c r="J746" i="14"/>
  <c r="A747" i="14"/>
  <c r="C747" i="14" s="1"/>
  <c r="E747" i="14"/>
  <c r="I747" i="14"/>
  <c r="A748" i="14"/>
  <c r="B748" i="14" s="1"/>
  <c r="C748" i="14"/>
  <c r="D748" i="14"/>
  <c r="E748" i="14"/>
  <c r="G748" i="14"/>
  <c r="H748" i="14"/>
  <c r="I748" i="14"/>
  <c r="K748" i="14"/>
  <c r="A749" i="14"/>
  <c r="D749" i="14" s="1"/>
  <c r="I749" i="14"/>
  <c r="A750" i="14"/>
  <c r="C750" i="14" s="1"/>
  <c r="B750" i="14"/>
  <c r="D750" i="14"/>
  <c r="E750" i="14"/>
  <c r="F750" i="14"/>
  <c r="H750" i="14"/>
  <c r="I750" i="14"/>
  <c r="J750" i="14"/>
  <c r="A751" i="14"/>
  <c r="C751" i="14" s="1"/>
  <c r="E751" i="14"/>
  <c r="I751" i="14"/>
  <c r="A752" i="14"/>
  <c r="B752" i="14" s="1"/>
  <c r="C752" i="14"/>
  <c r="D752" i="14"/>
  <c r="E752" i="14"/>
  <c r="G752" i="14"/>
  <c r="H752" i="14"/>
  <c r="I752" i="14"/>
  <c r="K752" i="14"/>
  <c r="A753" i="14"/>
  <c r="D753" i="14" s="1"/>
  <c r="I753" i="14"/>
  <c r="A754" i="14"/>
  <c r="C754" i="14" s="1"/>
  <c r="B754" i="14"/>
  <c r="D754" i="14"/>
  <c r="E754" i="14"/>
  <c r="F754" i="14"/>
  <c r="H754" i="14"/>
  <c r="I754" i="14"/>
  <c r="J754" i="14"/>
  <c r="A755" i="14"/>
  <c r="C755" i="14" s="1"/>
  <c r="E755" i="14"/>
  <c r="I755" i="14"/>
  <c r="A756" i="14"/>
  <c r="B756" i="14" s="1"/>
  <c r="C756" i="14"/>
  <c r="D756" i="14"/>
  <c r="E756" i="14"/>
  <c r="G756" i="14"/>
  <c r="H756" i="14"/>
  <c r="I756" i="14"/>
  <c r="K756" i="14"/>
  <c r="A757" i="14"/>
  <c r="D757" i="14" s="1"/>
  <c r="I757" i="14"/>
  <c r="A758" i="14"/>
  <c r="C758" i="14" s="1"/>
  <c r="B758" i="14"/>
  <c r="D758" i="14"/>
  <c r="E758" i="14"/>
  <c r="F758" i="14"/>
  <c r="H758" i="14"/>
  <c r="I758" i="14"/>
  <c r="J758" i="14"/>
  <c r="A759" i="14"/>
  <c r="C759" i="14" s="1"/>
  <c r="E759" i="14"/>
  <c r="I759" i="14"/>
  <c r="A760" i="14"/>
  <c r="B760" i="14" s="1"/>
  <c r="C760" i="14"/>
  <c r="D760" i="14"/>
  <c r="E760" i="14"/>
  <c r="G760" i="14"/>
  <c r="H760" i="14"/>
  <c r="I760" i="14"/>
  <c r="K760" i="14"/>
  <c r="A761" i="14"/>
  <c r="D761" i="14" s="1"/>
  <c r="I761" i="14"/>
  <c r="A762" i="14"/>
  <c r="C762" i="14" s="1"/>
  <c r="B762" i="14"/>
  <c r="D762" i="14"/>
  <c r="E762" i="14"/>
  <c r="F762" i="14"/>
  <c r="H762" i="14"/>
  <c r="I762" i="14"/>
  <c r="J762" i="14"/>
  <c r="A763" i="14"/>
  <c r="C763" i="14" s="1"/>
  <c r="E763" i="14"/>
  <c r="I763" i="14"/>
  <c r="A764" i="14"/>
  <c r="B764" i="14" s="1"/>
  <c r="C764" i="14"/>
  <c r="D764" i="14"/>
  <c r="E764" i="14"/>
  <c r="G764" i="14"/>
  <c r="H764" i="14"/>
  <c r="I764" i="14"/>
  <c r="K764" i="14"/>
  <c r="A765" i="14"/>
  <c r="D765" i="14" s="1"/>
  <c r="I765" i="14"/>
  <c r="A766" i="14"/>
  <c r="C766" i="14" s="1"/>
  <c r="B766" i="14"/>
  <c r="D766" i="14"/>
  <c r="E766" i="14"/>
  <c r="F766" i="14"/>
  <c r="H766" i="14"/>
  <c r="I766" i="14"/>
  <c r="J766" i="14"/>
  <c r="A767" i="14"/>
  <c r="C767" i="14" s="1"/>
  <c r="E767" i="14"/>
  <c r="I767" i="14"/>
  <c r="A768" i="14"/>
  <c r="B768" i="14" s="1"/>
  <c r="C768" i="14"/>
  <c r="D768" i="14"/>
  <c r="E768" i="14"/>
  <c r="G768" i="14"/>
  <c r="H768" i="14"/>
  <c r="I768" i="14"/>
  <c r="K768" i="14"/>
  <c r="A769" i="14"/>
  <c r="D769" i="14" s="1"/>
  <c r="I769" i="14"/>
  <c r="A770" i="14"/>
  <c r="C770" i="14" s="1"/>
  <c r="B770" i="14"/>
  <c r="D770" i="14"/>
  <c r="E770" i="14"/>
  <c r="F770" i="14"/>
  <c r="H770" i="14"/>
  <c r="I770" i="14"/>
  <c r="J770" i="14"/>
  <c r="A771" i="14"/>
  <c r="C771" i="14" s="1"/>
  <c r="E771" i="14"/>
  <c r="I771" i="14"/>
  <c r="A772" i="14"/>
  <c r="B772" i="14" s="1"/>
  <c r="C772" i="14"/>
  <c r="D772" i="14"/>
  <c r="E772" i="14"/>
  <c r="G772" i="14"/>
  <c r="H772" i="14"/>
  <c r="I772" i="14"/>
  <c r="K772" i="14"/>
  <c r="A773" i="14"/>
  <c r="D773" i="14" s="1"/>
  <c r="I773" i="14"/>
  <c r="A774" i="14"/>
  <c r="C774" i="14" s="1"/>
  <c r="B774" i="14"/>
  <c r="D774" i="14"/>
  <c r="E774" i="14"/>
  <c r="F774" i="14"/>
  <c r="H774" i="14"/>
  <c r="I774" i="14"/>
  <c r="J774" i="14"/>
  <c r="A775" i="14"/>
  <c r="C775" i="14" s="1"/>
  <c r="E775" i="14"/>
  <c r="I775" i="14"/>
  <c r="A776" i="14"/>
  <c r="B776" i="14" s="1"/>
  <c r="C776" i="14"/>
  <c r="D776" i="14"/>
  <c r="E776" i="14"/>
  <c r="G776" i="14"/>
  <c r="H776" i="14"/>
  <c r="I776" i="14"/>
  <c r="K776" i="14"/>
  <c r="A777" i="14"/>
  <c r="D777" i="14" s="1"/>
  <c r="I777" i="14"/>
  <c r="A778" i="14"/>
  <c r="C778" i="14" s="1"/>
  <c r="B778" i="14"/>
  <c r="D778" i="14"/>
  <c r="E778" i="14"/>
  <c r="F778" i="14"/>
  <c r="H778" i="14"/>
  <c r="I778" i="14"/>
  <c r="J778" i="14"/>
  <c r="A779" i="14"/>
  <c r="I779" i="14" s="1"/>
  <c r="A780" i="14"/>
  <c r="C780" i="14" s="1"/>
  <c r="B780" i="14"/>
  <c r="E780" i="14"/>
  <c r="F780" i="14"/>
  <c r="I780" i="14"/>
  <c r="J780" i="14"/>
  <c r="A781" i="14"/>
  <c r="D781" i="14" s="1"/>
  <c r="C781" i="14"/>
  <c r="E781" i="14"/>
  <c r="G781" i="14"/>
  <c r="I781" i="14"/>
  <c r="K781" i="14"/>
  <c r="A782" i="14"/>
  <c r="C782" i="14" s="1"/>
  <c r="F782" i="14"/>
  <c r="A783" i="14"/>
  <c r="I783" i="14" s="1"/>
  <c r="A784" i="14"/>
  <c r="B784" i="14" s="1"/>
  <c r="C784" i="14"/>
  <c r="D784" i="14"/>
  <c r="E784" i="14"/>
  <c r="G784" i="14"/>
  <c r="H784" i="14"/>
  <c r="I784" i="14"/>
  <c r="K784" i="14"/>
  <c r="A785" i="14"/>
  <c r="D785" i="14" s="1"/>
  <c r="I785" i="14"/>
  <c r="A786" i="14"/>
  <c r="C786" i="14" s="1"/>
  <c r="B786" i="14"/>
  <c r="D786" i="14"/>
  <c r="E786" i="14"/>
  <c r="F786" i="14"/>
  <c r="H786" i="14"/>
  <c r="I786" i="14"/>
  <c r="J786" i="14"/>
  <c r="A787" i="14"/>
  <c r="I787" i="14" s="1"/>
  <c r="A788" i="14"/>
  <c r="C788" i="14" s="1"/>
  <c r="B788" i="14"/>
  <c r="E788" i="14"/>
  <c r="F788" i="14"/>
  <c r="I788" i="14"/>
  <c r="J788" i="14"/>
  <c r="A789" i="14"/>
  <c r="D789" i="14" s="1"/>
  <c r="C789" i="14"/>
  <c r="E789" i="14"/>
  <c r="G789" i="14"/>
  <c r="I789" i="14"/>
  <c r="K789" i="14"/>
  <c r="A790" i="14"/>
  <c r="C790" i="14" s="1"/>
  <c r="F790" i="14"/>
  <c r="A791" i="14"/>
  <c r="I791" i="14" s="1"/>
  <c r="A792" i="14"/>
  <c r="B792" i="14" s="1"/>
  <c r="C792" i="14"/>
  <c r="D792" i="14"/>
  <c r="E792" i="14"/>
  <c r="G792" i="14"/>
  <c r="H792" i="14"/>
  <c r="I792" i="14"/>
  <c r="K792" i="14"/>
  <c r="A793" i="14"/>
  <c r="D793" i="14" s="1"/>
  <c r="I793" i="14"/>
  <c r="A794" i="14"/>
  <c r="C794" i="14" s="1"/>
  <c r="B794" i="14"/>
  <c r="D794" i="14"/>
  <c r="E794" i="14"/>
  <c r="F794" i="14"/>
  <c r="H794" i="14"/>
  <c r="I794" i="14"/>
  <c r="J794" i="14"/>
  <c r="A795" i="14"/>
  <c r="I795" i="14" s="1"/>
  <c r="A796" i="14"/>
  <c r="C796" i="14" s="1"/>
  <c r="B796" i="14"/>
  <c r="E796" i="14"/>
  <c r="F796" i="14"/>
  <c r="I796" i="14"/>
  <c r="J796" i="14"/>
  <c r="A797" i="14"/>
  <c r="D797" i="14" s="1"/>
  <c r="C797" i="14"/>
  <c r="E797" i="14"/>
  <c r="G797" i="14"/>
  <c r="I797" i="14"/>
  <c r="K797" i="14"/>
  <c r="A798" i="14"/>
  <c r="C798" i="14" s="1"/>
  <c r="F798" i="14"/>
  <c r="A799" i="14"/>
  <c r="I799" i="14" s="1"/>
  <c r="A800" i="14"/>
  <c r="B800" i="14" s="1"/>
  <c r="C800" i="14"/>
  <c r="D800" i="14"/>
  <c r="E800" i="14"/>
  <c r="G800" i="14"/>
  <c r="H800" i="14"/>
  <c r="I800" i="14"/>
  <c r="K800" i="14"/>
  <c r="A801" i="14"/>
  <c r="D801" i="14" s="1"/>
  <c r="I801" i="14"/>
  <c r="A802" i="14"/>
  <c r="C802" i="14" s="1"/>
  <c r="B802" i="14"/>
  <c r="D802" i="14"/>
  <c r="E802" i="14"/>
  <c r="F802" i="14"/>
  <c r="H802" i="14"/>
  <c r="I802" i="14"/>
  <c r="J802" i="14"/>
  <c r="A803" i="14"/>
  <c r="I803" i="14" s="1"/>
  <c r="A804" i="14"/>
  <c r="C804" i="14" s="1"/>
  <c r="B804" i="14"/>
  <c r="E804" i="14"/>
  <c r="F804" i="14"/>
  <c r="I804" i="14"/>
  <c r="J804" i="14"/>
  <c r="A805" i="14"/>
  <c r="D805" i="14" s="1"/>
  <c r="C805" i="14"/>
  <c r="E805" i="14"/>
  <c r="G805" i="14"/>
  <c r="I805" i="14"/>
  <c r="K805" i="14"/>
  <c r="A806" i="14"/>
  <c r="C806" i="14" s="1"/>
  <c r="F806" i="14"/>
  <c r="A807" i="14"/>
  <c r="I807" i="14" s="1"/>
  <c r="A808" i="14"/>
  <c r="B808" i="14" s="1"/>
  <c r="C808" i="14"/>
  <c r="D808" i="14"/>
  <c r="E808" i="14"/>
  <c r="G808" i="14"/>
  <c r="H808" i="14"/>
  <c r="I808" i="14"/>
  <c r="K808" i="14"/>
  <c r="A809" i="14"/>
  <c r="D809" i="14" s="1"/>
  <c r="I809" i="14"/>
  <c r="A810" i="14"/>
  <c r="C810" i="14" s="1"/>
  <c r="B810" i="14"/>
  <c r="D810" i="14"/>
  <c r="E810" i="14"/>
  <c r="F810" i="14"/>
  <c r="H810" i="14"/>
  <c r="I810" i="14"/>
  <c r="J810" i="14"/>
  <c r="A811" i="14"/>
  <c r="I811" i="14" s="1"/>
  <c r="A812" i="14"/>
  <c r="C812" i="14" s="1"/>
  <c r="B812" i="14"/>
  <c r="E812" i="14"/>
  <c r="F812" i="14"/>
  <c r="I812" i="14"/>
  <c r="J812" i="14"/>
  <c r="A813" i="14"/>
  <c r="D813" i="14" s="1"/>
  <c r="C813" i="14"/>
  <c r="E813" i="14"/>
  <c r="G813" i="14"/>
  <c r="I813" i="14"/>
  <c r="K813" i="14"/>
  <c r="A814" i="14"/>
  <c r="C814" i="14" s="1"/>
  <c r="F814" i="14"/>
  <c r="A815" i="14"/>
  <c r="I815" i="14" s="1"/>
  <c r="A816" i="14"/>
  <c r="B816" i="14" s="1"/>
  <c r="C816" i="14"/>
  <c r="D816" i="14"/>
  <c r="E816" i="14"/>
  <c r="G816" i="14"/>
  <c r="H816" i="14"/>
  <c r="I816" i="14"/>
  <c r="K816" i="14"/>
  <c r="A817" i="14"/>
  <c r="D817" i="14" s="1"/>
  <c r="I817" i="14"/>
  <c r="A818" i="14"/>
  <c r="C818" i="14" s="1"/>
  <c r="B818" i="14"/>
  <c r="D818" i="14"/>
  <c r="E818" i="14"/>
  <c r="F818" i="14"/>
  <c r="H818" i="14"/>
  <c r="I818" i="14"/>
  <c r="J818" i="14"/>
  <c r="A819" i="14"/>
  <c r="I819" i="14" s="1"/>
  <c r="A820" i="14"/>
  <c r="C820" i="14" s="1"/>
  <c r="B820" i="14"/>
  <c r="E820" i="14"/>
  <c r="F820" i="14"/>
  <c r="I820" i="14"/>
  <c r="J820" i="14"/>
  <c r="A821" i="14"/>
  <c r="D821" i="14" s="1"/>
  <c r="C821" i="14"/>
  <c r="E821" i="14"/>
  <c r="G821" i="14"/>
  <c r="I821" i="14"/>
  <c r="K821" i="14"/>
  <c r="A822" i="14"/>
  <c r="C822" i="14" s="1"/>
  <c r="F822" i="14"/>
  <c r="A823" i="14"/>
  <c r="I823" i="14" s="1"/>
  <c r="A824" i="14"/>
  <c r="B824" i="14" s="1"/>
  <c r="C824" i="14"/>
  <c r="D824" i="14"/>
  <c r="E824" i="14"/>
  <c r="G824" i="14"/>
  <c r="H824" i="14"/>
  <c r="I824" i="14"/>
  <c r="K824" i="14"/>
  <c r="A825" i="14"/>
  <c r="D825" i="14" s="1"/>
  <c r="I825" i="14"/>
  <c r="A826" i="14"/>
  <c r="C826" i="14" s="1"/>
  <c r="B826" i="14"/>
  <c r="D826" i="14"/>
  <c r="E826" i="14"/>
  <c r="F826" i="14"/>
  <c r="H826" i="14"/>
  <c r="I826" i="14"/>
  <c r="J826" i="14"/>
  <c r="A827" i="14"/>
  <c r="I827" i="14" s="1"/>
  <c r="A828" i="14"/>
  <c r="C828" i="14" s="1"/>
  <c r="B828" i="14"/>
  <c r="E828" i="14"/>
  <c r="F828" i="14"/>
  <c r="I828" i="14"/>
  <c r="J828" i="14"/>
  <c r="A829" i="14"/>
  <c r="D829" i="14" s="1"/>
  <c r="C829" i="14"/>
  <c r="E829" i="14"/>
  <c r="G829" i="14"/>
  <c r="I829" i="14"/>
  <c r="K829" i="14"/>
  <c r="A830" i="14"/>
  <c r="C830" i="14" s="1"/>
  <c r="F830" i="14"/>
  <c r="A831" i="14"/>
  <c r="I831" i="14" s="1"/>
  <c r="A832" i="14"/>
  <c r="B832" i="14" s="1"/>
  <c r="C832" i="14"/>
  <c r="D832" i="14"/>
  <c r="E832" i="14"/>
  <c r="G832" i="14"/>
  <c r="H832" i="14"/>
  <c r="I832" i="14"/>
  <c r="K832" i="14"/>
  <c r="A833" i="14"/>
  <c r="D833" i="14" s="1"/>
  <c r="I833" i="14"/>
  <c r="A834" i="14"/>
  <c r="C834" i="14" s="1"/>
  <c r="B834" i="14"/>
  <c r="D834" i="14"/>
  <c r="E834" i="14"/>
  <c r="F834" i="14"/>
  <c r="H834" i="14"/>
  <c r="I834" i="14"/>
  <c r="J834" i="14"/>
  <c r="A835" i="14"/>
  <c r="I835" i="14" s="1"/>
  <c r="A836" i="14"/>
  <c r="C836" i="14" s="1"/>
  <c r="B836" i="14"/>
  <c r="E836" i="14"/>
  <c r="F836" i="14"/>
  <c r="I836" i="14"/>
  <c r="J836" i="14"/>
  <c r="A837" i="14"/>
  <c r="D837" i="14" s="1"/>
  <c r="C837" i="14"/>
  <c r="E837" i="14"/>
  <c r="G837" i="14"/>
  <c r="I837" i="14"/>
  <c r="K837" i="14"/>
  <c r="A838" i="14"/>
  <c r="C838" i="14" s="1"/>
  <c r="F838" i="14"/>
  <c r="A839" i="14"/>
  <c r="I839" i="14" s="1"/>
  <c r="A840" i="14"/>
  <c r="B840" i="14" s="1"/>
  <c r="C840" i="14"/>
  <c r="D840" i="14"/>
  <c r="E840" i="14"/>
  <c r="G840" i="14"/>
  <c r="H840" i="14"/>
  <c r="I840" i="14"/>
  <c r="K840" i="14"/>
  <c r="A841" i="14"/>
  <c r="D841" i="14" s="1"/>
  <c r="I841" i="14"/>
  <c r="A842" i="14"/>
  <c r="C842" i="14" s="1"/>
  <c r="B842" i="14"/>
  <c r="D842" i="14"/>
  <c r="E842" i="14"/>
  <c r="F842" i="14"/>
  <c r="H842" i="14"/>
  <c r="I842" i="14"/>
  <c r="J842" i="14"/>
  <c r="A843" i="14"/>
  <c r="I843" i="14" s="1"/>
  <c r="A844" i="14"/>
  <c r="C844" i="14" s="1"/>
  <c r="B844" i="14"/>
  <c r="E844" i="14"/>
  <c r="F844" i="14"/>
  <c r="I844" i="14"/>
  <c r="J844" i="14"/>
  <c r="A845" i="14"/>
  <c r="D845" i="14" s="1"/>
  <c r="C845" i="14"/>
  <c r="E845" i="14"/>
  <c r="G845" i="14"/>
  <c r="I845" i="14"/>
  <c r="K845" i="14"/>
  <c r="A846" i="14"/>
  <c r="C846" i="14" s="1"/>
  <c r="F846" i="14"/>
  <c r="A847" i="14"/>
  <c r="I847" i="14" s="1"/>
  <c r="A848" i="14"/>
  <c r="B848" i="14" s="1"/>
  <c r="C848" i="14"/>
  <c r="D848" i="14"/>
  <c r="E848" i="14"/>
  <c r="G848" i="14"/>
  <c r="H848" i="14"/>
  <c r="I848" i="14"/>
  <c r="K848" i="14"/>
  <c r="A849" i="14"/>
  <c r="D849" i="14" s="1"/>
  <c r="I849" i="14"/>
  <c r="A850" i="14"/>
  <c r="C850" i="14" s="1"/>
  <c r="B850" i="14"/>
  <c r="D850" i="14"/>
  <c r="E850" i="14"/>
  <c r="F850" i="14"/>
  <c r="H850" i="14"/>
  <c r="I850" i="14"/>
  <c r="J850" i="14"/>
  <c r="A851" i="14"/>
  <c r="G851" i="14" s="1"/>
  <c r="I851" i="14"/>
  <c r="A852" i="14"/>
  <c r="B852" i="14" s="1"/>
  <c r="E852" i="14"/>
  <c r="I852" i="14"/>
  <c r="A853" i="14"/>
  <c r="E853" i="14" s="1"/>
  <c r="C853" i="14"/>
  <c r="I853" i="14"/>
  <c r="K853" i="14"/>
  <c r="A854" i="14"/>
  <c r="C854" i="14" s="1"/>
  <c r="D854" i="14"/>
  <c r="E854" i="14"/>
  <c r="F854" i="14"/>
  <c r="I854" i="14"/>
  <c r="J854" i="14"/>
  <c r="A855" i="14"/>
  <c r="E855" i="14" s="1"/>
  <c r="G855" i="14"/>
  <c r="I855" i="14"/>
  <c r="K855" i="14"/>
  <c r="A856" i="14"/>
  <c r="B856" i="14"/>
  <c r="C856" i="14"/>
  <c r="D856" i="14"/>
  <c r="E856" i="14"/>
  <c r="F856" i="14"/>
  <c r="G856" i="14"/>
  <c r="H856" i="14"/>
  <c r="I856" i="14"/>
  <c r="J856" i="14"/>
  <c r="K856" i="14"/>
  <c r="A857" i="14"/>
  <c r="G857" i="14" s="1"/>
  <c r="A858" i="14"/>
  <c r="C858" i="14" s="1"/>
  <c r="B858" i="14"/>
  <c r="F858" i="14"/>
  <c r="H858" i="14"/>
  <c r="A859" i="14"/>
  <c r="G859" i="14" s="1"/>
  <c r="E859" i="14"/>
  <c r="A860" i="14"/>
  <c r="B860" i="14"/>
  <c r="C860" i="14"/>
  <c r="D860" i="14"/>
  <c r="E860" i="14"/>
  <c r="F860" i="14"/>
  <c r="G860" i="14"/>
  <c r="H860" i="14"/>
  <c r="I860" i="14"/>
  <c r="J860" i="14"/>
  <c r="K860" i="14"/>
  <c r="A861" i="14"/>
  <c r="E861" i="14" s="1"/>
  <c r="G861" i="14"/>
  <c r="I861" i="14"/>
  <c r="K861" i="14"/>
  <c r="A862" i="14"/>
  <c r="C862" i="14" s="1"/>
  <c r="B862" i="14"/>
  <c r="D862" i="14"/>
  <c r="E862" i="14"/>
  <c r="F862" i="14"/>
  <c r="H862" i="14"/>
  <c r="I862" i="14"/>
  <c r="J862" i="14"/>
  <c r="A863" i="14"/>
  <c r="C863" i="14"/>
  <c r="E863" i="14"/>
  <c r="G863" i="14"/>
  <c r="I863" i="14"/>
  <c r="K863" i="14"/>
  <c r="A864" i="14"/>
  <c r="B864" i="14" s="1"/>
  <c r="E864" i="14"/>
  <c r="I864" i="14"/>
  <c r="A865" i="14"/>
  <c r="G865" i="14" s="1"/>
  <c r="E865" i="14"/>
  <c r="A866" i="14"/>
  <c r="C866" i="14" s="1"/>
  <c r="B866" i="14"/>
  <c r="D866" i="14"/>
  <c r="E866" i="14"/>
  <c r="F866" i="14"/>
  <c r="H866" i="14"/>
  <c r="I866" i="14"/>
  <c r="J866" i="14"/>
  <c r="A867" i="14"/>
  <c r="G867" i="14" s="1"/>
  <c r="I867" i="14"/>
  <c r="A868" i="14"/>
  <c r="B868" i="14" s="1"/>
  <c r="E868" i="14"/>
  <c r="I868" i="14"/>
  <c r="A869" i="14"/>
  <c r="E869" i="14" s="1"/>
  <c r="C869" i="14"/>
  <c r="I869" i="14"/>
  <c r="K869" i="14"/>
  <c r="A870" i="14"/>
  <c r="C870" i="14" s="1"/>
  <c r="D870" i="14"/>
  <c r="E870" i="14"/>
  <c r="F870" i="14"/>
  <c r="I870" i="14"/>
  <c r="J870" i="14"/>
  <c r="A871" i="14"/>
  <c r="E871" i="14" s="1"/>
  <c r="G871" i="14"/>
  <c r="I871" i="14"/>
  <c r="K871" i="14"/>
  <c r="A872" i="14"/>
  <c r="B872" i="14"/>
  <c r="C872" i="14"/>
  <c r="D872" i="14"/>
  <c r="E872" i="14"/>
  <c r="F872" i="14"/>
  <c r="G872" i="14"/>
  <c r="H872" i="14"/>
  <c r="I872" i="14"/>
  <c r="J872" i="14"/>
  <c r="K872" i="14"/>
  <c r="A873" i="14"/>
  <c r="G873" i="14" s="1"/>
  <c r="A874" i="14"/>
  <c r="C874" i="14" s="1"/>
  <c r="B874" i="14"/>
  <c r="F874" i="14"/>
  <c r="H874" i="14"/>
  <c r="A875" i="14"/>
  <c r="G875" i="14" s="1"/>
  <c r="E875" i="14"/>
  <c r="A876" i="14"/>
  <c r="B876" i="14"/>
  <c r="C876" i="14"/>
  <c r="D876" i="14"/>
  <c r="E876" i="14"/>
  <c r="F876" i="14"/>
  <c r="G876" i="14"/>
  <c r="H876" i="14"/>
  <c r="I876" i="14"/>
  <c r="J876" i="14"/>
  <c r="K876" i="14"/>
  <c r="A877" i="14"/>
  <c r="E877" i="14" s="1"/>
  <c r="G877" i="14"/>
  <c r="I877" i="14"/>
  <c r="K877" i="14"/>
  <c r="A878" i="14"/>
  <c r="C878" i="14" s="1"/>
  <c r="B878" i="14"/>
  <c r="D878" i="14"/>
  <c r="E878" i="14"/>
  <c r="F878" i="14"/>
  <c r="H878" i="14"/>
  <c r="I878" i="14"/>
  <c r="J878" i="14"/>
  <c r="A879" i="14"/>
  <c r="C879" i="14"/>
  <c r="E879" i="14"/>
  <c r="G879" i="14"/>
  <c r="I879" i="14"/>
  <c r="K879" i="14"/>
  <c r="A880" i="14"/>
  <c r="B880" i="14" s="1"/>
  <c r="E880" i="14"/>
  <c r="I880" i="14"/>
  <c r="A881" i="14"/>
  <c r="G881" i="14" s="1"/>
  <c r="E881" i="14"/>
  <c r="A882" i="14"/>
  <c r="C882" i="14" s="1"/>
  <c r="B882" i="14"/>
  <c r="D882" i="14"/>
  <c r="E882" i="14"/>
  <c r="F882" i="14"/>
  <c r="H882" i="14"/>
  <c r="I882" i="14"/>
  <c r="J882" i="14"/>
  <c r="A883" i="14"/>
  <c r="G883" i="14" s="1"/>
  <c r="I883" i="14"/>
  <c r="A884" i="14"/>
  <c r="B884" i="14" s="1"/>
  <c r="E884" i="14"/>
  <c r="I884" i="14"/>
  <c r="A885" i="14"/>
  <c r="E885" i="14" s="1"/>
  <c r="C885" i="14"/>
  <c r="I885" i="14"/>
  <c r="K885" i="14"/>
  <c r="A886" i="14"/>
  <c r="C886" i="14" s="1"/>
  <c r="D886" i="14"/>
  <c r="E886" i="14"/>
  <c r="F886" i="14"/>
  <c r="I886" i="14"/>
  <c r="J886" i="14"/>
  <c r="A887" i="14"/>
  <c r="E887" i="14" s="1"/>
  <c r="G887" i="14"/>
  <c r="I887" i="14"/>
  <c r="K887" i="14"/>
  <c r="A888" i="14"/>
  <c r="B888" i="14"/>
  <c r="C888" i="14"/>
  <c r="D888" i="14"/>
  <c r="E888" i="14"/>
  <c r="F888" i="14"/>
  <c r="G888" i="14"/>
  <c r="H888" i="14"/>
  <c r="I888" i="14"/>
  <c r="J888" i="14"/>
  <c r="K888" i="14"/>
  <c r="A889" i="14"/>
  <c r="G889" i="14" s="1"/>
  <c r="A890" i="14"/>
  <c r="C890" i="14" s="1"/>
  <c r="B890" i="14"/>
  <c r="F890" i="14"/>
  <c r="H890" i="14"/>
  <c r="A891" i="14"/>
  <c r="G891" i="14" s="1"/>
  <c r="E891" i="14"/>
  <c r="A892" i="14"/>
  <c r="B892" i="14"/>
  <c r="C892" i="14"/>
  <c r="D892" i="14"/>
  <c r="E892" i="14"/>
  <c r="F892" i="14"/>
  <c r="G892" i="14"/>
  <c r="H892" i="14"/>
  <c r="I892" i="14"/>
  <c r="J892" i="14"/>
  <c r="K892" i="14"/>
  <c r="A893" i="14"/>
  <c r="E893" i="14" s="1"/>
  <c r="G893" i="14"/>
  <c r="I893" i="14"/>
  <c r="K893" i="14"/>
  <c r="A894" i="14"/>
  <c r="C894" i="14" s="1"/>
  <c r="B894" i="14"/>
  <c r="D894" i="14"/>
  <c r="E894" i="14"/>
  <c r="F894" i="14"/>
  <c r="H894" i="14"/>
  <c r="I894" i="14"/>
  <c r="J894" i="14"/>
  <c r="A895" i="14"/>
  <c r="C895" i="14"/>
  <c r="E895" i="14"/>
  <c r="G895" i="14"/>
  <c r="I895" i="14"/>
  <c r="K895" i="14"/>
  <c r="A896" i="14"/>
  <c r="B896" i="14" s="1"/>
  <c r="E896" i="14"/>
  <c r="I896" i="14"/>
  <c r="A897" i="14"/>
  <c r="G897" i="14" s="1"/>
  <c r="E897" i="14"/>
  <c r="A898" i="14"/>
  <c r="C898" i="14" s="1"/>
  <c r="B898" i="14"/>
  <c r="D898" i="14"/>
  <c r="E898" i="14"/>
  <c r="F898" i="14"/>
  <c r="H898" i="14"/>
  <c r="I898" i="14"/>
  <c r="J898" i="14"/>
  <c r="A899" i="14"/>
  <c r="G899" i="14" s="1"/>
  <c r="I899" i="14"/>
  <c r="A900" i="14"/>
  <c r="B900" i="14" s="1"/>
  <c r="E900" i="14"/>
  <c r="I900" i="14"/>
  <c r="A901" i="14"/>
  <c r="E901" i="14" s="1"/>
  <c r="C901" i="14"/>
  <c r="I901" i="14"/>
  <c r="K901" i="14"/>
  <c r="A902" i="14"/>
  <c r="C902" i="14" s="1"/>
  <c r="D902" i="14"/>
  <c r="E902" i="14"/>
  <c r="F902" i="14"/>
  <c r="I902" i="14"/>
  <c r="J902" i="14"/>
  <c r="A903" i="14"/>
  <c r="E903" i="14" s="1"/>
  <c r="G903" i="14"/>
  <c r="I903" i="14"/>
  <c r="K903" i="14"/>
  <c r="A904" i="14"/>
  <c r="B904" i="14"/>
  <c r="C904" i="14"/>
  <c r="D904" i="14"/>
  <c r="E904" i="14"/>
  <c r="F904" i="14"/>
  <c r="G904" i="14"/>
  <c r="H904" i="14"/>
  <c r="I904" i="14"/>
  <c r="J904" i="14"/>
  <c r="K904" i="14"/>
  <c r="A905" i="14"/>
  <c r="G905" i="14" s="1"/>
  <c r="A906" i="14"/>
  <c r="C906" i="14" s="1"/>
  <c r="B906" i="14"/>
  <c r="F906" i="14"/>
  <c r="H906" i="14"/>
  <c r="A907" i="14"/>
  <c r="G907" i="14" s="1"/>
  <c r="E907" i="14"/>
  <c r="A908" i="14"/>
  <c r="B908" i="14"/>
  <c r="C908" i="14"/>
  <c r="D908" i="14"/>
  <c r="E908" i="14"/>
  <c r="F908" i="14"/>
  <c r="G908" i="14"/>
  <c r="H908" i="14"/>
  <c r="I908" i="14"/>
  <c r="J908" i="14"/>
  <c r="K908" i="14"/>
  <c r="A909" i="14"/>
  <c r="E909" i="14" s="1"/>
  <c r="G909" i="14"/>
  <c r="I909" i="14"/>
  <c r="K909" i="14"/>
  <c r="A910" i="14"/>
  <c r="C910" i="14" s="1"/>
  <c r="B910" i="14"/>
  <c r="D910" i="14"/>
  <c r="E910" i="14"/>
  <c r="F910" i="14"/>
  <c r="H910" i="14"/>
  <c r="I910" i="14"/>
  <c r="J910" i="14"/>
  <c r="A911" i="14"/>
  <c r="C911" i="14"/>
  <c r="E911" i="14"/>
  <c r="G911" i="14"/>
  <c r="I911" i="14"/>
  <c r="K911" i="14"/>
  <c r="A912" i="14"/>
  <c r="B912" i="14" s="1"/>
  <c r="E912" i="14"/>
  <c r="I912" i="14"/>
  <c r="A913" i="14"/>
  <c r="G913" i="14" s="1"/>
  <c r="E913" i="14"/>
  <c r="A914" i="14"/>
  <c r="C914" i="14" s="1"/>
  <c r="B914" i="14"/>
  <c r="D914" i="14"/>
  <c r="E914" i="14"/>
  <c r="F914" i="14"/>
  <c r="H914" i="14"/>
  <c r="I914" i="14"/>
  <c r="J914" i="14"/>
  <c r="A915" i="14"/>
  <c r="G915" i="14" s="1"/>
  <c r="I915" i="14"/>
  <c r="A916" i="14"/>
  <c r="B916" i="14" s="1"/>
  <c r="E916" i="14"/>
  <c r="I916" i="14"/>
  <c r="A917" i="14"/>
  <c r="E917" i="14" s="1"/>
  <c r="C917" i="14"/>
  <c r="I917" i="14"/>
  <c r="K917" i="14"/>
  <c r="A918" i="14"/>
  <c r="C918" i="14" s="1"/>
  <c r="D918" i="14"/>
  <c r="E918" i="14"/>
  <c r="F918" i="14"/>
  <c r="I918" i="14"/>
  <c r="J918" i="14"/>
  <c r="A919" i="14"/>
  <c r="E919" i="14" s="1"/>
  <c r="G919" i="14"/>
  <c r="I919" i="14"/>
  <c r="K919" i="14"/>
  <c r="A920" i="14"/>
  <c r="B920" i="14"/>
  <c r="C920" i="14"/>
  <c r="D920" i="14"/>
  <c r="E920" i="14"/>
  <c r="F920" i="14"/>
  <c r="G920" i="14"/>
  <c r="H920" i="14"/>
  <c r="I920" i="14"/>
  <c r="J920" i="14"/>
  <c r="K920" i="14"/>
  <c r="A921" i="14"/>
  <c r="G921" i="14" s="1"/>
  <c r="A922" i="14"/>
  <c r="C922" i="14" s="1"/>
  <c r="B922" i="14"/>
  <c r="F922" i="14"/>
  <c r="H922" i="14"/>
  <c r="A923" i="14"/>
  <c r="G923" i="14" s="1"/>
  <c r="E923" i="14"/>
  <c r="A924" i="14"/>
  <c r="B924" i="14"/>
  <c r="C924" i="14"/>
  <c r="D924" i="14"/>
  <c r="E924" i="14"/>
  <c r="F924" i="14"/>
  <c r="G924" i="14"/>
  <c r="H924" i="14"/>
  <c r="I924" i="14"/>
  <c r="J924" i="14"/>
  <c r="K924" i="14"/>
  <c r="A925" i="14"/>
  <c r="E925" i="14" s="1"/>
  <c r="G925" i="14"/>
  <c r="I925" i="14"/>
  <c r="K925" i="14"/>
  <c r="A926" i="14"/>
  <c r="C926" i="14" s="1"/>
  <c r="B926" i="14"/>
  <c r="D926" i="14"/>
  <c r="E926" i="14"/>
  <c r="F926" i="14"/>
  <c r="H926" i="14"/>
  <c r="I926" i="14"/>
  <c r="J926" i="14"/>
  <c r="A927" i="14"/>
  <c r="C927" i="14"/>
  <c r="E927" i="14"/>
  <c r="G927" i="14"/>
  <c r="I927" i="14"/>
  <c r="K927" i="14"/>
  <c r="A928" i="14"/>
  <c r="B928" i="14" s="1"/>
  <c r="E928" i="14"/>
  <c r="I928" i="14"/>
  <c r="A929" i="14"/>
  <c r="G929" i="14" s="1"/>
  <c r="E929" i="14"/>
  <c r="A930" i="14"/>
  <c r="C930" i="14" s="1"/>
  <c r="B930" i="14"/>
  <c r="D930" i="14"/>
  <c r="E930" i="14"/>
  <c r="F930" i="14"/>
  <c r="H930" i="14"/>
  <c r="I930" i="14"/>
  <c r="J930" i="14"/>
  <c r="A931" i="14"/>
  <c r="G931" i="14" s="1"/>
  <c r="I931" i="14"/>
  <c r="A932" i="14"/>
  <c r="B932" i="14" s="1"/>
  <c r="E932" i="14"/>
  <c r="I932" i="14"/>
  <c r="A933" i="14"/>
  <c r="E933" i="14" s="1"/>
  <c r="C933" i="14"/>
  <c r="I933" i="14"/>
  <c r="K933" i="14"/>
  <c r="A934" i="14"/>
  <c r="C934" i="14" s="1"/>
  <c r="D934" i="14"/>
  <c r="E934" i="14"/>
  <c r="F934" i="14"/>
  <c r="I934" i="14"/>
  <c r="J934" i="14"/>
  <c r="A935" i="14"/>
  <c r="E935" i="14" s="1"/>
  <c r="G935" i="14"/>
  <c r="I935" i="14"/>
  <c r="K935" i="14"/>
  <c r="A936" i="14"/>
  <c r="B936" i="14"/>
  <c r="C936" i="14"/>
  <c r="D936" i="14"/>
  <c r="E936" i="14"/>
  <c r="F936" i="14"/>
  <c r="G936" i="14"/>
  <c r="H936" i="14"/>
  <c r="I936" i="14"/>
  <c r="J936" i="14"/>
  <c r="K936" i="14"/>
  <c r="A937" i="14"/>
  <c r="G937" i="14" s="1"/>
  <c r="A938" i="14"/>
  <c r="C938" i="14" s="1"/>
  <c r="B938" i="14"/>
  <c r="F938" i="14"/>
  <c r="H938" i="14"/>
  <c r="A939" i="14"/>
  <c r="G939" i="14" s="1"/>
  <c r="E939" i="14"/>
  <c r="A940" i="14"/>
  <c r="B940" i="14"/>
  <c r="C940" i="14"/>
  <c r="D940" i="14"/>
  <c r="E940" i="14"/>
  <c r="F940" i="14"/>
  <c r="G940" i="14"/>
  <c r="H940" i="14"/>
  <c r="I940" i="14"/>
  <c r="J940" i="14"/>
  <c r="K940" i="14"/>
  <c r="A941" i="14"/>
  <c r="E941" i="14" s="1"/>
  <c r="G941" i="14"/>
  <c r="I941" i="14"/>
  <c r="K941" i="14"/>
  <c r="A942" i="14"/>
  <c r="C942" i="14" s="1"/>
  <c r="B942" i="14"/>
  <c r="D942" i="14"/>
  <c r="E942" i="14"/>
  <c r="F942" i="14"/>
  <c r="H942" i="14"/>
  <c r="I942" i="14"/>
  <c r="J942" i="14"/>
  <c r="A943" i="14"/>
  <c r="C943" i="14"/>
  <c r="E943" i="14"/>
  <c r="G943" i="14"/>
  <c r="I943" i="14"/>
  <c r="K943" i="14"/>
  <c r="A944" i="14"/>
  <c r="B944" i="14" s="1"/>
  <c r="E944" i="14"/>
  <c r="I944" i="14"/>
  <c r="A945" i="14"/>
  <c r="G945" i="14" s="1"/>
  <c r="E945" i="14"/>
  <c r="A946" i="14"/>
  <c r="C946" i="14" s="1"/>
  <c r="B946" i="14"/>
  <c r="D946" i="14"/>
  <c r="E946" i="14"/>
  <c r="F946" i="14"/>
  <c r="H946" i="14"/>
  <c r="I946" i="14"/>
  <c r="J946" i="14"/>
  <c r="A947" i="14"/>
  <c r="G947" i="14" s="1"/>
  <c r="I947" i="14"/>
  <c r="A948" i="14"/>
  <c r="B948" i="14" s="1"/>
  <c r="E948" i="14"/>
  <c r="I948" i="14"/>
  <c r="A949" i="14"/>
  <c r="E949" i="14" s="1"/>
  <c r="C949" i="14"/>
  <c r="I949" i="14"/>
  <c r="K949" i="14"/>
  <c r="A950" i="14"/>
  <c r="C950" i="14" s="1"/>
  <c r="D950" i="14"/>
  <c r="E950" i="14"/>
  <c r="F950" i="14"/>
  <c r="I950" i="14"/>
  <c r="J950" i="14"/>
  <c r="A951" i="14"/>
  <c r="E951" i="14" s="1"/>
  <c r="G951" i="14"/>
  <c r="I951" i="14"/>
  <c r="K951" i="14"/>
  <c r="A952" i="14"/>
  <c r="B952" i="14"/>
  <c r="C952" i="14"/>
  <c r="D952" i="14"/>
  <c r="E952" i="14"/>
  <c r="F952" i="14"/>
  <c r="G952" i="14"/>
  <c r="H952" i="14"/>
  <c r="I952" i="14"/>
  <c r="J952" i="14"/>
  <c r="K952" i="14"/>
  <c r="A953" i="14"/>
  <c r="G953" i="14" s="1"/>
  <c r="A954" i="14"/>
  <c r="C954" i="14" s="1"/>
  <c r="B954" i="14"/>
  <c r="F954" i="14"/>
  <c r="H954" i="14"/>
  <c r="A955" i="14"/>
  <c r="G955" i="14" s="1"/>
  <c r="E955" i="14"/>
  <c r="A956" i="14"/>
  <c r="B956" i="14"/>
  <c r="C956" i="14"/>
  <c r="D956" i="14"/>
  <c r="E956" i="14"/>
  <c r="F956" i="14"/>
  <c r="G956" i="14"/>
  <c r="H956" i="14"/>
  <c r="I956" i="14"/>
  <c r="J956" i="14"/>
  <c r="K956" i="14"/>
  <c r="A957" i="14"/>
  <c r="E957" i="14" s="1"/>
  <c r="G957" i="14"/>
  <c r="I957" i="14"/>
  <c r="K957" i="14"/>
  <c r="A958" i="14"/>
  <c r="C958" i="14" s="1"/>
  <c r="B958" i="14"/>
  <c r="D958" i="14"/>
  <c r="E958" i="14"/>
  <c r="F958" i="14"/>
  <c r="H958" i="14"/>
  <c r="I958" i="14"/>
  <c r="J958" i="14"/>
  <c r="A959" i="14"/>
  <c r="C959" i="14"/>
  <c r="E959" i="14"/>
  <c r="G959" i="14"/>
  <c r="I959" i="14"/>
  <c r="K959" i="14"/>
  <c r="A960" i="14"/>
  <c r="B960" i="14" s="1"/>
  <c r="E960" i="14"/>
  <c r="I960" i="14"/>
  <c r="A961" i="14"/>
  <c r="G961" i="14" s="1"/>
  <c r="E961" i="14"/>
  <c r="A962" i="14"/>
  <c r="C962" i="14" s="1"/>
  <c r="B962" i="14"/>
  <c r="D962" i="14"/>
  <c r="E962" i="14"/>
  <c r="F962" i="14"/>
  <c r="H962" i="14"/>
  <c r="I962" i="14"/>
  <c r="J962" i="14"/>
  <c r="A963" i="14"/>
  <c r="G963" i="14" s="1"/>
  <c r="I963" i="14"/>
  <c r="A964" i="14"/>
  <c r="B964" i="14" s="1"/>
  <c r="E964" i="14"/>
  <c r="I964" i="14"/>
  <c r="A965" i="14"/>
  <c r="E965" i="14" s="1"/>
  <c r="C965" i="14"/>
  <c r="I965" i="14"/>
  <c r="K965" i="14"/>
  <c r="A966" i="14"/>
  <c r="C966" i="14" s="1"/>
  <c r="D966" i="14"/>
  <c r="E966" i="14"/>
  <c r="F966" i="14"/>
  <c r="I966" i="14"/>
  <c r="J966" i="14"/>
  <c r="A967" i="14"/>
  <c r="E967" i="14" s="1"/>
  <c r="G967" i="14"/>
  <c r="I967" i="14"/>
  <c r="K967" i="14"/>
  <c r="A968" i="14"/>
  <c r="B968" i="14"/>
  <c r="C968" i="14"/>
  <c r="D968" i="14"/>
  <c r="E968" i="14"/>
  <c r="F968" i="14"/>
  <c r="G968" i="14"/>
  <c r="H968" i="14"/>
  <c r="I968" i="14"/>
  <c r="J968" i="14"/>
  <c r="K968" i="14"/>
  <c r="A969" i="14"/>
  <c r="G969" i="14" s="1"/>
  <c r="A970" i="14"/>
  <c r="C970" i="14" s="1"/>
  <c r="B970" i="14"/>
  <c r="F970" i="14"/>
  <c r="H970" i="14"/>
  <c r="A971" i="14"/>
  <c r="G971" i="14" s="1"/>
  <c r="E971" i="14"/>
  <c r="A972" i="14"/>
  <c r="B972" i="14"/>
  <c r="C972" i="14"/>
  <c r="D972" i="14"/>
  <c r="E972" i="14"/>
  <c r="F972" i="14"/>
  <c r="G972" i="14"/>
  <c r="H972" i="14"/>
  <c r="I972" i="14"/>
  <c r="J972" i="14"/>
  <c r="K972" i="14"/>
  <c r="A973" i="14"/>
  <c r="E973" i="14" s="1"/>
  <c r="G973" i="14"/>
  <c r="I973" i="14"/>
  <c r="K973" i="14"/>
  <c r="A974" i="14"/>
  <c r="C974" i="14" s="1"/>
  <c r="B974" i="14"/>
  <c r="D974" i="14"/>
  <c r="E974" i="14"/>
  <c r="F974" i="14"/>
  <c r="H974" i="14"/>
  <c r="I974" i="14"/>
  <c r="J974" i="14"/>
  <c r="A975" i="14"/>
  <c r="C975" i="14"/>
  <c r="E975" i="14"/>
  <c r="G975" i="14"/>
  <c r="I975" i="14"/>
  <c r="K975" i="14"/>
  <c r="A976" i="14"/>
  <c r="B976" i="14" s="1"/>
  <c r="E976" i="14"/>
  <c r="I976" i="14"/>
  <c r="A977" i="14"/>
  <c r="G977" i="14" s="1"/>
  <c r="E977" i="14"/>
  <c r="A978" i="14"/>
  <c r="E978" i="14" s="1"/>
  <c r="F978" i="14"/>
  <c r="A979" i="14"/>
  <c r="E979" i="14" s="1"/>
  <c r="A980" i="14"/>
  <c r="C980" i="14" s="1"/>
  <c r="B980" i="14"/>
  <c r="E980" i="14"/>
  <c r="F980" i="14"/>
  <c r="I980" i="14"/>
  <c r="J980" i="14"/>
  <c r="A981" i="14"/>
  <c r="E981" i="14" s="1"/>
  <c r="G981" i="14"/>
  <c r="A982" i="14"/>
  <c r="E982" i="14" s="1"/>
  <c r="A983" i="14"/>
  <c r="E983" i="14" s="1"/>
  <c r="F983" i="14"/>
  <c r="K983" i="14"/>
  <c r="A984" i="14"/>
  <c r="B984" i="14" s="1"/>
  <c r="C984" i="14"/>
  <c r="D984" i="14"/>
  <c r="E984" i="14"/>
  <c r="G984" i="14"/>
  <c r="H984" i="14"/>
  <c r="I984" i="14"/>
  <c r="K984" i="14"/>
  <c r="A985" i="14"/>
  <c r="E985" i="14" s="1"/>
  <c r="A986" i="14"/>
  <c r="E986" i="14" s="1"/>
  <c r="F986" i="14"/>
  <c r="A987" i="14"/>
  <c r="E987" i="14" s="1"/>
  <c r="A988" i="14"/>
  <c r="C988" i="14" s="1"/>
  <c r="B988" i="14"/>
  <c r="E988" i="14"/>
  <c r="F988" i="14"/>
  <c r="I988" i="14"/>
  <c r="J988" i="14"/>
  <c r="A989" i="14"/>
  <c r="E989" i="14" s="1"/>
  <c r="G989" i="14"/>
  <c r="A990" i="14"/>
  <c r="E990" i="14" s="1"/>
  <c r="A991" i="14"/>
  <c r="E991" i="14" s="1"/>
  <c r="F991" i="14"/>
  <c r="K991" i="14"/>
  <c r="A992" i="14"/>
  <c r="B992" i="14" s="1"/>
  <c r="C992" i="14"/>
  <c r="D992" i="14"/>
  <c r="E992" i="14"/>
  <c r="G992" i="14"/>
  <c r="H992" i="14"/>
  <c r="I992" i="14"/>
  <c r="K992" i="14"/>
  <c r="A993" i="14"/>
  <c r="E993" i="14" s="1"/>
  <c r="A994" i="14"/>
  <c r="E994" i="14" s="1"/>
  <c r="F994" i="14"/>
  <c r="A995" i="14"/>
  <c r="E995" i="14" s="1"/>
  <c r="A996" i="14"/>
  <c r="C996" i="14" s="1"/>
  <c r="B996" i="14"/>
  <c r="E996" i="14"/>
  <c r="F996" i="14"/>
  <c r="I996" i="14"/>
  <c r="J996" i="14"/>
  <c r="A997" i="14"/>
  <c r="E997" i="14" s="1"/>
  <c r="G997" i="14"/>
  <c r="A998" i="14"/>
  <c r="E998" i="14" s="1"/>
  <c r="A999" i="14"/>
  <c r="E999" i="14" s="1"/>
  <c r="F999" i="14"/>
  <c r="K999" i="14"/>
  <c r="A1000" i="14"/>
  <c r="B1000" i="14" s="1"/>
  <c r="C1000" i="14"/>
  <c r="D1000" i="14"/>
  <c r="E1000" i="14"/>
  <c r="G1000" i="14"/>
  <c r="H1000" i="14"/>
  <c r="I1000" i="14"/>
  <c r="K1000" i="14"/>
  <c r="A1001" i="14"/>
  <c r="E1001" i="14" s="1"/>
  <c r="A1002" i="14"/>
  <c r="E1002" i="14" s="1"/>
  <c r="F1002" i="14"/>
  <c r="A1003" i="14"/>
  <c r="E1003" i="14" s="1"/>
  <c r="HF148" i="1"/>
  <c r="B148" i="1" s="1"/>
  <c r="HG148" i="1"/>
  <c r="HH148" i="1"/>
  <c r="BI148" i="1" s="1"/>
  <c r="HI148" i="1"/>
  <c r="BJ148" i="1" s="1"/>
  <c r="HJ148" i="1"/>
  <c r="BK148" i="1" s="1"/>
  <c r="HK148" i="1"/>
  <c r="BL148" i="1" s="1"/>
  <c r="HL148" i="1"/>
  <c r="BM148" i="1" s="1"/>
  <c r="HM148" i="1"/>
  <c r="BN148" i="1" s="1"/>
  <c r="HN148" i="1"/>
  <c r="BO148" i="1" s="1"/>
  <c r="HO148" i="1"/>
  <c r="BP148" i="1" s="1"/>
  <c r="HP148" i="1"/>
  <c r="BQ148" i="1" s="1"/>
  <c r="HQ148" i="1"/>
  <c r="HR148" i="1"/>
  <c r="P148" i="1" s="1"/>
  <c r="HS148" i="1"/>
  <c r="F148" i="1" s="1"/>
  <c r="HT148" i="1"/>
  <c r="G148" i="1" s="1"/>
  <c r="HU148" i="1"/>
  <c r="H148" i="1" s="1"/>
  <c r="HV148" i="1"/>
  <c r="R148" i="1" s="1"/>
  <c r="HW148" i="1"/>
  <c r="S148" i="1" s="1"/>
  <c r="HX148" i="1"/>
  <c r="T148" i="1" s="1"/>
  <c r="HY148" i="1"/>
  <c r="IT148" i="1" s="1"/>
  <c r="HZ148" i="1"/>
  <c r="IA148" i="1"/>
  <c r="IH148" i="1" s="1"/>
  <c r="K148" i="1" s="1"/>
  <c r="IB148" i="1"/>
  <c r="IC148" i="1"/>
  <c r="IE148" i="1"/>
  <c r="IF148" i="1"/>
  <c r="J148" i="1" s="1"/>
  <c r="IG148" i="1"/>
  <c r="IO148" i="1"/>
  <c r="W148" i="1" s="1"/>
  <c r="IU148" i="1"/>
  <c r="NH148" i="1"/>
  <c r="NI148" i="1"/>
  <c r="NJ148" i="1"/>
  <c r="HF149" i="1"/>
  <c r="B149" i="1" s="1"/>
  <c r="HG149" i="1"/>
  <c r="HH149" i="1"/>
  <c r="BI149" i="1" s="1"/>
  <c r="HI149" i="1"/>
  <c r="BJ149" i="1" s="1"/>
  <c r="HJ149" i="1"/>
  <c r="BK149" i="1" s="1"/>
  <c r="HK149" i="1"/>
  <c r="BL149" i="1" s="1"/>
  <c r="HL149" i="1"/>
  <c r="BM149" i="1" s="1"/>
  <c r="HM149" i="1"/>
  <c r="BN149" i="1" s="1"/>
  <c r="HN149" i="1"/>
  <c r="BO149" i="1" s="1"/>
  <c r="HO149" i="1"/>
  <c r="BP149" i="1" s="1"/>
  <c r="HP149" i="1"/>
  <c r="BQ149" i="1" s="1"/>
  <c r="HQ149" i="1"/>
  <c r="HR149" i="1"/>
  <c r="P149" i="1" s="1"/>
  <c r="HS149" i="1"/>
  <c r="F149" i="1" s="1"/>
  <c r="HT149" i="1"/>
  <c r="G149" i="1" s="1"/>
  <c r="HU149" i="1"/>
  <c r="H149" i="1" s="1"/>
  <c r="HV149" i="1"/>
  <c r="R149" i="1" s="1"/>
  <c r="HW149" i="1"/>
  <c r="S149" i="1" s="1"/>
  <c r="HX149" i="1"/>
  <c r="T149" i="1" s="1"/>
  <c r="HY149" i="1"/>
  <c r="IS149" i="1" s="1"/>
  <c r="HZ149" i="1"/>
  <c r="IU149" i="1" s="1"/>
  <c r="IA149" i="1"/>
  <c r="IH149" i="1" s="1"/>
  <c r="K149" i="1" s="1"/>
  <c r="IB149" i="1"/>
  <c r="IC149" i="1"/>
  <c r="IE149" i="1"/>
  <c r="IF149" i="1"/>
  <c r="J149" i="1" s="1"/>
  <c r="IG149" i="1"/>
  <c r="IO149" i="1"/>
  <c r="W149" i="1" s="1"/>
  <c r="NH149" i="1"/>
  <c r="NI149" i="1"/>
  <c r="NJ149" i="1"/>
  <c r="HF124" i="1"/>
  <c r="B124" i="1" s="1"/>
  <c r="HF125" i="1"/>
  <c r="B125" i="1" s="1"/>
  <c r="HF126" i="1"/>
  <c r="B126" i="1" s="1"/>
  <c r="HF127" i="1"/>
  <c r="B127" i="1" s="1"/>
  <c r="HF128" i="1"/>
  <c r="B128" i="1" s="1"/>
  <c r="HG124" i="1"/>
  <c r="HG125" i="1"/>
  <c r="HG126" i="1"/>
  <c r="HG127" i="1"/>
  <c r="HG128" i="1"/>
  <c r="HH124" i="1"/>
  <c r="BI124" i="1" s="1"/>
  <c r="HH125" i="1"/>
  <c r="BI125" i="1" s="1"/>
  <c r="HH126" i="1"/>
  <c r="BI126" i="1" s="1"/>
  <c r="HH127" i="1"/>
  <c r="BI127" i="1" s="1"/>
  <c r="HH128" i="1"/>
  <c r="BI128" i="1" s="1"/>
  <c r="HI124" i="1"/>
  <c r="BJ124" i="1" s="1"/>
  <c r="HI125" i="1"/>
  <c r="BJ125" i="1" s="1"/>
  <c r="HI126" i="1"/>
  <c r="BJ126" i="1" s="1"/>
  <c r="HI127" i="1"/>
  <c r="BJ127" i="1" s="1"/>
  <c r="HI128" i="1"/>
  <c r="BJ128" i="1" s="1"/>
  <c r="HJ124" i="1"/>
  <c r="BK124" i="1" s="1"/>
  <c r="HJ125" i="1"/>
  <c r="BK125" i="1" s="1"/>
  <c r="HJ126" i="1"/>
  <c r="BK126" i="1" s="1"/>
  <c r="HJ127" i="1"/>
  <c r="BK127" i="1" s="1"/>
  <c r="HJ128" i="1"/>
  <c r="BK128" i="1" s="1"/>
  <c r="HK124" i="1"/>
  <c r="BL124" i="1" s="1"/>
  <c r="HK125" i="1"/>
  <c r="BL125" i="1" s="1"/>
  <c r="HK126" i="1"/>
  <c r="BL126" i="1" s="1"/>
  <c r="HK127" i="1"/>
  <c r="BL127" i="1" s="1"/>
  <c r="HK128" i="1"/>
  <c r="BL128" i="1" s="1"/>
  <c r="HL124" i="1"/>
  <c r="BM124" i="1" s="1"/>
  <c r="HL125" i="1"/>
  <c r="BM125" i="1" s="1"/>
  <c r="HL126" i="1"/>
  <c r="BM126" i="1" s="1"/>
  <c r="HL127" i="1"/>
  <c r="BM127" i="1" s="1"/>
  <c r="HL128" i="1"/>
  <c r="BM128" i="1" s="1"/>
  <c r="HM124" i="1"/>
  <c r="BN124" i="1" s="1"/>
  <c r="HM125" i="1"/>
  <c r="BN125" i="1" s="1"/>
  <c r="HM126" i="1"/>
  <c r="BN126" i="1" s="1"/>
  <c r="HM127" i="1"/>
  <c r="BN127" i="1" s="1"/>
  <c r="HM128" i="1"/>
  <c r="BN128" i="1" s="1"/>
  <c r="HN124" i="1"/>
  <c r="BO124" i="1" s="1"/>
  <c r="HN125" i="1"/>
  <c r="BO125" i="1" s="1"/>
  <c r="HN126" i="1"/>
  <c r="BO126" i="1" s="1"/>
  <c r="HN127" i="1"/>
  <c r="BO127" i="1" s="1"/>
  <c r="HN128" i="1"/>
  <c r="BO128" i="1" s="1"/>
  <c r="HO124" i="1"/>
  <c r="BP124" i="1" s="1"/>
  <c r="HO125" i="1"/>
  <c r="BP125" i="1" s="1"/>
  <c r="HO126" i="1"/>
  <c r="BP126" i="1" s="1"/>
  <c r="HO127" i="1"/>
  <c r="BP127" i="1" s="1"/>
  <c r="HO128" i="1"/>
  <c r="BP128" i="1" s="1"/>
  <c r="HP124" i="1"/>
  <c r="BQ124" i="1" s="1"/>
  <c r="HP125" i="1"/>
  <c r="BQ125" i="1" s="1"/>
  <c r="HP126" i="1"/>
  <c r="BQ126" i="1" s="1"/>
  <c r="HP127" i="1"/>
  <c r="BQ127" i="1" s="1"/>
  <c r="HP128" i="1"/>
  <c r="BQ128" i="1" s="1"/>
  <c r="HQ124" i="1"/>
  <c r="HQ125" i="1"/>
  <c r="HQ126" i="1"/>
  <c r="HQ127" i="1"/>
  <c r="HQ128" i="1"/>
  <c r="HR124" i="1"/>
  <c r="P124" i="1" s="1"/>
  <c r="HR125" i="1"/>
  <c r="P125" i="1" s="1"/>
  <c r="HR126" i="1"/>
  <c r="P126" i="1" s="1"/>
  <c r="HR127" i="1"/>
  <c r="P127" i="1" s="1"/>
  <c r="HR128" i="1"/>
  <c r="P128" i="1" s="1"/>
  <c r="HS124" i="1"/>
  <c r="F124" i="1" s="1"/>
  <c r="HS125" i="1"/>
  <c r="F125" i="1" s="1"/>
  <c r="HS126" i="1"/>
  <c r="F126" i="1" s="1"/>
  <c r="HS127" i="1"/>
  <c r="F127" i="1" s="1"/>
  <c r="HS128" i="1"/>
  <c r="F128" i="1" s="1"/>
  <c r="HT124" i="1"/>
  <c r="G124" i="1" s="1"/>
  <c r="HT125" i="1"/>
  <c r="G125" i="1" s="1"/>
  <c r="HT126" i="1"/>
  <c r="G126" i="1" s="1"/>
  <c r="HT127" i="1"/>
  <c r="G127" i="1" s="1"/>
  <c r="HT128" i="1"/>
  <c r="G128" i="1" s="1"/>
  <c r="HU124" i="1"/>
  <c r="H124" i="1" s="1"/>
  <c r="HU125" i="1"/>
  <c r="H125" i="1" s="1"/>
  <c r="HU126" i="1"/>
  <c r="H126" i="1" s="1"/>
  <c r="HU127" i="1"/>
  <c r="H127" i="1" s="1"/>
  <c r="HU128" i="1"/>
  <c r="H128" i="1" s="1"/>
  <c r="HV124" i="1"/>
  <c r="R124" i="1" s="1"/>
  <c r="HV125" i="1"/>
  <c r="R125" i="1" s="1"/>
  <c r="HV126" i="1"/>
  <c r="R126" i="1" s="1"/>
  <c r="HV127" i="1"/>
  <c r="R127" i="1" s="1"/>
  <c r="HV128" i="1"/>
  <c r="R128" i="1" s="1"/>
  <c r="HW124" i="1"/>
  <c r="S124" i="1" s="1"/>
  <c r="HW125" i="1"/>
  <c r="S125" i="1" s="1"/>
  <c r="HW126" i="1"/>
  <c r="S126" i="1" s="1"/>
  <c r="HW127" i="1"/>
  <c r="S127" i="1" s="1"/>
  <c r="HW128" i="1"/>
  <c r="S128" i="1" s="1"/>
  <c r="HX124" i="1"/>
  <c r="T124" i="1" s="1"/>
  <c r="HX125" i="1"/>
  <c r="T125" i="1" s="1"/>
  <c r="HX126" i="1"/>
  <c r="T126" i="1" s="1"/>
  <c r="HX127" i="1"/>
  <c r="T127" i="1" s="1"/>
  <c r="HX128" i="1"/>
  <c r="T128" i="1" s="1"/>
  <c r="HY124" i="1"/>
  <c r="IS124" i="1" s="1"/>
  <c r="HY125" i="1"/>
  <c r="IS125" i="1" s="1"/>
  <c r="HY126" i="1"/>
  <c r="IS126" i="1" s="1"/>
  <c r="HY127" i="1"/>
  <c r="IT127" i="1" s="1"/>
  <c r="HY128" i="1"/>
  <c r="IT128" i="1" s="1"/>
  <c r="HZ124" i="1"/>
  <c r="IU124" i="1" s="1"/>
  <c r="HZ125" i="1"/>
  <c r="IU125" i="1" s="1"/>
  <c r="HZ126" i="1"/>
  <c r="IU126" i="1" s="1"/>
  <c r="HZ127" i="1"/>
  <c r="IU127" i="1" s="1"/>
  <c r="HZ128" i="1"/>
  <c r="IU128" i="1" s="1"/>
  <c r="IA124" i="1"/>
  <c r="IH124" i="1" s="1"/>
  <c r="K124" i="1" s="1"/>
  <c r="IA125" i="1"/>
  <c r="IH125" i="1" s="1"/>
  <c r="K125" i="1" s="1"/>
  <c r="IA126" i="1"/>
  <c r="IH126" i="1" s="1"/>
  <c r="K126" i="1" s="1"/>
  <c r="IA127" i="1"/>
  <c r="IH127" i="1" s="1"/>
  <c r="K127" i="1" s="1"/>
  <c r="IA128" i="1"/>
  <c r="IH128" i="1" s="1"/>
  <c r="K128" i="1" s="1"/>
  <c r="IB124" i="1"/>
  <c r="IB125" i="1"/>
  <c r="IB126" i="1"/>
  <c r="IB127" i="1"/>
  <c r="IB128" i="1"/>
  <c r="IC124" i="1"/>
  <c r="IC125" i="1"/>
  <c r="IO125" i="1" s="1"/>
  <c r="W125" i="1" s="1"/>
  <c r="IC126" i="1"/>
  <c r="IO126" i="1" s="1"/>
  <c r="W126" i="1" s="1"/>
  <c r="IC127" i="1"/>
  <c r="IO127" i="1" s="1"/>
  <c r="W127" i="1" s="1"/>
  <c r="IC128" i="1"/>
  <c r="IO128" i="1" s="1"/>
  <c r="W128" i="1" s="1"/>
  <c r="IE124" i="1"/>
  <c r="IE125" i="1"/>
  <c r="IE126" i="1"/>
  <c r="IE127" i="1"/>
  <c r="IE128" i="1"/>
  <c r="IF124" i="1"/>
  <c r="J124" i="1" s="1"/>
  <c r="IF125" i="1"/>
  <c r="J125" i="1" s="1"/>
  <c r="IF126" i="1"/>
  <c r="J126" i="1" s="1"/>
  <c r="IF127" i="1"/>
  <c r="J127" i="1" s="1"/>
  <c r="IF128" i="1"/>
  <c r="J128" i="1" s="1"/>
  <c r="IG124" i="1"/>
  <c r="IG125" i="1"/>
  <c r="DC125" i="1" s="1"/>
  <c r="IG126" i="1"/>
  <c r="IG127" i="1"/>
  <c r="IG128" i="1"/>
  <c r="IO124" i="1"/>
  <c r="W124" i="1" s="1"/>
  <c r="NH124" i="1"/>
  <c r="NH125" i="1"/>
  <c r="NH126" i="1"/>
  <c r="NH127" i="1"/>
  <c r="NH128" i="1"/>
  <c r="NI124" i="1"/>
  <c r="NI125" i="1"/>
  <c r="NI126" i="1"/>
  <c r="NI127" i="1"/>
  <c r="NI128" i="1"/>
  <c r="NJ124" i="1"/>
  <c r="NJ125" i="1"/>
  <c r="NJ126" i="1"/>
  <c r="NJ127" i="1"/>
  <c r="NJ128" i="1"/>
  <c r="HF28" i="1"/>
  <c r="B28" i="1" s="1"/>
  <c r="HF29" i="1"/>
  <c r="B29" i="1" s="1"/>
  <c r="HF30" i="1"/>
  <c r="B30" i="1" s="1"/>
  <c r="HF31" i="1"/>
  <c r="B31" i="1" s="1"/>
  <c r="HG28" i="1"/>
  <c r="HG29" i="1"/>
  <c r="HG30" i="1"/>
  <c r="HG31" i="1"/>
  <c r="HH28" i="1"/>
  <c r="BI28" i="1" s="1"/>
  <c r="HH29" i="1"/>
  <c r="BI29" i="1" s="1"/>
  <c r="HH30" i="1"/>
  <c r="BI30" i="1" s="1"/>
  <c r="HH31" i="1"/>
  <c r="BI31" i="1" s="1"/>
  <c r="HI28" i="1"/>
  <c r="BJ28" i="1" s="1"/>
  <c r="HI29" i="1"/>
  <c r="BJ29" i="1" s="1"/>
  <c r="HI30" i="1"/>
  <c r="BJ30" i="1" s="1"/>
  <c r="HI31" i="1"/>
  <c r="BJ31" i="1" s="1"/>
  <c r="HJ28" i="1"/>
  <c r="BK28" i="1" s="1"/>
  <c r="HJ29" i="1"/>
  <c r="BK29" i="1" s="1"/>
  <c r="HJ30" i="1"/>
  <c r="BK30" i="1" s="1"/>
  <c r="HJ31" i="1"/>
  <c r="BK31" i="1" s="1"/>
  <c r="HK28" i="1"/>
  <c r="BL28" i="1" s="1"/>
  <c r="HK29" i="1"/>
  <c r="BL29" i="1" s="1"/>
  <c r="HK30" i="1"/>
  <c r="BL30" i="1" s="1"/>
  <c r="HK31" i="1"/>
  <c r="BL31" i="1" s="1"/>
  <c r="HL28" i="1"/>
  <c r="BM28" i="1" s="1"/>
  <c r="HL29" i="1"/>
  <c r="BM29" i="1" s="1"/>
  <c r="HL30" i="1"/>
  <c r="BM30" i="1" s="1"/>
  <c r="HL31" i="1"/>
  <c r="BM31" i="1" s="1"/>
  <c r="HM28" i="1"/>
  <c r="BN28" i="1" s="1"/>
  <c r="HM29" i="1"/>
  <c r="BN29" i="1" s="1"/>
  <c r="HM30" i="1"/>
  <c r="BN30" i="1" s="1"/>
  <c r="HM31" i="1"/>
  <c r="BN31" i="1" s="1"/>
  <c r="HN28" i="1"/>
  <c r="BO28" i="1" s="1"/>
  <c r="HN29" i="1"/>
  <c r="BO29" i="1" s="1"/>
  <c r="HN30" i="1"/>
  <c r="BO30" i="1" s="1"/>
  <c r="HN31" i="1"/>
  <c r="BO31" i="1" s="1"/>
  <c r="HO28" i="1"/>
  <c r="BP28" i="1" s="1"/>
  <c r="HO29" i="1"/>
  <c r="BP29" i="1" s="1"/>
  <c r="HO30" i="1"/>
  <c r="BP30" i="1" s="1"/>
  <c r="HO31" i="1"/>
  <c r="BP31" i="1" s="1"/>
  <c r="HP28" i="1"/>
  <c r="BQ28" i="1" s="1"/>
  <c r="HP29" i="1"/>
  <c r="BQ29" i="1" s="1"/>
  <c r="HP30" i="1"/>
  <c r="BQ30" i="1" s="1"/>
  <c r="HP31" i="1"/>
  <c r="BQ31" i="1" s="1"/>
  <c r="HQ28" i="1"/>
  <c r="HQ29" i="1"/>
  <c r="HQ30" i="1"/>
  <c r="HQ31" i="1"/>
  <c r="HR28" i="1"/>
  <c r="P28" i="1" s="1"/>
  <c r="HR29" i="1"/>
  <c r="P29" i="1" s="1"/>
  <c r="HR30" i="1"/>
  <c r="P30" i="1" s="1"/>
  <c r="HR31" i="1"/>
  <c r="P31" i="1" s="1"/>
  <c r="HS28" i="1"/>
  <c r="F28" i="1" s="1"/>
  <c r="HS29" i="1"/>
  <c r="F29" i="1" s="1"/>
  <c r="HS30" i="1"/>
  <c r="F30" i="1" s="1"/>
  <c r="HS31" i="1"/>
  <c r="F31" i="1" s="1"/>
  <c r="HT28" i="1"/>
  <c r="G28" i="1" s="1"/>
  <c r="HT29" i="1"/>
  <c r="G29" i="1" s="1"/>
  <c r="HT30" i="1"/>
  <c r="G30" i="1" s="1"/>
  <c r="HT31" i="1"/>
  <c r="G31" i="1" s="1"/>
  <c r="HU28" i="1"/>
  <c r="H28" i="1" s="1"/>
  <c r="HU29" i="1"/>
  <c r="H29" i="1" s="1"/>
  <c r="HU30" i="1"/>
  <c r="H30" i="1" s="1"/>
  <c r="HU31" i="1"/>
  <c r="H31" i="1" s="1"/>
  <c r="HV28" i="1"/>
  <c r="R28" i="1" s="1"/>
  <c r="HV29" i="1"/>
  <c r="R29" i="1" s="1"/>
  <c r="HV30" i="1"/>
  <c r="R30" i="1" s="1"/>
  <c r="HV31" i="1"/>
  <c r="R31" i="1" s="1"/>
  <c r="HW28" i="1"/>
  <c r="S28" i="1" s="1"/>
  <c r="HW29" i="1"/>
  <c r="S29" i="1" s="1"/>
  <c r="HW30" i="1"/>
  <c r="S30" i="1" s="1"/>
  <c r="HW31" i="1"/>
  <c r="S31" i="1" s="1"/>
  <c r="HX28" i="1"/>
  <c r="T28" i="1" s="1"/>
  <c r="HX29" i="1"/>
  <c r="T29" i="1" s="1"/>
  <c r="HX30" i="1"/>
  <c r="T30" i="1" s="1"/>
  <c r="HX31" i="1"/>
  <c r="T31" i="1" s="1"/>
  <c r="HY28" i="1"/>
  <c r="HY29" i="1"/>
  <c r="HY30" i="1"/>
  <c r="HY31" i="1"/>
  <c r="HZ28" i="1"/>
  <c r="HZ29" i="1"/>
  <c r="HZ30" i="1"/>
  <c r="HZ31" i="1"/>
  <c r="IA28" i="1"/>
  <c r="IA29" i="1"/>
  <c r="IA30" i="1"/>
  <c r="IA31" i="1"/>
  <c r="IB28" i="1"/>
  <c r="IB29" i="1"/>
  <c r="IB30" i="1"/>
  <c r="IB31" i="1"/>
  <c r="IC28" i="1"/>
  <c r="IC29" i="1"/>
  <c r="IC30" i="1"/>
  <c r="IC31" i="1"/>
  <c r="IE28" i="1"/>
  <c r="IE29" i="1"/>
  <c r="IE30" i="1"/>
  <c r="IE31" i="1"/>
  <c r="IF28" i="1"/>
  <c r="J28" i="1" s="1"/>
  <c r="IF29" i="1"/>
  <c r="J29" i="1" s="1"/>
  <c r="IF30" i="1"/>
  <c r="J30" i="1" s="1"/>
  <c r="IF31" i="1"/>
  <c r="J31" i="1" s="1"/>
  <c r="IG28" i="1"/>
  <c r="IG29" i="1"/>
  <c r="IG30" i="1"/>
  <c r="IG31" i="1"/>
  <c r="IH28" i="1"/>
  <c r="K28" i="1" s="1"/>
  <c r="IH29" i="1"/>
  <c r="K29" i="1" s="1"/>
  <c r="IH30" i="1"/>
  <c r="K30" i="1" s="1"/>
  <c r="IH31" i="1"/>
  <c r="K31" i="1" s="1"/>
  <c r="IO28" i="1"/>
  <c r="W28" i="1" s="1"/>
  <c r="IO29" i="1"/>
  <c r="W29" i="1" s="1"/>
  <c r="IO30" i="1"/>
  <c r="W30" i="1" s="1"/>
  <c r="IO31" i="1"/>
  <c r="W31" i="1" s="1"/>
  <c r="IS28" i="1"/>
  <c r="IS29" i="1"/>
  <c r="IS30" i="1"/>
  <c r="IS31" i="1"/>
  <c r="IT28" i="1"/>
  <c r="IT29" i="1"/>
  <c r="IT30" i="1"/>
  <c r="IT31" i="1"/>
  <c r="IU28" i="1"/>
  <c r="IU29" i="1"/>
  <c r="IU30" i="1"/>
  <c r="IU31" i="1"/>
  <c r="IV28" i="1"/>
  <c r="IV29" i="1"/>
  <c r="IV30" i="1"/>
  <c r="IV31" i="1"/>
  <c r="NH28" i="1"/>
  <c r="NH29" i="1"/>
  <c r="NH30" i="1"/>
  <c r="NH31" i="1"/>
  <c r="NI28" i="1"/>
  <c r="NI29" i="1"/>
  <c r="NI30" i="1"/>
  <c r="NI31" i="1"/>
  <c r="NJ28" i="1"/>
  <c r="NJ29" i="1"/>
  <c r="NJ30" i="1"/>
  <c r="NJ31" i="1"/>
  <c r="HF24" i="1"/>
  <c r="B24" i="1" s="1"/>
  <c r="HG24" i="1"/>
  <c r="BH24" i="1" s="1"/>
  <c r="HH24" i="1"/>
  <c r="BI24" i="1" s="1"/>
  <c r="HI24" i="1"/>
  <c r="BJ24" i="1" s="1"/>
  <c r="HJ24" i="1"/>
  <c r="BK24" i="1" s="1"/>
  <c r="HK24" i="1"/>
  <c r="BL24" i="1" s="1"/>
  <c r="HL24" i="1"/>
  <c r="BM24" i="1" s="1"/>
  <c r="HM24" i="1"/>
  <c r="BN24" i="1" s="1"/>
  <c r="HN24" i="1"/>
  <c r="BO24" i="1" s="1"/>
  <c r="HO24" i="1"/>
  <c r="BP24" i="1" s="1"/>
  <c r="HP24" i="1"/>
  <c r="BQ24" i="1" s="1"/>
  <c r="HQ24" i="1"/>
  <c r="HR24" i="1"/>
  <c r="P24" i="1" s="1"/>
  <c r="HS24" i="1"/>
  <c r="F24" i="1" s="1"/>
  <c r="HT24" i="1"/>
  <c r="G24" i="1" s="1"/>
  <c r="HU24" i="1"/>
  <c r="H24" i="1" s="1"/>
  <c r="HV24" i="1"/>
  <c r="R24" i="1" s="1"/>
  <c r="HW24" i="1"/>
  <c r="S24" i="1" s="1"/>
  <c r="HX24" i="1"/>
  <c r="T24" i="1" s="1"/>
  <c r="HY24" i="1"/>
  <c r="IT24" i="1" s="1"/>
  <c r="HZ24" i="1"/>
  <c r="IU24" i="1" s="1"/>
  <c r="IA24" i="1"/>
  <c r="IH24" i="1" s="1"/>
  <c r="K24" i="1" s="1"/>
  <c r="IB24" i="1"/>
  <c r="IC24" i="1"/>
  <c r="IO24" i="1" s="1"/>
  <c r="W24" i="1" s="1"/>
  <c r="IE24" i="1"/>
  <c r="IF24" i="1"/>
  <c r="J24" i="1" s="1"/>
  <c r="IG24" i="1"/>
  <c r="NH24" i="1"/>
  <c r="NI24" i="1"/>
  <c r="NJ24" i="1"/>
  <c r="HF20" i="1"/>
  <c r="B20" i="1" s="1"/>
  <c r="HF21" i="1"/>
  <c r="B21" i="1" s="1"/>
  <c r="HF22" i="1"/>
  <c r="B22" i="1" s="1"/>
  <c r="HF23" i="1"/>
  <c r="B23" i="1" s="1"/>
  <c r="HF25" i="1"/>
  <c r="B25" i="1" s="1"/>
  <c r="HF26" i="1"/>
  <c r="B26" i="1" s="1"/>
  <c r="HF27" i="1"/>
  <c r="B27" i="1" s="1"/>
  <c r="HF32" i="1"/>
  <c r="B32" i="1" s="1"/>
  <c r="HF33" i="1"/>
  <c r="B33" i="1" s="1"/>
  <c r="HF34" i="1"/>
  <c r="B34" i="1" s="1"/>
  <c r="HF35" i="1"/>
  <c r="B35" i="1" s="1"/>
  <c r="HF36" i="1"/>
  <c r="B36" i="1" s="1"/>
  <c r="HF37" i="1"/>
  <c r="B37" i="1" s="1"/>
  <c r="HF38" i="1"/>
  <c r="B38" i="1" s="1"/>
  <c r="HF39" i="1"/>
  <c r="B39" i="1" s="1"/>
  <c r="HF40" i="1"/>
  <c r="B40" i="1" s="1"/>
  <c r="HF41" i="1"/>
  <c r="B41" i="1" s="1"/>
  <c r="HF42" i="1"/>
  <c r="B42" i="1" s="1"/>
  <c r="HF43" i="1"/>
  <c r="B43" i="1" s="1"/>
  <c r="HF44" i="1"/>
  <c r="B44" i="1" s="1"/>
  <c r="HF45" i="1"/>
  <c r="B45" i="1" s="1"/>
  <c r="HF46" i="1"/>
  <c r="B46" i="1" s="1"/>
  <c r="HF47" i="1"/>
  <c r="B47" i="1" s="1"/>
  <c r="HF48" i="1"/>
  <c r="B48" i="1" s="1"/>
  <c r="HF49" i="1"/>
  <c r="B49" i="1" s="1"/>
  <c r="HF50" i="1"/>
  <c r="B50" i="1" s="1"/>
  <c r="HF51" i="1"/>
  <c r="B51" i="1" s="1"/>
  <c r="HF52" i="1"/>
  <c r="B52" i="1" s="1"/>
  <c r="HF53" i="1"/>
  <c r="B53" i="1" s="1"/>
  <c r="HF54" i="1"/>
  <c r="B54" i="1" s="1"/>
  <c r="HG20" i="1"/>
  <c r="HG21" i="1"/>
  <c r="HG22" i="1"/>
  <c r="HG23" i="1"/>
  <c r="HG25" i="1"/>
  <c r="HG26" i="1"/>
  <c r="HG27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H20" i="1"/>
  <c r="BI20" i="1" s="1"/>
  <c r="HH21" i="1"/>
  <c r="BI21" i="1" s="1"/>
  <c r="HH22" i="1"/>
  <c r="BI22" i="1" s="1"/>
  <c r="HH23" i="1"/>
  <c r="BI23" i="1" s="1"/>
  <c r="HH25" i="1"/>
  <c r="BI25" i="1" s="1"/>
  <c r="HH26" i="1"/>
  <c r="BI26" i="1" s="1"/>
  <c r="HH27" i="1"/>
  <c r="BI27" i="1" s="1"/>
  <c r="HH32" i="1"/>
  <c r="BI32" i="1" s="1"/>
  <c r="HH33" i="1"/>
  <c r="BI33" i="1" s="1"/>
  <c r="HH34" i="1"/>
  <c r="BI34" i="1" s="1"/>
  <c r="HH35" i="1"/>
  <c r="BI35" i="1" s="1"/>
  <c r="HH36" i="1"/>
  <c r="BI36" i="1" s="1"/>
  <c r="HH37" i="1"/>
  <c r="BI37" i="1" s="1"/>
  <c r="HH38" i="1"/>
  <c r="BI38" i="1" s="1"/>
  <c r="HH39" i="1"/>
  <c r="BI39" i="1" s="1"/>
  <c r="HH40" i="1"/>
  <c r="BI40" i="1" s="1"/>
  <c r="HH41" i="1"/>
  <c r="BI41" i="1" s="1"/>
  <c r="HH42" i="1"/>
  <c r="BI42" i="1" s="1"/>
  <c r="HH43" i="1"/>
  <c r="BI43" i="1" s="1"/>
  <c r="HH44" i="1"/>
  <c r="BI44" i="1" s="1"/>
  <c r="HH45" i="1"/>
  <c r="BI45" i="1" s="1"/>
  <c r="HH46" i="1"/>
  <c r="BI46" i="1" s="1"/>
  <c r="HH47" i="1"/>
  <c r="BI47" i="1" s="1"/>
  <c r="HH48" i="1"/>
  <c r="BI48" i="1" s="1"/>
  <c r="HH49" i="1"/>
  <c r="BI49" i="1" s="1"/>
  <c r="HH50" i="1"/>
  <c r="BI50" i="1" s="1"/>
  <c r="HH51" i="1"/>
  <c r="BI51" i="1" s="1"/>
  <c r="HH52" i="1"/>
  <c r="BI52" i="1" s="1"/>
  <c r="HH53" i="1"/>
  <c r="BI53" i="1" s="1"/>
  <c r="HH54" i="1"/>
  <c r="BI54" i="1" s="1"/>
  <c r="HI20" i="1"/>
  <c r="BJ20" i="1" s="1"/>
  <c r="HI21" i="1"/>
  <c r="BJ21" i="1" s="1"/>
  <c r="HI22" i="1"/>
  <c r="BJ22" i="1" s="1"/>
  <c r="HI23" i="1"/>
  <c r="BJ23" i="1" s="1"/>
  <c r="HI25" i="1"/>
  <c r="BJ25" i="1" s="1"/>
  <c r="HI26" i="1"/>
  <c r="BJ26" i="1" s="1"/>
  <c r="HI27" i="1"/>
  <c r="BJ27" i="1" s="1"/>
  <c r="HI32" i="1"/>
  <c r="BJ32" i="1" s="1"/>
  <c r="HI33" i="1"/>
  <c r="BJ33" i="1" s="1"/>
  <c r="HI34" i="1"/>
  <c r="BJ34" i="1" s="1"/>
  <c r="HI35" i="1"/>
  <c r="BJ35" i="1" s="1"/>
  <c r="HI36" i="1"/>
  <c r="BJ36" i="1" s="1"/>
  <c r="HI37" i="1"/>
  <c r="BJ37" i="1" s="1"/>
  <c r="HI38" i="1"/>
  <c r="BJ38" i="1" s="1"/>
  <c r="HI39" i="1"/>
  <c r="BJ39" i="1" s="1"/>
  <c r="HI40" i="1"/>
  <c r="BJ40" i="1" s="1"/>
  <c r="HI41" i="1"/>
  <c r="BJ41" i="1" s="1"/>
  <c r="HI42" i="1"/>
  <c r="BJ42" i="1" s="1"/>
  <c r="HI43" i="1"/>
  <c r="BJ43" i="1" s="1"/>
  <c r="HI44" i="1"/>
  <c r="BJ44" i="1" s="1"/>
  <c r="HI45" i="1"/>
  <c r="BJ45" i="1" s="1"/>
  <c r="HI46" i="1"/>
  <c r="BJ46" i="1" s="1"/>
  <c r="HI47" i="1"/>
  <c r="BJ47" i="1" s="1"/>
  <c r="HI48" i="1"/>
  <c r="BJ48" i="1" s="1"/>
  <c r="HI49" i="1"/>
  <c r="BJ49" i="1" s="1"/>
  <c r="HI50" i="1"/>
  <c r="BJ50" i="1" s="1"/>
  <c r="HI51" i="1"/>
  <c r="BJ51" i="1" s="1"/>
  <c r="HI52" i="1"/>
  <c r="BJ52" i="1" s="1"/>
  <c r="HI53" i="1"/>
  <c r="BJ53" i="1" s="1"/>
  <c r="HI54" i="1"/>
  <c r="BJ54" i="1" s="1"/>
  <c r="HJ20" i="1"/>
  <c r="BK20" i="1" s="1"/>
  <c r="HJ21" i="1"/>
  <c r="BK21" i="1" s="1"/>
  <c r="HJ22" i="1"/>
  <c r="BK22" i="1" s="1"/>
  <c r="HJ23" i="1"/>
  <c r="BK23" i="1" s="1"/>
  <c r="HJ25" i="1"/>
  <c r="BK25" i="1" s="1"/>
  <c r="HJ26" i="1"/>
  <c r="BK26" i="1" s="1"/>
  <c r="HJ27" i="1"/>
  <c r="BK27" i="1" s="1"/>
  <c r="HJ32" i="1"/>
  <c r="BK32" i="1" s="1"/>
  <c r="HJ33" i="1"/>
  <c r="BK33" i="1" s="1"/>
  <c r="HJ34" i="1"/>
  <c r="BK34" i="1" s="1"/>
  <c r="HJ35" i="1"/>
  <c r="BK35" i="1" s="1"/>
  <c r="HJ36" i="1"/>
  <c r="BK36" i="1" s="1"/>
  <c r="HJ37" i="1"/>
  <c r="BK37" i="1" s="1"/>
  <c r="HJ38" i="1"/>
  <c r="BK38" i="1" s="1"/>
  <c r="HJ39" i="1"/>
  <c r="BK39" i="1" s="1"/>
  <c r="HJ40" i="1"/>
  <c r="BK40" i="1" s="1"/>
  <c r="HJ41" i="1"/>
  <c r="BK41" i="1" s="1"/>
  <c r="HJ42" i="1"/>
  <c r="BK42" i="1" s="1"/>
  <c r="HJ43" i="1"/>
  <c r="BK43" i="1" s="1"/>
  <c r="HJ44" i="1"/>
  <c r="BK44" i="1" s="1"/>
  <c r="HJ45" i="1"/>
  <c r="BK45" i="1" s="1"/>
  <c r="HJ46" i="1"/>
  <c r="BK46" i="1" s="1"/>
  <c r="HJ47" i="1"/>
  <c r="BK47" i="1" s="1"/>
  <c r="HJ48" i="1"/>
  <c r="BK48" i="1" s="1"/>
  <c r="HJ49" i="1"/>
  <c r="BK49" i="1" s="1"/>
  <c r="HJ50" i="1"/>
  <c r="BK50" i="1" s="1"/>
  <c r="HJ51" i="1"/>
  <c r="BK51" i="1" s="1"/>
  <c r="HJ52" i="1"/>
  <c r="BK52" i="1" s="1"/>
  <c r="HJ53" i="1"/>
  <c r="BK53" i="1" s="1"/>
  <c r="HJ54" i="1"/>
  <c r="BK54" i="1" s="1"/>
  <c r="HK20" i="1"/>
  <c r="BL20" i="1" s="1"/>
  <c r="HK21" i="1"/>
  <c r="BL21" i="1" s="1"/>
  <c r="HK22" i="1"/>
  <c r="BL22" i="1" s="1"/>
  <c r="HK23" i="1"/>
  <c r="BL23" i="1" s="1"/>
  <c r="HK25" i="1"/>
  <c r="BL25" i="1" s="1"/>
  <c r="HK26" i="1"/>
  <c r="BL26" i="1" s="1"/>
  <c r="HK27" i="1"/>
  <c r="BL27" i="1" s="1"/>
  <c r="HK32" i="1"/>
  <c r="BL32" i="1" s="1"/>
  <c r="HK33" i="1"/>
  <c r="BL33" i="1" s="1"/>
  <c r="HK34" i="1"/>
  <c r="BL34" i="1" s="1"/>
  <c r="HK35" i="1"/>
  <c r="BL35" i="1" s="1"/>
  <c r="HK36" i="1"/>
  <c r="BL36" i="1" s="1"/>
  <c r="HK37" i="1"/>
  <c r="BL37" i="1" s="1"/>
  <c r="HK38" i="1"/>
  <c r="BL38" i="1" s="1"/>
  <c r="HK39" i="1"/>
  <c r="BL39" i="1" s="1"/>
  <c r="HK40" i="1"/>
  <c r="BL40" i="1" s="1"/>
  <c r="HK41" i="1"/>
  <c r="BL41" i="1" s="1"/>
  <c r="HK42" i="1"/>
  <c r="BL42" i="1" s="1"/>
  <c r="HK43" i="1"/>
  <c r="BL43" i="1" s="1"/>
  <c r="HK44" i="1"/>
  <c r="BL44" i="1" s="1"/>
  <c r="HK45" i="1"/>
  <c r="BL45" i="1" s="1"/>
  <c r="HK46" i="1"/>
  <c r="BL46" i="1" s="1"/>
  <c r="HK47" i="1"/>
  <c r="BL47" i="1" s="1"/>
  <c r="HK48" i="1"/>
  <c r="BL48" i="1" s="1"/>
  <c r="HK49" i="1"/>
  <c r="BL49" i="1" s="1"/>
  <c r="HK50" i="1"/>
  <c r="BL50" i="1" s="1"/>
  <c r="HK51" i="1"/>
  <c r="BL51" i="1" s="1"/>
  <c r="HK52" i="1"/>
  <c r="BL52" i="1" s="1"/>
  <c r="HK53" i="1"/>
  <c r="BL53" i="1" s="1"/>
  <c r="HK54" i="1"/>
  <c r="BL54" i="1" s="1"/>
  <c r="HL20" i="1"/>
  <c r="BM20" i="1" s="1"/>
  <c r="HL21" i="1"/>
  <c r="BM21" i="1" s="1"/>
  <c r="HL22" i="1"/>
  <c r="BM22" i="1" s="1"/>
  <c r="HL23" i="1"/>
  <c r="BM23" i="1" s="1"/>
  <c r="HL25" i="1"/>
  <c r="BM25" i="1" s="1"/>
  <c r="HL26" i="1"/>
  <c r="BM26" i="1" s="1"/>
  <c r="HL27" i="1"/>
  <c r="BM27" i="1" s="1"/>
  <c r="HL32" i="1"/>
  <c r="BM32" i="1" s="1"/>
  <c r="HL33" i="1"/>
  <c r="BM33" i="1" s="1"/>
  <c r="HL34" i="1"/>
  <c r="BM34" i="1" s="1"/>
  <c r="HL35" i="1"/>
  <c r="BM35" i="1" s="1"/>
  <c r="HL36" i="1"/>
  <c r="BM36" i="1" s="1"/>
  <c r="HL37" i="1"/>
  <c r="BM37" i="1" s="1"/>
  <c r="HL38" i="1"/>
  <c r="BM38" i="1" s="1"/>
  <c r="HL39" i="1"/>
  <c r="BM39" i="1" s="1"/>
  <c r="HL40" i="1"/>
  <c r="BM40" i="1" s="1"/>
  <c r="HL41" i="1"/>
  <c r="BM41" i="1" s="1"/>
  <c r="HL42" i="1"/>
  <c r="BM42" i="1" s="1"/>
  <c r="HL43" i="1"/>
  <c r="BM43" i="1" s="1"/>
  <c r="HL44" i="1"/>
  <c r="BM44" i="1" s="1"/>
  <c r="HL45" i="1"/>
  <c r="BM45" i="1" s="1"/>
  <c r="HL46" i="1"/>
  <c r="BM46" i="1" s="1"/>
  <c r="HL47" i="1"/>
  <c r="BM47" i="1" s="1"/>
  <c r="HL48" i="1"/>
  <c r="BM48" i="1" s="1"/>
  <c r="HL49" i="1"/>
  <c r="BM49" i="1" s="1"/>
  <c r="HL50" i="1"/>
  <c r="BM50" i="1" s="1"/>
  <c r="HL51" i="1"/>
  <c r="BM51" i="1" s="1"/>
  <c r="HL52" i="1"/>
  <c r="BM52" i="1" s="1"/>
  <c r="HL53" i="1"/>
  <c r="BM53" i="1" s="1"/>
  <c r="HL54" i="1"/>
  <c r="BM54" i="1" s="1"/>
  <c r="HM20" i="1"/>
  <c r="BN20" i="1" s="1"/>
  <c r="HM21" i="1"/>
  <c r="BN21" i="1" s="1"/>
  <c r="HM22" i="1"/>
  <c r="BN22" i="1" s="1"/>
  <c r="HM23" i="1"/>
  <c r="BN23" i="1" s="1"/>
  <c r="HM25" i="1"/>
  <c r="BN25" i="1" s="1"/>
  <c r="HM26" i="1"/>
  <c r="BN26" i="1" s="1"/>
  <c r="HM27" i="1"/>
  <c r="BN27" i="1" s="1"/>
  <c r="HM32" i="1"/>
  <c r="BN32" i="1" s="1"/>
  <c r="HM33" i="1"/>
  <c r="BN33" i="1" s="1"/>
  <c r="HM34" i="1"/>
  <c r="BN34" i="1" s="1"/>
  <c r="HM35" i="1"/>
  <c r="BN35" i="1" s="1"/>
  <c r="HM36" i="1"/>
  <c r="BN36" i="1" s="1"/>
  <c r="HM37" i="1"/>
  <c r="BN37" i="1" s="1"/>
  <c r="HM38" i="1"/>
  <c r="BN38" i="1" s="1"/>
  <c r="HM39" i="1"/>
  <c r="BN39" i="1" s="1"/>
  <c r="HM40" i="1"/>
  <c r="BN40" i="1" s="1"/>
  <c r="HM41" i="1"/>
  <c r="BN41" i="1" s="1"/>
  <c r="HM42" i="1"/>
  <c r="BN42" i="1" s="1"/>
  <c r="HM43" i="1"/>
  <c r="BN43" i="1" s="1"/>
  <c r="HM44" i="1"/>
  <c r="BN44" i="1" s="1"/>
  <c r="HM45" i="1"/>
  <c r="BN45" i="1" s="1"/>
  <c r="HM46" i="1"/>
  <c r="BN46" i="1" s="1"/>
  <c r="HM47" i="1"/>
  <c r="BN47" i="1" s="1"/>
  <c r="HM48" i="1"/>
  <c r="BN48" i="1" s="1"/>
  <c r="HM49" i="1"/>
  <c r="BN49" i="1" s="1"/>
  <c r="HM50" i="1"/>
  <c r="BN50" i="1" s="1"/>
  <c r="HM51" i="1"/>
  <c r="BN51" i="1" s="1"/>
  <c r="HM52" i="1"/>
  <c r="BN52" i="1" s="1"/>
  <c r="HM53" i="1"/>
  <c r="BN53" i="1" s="1"/>
  <c r="HM54" i="1"/>
  <c r="BN54" i="1" s="1"/>
  <c r="HN20" i="1"/>
  <c r="BO20" i="1" s="1"/>
  <c r="HN21" i="1"/>
  <c r="BO21" i="1" s="1"/>
  <c r="HN22" i="1"/>
  <c r="BO22" i="1" s="1"/>
  <c r="HN23" i="1"/>
  <c r="BO23" i="1" s="1"/>
  <c r="HN25" i="1"/>
  <c r="BO25" i="1" s="1"/>
  <c r="HN26" i="1"/>
  <c r="BO26" i="1" s="1"/>
  <c r="HN27" i="1"/>
  <c r="BO27" i="1" s="1"/>
  <c r="HN32" i="1"/>
  <c r="BO32" i="1" s="1"/>
  <c r="HN33" i="1"/>
  <c r="BO33" i="1" s="1"/>
  <c r="HN34" i="1"/>
  <c r="BO34" i="1" s="1"/>
  <c r="HN35" i="1"/>
  <c r="BO35" i="1" s="1"/>
  <c r="HN36" i="1"/>
  <c r="BO36" i="1" s="1"/>
  <c r="HN37" i="1"/>
  <c r="BO37" i="1" s="1"/>
  <c r="HN38" i="1"/>
  <c r="BO38" i="1" s="1"/>
  <c r="HN39" i="1"/>
  <c r="BO39" i="1" s="1"/>
  <c r="HN40" i="1"/>
  <c r="BO40" i="1" s="1"/>
  <c r="HN41" i="1"/>
  <c r="BO41" i="1" s="1"/>
  <c r="HN42" i="1"/>
  <c r="BO42" i="1" s="1"/>
  <c r="HN43" i="1"/>
  <c r="BO43" i="1" s="1"/>
  <c r="HN44" i="1"/>
  <c r="BO44" i="1" s="1"/>
  <c r="HN45" i="1"/>
  <c r="BO45" i="1" s="1"/>
  <c r="HN46" i="1"/>
  <c r="BO46" i="1" s="1"/>
  <c r="HN47" i="1"/>
  <c r="BO47" i="1" s="1"/>
  <c r="HN48" i="1"/>
  <c r="BO48" i="1" s="1"/>
  <c r="HN49" i="1"/>
  <c r="BO49" i="1" s="1"/>
  <c r="HN50" i="1"/>
  <c r="BO50" i="1" s="1"/>
  <c r="HN51" i="1"/>
  <c r="BO51" i="1" s="1"/>
  <c r="HN52" i="1"/>
  <c r="BO52" i="1" s="1"/>
  <c r="HN53" i="1"/>
  <c r="BO53" i="1" s="1"/>
  <c r="HN54" i="1"/>
  <c r="BO54" i="1" s="1"/>
  <c r="HO20" i="1"/>
  <c r="BP20" i="1" s="1"/>
  <c r="HO21" i="1"/>
  <c r="BP21" i="1" s="1"/>
  <c r="HO22" i="1"/>
  <c r="BP22" i="1" s="1"/>
  <c r="HO23" i="1"/>
  <c r="BP23" i="1" s="1"/>
  <c r="HO25" i="1"/>
  <c r="BP25" i="1" s="1"/>
  <c r="HO26" i="1"/>
  <c r="BP26" i="1" s="1"/>
  <c r="HO27" i="1"/>
  <c r="BP27" i="1" s="1"/>
  <c r="HO32" i="1"/>
  <c r="BP32" i="1" s="1"/>
  <c r="HO33" i="1"/>
  <c r="BP33" i="1" s="1"/>
  <c r="HO34" i="1"/>
  <c r="BP34" i="1" s="1"/>
  <c r="HO35" i="1"/>
  <c r="BP35" i="1" s="1"/>
  <c r="HO36" i="1"/>
  <c r="BP36" i="1" s="1"/>
  <c r="HO37" i="1"/>
  <c r="BP37" i="1" s="1"/>
  <c r="HO38" i="1"/>
  <c r="BP38" i="1" s="1"/>
  <c r="HO39" i="1"/>
  <c r="BP39" i="1" s="1"/>
  <c r="HO40" i="1"/>
  <c r="BP40" i="1" s="1"/>
  <c r="HO41" i="1"/>
  <c r="BP41" i="1" s="1"/>
  <c r="HO42" i="1"/>
  <c r="BP42" i="1" s="1"/>
  <c r="HO43" i="1"/>
  <c r="BP43" i="1" s="1"/>
  <c r="HO44" i="1"/>
  <c r="BP44" i="1" s="1"/>
  <c r="HO45" i="1"/>
  <c r="BP45" i="1" s="1"/>
  <c r="HO46" i="1"/>
  <c r="BP46" i="1" s="1"/>
  <c r="HO47" i="1"/>
  <c r="BP47" i="1" s="1"/>
  <c r="HO48" i="1"/>
  <c r="BP48" i="1" s="1"/>
  <c r="HO49" i="1"/>
  <c r="BP49" i="1" s="1"/>
  <c r="HO50" i="1"/>
  <c r="BP50" i="1" s="1"/>
  <c r="HO51" i="1"/>
  <c r="BP51" i="1" s="1"/>
  <c r="HO52" i="1"/>
  <c r="BP52" i="1" s="1"/>
  <c r="HO53" i="1"/>
  <c r="BP53" i="1" s="1"/>
  <c r="HO54" i="1"/>
  <c r="BP54" i="1" s="1"/>
  <c r="HP20" i="1"/>
  <c r="BQ20" i="1" s="1"/>
  <c r="HP21" i="1"/>
  <c r="BQ21" i="1" s="1"/>
  <c r="HP22" i="1"/>
  <c r="BQ22" i="1" s="1"/>
  <c r="HP23" i="1"/>
  <c r="BQ23" i="1" s="1"/>
  <c r="HP25" i="1"/>
  <c r="BQ25" i="1" s="1"/>
  <c r="HP26" i="1"/>
  <c r="BQ26" i="1" s="1"/>
  <c r="HP27" i="1"/>
  <c r="BQ27" i="1" s="1"/>
  <c r="HP32" i="1"/>
  <c r="BQ32" i="1" s="1"/>
  <c r="HP33" i="1"/>
  <c r="BQ33" i="1" s="1"/>
  <c r="HP34" i="1"/>
  <c r="BQ34" i="1" s="1"/>
  <c r="HP35" i="1"/>
  <c r="BQ35" i="1" s="1"/>
  <c r="HP36" i="1"/>
  <c r="BQ36" i="1" s="1"/>
  <c r="HP37" i="1"/>
  <c r="BQ37" i="1" s="1"/>
  <c r="HP38" i="1"/>
  <c r="BQ38" i="1" s="1"/>
  <c r="HP39" i="1"/>
  <c r="BQ39" i="1" s="1"/>
  <c r="HP40" i="1"/>
  <c r="BQ40" i="1" s="1"/>
  <c r="HP41" i="1"/>
  <c r="BQ41" i="1" s="1"/>
  <c r="HP42" i="1"/>
  <c r="BQ42" i="1" s="1"/>
  <c r="HP43" i="1"/>
  <c r="BQ43" i="1" s="1"/>
  <c r="HP44" i="1"/>
  <c r="BQ44" i="1" s="1"/>
  <c r="HP45" i="1"/>
  <c r="BQ45" i="1" s="1"/>
  <c r="HP46" i="1"/>
  <c r="BQ46" i="1" s="1"/>
  <c r="HP47" i="1"/>
  <c r="BQ47" i="1" s="1"/>
  <c r="HP48" i="1"/>
  <c r="BQ48" i="1" s="1"/>
  <c r="HP49" i="1"/>
  <c r="BQ49" i="1" s="1"/>
  <c r="HP50" i="1"/>
  <c r="BQ50" i="1" s="1"/>
  <c r="HP51" i="1"/>
  <c r="BQ51" i="1" s="1"/>
  <c r="HP52" i="1"/>
  <c r="BQ52" i="1" s="1"/>
  <c r="HP53" i="1"/>
  <c r="BQ53" i="1" s="1"/>
  <c r="HP54" i="1"/>
  <c r="BQ54" i="1" s="1"/>
  <c r="HQ20" i="1"/>
  <c r="HQ21" i="1"/>
  <c r="HQ22" i="1"/>
  <c r="HQ23" i="1"/>
  <c r="HQ25" i="1"/>
  <c r="HQ26" i="1"/>
  <c r="HQ27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R20" i="1"/>
  <c r="P20" i="1" s="1"/>
  <c r="HR21" i="1"/>
  <c r="P21" i="1" s="1"/>
  <c r="HR22" i="1"/>
  <c r="P22" i="1" s="1"/>
  <c r="HR23" i="1"/>
  <c r="P23" i="1" s="1"/>
  <c r="HR25" i="1"/>
  <c r="P25" i="1" s="1"/>
  <c r="HR26" i="1"/>
  <c r="P26" i="1" s="1"/>
  <c r="HR27" i="1"/>
  <c r="P27" i="1" s="1"/>
  <c r="HR32" i="1"/>
  <c r="P32" i="1" s="1"/>
  <c r="HR33" i="1"/>
  <c r="P33" i="1" s="1"/>
  <c r="HR34" i="1"/>
  <c r="P34" i="1" s="1"/>
  <c r="HR35" i="1"/>
  <c r="P35" i="1" s="1"/>
  <c r="HR36" i="1"/>
  <c r="P36" i="1" s="1"/>
  <c r="HR37" i="1"/>
  <c r="P37" i="1" s="1"/>
  <c r="HR38" i="1"/>
  <c r="P38" i="1" s="1"/>
  <c r="HR39" i="1"/>
  <c r="P39" i="1" s="1"/>
  <c r="HR40" i="1"/>
  <c r="P40" i="1" s="1"/>
  <c r="HR41" i="1"/>
  <c r="P41" i="1" s="1"/>
  <c r="HR42" i="1"/>
  <c r="P42" i="1" s="1"/>
  <c r="HR43" i="1"/>
  <c r="P43" i="1" s="1"/>
  <c r="HR44" i="1"/>
  <c r="P44" i="1" s="1"/>
  <c r="HR45" i="1"/>
  <c r="P45" i="1" s="1"/>
  <c r="HR46" i="1"/>
  <c r="P46" i="1" s="1"/>
  <c r="HR47" i="1"/>
  <c r="P47" i="1" s="1"/>
  <c r="HR48" i="1"/>
  <c r="P48" i="1" s="1"/>
  <c r="HR49" i="1"/>
  <c r="P49" i="1" s="1"/>
  <c r="HR50" i="1"/>
  <c r="P50" i="1" s="1"/>
  <c r="HR51" i="1"/>
  <c r="P51" i="1" s="1"/>
  <c r="HR52" i="1"/>
  <c r="P52" i="1" s="1"/>
  <c r="HR53" i="1"/>
  <c r="P53" i="1" s="1"/>
  <c r="HR54" i="1"/>
  <c r="P54" i="1" s="1"/>
  <c r="HS20" i="1"/>
  <c r="F20" i="1" s="1"/>
  <c r="HS21" i="1"/>
  <c r="F21" i="1" s="1"/>
  <c r="HS22" i="1"/>
  <c r="F22" i="1" s="1"/>
  <c r="HS23" i="1"/>
  <c r="F23" i="1" s="1"/>
  <c r="HS25" i="1"/>
  <c r="F25" i="1" s="1"/>
  <c r="HS26" i="1"/>
  <c r="F26" i="1" s="1"/>
  <c r="HS27" i="1"/>
  <c r="F27" i="1" s="1"/>
  <c r="HS32" i="1"/>
  <c r="F32" i="1" s="1"/>
  <c r="HS33" i="1"/>
  <c r="F33" i="1" s="1"/>
  <c r="HS34" i="1"/>
  <c r="F34" i="1" s="1"/>
  <c r="HS35" i="1"/>
  <c r="F35" i="1" s="1"/>
  <c r="HS36" i="1"/>
  <c r="F36" i="1" s="1"/>
  <c r="HS37" i="1"/>
  <c r="F37" i="1" s="1"/>
  <c r="HS38" i="1"/>
  <c r="F38" i="1" s="1"/>
  <c r="HS39" i="1"/>
  <c r="F39" i="1" s="1"/>
  <c r="HS40" i="1"/>
  <c r="F40" i="1" s="1"/>
  <c r="HS41" i="1"/>
  <c r="F41" i="1" s="1"/>
  <c r="HS42" i="1"/>
  <c r="F42" i="1" s="1"/>
  <c r="HS43" i="1"/>
  <c r="F43" i="1" s="1"/>
  <c r="HS44" i="1"/>
  <c r="F44" i="1" s="1"/>
  <c r="HS45" i="1"/>
  <c r="F45" i="1" s="1"/>
  <c r="HS46" i="1"/>
  <c r="F46" i="1" s="1"/>
  <c r="HS47" i="1"/>
  <c r="F47" i="1" s="1"/>
  <c r="HS48" i="1"/>
  <c r="F48" i="1" s="1"/>
  <c r="HS49" i="1"/>
  <c r="F49" i="1" s="1"/>
  <c r="HS50" i="1"/>
  <c r="F50" i="1" s="1"/>
  <c r="HS51" i="1"/>
  <c r="F51" i="1" s="1"/>
  <c r="HS52" i="1"/>
  <c r="F52" i="1" s="1"/>
  <c r="HS53" i="1"/>
  <c r="F53" i="1" s="1"/>
  <c r="HS54" i="1"/>
  <c r="F54" i="1" s="1"/>
  <c r="HT20" i="1"/>
  <c r="G20" i="1" s="1"/>
  <c r="HT21" i="1"/>
  <c r="G21" i="1" s="1"/>
  <c r="HT22" i="1"/>
  <c r="G22" i="1" s="1"/>
  <c r="HT23" i="1"/>
  <c r="G23" i="1" s="1"/>
  <c r="HT25" i="1"/>
  <c r="G25" i="1" s="1"/>
  <c r="HT26" i="1"/>
  <c r="G26" i="1" s="1"/>
  <c r="HT27" i="1"/>
  <c r="G27" i="1" s="1"/>
  <c r="HT32" i="1"/>
  <c r="G32" i="1" s="1"/>
  <c r="HT33" i="1"/>
  <c r="G33" i="1" s="1"/>
  <c r="HT34" i="1"/>
  <c r="G34" i="1" s="1"/>
  <c r="HT35" i="1"/>
  <c r="G35" i="1" s="1"/>
  <c r="HT36" i="1"/>
  <c r="G36" i="1" s="1"/>
  <c r="HT37" i="1"/>
  <c r="G37" i="1" s="1"/>
  <c r="HT38" i="1"/>
  <c r="G38" i="1" s="1"/>
  <c r="HT39" i="1"/>
  <c r="G39" i="1" s="1"/>
  <c r="HT40" i="1"/>
  <c r="G40" i="1" s="1"/>
  <c r="HT41" i="1"/>
  <c r="G41" i="1" s="1"/>
  <c r="HT42" i="1"/>
  <c r="G42" i="1" s="1"/>
  <c r="HT43" i="1"/>
  <c r="G43" i="1" s="1"/>
  <c r="HT44" i="1"/>
  <c r="G44" i="1" s="1"/>
  <c r="HT45" i="1"/>
  <c r="G45" i="1" s="1"/>
  <c r="HT46" i="1"/>
  <c r="G46" i="1" s="1"/>
  <c r="HT47" i="1"/>
  <c r="G47" i="1" s="1"/>
  <c r="HT48" i="1"/>
  <c r="G48" i="1" s="1"/>
  <c r="HT49" i="1"/>
  <c r="G49" i="1" s="1"/>
  <c r="HT50" i="1"/>
  <c r="G50" i="1" s="1"/>
  <c r="HT51" i="1"/>
  <c r="G51" i="1" s="1"/>
  <c r="HT52" i="1"/>
  <c r="G52" i="1" s="1"/>
  <c r="HT53" i="1"/>
  <c r="G53" i="1" s="1"/>
  <c r="HT54" i="1"/>
  <c r="G54" i="1" s="1"/>
  <c r="HU20" i="1"/>
  <c r="H20" i="1" s="1"/>
  <c r="HU21" i="1"/>
  <c r="H21" i="1" s="1"/>
  <c r="HU22" i="1"/>
  <c r="H22" i="1" s="1"/>
  <c r="HU23" i="1"/>
  <c r="H23" i="1" s="1"/>
  <c r="HU25" i="1"/>
  <c r="H25" i="1" s="1"/>
  <c r="HU26" i="1"/>
  <c r="H26" i="1" s="1"/>
  <c r="HU27" i="1"/>
  <c r="H27" i="1" s="1"/>
  <c r="HU32" i="1"/>
  <c r="H32" i="1" s="1"/>
  <c r="HU33" i="1"/>
  <c r="H33" i="1" s="1"/>
  <c r="HU34" i="1"/>
  <c r="H34" i="1" s="1"/>
  <c r="HU35" i="1"/>
  <c r="H35" i="1" s="1"/>
  <c r="HU36" i="1"/>
  <c r="H36" i="1" s="1"/>
  <c r="HU37" i="1"/>
  <c r="H37" i="1" s="1"/>
  <c r="HU38" i="1"/>
  <c r="H38" i="1" s="1"/>
  <c r="HU39" i="1"/>
  <c r="H39" i="1" s="1"/>
  <c r="HU40" i="1"/>
  <c r="H40" i="1" s="1"/>
  <c r="HU41" i="1"/>
  <c r="H41" i="1" s="1"/>
  <c r="HU42" i="1"/>
  <c r="H42" i="1" s="1"/>
  <c r="HU43" i="1"/>
  <c r="H43" i="1" s="1"/>
  <c r="HU44" i="1"/>
  <c r="H44" i="1" s="1"/>
  <c r="HU45" i="1"/>
  <c r="H45" i="1" s="1"/>
  <c r="HU46" i="1"/>
  <c r="H46" i="1" s="1"/>
  <c r="HU47" i="1"/>
  <c r="H47" i="1" s="1"/>
  <c r="HU48" i="1"/>
  <c r="H48" i="1" s="1"/>
  <c r="HU49" i="1"/>
  <c r="H49" i="1" s="1"/>
  <c r="HU50" i="1"/>
  <c r="H50" i="1" s="1"/>
  <c r="HU51" i="1"/>
  <c r="H51" i="1" s="1"/>
  <c r="HU52" i="1"/>
  <c r="H52" i="1" s="1"/>
  <c r="HU53" i="1"/>
  <c r="H53" i="1" s="1"/>
  <c r="HU54" i="1"/>
  <c r="H54" i="1" s="1"/>
  <c r="HV20" i="1"/>
  <c r="R20" i="1" s="1"/>
  <c r="HV21" i="1"/>
  <c r="R21" i="1" s="1"/>
  <c r="HV22" i="1"/>
  <c r="R22" i="1" s="1"/>
  <c r="HV23" i="1"/>
  <c r="R23" i="1" s="1"/>
  <c r="HV25" i="1"/>
  <c r="R25" i="1" s="1"/>
  <c r="HV26" i="1"/>
  <c r="R26" i="1" s="1"/>
  <c r="HV27" i="1"/>
  <c r="R27" i="1" s="1"/>
  <c r="HV32" i="1"/>
  <c r="R32" i="1" s="1"/>
  <c r="HV33" i="1"/>
  <c r="R33" i="1" s="1"/>
  <c r="HV34" i="1"/>
  <c r="R34" i="1" s="1"/>
  <c r="HV35" i="1"/>
  <c r="R35" i="1" s="1"/>
  <c r="HV36" i="1"/>
  <c r="R36" i="1" s="1"/>
  <c r="HV37" i="1"/>
  <c r="R37" i="1" s="1"/>
  <c r="HV38" i="1"/>
  <c r="R38" i="1" s="1"/>
  <c r="HV39" i="1"/>
  <c r="R39" i="1" s="1"/>
  <c r="HV40" i="1"/>
  <c r="R40" i="1" s="1"/>
  <c r="HV41" i="1"/>
  <c r="R41" i="1" s="1"/>
  <c r="HV42" i="1"/>
  <c r="R42" i="1" s="1"/>
  <c r="HV43" i="1"/>
  <c r="R43" i="1" s="1"/>
  <c r="HV44" i="1"/>
  <c r="R44" i="1" s="1"/>
  <c r="HV45" i="1"/>
  <c r="R45" i="1" s="1"/>
  <c r="HV46" i="1"/>
  <c r="R46" i="1" s="1"/>
  <c r="HV47" i="1"/>
  <c r="R47" i="1" s="1"/>
  <c r="HV48" i="1"/>
  <c r="R48" i="1" s="1"/>
  <c r="HV49" i="1"/>
  <c r="R49" i="1" s="1"/>
  <c r="HV50" i="1"/>
  <c r="R50" i="1" s="1"/>
  <c r="HV51" i="1"/>
  <c r="R51" i="1" s="1"/>
  <c r="HV52" i="1"/>
  <c r="R52" i="1" s="1"/>
  <c r="HV53" i="1"/>
  <c r="R53" i="1" s="1"/>
  <c r="HV54" i="1"/>
  <c r="R54" i="1" s="1"/>
  <c r="HW20" i="1"/>
  <c r="S20" i="1" s="1"/>
  <c r="HW21" i="1"/>
  <c r="S21" i="1" s="1"/>
  <c r="HW22" i="1"/>
  <c r="S22" i="1" s="1"/>
  <c r="HW23" i="1"/>
  <c r="S23" i="1" s="1"/>
  <c r="HW25" i="1"/>
  <c r="S25" i="1" s="1"/>
  <c r="HW26" i="1"/>
  <c r="S26" i="1" s="1"/>
  <c r="HW27" i="1"/>
  <c r="S27" i="1" s="1"/>
  <c r="HW32" i="1"/>
  <c r="S32" i="1" s="1"/>
  <c r="HW33" i="1"/>
  <c r="S33" i="1" s="1"/>
  <c r="HW34" i="1"/>
  <c r="S34" i="1" s="1"/>
  <c r="HW35" i="1"/>
  <c r="S35" i="1" s="1"/>
  <c r="HW36" i="1"/>
  <c r="S36" i="1" s="1"/>
  <c r="HW37" i="1"/>
  <c r="S37" i="1" s="1"/>
  <c r="HW38" i="1"/>
  <c r="S38" i="1" s="1"/>
  <c r="HW39" i="1"/>
  <c r="S39" i="1" s="1"/>
  <c r="HW40" i="1"/>
  <c r="S40" i="1" s="1"/>
  <c r="HW41" i="1"/>
  <c r="S41" i="1" s="1"/>
  <c r="HW42" i="1"/>
  <c r="S42" i="1" s="1"/>
  <c r="HW43" i="1"/>
  <c r="S43" i="1" s="1"/>
  <c r="HW44" i="1"/>
  <c r="S44" i="1" s="1"/>
  <c r="HW45" i="1"/>
  <c r="S45" i="1" s="1"/>
  <c r="HW46" i="1"/>
  <c r="S46" i="1" s="1"/>
  <c r="HW47" i="1"/>
  <c r="S47" i="1" s="1"/>
  <c r="HW48" i="1"/>
  <c r="S48" i="1" s="1"/>
  <c r="HW49" i="1"/>
  <c r="S49" i="1" s="1"/>
  <c r="HW50" i="1"/>
  <c r="S50" i="1" s="1"/>
  <c r="HW51" i="1"/>
  <c r="S51" i="1" s="1"/>
  <c r="HW52" i="1"/>
  <c r="S52" i="1" s="1"/>
  <c r="HW53" i="1"/>
  <c r="S53" i="1" s="1"/>
  <c r="HW54" i="1"/>
  <c r="S54" i="1" s="1"/>
  <c r="HX20" i="1"/>
  <c r="T20" i="1" s="1"/>
  <c r="HX21" i="1"/>
  <c r="T21" i="1" s="1"/>
  <c r="HX22" i="1"/>
  <c r="T22" i="1" s="1"/>
  <c r="HX23" i="1"/>
  <c r="T23" i="1" s="1"/>
  <c r="HX25" i="1"/>
  <c r="T25" i="1" s="1"/>
  <c r="HX26" i="1"/>
  <c r="T26" i="1" s="1"/>
  <c r="HX27" i="1"/>
  <c r="T27" i="1" s="1"/>
  <c r="HX32" i="1"/>
  <c r="T32" i="1" s="1"/>
  <c r="HX33" i="1"/>
  <c r="T33" i="1" s="1"/>
  <c r="HX34" i="1"/>
  <c r="T34" i="1" s="1"/>
  <c r="HX35" i="1"/>
  <c r="T35" i="1" s="1"/>
  <c r="HX36" i="1"/>
  <c r="T36" i="1" s="1"/>
  <c r="HX37" i="1"/>
  <c r="T37" i="1" s="1"/>
  <c r="HX38" i="1"/>
  <c r="T38" i="1" s="1"/>
  <c r="HX39" i="1"/>
  <c r="T39" i="1" s="1"/>
  <c r="HX40" i="1"/>
  <c r="T40" i="1" s="1"/>
  <c r="HX41" i="1"/>
  <c r="T41" i="1" s="1"/>
  <c r="HX42" i="1"/>
  <c r="T42" i="1" s="1"/>
  <c r="HX43" i="1"/>
  <c r="T43" i="1" s="1"/>
  <c r="HX44" i="1"/>
  <c r="T44" i="1" s="1"/>
  <c r="HX45" i="1"/>
  <c r="T45" i="1" s="1"/>
  <c r="HX46" i="1"/>
  <c r="T46" i="1" s="1"/>
  <c r="HX47" i="1"/>
  <c r="T47" i="1" s="1"/>
  <c r="HX48" i="1"/>
  <c r="T48" i="1" s="1"/>
  <c r="HX49" i="1"/>
  <c r="T49" i="1" s="1"/>
  <c r="HX50" i="1"/>
  <c r="T50" i="1" s="1"/>
  <c r="HX51" i="1"/>
  <c r="T51" i="1" s="1"/>
  <c r="HX52" i="1"/>
  <c r="T52" i="1" s="1"/>
  <c r="HX53" i="1"/>
  <c r="T53" i="1" s="1"/>
  <c r="HX54" i="1"/>
  <c r="T54" i="1" s="1"/>
  <c r="HY20" i="1"/>
  <c r="IS20" i="1" s="1"/>
  <c r="HY21" i="1"/>
  <c r="IS21" i="1" s="1"/>
  <c r="HY22" i="1"/>
  <c r="IT22" i="1" s="1"/>
  <c r="HY23" i="1"/>
  <c r="IT23" i="1" s="1"/>
  <c r="HY25" i="1"/>
  <c r="IS25" i="1" s="1"/>
  <c r="HY26" i="1"/>
  <c r="IT26" i="1" s="1"/>
  <c r="HY27" i="1"/>
  <c r="IS27" i="1" s="1"/>
  <c r="HY32" i="1"/>
  <c r="IT32" i="1" s="1"/>
  <c r="HY33" i="1"/>
  <c r="IS33" i="1" s="1"/>
  <c r="HY34" i="1"/>
  <c r="IT34" i="1" s="1"/>
  <c r="HY35" i="1"/>
  <c r="IT35" i="1" s="1"/>
  <c r="HY36" i="1"/>
  <c r="HY37" i="1"/>
  <c r="IS37" i="1" s="1"/>
  <c r="HY38" i="1"/>
  <c r="IT38" i="1" s="1"/>
  <c r="HY39" i="1"/>
  <c r="IS39" i="1" s="1"/>
  <c r="HY40" i="1"/>
  <c r="HY41" i="1"/>
  <c r="IS41" i="1" s="1"/>
  <c r="HY42" i="1"/>
  <c r="IT42" i="1" s="1"/>
  <c r="HY43" i="1"/>
  <c r="IT43" i="1" s="1"/>
  <c r="HY44" i="1"/>
  <c r="HY45" i="1"/>
  <c r="IS45" i="1" s="1"/>
  <c r="HY46" i="1"/>
  <c r="IT46" i="1" s="1"/>
  <c r="HY47" i="1"/>
  <c r="IS47" i="1" s="1"/>
  <c r="HY48" i="1"/>
  <c r="IS48" i="1" s="1"/>
  <c r="HY49" i="1"/>
  <c r="IS49" i="1" s="1"/>
  <c r="HY50" i="1"/>
  <c r="IT50" i="1" s="1"/>
  <c r="HY51" i="1"/>
  <c r="IS51" i="1" s="1"/>
  <c r="HY52" i="1"/>
  <c r="HY53" i="1"/>
  <c r="IS53" i="1" s="1"/>
  <c r="HY54" i="1"/>
  <c r="IT54" i="1" s="1"/>
  <c r="HZ20" i="1"/>
  <c r="IU20" i="1" s="1"/>
  <c r="HZ21" i="1"/>
  <c r="IU21" i="1" s="1"/>
  <c r="HZ22" i="1"/>
  <c r="IU22" i="1" s="1"/>
  <c r="HZ23" i="1"/>
  <c r="IU23" i="1" s="1"/>
  <c r="HZ25" i="1"/>
  <c r="IU25" i="1" s="1"/>
  <c r="HZ26" i="1"/>
  <c r="HZ27" i="1"/>
  <c r="IU27" i="1" s="1"/>
  <c r="HZ32" i="1"/>
  <c r="IU32" i="1" s="1"/>
  <c r="HZ33" i="1"/>
  <c r="IU33" i="1" s="1"/>
  <c r="HZ34" i="1"/>
  <c r="IU34" i="1" s="1"/>
  <c r="HZ35" i="1"/>
  <c r="IU35" i="1" s="1"/>
  <c r="HZ36" i="1"/>
  <c r="IU36" i="1" s="1"/>
  <c r="HZ37" i="1"/>
  <c r="IU37" i="1" s="1"/>
  <c r="HZ38" i="1"/>
  <c r="IU38" i="1" s="1"/>
  <c r="HZ39" i="1"/>
  <c r="IU39" i="1" s="1"/>
  <c r="HZ40" i="1"/>
  <c r="IU40" i="1" s="1"/>
  <c r="HZ41" i="1"/>
  <c r="IU41" i="1" s="1"/>
  <c r="HZ42" i="1"/>
  <c r="HZ43" i="1"/>
  <c r="IU43" i="1" s="1"/>
  <c r="HZ44" i="1"/>
  <c r="IU44" i="1" s="1"/>
  <c r="HZ45" i="1"/>
  <c r="IU45" i="1" s="1"/>
  <c r="HZ46" i="1"/>
  <c r="HZ47" i="1"/>
  <c r="IU47" i="1" s="1"/>
  <c r="HZ48" i="1"/>
  <c r="IU48" i="1" s="1"/>
  <c r="HZ49" i="1"/>
  <c r="IU49" i="1" s="1"/>
  <c r="HZ50" i="1"/>
  <c r="IU50" i="1" s="1"/>
  <c r="HZ51" i="1"/>
  <c r="IU51" i="1" s="1"/>
  <c r="HZ52" i="1"/>
  <c r="IU52" i="1" s="1"/>
  <c r="HZ53" i="1"/>
  <c r="IU53" i="1" s="1"/>
  <c r="HZ54" i="1"/>
  <c r="IU54" i="1" s="1"/>
  <c r="IA20" i="1"/>
  <c r="IH20" i="1" s="1"/>
  <c r="K20" i="1" s="1"/>
  <c r="IA21" i="1"/>
  <c r="IH21" i="1" s="1"/>
  <c r="K21" i="1" s="1"/>
  <c r="IA22" i="1"/>
  <c r="IH22" i="1" s="1"/>
  <c r="K22" i="1" s="1"/>
  <c r="IA23" i="1"/>
  <c r="IH23" i="1" s="1"/>
  <c r="K23" i="1" s="1"/>
  <c r="IA25" i="1"/>
  <c r="IH25" i="1" s="1"/>
  <c r="K25" i="1" s="1"/>
  <c r="IA26" i="1"/>
  <c r="IH26" i="1" s="1"/>
  <c r="K26" i="1" s="1"/>
  <c r="IA27" i="1"/>
  <c r="IH27" i="1" s="1"/>
  <c r="K27" i="1" s="1"/>
  <c r="IA32" i="1"/>
  <c r="IH32" i="1" s="1"/>
  <c r="K32" i="1" s="1"/>
  <c r="IA33" i="1"/>
  <c r="IH33" i="1" s="1"/>
  <c r="K33" i="1" s="1"/>
  <c r="IA34" i="1"/>
  <c r="IH34" i="1" s="1"/>
  <c r="K34" i="1" s="1"/>
  <c r="IA35" i="1"/>
  <c r="IH35" i="1" s="1"/>
  <c r="K35" i="1" s="1"/>
  <c r="IA36" i="1"/>
  <c r="IA37" i="1"/>
  <c r="IH37" i="1" s="1"/>
  <c r="K37" i="1" s="1"/>
  <c r="IA38" i="1"/>
  <c r="IH38" i="1" s="1"/>
  <c r="K38" i="1" s="1"/>
  <c r="IA39" i="1"/>
  <c r="IH39" i="1" s="1"/>
  <c r="K39" i="1" s="1"/>
  <c r="IA40" i="1"/>
  <c r="IH40" i="1" s="1"/>
  <c r="K40" i="1" s="1"/>
  <c r="IA41" i="1"/>
  <c r="IH41" i="1" s="1"/>
  <c r="K41" i="1" s="1"/>
  <c r="IA42" i="1"/>
  <c r="IH42" i="1" s="1"/>
  <c r="K42" i="1" s="1"/>
  <c r="IA43" i="1"/>
  <c r="IH43" i="1" s="1"/>
  <c r="K43" i="1" s="1"/>
  <c r="IA44" i="1"/>
  <c r="IH44" i="1" s="1"/>
  <c r="K44" i="1" s="1"/>
  <c r="IA45" i="1"/>
  <c r="IH45" i="1" s="1"/>
  <c r="K45" i="1" s="1"/>
  <c r="IA46" i="1"/>
  <c r="IH46" i="1" s="1"/>
  <c r="K46" i="1" s="1"/>
  <c r="IA47" i="1"/>
  <c r="IH47" i="1" s="1"/>
  <c r="K47" i="1" s="1"/>
  <c r="IA48" i="1"/>
  <c r="IH48" i="1" s="1"/>
  <c r="K48" i="1" s="1"/>
  <c r="IA49" i="1"/>
  <c r="IH49" i="1" s="1"/>
  <c r="K49" i="1" s="1"/>
  <c r="IA50" i="1"/>
  <c r="IH50" i="1" s="1"/>
  <c r="K50" i="1" s="1"/>
  <c r="IA51" i="1"/>
  <c r="IH51" i="1" s="1"/>
  <c r="K51" i="1" s="1"/>
  <c r="IA52" i="1"/>
  <c r="IH52" i="1" s="1"/>
  <c r="K52" i="1" s="1"/>
  <c r="IA53" i="1"/>
  <c r="IH53" i="1" s="1"/>
  <c r="K53" i="1" s="1"/>
  <c r="IA54" i="1"/>
  <c r="IH54" i="1" s="1"/>
  <c r="K54" i="1" s="1"/>
  <c r="IB20" i="1"/>
  <c r="IB21" i="1"/>
  <c r="IB22" i="1"/>
  <c r="IB23" i="1"/>
  <c r="IB25" i="1"/>
  <c r="IB26" i="1"/>
  <c r="IB27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C20" i="1"/>
  <c r="IO20" i="1" s="1"/>
  <c r="W20" i="1" s="1"/>
  <c r="IC21" i="1"/>
  <c r="IO21" i="1" s="1"/>
  <c r="W21" i="1" s="1"/>
  <c r="IC22" i="1"/>
  <c r="IO22" i="1" s="1"/>
  <c r="W22" i="1" s="1"/>
  <c r="IC23" i="1"/>
  <c r="IO23" i="1" s="1"/>
  <c r="W23" i="1" s="1"/>
  <c r="IC25" i="1"/>
  <c r="IO25" i="1" s="1"/>
  <c r="W25" i="1" s="1"/>
  <c r="IC26" i="1"/>
  <c r="IO26" i="1" s="1"/>
  <c r="W26" i="1" s="1"/>
  <c r="IC27" i="1"/>
  <c r="IO27" i="1" s="1"/>
  <c r="W27" i="1" s="1"/>
  <c r="IC32" i="1"/>
  <c r="IO32" i="1" s="1"/>
  <c r="W32" i="1" s="1"/>
  <c r="IC33" i="1"/>
  <c r="IO33" i="1" s="1"/>
  <c r="W33" i="1" s="1"/>
  <c r="IC34" i="1"/>
  <c r="IO34" i="1" s="1"/>
  <c r="W34" i="1" s="1"/>
  <c r="IC35" i="1"/>
  <c r="IO35" i="1" s="1"/>
  <c r="W35" i="1" s="1"/>
  <c r="IC36" i="1"/>
  <c r="IO36" i="1" s="1"/>
  <c r="W36" i="1" s="1"/>
  <c r="IC37" i="1"/>
  <c r="IO37" i="1" s="1"/>
  <c r="W37" i="1" s="1"/>
  <c r="IC38" i="1"/>
  <c r="IO38" i="1" s="1"/>
  <c r="W38" i="1" s="1"/>
  <c r="IC39" i="1"/>
  <c r="IO39" i="1" s="1"/>
  <c r="W39" i="1" s="1"/>
  <c r="IC40" i="1"/>
  <c r="IO40" i="1" s="1"/>
  <c r="W40" i="1" s="1"/>
  <c r="IC41" i="1"/>
  <c r="IO41" i="1" s="1"/>
  <c r="W41" i="1" s="1"/>
  <c r="IC42" i="1"/>
  <c r="IO42" i="1" s="1"/>
  <c r="W42" i="1" s="1"/>
  <c r="IC43" i="1"/>
  <c r="IO43" i="1" s="1"/>
  <c r="W43" i="1" s="1"/>
  <c r="IC44" i="1"/>
  <c r="IO44" i="1" s="1"/>
  <c r="W44" i="1" s="1"/>
  <c r="IC45" i="1"/>
  <c r="IO45" i="1" s="1"/>
  <c r="W45" i="1" s="1"/>
  <c r="IC46" i="1"/>
  <c r="IO46" i="1" s="1"/>
  <c r="W46" i="1" s="1"/>
  <c r="IC47" i="1"/>
  <c r="IO47" i="1" s="1"/>
  <c r="W47" i="1" s="1"/>
  <c r="IC48" i="1"/>
  <c r="IO48" i="1" s="1"/>
  <c r="W48" i="1" s="1"/>
  <c r="IC49" i="1"/>
  <c r="IO49" i="1" s="1"/>
  <c r="W49" i="1" s="1"/>
  <c r="IC50" i="1"/>
  <c r="IO50" i="1" s="1"/>
  <c r="W50" i="1" s="1"/>
  <c r="IC51" i="1"/>
  <c r="IO51" i="1" s="1"/>
  <c r="W51" i="1" s="1"/>
  <c r="IC52" i="1"/>
  <c r="IO52" i="1" s="1"/>
  <c r="W52" i="1" s="1"/>
  <c r="IC53" i="1"/>
  <c r="IO53" i="1" s="1"/>
  <c r="W53" i="1" s="1"/>
  <c r="IC54" i="1"/>
  <c r="IO54" i="1" s="1"/>
  <c r="W54" i="1" s="1"/>
  <c r="IE20" i="1"/>
  <c r="IE21" i="1"/>
  <c r="IE22" i="1"/>
  <c r="IE23" i="1"/>
  <c r="IE25" i="1"/>
  <c r="IE26" i="1"/>
  <c r="IE27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F20" i="1"/>
  <c r="J20" i="1" s="1"/>
  <c r="IF21" i="1"/>
  <c r="J21" i="1" s="1"/>
  <c r="IF22" i="1"/>
  <c r="J22" i="1" s="1"/>
  <c r="IF23" i="1"/>
  <c r="J23" i="1" s="1"/>
  <c r="IF25" i="1"/>
  <c r="J25" i="1" s="1"/>
  <c r="IF26" i="1"/>
  <c r="J26" i="1" s="1"/>
  <c r="IF27" i="1"/>
  <c r="J27" i="1" s="1"/>
  <c r="IF32" i="1"/>
  <c r="J32" i="1" s="1"/>
  <c r="IF33" i="1"/>
  <c r="J33" i="1" s="1"/>
  <c r="IF34" i="1"/>
  <c r="J34" i="1" s="1"/>
  <c r="IF35" i="1"/>
  <c r="J35" i="1" s="1"/>
  <c r="IF36" i="1"/>
  <c r="J36" i="1" s="1"/>
  <c r="IF37" i="1"/>
  <c r="J37" i="1" s="1"/>
  <c r="IF38" i="1"/>
  <c r="J38" i="1" s="1"/>
  <c r="IF39" i="1"/>
  <c r="J39" i="1" s="1"/>
  <c r="IF40" i="1"/>
  <c r="J40" i="1" s="1"/>
  <c r="IF41" i="1"/>
  <c r="J41" i="1" s="1"/>
  <c r="IF42" i="1"/>
  <c r="J42" i="1" s="1"/>
  <c r="IF43" i="1"/>
  <c r="J43" i="1" s="1"/>
  <c r="IF44" i="1"/>
  <c r="J44" i="1" s="1"/>
  <c r="IF45" i="1"/>
  <c r="J45" i="1" s="1"/>
  <c r="IF46" i="1"/>
  <c r="J46" i="1" s="1"/>
  <c r="IF47" i="1"/>
  <c r="J47" i="1" s="1"/>
  <c r="IF48" i="1"/>
  <c r="J48" i="1" s="1"/>
  <c r="IF49" i="1"/>
  <c r="J49" i="1" s="1"/>
  <c r="IF50" i="1"/>
  <c r="J50" i="1" s="1"/>
  <c r="IF51" i="1"/>
  <c r="J51" i="1" s="1"/>
  <c r="IF52" i="1"/>
  <c r="J52" i="1" s="1"/>
  <c r="IF53" i="1"/>
  <c r="J53" i="1" s="1"/>
  <c r="IF54" i="1"/>
  <c r="J54" i="1" s="1"/>
  <c r="IG20" i="1"/>
  <c r="IG21" i="1"/>
  <c r="IG22" i="1"/>
  <c r="IG23" i="1"/>
  <c r="IG25" i="1"/>
  <c r="IG26" i="1"/>
  <c r="IG27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H36" i="1"/>
  <c r="K36" i="1" s="1"/>
  <c r="IS23" i="1"/>
  <c r="IS32" i="1"/>
  <c r="IS36" i="1"/>
  <c r="IS40" i="1"/>
  <c r="IS44" i="1"/>
  <c r="IS52" i="1"/>
  <c r="IT20" i="1"/>
  <c r="IT36" i="1"/>
  <c r="IT40" i="1"/>
  <c r="IT44" i="1"/>
  <c r="IT52" i="1"/>
  <c r="IU26" i="1"/>
  <c r="IU42" i="1"/>
  <c r="IU46" i="1"/>
  <c r="IV26" i="1"/>
  <c r="IV34" i="1"/>
  <c r="IV42" i="1"/>
  <c r="IV46" i="1"/>
  <c r="IV50" i="1"/>
  <c r="IV54" i="1"/>
  <c r="NH20" i="1"/>
  <c r="NH21" i="1"/>
  <c r="NH22" i="1"/>
  <c r="NH23" i="1"/>
  <c r="NH25" i="1"/>
  <c r="NH26" i="1"/>
  <c r="NH27" i="1"/>
  <c r="NH32" i="1"/>
  <c r="NH33" i="1"/>
  <c r="NH34" i="1"/>
  <c r="NH35" i="1"/>
  <c r="NH36" i="1"/>
  <c r="NH37" i="1"/>
  <c r="NH38" i="1"/>
  <c r="NH39" i="1"/>
  <c r="NH40" i="1"/>
  <c r="NH41" i="1"/>
  <c r="NH42" i="1"/>
  <c r="NH43" i="1"/>
  <c r="NH44" i="1"/>
  <c r="NH45" i="1"/>
  <c r="NH46" i="1"/>
  <c r="NH47" i="1"/>
  <c r="NH48" i="1"/>
  <c r="NH49" i="1"/>
  <c r="NH50" i="1"/>
  <c r="NH51" i="1"/>
  <c r="NH52" i="1"/>
  <c r="NH53" i="1"/>
  <c r="NH54" i="1"/>
  <c r="NI20" i="1"/>
  <c r="NI21" i="1"/>
  <c r="NI22" i="1"/>
  <c r="NI23" i="1"/>
  <c r="NI25" i="1"/>
  <c r="NI26" i="1"/>
  <c r="NI27" i="1"/>
  <c r="NI32" i="1"/>
  <c r="NI33" i="1"/>
  <c r="NI34" i="1"/>
  <c r="NI35" i="1"/>
  <c r="NI36" i="1"/>
  <c r="NI37" i="1"/>
  <c r="NI38" i="1"/>
  <c r="NI39" i="1"/>
  <c r="NI40" i="1"/>
  <c r="NI41" i="1"/>
  <c r="NI42" i="1"/>
  <c r="NI43" i="1"/>
  <c r="NI44" i="1"/>
  <c r="NI45" i="1"/>
  <c r="NI46" i="1"/>
  <c r="NI47" i="1"/>
  <c r="NI48" i="1"/>
  <c r="NI49" i="1"/>
  <c r="NI50" i="1"/>
  <c r="NI51" i="1"/>
  <c r="NI52" i="1"/>
  <c r="NI53" i="1"/>
  <c r="NI54" i="1"/>
  <c r="NJ20" i="1"/>
  <c r="NJ21" i="1"/>
  <c r="NJ22" i="1"/>
  <c r="NJ23" i="1"/>
  <c r="NJ25" i="1"/>
  <c r="NJ26" i="1"/>
  <c r="NJ27" i="1"/>
  <c r="NJ32" i="1"/>
  <c r="NJ33" i="1"/>
  <c r="NJ34" i="1"/>
  <c r="NJ35" i="1"/>
  <c r="NJ36" i="1"/>
  <c r="NJ37" i="1"/>
  <c r="NJ38" i="1"/>
  <c r="NJ39" i="1"/>
  <c r="NJ40" i="1"/>
  <c r="NJ41" i="1"/>
  <c r="NJ42" i="1"/>
  <c r="NJ43" i="1"/>
  <c r="NJ44" i="1"/>
  <c r="NJ45" i="1"/>
  <c r="NJ46" i="1"/>
  <c r="NJ47" i="1"/>
  <c r="NJ48" i="1"/>
  <c r="NJ49" i="1"/>
  <c r="NJ50" i="1"/>
  <c r="NJ51" i="1"/>
  <c r="NJ52" i="1"/>
  <c r="NJ53" i="1"/>
  <c r="NJ54" i="1"/>
  <c r="HF56" i="1"/>
  <c r="B56" i="1" s="1"/>
  <c r="HF57" i="1"/>
  <c r="B57" i="1" s="1"/>
  <c r="HF58" i="1"/>
  <c r="B58" i="1" s="1"/>
  <c r="HF59" i="1"/>
  <c r="B59" i="1" s="1"/>
  <c r="HF60" i="1"/>
  <c r="B60" i="1" s="1"/>
  <c r="HF61" i="1"/>
  <c r="B61" i="1" s="1"/>
  <c r="HF62" i="1"/>
  <c r="B62" i="1" s="1"/>
  <c r="HF63" i="1"/>
  <c r="B63" i="1" s="1"/>
  <c r="HF64" i="1"/>
  <c r="B64" i="1" s="1"/>
  <c r="HF65" i="1"/>
  <c r="B65" i="1" s="1"/>
  <c r="HF66" i="1"/>
  <c r="B66" i="1" s="1"/>
  <c r="HF67" i="1"/>
  <c r="B67" i="1" s="1"/>
  <c r="HF68" i="1"/>
  <c r="B68" i="1" s="1"/>
  <c r="HF69" i="1"/>
  <c r="B69" i="1" s="1"/>
  <c r="HF70" i="1"/>
  <c r="B70" i="1" s="1"/>
  <c r="HF71" i="1"/>
  <c r="B71" i="1" s="1"/>
  <c r="HF72" i="1"/>
  <c r="B72" i="1" s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H56" i="1"/>
  <c r="BI56" i="1" s="1"/>
  <c r="HH57" i="1"/>
  <c r="BI57" i="1" s="1"/>
  <c r="HH58" i="1"/>
  <c r="BI58" i="1" s="1"/>
  <c r="HH59" i="1"/>
  <c r="BI59" i="1" s="1"/>
  <c r="HH60" i="1"/>
  <c r="BI60" i="1" s="1"/>
  <c r="HH61" i="1"/>
  <c r="BI61" i="1" s="1"/>
  <c r="HH62" i="1"/>
  <c r="BI62" i="1" s="1"/>
  <c r="HH63" i="1"/>
  <c r="BI63" i="1" s="1"/>
  <c r="HH64" i="1"/>
  <c r="BI64" i="1" s="1"/>
  <c r="HH65" i="1"/>
  <c r="BI65" i="1" s="1"/>
  <c r="HH66" i="1"/>
  <c r="BI66" i="1" s="1"/>
  <c r="HH67" i="1"/>
  <c r="BI67" i="1" s="1"/>
  <c r="HH68" i="1"/>
  <c r="BI68" i="1" s="1"/>
  <c r="HH69" i="1"/>
  <c r="BI69" i="1" s="1"/>
  <c r="HH70" i="1"/>
  <c r="BI70" i="1" s="1"/>
  <c r="HH71" i="1"/>
  <c r="BI71" i="1" s="1"/>
  <c r="HH72" i="1"/>
  <c r="BI72" i="1" s="1"/>
  <c r="HI56" i="1"/>
  <c r="BJ56" i="1" s="1"/>
  <c r="HI57" i="1"/>
  <c r="BJ57" i="1" s="1"/>
  <c r="HI58" i="1"/>
  <c r="BJ58" i="1" s="1"/>
  <c r="HI59" i="1"/>
  <c r="BJ59" i="1" s="1"/>
  <c r="HI60" i="1"/>
  <c r="BJ60" i="1" s="1"/>
  <c r="HI61" i="1"/>
  <c r="BJ61" i="1" s="1"/>
  <c r="HI62" i="1"/>
  <c r="BJ62" i="1" s="1"/>
  <c r="HI63" i="1"/>
  <c r="BJ63" i="1" s="1"/>
  <c r="HI64" i="1"/>
  <c r="BJ64" i="1" s="1"/>
  <c r="HI65" i="1"/>
  <c r="BJ65" i="1" s="1"/>
  <c r="HI66" i="1"/>
  <c r="BJ66" i="1" s="1"/>
  <c r="HI67" i="1"/>
  <c r="BJ67" i="1" s="1"/>
  <c r="HI68" i="1"/>
  <c r="BJ68" i="1" s="1"/>
  <c r="HI69" i="1"/>
  <c r="BJ69" i="1" s="1"/>
  <c r="HI70" i="1"/>
  <c r="BJ70" i="1" s="1"/>
  <c r="HI71" i="1"/>
  <c r="BJ71" i="1" s="1"/>
  <c r="HI72" i="1"/>
  <c r="BJ72" i="1" s="1"/>
  <c r="HJ56" i="1"/>
  <c r="BK56" i="1" s="1"/>
  <c r="HJ57" i="1"/>
  <c r="BK57" i="1" s="1"/>
  <c r="HJ58" i="1"/>
  <c r="BK58" i="1" s="1"/>
  <c r="HJ59" i="1"/>
  <c r="BK59" i="1" s="1"/>
  <c r="HJ60" i="1"/>
  <c r="BK60" i="1" s="1"/>
  <c r="HJ61" i="1"/>
  <c r="BK61" i="1" s="1"/>
  <c r="HJ62" i="1"/>
  <c r="BK62" i="1" s="1"/>
  <c r="HJ63" i="1"/>
  <c r="BK63" i="1" s="1"/>
  <c r="HJ64" i="1"/>
  <c r="BK64" i="1" s="1"/>
  <c r="HJ65" i="1"/>
  <c r="BK65" i="1" s="1"/>
  <c r="HJ66" i="1"/>
  <c r="BK66" i="1" s="1"/>
  <c r="HJ67" i="1"/>
  <c r="BK67" i="1" s="1"/>
  <c r="HJ68" i="1"/>
  <c r="BK68" i="1" s="1"/>
  <c r="HJ69" i="1"/>
  <c r="BK69" i="1" s="1"/>
  <c r="HJ70" i="1"/>
  <c r="BK70" i="1" s="1"/>
  <c r="HJ71" i="1"/>
  <c r="BK71" i="1" s="1"/>
  <c r="HJ72" i="1"/>
  <c r="BK72" i="1" s="1"/>
  <c r="HK56" i="1"/>
  <c r="BL56" i="1" s="1"/>
  <c r="HK57" i="1"/>
  <c r="BL57" i="1" s="1"/>
  <c r="HK58" i="1"/>
  <c r="BL58" i="1" s="1"/>
  <c r="HK59" i="1"/>
  <c r="BL59" i="1" s="1"/>
  <c r="HK60" i="1"/>
  <c r="BL60" i="1" s="1"/>
  <c r="HK61" i="1"/>
  <c r="BL61" i="1" s="1"/>
  <c r="HK62" i="1"/>
  <c r="BL62" i="1" s="1"/>
  <c r="HK63" i="1"/>
  <c r="BL63" i="1" s="1"/>
  <c r="HK64" i="1"/>
  <c r="BL64" i="1" s="1"/>
  <c r="HK65" i="1"/>
  <c r="BL65" i="1" s="1"/>
  <c r="HK66" i="1"/>
  <c r="BL66" i="1" s="1"/>
  <c r="HK67" i="1"/>
  <c r="BL67" i="1" s="1"/>
  <c r="HK68" i="1"/>
  <c r="BL68" i="1" s="1"/>
  <c r="HK69" i="1"/>
  <c r="BL69" i="1" s="1"/>
  <c r="HK70" i="1"/>
  <c r="BL70" i="1" s="1"/>
  <c r="HK71" i="1"/>
  <c r="BL71" i="1" s="1"/>
  <c r="HK72" i="1"/>
  <c r="BL72" i="1" s="1"/>
  <c r="HL56" i="1"/>
  <c r="BM56" i="1" s="1"/>
  <c r="HL57" i="1"/>
  <c r="BM57" i="1" s="1"/>
  <c r="HL58" i="1"/>
  <c r="BM58" i="1" s="1"/>
  <c r="HL59" i="1"/>
  <c r="BM59" i="1" s="1"/>
  <c r="HL60" i="1"/>
  <c r="BM60" i="1" s="1"/>
  <c r="HL61" i="1"/>
  <c r="BM61" i="1" s="1"/>
  <c r="HL62" i="1"/>
  <c r="BM62" i="1" s="1"/>
  <c r="HL63" i="1"/>
  <c r="BM63" i="1" s="1"/>
  <c r="HL64" i="1"/>
  <c r="BM64" i="1" s="1"/>
  <c r="HL65" i="1"/>
  <c r="BM65" i="1" s="1"/>
  <c r="HL66" i="1"/>
  <c r="BM66" i="1" s="1"/>
  <c r="HL67" i="1"/>
  <c r="BM67" i="1" s="1"/>
  <c r="HL68" i="1"/>
  <c r="BM68" i="1" s="1"/>
  <c r="HL69" i="1"/>
  <c r="BM69" i="1" s="1"/>
  <c r="HL70" i="1"/>
  <c r="BM70" i="1" s="1"/>
  <c r="HL71" i="1"/>
  <c r="BM71" i="1" s="1"/>
  <c r="HL72" i="1"/>
  <c r="BM72" i="1" s="1"/>
  <c r="HM56" i="1"/>
  <c r="BN56" i="1" s="1"/>
  <c r="HM57" i="1"/>
  <c r="BN57" i="1" s="1"/>
  <c r="HM58" i="1"/>
  <c r="BN58" i="1" s="1"/>
  <c r="HM59" i="1"/>
  <c r="BN59" i="1" s="1"/>
  <c r="HM60" i="1"/>
  <c r="BN60" i="1" s="1"/>
  <c r="HM61" i="1"/>
  <c r="BN61" i="1" s="1"/>
  <c r="HM62" i="1"/>
  <c r="BN62" i="1" s="1"/>
  <c r="HM63" i="1"/>
  <c r="BN63" i="1" s="1"/>
  <c r="HM64" i="1"/>
  <c r="BN64" i="1" s="1"/>
  <c r="HM65" i="1"/>
  <c r="BN65" i="1" s="1"/>
  <c r="HM66" i="1"/>
  <c r="BN66" i="1" s="1"/>
  <c r="HM67" i="1"/>
  <c r="BN67" i="1" s="1"/>
  <c r="HM68" i="1"/>
  <c r="BN68" i="1" s="1"/>
  <c r="HM69" i="1"/>
  <c r="BN69" i="1" s="1"/>
  <c r="HM70" i="1"/>
  <c r="BN70" i="1" s="1"/>
  <c r="HM71" i="1"/>
  <c r="BN71" i="1" s="1"/>
  <c r="HM72" i="1"/>
  <c r="BN72" i="1" s="1"/>
  <c r="HN56" i="1"/>
  <c r="BO56" i="1" s="1"/>
  <c r="HN57" i="1"/>
  <c r="BO57" i="1" s="1"/>
  <c r="HN58" i="1"/>
  <c r="BO58" i="1" s="1"/>
  <c r="HN59" i="1"/>
  <c r="BO59" i="1" s="1"/>
  <c r="HN60" i="1"/>
  <c r="BO60" i="1" s="1"/>
  <c r="HN61" i="1"/>
  <c r="BO61" i="1" s="1"/>
  <c r="HN62" i="1"/>
  <c r="BO62" i="1" s="1"/>
  <c r="HN63" i="1"/>
  <c r="BO63" i="1" s="1"/>
  <c r="HN64" i="1"/>
  <c r="BO64" i="1" s="1"/>
  <c r="HN65" i="1"/>
  <c r="BO65" i="1" s="1"/>
  <c r="HN66" i="1"/>
  <c r="BO66" i="1" s="1"/>
  <c r="HN67" i="1"/>
  <c r="BO67" i="1" s="1"/>
  <c r="HN68" i="1"/>
  <c r="BO68" i="1" s="1"/>
  <c r="HN69" i="1"/>
  <c r="BO69" i="1" s="1"/>
  <c r="HN70" i="1"/>
  <c r="BO70" i="1" s="1"/>
  <c r="HN71" i="1"/>
  <c r="BO71" i="1" s="1"/>
  <c r="HN72" i="1"/>
  <c r="BO72" i="1" s="1"/>
  <c r="HO56" i="1"/>
  <c r="BP56" i="1" s="1"/>
  <c r="HO57" i="1"/>
  <c r="BP57" i="1" s="1"/>
  <c r="HO58" i="1"/>
  <c r="BP58" i="1" s="1"/>
  <c r="HO59" i="1"/>
  <c r="BP59" i="1" s="1"/>
  <c r="HO60" i="1"/>
  <c r="BP60" i="1" s="1"/>
  <c r="HO61" i="1"/>
  <c r="BP61" i="1" s="1"/>
  <c r="HO62" i="1"/>
  <c r="BP62" i="1" s="1"/>
  <c r="HO63" i="1"/>
  <c r="BP63" i="1" s="1"/>
  <c r="HO64" i="1"/>
  <c r="BP64" i="1" s="1"/>
  <c r="HO65" i="1"/>
  <c r="BP65" i="1" s="1"/>
  <c r="HO66" i="1"/>
  <c r="BP66" i="1" s="1"/>
  <c r="HO67" i="1"/>
  <c r="BP67" i="1" s="1"/>
  <c r="HO68" i="1"/>
  <c r="BP68" i="1" s="1"/>
  <c r="HO69" i="1"/>
  <c r="BP69" i="1" s="1"/>
  <c r="HO70" i="1"/>
  <c r="BP70" i="1" s="1"/>
  <c r="HO71" i="1"/>
  <c r="BP71" i="1" s="1"/>
  <c r="HO72" i="1"/>
  <c r="BP72" i="1" s="1"/>
  <c r="HP56" i="1"/>
  <c r="BQ56" i="1" s="1"/>
  <c r="HP57" i="1"/>
  <c r="BQ57" i="1" s="1"/>
  <c r="HP58" i="1"/>
  <c r="BQ58" i="1" s="1"/>
  <c r="HP59" i="1"/>
  <c r="BQ59" i="1" s="1"/>
  <c r="HP60" i="1"/>
  <c r="BQ60" i="1" s="1"/>
  <c r="HP61" i="1"/>
  <c r="BQ61" i="1" s="1"/>
  <c r="HP62" i="1"/>
  <c r="BQ62" i="1" s="1"/>
  <c r="HP63" i="1"/>
  <c r="BQ63" i="1" s="1"/>
  <c r="HP64" i="1"/>
  <c r="BQ64" i="1" s="1"/>
  <c r="HP65" i="1"/>
  <c r="BQ65" i="1" s="1"/>
  <c r="HP66" i="1"/>
  <c r="BQ66" i="1" s="1"/>
  <c r="HP67" i="1"/>
  <c r="BQ67" i="1" s="1"/>
  <c r="HP68" i="1"/>
  <c r="BQ68" i="1" s="1"/>
  <c r="HP69" i="1"/>
  <c r="BQ69" i="1" s="1"/>
  <c r="HP70" i="1"/>
  <c r="BQ70" i="1" s="1"/>
  <c r="HP71" i="1"/>
  <c r="BQ71" i="1" s="1"/>
  <c r="HP72" i="1"/>
  <c r="BQ72" i="1" s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R56" i="1"/>
  <c r="P56" i="1" s="1"/>
  <c r="HR57" i="1"/>
  <c r="P57" i="1" s="1"/>
  <c r="HR58" i="1"/>
  <c r="P58" i="1" s="1"/>
  <c r="HR59" i="1"/>
  <c r="P59" i="1" s="1"/>
  <c r="HR60" i="1"/>
  <c r="P60" i="1" s="1"/>
  <c r="HR61" i="1"/>
  <c r="P61" i="1" s="1"/>
  <c r="HR62" i="1"/>
  <c r="P62" i="1" s="1"/>
  <c r="HR63" i="1"/>
  <c r="P63" i="1" s="1"/>
  <c r="HR64" i="1"/>
  <c r="P64" i="1" s="1"/>
  <c r="HR65" i="1"/>
  <c r="P65" i="1" s="1"/>
  <c r="HR66" i="1"/>
  <c r="P66" i="1" s="1"/>
  <c r="HR67" i="1"/>
  <c r="P67" i="1" s="1"/>
  <c r="HR68" i="1"/>
  <c r="P68" i="1" s="1"/>
  <c r="HR69" i="1"/>
  <c r="P69" i="1" s="1"/>
  <c r="HR70" i="1"/>
  <c r="P70" i="1" s="1"/>
  <c r="HR71" i="1"/>
  <c r="P71" i="1" s="1"/>
  <c r="HR72" i="1"/>
  <c r="P72" i="1" s="1"/>
  <c r="HS56" i="1"/>
  <c r="F56" i="1" s="1"/>
  <c r="HS57" i="1"/>
  <c r="F57" i="1" s="1"/>
  <c r="HS58" i="1"/>
  <c r="F58" i="1" s="1"/>
  <c r="HS59" i="1"/>
  <c r="F59" i="1" s="1"/>
  <c r="HS60" i="1"/>
  <c r="F60" i="1" s="1"/>
  <c r="HS61" i="1"/>
  <c r="F61" i="1" s="1"/>
  <c r="HS62" i="1"/>
  <c r="F62" i="1" s="1"/>
  <c r="HS63" i="1"/>
  <c r="F63" i="1" s="1"/>
  <c r="HS64" i="1"/>
  <c r="F64" i="1" s="1"/>
  <c r="HS65" i="1"/>
  <c r="F65" i="1" s="1"/>
  <c r="HS66" i="1"/>
  <c r="F66" i="1" s="1"/>
  <c r="HS67" i="1"/>
  <c r="F67" i="1" s="1"/>
  <c r="HS68" i="1"/>
  <c r="F68" i="1" s="1"/>
  <c r="HS69" i="1"/>
  <c r="F69" i="1" s="1"/>
  <c r="HS70" i="1"/>
  <c r="F70" i="1" s="1"/>
  <c r="HS71" i="1"/>
  <c r="F71" i="1" s="1"/>
  <c r="HS72" i="1"/>
  <c r="F72" i="1" s="1"/>
  <c r="HT56" i="1"/>
  <c r="G56" i="1" s="1"/>
  <c r="HT57" i="1"/>
  <c r="G57" i="1" s="1"/>
  <c r="HT58" i="1"/>
  <c r="G58" i="1" s="1"/>
  <c r="HT59" i="1"/>
  <c r="G59" i="1" s="1"/>
  <c r="HT60" i="1"/>
  <c r="G60" i="1" s="1"/>
  <c r="HT61" i="1"/>
  <c r="G61" i="1" s="1"/>
  <c r="HT62" i="1"/>
  <c r="G62" i="1" s="1"/>
  <c r="HT63" i="1"/>
  <c r="G63" i="1" s="1"/>
  <c r="HT64" i="1"/>
  <c r="G64" i="1" s="1"/>
  <c r="HT65" i="1"/>
  <c r="G65" i="1" s="1"/>
  <c r="HT66" i="1"/>
  <c r="G66" i="1" s="1"/>
  <c r="HT67" i="1"/>
  <c r="G67" i="1" s="1"/>
  <c r="HT68" i="1"/>
  <c r="G68" i="1" s="1"/>
  <c r="HT69" i="1"/>
  <c r="G69" i="1" s="1"/>
  <c r="HT70" i="1"/>
  <c r="G70" i="1" s="1"/>
  <c r="HT71" i="1"/>
  <c r="G71" i="1" s="1"/>
  <c r="HT72" i="1"/>
  <c r="G72" i="1" s="1"/>
  <c r="HU56" i="1"/>
  <c r="H56" i="1" s="1"/>
  <c r="HU57" i="1"/>
  <c r="H57" i="1" s="1"/>
  <c r="HU58" i="1"/>
  <c r="H58" i="1" s="1"/>
  <c r="HU59" i="1"/>
  <c r="H59" i="1" s="1"/>
  <c r="HU60" i="1"/>
  <c r="H60" i="1" s="1"/>
  <c r="HU61" i="1"/>
  <c r="H61" i="1" s="1"/>
  <c r="HU62" i="1"/>
  <c r="H62" i="1" s="1"/>
  <c r="HU63" i="1"/>
  <c r="H63" i="1" s="1"/>
  <c r="HU64" i="1"/>
  <c r="H64" i="1" s="1"/>
  <c r="HU65" i="1"/>
  <c r="H65" i="1" s="1"/>
  <c r="HU66" i="1"/>
  <c r="H66" i="1" s="1"/>
  <c r="HU67" i="1"/>
  <c r="H67" i="1" s="1"/>
  <c r="HU68" i="1"/>
  <c r="H68" i="1" s="1"/>
  <c r="HU69" i="1"/>
  <c r="H69" i="1" s="1"/>
  <c r="HU70" i="1"/>
  <c r="H70" i="1" s="1"/>
  <c r="HU71" i="1"/>
  <c r="H71" i="1" s="1"/>
  <c r="HU72" i="1"/>
  <c r="H72" i="1" s="1"/>
  <c r="HV56" i="1"/>
  <c r="R56" i="1" s="1"/>
  <c r="HV57" i="1"/>
  <c r="R57" i="1" s="1"/>
  <c r="HV58" i="1"/>
  <c r="R58" i="1" s="1"/>
  <c r="HV59" i="1"/>
  <c r="R59" i="1" s="1"/>
  <c r="HV60" i="1"/>
  <c r="R60" i="1" s="1"/>
  <c r="HV61" i="1"/>
  <c r="R61" i="1" s="1"/>
  <c r="HV62" i="1"/>
  <c r="R62" i="1" s="1"/>
  <c r="HV63" i="1"/>
  <c r="R63" i="1" s="1"/>
  <c r="HV64" i="1"/>
  <c r="R64" i="1" s="1"/>
  <c r="HV65" i="1"/>
  <c r="R65" i="1" s="1"/>
  <c r="HV66" i="1"/>
  <c r="R66" i="1" s="1"/>
  <c r="HV67" i="1"/>
  <c r="R67" i="1" s="1"/>
  <c r="HV68" i="1"/>
  <c r="R68" i="1" s="1"/>
  <c r="HV69" i="1"/>
  <c r="R69" i="1" s="1"/>
  <c r="HV70" i="1"/>
  <c r="R70" i="1" s="1"/>
  <c r="HV71" i="1"/>
  <c r="R71" i="1" s="1"/>
  <c r="HV72" i="1"/>
  <c r="R72" i="1" s="1"/>
  <c r="HW56" i="1"/>
  <c r="S56" i="1" s="1"/>
  <c r="HW57" i="1"/>
  <c r="S57" i="1" s="1"/>
  <c r="HW58" i="1"/>
  <c r="S58" i="1" s="1"/>
  <c r="HW59" i="1"/>
  <c r="S59" i="1" s="1"/>
  <c r="HW60" i="1"/>
  <c r="S60" i="1" s="1"/>
  <c r="HW61" i="1"/>
  <c r="S61" i="1" s="1"/>
  <c r="HW62" i="1"/>
  <c r="S62" i="1" s="1"/>
  <c r="HW63" i="1"/>
  <c r="S63" i="1" s="1"/>
  <c r="HW64" i="1"/>
  <c r="S64" i="1" s="1"/>
  <c r="HW65" i="1"/>
  <c r="S65" i="1" s="1"/>
  <c r="HW66" i="1"/>
  <c r="S66" i="1" s="1"/>
  <c r="HW67" i="1"/>
  <c r="S67" i="1" s="1"/>
  <c r="HW68" i="1"/>
  <c r="S68" i="1" s="1"/>
  <c r="HW69" i="1"/>
  <c r="S69" i="1" s="1"/>
  <c r="HW70" i="1"/>
  <c r="S70" i="1" s="1"/>
  <c r="HW71" i="1"/>
  <c r="S71" i="1" s="1"/>
  <c r="HW72" i="1"/>
  <c r="S72" i="1" s="1"/>
  <c r="HX56" i="1"/>
  <c r="T56" i="1" s="1"/>
  <c r="HX57" i="1"/>
  <c r="T57" i="1" s="1"/>
  <c r="HX58" i="1"/>
  <c r="T58" i="1" s="1"/>
  <c r="HX59" i="1"/>
  <c r="T59" i="1" s="1"/>
  <c r="HX60" i="1"/>
  <c r="T60" i="1" s="1"/>
  <c r="HX61" i="1"/>
  <c r="T61" i="1" s="1"/>
  <c r="HX62" i="1"/>
  <c r="T62" i="1" s="1"/>
  <c r="HX63" i="1"/>
  <c r="T63" i="1" s="1"/>
  <c r="HX64" i="1"/>
  <c r="T64" i="1" s="1"/>
  <c r="HX65" i="1"/>
  <c r="T65" i="1" s="1"/>
  <c r="HX66" i="1"/>
  <c r="T66" i="1" s="1"/>
  <c r="HX67" i="1"/>
  <c r="T67" i="1" s="1"/>
  <c r="HX68" i="1"/>
  <c r="T68" i="1" s="1"/>
  <c r="HX69" i="1"/>
  <c r="T69" i="1" s="1"/>
  <c r="HX70" i="1"/>
  <c r="T70" i="1" s="1"/>
  <c r="HX71" i="1"/>
  <c r="T71" i="1" s="1"/>
  <c r="HX72" i="1"/>
  <c r="T72" i="1" s="1"/>
  <c r="HY56" i="1"/>
  <c r="IS56" i="1" s="1"/>
  <c r="HY57" i="1"/>
  <c r="IS57" i="1" s="1"/>
  <c r="HY58" i="1"/>
  <c r="IT58" i="1" s="1"/>
  <c r="HY59" i="1"/>
  <c r="IT59" i="1" s="1"/>
  <c r="HY60" i="1"/>
  <c r="IS60" i="1" s="1"/>
  <c r="HY61" i="1"/>
  <c r="IT61" i="1" s="1"/>
  <c r="HY62" i="1"/>
  <c r="IT62" i="1" s="1"/>
  <c r="HY63" i="1"/>
  <c r="IT63" i="1" s="1"/>
  <c r="HY64" i="1"/>
  <c r="IS64" i="1" s="1"/>
  <c r="HY65" i="1"/>
  <c r="IS65" i="1" s="1"/>
  <c r="HY66" i="1"/>
  <c r="IS66" i="1" s="1"/>
  <c r="HY67" i="1"/>
  <c r="IT67" i="1" s="1"/>
  <c r="HY68" i="1"/>
  <c r="IT68" i="1" s="1"/>
  <c r="HY69" i="1"/>
  <c r="IS69" i="1" s="1"/>
  <c r="HY70" i="1"/>
  <c r="IT70" i="1" s="1"/>
  <c r="HY71" i="1"/>
  <c r="IT71" i="1" s="1"/>
  <c r="HY72" i="1"/>
  <c r="IT72" i="1" s="1"/>
  <c r="HZ56" i="1"/>
  <c r="IU56" i="1" s="1"/>
  <c r="HZ57" i="1"/>
  <c r="IU57" i="1" s="1"/>
  <c r="HZ58" i="1"/>
  <c r="IU58" i="1" s="1"/>
  <c r="HZ59" i="1"/>
  <c r="IU59" i="1" s="1"/>
  <c r="HZ60" i="1"/>
  <c r="IU60" i="1" s="1"/>
  <c r="HZ61" i="1"/>
  <c r="IU61" i="1" s="1"/>
  <c r="HZ62" i="1"/>
  <c r="IU62" i="1" s="1"/>
  <c r="HZ63" i="1"/>
  <c r="IU63" i="1" s="1"/>
  <c r="HZ64" i="1"/>
  <c r="IU64" i="1" s="1"/>
  <c r="HZ65" i="1"/>
  <c r="IU65" i="1" s="1"/>
  <c r="HZ66" i="1"/>
  <c r="IU66" i="1" s="1"/>
  <c r="HZ67" i="1"/>
  <c r="IU67" i="1" s="1"/>
  <c r="HZ68" i="1"/>
  <c r="IU68" i="1" s="1"/>
  <c r="HZ69" i="1"/>
  <c r="IU69" i="1" s="1"/>
  <c r="HZ70" i="1"/>
  <c r="IU70" i="1" s="1"/>
  <c r="HZ71" i="1"/>
  <c r="IU71" i="1" s="1"/>
  <c r="HZ72" i="1"/>
  <c r="IU72" i="1" s="1"/>
  <c r="IA56" i="1"/>
  <c r="IH56" i="1" s="1"/>
  <c r="K56" i="1" s="1"/>
  <c r="IA57" i="1"/>
  <c r="IH57" i="1" s="1"/>
  <c r="K57" i="1" s="1"/>
  <c r="IA58" i="1"/>
  <c r="IA59" i="1"/>
  <c r="IA60" i="1"/>
  <c r="IH60" i="1" s="1"/>
  <c r="K60" i="1" s="1"/>
  <c r="IA61" i="1"/>
  <c r="IH61" i="1" s="1"/>
  <c r="K61" i="1" s="1"/>
  <c r="IA62" i="1"/>
  <c r="IH62" i="1" s="1"/>
  <c r="K62" i="1" s="1"/>
  <c r="IA63" i="1"/>
  <c r="IH63" i="1" s="1"/>
  <c r="K63" i="1" s="1"/>
  <c r="IA64" i="1"/>
  <c r="IH64" i="1" s="1"/>
  <c r="K64" i="1" s="1"/>
  <c r="IA65" i="1"/>
  <c r="IH65" i="1" s="1"/>
  <c r="K65" i="1" s="1"/>
  <c r="IA66" i="1"/>
  <c r="IH66" i="1" s="1"/>
  <c r="K66" i="1" s="1"/>
  <c r="IA67" i="1"/>
  <c r="IH67" i="1" s="1"/>
  <c r="K67" i="1" s="1"/>
  <c r="IA68" i="1"/>
  <c r="IH68" i="1" s="1"/>
  <c r="K68" i="1" s="1"/>
  <c r="IA69" i="1"/>
  <c r="IH69" i="1" s="1"/>
  <c r="K69" i="1" s="1"/>
  <c r="IA70" i="1"/>
  <c r="IH70" i="1" s="1"/>
  <c r="K70" i="1" s="1"/>
  <c r="IA71" i="1"/>
  <c r="IH71" i="1" s="1"/>
  <c r="K71" i="1" s="1"/>
  <c r="IA72" i="1"/>
  <c r="IH72" i="1" s="1"/>
  <c r="K72" i="1" s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C56" i="1"/>
  <c r="IO56" i="1" s="1"/>
  <c r="W56" i="1" s="1"/>
  <c r="IC57" i="1"/>
  <c r="IO57" i="1" s="1"/>
  <c r="W57" i="1" s="1"/>
  <c r="IC58" i="1"/>
  <c r="IO58" i="1" s="1"/>
  <c r="W58" i="1" s="1"/>
  <c r="IC59" i="1"/>
  <c r="IO59" i="1" s="1"/>
  <c r="W59" i="1" s="1"/>
  <c r="IC60" i="1"/>
  <c r="IO60" i="1" s="1"/>
  <c r="W60" i="1" s="1"/>
  <c r="IC61" i="1"/>
  <c r="IO61" i="1" s="1"/>
  <c r="W61" i="1" s="1"/>
  <c r="IC62" i="1"/>
  <c r="IO62" i="1" s="1"/>
  <c r="W62" i="1" s="1"/>
  <c r="IC63" i="1"/>
  <c r="IO63" i="1" s="1"/>
  <c r="W63" i="1" s="1"/>
  <c r="IC64" i="1"/>
  <c r="IO64" i="1" s="1"/>
  <c r="W64" i="1" s="1"/>
  <c r="IC65" i="1"/>
  <c r="IO65" i="1" s="1"/>
  <c r="W65" i="1" s="1"/>
  <c r="IC66" i="1"/>
  <c r="IO66" i="1" s="1"/>
  <c r="W66" i="1" s="1"/>
  <c r="IC67" i="1"/>
  <c r="IO67" i="1" s="1"/>
  <c r="W67" i="1" s="1"/>
  <c r="IC68" i="1"/>
  <c r="IO68" i="1" s="1"/>
  <c r="W68" i="1" s="1"/>
  <c r="IC69" i="1"/>
  <c r="IO69" i="1" s="1"/>
  <c r="W69" i="1" s="1"/>
  <c r="IC70" i="1"/>
  <c r="IO70" i="1" s="1"/>
  <c r="W70" i="1" s="1"/>
  <c r="IC71" i="1"/>
  <c r="IO71" i="1" s="1"/>
  <c r="W71" i="1" s="1"/>
  <c r="IC72" i="1"/>
  <c r="IO72" i="1" s="1"/>
  <c r="W72" i="1" s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F56" i="1"/>
  <c r="J56" i="1" s="1"/>
  <c r="IF57" i="1"/>
  <c r="J57" i="1" s="1"/>
  <c r="IF58" i="1"/>
  <c r="J58" i="1" s="1"/>
  <c r="IF59" i="1"/>
  <c r="J59" i="1" s="1"/>
  <c r="IF60" i="1"/>
  <c r="J60" i="1" s="1"/>
  <c r="IF61" i="1"/>
  <c r="J61" i="1" s="1"/>
  <c r="IF62" i="1"/>
  <c r="J62" i="1" s="1"/>
  <c r="IF63" i="1"/>
  <c r="J63" i="1" s="1"/>
  <c r="IF64" i="1"/>
  <c r="J64" i="1" s="1"/>
  <c r="IF65" i="1"/>
  <c r="J65" i="1" s="1"/>
  <c r="IF66" i="1"/>
  <c r="J66" i="1" s="1"/>
  <c r="IF67" i="1"/>
  <c r="J67" i="1" s="1"/>
  <c r="IF68" i="1"/>
  <c r="J68" i="1" s="1"/>
  <c r="IF69" i="1"/>
  <c r="J69" i="1" s="1"/>
  <c r="IF70" i="1"/>
  <c r="J70" i="1" s="1"/>
  <c r="IF71" i="1"/>
  <c r="J71" i="1" s="1"/>
  <c r="IF72" i="1"/>
  <c r="J72" i="1" s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H58" i="1"/>
  <c r="K58" i="1" s="1"/>
  <c r="IH59" i="1"/>
  <c r="K59" i="1" s="1"/>
  <c r="IS58" i="1"/>
  <c r="IV70" i="1"/>
  <c r="NH56" i="1"/>
  <c r="NH57" i="1"/>
  <c r="NH58" i="1"/>
  <c r="NH59" i="1"/>
  <c r="NH60" i="1"/>
  <c r="NH61" i="1"/>
  <c r="NH62" i="1"/>
  <c r="NH63" i="1"/>
  <c r="NH64" i="1"/>
  <c r="NH65" i="1"/>
  <c r="NH66" i="1"/>
  <c r="NH67" i="1"/>
  <c r="NH68" i="1"/>
  <c r="NH69" i="1"/>
  <c r="NH70" i="1"/>
  <c r="NH71" i="1"/>
  <c r="NH72" i="1"/>
  <c r="NI56" i="1"/>
  <c r="NI57" i="1"/>
  <c r="NI58" i="1"/>
  <c r="NI59" i="1"/>
  <c r="NI60" i="1"/>
  <c r="NI61" i="1"/>
  <c r="NI62" i="1"/>
  <c r="NI63" i="1"/>
  <c r="NI64" i="1"/>
  <c r="NI65" i="1"/>
  <c r="NI66" i="1"/>
  <c r="NI67" i="1"/>
  <c r="NI68" i="1"/>
  <c r="NI69" i="1"/>
  <c r="NI70" i="1"/>
  <c r="NI71" i="1"/>
  <c r="NI72" i="1"/>
  <c r="NJ56" i="1"/>
  <c r="NJ57" i="1"/>
  <c r="NJ58" i="1"/>
  <c r="NJ59" i="1"/>
  <c r="NJ60" i="1"/>
  <c r="NJ61" i="1"/>
  <c r="NJ62" i="1"/>
  <c r="NJ63" i="1"/>
  <c r="NJ64" i="1"/>
  <c r="NJ65" i="1"/>
  <c r="NJ66" i="1"/>
  <c r="NJ67" i="1"/>
  <c r="NJ68" i="1"/>
  <c r="NJ69" i="1"/>
  <c r="NJ70" i="1"/>
  <c r="NJ71" i="1"/>
  <c r="NJ72" i="1"/>
  <c r="HF90" i="1"/>
  <c r="B90" i="1" s="1"/>
  <c r="HG90" i="1"/>
  <c r="BH90" i="1" s="1"/>
  <c r="HH90" i="1"/>
  <c r="BI90" i="1" s="1"/>
  <c r="HI90" i="1"/>
  <c r="BJ90" i="1" s="1"/>
  <c r="HJ90" i="1"/>
  <c r="BK90" i="1" s="1"/>
  <c r="HK90" i="1"/>
  <c r="BL90" i="1" s="1"/>
  <c r="HL90" i="1"/>
  <c r="BM90" i="1" s="1"/>
  <c r="HM90" i="1"/>
  <c r="BN90" i="1" s="1"/>
  <c r="HN90" i="1"/>
  <c r="BO90" i="1" s="1"/>
  <c r="HO90" i="1"/>
  <c r="BP90" i="1" s="1"/>
  <c r="HP90" i="1"/>
  <c r="BQ90" i="1" s="1"/>
  <c r="HQ90" i="1"/>
  <c r="HR90" i="1"/>
  <c r="P90" i="1" s="1"/>
  <c r="HS90" i="1"/>
  <c r="F90" i="1" s="1"/>
  <c r="HT90" i="1"/>
  <c r="G90" i="1" s="1"/>
  <c r="HU90" i="1"/>
  <c r="H90" i="1" s="1"/>
  <c r="HV90" i="1"/>
  <c r="R90" i="1" s="1"/>
  <c r="HW90" i="1"/>
  <c r="S90" i="1" s="1"/>
  <c r="HX90" i="1"/>
  <c r="T90" i="1" s="1"/>
  <c r="HY90" i="1"/>
  <c r="IS90" i="1" s="1"/>
  <c r="HZ90" i="1"/>
  <c r="IU90" i="1" s="1"/>
  <c r="IA90" i="1"/>
  <c r="IH90" i="1" s="1"/>
  <c r="K90" i="1" s="1"/>
  <c r="IB90" i="1"/>
  <c r="IC90" i="1"/>
  <c r="IE90" i="1"/>
  <c r="IF90" i="1"/>
  <c r="J90" i="1" s="1"/>
  <c r="IG90" i="1"/>
  <c r="IO90" i="1"/>
  <c r="W90" i="1" s="1"/>
  <c r="NH90" i="1"/>
  <c r="NI90" i="1"/>
  <c r="NJ90" i="1"/>
  <c r="HF74" i="1"/>
  <c r="B74" i="1" s="1"/>
  <c r="HF75" i="1"/>
  <c r="B75" i="1" s="1"/>
  <c r="HF76" i="1"/>
  <c r="B76" i="1" s="1"/>
  <c r="HF77" i="1"/>
  <c r="B77" i="1" s="1"/>
  <c r="HF78" i="1"/>
  <c r="B78" i="1" s="1"/>
  <c r="HF79" i="1"/>
  <c r="B79" i="1" s="1"/>
  <c r="HF80" i="1"/>
  <c r="B80" i="1" s="1"/>
  <c r="HF81" i="1"/>
  <c r="B81" i="1" s="1"/>
  <c r="HF82" i="1"/>
  <c r="B82" i="1" s="1"/>
  <c r="HF83" i="1"/>
  <c r="B83" i="1" s="1"/>
  <c r="HF84" i="1"/>
  <c r="B84" i="1" s="1"/>
  <c r="HF85" i="1"/>
  <c r="B85" i="1" s="1"/>
  <c r="HF86" i="1"/>
  <c r="B86" i="1" s="1"/>
  <c r="HF87" i="1"/>
  <c r="B87" i="1" s="1"/>
  <c r="HF88" i="1"/>
  <c r="B88" i="1" s="1"/>
  <c r="HF89" i="1"/>
  <c r="B89" i="1" s="1"/>
  <c r="HF91" i="1"/>
  <c r="B91" i="1" s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1" i="1"/>
  <c r="HH74" i="1"/>
  <c r="BI74" i="1" s="1"/>
  <c r="HH75" i="1"/>
  <c r="BI75" i="1" s="1"/>
  <c r="HH76" i="1"/>
  <c r="BI76" i="1" s="1"/>
  <c r="HH77" i="1"/>
  <c r="BI77" i="1" s="1"/>
  <c r="HH78" i="1"/>
  <c r="BI78" i="1" s="1"/>
  <c r="HH79" i="1"/>
  <c r="BI79" i="1" s="1"/>
  <c r="HH80" i="1"/>
  <c r="BI80" i="1" s="1"/>
  <c r="HH81" i="1"/>
  <c r="BI81" i="1" s="1"/>
  <c r="HH82" i="1"/>
  <c r="BI82" i="1" s="1"/>
  <c r="HH83" i="1"/>
  <c r="BI83" i="1" s="1"/>
  <c r="HH84" i="1"/>
  <c r="BI84" i="1" s="1"/>
  <c r="HH85" i="1"/>
  <c r="BI85" i="1" s="1"/>
  <c r="HH86" i="1"/>
  <c r="BI86" i="1" s="1"/>
  <c r="HH87" i="1"/>
  <c r="BI87" i="1" s="1"/>
  <c r="HH88" i="1"/>
  <c r="BI88" i="1" s="1"/>
  <c r="HH89" i="1"/>
  <c r="BI89" i="1" s="1"/>
  <c r="HH91" i="1"/>
  <c r="BI91" i="1" s="1"/>
  <c r="HI74" i="1"/>
  <c r="BJ74" i="1" s="1"/>
  <c r="HI75" i="1"/>
  <c r="BJ75" i="1" s="1"/>
  <c r="HI76" i="1"/>
  <c r="BJ76" i="1" s="1"/>
  <c r="HI77" i="1"/>
  <c r="BJ77" i="1" s="1"/>
  <c r="HI78" i="1"/>
  <c r="BJ78" i="1" s="1"/>
  <c r="HI79" i="1"/>
  <c r="BJ79" i="1" s="1"/>
  <c r="HI80" i="1"/>
  <c r="BJ80" i="1" s="1"/>
  <c r="HI81" i="1"/>
  <c r="BJ81" i="1" s="1"/>
  <c r="HI82" i="1"/>
  <c r="BJ82" i="1" s="1"/>
  <c r="HI83" i="1"/>
  <c r="BJ83" i="1" s="1"/>
  <c r="HI84" i="1"/>
  <c r="BJ84" i="1" s="1"/>
  <c r="HI85" i="1"/>
  <c r="BJ85" i="1" s="1"/>
  <c r="HI86" i="1"/>
  <c r="BJ86" i="1" s="1"/>
  <c r="HI87" i="1"/>
  <c r="BJ87" i="1" s="1"/>
  <c r="HI88" i="1"/>
  <c r="BJ88" i="1" s="1"/>
  <c r="HI89" i="1"/>
  <c r="BJ89" i="1" s="1"/>
  <c r="HI91" i="1"/>
  <c r="BJ91" i="1" s="1"/>
  <c r="HJ74" i="1"/>
  <c r="BK74" i="1" s="1"/>
  <c r="HJ75" i="1"/>
  <c r="BK75" i="1" s="1"/>
  <c r="HJ76" i="1"/>
  <c r="BK76" i="1" s="1"/>
  <c r="HJ77" i="1"/>
  <c r="BK77" i="1" s="1"/>
  <c r="HJ78" i="1"/>
  <c r="BK78" i="1" s="1"/>
  <c r="HJ79" i="1"/>
  <c r="BK79" i="1" s="1"/>
  <c r="HJ80" i="1"/>
  <c r="BK80" i="1" s="1"/>
  <c r="HJ81" i="1"/>
  <c r="BK81" i="1" s="1"/>
  <c r="HJ82" i="1"/>
  <c r="BK82" i="1" s="1"/>
  <c r="HJ83" i="1"/>
  <c r="BK83" i="1" s="1"/>
  <c r="HJ84" i="1"/>
  <c r="BK84" i="1" s="1"/>
  <c r="HJ85" i="1"/>
  <c r="BK85" i="1" s="1"/>
  <c r="HJ86" i="1"/>
  <c r="BK86" i="1" s="1"/>
  <c r="HJ87" i="1"/>
  <c r="BK87" i="1" s="1"/>
  <c r="HJ88" i="1"/>
  <c r="BK88" i="1" s="1"/>
  <c r="HJ89" i="1"/>
  <c r="BK89" i="1" s="1"/>
  <c r="HJ91" i="1"/>
  <c r="BK91" i="1" s="1"/>
  <c r="HK74" i="1"/>
  <c r="BL74" i="1" s="1"/>
  <c r="HK75" i="1"/>
  <c r="BL75" i="1" s="1"/>
  <c r="HK76" i="1"/>
  <c r="BL76" i="1" s="1"/>
  <c r="HK77" i="1"/>
  <c r="BL77" i="1" s="1"/>
  <c r="HK78" i="1"/>
  <c r="BL78" i="1" s="1"/>
  <c r="HK79" i="1"/>
  <c r="BL79" i="1" s="1"/>
  <c r="HK80" i="1"/>
  <c r="BL80" i="1" s="1"/>
  <c r="HK81" i="1"/>
  <c r="BL81" i="1" s="1"/>
  <c r="HK82" i="1"/>
  <c r="BL82" i="1" s="1"/>
  <c r="HK83" i="1"/>
  <c r="BL83" i="1" s="1"/>
  <c r="HK84" i="1"/>
  <c r="BL84" i="1" s="1"/>
  <c r="HK85" i="1"/>
  <c r="BL85" i="1" s="1"/>
  <c r="HK86" i="1"/>
  <c r="BL86" i="1" s="1"/>
  <c r="HK87" i="1"/>
  <c r="BL87" i="1" s="1"/>
  <c r="HK88" i="1"/>
  <c r="BL88" i="1" s="1"/>
  <c r="HK89" i="1"/>
  <c r="BL89" i="1" s="1"/>
  <c r="HK91" i="1"/>
  <c r="BL91" i="1" s="1"/>
  <c r="HL74" i="1"/>
  <c r="BM74" i="1" s="1"/>
  <c r="HL75" i="1"/>
  <c r="BM75" i="1" s="1"/>
  <c r="HL76" i="1"/>
  <c r="BM76" i="1" s="1"/>
  <c r="HL77" i="1"/>
  <c r="BM77" i="1" s="1"/>
  <c r="HL78" i="1"/>
  <c r="BM78" i="1" s="1"/>
  <c r="HL79" i="1"/>
  <c r="BM79" i="1" s="1"/>
  <c r="HL80" i="1"/>
  <c r="BM80" i="1" s="1"/>
  <c r="HL81" i="1"/>
  <c r="BM81" i="1" s="1"/>
  <c r="HL82" i="1"/>
  <c r="BM82" i="1" s="1"/>
  <c r="HL83" i="1"/>
  <c r="BM83" i="1" s="1"/>
  <c r="HL84" i="1"/>
  <c r="BM84" i="1" s="1"/>
  <c r="HL85" i="1"/>
  <c r="BM85" i="1" s="1"/>
  <c r="HL86" i="1"/>
  <c r="BM86" i="1" s="1"/>
  <c r="HL87" i="1"/>
  <c r="BM87" i="1" s="1"/>
  <c r="HL88" i="1"/>
  <c r="BM88" i="1" s="1"/>
  <c r="HL89" i="1"/>
  <c r="BM89" i="1" s="1"/>
  <c r="HL91" i="1"/>
  <c r="BM91" i="1" s="1"/>
  <c r="HM74" i="1"/>
  <c r="BN74" i="1" s="1"/>
  <c r="HM75" i="1"/>
  <c r="BN75" i="1" s="1"/>
  <c r="HM76" i="1"/>
  <c r="BN76" i="1" s="1"/>
  <c r="HM77" i="1"/>
  <c r="BN77" i="1" s="1"/>
  <c r="HM78" i="1"/>
  <c r="BN78" i="1" s="1"/>
  <c r="HM79" i="1"/>
  <c r="BN79" i="1" s="1"/>
  <c r="HM80" i="1"/>
  <c r="BN80" i="1" s="1"/>
  <c r="HM81" i="1"/>
  <c r="BN81" i="1" s="1"/>
  <c r="HM82" i="1"/>
  <c r="BN82" i="1" s="1"/>
  <c r="HM83" i="1"/>
  <c r="BN83" i="1" s="1"/>
  <c r="HM84" i="1"/>
  <c r="BN84" i="1" s="1"/>
  <c r="HM85" i="1"/>
  <c r="BN85" i="1" s="1"/>
  <c r="HM86" i="1"/>
  <c r="BN86" i="1" s="1"/>
  <c r="HM87" i="1"/>
  <c r="BN87" i="1" s="1"/>
  <c r="HM88" i="1"/>
  <c r="BN88" i="1" s="1"/>
  <c r="HM89" i="1"/>
  <c r="BN89" i="1" s="1"/>
  <c r="HM91" i="1"/>
  <c r="BN91" i="1" s="1"/>
  <c r="HN74" i="1"/>
  <c r="BO74" i="1" s="1"/>
  <c r="HN75" i="1"/>
  <c r="BO75" i="1" s="1"/>
  <c r="HN76" i="1"/>
  <c r="BO76" i="1" s="1"/>
  <c r="HN77" i="1"/>
  <c r="BO77" i="1" s="1"/>
  <c r="HN78" i="1"/>
  <c r="BO78" i="1" s="1"/>
  <c r="HN79" i="1"/>
  <c r="BO79" i="1" s="1"/>
  <c r="HN80" i="1"/>
  <c r="BO80" i="1" s="1"/>
  <c r="HN81" i="1"/>
  <c r="BO81" i="1" s="1"/>
  <c r="HN82" i="1"/>
  <c r="BO82" i="1" s="1"/>
  <c r="HN83" i="1"/>
  <c r="BO83" i="1" s="1"/>
  <c r="HN84" i="1"/>
  <c r="BO84" i="1" s="1"/>
  <c r="HN85" i="1"/>
  <c r="BO85" i="1" s="1"/>
  <c r="HN86" i="1"/>
  <c r="BO86" i="1" s="1"/>
  <c r="HN87" i="1"/>
  <c r="BO87" i="1" s="1"/>
  <c r="HN88" i="1"/>
  <c r="BO88" i="1" s="1"/>
  <c r="HN89" i="1"/>
  <c r="BO89" i="1" s="1"/>
  <c r="HN91" i="1"/>
  <c r="BO91" i="1" s="1"/>
  <c r="HO74" i="1"/>
  <c r="BP74" i="1" s="1"/>
  <c r="HO75" i="1"/>
  <c r="BP75" i="1" s="1"/>
  <c r="HO76" i="1"/>
  <c r="BP76" i="1" s="1"/>
  <c r="HO77" i="1"/>
  <c r="BP77" i="1" s="1"/>
  <c r="HO78" i="1"/>
  <c r="BP78" i="1" s="1"/>
  <c r="HO79" i="1"/>
  <c r="BP79" i="1" s="1"/>
  <c r="HO80" i="1"/>
  <c r="BP80" i="1" s="1"/>
  <c r="HO81" i="1"/>
  <c r="BP81" i="1" s="1"/>
  <c r="HO82" i="1"/>
  <c r="BP82" i="1" s="1"/>
  <c r="HO83" i="1"/>
  <c r="BP83" i="1" s="1"/>
  <c r="HO84" i="1"/>
  <c r="BP84" i="1" s="1"/>
  <c r="HO85" i="1"/>
  <c r="BP85" i="1" s="1"/>
  <c r="HO86" i="1"/>
  <c r="BP86" i="1" s="1"/>
  <c r="HO87" i="1"/>
  <c r="BP87" i="1" s="1"/>
  <c r="HO88" i="1"/>
  <c r="BP88" i="1" s="1"/>
  <c r="HO89" i="1"/>
  <c r="BP89" i="1" s="1"/>
  <c r="HO91" i="1"/>
  <c r="BP91" i="1" s="1"/>
  <c r="HP74" i="1"/>
  <c r="BQ74" i="1" s="1"/>
  <c r="HP75" i="1"/>
  <c r="BQ75" i="1" s="1"/>
  <c r="HP76" i="1"/>
  <c r="BQ76" i="1" s="1"/>
  <c r="HP77" i="1"/>
  <c r="BQ77" i="1" s="1"/>
  <c r="HP78" i="1"/>
  <c r="BQ78" i="1" s="1"/>
  <c r="HP79" i="1"/>
  <c r="BQ79" i="1" s="1"/>
  <c r="HP80" i="1"/>
  <c r="BQ80" i="1" s="1"/>
  <c r="HP81" i="1"/>
  <c r="BQ81" i="1" s="1"/>
  <c r="HP82" i="1"/>
  <c r="BQ82" i="1" s="1"/>
  <c r="HP83" i="1"/>
  <c r="BQ83" i="1" s="1"/>
  <c r="HP84" i="1"/>
  <c r="BQ84" i="1" s="1"/>
  <c r="HP85" i="1"/>
  <c r="BQ85" i="1" s="1"/>
  <c r="HP86" i="1"/>
  <c r="BQ86" i="1" s="1"/>
  <c r="HP87" i="1"/>
  <c r="BQ87" i="1" s="1"/>
  <c r="HP88" i="1"/>
  <c r="BQ88" i="1" s="1"/>
  <c r="HP89" i="1"/>
  <c r="BQ89" i="1" s="1"/>
  <c r="HP91" i="1"/>
  <c r="BQ91" i="1" s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1" i="1"/>
  <c r="HR74" i="1"/>
  <c r="P74" i="1" s="1"/>
  <c r="HR75" i="1"/>
  <c r="P75" i="1" s="1"/>
  <c r="HR76" i="1"/>
  <c r="P76" i="1" s="1"/>
  <c r="HR77" i="1"/>
  <c r="P77" i="1" s="1"/>
  <c r="HR78" i="1"/>
  <c r="P78" i="1" s="1"/>
  <c r="HR79" i="1"/>
  <c r="P79" i="1" s="1"/>
  <c r="HR80" i="1"/>
  <c r="P80" i="1" s="1"/>
  <c r="HR81" i="1"/>
  <c r="P81" i="1" s="1"/>
  <c r="HR82" i="1"/>
  <c r="P82" i="1" s="1"/>
  <c r="HR83" i="1"/>
  <c r="P83" i="1" s="1"/>
  <c r="HR84" i="1"/>
  <c r="P84" i="1" s="1"/>
  <c r="HR85" i="1"/>
  <c r="P85" i="1" s="1"/>
  <c r="HR86" i="1"/>
  <c r="P86" i="1" s="1"/>
  <c r="HR87" i="1"/>
  <c r="P87" i="1" s="1"/>
  <c r="HR88" i="1"/>
  <c r="P88" i="1" s="1"/>
  <c r="HR89" i="1"/>
  <c r="P89" i="1" s="1"/>
  <c r="HR91" i="1"/>
  <c r="P91" i="1" s="1"/>
  <c r="HS74" i="1"/>
  <c r="F74" i="1" s="1"/>
  <c r="HS75" i="1"/>
  <c r="F75" i="1" s="1"/>
  <c r="HS76" i="1"/>
  <c r="F76" i="1" s="1"/>
  <c r="HS77" i="1"/>
  <c r="F77" i="1" s="1"/>
  <c r="HS78" i="1"/>
  <c r="F78" i="1" s="1"/>
  <c r="HS79" i="1"/>
  <c r="F79" i="1" s="1"/>
  <c r="HS80" i="1"/>
  <c r="F80" i="1" s="1"/>
  <c r="HS81" i="1"/>
  <c r="F81" i="1" s="1"/>
  <c r="HS82" i="1"/>
  <c r="F82" i="1" s="1"/>
  <c r="HS83" i="1"/>
  <c r="F83" i="1" s="1"/>
  <c r="HS84" i="1"/>
  <c r="F84" i="1" s="1"/>
  <c r="HS85" i="1"/>
  <c r="F85" i="1" s="1"/>
  <c r="HS86" i="1"/>
  <c r="F86" i="1" s="1"/>
  <c r="HS87" i="1"/>
  <c r="F87" i="1" s="1"/>
  <c r="HS88" i="1"/>
  <c r="F88" i="1" s="1"/>
  <c r="HS89" i="1"/>
  <c r="F89" i="1" s="1"/>
  <c r="HS91" i="1"/>
  <c r="F91" i="1" s="1"/>
  <c r="HT74" i="1"/>
  <c r="G74" i="1" s="1"/>
  <c r="HT75" i="1"/>
  <c r="G75" i="1" s="1"/>
  <c r="HT76" i="1"/>
  <c r="G76" i="1" s="1"/>
  <c r="HT77" i="1"/>
  <c r="G77" i="1" s="1"/>
  <c r="HT78" i="1"/>
  <c r="G78" i="1" s="1"/>
  <c r="HT79" i="1"/>
  <c r="G79" i="1" s="1"/>
  <c r="HT80" i="1"/>
  <c r="G80" i="1" s="1"/>
  <c r="HT81" i="1"/>
  <c r="G81" i="1" s="1"/>
  <c r="HT82" i="1"/>
  <c r="G82" i="1" s="1"/>
  <c r="HT83" i="1"/>
  <c r="G83" i="1" s="1"/>
  <c r="HT84" i="1"/>
  <c r="G84" i="1" s="1"/>
  <c r="HT85" i="1"/>
  <c r="G85" i="1" s="1"/>
  <c r="HT86" i="1"/>
  <c r="G86" i="1" s="1"/>
  <c r="HT87" i="1"/>
  <c r="G87" i="1" s="1"/>
  <c r="HT88" i="1"/>
  <c r="G88" i="1" s="1"/>
  <c r="HT89" i="1"/>
  <c r="G89" i="1" s="1"/>
  <c r="HT91" i="1"/>
  <c r="G91" i="1" s="1"/>
  <c r="HU74" i="1"/>
  <c r="H74" i="1" s="1"/>
  <c r="HU75" i="1"/>
  <c r="H75" i="1" s="1"/>
  <c r="HU76" i="1"/>
  <c r="H76" i="1" s="1"/>
  <c r="HU77" i="1"/>
  <c r="H77" i="1" s="1"/>
  <c r="HU78" i="1"/>
  <c r="H78" i="1" s="1"/>
  <c r="HU79" i="1"/>
  <c r="H79" i="1" s="1"/>
  <c r="HU80" i="1"/>
  <c r="H80" i="1" s="1"/>
  <c r="HU81" i="1"/>
  <c r="H81" i="1" s="1"/>
  <c r="HU82" i="1"/>
  <c r="H82" i="1" s="1"/>
  <c r="HU83" i="1"/>
  <c r="H83" i="1" s="1"/>
  <c r="HU84" i="1"/>
  <c r="H84" i="1" s="1"/>
  <c r="HU85" i="1"/>
  <c r="H85" i="1" s="1"/>
  <c r="HU86" i="1"/>
  <c r="H86" i="1" s="1"/>
  <c r="HU87" i="1"/>
  <c r="H87" i="1" s="1"/>
  <c r="HU88" i="1"/>
  <c r="H88" i="1" s="1"/>
  <c r="HU89" i="1"/>
  <c r="H89" i="1" s="1"/>
  <c r="HU91" i="1"/>
  <c r="H91" i="1" s="1"/>
  <c r="HV74" i="1"/>
  <c r="R74" i="1" s="1"/>
  <c r="HV75" i="1"/>
  <c r="R75" i="1" s="1"/>
  <c r="HV76" i="1"/>
  <c r="R76" i="1" s="1"/>
  <c r="HV77" i="1"/>
  <c r="R77" i="1" s="1"/>
  <c r="HV78" i="1"/>
  <c r="R78" i="1" s="1"/>
  <c r="HV79" i="1"/>
  <c r="R79" i="1" s="1"/>
  <c r="HV80" i="1"/>
  <c r="R80" i="1" s="1"/>
  <c r="HV81" i="1"/>
  <c r="R81" i="1" s="1"/>
  <c r="HV82" i="1"/>
  <c r="R82" i="1" s="1"/>
  <c r="HV83" i="1"/>
  <c r="R83" i="1" s="1"/>
  <c r="HV84" i="1"/>
  <c r="R84" i="1" s="1"/>
  <c r="HV85" i="1"/>
  <c r="R85" i="1" s="1"/>
  <c r="HV86" i="1"/>
  <c r="R86" i="1" s="1"/>
  <c r="HV87" i="1"/>
  <c r="R87" i="1" s="1"/>
  <c r="HV88" i="1"/>
  <c r="R88" i="1" s="1"/>
  <c r="HV89" i="1"/>
  <c r="R89" i="1" s="1"/>
  <c r="HV91" i="1"/>
  <c r="R91" i="1" s="1"/>
  <c r="HW74" i="1"/>
  <c r="S74" i="1" s="1"/>
  <c r="HW75" i="1"/>
  <c r="S75" i="1" s="1"/>
  <c r="HW76" i="1"/>
  <c r="S76" i="1" s="1"/>
  <c r="HW77" i="1"/>
  <c r="S77" i="1" s="1"/>
  <c r="HW78" i="1"/>
  <c r="S78" i="1" s="1"/>
  <c r="HW79" i="1"/>
  <c r="S79" i="1" s="1"/>
  <c r="HW80" i="1"/>
  <c r="S80" i="1" s="1"/>
  <c r="HW81" i="1"/>
  <c r="S81" i="1" s="1"/>
  <c r="HW82" i="1"/>
  <c r="S82" i="1" s="1"/>
  <c r="HW83" i="1"/>
  <c r="S83" i="1" s="1"/>
  <c r="HW84" i="1"/>
  <c r="S84" i="1" s="1"/>
  <c r="HW85" i="1"/>
  <c r="S85" i="1" s="1"/>
  <c r="HW86" i="1"/>
  <c r="S86" i="1" s="1"/>
  <c r="HW87" i="1"/>
  <c r="S87" i="1" s="1"/>
  <c r="HW88" i="1"/>
  <c r="S88" i="1" s="1"/>
  <c r="HW89" i="1"/>
  <c r="S89" i="1" s="1"/>
  <c r="HW91" i="1"/>
  <c r="S91" i="1" s="1"/>
  <c r="HX74" i="1"/>
  <c r="T74" i="1" s="1"/>
  <c r="HX75" i="1"/>
  <c r="T75" i="1" s="1"/>
  <c r="HX76" i="1"/>
  <c r="T76" i="1" s="1"/>
  <c r="HX77" i="1"/>
  <c r="T77" i="1" s="1"/>
  <c r="HX78" i="1"/>
  <c r="T78" i="1" s="1"/>
  <c r="HX79" i="1"/>
  <c r="T79" i="1" s="1"/>
  <c r="HX80" i="1"/>
  <c r="T80" i="1" s="1"/>
  <c r="HX81" i="1"/>
  <c r="T81" i="1" s="1"/>
  <c r="HX82" i="1"/>
  <c r="T82" i="1" s="1"/>
  <c r="HX83" i="1"/>
  <c r="T83" i="1" s="1"/>
  <c r="HX84" i="1"/>
  <c r="T84" i="1" s="1"/>
  <c r="HX85" i="1"/>
  <c r="T85" i="1" s="1"/>
  <c r="HX86" i="1"/>
  <c r="T86" i="1" s="1"/>
  <c r="HX87" i="1"/>
  <c r="T87" i="1" s="1"/>
  <c r="HX88" i="1"/>
  <c r="T88" i="1" s="1"/>
  <c r="HX89" i="1"/>
  <c r="T89" i="1" s="1"/>
  <c r="HX91" i="1"/>
  <c r="T91" i="1" s="1"/>
  <c r="HY74" i="1"/>
  <c r="IS74" i="1" s="1"/>
  <c r="HY75" i="1"/>
  <c r="IS75" i="1" s="1"/>
  <c r="HY76" i="1"/>
  <c r="IT76" i="1" s="1"/>
  <c r="HY77" i="1"/>
  <c r="IT77" i="1" s="1"/>
  <c r="HY78" i="1"/>
  <c r="IS78" i="1" s="1"/>
  <c r="HY79" i="1"/>
  <c r="IS79" i="1" s="1"/>
  <c r="HY80" i="1"/>
  <c r="IT80" i="1" s="1"/>
  <c r="HY81" i="1"/>
  <c r="IS81" i="1" s="1"/>
  <c r="HY82" i="1"/>
  <c r="IT82" i="1" s="1"/>
  <c r="HY83" i="1"/>
  <c r="IS83" i="1" s="1"/>
  <c r="HY84" i="1"/>
  <c r="IS84" i="1" s="1"/>
  <c r="HY85" i="1"/>
  <c r="IT85" i="1" s="1"/>
  <c r="HY86" i="1"/>
  <c r="IS86" i="1" s="1"/>
  <c r="HY87" i="1"/>
  <c r="IS87" i="1" s="1"/>
  <c r="HY88" i="1"/>
  <c r="IT88" i="1" s="1"/>
  <c r="HY89" i="1"/>
  <c r="IS89" i="1" s="1"/>
  <c r="HY91" i="1"/>
  <c r="IS91" i="1" s="1"/>
  <c r="HZ74" i="1"/>
  <c r="IU74" i="1" s="1"/>
  <c r="HZ75" i="1"/>
  <c r="IU75" i="1" s="1"/>
  <c r="HZ76" i="1"/>
  <c r="IU76" i="1" s="1"/>
  <c r="HZ77" i="1"/>
  <c r="IU77" i="1" s="1"/>
  <c r="HZ78" i="1"/>
  <c r="IU78" i="1" s="1"/>
  <c r="HZ79" i="1"/>
  <c r="IU79" i="1" s="1"/>
  <c r="HZ80" i="1"/>
  <c r="IU80" i="1" s="1"/>
  <c r="HZ81" i="1"/>
  <c r="IU81" i="1" s="1"/>
  <c r="HZ82" i="1"/>
  <c r="IU82" i="1" s="1"/>
  <c r="HZ83" i="1"/>
  <c r="IU83" i="1" s="1"/>
  <c r="HZ84" i="1"/>
  <c r="IU84" i="1" s="1"/>
  <c r="HZ85" i="1"/>
  <c r="IU85" i="1" s="1"/>
  <c r="HZ86" i="1"/>
  <c r="IU86" i="1" s="1"/>
  <c r="HZ87" i="1"/>
  <c r="IU87" i="1" s="1"/>
  <c r="HZ88" i="1"/>
  <c r="IU88" i="1" s="1"/>
  <c r="HZ89" i="1"/>
  <c r="IU89" i="1" s="1"/>
  <c r="HZ91" i="1"/>
  <c r="IU91" i="1" s="1"/>
  <c r="IA74" i="1"/>
  <c r="IH74" i="1" s="1"/>
  <c r="K74" i="1" s="1"/>
  <c r="IA75" i="1"/>
  <c r="IH75" i="1" s="1"/>
  <c r="K75" i="1" s="1"/>
  <c r="IA76" i="1"/>
  <c r="IH76" i="1" s="1"/>
  <c r="K76" i="1" s="1"/>
  <c r="IA77" i="1"/>
  <c r="IH77" i="1" s="1"/>
  <c r="K77" i="1" s="1"/>
  <c r="IA78" i="1"/>
  <c r="IH78" i="1" s="1"/>
  <c r="K78" i="1" s="1"/>
  <c r="IA79" i="1"/>
  <c r="IH79" i="1" s="1"/>
  <c r="K79" i="1" s="1"/>
  <c r="IA80" i="1"/>
  <c r="IA81" i="1"/>
  <c r="IH81" i="1" s="1"/>
  <c r="K81" i="1" s="1"/>
  <c r="IA82" i="1"/>
  <c r="IH82" i="1" s="1"/>
  <c r="K82" i="1" s="1"/>
  <c r="IA83" i="1"/>
  <c r="IH83" i="1" s="1"/>
  <c r="K83" i="1" s="1"/>
  <c r="IA84" i="1"/>
  <c r="IH84" i="1" s="1"/>
  <c r="K84" i="1" s="1"/>
  <c r="IA85" i="1"/>
  <c r="IA86" i="1"/>
  <c r="IH86" i="1" s="1"/>
  <c r="K86" i="1" s="1"/>
  <c r="IA87" i="1"/>
  <c r="IH87" i="1" s="1"/>
  <c r="K87" i="1" s="1"/>
  <c r="IA88" i="1"/>
  <c r="IH88" i="1" s="1"/>
  <c r="K88" i="1" s="1"/>
  <c r="IA89" i="1"/>
  <c r="IH89" i="1" s="1"/>
  <c r="K89" i="1" s="1"/>
  <c r="IA91" i="1"/>
  <c r="IH91" i="1" s="1"/>
  <c r="K91" i="1" s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1" i="1"/>
  <c r="IC74" i="1"/>
  <c r="IO74" i="1" s="1"/>
  <c r="W74" i="1" s="1"/>
  <c r="IC75" i="1"/>
  <c r="IO75" i="1" s="1"/>
  <c r="W75" i="1" s="1"/>
  <c r="IC76" i="1"/>
  <c r="IO76" i="1" s="1"/>
  <c r="W76" i="1" s="1"/>
  <c r="IC77" i="1"/>
  <c r="IO77" i="1" s="1"/>
  <c r="W77" i="1" s="1"/>
  <c r="IC78" i="1"/>
  <c r="IO78" i="1" s="1"/>
  <c r="W78" i="1" s="1"/>
  <c r="IC79" i="1"/>
  <c r="IO79" i="1" s="1"/>
  <c r="W79" i="1" s="1"/>
  <c r="IC80" i="1"/>
  <c r="IO80" i="1" s="1"/>
  <c r="W80" i="1" s="1"/>
  <c r="IC81" i="1"/>
  <c r="IO81" i="1" s="1"/>
  <c r="W81" i="1" s="1"/>
  <c r="IC82" i="1"/>
  <c r="IO82" i="1" s="1"/>
  <c r="W82" i="1" s="1"/>
  <c r="IC83" i="1"/>
  <c r="IO83" i="1" s="1"/>
  <c r="W83" i="1" s="1"/>
  <c r="IC84" i="1"/>
  <c r="IO84" i="1" s="1"/>
  <c r="W84" i="1" s="1"/>
  <c r="IC85" i="1"/>
  <c r="IO85" i="1" s="1"/>
  <c r="W85" i="1" s="1"/>
  <c r="IC86" i="1"/>
  <c r="IO86" i="1" s="1"/>
  <c r="W86" i="1" s="1"/>
  <c r="IC87" i="1"/>
  <c r="IO87" i="1" s="1"/>
  <c r="W87" i="1" s="1"/>
  <c r="IC88" i="1"/>
  <c r="IO88" i="1" s="1"/>
  <c r="W88" i="1" s="1"/>
  <c r="IC89" i="1"/>
  <c r="IO89" i="1" s="1"/>
  <c r="W89" i="1" s="1"/>
  <c r="IC91" i="1"/>
  <c r="IO91" i="1" s="1"/>
  <c r="W91" i="1" s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1" i="1"/>
  <c r="IF74" i="1"/>
  <c r="J74" i="1" s="1"/>
  <c r="IF75" i="1"/>
  <c r="J75" i="1" s="1"/>
  <c r="IF76" i="1"/>
  <c r="J76" i="1" s="1"/>
  <c r="IF77" i="1"/>
  <c r="J77" i="1" s="1"/>
  <c r="IF78" i="1"/>
  <c r="J78" i="1" s="1"/>
  <c r="IF79" i="1"/>
  <c r="J79" i="1" s="1"/>
  <c r="IF80" i="1"/>
  <c r="J80" i="1" s="1"/>
  <c r="IF81" i="1"/>
  <c r="J81" i="1" s="1"/>
  <c r="IF82" i="1"/>
  <c r="J82" i="1" s="1"/>
  <c r="IF83" i="1"/>
  <c r="J83" i="1" s="1"/>
  <c r="IF84" i="1"/>
  <c r="J84" i="1" s="1"/>
  <c r="IF85" i="1"/>
  <c r="J85" i="1" s="1"/>
  <c r="IF86" i="1"/>
  <c r="J86" i="1" s="1"/>
  <c r="IF87" i="1"/>
  <c r="J87" i="1" s="1"/>
  <c r="IF88" i="1"/>
  <c r="J88" i="1" s="1"/>
  <c r="IF89" i="1"/>
  <c r="J89" i="1" s="1"/>
  <c r="IF91" i="1"/>
  <c r="J91" i="1" s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1" i="1"/>
  <c r="IH80" i="1"/>
  <c r="K80" i="1" s="1"/>
  <c r="IH85" i="1"/>
  <c r="K85" i="1" s="1"/>
  <c r="NH74" i="1"/>
  <c r="NH75" i="1"/>
  <c r="NH76" i="1"/>
  <c r="NH77" i="1"/>
  <c r="NH78" i="1"/>
  <c r="NH79" i="1"/>
  <c r="NH80" i="1"/>
  <c r="NH81" i="1"/>
  <c r="NH82" i="1"/>
  <c r="NH83" i="1"/>
  <c r="NH84" i="1"/>
  <c r="NH85" i="1"/>
  <c r="NH86" i="1"/>
  <c r="NH87" i="1"/>
  <c r="NH88" i="1"/>
  <c r="NH89" i="1"/>
  <c r="NH91" i="1"/>
  <c r="NI74" i="1"/>
  <c r="NI75" i="1"/>
  <c r="NI76" i="1"/>
  <c r="NI77" i="1"/>
  <c r="NI78" i="1"/>
  <c r="NI79" i="1"/>
  <c r="NI80" i="1"/>
  <c r="NI81" i="1"/>
  <c r="NI82" i="1"/>
  <c r="NI83" i="1"/>
  <c r="NI84" i="1"/>
  <c r="NI85" i="1"/>
  <c r="NI86" i="1"/>
  <c r="NI87" i="1"/>
  <c r="NI88" i="1"/>
  <c r="NI89" i="1"/>
  <c r="NI91" i="1"/>
  <c r="NJ74" i="1"/>
  <c r="NJ75" i="1"/>
  <c r="NJ76" i="1"/>
  <c r="NJ77" i="1"/>
  <c r="NJ78" i="1"/>
  <c r="NJ79" i="1"/>
  <c r="NJ80" i="1"/>
  <c r="NJ81" i="1"/>
  <c r="NJ82" i="1"/>
  <c r="NJ83" i="1"/>
  <c r="NJ84" i="1"/>
  <c r="NJ85" i="1"/>
  <c r="NJ86" i="1"/>
  <c r="NJ87" i="1"/>
  <c r="NJ88" i="1"/>
  <c r="NJ89" i="1"/>
  <c r="NJ91" i="1"/>
  <c r="HF101" i="1"/>
  <c r="B101" i="1" s="1"/>
  <c r="HF102" i="1"/>
  <c r="B102" i="1" s="1"/>
  <c r="HF103" i="1"/>
  <c r="B103" i="1" s="1"/>
  <c r="HF104" i="1"/>
  <c r="B104" i="1" s="1"/>
  <c r="HF105" i="1"/>
  <c r="B105" i="1" s="1"/>
  <c r="HF106" i="1"/>
  <c r="B106" i="1" s="1"/>
  <c r="HF107" i="1"/>
  <c r="B107" i="1" s="1"/>
  <c r="HF108" i="1"/>
  <c r="B108" i="1" s="1"/>
  <c r="HF109" i="1"/>
  <c r="B109" i="1" s="1"/>
  <c r="HF110" i="1"/>
  <c r="B110" i="1" s="1"/>
  <c r="HF111" i="1"/>
  <c r="B111" i="1" s="1"/>
  <c r="HF112" i="1"/>
  <c r="B112" i="1" s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H101" i="1"/>
  <c r="BI101" i="1" s="1"/>
  <c r="HH102" i="1"/>
  <c r="BI102" i="1" s="1"/>
  <c r="HH103" i="1"/>
  <c r="BI103" i="1" s="1"/>
  <c r="HH104" i="1"/>
  <c r="BI104" i="1" s="1"/>
  <c r="HH105" i="1"/>
  <c r="BI105" i="1" s="1"/>
  <c r="HH106" i="1"/>
  <c r="BI106" i="1" s="1"/>
  <c r="HH107" i="1"/>
  <c r="BI107" i="1" s="1"/>
  <c r="HH108" i="1"/>
  <c r="BI108" i="1" s="1"/>
  <c r="HH109" i="1"/>
  <c r="BI109" i="1" s="1"/>
  <c r="HH110" i="1"/>
  <c r="BI110" i="1" s="1"/>
  <c r="HH111" i="1"/>
  <c r="BI111" i="1" s="1"/>
  <c r="HH112" i="1"/>
  <c r="BI112" i="1" s="1"/>
  <c r="HI101" i="1"/>
  <c r="BJ101" i="1" s="1"/>
  <c r="HI102" i="1"/>
  <c r="BJ102" i="1" s="1"/>
  <c r="HI103" i="1"/>
  <c r="BJ103" i="1" s="1"/>
  <c r="HI104" i="1"/>
  <c r="BJ104" i="1" s="1"/>
  <c r="HI105" i="1"/>
  <c r="BJ105" i="1" s="1"/>
  <c r="HI106" i="1"/>
  <c r="BJ106" i="1" s="1"/>
  <c r="HI107" i="1"/>
  <c r="BJ107" i="1" s="1"/>
  <c r="HI108" i="1"/>
  <c r="BJ108" i="1" s="1"/>
  <c r="HI109" i="1"/>
  <c r="BJ109" i="1" s="1"/>
  <c r="HI110" i="1"/>
  <c r="BJ110" i="1" s="1"/>
  <c r="HI111" i="1"/>
  <c r="BJ111" i="1" s="1"/>
  <c r="HI112" i="1"/>
  <c r="BJ112" i="1" s="1"/>
  <c r="HJ101" i="1"/>
  <c r="BK101" i="1" s="1"/>
  <c r="HJ102" i="1"/>
  <c r="BK102" i="1" s="1"/>
  <c r="HJ103" i="1"/>
  <c r="BK103" i="1" s="1"/>
  <c r="HJ104" i="1"/>
  <c r="BK104" i="1" s="1"/>
  <c r="HJ105" i="1"/>
  <c r="BK105" i="1" s="1"/>
  <c r="HJ106" i="1"/>
  <c r="BK106" i="1" s="1"/>
  <c r="HJ107" i="1"/>
  <c r="BK107" i="1" s="1"/>
  <c r="HJ108" i="1"/>
  <c r="BK108" i="1" s="1"/>
  <c r="HJ109" i="1"/>
  <c r="BK109" i="1" s="1"/>
  <c r="HJ110" i="1"/>
  <c r="BK110" i="1" s="1"/>
  <c r="HJ111" i="1"/>
  <c r="BK111" i="1" s="1"/>
  <c r="HJ112" i="1"/>
  <c r="BK112" i="1" s="1"/>
  <c r="HK101" i="1"/>
  <c r="BL101" i="1" s="1"/>
  <c r="HK102" i="1"/>
  <c r="BL102" i="1" s="1"/>
  <c r="HK103" i="1"/>
  <c r="BL103" i="1" s="1"/>
  <c r="HK104" i="1"/>
  <c r="BL104" i="1" s="1"/>
  <c r="HK105" i="1"/>
  <c r="BL105" i="1" s="1"/>
  <c r="HK106" i="1"/>
  <c r="BL106" i="1" s="1"/>
  <c r="HK107" i="1"/>
  <c r="BL107" i="1" s="1"/>
  <c r="HK108" i="1"/>
  <c r="BL108" i="1" s="1"/>
  <c r="HK109" i="1"/>
  <c r="BL109" i="1" s="1"/>
  <c r="HK110" i="1"/>
  <c r="BL110" i="1" s="1"/>
  <c r="HK111" i="1"/>
  <c r="BL111" i="1" s="1"/>
  <c r="HK112" i="1"/>
  <c r="BL112" i="1" s="1"/>
  <c r="HL101" i="1"/>
  <c r="BM101" i="1" s="1"/>
  <c r="HL102" i="1"/>
  <c r="BM102" i="1" s="1"/>
  <c r="HL103" i="1"/>
  <c r="BM103" i="1" s="1"/>
  <c r="HL104" i="1"/>
  <c r="BM104" i="1" s="1"/>
  <c r="HL105" i="1"/>
  <c r="BM105" i="1" s="1"/>
  <c r="HL106" i="1"/>
  <c r="BM106" i="1" s="1"/>
  <c r="HL107" i="1"/>
  <c r="BM107" i="1" s="1"/>
  <c r="HL108" i="1"/>
  <c r="BM108" i="1" s="1"/>
  <c r="HL109" i="1"/>
  <c r="BM109" i="1" s="1"/>
  <c r="HL110" i="1"/>
  <c r="BM110" i="1" s="1"/>
  <c r="HL111" i="1"/>
  <c r="BM111" i="1" s="1"/>
  <c r="HL112" i="1"/>
  <c r="BM112" i="1" s="1"/>
  <c r="HM101" i="1"/>
  <c r="BN101" i="1" s="1"/>
  <c r="HM102" i="1"/>
  <c r="BN102" i="1" s="1"/>
  <c r="HM103" i="1"/>
  <c r="BN103" i="1" s="1"/>
  <c r="HM104" i="1"/>
  <c r="BN104" i="1" s="1"/>
  <c r="HM105" i="1"/>
  <c r="BN105" i="1" s="1"/>
  <c r="HM106" i="1"/>
  <c r="BN106" i="1" s="1"/>
  <c r="HM107" i="1"/>
  <c r="BN107" i="1" s="1"/>
  <c r="HM108" i="1"/>
  <c r="BN108" i="1" s="1"/>
  <c r="HM109" i="1"/>
  <c r="BN109" i="1" s="1"/>
  <c r="HM110" i="1"/>
  <c r="BN110" i="1" s="1"/>
  <c r="HM111" i="1"/>
  <c r="BN111" i="1" s="1"/>
  <c r="HM112" i="1"/>
  <c r="BN112" i="1" s="1"/>
  <c r="HN101" i="1"/>
  <c r="BO101" i="1" s="1"/>
  <c r="HN102" i="1"/>
  <c r="BO102" i="1" s="1"/>
  <c r="HN103" i="1"/>
  <c r="BO103" i="1" s="1"/>
  <c r="HN104" i="1"/>
  <c r="BO104" i="1" s="1"/>
  <c r="HN105" i="1"/>
  <c r="BO105" i="1" s="1"/>
  <c r="HN106" i="1"/>
  <c r="BO106" i="1" s="1"/>
  <c r="HN107" i="1"/>
  <c r="BO107" i="1" s="1"/>
  <c r="HN108" i="1"/>
  <c r="BO108" i="1" s="1"/>
  <c r="HN109" i="1"/>
  <c r="BO109" i="1" s="1"/>
  <c r="HN110" i="1"/>
  <c r="BO110" i="1" s="1"/>
  <c r="HN111" i="1"/>
  <c r="BO111" i="1" s="1"/>
  <c r="HN112" i="1"/>
  <c r="BO112" i="1" s="1"/>
  <c r="HO101" i="1"/>
  <c r="BP101" i="1" s="1"/>
  <c r="HO102" i="1"/>
  <c r="BP102" i="1" s="1"/>
  <c r="HO103" i="1"/>
  <c r="BP103" i="1" s="1"/>
  <c r="HO104" i="1"/>
  <c r="BP104" i="1" s="1"/>
  <c r="HO105" i="1"/>
  <c r="BP105" i="1" s="1"/>
  <c r="HO106" i="1"/>
  <c r="BP106" i="1" s="1"/>
  <c r="HO107" i="1"/>
  <c r="BP107" i="1" s="1"/>
  <c r="HO108" i="1"/>
  <c r="BP108" i="1" s="1"/>
  <c r="HO109" i="1"/>
  <c r="BP109" i="1" s="1"/>
  <c r="HO110" i="1"/>
  <c r="BP110" i="1" s="1"/>
  <c r="HO111" i="1"/>
  <c r="BP111" i="1" s="1"/>
  <c r="HO112" i="1"/>
  <c r="BP112" i="1" s="1"/>
  <c r="HP101" i="1"/>
  <c r="BQ101" i="1" s="1"/>
  <c r="HP102" i="1"/>
  <c r="BQ102" i="1" s="1"/>
  <c r="HP103" i="1"/>
  <c r="BQ103" i="1" s="1"/>
  <c r="HP104" i="1"/>
  <c r="BQ104" i="1" s="1"/>
  <c r="HP105" i="1"/>
  <c r="BQ105" i="1" s="1"/>
  <c r="HP106" i="1"/>
  <c r="BQ106" i="1" s="1"/>
  <c r="HP107" i="1"/>
  <c r="BQ107" i="1" s="1"/>
  <c r="HP108" i="1"/>
  <c r="BQ108" i="1" s="1"/>
  <c r="HP109" i="1"/>
  <c r="BQ109" i="1" s="1"/>
  <c r="HP110" i="1"/>
  <c r="BQ110" i="1" s="1"/>
  <c r="HP111" i="1"/>
  <c r="BQ111" i="1" s="1"/>
  <c r="HP112" i="1"/>
  <c r="BQ112" i="1" s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R101" i="1"/>
  <c r="P101" i="1" s="1"/>
  <c r="HR102" i="1"/>
  <c r="P102" i="1" s="1"/>
  <c r="HR103" i="1"/>
  <c r="P103" i="1" s="1"/>
  <c r="HR104" i="1"/>
  <c r="P104" i="1" s="1"/>
  <c r="HR105" i="1"/>
  <c r="P105" i="1" s="1"/>
  <c r="HR106" i="1"/>
  <c r="P106" i="1" s="1"/>
  <c r="HR107" i="1"/>
  <c r="P107" i="1" s="1"/>
  <c r="HR108" i="1"/>
  <c r="P108" i="1" s="1"/>
  <c r="HR109" i="1"/>
  <c r="P109" i="1" s="1"/>
  <c r="HR110" i="1"/>
  <c r="P110" i="1" s="1"/>
  <c r="HR111" i="1"/>
  <c r="P111" i="1" s="1"/>
  <c r="HR112" i="1"/>
  <c r="P112" i="1" s="1"/>
  <c r="HS101" i="1"/>
  <c r="F101" i="1" s="1"/>
  <c r="HS102" i="1"/>
  <c r="F102" i="1" s="1"/>
  <c r="HS103" i="1"/>
  <c r="F103" i="1" s="1"/>
  <c r="HS104" i="1"/>
  <c r="F104" i="1" s="1"/>
  <c r="HS105" i="1"/>
  <c r="F105" i="1" s="1"/>
  <c r="HS106" i="1"/>
  <c r="F106" i="1" s="1"/>
  <c r="HS107" i="1"/>
  <c r="F107" i="1" s="1"/>
  <c r="HS108" i="1"/>
  <c r="F108" i="1" s="1"/>
  <c r="HS109" i="1"/>
  <c r="F109" i="1" s="1"/>
  <c r="HS110" i="1"/>
  <c r="F110" i="1" s="1"/>
  <c r="HS111" i="1"/>
  <c r="F111" i="1" s="1"/>
  <c r="HS112" i="1"/>
  <c r="F112" i="1" s="1"/>
  <c r="HT101" i="1"/>
  <c r="G101" i="1" s="1"/>
  <c r="HT102" i="1"/>
  <c r="G102" i="1" s="1"/>
  <c r="HT103" i="1"/>
  <c r="G103" i="1" s="1"/>
  <c r="HT104" i="1"/>
  <c r="G104" i="1" s="1"/>
  <c r="HT105" i="1"/>
  <c r="G105" i="1" s="1"/>
  <c r="HT106" i="1"/>
  <c r="G106" i="1" s="1"/>
  <c r="HT107" i="1"/>
  <c r="G107" i="1" s="1"/>
  <c r="HT108" i="1"/>
  <c r="G108" i="1" s="1"/>
  <c r="HT109" i="1"/>
  <c r="G109" i="1" s="1"/>
  <c r="HT110" i="1"/>
  <c r="G110" i="1" s="1"/>
  <c r="HT111" i="1"/>
  <c r="G111" i="1" s="1"/>
  <c r="HT112" i="1"/>
  <c r="G112" i="1" s="1"/>
  <c r="HU101" i="1"/>
  <c r="H101" i="1" s="1"/>
  <c r="HU102" i="1"/>
  <c r="H102" i="1" s="1"/>
  <c r="HU103" i="1"/>
  <c r="H103" i="1" s="1"/>
  <c r="HU104" i="1"/>
  <c r="H104" i="1" s="1"/>
  <c r="HU105" i="1"/>
  <c r="H105" i="1" s="1"/>
  <c r="HU106" i="1"/>
  <c r="H106" i="1" s="1"/>
  <c r="HU107" i="1"/>
  <c r="H107" i="1" s="1"/>
  <c r="HU108" i="1"/>
  <c r="H108" i="1" s="1"/>
  <c r="HU109" i="1"/>
  <c r="H109" i="1" s="1"/>
  <c r="HU110" i="1"/>
  <c r="H110" i="1" s="1"/>
  <c r="HU111" i="1"/>
  <c r="H111" i="1" s="1"/>
  <c r="HU112" i="1"/>
  <c r="H112" i="1" s="1"/>
  <c r="HV101" i="1"/>
  <c r="R101" i="1" s="1"/>
  <c r="HV102" i="1"/>
  <c r="R102" i="1" s="1"/>
  <c r="HV103" i="1"/>
  <c r="R103" i="1" s="1"/>
  <c r="HV104" i="1"/>
  <c r="R104" i="1" s="1"/>
  <c r="HV105" i="1"/>
  <c r="R105" i="1" s="1"/>
  <c r="HV106" i="1"/>
  <c r="R106" i="1" s="1"/>
  <c r="HV107" i="1"/>
  <c r="R107" i="1" s="1"/>
  <c r="HV108" i="1"/>
  <c r="R108" i="1" s="1"/>
  <c r="HV109" i="1"/>
  <c r="R109" i="1" s="1"/>
  <c r="HV110" i="1"/>
  <c r="R110" i="1" s="1"/>
  <c r="HV111" i="1"/>
  <c r="R111" i="1" s="1"/>
  <c r="HV112" i="1"/>
  <c r="R112" i="1" s="1"/>
  <c r="HW101" i="1"/>
  <c r="S101" i="1" s="1"/>
  <c r="HW102" i="1"/>
  <c r="S102" i="1" s="1"/>
  <c r="HW103" i="1"/>
  <c r="S103" i="1" s="1"/>
  <c r="HW104" i="1"/>
  <c r="S104" i="1" s="1"/>
  <c r="HW105" i="1"/>
  <c r="S105" i="1" s="1"/>
  <c r="HW106" i="1"/>
  <c r="S106" i="1" s="1"/>
  <c r="HW107" i="1"/>
  <c r="S107" i="1" s="1"/>
  <c r="HW108" i="1"/>
  <c r="S108" i="1" s="1"/>
  <c r="HW109" i="1"/>
  <c r="S109" i="1" s="1"/>
  <c r="HW110" i="1"/>
  <c r="S110" i="1" s="1"/>
  <c r="HW111" i="1"/>
  <c r="S111" i="1" s="1"/>
  <c r="HW112" i="1"/>
  <c r="S112" i="1" s="1"/>
  <c r="HX101" i="1"/>
  <c r="T101" i="1" s="1"/>
  <c r="HX102" i="1"/>
  <c r="T102" i="1" s="1"/>
  <c r="HX103" i="1"/>
  <c r="T103" i="1" s="1"/>
  <c r="HX104" i="1"/>
  <c r="T104" i="1" s="1"/>
  <c r="HX105" i="1"/>
  <c r="T105" i="1" s="1"/>
  <c r="HX106" i="1"/>
  <c r="T106" i="1" s="1"/>
  <c r="HX107" i="1"/>
  <c r="T107" i="1" s="1"/>
  <c r="HX108" i="1"/>
  <c r="T108" i="1" s="1"/>
  <c r="HX109" i="1"/>
  <c r="T109" i="1" s="1"/>
  <c r="HX110" i="1"/>
  <c r="T110" i="1" s="1"/>
  <c r="HX111" i="1"/>
  <c r="T111" i="1" s="1"/>
  <c r="HX112" i="1"/>
  <c r="T112" i="1" s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Z101" i="1"/>
  <c r="HZ102" i="1"/>
  <c r="HZ103" i="1"/>
  <c r="HZ104" i="1"/>
  <c r="HZ105" i="1"/>
  <c r="HZ106" i="1"/>
  <c r="HZ107" i="1"/>
  <c r="HZ108" i="1"/>
  <c r="IU108" i="1" s="1"/>
  <c r="HZ109" i="1"/>
  <c r="HZ110" i="1"/>
  <c r="IU110" i="1" s="1"/>
  <c r="HZ111" i="1"/>
  <c r="HZ112" i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F101" i="1"/>
  <c r="J101" i="1" s="1"/>
  <c r="IF102" i="1"/>
  <c r="J102" i="1" s="1"/>
  <c r="IF103" i="1"/>
  <c r="J103" i="1" s="1"/>
  <c r="IF104" i="1"/>
  <c r="J104" i="1" s="1"/>
  <c r="IF105" i="1"/>
  <c r="J105" i="1" s="1"/>
  <c r="IF106" i="1"/>
  <c r="J106" i="1" s="1"/>
  <c r="IF107" i="1"/>
  <c r="J107" i="1" s="1"/>
  <c r="IF108" i="1"/>
  <c r="J108" i="1" s="1"/>
  <c r="IF109" i="1"/>
  <c r="J109" i="1" s="1"/>
  <c r="IF110" i="1"/>
  <c r="J110" i="1" s="1"/>
  <c r="IF111" i="1"/>
  <c r="J111" i="1" s="1"/>
  <c r="IF112" i="1"/>
  <c r="J112" i="1" s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H101" i="1"/>
  <c r="K101" i="1" s="1"/>
  <c r="IH102" i="1"/>
  <c r="K102" i="1" s="1"/>
  <c r="IH103" i="1"/>
  <c r="K103" i="1" s="1"/>
  <c r="IH104" i="1"/>
  <c r="K104" i="1" s="1"/>
  <c r="IH105" i="1"/>
  <c r="K105" i="1" s="1"/>
  <c r="IH106" i="1"/>
  <c r="K106" i="1" s="1"/>
  <c r="IH107" i="1"/>
  <c r="K107" i="1" s="1"/>
  <c r="IH108" i="1"/>
  <c r="K108" i="1" s="1"/>
  <c r="IH109" i="1"/>
  <c r="K109" i="1" s="1"/>
  <c r="IH110" i="1"/>
  <c r="K110" i="1" s="1"/>
  <c r="IH111" i="1"/>
  <c r="K111" i="1" s="1"/>
  <c r="IH112" i="1"/>
  <c r="K112" i="1" s="1"/>
  <c r="IO101" i="1"/>
  <c r="W101" i="1" s="1"/>
  <c r="IO102" i="1"/>
  <c r="W102" i="1" s="1"/>
  <c r="IO103" i="1"/>
  <c r="W103" i="1" s="1"/>
  <c r="IO104" i="1"/>
  <c r="W104" i="1" s="1"/>
  <c r="IO105" i="1"/>
  <c r="W105" i="1" s="1"/>
  <c r="IO106" i="1"/>
  <c r="W106" i="1" s="1"/>
  <c r="IO107" i="1"/>
  <c r="W107" i="1" s="1"/>
  <c r="IO108" i="1"/>
  <c r="W108" i="1" s="1"/>
  <c r="IO109" i="1"/>
  <c r="W109" i="1" s="1"/>
  <c r="IO110" i="1"/>
  <c r="W110" i="1" s="1"/>
  <c r="IO111" i="1"/>
  <c r="W111" i="1" s="1"/>
  <c r="IO112" i="1"/>
  <c r="W112" i="1" s="1"/>
  <c r="IS101" i="1"/>
  <c r="IS102" i="1"/>
  <c r="IS103" i="1"/>
  <c r="IS104" i="1"/>
  <c r="IS105" i="1"/>
  <c r="IS106" i="1"/>
  <c r="IS107" i="1"/>
  <c r="IS108" i="1"/>
  <c r="IS109" i="1"/>
  <c r="IS110" i="1"/>
  <c r="IS111" i="1"/>
  <c r="IS112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U101" i="1"/>
  <c r="IU102" i="1"/>
  <c r="IU103" i="1"/>
  <c r="IU104" i="1"/>
  <c r="IU105" i="1"/>
  <c r="IU106" i="1"/>
  <c r="IU107" i="1"/>
  <c r="IU109" i="1"/>
  <c r="IU111" i="1"/>
  <c r="IU112" i="1"/>
  <c r="IV101" i="1"/>
  <c r="IV103" i="1"/>
  <c r="IV104" i="1"/>
  <c r="IV105" i="1"/>
  <c r="IV107" i="1"/>
  <c r="IV108" i="1"/>
  <c r="IV109" i="1"/>
  <c r="IV111" i="1"/>
  <c r="IV112" i="1"/>
  <c r="NH101" i="1"/>
  <c r="NH102" i="1"/>
  <c r="NH103" i="1"/>
  <c r="NH104" i="1"/>
  <c r="NH105" i="1"/>
  <c r="NH106" i="1"/>
  <c r="NH107" i="1"/>
  <c r="NH108" i="1"/>
  <c r="NH109" i="1"/>
  <c r="NH110" i="1"/>
  <c r="NH111" i="1"/>
  <c r="NH112" i="1"/>
  <c r="NI101" i="1"/>
  <c r="NI102" i="1"/>
  <c r="NI103" i="1"/>
  <c r="NI104" i="1"/>
  <c r="NI105" i="1"/>
  <c r="NI106" i="1"/>
  <c r="NI107" i="1"/>
  <c r="NI108" i="1"/>
  <c r="NI109" i="1"/>
  <c r="NI110" i="1"/>
  <c r="NI111" i="1"/>
  <c r="NI112" i="1"/>
  <c r="NJ101" i="1"/>
  <c r="NJ102" i="1"/>
  <c r="NJ103" i="1"/>
  <c r="NJ104" i="1"/>
  <c r="NJ105" i="1"/>
  <c r="NJ106" i="1"/>
  <c r="NJ107" i="1"/>
  <c r="NJ108" i="1"/>
  <c r="NJ109" i="1"/>
  <c r="NJ110" i="1"/>
  <c r="NJ111" i="1"/>
  <c r="NJ112" i="1"/>
  <c r="HF114" i="1"/>
  <c r="B114" i="1" s="1"/>
  <c r="HF115" i="1"/>
  <c r="B115" i="1" s="1"/>
  <c r="HF116" i="1"/>
  <c r="B116" i="1" s="1"/>
  <c r="HF117" i="1"/>
  <c r="B117" i="1" s="1"/>
  <c r="HG114" i="1"/>
  <c r="HG115" i="1"/>
  <c r="HG116" i="1"/>
  <c r="HG117" i="1"/>
  <c r="HH114" i="1"/>
  <c r="BI114" i="1" s="1"/>
  <c r="HH115" i="1"/>
  <c r="BI115" i="1" s="1"/>
  <c r="HH116" i="1"/>
  <c r="BI116" i="1" s="1"/>
  <c r="HH117" i="1"/>
  <c r="BI117" i="1" s="1"/>
  <c r="HI114" i="1"/>
  <c r="BJ114" i="1" s="1"/>
  <c r="HI115" i="1"/>
  <c r="BJ115" i="1" s="1"/>
  <c r="HI116" i="1"/>
  <c r="BJ116" i="1" s="1"/>
  <c r="HI117" i="1"/>
  <c r="BJ117" i="1" s="1"/>
  <c r="HJ114" i="1"/>
  <c r="BK114" i="1" s="1"/>
  <c r="HJ115" i="1"/>
  <c r="BK115" i="1" s="1"/>
  <c r="HJ116" i="1"/>
  <c r="BK116" i="1" s="1"/>
  <c r="HJ117" i="1"/>
  <c r="BK117" i="1" s="1"/>
  <c r="HK114" i="1"/>
  <c r="BL114" i="1" s="1"/>
  <c r="HK115" i="1"/>
  <c r="BL115" i="1" s="1"/>
  <c r="HK116" i="1"/>
  <c r="BL116" i="1" s="1"/>
  <c r="HK117" i="1"/>
  <c r="BL117" i="1" s="1"/>
  <c r="HL114" i="1"/>
  <c r="BM114" i="1" s="1"/>
  <c r="HL115" i="1"/>
  <c r="BM115" i="1" s="1"/>
  <c r="HL116" i="1"/>
  <c r="BM116" i="1" s="1"/>
  <c r="HL117" i="1"/>
  <c r="BM117" i="1" s="1"/>
  <c r="HM114" i="1"/>
  <c r="BN114" i="1" s="1"/>
  <c r="HM115" i="1"/>
  <c r="BN115" i="1" s="1"/>
  <c r="HM116" i="1"/>
  <c r="BN116" i="1" s="1"/>
  <c r="HM117" i="1"/>
  <c r="BN117" i="1" s="1"/>
  <c r="HN114" i="1"/>
  <c r="BO114" i="1" s="1"/>
  <c r="HN115" i="1"/>
  <c r="BO115" i="1" s="1"/>
  <c r="HN116" i="1"/>
  <c r="BO116" i="1" s="1"/>
  <c r="HN117" i="1"/>
  <c r="BO117" i="1" s="1"/>
  <c r="HO114" i="1"/>
  <c r="BP114" i="1" s="1"/>
  <c r="HO115" i="1"/>
  <c r="BP115" i="1" s="1"/>
  <c r="HO116" i="1"/>
  <c r="BP116" i="1" s="1"/>
  <c r="HO117" i="1"/>
  <c r="BP117" i="1" s="1"/>
  <c r="HP114" i="1"/>
  <c r="BQ114" i="1" s="1"/>
  <c r="HP115" i="1"/>
  <c r="BQ115" i="1" s="1"/>
  <c r="HP116" i="1"/>
  <c r="BQ116" i="1" s="1"/>
  <c r="HP117" i="1"/>
  <c r="BQ117" i="1" s="1"/>
  <c r="HQ114" i="1"/>
  <c r="HQ115" i="1"/>
  <c r="HQ116" i="1"/>
  <c r="HQ117" i="1"/>
  <c r="HR114" i="1"/>
  <c r="P114" i="1" s="1"/>
  <c r="HR115" i="1"/>
  <c r="P115" i="1" s="1"/>
  <c r="HR116" i="1"/>
  <c r="P116" i="1" s="1"/>
  <c r="HR117" i="1"/>
  <c r="P117" i="1" s="1"/>
  <c r="HS114" i="1"/>
  <c r="F114" i="1" s="1"/>
  <c r="HS115" i="1"/>
  <c r="F115" i="1" s="1"/>
  <c r="HS116" i="1"/>
  <c r="F116" i="1" s="1"/>
  <c r="HS117" i="1"/>
  <c r="F117" i="1" s="1"/>
  <c r="HT114" i="1"/>
  <c r="G114" i="1" s="1"/>
  <c r="HT115" i="1"/>
  <c r="G115" i="1" s="1"/>
  <c r="HT116" i="1"/>
  <c r="G116" i="1" s="1"/>
  <c r="HT117" i="1"/>
  <c r="G117" i="1" s="1"/>
  <c r="HU114" i="1"/>
  <c r="H114" i="1" s="1"/>
  <c r="HU115" i="1"/>
  <c r="H115" i="1" s="1"/>
  <c r="HU116" i="1"/>
  <c r="H116" i="1" s="1"/>
  <c r="HU117" i="1"/>
  <c r="H117" i="1" s="1"/>
  <c r="HV114" i="1"/>
  <c r="R114" i="1" s="1"/>
  <c r="HV115" i="1"/>
  <c r="R115" i="1" s="1"/>
  <c r="HV116" i="1"/>
  <c r="R116" i="1" s="1"/>
  <c r="HV117" i="1"/>
  <c r="R117" i="1" s="1"/>
  <c r="HW114" i="1"/>
  <c r="S114" i="1" s="1"/>
  <c r="HW115" i="1"/>
  <c r="S115" i="1" s="1"/>
  <c r="HW116" i="1"/>
  <c r="S116" i="1" s="1"/>
  <c r="HW117" i="1"/>
  <c r="S117" i="1" s="1"/>
  <c r="HX114" i="1"/>
  <c r="T114" i="1" s="1"/>
  <c r="HX115" i="1"/>
  <c r="T115" i="1" s="1"/>
  <c r="HX116" i="1"/>
  <c r="T116" i="1" s="1"/>
  <c r="HX117" i="1"/>
  <c r="T117" i="1" s="1"/>
  <c r="HY114" i="1"/>
  <c r="IT114" i="1" s="1"/>
  <c r="HY115" i="1"/>
  <c r="IT115" i="1" s="1"/>
  <c r="HY116" i="1"/>
  <c r="IS116" i="1" s="1"/>
  <c r="HY117" i="1"/>
  <c r="IS117" i="1" s="1"/>
  <c r="HZ114" i="1"/>
  <c r="IU114" i="1" s="1"/>
  <c r="HZ115" i="1"/>
  <c r="IU115" i="1" s="1"/>
  <c r="HZ116" i="1"/>
  <c r="IU116" i="1" s="1"/>
  <c r="HZ117" i="1"/>
  <c r="IU117" i="1" s="1"/>
  <c r="IA114" i="1"/>
  <c r="IA115" i="1"/>
  <c r="IA116" i="1"/>
  <c r="IH116" i="1" s="1"/>
  <c r="K116" i="1" s="1"/>
  <c r="IA117" i="1"/>
  <c r="IH117" i="1" s="1"/>
  <c r="K117" i="1" s="1"/>
  <c r="IB114" i="1"/>
  <c r="IB115" i="1"/>
  <c r="IB116" i="1"/>
  <c r="IB117" i="1"/>
  <c r="IC114" i="1"/>
  <c r="IO114" i="1" s="1"/>
  <c r="W114" i="1" s="1"/>
  <c r="IC115" i="1"/>
  <c r="IO115" i="1" s="1"/>
  <c r="W115" i="1" s="1"/>
  <c r="IC116" i="1"/>
  <c r="IO116" i="1" s="1"/>
  <c r="W116" i="1" s="1"/>
  <c r="IC117" i="1"/>
  <c r="IO117" i="1" s="1"/>
  <c r="W117" i="1" s="1"/>
  <c r="IE114" i="1"/>
  <c r="IE115" i="1"/>
  <c r="IE116" i="1"/>
  <c r="IE117" i="1"/>
  <c r="IF114" i="1"/>
  <c r="J114" i="1" s="1"/>
  <c r="IF115" i="1"/>
  <c r="J115" i="1" s="1"/>
  <c r="IF116" i="1"/>
  <c r="J116" i="1" s="1"/>
  <c r="IF117" i="1"/>
  <c r="J117" i="1" s="1"/>
  <c r="IG114" i="1"/>
  <c r="IG115" i="1"/>
  <c r="IG116" i="1"/>
  <c r="IG117" i="1"/>
  <c r="IH114" i="1"/>
  <c r="K114" i="1" s="1"/>
  <c r="IH115" i="1"/>
  <c r="K115" i="1" s="1"/>
  <c r="IS114" i="1"/>
  <c r="NH114" i="1"/>
  <c r="NH115" i="1"/>
  <c r="NH116" i="1"/>
  <c r="NH117" i="1"/>
  <c r="NI114" i="1"/>
  <c r="NI115" i="1"/>
  <c r="NI116" i="1"/>
  <c r="NI117" i="1"/>
  <c r="NJ114" i="1"/>
  <c r="NJ115" i="1"/>
  <c r="NJ116" i="1"/>
  <c r="NJ117" i="1"/>
  <c r="HF93" i="1"/>
  <c r="B93" i="1" s="1"/>
  <c r="HF94" i="1"/>
  <c r="B94" i="1" s="1"/>
  <c r="HF95" i="1"/>
  <c r="B95" i="1" s="1"/>
  <c r="HF96" i="1"/>
  <c r="B96" i="1" s="1"/>
  <c r="HG93" i="1"/>
  <c r="HG94" i="1"/>
  <c r="HG95" i="1"/>
  <c r="HG96" i="1"/>
  <c r="HH93" i="1"/>
  <c r="BI93" i="1" s="1"/>
  <c r="HH94" i="1"/>
  <c r="BI94" i="1" s="1"/>
  <c r="HH95" i="1"/>
  <c r="BI95" i="1" s="1"/>
  <c r="HH96" i="1"/>
  <c r="BI96" i="1" s="1"/>
  <c r="HI93" i="1"/>
  <c r="BJ93" i="1" s="1"/>
  <c r="HI94" i="1"/>
  <c r="BJ94" i="1" s="1"/>
  <c r="HI95" i="1"/>
  <c r="BJ95" i="1" s="1"/>
  <c r="HI96" i="1"/>
  <c r="BJ96" i="1" s="1"/>
  <c r="HJ93" i="1"/>
  <c r="BK93" i="1" s="1"/>
  <c r="HJ94" i="1"/>
  <c r="BK94" i="1" s="1"/>
  <c r="HJ95" i="1"/>
  <c r="BK95" i="1" s="1"/>
  <c r="HJ96" i="1"/>
  <c r="BK96" i="1" s="1"/>
  <c r="HK93" i="1"/>
  <c r="BL93" i="1" s="1"/>
  <c r="HK94" i="1"/>
  <c r="BL94" i="1" s="1"/>
  <c r="HK95" i="1"/>
  <c r="BL95" i="1" s="1"/>
  <c r="HK96" i="1"/>
  <c r="BL96" i="1" s="1"/>
  <c r="HL93" i="1"/>
  <c r="BM93" i="1" s="1"/>
  <c r="HL94" i="1"/>
  <c r="BM94" i="1" s="1"/>
  <c r="HL95" i="1"/>
  <c r="BM95" i="1" s="1"/>
  <c r="HL96" i="1"/>
  <c r="BM96" i="1" s="1"/>
  <c r="HM93" i="1"/>
  <c r="BN93" i="1" s="1"/>
  <c r="HM94" i="1"/>
  <c r="BN94" i="1" s="1"/>
  <c r="HM95" i="1"/>
  <c r="BN95" i="1" s="1"/>
  <c r="HM96" i="1"/>
  <c r="BN96" i="1" s="1"/>
  <c r="HN93" i="1"/>
  <c r="BO93" i="1" s="1"/>
  <c r="HN94" i="1"/>
  <c r="BO94" i="1" s="1"/>
  <c r="HN95" i="1"/>
  <c r="BO95" i="1" s="1"/>
  <c r="HN96" i="1"/>
  <c r="BO96" i="1" s="1"/>
  <c r="HO93" i="1"/>
  <c r="BP93" i="1" s="1"/>
  <c r="HO94" i="1"/>
  <c r="BP94" i="1" s="1"/>
  <c r="HO95" i="1"/>
  <c r="BP95" i="1" s="1"/>
  <c r="HO96" i="1"/>
  <c r="BP96" i="1" s="1"/>
  <c r="HP93" i="1"/>
  <c r="BQ93" i="1" s="1"/>
  <c r="HP94" i="1"/>
  <c r="BQ94" i="1" s="1"/>
  <c r="HP95" i="1"/>
  <c r="BQ95" i="1" s="1"/>
  <c r="HP96" i="1"/>
  <c r="BQ96" i="1" s="1"/>
  <c r="HQ93" i="1"/>
  <c r="HQ94" i="1"/>
  <c r="HQ95" i="1"/>
  <c r="HQ96" i="1"/>
  <c r="HR93" i="1"/>
  <c r="P93" i="1" s="1"/>
  <c r="HR94" i="1"/>
  <c r="P94" i="1" s="1"/>
  <c r="HR95" i="1"/>
  <c r="P95" i="1" s="1"/>
  <c r="HR96" i="1"/>
  <c r="P96" i="1" s="1"/>
  <c r="HS93" i="1"/>
  <c r="F93" i="1" s="1"/>
  <c r="HS94" i="1"/>
  <c r="F94" i="1" s="1"/>
  <c r="HS95" i="1"/>
  <c r="F95" i="1" s="1"/>
  <c r="HS96" i="1"/>
  <c r="F96" i="1" s="1"/>
  <c r="HT93" i="1"/>
  <c r="G93" i="1" s="1"/>
  <c r="HT94" i="1"/>
  <c r="G94" i="1" s="1"/>
  <c r="HT95" i="1"/>
  <c r="G95" i="1" s="1"/>
  <c r="HT96" i="1"/>
  <c r="G96" i="1" s="1"/>
  <c r="HU93" i="1"/>
  <c r="H93" i="1" s="1"/>
  <c r="HU94" i="1"/>
  <c r="H94" i="1" s="1"/>
  <c r="HU95" i="1"/>
  <c r="H95" i="1" s="1"/>
  <c r="HU96" i="1"/>
  <c r="H96" i="1" s="1"/>
  <c r="HV93" i="1"/>
  <c r="R93" i="1" s="1"/>
  <c r="HV94" i="1"/>
  <c r="R94" i="1" s="1"/>
  <c r="HV95" i="1"/>
  <c r="R95" i="1" s="1"/>
  <c r="HV96" i="1"/>
  <c r="R96" i="1" s="1"/>
  <c r="HW93" i="1"/>
  <c r="S93" i="1" s="1"/>
  <c r="HW94" i="1"/>
  <c r="S94" i="1" s="1"/>
  <c r="HW95" i="1"/>
  <c r="S95" i="1" s="1"/>
  <c r="HW96" i="1"/>
  <c r="S96" i="1" s="1"/>
  <c r="HX93" i="1"/>
  <c r="T93" i="1" s="1"/>
  <c r="HX94" i="1"/>
  <c r="T94" i="1" s="1"/>
  <c r="HX95" i="1"/>
  <c r="T95" i="1" s="1"/>
  <c r="HX96" i="1"/>
  <c r="T96" i="1" s="1"/>
  <c r="HY93" i="1"/>
  <c r="IT93" i="1" s="1"/>
  <c r="HY94" i="1"/>
  <c r="IS94" i="1" s="1"/>
  <c r="HY95" i="1"/>
  <c r="IS95" i="1" s="1"/>
  <c r="HY96" i="1"/>
  <c r="IS96" i="1" s="1"/>
  <c r="HZ93" i="1"/>
  <c r="IU93" i="1" s="1"/>
  <c r="HZ94" i="1"/>
  <c r="IU94" i="1" s="1"/>
  <c r="HZ95" i="1"/>
  <c r="IU95" i="1" s="1"/>
  <c r="HZ96" i="1"/>
  <c r="IU96" i="1" s="1"/>
  <c r="IA93" i="1"/>
  <c r="IA94" i="1"/>
  <c r="IA95" i="1"/>
  <c r="IH95" i="1" s="1"/>
  <c r="K95" i="1" s="1"/>
  <c r="IA96" i="1"/>
  <c r="IH96" i="1" s="1"/>
  <c r="K96" i="1" s="1"/>
  <c r="IB93" i="1"/>
  <c r="IB94" i="1"/>
  <c r="IB95" i="1"/>
  <c r="IB96" i="1"/>
  <c r="IC93" i="1"/>
  <c r="IO93" i="1" s="1"/>
  <c r="W93" i="1" s="1"/>
  <c r="IC94" i="1"/>
  <c r="IO94" i="1" s="1"/>
  <c r="W94" i="1" s="1"/>
  <c r="IC95" i="1"/>
  <c r="IO95" i="1" s="1"/>
  <c r="W95" i="1" s="1"/>
  <c r="IC96" i="1"/>
  <c r="IO96" i="1" s="1"/>
  <c r="W96" i="1" s="1"/>
  <c r="IE93" i="1"/>
  <c r="IE94" i="1"/>
  <c r="IE95" i="1"/>
  <c r="IE96" i="1"/>
  <c r="IF93" i="1"/>
  <c r="J93" i="1" s="1"/>
  <c r="IF94" i="1"/>
  <c r="J94" i="1" s="1"/>
  <c r="IF95" i="1"/>
  <c r="J95" i="1" s="1"/>
  <c r="IF96" i="1"/>
  <c r="J96" i="1" s="1"/>
  <c r="IG93" i="1"/>
  <c r="IG94" i="1"/>
  <c r="IG95" i="1"/>
  <c r="IG96" i="1"/>
  <c r="IH93" i="1"/>
  <c r="K93" i="1" s="1"/>
  <c r="IH94" i="1"/>
  <c r="K94" i="1" s="1"/>
  <c r="NH93" i="1"/>
  <c r="NH94" i="1"/>
  <c r="NH95" i="1"/>
  <c r="NH96" i="1"/>
  <c r="NI93" i="1"/>
  <c r="NI94" i="1"/>
  <c r="NI95" i="1"/>
  <c r="NI96" i="1"/>
  <c r="NJ93" i="1"/>
  <c r="NJ94" i="1"/>
  <c r="NJ95" i="1"/>
  <c r="NJ96" i="1"/>
  <c r="HF121" i="1"/>
  <c r="B121" i="1" s="1"/>
  <c r="HG121" i="1"/>
  <c r="BH121" i="1" s="1"/>
  <c r="HH121" i="1"/>
  <c r="BI121" i="1" s="1"/>
  <c r="HI121" i="1"/>
  <c r="BJ121" i="1" s="1"/>
  <c r="HJ121" i="1"/>
  <c r="BK121" i="1" s="1"/>
  <c r="HK121" i="1"/>
  <c r="BL121" i="1" s="1"/>
  <c r="HL121" i="1"/>
  <c r="BM121" i="1" s="1"/>
  <c r="HM121" i="1"/>
  <c r="BN121" i="1" s="1"/>
  <c r="HN121" i="1"/>
  <c r="BO121" i="1" s="1"/>
  <c r="HO121" i="1"/>
  <c r="BP121" i="1" s="1"/>
  <c r="HP121" i="1"/>
  <c r="BQ121" i="1" s="1"/>
  <c r="HQ121" i="1"/>
  <c r="HR121" i="1"/>
  <c r="P121" i="1" s="1"/>
  <c r="HS121" i="1"/>
  <c r="F121" i="1" s="1"/>
  <c r="HT121" i="1"/>
  <c r="G121" i="1" s="1"/>
  <c r="HU121" i="1"/>
  <c r="H121" i="1" s="1"/>
  <c r="HV121" i="1"/>
  <c r="R121" i="1" s="1"/>
  <c r="HW121" i="1"/>
  <c r="S121" i="1" s="1"/>
  <c r="HX121" i="1"/>
  <c r="T121" i="1" s="1"/>
  <c r="HY121" i="1"/>
  <c r="IS121" i="1" s="1"/>
  <c r="HZ121" i="1"/>
  <c r="IU121" i="1" s="1"/>
  <c r="IA121" i="1"/>
  <c r="IH121" i="1" s="1"/>
  <c r="K121" i="1" s="1"/>
  <c r="IB121" i="1"/>
  <c r="IC121" i="1"/>
  <c r="IO121" i="1" s="1"/>
  <c r="W121" i="1" s="1"/>
  <c r="IE121" i="1"/>
  <c r="IF121" i="1"/>
  <c r="J121" i="1" s="1"/>
  <c r="IG121" i="1"/>
  <c r="NH121" i="1"/>
  <c r="NI121" i="1"/>
  <c r="NJ121" i="1"/>
  <c r="HF119" i="1"/>
  <c r="B119" i="1" s="1"/>
  <c r="HF120" i="1"/>
  <c r="B120" i="1" s="1"/>
  <c r="HF122" i="1"/>
  <c r="B122" i="1" s="1"/>
  <c r="HG119" i="1"/>
  <c r="BH119" i="1" s="1"/>
  <c r="HG120" i="1"/>
  <c r="HG122" i="1"/>
  <c r="HH119" i="1"/>
  <c r="BI119" i="1" s="1"/>
  <c r="HH120" i="1"/>
  <c r="BI120" i="1" s="1"/>
  <c r="HH122" i="1"/>
  <c r="BI122" i="1" s="1"/>
  <c r="HI119" i="1"/>
  <c r="BJ119" i="1" s="1"/>
  <c r="HI120" i="1"/>
  <c r="BJ120" i="1" s="1"/>
  <c r="HI122" i="1"/>
  <c r="BJ122" i="1" s="1"/>
  <c r="HJ119" i="1"/>
  <c r="BK119" i="1" s="1"/>
  <c r="HJ120" i="1"/>
  <c r="BK120" i="1" s="1"/>
  <c r="HJ122" i="1"/>
  <c r="BK122" i="1" s="1"/>
  <c r="HK119" i="1"/>
  <c r="BL119" i="1" s="1"/>
  <c r="HK120" i="1"/>
  <c r="BL120" i="1" s="1"/>
  <c r="HK122" i="1"/>
  <c r="BL122" i="1" s="1"/>
  <c r="HL119" i="1"/>
  <c r="BM119" i="1" s="1"/>
  <c r="HL120" i="1"/>
  <c r="BM120" i="1" s="1"/>
  <c r="HL122" i="1"/>
  <c r="BM122" i="1" s="1"/>
  <c r="HM119" i="1"/>
  <c r="BN119" i="1" s="1"/>
  <c r="HM120" i="1"/>
  <c r="BN120" i="1" s="1"/>
  <c r="HM122" i="1"/>
  <c r="BN122" i="1" s="1"/>
  <c r="HN119" i="1"/>
  <c r="BO119" i="1" s="1"/>
  <c r="HN120" i="1"/>
  <c r="BO120" i="1" s="1"/>
  <c r="HN122" i="1"/>
  <c r="BO122" i="1" s="1"/>
  <c r="HO119" i="1"/>
  <c r="BP119" i="1" s="1"/>
  <c r="HO120" i="1"/>
  <c r="BP120" i="1" s="1"/>
  <c r="HO122" i="1"/>
  <c r="BP122" i="1" s="1"/>
  <c r="HP119" i="1"/>
  <c r="BQ119" i="1" s="1"/>
  <c r="HP120" i="1"/>
  <c r="BQ120" i="1" s="1"/>
  <c r="HP122" i="1"/>
  <c r="BQ122" i="1" s="1"/>
  <c r="HQ119" i="1"/>
  <c r="HQ120" i="1"/>
  <c r="HQ122" i="1"/>
  <c r="HR119" i="1"/>
  <c r="P119" i="1" s="1"/>
  <c r="HR120" i="1"/>
  <c r="P120" i="1" s="1"/>
  <c r="HR122" i="1"/>
  <c r="P122" i="1" s="1"/>
  <c r="HS119" i="1"/>
  <c r="F119" i="1" s="1"/>
  <c r="HS120" i="1"/>
  <c r="F120" i="1" s="1"/>
  <c r="HS122" i="1"/>
  <c r="F122" i="1" s="1"/>
  <c r="HT119" i="1"/>
  <c r="G119" i="1" s="1"/>
  <c r="HT120" i="1"/>
  <c r="G120" i="1" s="1"/>
  <c r="HT122" i="1"/>
  <c r="G122" i="1" s="1"/>
  <c r="HU119" i="1"/>
  <c r="H119" i="1" s="1"/>
  <c r="HU120" i="1"/>
  <c r="H120" i="1" s="1"/>
  <c r="HU122" i="1"/>
  <c r="H122" i="1" s="1"/>
  <c r="HV119" i="1"/>
  <c r="R119" i="1" s="1"/>
  <c r="HV120" i="1"/>
  <c r="R120" i="1" s="1"/>
  <c r="HV122" i="1"/>
  <c r="R122" i="1" s="1"/>
  <c r="HW119" i="1"/>
  <c r="S119" i="1" s="1"/>
  <c r="HW120" i="1"/>
  <c r="S120" i="1" s="1"/>
  <c r="HW122" i="1"/>
  <c r="S122" i="1" s="1"/>
  <c r="HX119" i="1"/>
  <c r="T119" i="1" s="1"/>
  <c r="HX120" i="1"/>
  <c r="T120" i="1" s="1"/>
  <c r="HX122" i="1"/>
  <c r="T122" i="1" s="1"/>
  <c r="HY119" i="1"/>
  <c r="IS119" i="1" s="1"/>
  <c r="HY120" i="1"/>
  <c r="IS120" i="1" s="1"/>
  <c r="HY122" i="1"/>
  <c r="IS122" i="1" s="1"/>
  <c r="HZ119" i="1"/>
  <c r="IU119" i="1" s="1"/>
  <c r="HZ120" i="1"/>
  <c r="IU120" i="1" s="1"/>
  <c r="HZ122" i="1"/>
  <c r="IU122" i="1" s="1"/>
  <c r="IA119" i="1"/>
  <c r="IH119" i="1" s="1"/>
  <c r="K119" i="1" s="1"/>
  <c r="IA120" i="1"/>
  <c r="IH120" i="1" s="1"/>
  <c r="K120" i="1" s="1"/>
  <c r="IA122" i="1"/>
  <c r="IH122" i="1" s="1"/>
  <c r="K122" i="1" s="1"/>
  <c r="IB119" i="1"/>
  <c r="IB120" i="1"/>
  <c r="IB122" i="1"/>
  <c r="IC119" i="1"/>
  <c r="IO119" i="1" s="1"/>
  <c r="W119" i="1" s="1"/>
  <c r="IC120" i="1"/>
  <c r="IO120" i="1" s="1"/>
  <c r="W120" i="1" s="1"/>
  <c r="IC122" i="1"/>
  <c r="IO122" i="1" s="1"/>
  <c r="W122" i="1" s="1"/>
  <c r="IE119" i="1"/>
  <c r="IE120" i="1"/>
  <c r="IE122" i="1"/>
  <c r="IF119" i="1"/>
  <c r="J119" i="1" s="1"/>
  <c r="IF120" i="1"/>
  <c r="J120" i="1" s="1"/>
  <c r="IF122" i="1"/>
  <c r="J122" i="1" s="1"/>
  <c r="IG119" i="1"/>
  <c r="IG120" i="1"/>
  <c r="IG122" i="1"/>
  <c r="NH119" i="1"/>
  <c r="NH120" i="1"/>
  <c r="NH122" i="1"/>
  <c r="NI119" i="1"/>
  <c r="NI120" i="1"/>
  <c r="NI122" i="1"/>
  <c r="NJ119" i="1"/>
  <c r="NJ120" i="1"/>
  <c r="NJ122" i="1"/>
  <c r="JQ141" i="1"/>
  <c r="HF140" i="1"/>
  <c r="B140" i="1" s="1"/>
  <c r="HG140" i="1"/>
  <c r="BH140" i="1" s="1"/>
  <c r="HH140" i="1"/>
  <c r="BI140" i="1" s="1"/>
  <c r="HI140" i="1"/>
  <c r="BJ140" i="1" s="1"/>
  <c r="HJ140" i="1"/>
  <c r="BK140" i="1" s="1"/>
  <c r="HK140" i="1"/>
  <c r="BL140" i="1" s="1"/>
  <c r="HL140" i="1"/>
  <c r="BM140" i="1" s="1"/>
  <c r="HM140" i="1"/>
  <c r="BN140" i="1" s="1"/>
  <c r="HN140" i="1"/>
  <c r="BO140" i="1" s="1"/>
  <c r="HO140" i="1"/>
  <c r="BP140" i="1" s="1"/>
  <c r="HP140" i="1"/>
  <c r="BQ140" i="1" s="1"/>
  <c r="HQ140" i="1"/>
  <c r="HR140" i="1"/>
  <c r="P140" i="1" s="1"/>
  <c r="HS140" i="1"/>
  <c r="F140" i="1" s="1"/>
  <c r="HT140" i="1"/>
  <c r="G140" i="1" s="1"/>
  <c r="HU140" i="1"/>
  <c r="H140" i="1" s="1"/>
  <c r="HV140" i="1"/>
  <c r="R140" i="1" s="1"/>
  <c r="HW140" i="1"/>
  <c r="S140" i="1" s="1"/>
  <c r="HX140" i="1"/>
  <c r="T140" i="1" s="1"/>
  <c r="HY140" i="1"/>
  <c r="IS140" i="1" s="1"/>
  <c r="HZ140" i="1"/>
  <c r="IU140" i="1" s="1"/>
  <c r="IA140" i="1"/>
  <c r="IH140" i="1" s="1"/>
  <c r="K140" i="1" s="1"/>
  <c r="IB140" i="1"/>
  <c r="IC140" i="1"/>
  <c r="IO140" i="1" s="1"/>
  <c r="W140" i="1" s="1"/>
  <c r="IE140" i="1"/>
  <c r="IF140" i="1"/>
  <c r="J140" i="1" s="1"/>
  <c r="IG140" i="1"/>
  <c r="NH140" i="1"/>
  <c r="NI140" i="1"/>
  <c r="NJ140" i="1"/>
  <c r="HF137" i="1"/>
  <c r="B137" i="1" s="1"/>
  <c r="HF138" i="1"/>
  <c r="B138" i="1" s="1"/>
  <c r="HF139" i="1"/>
  <c r="B139" i="1" s="1"/>
  <c r="HG137" i="1"/>
  <c r="HG138" i="1"/>
  <c r="HG139" i="1"/>
  <c r="HH137" i="1"/>
  <c r="BI137" i="1" s="1"/>
  <c r="HH138" i="1"/>
  <c r="BI138" i="1" s="1"/>
  <c r="HH139" i="1"/>
  <c r="BI139" i="1" s="1"/>
  <c r="HI137" i="1"/>
  <c r="BJ137" i="1" s="1"/>
  <c r="HI138" i="1"/>
  <c r="BJ138" i="1" s="1"/>
  <c r="HI139" i="1"/>
  <c r="BJ139" i="1" s="1"/>
  <c r="HJ137" i="1"/>
  <c r="BK137" i="1" s="1"/>
  <c r="HJ138" i="1"/>
  <c r="BK138" i="1" s="1"/>
  <c r="HJ139" i="1"/>
  <c r="BK139" i="1" s="1"/>
  <c r="HK137" i="1"/>
  <c r="BL137" i="1" s="1"/>
  <c r="HK138" i="1"/>
  <c r="BL138" i="1" s="1"/>
  <c r="HK139" i="1"/>
  <c r="BL139" i="1" s="1"/>
  <c r="HL137" i="1"/>
  <c r="BM137" i="1" s="1"/>
  <c r="HL138" i="1"/>
  <c r="BM138" i="1" s="1"/>
  <c r="HL139" i="1"/>
  <c r="BM139" i="1" s="1"/>
  <c r="HM137" i="1"/>
  <c r="BN137" i="1" s="1"/>
  <c r="HM138" i="1"/>
  <c r="BN138" i="1" s="1"/>
  <c r="HM139" i="1"/>
  <c r="BN139" i="1" s="1"/>
  <c r="HN137" i="1"/>
  <c r="BO137" i="1" s="1"/>
  <c r="HN138" i="1"/>
  <c r="BO138" i="1" s="1"/>
  <c r="HN139" i="1"/>
  <c r="BO139" i="1" s="1"/>
  <c r="HO137" i="1"/>
  <c r="BP137" i="1" s="1"/>
  <c r="HO138" i="1"/>
  <c r="BP138" i="1" s="1"/>
  <c r="HO139" i="1"/>
  <c r="BP139" i="1" s="1"/>
  <c r="HP137" i="1"/>
  <c r="BQ137" i="1" s="1"/>
  <c r="HP138" i="1"/>
  <c r="BQ138" i="1" s="1"/>
  <c r="HP139" i="1"/>
  <c r="BQ139" i="1" s="1"/>
  <c r="HQ137" i="1"/>
  <c r="HQ138" i="1"/>
  <c r="HQ139" i="1"/>
  <c r="HR137" i="1"/>
  <c r="P137" i="1" s="1"/>
  <c r="HR138" i="1"/>
  <c r="P138" i="1" s="1"/>
  <c r="HR139" i="1"/>
  <c r="P139" i="1" s="1"/>
  <c r="HS137" i="1"/>
  <c r="F137" i="1" s="1"/>
  <c r="HS138" i="1"/>
  <c r="F138" i="1" s="1"/>
  <c r="HS139" i="1"/>
  <c r="F139" i="1" s="1"/>
  <c r="HT137" i="1"/>
  <c r="G137" i="1" s="1"/>
  <c r="HT138" i="1"/>
  <c r="G138" i="1" s="1"/>
  <c r="HT139" i="1"/>
  <c r="G139" i="1" s="1"/>
  <c r="HU137" i="1"/>
  <c r="H137" i="1" s="1"/>
  <c r="HU138" i="1"/>
  <c r="H138" i="1" s="1"/>
  <c r="HU139" i="1"/>
  <c r="H139" i="1" s="1"/>
  <c r="HV137" i="1"/>
  <c r="R137" i="1" s="1"/>
  <c r="HV138" i="1"/>
  <c r="R138" i="1" s="1"/>
  <c r="HV139" i="1"/>
  <c r="R139" i="1" s="1"/>
  <c r="HW137" i="1"/>
  <c r="S137" i="1" s="1"/>
  <c r="HW138" i="1"/>
  <c r="S138" i="1" s="1"/>
  <c r="HW139" i="1"/>
  <c r="S139" i="1" s="1"/>
  <c r="HX137" i="1"/>
  <c r="T137" i="1" s="1"/>
  <c r="HX138" i="1"/>
  <c r="T138" i="1" s="1"/>
  <c r="HX139" i="1"/>
  <c r="T139" i="1" s="1"/>
  <c r="HY137" i="1"/>
  <c r="IT137" i="1" s="1"/>
  <c r="HY138" i="1"/>
  <c r="IS138" i="1" s="1"/>
  <c r="HY139" i="1"/>
  <c r="IT139" i="1" s="1"/>
  <c r="HZ137" i="1"/>
  <c r="IU137" i="1" s="1"/>
  <c r="HZ138" i="1"/>
  <c r="IU138" i="1" s="1"/>
  <c r="HZ139" i="1"/>
  <c r="IU139" i="1" s="1"/>
  <c r="IA137" i="1"/>
  <c r="IH137" i="1" s="1"/>
  <c r="K137" i="1" s="1"/>
  <c r="IA138" i="1"/>
  <c r="IH138" i="1" s="1"/>
  <c r="K138" i="1" s="1"/>
  <c r="IA139" i="1"/>
  <c r="IH139" i="1" s="1"/>
  <c r="K139" i="1" s="1"/>
  <c r="IB137" i="1"/>
  <c r="IB138" i="1"/>
  <c r="IB139" i="1"/>
  <c r="IC137" i="1"/>
  <c r="IO137" i="1" s="1"/>
  <c r="IC138" i="1"/>
  <c r="IO138" i="1" s="1"/>
  <c r="IC139" i="1"/>
  <c r="IO139" i="1" s="1"/>
  <c r="W139" i="1" s="1"/>
  <c r="IE137" i="1"/>
  <c r="IE138" i="1"/>
  <c r="IE139" i="1"/>
  <c r="IF137" i="1"/>
  <c r="J137" i="1" s="1"/>
  <c r="IF138" i="1"/>
  <c r="J138" i="1" s="1"/>
  <c r="IF139" i="1"/>
  <c r="J139" i="1" s="1"/>
  <c r="IG137" i="1"/>
  <c r="IG138" i="1"/>
  <c r="IG139" i="1"/>
  <c r="NH137" i="1"/>
  <c r="NH138" i="1"/>
  <c r="NH139" i="1"/>
  <c r="NI137" i="1"/>
  <c r="NI138" i="1"/>
  <c r="NI139" i="1"/>
  <c r="NJ137" i="1"/>
  <c r="NJ138" i="1"/>
  <c r="NJ139" i="1"/>
  <c r="D553" i="14" l="1"/>
  <c r="H553" i="14"/>
  <c r="E544" i="14"/>
  <c r="C544" i="14"/>
  <c r="E539" i="14"/>
  <c r="D539" i="14"/>
  <c r="E534" i="14"/>
  <c r="D534" i="14"/>
  <c r="E528" i="14"/>
  <c r="C528" i="14"/>
  <c r="E523" i="14"/>
  <c r="D523" i="14"/>
  <c r="E520" i="14"/>
  <c r="F520" i="14"/>
  <c r="E519" i="14"/>
  <c r="B519" i="14"/>
  <c r="I519" i="14"/>
  <c r="B493" i="14"/>
  <c r="F493" i="14"/>
  <c r="J493" i="14"/>
  <c r="C493" i="14"/>
  <c r="G493" i="14"/>
  <c r="K493" i="14"/>
  <c r="H491" i="14"/>
  <c r="D491" i="14"/>
  <c r="E491" i="14"/>
  <c r="B490" i="14"/>
  <c r="C490" i="14"/>
  <c r="H490" i="14"/>
  <c r="D490" i="14"/>
  <c r="I490" i="14"/>
  <c r="C481" i="14"/>
  <c r="G481" i="14"/>
  <c r="K481" i="14"/>
  <c r="D481" i="14"/>
  <c r="H481" i="14"/>
  <c r="B478" i="14"/>
  <c r="D478" i="14"/>
  <c r="I478" i="14"/>
  <c r="E478" i="14"/>
  <c r="K478" i="14"/>
  <c r="E472" i="14"/>
  <c r="F472" i="14"/>
  <c r="B465" i="14"/>
  <c r="F465" i="14"/>
  <c r="J465" i="14"/>
  <c r="C465" i="14"/>
  <c r="G465" i="14"/>
  <c r="K465" i="14"/>
  <c r="B457" i="14"/>
  <c r="F457" i="14"/>
  <c r="J457" i="14"/>
  <c r="C457" i="14"/>
  <c r="G457" i="14"/>
  <c r="K457" i="14"/>
  <c r="B449" i="14"/>
  <c r="F449" i="14"/>
  <c r="J449" i="14"/>
  <c r="C449" i="14"/>
  <c r="G449" i="14"/>
  <c r="K449" i="14"/>
  <c r="B445" i="14"/>
  <c r="F445" i="14"/>
  <c r="J445" i="14"/>
  <c r="C445" i="14"/>
  <c r="G445" i="14"/>
  <c r="K445" i="14"/>
  <c r="B441" i="14"/>
  <c r="F441" i="14"/>
  <c r="J441" i="14"/>
  <c r="C441" i="14"/>
  <c r="G441" i="14"/>
  <c r="K441" i="14"/>
  <c r="B437" i="14"/>
  <c r="F437" i="14"/>
  <c r="J437" i="14"/>
  <c r="C437" i="14"/>
  <c r="G437" i="14"/>
  <c r="K437" i="14"/>
  <c r="B433" i="14"/>
  <c r="F433" i="14"/>
  <c r="J433" i="14"/>
  <c r="C433" i="14"/>
  <c r="G433" i="14"/>
  <c r="K433" i="14"/>
  <c r="B429" i="14"/>
  <c r="F429" i="14"/>
  <c r="J429" i="14"/>
  <c r="C429" i="14"/>
  <c r="G429" i="14"/>
  <c r="K429" i="14"/>
  <c r="E421" i="14"/>
  <c r="K421" i="14"/>
  <c r="F421" i="14"/>
  <c r="B410" i="14"/>
  <c r="F410" i="14"/>
  <c r="J410" i="14"/>
  <c r="C410" i="14"/>
  <c r="G410" i="14"/>
  <c r="K410" i="14"/>
  <c r="E403" i="14"/>
  <c r="G403" i="14"/>
  <c r="E400" i="14"/>
  <c r="F400" i="14"/>
  <c r="E389" i="14"/>
  <c r="K389" i="14"/>
  <c r="F389" i="14"/>
  <c r="C385" i="14"/>
  <c r="I385" i="14"/>
  <c r="E385" i="14"/>
  <c r="J385" i="14"/>
  <c r="D384" i="14"/>
  <c r="I384" i="14"/>
  <c r="E384" i="14"/>
  <c r="J384" i="14"/>
  <c r="D383" i="14"/>
  <c r="I383" i="14"/>
  <c r="E383" i="14"/>
  <c r="K383" i="14"/>
  <c r="C377" i="14"/>
  <c r="I377" i="14"/>
  <c r="E377" i="14"/>
  <c r="J377" i="14"/>
  <c r="D376" i="14"/>
  <c r="I376" i="14"/>
  <c r="E376" i="14"/>
  <c r="J376" i="14"/>
  <c r="F372" i="14"/>
  <c r="B372" i="14"/>
  <c r="I372" i="14"/>
  <c r="J372" i="14"/>
  <c r="B362" i="14"/>
  <c r="F362" i="14"/>
  <c r="J362" i="14"/>
  <c r="C362" i="14"/>
  <c r="G362" i="14"/>
  <c r="K362" i="14"/>
  <c r="D362" i="14"/>
  <c r="H362" i="14"/>
  <c r="D358" i="14"/>
  <c r="H358" i="14"/>
  <c r="B358" i="14"/>
  <c r="G358" i="14"/>
  <c r="C358" i="14"/>
  <c r="I358" i="14"/>
  <c r="E358" i="14"/>
  <c r="J358" i="14"/>
  <c r="D341" i="14"/>
  <c r="B341" i="14"/>
  <c r="G341" i="14"/>
  <c r="C341" i="14"/>
  <c r="I341" i="14"/>
  <c r="E341" i="14"/>
  <c r="F341" i="14"/>
  <c r="J341" i="14"/>
  <c r="B301" i="14"/>
  <c r="F301" i="14"/>
  <c r="J301" i="14"/>
  <c r="C301" i="14"/>
  <c r="G301" i="14"/>
  <c r="K301" i="14"/>
  <c r="D301" i="14"/>
  <c r="H301" i="14"/>
  <c r="E301" i="14"/>
  <c r="I301" i="14"/>
  <c r="IV110" i="1"/>
  <c r="IV106" i="1"/>
  <c r="IV102" i="1"/>
  <c r="H976" i="14"/>
  <c r="D976" i="14"/>
  <c r="H964" i="14"/>
  <c r="D964" i="14"/>
  <c r="H960" i="14"/>
  <c r="D960" i="14"/>
  <c r="H948" i="14"/>
  <c r="D948" i="14"/>
  <c r="H944" i="14"/>
  <c r="D944" i="14"/>
  <c r="H932" i="14"/>
  <c r="D932" i="14"/>
  <c r="H928" i="14"/>
  <c r="D928" i="14"/>
  <c r="H916" i="14"/>
  <c r="D916" i="14"/>
  <c r="H912" i="14"/>
  <c r="D912" i="14"/>
  <c r="H900" i="14"/>
  <c r="D900" i="14"/>
  <c r="H896" i="14"/>
  <c r="D896" i="14"/>
  <c r="H884" i="14"/>
  <c r="D884" i="14"/>
  <c r="H880" i="14"/>
  <c r="D880" i="14"/>
  <c r="H868" i="14"/>
  <c r="D868" i="14"/>
  <c r="H864" i="14"/>
  <c r="D864" i="14"/>
  <c r="H852" i="14"/>
  <c r="D852" i="14"/>
  <c r="G849" i="14"/>
  <c r="J846" i="14"/>
  <c r="E846" i="14"/>
  <c r="G841" i="14"/>
  <c r="J838" i="14"/>
  <c r="E838" i="14"/>
  <c r="G833" i="14"/>
  <c r="J830" i="14"/>
  <c r="E830" i="14"/>
  <c r="G825" i="14"/>
  <c r="J822" i="14"/>
  <c r="E822" i="14"/>
  <c r="G817" i="14"/>
  <c r="J814" i="14"/>
  <c r="E814" i="14"/>
  <c r="G809" i="14"/>
  <c r="J806" i="14"/>
  <c r="E806" i="14"/>
  <c r="G801" i="14"/>
  <c r="J798" i="14"/>
  <c r="E798" i="14"/>
  <c r="G793" i="14"/>
  <c r="J790" i="14"/>
  <c r="E790" i="14"/>
  <c r="G785" i="14"/>
  <c r="J782" i="14"/>
  <c r="E782" i="14"/>
  <c r="G777" i="14"/>
  <c r="G773" i="14"/>
  <c r="G769" i="14"/>
  <c r="G765" i="14"/>
  <c r="G761" i="14"/>
  <c r="G757" i="14"/>
  <c r="G753" i="14"/>
  <c r="G749" i="14"/>
  <c r="G745" i="14"/>
  <c r="G741" i="14"/>
  <c r="G737" i="14"/>
  <c r="G733" i="14"/>
  <c r="G729" i="14"/>
  <c r="G725" i="14"/>
  <c r="G721" i="14"/>
  <c r="G717" i="14"/>
  <c r="G713" i="14"/>
  <c r="G709" i="14"/>
  <c r="G705" i="14"/>
  <c r="G701" i="14"/>
  <c r="G697" i="14"/>
  <c r="G693" i="14"/>
  <c r="G689" i="14"/>
  <c r="G685" i="14"/>
  <c r="G681" i="14"/>
  <c r="H641" i="14"/>
  <c r="D641" i="14"/>
  <c r="K640" i="14"/>
  <c r="H637" i="14"/>
  <c r="D637" i="14"/>
  <c r="H625" i="14"/>
  <c r="D625" i="14"/>
  <c r="K624" i="14"/>
  <c r="H621" i="14"/>
  <c r="D621" i="14"/>
  <c r="H609" i="14"/>
  <c r="D609" i="14"/>
  <c r="H593" i="14"/>
  <c r="D593" i="14"/>
  <c r="H577" i="14"/>
  <c r="D577" i="14"/>
  <c r="H561" i="14"/>
  <c r="D561" i="14"/>
  <c r="J553" i="14"/>
  <c r="E553" i="14"/>
  <c r="I552" i="14"/>
  <c r="K552" i="14"/>
  <c r="E546" i="14"/>
  <c r="D546" i="14"/>
  <c r="K544" i="14"/>
  <c r="E540" i="14"/>
  <c r="C540" i="14"/>
  <c r="E535" i="14"/>
  <c r="D535" i="14"/>
  <c r="E530" i="14"/>
  <c r="D530" i="14"/>
  <c r="K528" i="14"/>
  <c r="E524" i="14"/>
  <c r="C524" i="14"/>
  <c r="G520" i="14"/>
  <c r="H519" i="14"/>
  <c r="E518" i="14"/>
  <c r="G518" i="14"/>
  <c r="C517" i="14"/>
  <c r="G517" i="14"/>
  <c r="K517" i="14"/>
  <c r="E516" i="14"/>
  <c r="B516" i="14"/>
  <c r="I516" i="14"/>
  <c r="C516" i="14"/>
  <c r="F508" i="14"/>
  <c r="B508" i="14"/>
  <c r="I508" i="14"/>
  <c r="H493" i="14"/>
  <c r="K490" i="14"/>
  <c r="F481" i="14"/>
  <c r="H478" i="14"/>
  <c r="B477" i="14"/>
  <c r="F477" i="14"/>
  <c r="J477" i="14"/>
  <c r="C477" i="14"/>
  <c r="G477" i="14"/>
  <c r="K477" i="14"/>
  <c r="H475" i="14"/>
  <c r="D475" i="14"/>
  <c r="E475" i="14"/>
  <c r="B474" i="14"/>
  <c r="C474" i="14"/>
  <c r="H474" i="14"/>
  <c r="D474" i="14"/>
  <c r="I474" i="14"/>
  <c r="J472" i="14"/>
  <c r="H465" i="14"/>
  <c r="H457" i="14"/>
  <c r="H449" i="14"/>
  <c r="H445" i="14"/>
  <c r="H441" i="14"/>
  <c r="H437" i="14"/>
  <c r="H433" i="14"/>
  <c r="H429" i="14"/>
  <c r="B427" i="14"/>
  <c r="E427" i="14"/>
  <c r="J427" i="14"/>
  <c r="F427" i="14"/>
  <c r="E424" i="14"/>
  <c r="F424" i="14"/>
  <c r="J421" i="14"/>
  <c r="E413" i="14"/>
  <c r="K413" i="14"/>
  <c r="F413" i="14"/>
  <c r="H410" i="14"/>
  <c r="K403" i="14"/>
  <c r="B402" i="14"/>
  <c r="F402" i="14"/>
  <c r="J402" i="14"/>
  <c r="C402" i="14"/>
  <c r="G402" i="14"/>
  <c r="K402" i="14"/>
  <c r="J400" i="14"/>
  <c r="E395" i="14"/>
  <c r="G395" i="14"/>
  <c r="E392" i="14"/>
  <c r="F392" i="14"/>
  <c r="J389" i="14"/>
  <c r="G385" i="14"/>
  <c r="H384" i="14"/>
  <c r="H383" i="14"/>
  <c r="B382" i="14"/>
  <c r="F382" i="14"/>
  <c r="J382" i="14"/>
  <c r="C382" i="14"/>
  <c r="G382" i="14"/>
  <c r="K382" i="14"/>
  <c r="G377" i="14"/>
  <c r="H376" i="14"/>
  <c r="H371" i="14"/>
  <c r="D371" i="14"/>
  <c r="E371" i="14"/>
  <c r="I371" i="14"/>
  <c r="D369" i="14"/>
  <c r="B369" i="14"/>
  <c r="G369" i="14"/>
  <c r="C369" i="14"/>
  <c r="I369" i="14"/>
  <c r="E369" i="14"/>
  <c r="J369" i="14"/>
  <c r="B366" i="14"/>
  <c r="F366" i="14"/>
  <c r="J366" i="14"/>
  <c r="C366" i="14"/>
  <c r="G366" i="14"/>
  <c r="K366" i="14"/>
  <c r="D366" i="14"/>
  <c r="H366" i="14"/>
  <c r="C350" i="14"/>
  <c r="G350" i="14"/>
  <c r="K350" i="14"/>
  <c r="B350" i="14"/>
  <c r="H350" i="14"/>
  <c r="D350" i="14"/>
  <c r="I350" i="14"/>
  <c r="E350" i="14"/>
  <c r="J350" i="14"/>
  <c r="D336" i="14"/>
  <c r="E336" i="14"/>
  <c r="F336" i="14"/>
  <c r="B336" i="14"/>
  <c r="I336" i="14"/>
  <c r="J336" i="14"/>
  <c r="IT27" i="1"/>
  <c r="IS127" i="1"/>
  <c r="K1003" i="14"/>
  <c r="J1000" i="14"/>
  <c r="F1000" i="14"/>
  <c r="H996" i="14"/>
  <c r="D996" i="14"/>
  <c r="K995" i="14"/>
  <c r="J992" i="14"/>
  <c r="F992" i="14"/>
  <c r="H988" i="14"/>
  <c r="D988" i="14"/>
  <c r="K987" i="14"/>
  <c r="J984" i="14"/>
  <c r="F984" i="14"/>
  <c r="H980" i="14"/>
  <c r="D980" i="14"/>
  <c r="K979" i="14"/>
  <c r="K976" i="14"/>
  <c r="G976" i="14"/>
  <c r="C976" i="14"/>
  <c r="C973" i="14"/>
  <c r="J970" i="14"/>
  <c r="E970" i="14"/>
  <c r="I969" i="14"/>
  <c r="C967" i="14"/>
  <c r="H966" i="14"/>
  <c r="B966" i="14"/>
  <c r="G965" i="14"/>
  <c r="K964" i="14"/>
  <c r="G964" i="14"/>
  <c r="C964" i="14"/>
  <c r="K960" i="14"/>
  <c r="G960" i="14"/>
  <c r="C960" i="14"/>
  <c r="C957" i="14"/>
  <c r="J954" i="14"/>
  <c r="E954" i="14"/>
  <c r="I953" i="14"/>
  <c r="C951" i="14"/>
  <c r="H950" i="14"/>
  <c r="B950" i="14"/>
  <c r="G949" i="14"/>
  <c r="K948" i="14"/>
  <c r="G948" i="14"/>
  <c r="C948" i="14"/>
  <c r="K944" i="14"/>
  <c r="G944" i="14"/>
  <c r="C944" i="14"/>
  <c r="C941" i="14"/>
  <c r="J938" i="14"/>
  <c r="E938" i="14"/>
  <c r="I937" i="14"/>
  <c r="C935" i="14"/>
  <c r="H934" i="14"/>
  <c r="B934" i="14"/>
  <c r="G933" i="14"/>
  <c r="K932" i="14"/>
  <c r="G932" i="14"/>
  <c r="C932" i="14"/>
  <c r="K928" i="14"/>
  <c r="G928" i="14"/>
  <c r="C928" i="14"/>
  <c r="C925" i="14"/>
  <c r="J922" i="14"/>
  <c r="E922" i="14"/>
  <c r="I921" i="14"/>
  <c r="C919" i="14"/>
  <c r="H918" i="14"/>
  <c r="B918" i="14"/>
  <c r="G917" i="14"/>
  <c r="K916" i="14"/>
  <c r="G916" i="14"/>
  <c r="C916" i="14"/>
  <c r="K912" i="14"/>
  <c r="G912" i="14"/>
  <c r="C912" i="14"/>
  <c r="C909" i="14"/>
  <c r="J906" i="14"/>
  <c r="E906" i="14"/>
  <c r="I905" i="14"/>
  <c r="C903" i="14"/>
  <c r="H902" i="14"/>
  <c r="B902" i="14"/>
  <c r="G901" i="14"/>
  <c r="K900" i="14"/>
  <c r="G900" i="14"/>
  <c r="C900" i="14"/>
  <c r="K896" i="14"/>
  <c r="G896" i="14"/>
  <c r="C896" i="14"/>
  <c r="C893" i="14"/>
  <c r="J890" i="14"/>
  <c r="E890" i="14"/>
  <c r="I889" i="14"/>
  <c r="C887" i="14"/>
  <c r="H886" i="14"/>
  <c r="B886" i="14"/>
  <c r="G885" i="14"/>
  <c r="K884" i="14"/>
  <c r="G884" i="14"/>
  <c r="C884" i="14"/>
  <c r="K880" i="14"/>
  <c r="G880" i="14"/>
  <c r="C880" i="14"/>
  <c r="C877" i="14"/>
  <c r="J874" i="14"/>
  <c r="E874" i="14"/>
  <c r="I873" i="14"/>
  <c r="C871" i="14"/>
  <c r="H870" i="14"/>
  <c r="B870" i="14"/>
  <c r="G869" i="14"/>
  <c r="K868" i="14"/>
  <c r="G868" i="14"/>
  <c r="C868" i="14"/>
  <c r="K864" i="14"/>
  <c r="G864" i="14"/>
  <c r="C864" i="14"/>
  <c r="C861" i="14"/>
  <c r="J858" i="14"/>
  <c r="E858" i="14"/>
  <c r="I857" i="14"/>
  <c r="C855" i="14"/>
  <c r="H854" i="14"/>
  <c r="B854" i="14"/>
  <c r="G853" i="14"/>
  <c r="K852" i="14"/>
  <c r="G852" i="14"/>
  <c r="C852" i="14"/>
  <c r="E849" i="14"/>
  <c r="J848" i="14"/>
  <c r="F848" i="14"/>
  <c r="I846" i="14"/>
  <c r="D846" i="14"/>
  <c r="H844" i="14"/>
  <c r="D844" i="14"/>
  <c r="E841" i="14"/>
  <c r="J840" i="14"/>
  <c r="F840" i="14"/>
  <c r="I838" i="14"/>
  <c r="D838" i="14"/>
  <c r="H836" i="14"/>
  <c r="D836" i="14"/>
  <c r="E833" i="14"/>
  <c r="J832" i="14"/>
  <c r="F832" i="14"/>
  <c r="I830" i="14"/>
  <c r="D830" i="14"/>
  <c r="H828" i="14"/>
  <c r="D828" i="14"/>
  <c r="E825" i="14"/>
  <c r="J824" i="14"/>
  <c r="F824" i="14"/>
  <c r="I822" i="14"/>
  <c r="D822" i="14"/>
  <c r="H820" i="14"/>
  <c r="D820" i="14"/>
  <c r="E817" i="14"/>
  <c r="J816" i="14"/>
  <c r="F816" i="14"/>
  <c r="I814" i="14"/>
  <c r="D814" i="14"/>
  <c r="H812" i="14"/>
  <c r="D812" i="14"/>
  <c r="E809" i="14"/>
  <c r="J808" i="14"/>
  <c r="F808" i="14"/>
  <c r="I806" i="14"/>
  <c r="D806" i="14"/>
  <c r="H804" i="14"/>
  <c r="D804" i="14"/>
  <c r="E801" i="14"/>
  <c r="J800" i="14"/>
  <c r="F800" i="14"/>
  <c r="I798" i="14"/>
  <c r="D798" i="14"/>
  <c r="H796" i="14"/>
  <c r="D796" i="14"/>
  <c r="E793" i="14"/>
  <c r="J792" i="14"/>
  <c r="F792" i="14"/>
  <c r="I790" i="14"/>
  <c r="D790" i="14"/>
  <c r="H788" i="14"/>
  <c r="D788" i="14"/>
  <c r="E785" i="14"/>
  <c r="J784" i="14"/>
  <c r="F784" i="14"/>
  <c r="I782" i="14"/>
  <c r="D782" i="14"/>
  <c r="H780" i="14"/>
  <c r="D780" i="14"/>
  <c r="E777" i="14"/>
  <c r="J776" i="14"/>
  <c r="F776" i="14"/>
  <c r="E773" i="14"/>
  <c r="J772" i="14"/>
  <c r="F772" i="14"/>
  <c r="E769" i="14"/>
  <c r="J768" i="14"/>
  <c r="F768" i="14"/>
  <c r="E765" i="14"/>
  <c r="J764" i="14"/>
  <c r="F764" i="14"/>
  <c r="E761" i="14"/>
  <c r="J760" i="14"/>
  <c r="F760" i="14"/>
  <c r="E757" i="14"/>
  <c r="J756" i="14"/>
  <c r="F756" i="14"/>
  <c r="E753" i="14"/>
  <c r="J752" i="14"/>
  <c r="F752" i="14"/>
  <c r="E749" i="14"/>
  <c r="J748" i="14"/>
  <c r="F748" i="14"/>
  <c r="E745" i="14"/>
  <c r="J744" i="14"/>
  <c r="F744" i="14"/>
  <c r="E741" i="14"/>
  <c r="J740" i="14"/>
  <c r="F740" i="14"/>
  <c r="E737" i="14"/>
  <c r="J736" i="14"/>
  <c r="F736" i="14"/>
  <c r="E733" i="14"/>
  <c r="J732" i="14"/>
  <c r="F732" i="14"/>
  <c r="E729" i="14"/>
  <c r="J728" i="14"/>
  <c r="F728" i="14"/>
  <c r="E725" i="14"/>
  <c r="J724" i="14"/>
  <c r="F724" i="14"/>
  <c r="E721" i="14"/>
  <c r="J720" i="14"/>
  <c r="F720" i="14"/>
  <c r="E717" i="14"/>
  <c r="J716" i="14"/>
  <c r="F716" i="14"/>
  <c r="E713" i="14"/>
  <c r="J712" i="14"/>
  <c r="F712" i="14"/>
  <c r="E709" i="14"/>
  <c r="J708" i="14"/>
  <c r="F708" i="14"/>
  <c r="E705" i="14"/>
  <c r="J704" i="14"/>
  <c r="F704" i="14"/>
  <c r="E701" i="14"/>
  <c r="J700" i="14"/>
  <c r="F700" i="14"/>
  <c r="E697" i="14"/>
  <c r="J696" i="14"/>
  <c r="F696" i="14"/>
  <c r="E693" i="14"/>
  <c r="J692" i="14"/>
  <c r="F692" i="14"/>
  <c r="E689" i="14"/>
  <c r="J688" i="14"/>
  <c r="F688" i="14"/>
  <c r="E685" i="14"/>
  <c r="J684" i="14"/>
  <c r="F684" i="14"/>
  <c r="E681" i="14"/>
  <c r="J680" i="14"/>
  <c r="F680" i="14"/>
  <c r="D678" i="14"/>
  <c r="D677" i="14"/>
  <c r="C675" i="14"/>
  <c r="D674" i="14"/>
  <c r="D673" i="14"/>
  <c r="C671" i="14"/>
  <c r="D670" i="14"/>
  <c r="D669" i="14"/>
  <c r="C667" i="14"/>
  <c r="D666" i="14"/>
  <c r="D665" i="14"/>
  <c r="C663" i="14"/>
  <c r="D662" i="14"/>
  <c r="D661" i="14"/>
  <c r="C659" i="14"/>
  <c r="D658" i="14"/>
  <c r="D657" i="14"/>
  <c r="C655" i="14"/>
  <c r="D654" i="14"/>
  <c r="D653" i="14"/>
  <c r="C651" i="14"/>
  <c r="D650" i="14"/>
  <c r="D649" i="14"/>
  <c r="E646" i="14"/>
  <c r="E643" i="14"/>
  <c r="K641" i="14"/>
  <c r="G641" i="14"/>
  <c r="C641" i="14"/>
  <c r="I640" i="14"/>
  <c r="K637" i="14"/>
  <c r="G637" i="14"/>
  <c r="C637" i="14"/>
  <c r="I634" i="14"/>
  <c r="E630" i="14"/>
  <c r="E627" i="14"/>
  <c r="K625" i="14"/>
  <c r="G625" i="14"/>
  <c r="C625" i="14"/>
  <c r="I624" i="14"/>
  <c r="K621" i="14"/>
  <c r="G621" i="14"/>
  <c r="C621" i="14"/>
  <c r="I618" i="14"/>
  <c r="E614" i="14"/>
  <c r="E611" i="14"/>
  <c r="K609" i="14"/>
  <c r="G609" i="14"/>
  <c r="C609" i="14"/>
  <c r="J605" i="14"/>
  <c r="F605" i="14"/>
  <c r="H597" i="14"/>
  <c r="D597" i="14"/>
  <c r="K596" i="14"/>
  <c r="K593" i="14"/>
  <c r="G593" i="14"/>
  <c r="C593" i="14"/>
  <c r="J589" i="14"/>
  <c r="F589" i="14"/>
  <c r="H581" i="14"/>
  <c r="D581" i="14"/>
  <c r="K580" i="14"/>
  <c r="K577" i="14"/>
  <c r="G577" i="14"/>
  <c r="C577" i="14"/>
  <c r="J573" i="14"/>
  <c r="F573" i="14"/>
  <c r="H565" i="14"/>
  <c r="D565" i="14"/>
  <c r="K564" i="14"/>
  <c r="K561" i="14"/>
  <c r="G561" i="14"/>
  <c r="C561" i="14"/>
  <c r="I553" i="14"/>
  <c r="C553" i="14"/>
  <c r="H549" i="14"/>
  <c r="I544" i="14"/>
  <c r="E542" i="14"/>
  <c r="D542" i="14"/>
  <c r="K540" i="14"/>
  <c r="I539" i="14"/>
  <c r="E536" i="14"/>
  <c r="C536" i="14"/>
  <c r="I534" i="14"/>
  <c r="E531" i="14"/>
  <c r="D531" i="14"/>
  <c r="I528" i="14"/>
  <c r="E526" i="14"/>
  <c r="D526" i="14"/>
  <c r="K524" i="14"/>
  <c r="I523" i="14"/>
  <c r="C520" i="14"/>
  <c r="F519" i="14"/>
  <c r="H518" i="14"/>
  <c r="J517" i="14"/>
  <c r="E517" i="14"/>
  <c r="K516" i="14"/>
  <c r="C513" i="14"/>
  <c r="G513" i="14"/>
  <c r="K513" i="14"/>
  <c r="D513" i="14"/>
  <c r="H513" i="14"/>
  <c r="B510" i="14"/>
  <c r="D510" i="14"/>
  <c r="I510" i="14"/>
  <c r="E510" i="14"/>
  <c r="K510" i="14"/>
  <c r="E504" i="14"/>
  <c r="F504" i="14"/>
  <c r="J497" i="14"/>
  <c r="E493" i="14"/>
  <c r="F492" i="14"/>
  <c r="B492" i="14"/>
  <c r="I492" i="14"/>
  <c r="G490" i="14"/>
  <c r="E481" i="14"/>
  <c r="G478" i="14"/>
  <c r="H477" i="14"/>
  <c r="K474" i="14"/>
  <c r="I472" i="14"/>
  <c r="D468" i="14"/>
  <c r="B468" i="14"/>
  <c r="J468" i="14"/>
  <c r="E468" i="14"/>
  <c r="E465" i="14"/>
  <c r="D460" i="14"/>
  <c r="B460" i="14"/>
  <c r="J460" i="14"/>
  <c r="E460" i="14"/>
  <c r="E457" i="14"/>
  <c r="D452" i="14"/>
  <c r="B452" i="14"/>
  <c r="J452" i="14"/>
  <c r="E452" i="14"/>
  <c r="E449" i="14"/>
  <c r="E445" i="14"/>
  <c r="E441" i="14"/>
  <c r="E437" i="14"/>
  <c r="E433" i="14"/>
  <c r="E429" i="14"/>
  <c r="I427" i="14"/>
  <c r="B426" i="14"/>
  <c r="F426" i="14"/>
  <c r="J426" i="14"/>
  <c r="C426" i="14"/>
  <c r="G426" i="14"/>
  <c r="K426" i="14"/>
  <c r="J424" i="14"/>
  <c r="I421" i="14"/>
  <c r="E419" i="14"/>
  <c r="G419" i="14"/>
  <c r="E416" i="14"/>
  <c r="F416" i="14"/>
  <c r="J413" i="14"/>
  <c r="E410" i="14"/>
  <c r="E405" i="14"/>
  <c r="K405" i="14"/>
  <c r="F405" i="14"/>
  <c r="I403" i="14"/>
  <c r="H402" i="14"/>
  <c r="I400" i="14"/>
  <c r="K395" i="14"/>
  <c r="B394" i="14"/>
  <c r="F394" i="14"/>
  <c r="J394" i="14"/>
  <c r="C394" i="14"/>
  <c r="G394" i="14"/>
  <c r="K394" i="14"/>
  <c r="J392" i="14"/>
  <c r="I389" i="14"/>
  <c r="E387" i="14"/>
  <c r="G387" i="14"/>
  <c r="F385" i="14"/>
  <c r="F384" i="14"/>
  <c r="G383" i="14"/>
  <c r="H382" i="14"/>
  <c r="C381" i="14"/>
  <c r="I381" i="14"/>
  <c r="E381" i="14"/>
  <c r="J381" i="14"/>
  <c r="D380" i="14"/>
  <c r="I380" i="14"/>
  <c r="E380" i="14"/>
  <c r="J380" i="14"/>
  <c r="D379" i="14"/>
  <c r="I379" i="14"/>
  <c r="E379" i="14"/>
  <c r="K379" i="14"/>
  <c r="F377" i="14"/>
  <c r="F376" i="14"/>
  <c r="I362" i="14"/>
  <c r="K358" i="14"/>
  <c r="D332" i="14"/>
  <c r="E332" i="14"/>
  <c r="F332" i="14"/>
  <c r="B332" i="14"/>
  <c r="I332" i="14"/>
  <c r="J332" i="14"/>
  <c r="F1003" i="14"/>
  <c r="G1001" i="14"/>
  <c r="F998" i="14"/>
  <c r="K996" i="14"/>
  <c r="G996" i="14"/>
  <c r="F995" i="14"/>
  <c r="G993" i="14"/>
  <c r="F990" i="14"/>
  <c r="K988" i="14"/>
  <c r="G988" i="14"/>
  <c r="F987" i="14"/>
  <c r="G985" i="14"/>
  <c r="F982" i="14"/>
  <c r="K980" i="14"/>
  <c r="G980" i="14"/>
  <c r="F979" i="14"/>
  <c r="I977" i="14"/>
  <c r="J976" i="14"/>
  <c r="F976" i="14"/>
  <c r="I971" i="14"/>
  <c r="I970" i="14"/>
  <c r="D970" i="14"/>
  <c r="J964" i="14"/>
  <c r="F964" i="14"/>
  <c r="I961" i="14"/>
  <c r="J960" i="14"/>
  <c r="F960" i="14"/>
  <c r="I955" i="14"/>
  <c r="I954" i="14"/>
  <c r="D954" i="14"/>
  <c r="J948" i="14"/>
  <c r="F948" i="14"/>
  <c r="I945" i="14"/>
  <c r="J944" i="14"/>
  <c r="F944" i="14"/>
  <c r="I939" i="14"/>
  <c r="I938" i="14"/>
  <c r="D938" i="14"/>
  <c r="J932" i="14"/>
  <c r="F932" i="14"/>
  <c r="I929" i="14"/>
  <c r="J928" i="14"/>
  <c r="F928" i="14"/>
  <c r="I923" i="14"/>
  <c r="I922" i="14"/>
  <c r="D922" i="14"/>
  <c r="J916" i="14"/>
  <c r="F916" i="14"/>
  <c r="I913" i="14"/>
  <c r="J912" i="14"/>
  <c r="F912" i="14"/>
  <c r="I907" i="14"/>
  <c r="I906" i="14"/>
  <c r="D906" i="14"/>
  <c r="J900" i="14"/>
  <c r="F900" i="14"/>
  <c r="I897" i="14"/>
  <c r="J896" i="14"/>
  <c r="F896" i="14"/>
  <c r="I891" i="14"/>
  <c r="I890" i="14"/>
  <c r="D890" i="14"/>
  <c r="J884" i="14"/>
  <c r="F884" i="14"/>
  <c r="I881" i="14"/>
  <c r="J880" i="14"/>
  <c r="F880" i="14"/>
  <c r="I875" i="14"/>
  <c r="I874" i="14"/>
  <c r="D874" i="14"/>
  <c r="J868" i="14"/>
  <c r="F868" i="14"/>
  <c r="I865" i="14"/>
  <c r="J864" i="14"/>
  <c r="F864" i="14"/>
  <c r="I859" i="14"/>
  <c r="I858" i="14"/>
  <c r="D858" i="14"/>
  <c r="J852" i="14"/>
  <c r="F852" i="14"/>
  <c r="K849" i="14"/>
  <c r="C849" i="14"/>
  <c r="H846" i="14"/>
  <c r="B846" i="14"/>
  <c r="K844" i="14"/>
  <c r="G844" i="14"/>
  <c r="K841" i="14"/>
  <c r="C841" i="14"/>
  <c r="H838" i="14"/>
  <c r="B838" i="14"/>
  <c r="K836" i="14"/>
  <c r="G836" i="14"/>
  <c r="K833" i="14"/>
  <c r="C833" i="14"/>
  <c r="H830" i="14"/>
  <c r="B830" i="14"/>
  <c r="K828" i="14"/>
  <c r="G828" i="14"/>
  <c r="K825" i="14"/>
  <c r="C825" i="14"/>
  <c r="H822" i="14"/>
  <c r="B822" i="14"/>
  <c r="K820" i="14"/>
  <c r="G820" i="14"/>
  <c r="K817" i="14"/>
  <c r="C817" i="14"/>
  <c r="H814" i="14"/>
  <c r="B814" i="14"/>
  <c r="K812" i="14"/>
  <c r="G812" i="14"/>
  <c r="K809" i="14"/>
  <c r="C809" i="14"/>
  <c r="H806" i="14"/>
  <c r="B806" i="14"/>
  <c r="K804" i="14"/>
  <c r="G804" i="14"/>
  <c r="K801" i="14"/>
  <c r="C801" i="14"/>
  <c r="H798" i="14"/>
  <c r="B798" i="14"/>
  <c r="K796" i="14"/>
  <c r="G796" i="14"/>
  <c r="K793" i="14"/>
  <c r="C793" i="14"/>
  <c r="H790" i="14"/>
  <c r="B790" i="14"/>
  <c r="K788" i="14"/>
  <c r="G788" i="14"/>
  <c r="K785" i="14"/>
  <c r="C785" i="14"/>
  <c r="H782" i="14"/>
  <c r="B782" i="14"/>
  <c r="K780" i="14"/>
  <c r="G780" i="14"/>
  <c r="K777" i="14"/>
  <c r="C777" i="14"/>
  <c r="K773" i="14"/>
  <c r="C773" i="14"/>
  <c r="K769" i="14"/>
  <c r="C769" i="14"/>
  <c r="K765" i="14"/>
  <c r="C765" i="14"/>
  <c r="K761" i="14"/>
  <c r="C761" i="14"/>
  <c r="K757" i="14"/>
  <c r="C757" i="14"/>
  <c r="K753" i="14"/>
  <c r="C753" i="14"/>
  <c r="K749" i="14"/>
  <c r="C749" i="14"/>
  <c r="K745" i="14"/>
  <c r="C745" i="14"/>
  <c r="K741" i="14"/>
  <c r="C741" i="14"/>
  <c r="K737" i="14"/>
  <c r="C737" i="14"/>
  <c r="K733" i="14"/>
  <c r="C733" i="14"/>
  <c r="K729" i="14"/>
  <c r="C729" i="14"/>
  <c r="K725" i="14"/>
  <c r="C725" i="14"/>
  <c r="K721" i="14"/>
  <c r="C721" i="14"/>
  <c r="K717" i="14"/>
  <c r="C717" i="14"/>
  <c r="K713" i="14"/>
  <c r="C713" i="14"/>
  <c r="K709" i="14"/>
  <c r="C709" i="14"/>
  <c r="K705" i="14"/>
  <c r="C705" i="14"/>
  <c r="K701" i="14"/>
  <c r="C701" i="14"/>
  <c r="K697" i="14"/>
  <c r="C697" i="14"/>
  <c r="K693" i="14"/>
  <c r="C693" i="14"/>
  <c r="K689" i="14"/>
  <c r="C689" i="14"/>
  <c r="K685" i="14"/>
  <c r="C685" i="14"/>
  <c r="K681" i="14"/>
  <c r="C681" i="14"/>
  <c r="I647" i="14"/>
  <c r="I644" i="14"/>
  <c r="J641" i="14"/>
  <c r="F641" i="14"/>
  <c r="E640" i="14"/>
  <c r="I638" i="14"/>
  <c r="J637" i="14"/>
  <c r="F637" i="14"/>
  <c r="I635" i="14"/>
  <c r="I631" i="14"/>
  <c r="I628" i="14"/>
  <c r="J625" i="14"/>
  <c r="F625" i="14"/>
  <c r="E624" i="14"/>
  <c r="I622" i="14"/>
  <c r="J621" i="14"/>
  <c r="F621" i="14"/>
  <c r="I619" i="14"/>
  <c r="I615" i="14"/>
  <c r="I612" i="14"/>
  <c r="J609" i="14"/>
  <c r="F609" i="14"/>
  <c r="K600" i="14"/>
  <c r="K597" i="14"/>
  <c r="G597" i="14"/>
  <c r="J593" i="14"/>
  <c r="F593" i="14"/>
  <c r="K584" i="14"/>
  <c r="K581" i="14"/>
  <c r="G581" i="14"/>
  <c r="J577" i="14"/>
  <c r="F577" i="14"/>
  <c r="K568" i="14"/>
  <c r="K565" i="14"/>
  <c r="G565" i="14"/>
  <c r="J561" i="14"/>
  <c r="F561" i="14"/>
  <c r="G553" i="14"/>
  <c r="B553" i="14"/>
  <c r="C549" i="14"/>
  <c r="G549" i="14"/>
  <c r="K549" i="14"/>
  <c r="I546" i="14"/>
  <c r="F544" i="14"/>
  <c r="E543" i="14"/>
  <c r="D543" i="14"/>
  <c r="I540" i="14"/>
  <c r="F539" i="14"/>
  <c r="E538" i="14"/>
  <c r="D538" i="14"/>
  <c r="I535" i="14"/>
  <c r="G534" i="14"/>
  <c r="E532" i="14"/>
  <c r="C532" i="14"/>
  <c r="I530" i="14"/>
  <c r="F528" i="14"/>
  <c r="E527" i="14"/>
  <c r="D527" i="14"/>
  <c r="I524" i="14"/>
  <c r="F523" i="14"/>
  <c r="E522" i="14"/>
  <c r="D522" i="14"/>
  <c r="K520" i="14"/>
  <c r="B520" i="14"/>
  <c r="D519" i="14"/>
  <c r="D518" i="14"/>
  <c r="I517" i="14"/>
  <c r="D517" i="14"/>
  <c r="G516" i="14"/>
  <c r="B509" i="14"/>
  <c r="F509" i="14"/>
  <c r="J509" i="14"/>
  <c r="C509" i="14"/>
  <c r="G509" i="14"/>
  <c r="K509" i="14"/>
  <c r="H507" i="14"/>
  <c r="D507" i="14"/>
  <c r="E507" i="14"/>
  <c r="B506" i="14"/>
  <c r="C506" i="14"/>
  <c r="H506" i="14"/>
  <c r="D506" i="14"/>
  <c r="I506" i="14"/>
  <c r="C497" i="14"/>
  <c r="G497" i="14"/>
  <c r="K497" i="14"/>
  <c r="D497" i="14"/>
  <c r="H497" i="14"/>
  <c r="B494" i="14"/>
  <c r="D494" i="14"/>
  <c r="I494" i="14"/>
  <c r="E494" i="14"/>
  <c r="K494" i="14"/>
  <c r="D493" i="14"/>
  <c r="I491" i="14"/>
  <c r="E490" i="14"/>
  <c r="E488" i="14"/>
  <c r="F488" i="14"/>
  <c r="J481" i="14"/>
  <c r="B481" i="14"/>
  <c r="C478" i="14"/>
  <c r="E477" i="14"/>
  <c r="F476" i="14"/>
  <c r="B476" i="14"/>
  <c r="I476" i="14"/>
  <c r="G474" i="14"/>
  <c r="B472" i="14"/>
  <c r="B466" i="14"/>
  <c r="D466" i="14"/>
  <c r="I466" i="14"/>
  <c r="E466" i="14"/>
  <c r="K466" i="14"/>
  <c r="D465" i="14"/>
  <c r="B458" i="14"/>
  <c r="D458" i="14"/>
  <c r="I458" i="14"/>
  <c r="E458" i="14"/>
  <c r="K458" i="14"/>
  <c r="D457" i="14"/>
  <c r="B450" i="14"/>
  <c r="D450" i="14"/>
  <c r="I450" i="14"/>
  <c r="E450" i="14"/>
  <c r="K450" i="14"/>
  <c r="D449" i="14"/>
  <c r="D447" i="14"/>
  <c r="I447" i="14"/>
  <c r="B446" i="14"/>
  <c r="D446" i="14"/>
  <c r="I446" i="14"/>
  <c r="E446" i="14"/>
  <c r="K446" i="14"/>
  <c r="D445" i="14"/>
  <c r="D443" i="14"/>
  <c r="I443" i="14"/>
  <c r="B442" i="14"/>
  <c r="D442" i="14"/>
  <c r="I442" i="14"/>
  <c r="E442" i="14"/>
  <c r="K442" i="14"/>
  <c r="D441" i="14"/>
  <c r="D439" i="14"/>
  <c r="I439" i="14"/>
  <c r="B438" i="14"/>
  <c r="D438" i="14"/>
  <c r="I438" i="14"/>
  <c r="E438" i="14"/>
  <c r="K438" i="14"/>
  <c r="D437" i="14"/>
  <c r="D435" i="14"/>
  <c r="I435" i="14"/>
  <c r="B434" i="14"/>
  <c r="D434" i="14"/>
  <c r="I434" i="14"/>
  <c r="E434" i="14"/>
  <c r="K434" i="14"/>
  <c r="D433" i="14"/>
  <c r="D431" i="14"/>
  <c r="I431" i="14"/>
  <c r="B430" i="14"/>
  <c r="D430" i="14"/>
  <c r="I430" i="14"/>
  <c r="E430" i="14"/>
  <c r="K430" i="14"/>
  <c r="D429" i="14"/>
  <c r="H427" i="14"/>
  <c r="I424" i="14"/>
  <c r="C421" i="14"/>
  <c r="B418" i="14"/>
  <c r="F418" i="14"/>
  <c r="J418" i="14"/>
  <c r="C418" i="14"/>
  <c r="G418" i="14"/>
  <c r="K418" i="14"/>
  <c r="I413" i="14"/>
  <c r="E411" i="14"/>
  <c r="G411" i="14"/>
  <c r="D410" i="14"/>
  <c r="E408" i="14"/>
  <c r="F408" i="14"/>
  <c r="D403" i="14"/>
  <c r="E402" i="14"/>
  <c r="D400" i="14"/>
  <c r="E397" i="14"/>
  <c r="K397" i="14"/>
  <c r="F397" i="14"/>
  <c r="I395" i="14"/>
  <c r="I392" i="14"/>
  <c r="C389" i="14"/>
  <c r="B386" i="14"/>
  <c r="F386" i="14"/>
  <c r="J386" i="14"/>
  <c r="C386" i="14"/>
  <c r="G386" i="14"/>
  <c r="K386" i="14"/>
  <c r="B385" i="14"/>
  <c r="B384" i="14"/>
  <c r="C383" i="14"/>
  <c r="E382" i="14"/>
  <c r="B378" i="14"/>
  <c r="F378" i="14"/>
  <c r="J378" i="14"/>
  <c r="C378" i="14"/>
  <c r="G378" i="14"/>
  <c r="K378" i="14"/>
  <c r="B377" i="14"/>
  <c r="B376" i="14"/>
  <c r="C375" i="14"/>
  <c r="D375" i="14"/>
  <c r="I375" i="14"/>
  <c r="E375" i="14"/>
  <c r="K375" i="14"/>
  <c r="D373" i="14"/>
  <c r="B373" i="14"/>
  <c r="G373" i="14"/>
  <c r="C373" i="14"/>
  <c r="I373" i="14"/>
  <c r="E373" i="14"/>
  <c r="J373" i="14"/>
  <c r="K369" i="14"/>
  <c r="I366" i="14"/>
  <c r="E362" i="14"/>
  <c r="F358" i="14"/>
  <c r="I351" i="14"/>
  <c r="E351" i="14"/>
  <c r="E343" i="14"/>
  <c r="I343" i="14"/>
  <c r="K341" i="14"/>
  <c r="D328" i="14"/>
  <c r="E328" i="14"/>
  <c r="F328" i="14"/>
  <c r="B328" i="14"/>
  <c r="I328" i="14"/>
  <c r="J328" i="14"/>
  <c r="B197" i="14"/>
  <c r="F197" i="14"/>
  <c r="J197" i="14"/>
  <c r="C197" i="14"/>
  <c r="G197" i="14"/>
  <c r="K197" i="14"/>
  <c r="D197" i="14"/>
  <c r="E197" i="14"/>
  <c r="H197" i="14"/>
  <c r="B141" i="14"/>
  <c r="F141" i="14"/>
  <c r="J141" i="14"/>
  <c r="C141" i="14"/>
  <c r="G141" i="14"/>
  <c r="K141" i="14"/>
  <c r="D141" i="14"/>
  <c r="H141" i="14"/>
  <c r="E141" i="14"/>
  <c r="I141" i="14"/>
  <c r="C136" i="14"/>
  <c r="E136" i="14"/>
  <c r="I136" i="14"/>
  <c r="K136" i="14"/>
  <c r="B1417" i="16"/>
  <c r="C1417" i="16"/>
  <c r="D1417" i="16"/>
  <c r="E1417" i="16"/>
  <c r="B1414" i="16"/>
  <c r="C1414" i="16"/>
  <c r="E1414" i="16"/>
  <c r="C1403" i="16"/>
  <c r="B1403" i="16"/>
  <c r="D1403" i="16"/>
  <c r="E1403" i="16"/>
  <c r="C1391" i="16"/>
  <c r="B1391" i="16"/>
  <c r="D1391" i="16"/>
  <c r="E1391" i="16"/>
  <c r="C1379" i="16"/>
  <c r="E1379" i="16"/>
  <c r="B1379" i="16"/>
  <c r="D1379" i="16"/>
  <c r="B1370" i="16"/>
  <c r="E1370" i="16"/>
  <c r="C1370" i="16"/>
  <c r="C1351" i="16"/>
  <c r="B1351" i="16"/>
  <c r="D1351" i="16"/>
  <c r="E1351" i="16"/>
  <c r="D1321" i="16"/>
  <c r="B1321" i="16"/>
  <c r="C1321" i="16"/>
  <c r="E1321" i="16"/>
  <c r="C1315" i="16"/>
  <c r="E1315" i="16"/>
  <c r="B1315" i="16"/>
  <c r="D1315" i="16"/>
  <c r="B1306" i="16"/>
  <c r="E1306" i="16"/>
  <c r="C1306" i="16"/>
  <c r="C1279" i="16"/>
  <c r="B1279" i="16"/>
  <c r="D1279" i="16"/>
  <c r="E1279" i="16"/>
  <c r="K374" i="14"/>
  <c r="G374" i="14"/>
  <c r="C374" i="14"/>
  <c r="K370" i="14"/>
  <c r="G370" i="14"/>
  <c r="C370" i="14"/>
  <c r="E364" i="14"/>
  <c r="E359" i="14"/>
  <c r="I354" i="14"/>
  <c r="D354" i="14"/>
  <c r="K349" i="14"/>
  <c r="C349" i="14"/>
  <c r="I344" i="14"/>
  <c r="E327" i="14"/>
  <c r="I327" i="14"/>
  <c r="B313" i="14"/>
  <c r="F313" i="14"/>
  <c r="J313" i="14"/>
  <c r="C313" i="14"/>
  <c r="G313" i="14"/>
  <c r="K313" i="14"/>
  <c r="D313" i="14"/>
  <c r="H313" i="14"/>
  <c r="B189" i="14"/>
  <c r="F189" i="14"/>
  <c r="J189" i="14"/>
  <c r="C189" i="14"/>
  <c r="G189" i="14"/>
  <c r="K189" i="14"/>
  <c r="D189" i="14"/>
  <c r="E189" i="14"/>
  <c r="H189" i="14"/>
  <c r="B1426" i="16"/>
  <c r="C1426" i="16"/>
  <c r="E1426" i="16"/>
  <c r="F515" i="14"/>
  <c r="K514" i="14"/>
  <c r="E514" i="14"/>
  <c r="H501" i="14"/>
  <c r="J500" i="14"/>
  <c r="I499" i="14"/>
  <c r="K498" i="14"/>
  <c r="E498" i="14"/>
  <c r="H485" i="14"/>
  <c r="J484" i="14"/>
  <c r="I483" i="14"/>
  <c r="K482" i="14"/>
  <c r="E482" i="14"/>
  <c r="H469" i="14"/>
  <c r="F464" i="14"/>
  <c r="H461" i="14"/>
  <c r="F456" i="14"/>
  <c r="H453" i="14"/>
  <c r="F448" i="14"/>
  <c r="F444" i="14"/>
  <c r="F440" i="14"/>
  <c r="F436" i="14"/>
  <c r="F432" i="14"/>
  <c r="F428" i="14"/>
  <c r="H422" i="14"/>
  <c r="H414" i="14"/>
  <c r="H406" i="14"/>
  <c r="H398" i="14"/>
  <c r="H390" i="14"/>
  <c r="J374" i="14"/>
  <c r="F374" i="14"/>
  <c r="J370" i="14"/>
  <c r="F370" i="14"/>
  <c r="J365" i="14"/>
  <c r="E365" i="14"/>
  <c r="J364" i="14"/>
  <c r="D356" i="14"/>
  <c r="E356" i="14"/>
  <c r="H354" i="14"/>
  <c r="D353" i="14"/>
  <c r="E353" i="14"/>
  <c r="J353" i="14"/>
  <c r="D352" i="14"/>
  <c r="B352" i="14"/>
  <c r="J352" i="14"/>
  <c r="I349" i="14"/>
  <c r="D348" i="14"/>
  <c r="B348" i="14"/>
  <c r="J348" i="14"/>
  <c r="E348" i="14"/>
  <c r="B173" i="14"/>
  <c r="F173" i="14"/>
  <c r="J173" i="14"/>
  <c r="C173" i="14"/>
  <c r="G173" i="14"/>
  <c r="K173" i="14"/>
  <c r="D173" i="14"/>
  <c r="H173" i="14"/>
  <c r="E173" i="14"/>
  <c r="I173" i="14"/>
  <c r="B1449" i="16"/>
  <c r="C1449" i="16"/>
  <c r="D1449" i="16"/>
  <c r="E1449" i="16"/>
  <c r="C354" i="14"/>
  <c r="G354" i="14"/>
  <c r="K354" i="14"/>
  <c r="D349" i="14"/>
  <c r="E349" i="14"/>
  <c r="J349" i="14"/>
  <c r="D344" i="14"/>
  <c r="E344" i="14"/>
  <c r="F344" i="14"/>
  <c r="D320" i="14"/>
  <c r="B320" i="14"/>
  <c r="J320" i="14"/>
  <c r="E320" i="14"/>
  <c r="F320" i="14"/>
  <c r="B157" i="14"/>
  <c r="F157" i="14"/>
  <c r="J157" i="14"/>
  <c r="C157" i="14"/>
  <c r="G157" i="14"/>
  <c r="K157" i="14"/>
  <c r="D157" i="14"/>
  <c r="H157" i="14"/>
  <c r="E157" i="14"/>
  <c r="I157" i="14"/>
  <c r="C1463" i="16"/>
  <c r="B1463" i="16"/>
  <c r="D1463" i="16"/>
  <c r="E1463" i="16"/>
  <c r="C1247" i="16"/>
  <c r="B1247" i="16"/>
  <c r="D1247" i="16"/>
  <c r="E1247" i="16"/>
  <c r="C1215" i="16"/>
  <c r="B1215" i="16"/>
  <c r="D1215" i="16"/>
  <c r="E1215" i="16"/>
  <c r="C1191" i="16"/>
  <c r="B1191" i="16"/>
  <c r="D1191" i="16"/>
  <c r="E1191" i="16"/>
  <c r="C1138" i="16"/>
  <c r="E1138" i="16"/>
  <c r="B1138" i="16"/>
  <c r="B1099" i="16"/>
  <c r="C1099" i="16"/>
  <c r="D1099" i="16"/>
  <c r="E1099" i="16"/>
  <c r="C1010" i="16"/>
  <c r="E1010" i="16"/>
  <c r="B1010" i="16"/>
  <c r="D928" i="16"/>
  <c r="B928" i="16"/>
  <c r="C928" i="16"/>
  <c r="E928" i="16"/>
  <c r="C922" i="16"/>
  <c r="D922" i="16"/>
  <c r="B922" i="16"/>
  <c r="E922" i="16"/>
  <c r="E909" i="16"/>
  <c r="C909" i="16"/>
  <c r="C894" i="16"/>
  <c r="B894" i="16"/>
  <c r="D894" i="16"/>
  <c r="E894" i="16"/>
  <c r="C870" i="16"/>
  <c r="B870" i="16"/>
  <c r="D870" i="16"/>
  <c r="E870" i="16"/>
  <c r="D864" i="16"/>
  <c r="B864" i="16"/>
  <c r="C864" i="16"/>
  <c r="E864" i="16"/>
  <c r="C858" i="16"/>
  <c r="D858" i="16"/>
  <c r="B858" i="16"/>
  <c r="E858" i="16"/>
  <c r="E845" i="16"/>
  <c r="C845" i="16"/>
  <c r="C830" i="16"/>
  <c r="B830" i="16"/>
  <c r="D830" i="16"/>
  <c r="E830" i="16"/>
  <c r="C802" i="16"/>
  <c r="D802" i="16"/>
  <c r="B802" i="16"/>
  <c r="E802" i="16"/>
  <c r="B792" i="16"/>
  <c r="C792" i="16"/>
  <c r="D792" i="16"/>
  <c r="E792" i="16"/>
  <c r="B779" i="16"/>
  <c r="C779" i="16"/>
  <c r="E779" i="16"/>
  <c r="B751" i="16"/>
  <c r="E751" i="16"/>
  <c r="C751" i="16"/>
  <c r="C740" i="16"/>
  <c r="B740" i="16"/>
  <c r="D740" i="16"/>
  <c r="E740" i="16"/>
  <c r="D713" i="16"/>
  <c r="E713" i="16"/>
  <c r="C698" i="16"/>
  <c r="B698" i="16"/>
  <c r="D698" i="16"/>
  <c r="E698" i="16"/>
  <c r="B615" i="16"/>
  <c r="C615" i="16"/>
  <c r="E615" i="16"/>
  <c r="D613" i="16"/>
  <c r="E613" i="16"/>
  <c r="B561" i="16"/>
  <c r="E561" i="16"/>
  <c r="C561" i="16"/>
  <c r="B521" i="16"/>
  <c r="C521" i="16"/>
  <c r="D521" i="16"/>
  <c r="E521" i="16"/>
  <c r="D511" i="16"/>
  <c r="E511" i="16"/>
  <c r="B511" i="16"/>
  <c r="D471" i="16"/>
  <c r="E471" i="16"/>
  <c r="B471" i="16"/>
  <c r="C471" i="16"/>
  <c r="B457" i="16"/>
  <c r="C457" i="16"/>
  <c r="D457" i="16"/>
  <c r="E457" i="16"/>
  <c r="C228" i="16"/>
  <c r="D228" i="16"/>
  <c r="E228" i="16"/>
  <c r="B228" i="16"/>
  <c r="D172" i="16"/>
  <c r="B172" i="16"/>
  <c r="C172" i="16"/>
  <c r="E172" i="16"/>
  <c r="D101" i="16"/>
  <c r="C101" i="16"/>
  <c r="E101" i="16"/>
  <c r="B101" i="16"/>
  <c r="D41" i="16"/>
  <c r="C41" i="16"/>
  <c r="E41" i="16"/>
  <c r="B41" i="16"/>
  <c r="I325" i="14"/>
  <c r="C325" i="14"/>
  <c r="K309" i="14"/>
  <c r="G309" i="14"/>
  <c r="C309" i="14"/>
  <c r="K297" i="14"/>
  <c r="G297" i="14"/>
  <c r="C297" i="14"/>
  <c r="E295" i="14"/>
  <c r="G294" i="14"/>
  <c r="B292" i="14"/>
  <c r="G292" i="14"/>
  <c r="E291" i="14"/>
  <c r="C290" i="14"/>
  <c r="H290" i="14"/>
  <c r="K288" i="14"/>
  <c r="E288" i="14"/>
  <c r="B287" i="14"/>
  <c r="H287" i="14"/>
  <c r="E286" i="14"/>
  <c r="B284" i="14"/>
  <c r="G284" i="14"/>
  <c r="E283" i="14"/>
  <c r="C282" i="14"/>
  <c r="H282" i="14"/>
  <c r="K280" i="14"/>
  <c r="E280" i="14"/>
  <c r="B279" i="14"/>
  <c r="H279" i="14"/>
  <c r="E278" i="14"/>
  <c r="B276" i="14"/>
  <c r="G276" i="14"/>
  <c r="E275" i="14"/>
  <c r="C274" i="14"/>
  <c r="H274" i="14"/>
  <c r="K272" i="14"/>
  <c r="E272" i="14"/>
  <c r="B271" i="14"/>
  <c r="H271" i="14"/>
  <c r="E270" i="14"/>
  <c r="B268" i="14"/>
  <c r="G268" i="14"/>
  <c r="E267" i="14"/>
  <c r="C266" i="14"/>
  <c r="H266" i="14"/>
  <c r="K264" i="14"/>
  <c r="E264" i="14"/>
  <c r="B263" i="14"/>
  <c r="H263" i="14"/>
  <c r="E262" i="14"/>
  <c r="B260" i="14"/>
  <c r="G260" i="14"/>
  <c r="E259" i="14"/>
  <c r="C258" i="14"/>
  <c r="H258" i="14"/>
  <c r="K256" i="14"/>
  <c r="E256" i="14"/>
  <c r="B255" i="14"/>
  <c r="H255" i="14"/>
  <c r="E254" i="14"/>
  <c r="B252" i="14"/>
  <c r="G252" i="14"/>
  <c r="C250" i="14"/>
  <c r="H250" i="14"/>
  <c r="K248" i="14"/>
  <c r="B247" i="14"/>
  <c r="H247" i="14"/>
  <c r="B244" i="14"/>
  <c r="G244" i="14"/>
  <c r="C242" i="14"/>
  <c r="H242" i="14"/>
  <c r="K240" i="14"/>
  <c r="C239" i="14"/>
  <c r="B239" i="14"/>
  <c r="H239" i="14"/>
  <c r="E238" i="14"/>
  <c r="G238" i="14"/>
  <c r="B237" i="14"/>
  <c r="F237" i="14"/>
  <c r="J237" i="14"/>
  <c r="C235" i="14"/>
  <c r="E235" i="14"/>
  <c r="J235" i="14"/>
  <c r="I233" i="14"/>
  <c r="C231" i="14"/>
  <c r="D231" i="14"/>
  <c r="I231" i="14"/>
  <c r="C229" i="14"/>
  <c r="G229" i="14"/>
  <c r="K229" i="14"/>
  <c r="D229" i="14"/>
  <c r="H229" i="14"/>
  <c r="J225" i="14"/>
  <c r="C219" i="14"/>
  <c r="D219" i="14"/>
  <c r="I219" i="14"/>
  <c r="E219" i="14"/>
  <c r="J219" i="14"/>
  <c r="E216" i="14"/>
  <c r="C216" i="14"/>
  <c r="G216" i="14"/>
  <c r="C215" i="14"/>
  <c r="B215" i="14"/>
  <c r="H215" i="14"/>
  <c r="D215" i="14"/>
  <c r="I215" i="14"/>
  <c r="C213" i="14"/>
  <c r="G213" i="14"/>
  <c r="K213" i="14"/>
  <c r="D213" i="14"/>
  <c r="H213" i="14"/>
  <c r="J209" i="14"/>
  <c r="K206" i="14"/>
  <c r="C203" i="14"/>
  <c r="D203" i="14"/>
  <c r="I203" i="14"/>
  <c r="E203" i="14"/>
  <c r="J203" i="14"/>
  <c r="I198" i="14"/>
  <c r="C195" i="14"/>
  <c r="D195" i="14"/>
  <c r="I195" i="14"/>
  <c r="E195" i="14"/>
  <c r="J195" i="14"/>
  <c r="B177" i="14"/>
  <c r="F177" i="14"/>
  <c r="J177" i="14"/>
  <c r="C177" i="14"/>
  <c r="G177" i="14"/>
  <c r="K177" i="14"/>
  <c r="D177" i="14"/>
  <c r="H177" i="14"/>
  <c r="B161" i="14"/>
  <c r="F161" i="14"/>
  <c r="J161" i="14"/>
  <c r="C161" i="14"/>
  <c r="G161" i="14"/>
  <c r="K161" i="14"/>
  <c r="D161" i="14"/>
  <c r="H161" i="14"/>
  <c r="B145" i="14"/>
  <c r="F145" i="14"/>
  <c r="J145" i="14"/>
  <c r="C145" i="14"/>
  <c r="G145" i="14"/>
  <c r="K145" i="14"/>
  <c r="D145" i="14"/>
  <c r="H145" i="14"/>
  <c r="D1484" i="16"/>
  <c r="E1484" i="16"/>
  <c r="B1461" i="16"/>
  <c r="C1461" i="16"/>
  <c r="D1461" i="16"/>
  <c r="B1401" i="16"/>
  <c r="C1401" i="16"/>
  <c r="D1401" i="16"/>
  <c r="B1398" i="16"/>
  <c r="C1398" i="16"/>
  <c r="E1398" i="16"/>
  <c r="B1389" i="16"/>
  <c r="C1389" i="16"/>
  <c r="D1389" i="16"/>
  <c r="D1384" i="16"/>
  <c r="E1384" i="16"/>
  <c r="D1369" i="16"/>
  <c r="B1369" i="16"/>
  <c r="C1369" i="16"/>
  <c r="E1369" i="16"/>
  <c r="C1363" i="16"/>
  <c r="E1363" i="16"/>
  <c r="B1363" i="16"/>
  <c r="D1363" i="16"/>
  <c r="B1354" i="16"/>
  <c r="E1354" i="16"/>
  <c r="C1354" i="16"/>
  <c r="C1335" i="16"/>
  <c r="B1335" i="16"/>
  <c r="D1335" i="16"/>
  <c r="E1335" i="16"/>
  <c r="D1305" i="16"/>
  <c r="B1305" i="16"/>
  <c r="C1305" i="16"/>
  <c r="E1305" i="16"/>
  <c r="C1287" i="16"/>
  <c r="B1287" i="16"/>
  <c r="D1287" i="16"/>
  <c r="E1287" i="16"/>
  <c r="C1255" i="16"/>
  <c r="B1255" i="16"/>
  <c r="D1255" i="16"/>
  <c r="E1255" i="16"/>
  <c r="C1223" i="16"/>
  <c r="B1223" i="16"/>
  <c r="D1223" i="16"/>
  <c r="E1223" i="16"/>
  <c r="C1167" i="16"/>
  <c r="B1167" i="16"/>
  <c r="D1167" i="16"/>
  <c r="E1167" i="16"/>
  <c r="C1151" i="16"/>
  <c r="B1151" i="16"/>
  <c r="D1151" i="16"/>
  <c r="E1151" i="16"/>
  <c r="C1134" i="16"/>
  <c r="D1134" i="16"/>
  <c r="C1124" i="16"/>
  <c r="D1124" i="16"/>
  <c r="B1124" i="16"/>
  <c r="E1124" i="16"/>
  <c r="D1053" i="16"/>
  <c r="C1053" i="16"/>
  <c r="D1041" i="16"/>
  <c r="B1041" i="16"/>
  <c r="E1041" i="16"/>
  <c r="B1027" i="16"/>
  <c r="C1027" i="16"/>
  <c r="E1027" i="16"/>
  <c r="C1006" i="16"/>
  <c r="D1006" i="16"/>
  <c r="C996" i="16"/>
  <c r="D996" i="16"/>
  <c r="B996" i="16"/>
  <c r="E996" i="16"/>
  <c r="C978" i="16"/>
  <c r="B978" i="16"/>
  <c r="E978" i="16"/>
  <c r="H346" i="14"/>
  <c r="F340" i="14"/>
  <c r="H338" i="14"/>
  <c r="H334" i="14"/>
  <c r="H330" i="14"/>
  <c r="G325" i="14"/>
  <c r="B325" i="14"/>
  <c r="F324" i="14"/>
  <c r="H322" i="14"/>
  <c r="H318" i="14"/>
  <c r="J309" i="14"/>
  <c r="F309" i="14"/>
  <c r="H305" i="14"/>
  <c r="J297" i="14"/>
  <c r="F297" i="14"/>
  <c r="D295" i="14"/>
  <c r="F292" i="14"/>
  <c r="J291" i="14"/>
  <c r="G290" i="14"/>
  <c r="J288" i="14"/>
  <c r="F287" i="14"/>
  <c r="K286" i="14"/>
  <c r="F284" i="14"/>
  <c r="J283" i="14"/>
  <c r="J280" i="14"/>
  <c r="K278" i="14"/>
  <c r="J275" i="14"/>
  <c r="J272" i="14"/>
  <c r="K270" i="14"/>
  <c r="J267" i="14"/>
  <c r="J264" i="14"/>
  <c r="K262" i="14"/>
  <c r="J259" i="14"/>
  <c r="J256" i="14"/>
  <c r="K254" i="14"/>
  <c r="G228" i="14"/>
  <c r="E228" i="14"/>
  <c r="I228" i="14"/>
  <c r="C227" i="14"/>
  <c r="B227" i="14"/>
  <c r="H227" i="14"/>
  <c r="D227" i="14"/>
  <c r="I227" i="14"/>
  <c r="C225" i="14"/>
  <c r="G225" i="14"/>
  <c r="K225" i="14"/>
  <c r="D225" i="14"/>
  <c r="H225" i="14"/>
  <c r="G218" i="14"/>
  <c r="E218" i="14"/>
  <c r="I218" i="14"/>
  <c r="G212" i="14"/>
  <c r="E212" i="14"/>
  <c r="I212" i="14"/>
  <c r="C211" i="14"/>
  <c r="B211" i="14"/>
  <c r="H211" i="14"/>
  <c r="D211" i="14"/>
  <c r="I211" i="14"/>
  <c r="C209" i="14"/>
  <c r="G209" i="14"/>
  <c r="K209" i="14"/>
  <c r="D209" i="14"/>
  <c r="H209" i="14"/>
  <c r="B181" i="14"/>
  <c r="F181" i="14"/>
  <c r="J181" i="14"/>
  <c r="C181" i="14"/>
  <c r="G181" i="14"/>
  <c r="K181" i="14"/>
  <c r="D181" i="14"/>
  <c r="H181" i="14"/>
  <c r="B165" i="14"/>
  <c r="F165" i="14"/>
  <c r="J165" i="14"/>
  <c r="C165" i="14"/>
  <c r="G165" i="14"/>
  <c r="K165" i="14"/>
  <c r="D165" i="14"/>
  <c r="H165" i="14"/>
  <c r="B149" i="14"/>
  <c r="F149" i="14"/>
  <c r="J149" i="14"/>
  <c r="C149" i="14"/>
  <c r="G149" i="14"/>
  <c r="K149" i="14"/>
  <c r="D149" i="14"/>
  <c r="H149" i="14"/>
  <c r="C135" i="14"/>
  <c r="B135" i="14"/>
  <c r="H135" i="14"/>
  <c r="D135" i="14"/>
  <c r="I135" i="14"/>
  <c r="E135" i="14"/>
  <c r="J135" i="14"/>
  <c r="C1483" i="16"/>
  <c r="B1483" i="16"/>
  <c r="D1483" i="16"/>
  <c r="E1483" i="16"/>
  <c r="C1471" i="16"/>
  <c r="B1471" i="16"/>
  <c r="D1471" i="16"/>
  <c r="E1471" i="16"/>
  <c r="C1439" i="16"/>
  <c r="B1439" i="16"/>
  <c r="D1439" i="16"/>
  <c r="E1439" i="16"/>
  <c r="D1420" i="16"/>
  <c r="E1420" i="16"/>
  <c r="C1383" i="16"/>
  <c r="B1383" i="16"/>
  <c r="D1383" i="16"/>
  <c r="E1383" i="16"/>
  <c r="D1353" i="16"/>
  <c r="B1353" i="16"/>
  <c r="C1353" i="16"/>
  <c r="E1353" i="16"/>
  <c r="C1347" i="16"/>
  <c r="E1347" i="16"/>
  <c r="B1347" i="16"/>
  <c r="D1347" i="16"/>
  <c r="B1338" i="16"/>
  <c r="E1338" i="16"/>
  <c r="C1338" i="16"/>
  <c r="C1319" i="16"/>
  <c r="B1319" i="16"/>
  <c r="D1319" i="16"/>
  <c r="E1319" i="16"/>
  <c r="C1295" i="16"/>
  <c r="B1295" i="16"/>
  <c r="D1295" i="16"/>
  <c r="E1295" i="16"/>
  <c r="C1263" i="16"/>
  <c r="B1263" i="16"/>
  <c r="D1263" i="16"/>
  <c r="E1263" i="16"/>
  <c r="C1231" i="16"/>
  <c r="B1231" i="16"/>
  <c r="D1231" i="16"/>
  <c r="E1231" i="16"/>
  <c r="C1199" i="16"/>
  <c r="B1199" i="16"/>
  <c r="D1199" i="16"/>
  <c r="E1199" i="16"/>
  <c r="C1175" i="16"/>
  <c r="B1175" i="16"/>
  <c r="D1175" i="16"/>
  <c r="E1175" i="16"/>
  <c r="C1136" i="16"/>
  <c r="D1136" i="16"/>
  <c r="B1136" i="16"/>
  <c r="E1136" i="16"/>
  <c r="D1097" i="16"/>
  <c r="B1097" i="16"/>
  <c r="C1097" i="16"/>
  <c r="E1097" i="16"/>
  <c r="B1055" i="16"/>
  <c r="D1055" i="16"/>
  <c r="C1034" i="16"/>
  <c r="B1034" i="16"/>
  <c r="D1034" i="16"/>
  <c r="E1034" i="16"/>
  <c r="C1008" i="16"/>
  <c r="D1008" i="16"/>
  <c r="B1008" i="16"/>
  <c r="E1008" i="16"/>
  <c r="D952" i="16"/>
  <c r="C952" i="16"/>
  <c r="E952" i="16"/>
  <c r="B952" i="16"/>
  <c r="C946" i="16"/>
  <c r="B946" i="16"/>
  <c r="E946" i="16"/>
  <c r="D294" i="14"/>
  <c r="K294" i="14"/>
  <c r="B291" i="14"/>
  <c r="H291" i="14"/>
  <c r="B288" i="14"/>
  <c r="G288" i="14"/>
  <c r="C286" i="14"/>
  <c r="H286" i="14"/>
  <c r="B283" i="14"/>
  <c r="H283" i="14"/>
  <c r="B280" i="14"/>
  <c r="G280" i="14"/>
  <c r="C278" i="14"/>
  <c r="H278" i="14"/>
  <c r="B275" i="14"/>
  <c r="H275" i="14"/>
  <c r="B272" i="14"/>
  <c r="G272" i="14"/>
  <c r="C270" i="14"/>
  <c r="H270" i="14"/>
  <c r="B267" i="14"/>
  <c r="H267" i="14"/>
  <c r="B264" i="14"/>
  <c r="G264" i="14"/>
  <c r="C262" i="14"/>
  <c r="H262" i="14"/>
  <c r="B259" i="14"/>
  <c r="H259" i="14"/>
  <c r="B256" i="14"/>
  <c r="G256" i="14"/>
  <c r="C254" i="14"/>
  <c r="H254" i="14"/>
  <c r="B251" i="14"/>
  <c r="H251" i="14"/>
  <c r="B248" i="14"/>
  <c r="G248" i="14"/>
  <c r="C246" i="14"/>
  <c r="H246" i="14"/>
  <c r="B243" i="14"/>
  <c r="H243" i="14"/>
  <c r="B240" i="14"/>
  <c r="G240" i="14"/>
  <c r="G234" i="14"/>
  <c r="I234" i="14"/>
  <c r="B233" i="14"/>
  <c r="F233" i="14"/>
  <c r="J233" i="14"/>
  <c r="E232" i="14"/>
  <c r="G232" i="14"/>
  <c r="J227" i="14"/>
  <c r="F225" i="14"/>
  <c r="E222" i="14"/>
  <c r="C222" i="14"/>
  <c r="G222" i="14"/>
  <c r="J211" i="14"/>
  <c r="E206" i="14"/>
  <c r="C206" i="14"/>
  <c r="G206" i="14"/>
  <c r="D198" i="14"/>
  <c r="E198" i="14"/>
  <c r="G198" i="14"/>
  <c r="D190" i="14"/>
  <c r="E190" i="14"/>
  <c r="G190" i="14"/>
  <c r="B185" i="14"/>
  <c r="F185" i="14"/>
  <c r="J185" i="14"/>
  <c r="C185" i="14"/>
  <c r="G185" i="14"/>
  <c r="K185" i="14"/>
  <c r="D185" i="14"/>
  <c r="H185" i="14"/>
  <c r="I177" i="14"/>
  <c r="B169" i="14"/>
  <c r="F169" i="14"/>
  <c r="J169" i="14"/>
  <c r="C169" i="14"/>
  <c r="G169" i="14"/>
  <c r="K169" i="14"/>
  <c r="D169" i="14"/>
  <c r="H169" i="14"/>
  <c r="I161" i="14"/>
  <c r="B153" i="14"/>
  <c r="F153" i="14"/>
  <c r="J153" i="14"/>
  <c r="C153" i="14"/>
  <c r="G153" i="14"/>
  <c r="K153" i="14"/>
  <c r="D153" i="14"/>
  <c r="H153" i="14"/>
  <c r="I145" i="14"/>
  <c r="B137" i="14"/>
  <c r="F137" i="14"/>
  <c r="J137" i="14"/>
  <c r="C137" i="14"/>
  <c r="G137" i="14"/>
  <c r="K137" i="14"/>
  <c r="D137" i="14"/>
  <c r="H137" i="14"/>
  <c r="B1490" i="16"/>
  <c r="C1490" i="16"/>
  <c r="E1490" i="16"/>
  <c r="B1481" i="16"/>
  <c r="C1481" i="16"/>
  <c r="D1481" i="16"/>
  <c r="B1478" i="16"/>
  <c r="C1478" i="16"/>
  <c r="E1478" i="16"/>
  <c r="B1469" i="16"/>
  <c r="C1469" i="16"/>
  <c r="D1469" i="16"/>
  <c r="D1464" i="16"/>
  <c r="E1464" i="16"/>
  <c r="C1451" i="16"/>
  <c r="B1451" i="16"/>
  <c r="D1451" i="16"/>
  <c r="E1451" i="16"/>
  <c r="B1437" i="16"/>
  <c r="C1437" i="16"/>
  <c r="D1437" i="16"/>
  <c r="C1419" i="16"/>
  <c r="B1419" i="16"/>
  <c r="D1419" i="16"/>
  <c r="E1419" i="16"/>
  <c r="C1367" i="16"/>
  <c r="B1367" i="16"/>
  <c r="D1367" i="16"/>
  <c r="E1367" i="16"/>
  <c r="D1337" i="16"/>
  <c r="B1337" i="16"/>
  <c r="C1337" i="16"/>
  <c r="E1337" i="16"/>
  <c r="C1331" i="16"/>
  <c r="E1331" i="16"/>
  <c r="B1331" i="16"/>
  <c r="D1331" i="16"/>
  <c r="B1322" i="16"/>
  <c r="E1322" i="16"/>
  <c r="C1322" i="16"/>
  <c r="C1303" i="16"/>
  <c r="B1303" i="16"/>
  <c r="D1303" i="16"/>
  <c r="E1303" i="16"/>
  <c r="C1271" i="16"/>
  <c r="B1271" i="16"/>
  <c r="D1271" i="16"/>
  <c r="E1271" i="16"/>
  <c r="C1239" i="16"/>
  <c r="B1239" i="16"/>
  <c r="D1239" i="16"/>
  <c r="E1239" i="16"/>
  <c r="C1207" i="16"/>
  <c r="B1207" i="16"/>
  <c r="D1207" i="16"/>
  <c r="E1207" i="16"/>
  <c r="C1183" i="16"/>
  <c r="B1183" i="16"/>
  <c r="D1183" i="16"/>
  <c r="E1183" i="16"/>
  <c r="C1159" i="16"/>
  <c r="B1159" i="16"/>
  <c r="D1159" i="16"/>
  <c r="E1159" i="16"/>
  <c r="C1064" i="16"/>
  <c r="D1064" i="16"/>
  <c r="B1064" i="16"/>
  <c r="E1064" i="16"/>
  <c r="B1036" i="16"/>
  <c r="C1036" i="16"/>
  <c r="D1036" i="16"/>
  <c r="E1036" i="16"/>
  <c r="D960" i="16"/>
  <c r="B960" i="16"/>
  <c r="C960" i="16"/>
  <c r="E960" i="16"/>
  <c r="D957" i="16"/>
  <c r="C957" i="16"/>
  <c r="D1368" i="16"/>
  <c r="E1368" i="16"/>
  <c r="D1352" i="16"/>
  <c r="E1352" i="16"/>
  <c r="D1336" i="16"/>
  <c r="E1336" i="16"/>
  <c r="D1320" i="16"/>
  <c r="E1320" i="16"/>
  <c r="D1304" i="16"/>
  <c r="E1304" i="16"/>
  <c r="B1298" i="16"/>
  <c r="E1298" i="16"/>
  <c r="B1290" i="16"/>
  <c r="E1290" i="16"/>
  <c r="B1282" i="16"/>
  <c r="E1282" i="16"/>
  <c r="B1274" i="16"/>
  <c r="E1274" i="16"/>
  <c r="B1266" i="16"/>
  <c r="E1266" i="16"/>
  <c r="B1258" i="16"/>
  <c r="E1258" i="16"/>
  <c r="B1250" i="16"/>
  <c r="E1250" i="16"/>
  <c r="B1242" i="16"/>
  <c r="E1242" i="16"/>
  <c r="B1234" i="16"/>
  <c r="E1234" i="16"/>
  <c r="B1226" i="16"/>
  <c r="E1226" i="16"/>
  <c r="B1218" i="16"/>
  <c r="E1218" i="16"/>
  <c r="B1210" i="16"/>
  <c r="E1210" i="16"/>
  <c r="B1202" i="16"/>
  <c r="E1202" i="16"/>
  <c r="B1194" i="16"/>
  <c r="E1194" i="16"/>
  <c r="B1186" i="16"/>
  <c r="E1186" i="16"/>
  <c r="B1178" i="16"/>
  <c r="E1178" i="16"/>
  <c r="B1170" i="16"/>
  <c r="E1170" i="16"/>
  <c r="B1162" i="16"/>
  <c r="E1162" i="16"/>
  <c r="B1154" i="16"/>
  <c r="E1154" i="16"/>
  <c r="D1137" i="16"/>
  <c r="B1137" i="16"/>
  <c r="E1137" i="16"/>
  <c r="B1132" i="16"/>
  <c r="C1132" i="16"/>
  <c r="C1130" i="16"/>
  <c r="B1130" i="16"/>
  <c r="D1130" i="16"/>
  <c r="B1123" i="16"/>
  <c r="C1123" i="16"/>
  <c r="E1123" i="16"/>
  <c r="D1119" i="16"/>
  <c r="C1117" i="16"/>
  <c r="C1106" i="16"/>
  <c r="E1106" i="16"/>
  <c r="C1104" i="16"/>
  <c r="D1104" i="16"/>
  <c r="C1092" i="16"/>
  <c r="D1092" i="16"/>
  <c r="B1067" i="16"/>
  <c r="C1067" i="16"/>
  <c r="D1067" i="16"/>
  <c r="D1065" i="16"/>
  <c r="B1065" i="16"/>
  <c r="C1065" i="16"/>
  <c r="C1032" i="16"/>
  <c r="D1032" i="16"/>
  <c r="D1009" i="16"/>
  <c r="B1009" i="16"/>
  <c r="E1009" i="16"/>
  <c r="B1004" i="16"/>
  <c r="C1004" i="16"/>
  <c r="C1002" i="16"/>
  <c r="B1002" i="16"/>
  <c r="D1002" i="16"/>
  <c r="B995" i="16"/>
  <c r="C995" i="16"/>
  <c r="E995" i="16"/>
  <c r="B959" i="16"/>
  <c r="D959" i="16"/>
  <c r="D948" i="16"/>
  <c r="B948" i="16"/>
  <c r="C948" i="16"/>
  <c r="B927" i="16"/>
  <c r="D927" i="16"/>
  <c r="C788" i="16"/>
  <c r="B788" i="16"/>
  <c r="D788" i="16"/>
  <c r="E788" i="16"/>
  <c r="B776" i="16"/>
  <c r="C776" i="16"/>
  <c r="D776" i="16"/>
  <c r="E776" i="16"/>
  <c r="B763" i="16"/>
  <c r="C763" i="16"/>
  <c r="E763" i="16"/>
  <c r="C730" i="16"/>
  <c r="B730" i="16"/>
  <c r="D730" i="16"/>
  <c r="E730" i="16"/>
  <c r="B691" i="16"/>
  <c r="C691" i="16"/>
  <c r="E691" i="16"/>
  <c r="B679" i="16"/>
  <c r="C679" i="16"/>
  <c r="E679" i="16"/>
  <c r="D677" i="16"/>
  <c r="E677" i="16"/>
  <c r="B659" i="16"/>
  <c r="C659" i="16"/>
  <c r="E659" i="16"/>
  <c r="B647" i="16"/>
  <c r="C647" i="16"/>
  <c r="E647" i="16"/>
  <c r="D645" i="16"/>
  <c r="E645" i="16"/>
  <c r="B627" i="16"/>
  <c r="C627" i="16"/>
  <c r="E627" i="16"/>
  <c r="C622" i="16"/>
  <c r="E622" i="16"/>
  <c r="B622" i="16"/>
  <c r="D622" i="16"/>
  <c r="C612" i="16"/>
  <c r="B612" i="16"/>
  <c r="D612" i="16"/>
  <c r="E612" i="16"/>
  <c r="B579" i="16"/>
  <c r="C579" i="16"/>
  <c r="E579" i="16"/>
  <c r="D575" i="16"/>
  <c r="E575" i="16"/>
  <c r="B575" i="16"/>
  <c r="D535" i="16"/>
  <c r="E535" i="16"/>
  <c r="B535" i="16"/>
  <c r="C535" i="16"/>
  <c r="D478" i="16"/>
  <c r="B478" i="16"/>
  <c r="C478" i="16"/>
  <c r="E478" i="16"/>
  <c r="C412" i="16"/>
  <c r="B412" i="16"/>
  <c r="E412" i="16"/>
  <c r="D412" i="16"/>
  <c r="D353" i="16"/>
  <c r="E353" i="16"/>
  <c r="C353" i="16"/>
  <c r="D345" i="16"/>
  <c r="E345" i="16"/>
  <c r="C345" i="16"/>
  <c r="K224" i="14"/>
  <c r="H223" i="14"/>
  <c r="B223" i="14"/>
  <c r="J221" i="14"/>
  <c r="F221" i="14"/>
  <c r="J217" i="14"/>
  <c r="F217" i="14"/>
  <c r="K208" i="14"/>
  <c r="H207" i="14"/>
  <c r="B207" i="14"/>
  <c r="J205" i="14"/>
  <c r="F205" i="14"/>
  <c r="K202" i="14"/>
  <c r="C202" i="14"/>
  <c r="H199" i="14"/>
  <c r="B199" i="14"/>
  <c r="K194" i="14"/>
  <c r="C194" i="14"/>
  <c r="H191" i="14"/>
  <c r="B191" i="14"/>
  <c r="E188" i="14"/>
  <c r="H187" i="14"/>
  <c r="B187" i="14"/>
  <c r="G186" i="14"/>
  <c r="E184" i="14"/>
  <c r="H183" i="14"/>
  <c r="B183" i="14"/>
  <c r="G182" i="14"/>
  <c r="E180" i="14"/>
  <c r="H179" i="14"/>
  <c r="B179" i="14"/>
  <c r="G178" i="14"/>
  <c r="E176" i="14"/>
  <c r="H175" i="14"/>
  <c r="B175" i="14"/>
  <c r="G174" i="14"/>
  <c r="E172" i="14"/>
  <c r="H171" i="14"/>
  <c r="B171" i="14"/>
  <c r="G170" i="14"/>
  <c r="E168" i="14"/>
  <c r="H167" i="14"/>
  <c r="B167" i="14"/>
  <c r="G166" i="14"/>
  <c r="E164" i="14"/>
  <c r="H163" i="14"/>
  <c r="B163" i="14"/>
  <c r="G162" i="14"/>
  <c r="E160" i="14"/>
  <c r="H159" i="14"/>
  <c r="B159" i="14"/>
  <c r="G158" i="14"/>
  <c r="E156" i="14"/>
  <c r="H155" i="14"/>
  <c r="B155" i="14"/>
  <c r="G154" i="14"/>
  <c r="E152" i="14"/>
  <c r="H151" i="14"/>
  <c r="B151" i="14"/>
  <c r="G150" i="14"/>
  <c r="E148" i="14"/>
  <c r="H147" i="14"/>
  <c r="B147" i="14"/>
  <c r="G146" i="14"/>
  <c r="E144" i="14"/>
  <c r="H143" i="14"/>
  <c r="B143" i="14"/>
  <c r="G142" i="14"/>
  <c r="E140" i="14"/>
  <c r="H139" i="14"/>
  <c r="B139" i="14"/>
  <c r="G138" i="14"/>
  <c r="E1491" i="16"/>
  <c r="D1489" i="16"/>
  <c r="E1479" i="16"/>
  <c r="D1477" i="16"/>
  <c r="E1427" i="16"/>
  <c r="D1425" i="16"/>
  <c r="E1415" i="16"/>
  <c r="D1413" i="16"/>
  <c r="E1399" i="16"/>
  <c r="D1397" i="16"/>
  <c r="B1378" i="16"/>
  <c r="E1378" i="16"/>
  <c r="C1375" i="16"/>
  <c r="B1375" i="16"/>
  <c r="E1373" i="16"/>
  <c r="C1371" i="16"/>
  <c r="E1371" i="16"/>
  <c r="B1362" i="16"/>
  <c r="E1362" i="16"/>
  <c r="C1359" i="16"/>
  <c r="B1359" i="16"/>
  <c r="E1357" i="16"/>
  <c r="C1355" i="16"/>
  <c r="E1355" i="16"/>
  <c r="B1346" i="16"/>
  <c r="E1346" i="16"/>
  <c r="C1343" i="16"/>
  <c r="B1343" i="16"/>
  <c r="E1341" i="16"/>
  <c r="C1339" i="16"/>
  <c r="E1339" i="16"/>
  <c r="B1330" i="16"/>
  <c r="E1330" i="16"/>
  <c r="C1327" i="16"/>
  <c r="B1327" i="16"/>
  <c r="E1325" i="16"/>
  <c r="C1323" i="16"/>
  <c r="E1323" i="16"/>
  <c r="B1314" i="16"/>
  <c r="E1314" i="16"/>
  <c r="C1311" i="16"/>
  <c r="B1311" i="16"/>
  <c r="E1309" i="16"/>
  <c r="C1307" i="16"/>
  <c r="E1307" i="16"/>
  <c r="B1301" i="16"/>
  <c r="C1301" i="16"/>
  <c r="D1296" i="16"/>
  <c r="E1296" i="16"/>
  <c r="B1293" i="16"/>
  <c r="C1293" i="16"/>
  <c r="D1288" i="16"/>
  <c r="E1288" i="16"/>
  <c r="B1285" i="16"/>
  <c r="C1285" i="16"/>
  <c r="D1280" i="16"/>
  <c r="E1280" i="16"/>
  <c r="B1277" i="16"/>
  <c r="C1277" i="16"/>
  <c r="D1272" i="16"/>
  <c r="E1272" i="16"/>
  <c r="B1269" i="16"/>
  <c r="C1269" i="16"/>
  <c r="D1264" i="16"/>
  <c r="E1264" i="16"/>
  <c r="B1261" i="16"/>
  <c r="C1261" i="16"/>
  <c r="D1256" i="16"/>
  <c r="E1256" i="16"/>
  <c r="B1253" i="16"/>
  <c r="C1253" i="16"/>
  <c r="D1248" i="16"/>
  <c r="E1248" i="16"/>
  <c r="B1245" i="16"/>
  <c r="C1245" i="16"/>
  <c r="D1240" i="16"/>
  <c r="E1240" i="16"/>
  <c r="B1237" i="16"/>
  <c r="C1237" i="16"/>
  <c r="D1232" i="16"/>
  <c r="E1232" i="16"/>
  <c r="B1229" i="16"/>
  <c r="C1229" i="16"/>
  <c r="D1224" i="16"/>
  <c r="E1224" i="16"/>
  <c r="B1221" i="16"/>
  <c r="C1221" i="16"/>
  <c r="D1216" i="16"/>
  <c r="E1216" i="16"/>
  <c r="B1213" i="16"/>
  <c r="C1213" i="16"/>
  <c r="D1208" i="16"/>
  <c r="E1208" i="16"/>
  <c r="B1205" i="16"/>
  <c r="C1205" i="16"/>
  <c r="D1200" i="16"/>
  <c r="E1200" i="16"/>
  <c r="B1197" i="16"/>
  <c r="C1197" i="16"/>
  <c r="D1192" i="16"/>
  <c r="E1192" i="16"/>
  <c r="B1189" i="16"/>
  <c r="C1189" i="16"/>
  <c r="D1184" i="16"/>
  <c r="E1184" i="16"/>
  <c r="B1181" i="16"/>
  <c r="C1181" i="16"/>
  <c r="D1176" i="16"/>
  <c r="E1176" i="16"/>
  <c r="B1173" i="16"/>
  <c r="C1173" i="16"/>
  <c r="D1168" i="16"/>
  <c r="E1168" i="16"/>
  <c r="B1165" i="16"/>
  <c r="C1165" i="16"/>
  <c r="D1160" i="16"/>
  <c r="E1160" i="16"/>
  <c r="B1157" i="16"/>
  <c r="C1157" i="16"/>
  <c r="D1152" i="16"/>
  <c r="E1152" i="16"/>
  <c r="C1128" i="16"/>
  <c r="D1128" i="16"/>
  <c r="D1105" i="16"/>
  <c r="B1105" i="16"/>
  <c r="E1105" i="16"/>
  <c r="B1100" i="16"/>
  <c r="C1100" i="16"/>
  <c r="C1098" i="16"/>
  <c r="B1098" i="16"/>
  <c r="D1098" i="16"/>
  <c r="B1091" i="16"/>
  <c r="C1091" i="16"/>
  <c r="E1091" i="16"/>
  <c r="C1074" i="16"/>
  <c r="E1074" i="16"/>
  <c r="C1072" i="16"/>
  <c r="D1072" i="16"/>
  <c r="C1060" i="16"/>
  <c r="D1060" i="16"/>
  <c r="B1035" i="16"/>
  <c r="C1035" i="16"/>
  <c r="D1035" i="16"/>
  <c r="D1033" i="16"/>
  <c r="B1033" i="16"/>
  <c r="C1033" i="16"/>
  <c r="C1000" i="16"/>
  <c r="D1000" i="16"/>
  <c r="B968" i="16"/>
  <c r="D968" i="16"/>
  <c r="E968" i="16"/>
  <c r="D961" i="16"/>
  <c r="E961" i="16"/>
  <c r="B961" i="16"/>
  <c r="C956" i="16"/>
  <c r="B956" i="16"/>
  <c r="D956" i="16"/>
  <c r="D953" i="16"/>
  <c r="C953" i="16"/>
  <c r="E953" i="16"/>
  <c r="B936" i="16"/>
  <c r="D936" i="16"/>
  <c r="E936" i="16"/>
  <c r="D929" i="16"/>
  <c r="E929" i="16"/>
  <c r="B929" i="16"/>
  <c r="C926" i="16"/>
  <c r="B926" i="16"/>
  <c r="D926" i="16"/>
  <c r="E926" i="16"/>
  <c r="C902" i="16"/>
  <c r="B902" i="16"/>
  <c r="D902" i="16"/>
  <c r="E902" i="16"/>
  <c r="D896" i="16"/>
  <c r="B896" i="16"/>
  <c r="C896" i="16"/>
  <c r="E896" i="16"/>
  <c r="C890" i="16"/>
  <c r="D890" i="16"/>
  <c r="B890" i="16"/>
  <c r="E890" i="16"/>
  <c r="E877" i="16"/>
  <c r="C877" i="16"/>
  <c r="C862" i="16"/>
  <c r="B862" i="16"/>
  <c r="D862" i="16"/>
  <c r="E862" i="16"/>
  <c r="C838" i="16"/>
  <c r="B838" i="16"/>
  <c r="D838" i="16"/>
  <c r="E838" i="16"/>
  <c r="D832" i="16"/>
  <c r="B832" i="16"/>
  <c r="C832" i="16"/>
  <c r="E832" i="16"/>
  <c r="C826" i="16"/>
  <c r="D826" i="16"/>
  <c r="B826" i="16"/>
  <c r="E826" i="16"/>
  <c r="E813" i="16"/>
  <c r="C813" i="16"/>
  <c r="B783" i="16"/>
  <c r="E783" i="16"/>
  <c r="C783" i="16"/>
  <c r="C772" i="16"/>
  <c r="B772" i="16"/>
  <c r="D772" i="16"/>
  <c r="E772" i="16"/>
  <c r="B760" i="16"/>
  <c r="C760" i="16"/>
  <c r="D760" i="16"/>
  <c r="E760" i="16"/>
  <c r="B747" i="16"/>
  <c r="C747" i="16"/>
  <c r="E747" i="16"/>
  <c r="B723" i="16"/>
  <c r="C723" i="16"/>
  <c r="E723" i="16"/>
  <c r="B711" i="16"/>
  <c r="C711" i="16"/>
  <c r="E711" i="16"/>
  <c r="D709" i="16"/>
  <c r="E709" i="16"/>
  <c r="C686" i="16"/>
  <c r="E686" i="16"/>
  <c r="B686" i="16"/>
  <c r="D686" i="16"/>
  <c r="C676" i="16"/>
  <c r="B676" i="16"/>
  <c r="D676" i="16"/>
  <c r="E676" i="16"/>
  <c r="C654" i="16"/>
  <c r="E654" i="16"/>
  <c r="B654" i="16"/>
  <c r="D654" i="16"/>
  <c r="C644" i="16"/>
  <c r="B644" i="16"/>
  <c r="D644" i="16"/>
  <c r="E644" i="16"/>
  <c r="D617" i="16"/>
  <c r="E617" i="16"/>
  <c r="B591" i="16"/>
  <c r="E591" i="16"/>
  <c r="C591" i="16"/>
  <c r="D542" i="16"/>
  <c r="B542" i="16"/>
  <c r="C542" i="16"/>
  <c r="E542" i="16"/>
  <c r="C414" i="16"/>
  <c r="B414" i="16"/>
  <c r="D414" i="16"/>
  <c r="E414" i="16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499" i="16"/>
  <c r="E1498" i="16"/>
  <c r="D1491" i="16"/>
  <c r="E1487" i="16"/>
  <c r="E1486" i="16"/>
  <c r="D1479" i="16"/>
  <c r="E1467" i="16"/>
  <c r="E1466" i="16"/>
  <c r="E1459" i="16"/>
  <c r="E1458" i="16"/>
  <c r="E1447" i="16"/>
  <c r="E1446" i="16"/>
  <c r="E1435" i="16"/>
  <c r="E1434" i="16"/>
  <c r="D1427" i="16"/>
  <c r="E1423" i="16"/>
  <c r="E1422" i="16"/>
  <c r="D1415" i="16"/>
  <c r="E1411" i="16"/>
  <c r="E1410" i="16"/>
  <c r="D1399" i="16"/>
  <c r="E1387" i="16"/>
  <c r="E1386" i="16"/>
  <c r="E1377" i="16"/>
  <c r="D1376" i="16"/>
  <c r="E1376" i="16"/>
  <c r="D1373" i="16"/>
  <c r="E1361" i="16"/>
  <c r="D1360" i="16"/>
  <c r="E1360" i="16"/>
  <c r="D1357" i="16"/>
  <c r="E1345" i="16"/>
  <c r="D1344" i="16"/>
  <c r="E1344" i="16"/>
  <c r="D1341" i="16"/>
  <c r="E1329" i="16"/>
  <c r="D1328" i="16"/>
  <c r="E1328" i="16"/>
  <c r="D1325" i="16"/>
  <c r="E1313" i="16"/>
  <c r="D1312" i="16"/>
  <c r="E1312" i="16"/>
  <c r="D1309" i="16"/>
  <c r="E1132" i="16"/>
  <c r="B1131" i="16"/>
  <c r="C1131" i="16"/>
  <c r="D1131" i="16"/>
  <c r="D1129" i="16"/>
  <c r="B1129" i="16"/>
  <c r="C1129" i="16"/>
  <c r="E1104" i="16"/>
  <c r="C1096" i="16"/>
  <c r="D1096" i="16"/>
  <c r="E1092" i="16"/>
  <c r="D1073" i="16"/>
  <c r="B1073" i="16"/>
  <c r="E1073" i="16"/>
  <c r="B1068" i="16"/>
  <c r="C1068" i="16"/>
  <c r="C1066" i="16"/>
  <c r="B1066" i="16"/>
  <c r="D1066" i="16"/>
  <c r="B1059" i="16"/>
  <c r="C1059" i="16"/>
  <c r="E1059" i="16"/>
  <c r="C1042" i="16"/>
  <c r="E1042" i="16"/>
  <c r="C1040" i="16"/>
  <c r="D1040" i="16"/>
  <c r="E1032" i="16"/>
  <c r="C1028" i="16"/>
  <c r="D1028" i="16"/>
  <c r="E1004" i="16"/>
  <c r="B1003" i="16"/>
  <c r="C1003" i="16"/>
  <c r="D1003" i="16"/>
  <c r="D1001" i="16"/>
  <c r="B1001" i="16"/>
  <c r="C1001" i="16"/>
  <c r="D973" i="16"/>
  <c r="C973" i="16"/>
  <c r="B964" i="16"/>
  <c r="C964" i="16"/>
  <c r="D964" i="16"/>
  <c r="D941" i="16"/>
  <c r="C941" i="16"/>
  <c r="B932" i="16"/>
  <c r="C932" i="16"/>
  <c r="D932" i="16"/>
  <c r="B916" i="16"/>
  <c r="D916" i="16"/>
  <c r="E916" i="16"/>
  <c r="B808" i="16"/>
  <c r="C808" i="16"/>
  <c r="D808" i="16"/>
  <c r="E808" i="16"/>
  <c r="E797" i="16"/>
  <c r="C797" i="16"/>
  <c r="B767" i="16"/>
  <c r="E767" i="16"/>
  <c r="C767" i="16"/>
  <c r="C756" i="16"/>
  <c r="B756" i="16"/>
  <c r="D756" i="16"/>
  <c r="E756" i="16"/>
  <c r="B744" i="16"/>
  <c r="C744" i="16"/>
  <c r="D744" i="16"/>
  <c r="E744" i="16"/>
  <c r="C718" i="16"/>
  <c r="E718" i="16"/>
  <c r="B718" i="16"/>
  <c r="D718" i="16"/>
  <c r="C708" i="16"/>
  <c r="B708" i="16"/>
  <c r="D708" i="16"/>
  <c r="E708" i="16"/>
  <c r="D681" i="16"/>
  <c r="E681" i="16"/>
  <c r="C666" i="16"/>
  <c r="B666" i="16"/>
  <c r="D666" i="16"/>
  <c r="E666" i="16"/>
  <c r="D649" i="16"/>
  <c r="E649" i="16"/>
  <c r="C634" i="16"/>
  <c r="B634" i="16"/>
  <c r="D634" i="16"/>
  <c r="E634" i="16"/>
  <c r="D597" i="16"/>
  <c r="E597" i="16"/>
  <c r="B595" i="16"/>
  <c r="C595" i="16"/>
  <c r="E595" i="16"/>
  <c r="B497" i="16"/>
  <c r="E497" i="16"/>
  <c r="C497" i="16"/>
  <c r="D438" i="16"/>
  <c r="C438" i="16"/>
  <c r="E438" i="16"/>
  <c r="B438" i="16"/>
  <c r="C806" i="16"/>
  <c r="E806" i="16"/>
  <c r="C786" i="16"/>
  <c r="B786" i="16"/>
  <c r="C770" i="16"/>
  <c r="B770" i="16"/>
  <c r="C754" i="16"/>
  <c r="B754" i="16"/>
  <c r="C738" i="16"/>
  <c r="B738" i="16"/>
  <c r="B731" i="16"/>
  <c r="C731" i="16"/>
  <c r="C726" i="16"/>
  <c r="E726" i="16"/>
  <c r="D717" i="16"/>
  <c r="E717" i="16"/>
  <c r="C706" i="16"/>
  <c r="B706" i="16"/>
  <c r="B699" i="16"/>
  <c r="C699" i="16"/>
  <c r="C694" i="16"/>
  <c r="E694" i="16"/>
  <c r="D685" i="16"/>
  <c r="E685" i="16"/>
  <c r="C674" i="16"/>
  <c r="B674" i="16"/>
  <c r="B667" i="16"/>
  <c r="C667" i="16"/>
  <c r="C662" i="16"/>
  <c r="E662" i="16"/>
  <c r="D653" i="16"/>
  <c r="E653" i="16"/>
  <c r="C642" i="16"/>
  <c r="B642" i="16"/>
  <c r="B635" i="16"/>
  <c r="C635" i="16"/>
  <c r="C630" i="16"/>
  <c r="E630" i="16"/>
  <c r="D621" i="16"/>
  <c r="E621" i="16"/>
  <c r="C610" i="16"/>
  <c r="B610" i="16"/>
  <c r="B603" i="16"/>
  <c r="C603" i="16"/>
  <c r="C578" i="16"/>
  <c r="B578" i="16"/>
  <c r="D578" i="16"/>
  <c r="E578" i="16"/>
  <c r="C568" i="16"/>
  <c r="E568" i="16"/>
  <c r="D568" i="16"/>
  <c r="B554" i="16"/>
  <c r="D554" i="16"/>
  <c r="E554" i="16"/>
  <c r="B514" i="16"/>
  <c r="C514" i="16"/>
  <c r="D514" i="16"/>
  <c r="C504" i="16"/>
  <c r="E504" i="16"/>
  <c r="D504" i="16"/>
  <c r="B490" i="16"/>
  <c r="D490" i="16"/>
  <c r="E490" i="16"/>
  <c r="C430" i="16"/>
  <c r="B430" i="16"/>
  <c r="D430" i="16"/>
  <c r="E430" i="16"/>
  <c r="C396" i="16"/>
  <c r="B396" i="16"/>
  <c r="E396" i="16"/>
  <c r="D396" i="16"/>
  <c r="D361" i="16"/>
  <c r="E361" i="16"/>
  <c r="C361" i="16"/>
  <c r="C266" i="16"/>
  <c r="B266" i="16"/>
  <c r="E266" i="16"/>
  <c r="E186" i="16"/>
  <c r="B186" i="16"/>
  <c r="E183" i="16"/>
  <c r="D183" i="16"/>
  <c r="D175" i="16"/>
  <c r="E175" i="16"/>
  <c r="B120" i="16"/>
  <c r="D120" i="16"/>
  <c r="E120" i="16"/>
  <c r="C120" i="16"/>
  <c r="C44" i="16"/>
  <c r="D44" i="16"/>
  <c r="E44" i="16"/>
  <c r="B44" i="16"/>
  <c r="D12" i="16"/>
  <c r="C12" i="16"/>
  <c r="E12" i="16"/>
  <c r="C974" i="16"/>
  <c r="D974" i="16"/>
  <c r="C954" i="16"/>
  <c r="D954" i="16"/>
  <c r="B947" i="16"/>
  <c r="E947" i="16"/>
  <c r="C942" i="16"/>
  <c r="D942" i="16"/>
  <c r="C918" i="16"/>
  <c r="B918" i="16"/>
  <c r="C910" i="16"/>
  <c r="B910" i="16"/>
  <c r="C906" i="16"/>
  <c r="D906" i="16"/>
  <c r="C886" i="16"/>
  <c r="B886" i="16"/>
  <c r="E884" i="16"/>
  <c r="C878" i="16"/>
  <c r="B878" i="16"/>
  <c r="C874" i="16"/>
  <c r="D874" i="16"/>
  <c r="C854" i="16"/>
  <c r="B854" i="16"/>
  <c r="E852" i="16"/>
  <c r="C846" i="16"/>
  <c r="B846" i="16"/>
  <c r="C842" i="16"/>
  <c r="D842" i="16"/>
  <c r="C822" i="16"/>
  <c r="B822" i="16"/>
  <c r="E820" i="16"/>
  <c r="C814" i="16"/>
  <c r="B814" i="16"/>
  <c r="C810" i="16"/>
  <c r="D810" i="16"/>
  <c r="C798" i="16"/>
  <c r="B798" i="16"/>
  <c r="C794" i="16"/>
  <c r="D794" i="16"/>
  <c r="B787" i="16"/>
  <c r="C787" i="16"/>
  <c r="B771" i="16"/>
  <c r="C771" i="16"/>
  <c r="B755" i="16"/>
  <c r="C755" i="16"/>
  <c r="B739" i="16"/>
  <c r="C739" i="16"/>
  <c r="C734" i="16"/>
  <c r="E734" i="16"/>
  <c r="D725" i="16"/>
  <c r="E725" i="16"/>
  <c r="E716" i="16"/>
  <c r="C714" i="16"/>
  <c r="B714" i="16"/>
  <c r="B707" i="16"/>
  <c r="C707" i="16"/>
  <c r="C702" i="16"/>
  <c r="E702" i="16"/>
  <c r="D693" i="16"/>
  <c r="E693" i="16"/>
  <c r="E684" i="16"/>
  <c r="C682" i="16"/>
  <c r="B682" i="16"/>
  <c r="B675" i="16"/>
  <c r="C675" i="16"/>
  <c r="C670" i="16"/>
  <c r="E670" i="16"/>
  <c r="D661" i="16"/>
  <c r="E661" i="16"/>
  <c r="E652" i="16"/>
  <c r="C650" i="16"/>
  <c r="B650" i="16"/>
  <c r="B643" i="16"/>
  <c r="C643" i="16"/>
  <c r="C638" i="16"/>
  <c r="E638" i="16"/>
  <c r="D629" i="16"/>
  <c r="E629" i="16"/>
  <c r="E620" i="16"/>
  <c r="C618" i="16"/>
  <c r="B618" i="16"/>
  <c r="B611" i="16"/>
  <c r="C611" i="16"/>
  <c r="C606" i="16"/>
  <c r="E606" i="16"/>
  <c r="C590" i="16"/>
  <c r="E590" i="16"/>
  <c r="B590" i="16"/>
  <c r="C588" i="16"/>
  <c r="D588" i="16"/>
  <c r="D574" i="16"/>
  <c r="B574" i="16"/>
  <c r="C574" i="16"/>
  <c r="D567" i="16"/>
  <c r="E567" i="16"/>
  <c r="B567" i="16"/>
  <c r="C567" i="16"/>
  <c r="B553" i="16"/>
  <c r="C553" i="16"/>
  <c r="D553" i="16"/>
  <c r="E553" i="16"/>
  <c r="D543" i="16"/>
  <c r="E543" i="16"/>
  <c r="B543" i="16"/>
  <c r="B529" i="16"/>
  <c r="E529" i="16"/>
  <c r="D510" i="16"/>
  <c r="B510" i="16"/>
  <c r="C510" i="16"/>
  <c r="D503" i="16"/>
  <c r="E503" i="16"/>
  <c r="B503" i="16"/>
  <c r="C503" i="16"/>
  <c r="B489" i="16"/>
  <c r="C489" i="16"/>
  <c r="D489" i="16"/>
  <c r="E489" i="16"/>
  <c r="D479" i="16"/>
  <c r="E479" i="16"/>
  <c r="B479" i="16"/>
  <c r="B465" i="16"/>
  <c r="E465" i="16"/>
  <c r="C436" i="16"/>
  <c r="B436" i="16"/>
  <c r="E436" i="16"/>
  <c r="D436" i="16"/>
  <c r="C426" i="16"/>
  <c r="D426" i="16"/>
  <c r="E426" i="16"/>
  <c r="C398" i="16"/>
  <c r="B398" i="16"/>
  <c r="D398" i="16"/>
  <c r="E398" i="16"/>
  <c r="D393" i="16"/>
  <c r="E393" i="16"/>
  <c r="C393" i="16"/>
  <c r="B386" i="16"/>
  <c r="C386" i="16"/>
  <c r="D386" i="16"/>
  <c r="D369" i="16"/>
  <c r="E369" i="16"/>
  <c r="C369" i="16"/>
  <c r="B299" i="16"/>
  <c r="E299" i="16"/>
  <c r="C299" i="16"/>
  <c r="B292" i="16"/>
  <c r="C292" i="16"/>
  <c r="E292" i="16"/>
  <c r="C290" i="16"/>
  <c r="B290" i="16"/>
  <c r="D290" i="16"/>
  <c r="B220" i="16"/>
  <c r="C220" i="16"/>
  <c r="E220" i="16"/>
  <c r="D220" i="16"/>
  <c r="C192" i="16"/>
  <c r="B192" i="16"/>
  <c r="D192" i="16"/>
  <c r="E192" i="16"/>
  <c r="D185" i="16"/>
  <c r="C185" i="16"/>
  <c r="B185" i="16"/>
  <c r="E185" i="16"/>
  <c r="D125" i="16"/>
  <c r="C125" i="16"/>
  <c r="E125" i="16"/>
  <c r="B125" i="16"/>
  <c r="D116" i="16"/>
  <c r="C116" i="16"/>
  <c r="E116" i="16"/>
  <c r="E1299" i="16"/>
  <c r="E1291" i="16"/>
  <c r="E1283" i="16"/>
  <c r="E1275" i="16"/>
  <c r="E1267" i="16"/>
  <c r="E1259" i="16"/>
  <c r="E1251" i="16"/>
  <c r="E1243" i="16"/>
  <c r="E1235" i="16"/>
  <c r="E1227" i="16"/>
  <c r="E1219" i="16"/>
  <c r="E1211" i="16"/>
  <c r="E1203" i="16"/>
  <c r="E1195" i="16"/>
  <c r="E1187" i="16"/>
  <c r="E1179" i="16"/>
  <c r="E1171" i="16"/>
  <c r="E1163" i="16"/>
  <c r="E1155" i="16"/>
  <c r="E1147" i="16"/>
  <c r="E1146" i="16"/>
  <c r="E1145" i="16"/>
  <c r="E1115" i="16"/>
  <c r="E1114" i="16"/>
  <c r="E1113" i="16"/>
  <c r="E1083" i="16"/>
  <c r="E1082" i="16"/>
  <c r="E1081" i="16"/>
  <c r="E1051" i="16"/>
  <c r="E1050" i="16"/>
  <c r="E1049" i="16"/>
  <c r="E1019" i="16"/>
  <c r="E1018" i="16"/>
  <c r="E1017" i="16"/>
  <c r="E987" i="16"/>
  <c r="E986" i="16"/>
  <c r="E985" i="16"/>
  <c r="B955" i="16"/>
  <c r="D955" i="16"/>
  <c r="E912" i="16"/>
  <c r="D884" i="16"/>
  <c r="E880" i="16"/>
  <c r="D852" i="16"/>
  <c r="E848" i="16"/>
  <c r="D820" i="16"/>
  <c r="E816" i="16"/>
  <c r="D806" i="16"/>
  <c r="E786" i="16"/>
  <c r="E784" i="16"/>
  <c r="C782" i="16"/>
  <c r="D782" i="16"/>
  <c r="C778" i="16"/>
  <c r="E778" i="16"/>
  <c r="E770" i="16"/>
  <c r="E768" i="16"/>
  <c r="C766" i="16"/>
  <c r="D766" i="16"/>
  <c r="C762" i="16"/>
  <c r="E762" i="16"/>
  <c r="E754" i="16"/>
  <c r="E752" i="16"/>
  <c r="C750" i="16"/>
  <c r="D750" i="16"/>
  <c r="C746" i="16"/>
  <c r="E746" i="16"/>
  <c r="E738" i="16"/>
  <c r="D733" i="16"/>
  <c r="E733" i="16"/>
  <c r="D726" i="16"/>
  <c r="E724" i="16"/>
  <c r="C722" i="16"/>
  <c r="B722" i="16"/>
  <c r="E719" i="16"/>
  <c r="D716" i="16"/>
  <c r="B715" i="16"/>
  <c r="C715" i="16"/>
  <c r="C710" i="16"/>
  <c r="E710" i="16"/>
  <c r="E706" i="16"/>
  <c r="D701" i="16"/>
  <c r="E701" i="16"/>
  <c r="D694" i="16"/>
  <c r="E692" i="16"/>
  <c r="C690" i="16"/>
  <c r="B690" i="16"/>
  <c r="E687" i="16"/>
  <c r="D684" i="16"/>
  <c r="B683" i="16"/>
  <c r="C683" i="16"/>
  <c r="C678" i="16"/>
  <c r="E678" i="16"/>
  <c r="E674" i="16"/>
  <c r="D669" i="16"/>
  <c r="E669" i="16"/>
  <c r="D662" i="16"/>
  <c r="C658" i="16"/>
  <c r="B658" i="16"/>
  <c r="E655" i="16"/>
  <c r="D652" i="16"/>
  <c r="B651" i="16"/>
  <c r="C651" i="16"/>
  <c r="C646" i="16"/>
  <c r="E646" i="16"/>
  <c r="E642" i="16"/>
  <c r="D637" i="16"/>
  <c r="E637" i="16"/>
  <c r="D630" i="16"/>
  <c r="C626" i="16"/>
  <c r="B626" i="16"/>
  <c r="E623" i="16"/>
  <c r="D620" i="16"/>
  <c r="B619" i="16"/>
  <c r="C619" i="16"/>
  <c r="C614" i="16"/>
  <c r="E614" i="16"/>
  <c r="E610" i="16"/>
  <c r="D605" i="16"/>
  <c r="E605" i="16"/>
  <c r="C602" i="16"/>
  <c r="B602" i="16"/>
  <c r="D602" i="16"/>
  <c r="E599" i="16"/>
  <c r="C598" i="16"/>
  <c r="E598" i="16"/>
  <c r="D598" i="16"/>
  <c r="C596" i="16"/>
  <c r="E596" i="16"/>
  <c r="D589" i="16"/>
  <c r="E589" i="16"/>
  <c r="C586" i="16"/>
  <c r="B586" i="16"/>
  <c r="B546" i="16"/>
  <c r="C546" i="16"/>
  <c r="D546" i="16"/>
  <c r="C536" i="16"/>
  <c r="E536" i="16"/>
  <c r="D536" i="16"/>
  <c r="B522" i="16"/>
  <c r="D522" i="16"/>
  <c r="E522" i="16"/>
  <c r="B482" i="16"/>
  <c r="C482" i="16"/>
  <c r="D482" i="16"/>
  <c r="C472" i="16"/>
  <c r="E472" i="16"/>
  <c r="D472" i="16"/>
  <c r="B458" i="16"/>
  <c r="D458" i="16"/>
  <c r="E458" i="16"/>
  <c r="D405" i="16"/>
  <c r="C405" i="16"/>
  <c r="E405" i="16"/>
  <c r="D377" i="16"/>
  <c r="E377" i="16"/>
  <c r="C377" i="16"/>
  <c r="B339" i="16"/>
  <c r="E339" i="16"/>
  <c r="C330" i="16"/>
  <c r="B330" i="16"/>
  <c r="E330" i="16"/>
  <c r="C594" i="16"/>
  <c r="B594" i="16"/>
  <c r="B587" i="16"/>
  <c r="C587" i="16"/>
  <c r="E585" i="16"/>
  <c r="C583" i="16"/>
  <c r="C582" i="16"/>
  <c r="E582" i="16"/>
  <c r="B580" i="16"/>
  <c r="B570" i="16"/>
  <c r="B569" i="16"/>
  <c r="E569" i="16"/>
  <c r="D565" i="16"/>
  <c r="C563" i="16"/>
  <c r="B562" i="16"/>
  <c r="D551" i="16"/>
  <c r="B551" i="16"/>
  <c r="B538" i="16"/>
  <c r="B537" i="16"/>
  <c r="E537" i="16"/>
  <c r="D533" i="16"/>
  <c r="C531" i="16"/>
  <c r="B530" i="16"/>
  <c r="D519" i="16"/>
  <c r="B519" i="16"/>
  <c r="B506" i="16"/>
  <c r="B505" i="16"/>
  <c r="E505" i="16"/>
  <c r="D501" i="16"/>
  <c r="C499" i="16"/>
  <c r="B498" i="16"/>
  <c r="D487" i="16"/>
  <c r="B487" i="16"/>
  <c r="B474" i="16"/>
  <c r="B473" i="16"/>
  <c r="E473" i="16"/>
  <c r="D469" i="16"/>
  <c r="C467" i="16"/>
  <c r="B466" i="16"/>
  <c r="D455" i="16"/>
  <c r="B455" i="16"/>
  <c r="C448" i="16"/>
  <c r="E448" i="16"/>
  <c r="C446" i="16"/>
  <c r="C444" i="16"/>
  <c r="E444" i="16"/>
  <c r="B444" i="16"/>
  <c r="C442" i="16"/>
  <c r="D442" i="16"/>
  <c r="B434" i="16"/>
  <c r="C434" i="16"/>
  <c r="C428" i="16"/>
  <c r="E428" i="16"/>
  <c r="B428" i="16"/>
  <c r="D428" i="16"/>
  <c r="C420" i="16"/>
  <c r="B420" i="16"/>
  <c r="E420" i="16"/>
  <c r="D409" i="16"/>
  <c r="E409" i="16"/>
  <c r="C409" i="16"/>
  <c r="B402" i="16"/>
  <c r="C402" i="16"/>
  <c r="D402" i="16"/>
  <c r="C298" i="16"/>
  <c r="B298" i="16"/>
  <c r="E298" i="16"/>
  <c r="B232" i="16"/>
  <c r="C232" i="16"/>
  <c r="E232" i="16"/>
  <c r="D213" i="16"/>
  <c r="B213" i="16"/>
  <c r="C213" i="16"/>
  <c r="E213" i="16"/>
  <c r="D197" i="16"/>
  <c r="E197" i="16"/>
  <c r="B197" i="16"/>
  <c r="C197" i="16"/>
  <c r="E194" i="16"/>
  <c r="D140" i="16"/>
  <c r="C140" i="16"/>
  <c r="E140" i="16"/>
  <c r="B140" i="16"/>
  <c r="B96" i="16"/>
  <c r="D96" i="16"/>
  <c r="E96" i="16"/>
  <c r="C96" i="16"/>
  <c r="D49" i="16"/>
  <c r="E49" i="16"/>
  <c r="E46" i="16"/>
  <c r="D581" i="16"/>
  <c r="E581" i="16"/>
  <c r="C560" i="16"/>
  <c r="B560" i="16"/>
  <c r="C552" i="16"/>
  <c r="B552" i="16"/>
  <c r="C528" i="16"/>
  <c r="B528" i="16"/>
  <c r="C520" i="16"/>
  <c r="B520" i="16"/>
  <c r="C496" i="16"/>
  <c r="B496" i="16"/>
  <c r="C488" i="16"/>
  <c r="B488" i="16"/>
  <c r="C464" i="16"/>
  <c r="B464" i="16"/>
  <c r="C456" i="16"/>
  <c r="B456" i="16"/>
  <c r="D422" i="16"/>
  <c r="C422" i="16"/>
  <c r="E422" i="16"/>
  <c r="B418" i="16"/>
  <c r="C418" i="16"/>
  <c r="D418" i="16"/>
  <c r="D389" i="16"/>
  <c r="C389" i="16"/>
  <c r="E389" i="16"/>
  <c r="C382" i="16"/>
  <c r="B382" i="16"/>
  <c r="D382" i="16"/>
  <c r="C380" i="16"/>
  <c r="B380" i="16"/>
  <c r="E380" i="16"/>
  <c r="B374" i="16"/>
  <c r="D374" i="16"/>
  <c r="E374" i="16"/>
  <c r="B366" i="16"/>
  <c r="D366" i="16"/>
  <c r="E366" i="16"/>
  <c r="B358" i="16"/>
  <c r="D358" i="16"/>
  <c r="E358" i="16"/>
  <c r="B350" i="16"/>
  <c r="D350" i="16"/>
  <c r="E350" i="16"/>
  <c r="B331" i="16"/>
  <c r="E331" i="16"/>
  <c r="C331" i="16"/>
  <c r="B324" i="16"/>
  <c r="C324" i="16"/>
  <c r="E324" i="16"/>
  <c r="C322" i="16"/>
  <c r="B322" i="16"/>
  <c r="D322" i="16"/>
  <c r="B267" i="16"/>
  <c r="E267" i="16"/>
  <c r="C267" i="16"/>
  <c r="B260" i="16"/>
  <c r="C260" i="16"/>
  <c r="E260" i="16"/>
  <c r="C258" i="16"/>
  <c r="B258" i="16"/>
  <c r="D258" i="16"/>
  <c r="D205" i="16"/>
  <c r="C205" i="16"/>
  <c r="B205" i="16"/>
  <c r="E205" i="16"/>
  <c r="B163" i="16"/>
  <c r="D163" i="16"/>
  <c r="E163" i="16"/>
  <c r="D157" i="16"/>
  <c r="B157" i="16"/>
  <c r="C157" i="16"/>
  <c r="E157" i="16"/>
  <c r="B151" i="16"/>
  <c r="E151" i="16"/>
  <c r="D151" i="16"/>
  <c r="B147" i="16"/>
  <c r="D147" i="16"/>
  <c r="E147" i="16"/>
  <c r="D133" i="16"/>
  <c r="C133" i="16"/>
  <c r="E133" i="16"/>
  <c r="B128" i="16"/>
  <c r="D128" i="16"/>
  <c r="E128" i="16"/>
  <c r="D108" i="16"/>
  <c r="C108" i="16"/>
  <c r="E108" i="16"/>
  <c r="B108" i="16"/>
  <c r="D92" i="16"/>
  <c r="C92" i="16"/>
  <c r="E92" i="16"/>
  <c r="D85" i="16"/>
  <c r="C85" i="16"/>
  <c r="E85" i="16"/>
  <c r="D77" i="16"/>
  <c r="B77" i="16"/>
  <c r="C77" i="16"/>
  <c r="C74" i="16"/>
  <c r="E74" i="16"/>
  <c r="B52" i="16"/>
  <c r="E52" i="16"/>
  <c r="D413" i="16"/>
  <c r="C413" i="16"/>
  <c r="D397" i="16"/>
  <c r="C397" i="16"/>
  <c r="D381" i="16"/>
  <c r="C381" i="16"/>
  <c r="C344" i="16"/>
  <c r="D344" i="16"/>
  <c r="E344" i="16"/>
  <c r="C320" i="16"/>
  <c r="D320" i="16"/>
  <c r="C288" i="16"/>
  <c r="D288" i="16"/>
  <c r="C256" i="16"/>
  <c r="D256" i="16"/>
  <c r="D229" i="16"/>
  <c r="B229" i="16"/>
  <c r="C229" i="16"/>
  <c r="D193" i="16"/>
  <c r="B193" i="16"/>
  <c r="C193" i="16"/>
  <c r="E193" i="16"/>
  <c r="D165" i="16"/>
  <c r="E165" i="16"/>
  <c r="B165" i="16"/>
  <c r="C165" i="16"/>
  <c r="C156" i="16"/>
  <c r="B156" i="16"/>
  <c r="D156" i="16"/>
  <c r="D149" i="16"/>
  <c r="E149" i="16"/>
  <c r="B149" i="16"/>
  <c r="C149" i="16"/>
  <c r="D141" i="16"/>
  <c r="C141" i="16"/>
  <c r="E141" i="16"/>
  <c r="B136" i="16"/>
  <c r="D136" i="16"/>
  <c r="E136" i="16"/>
  <c r="D124" i="16"/>
  <c r="C124" i="16"/>
  <c r="E124" i="16"/>
  <c r="D109" i="16"/>
  <c r="C109" i="16"/>
  <c r="E109" i="16"/>
  <c r="B104" i="16"/>
  <c r="D104" i="16"/>
  <c r="E104" i="16"/>
  <c r="B88" i="16"/>
  <c r="D88" i="16"/>
  <c r="E88" i="16"/>
  <c r="D32" i="16"/>
  <c r="B32" i="16"/>
  <c r="C32" i="16"/>
  <c r="E32" i="16"/>
  <c r="E410" i="16"/>
  <c r="C408" i="16"/>
  <c r="D408" i="16"/>
  <c r="C404" i="16"/>
  <c r="E404" i="16"/>
  <c r="E394" i="16"/>
  <c r="C392" i="16"/>
  <c r="D392" i="16"/>
  <c r="C388" i="16"/>
  <c r="E388" i="16"/>
  <c r="E378" i="16"/>
  <c r="C376" i="16"/>
  <c r="D376" i="16"/>
  <c r="E370" i="16"/>
  <c r="C368" i="16"/>
  <c r="D368" i="16"/>
  <c r="E362" i="16"/>
  <c r="C360" i="16"/>
  <c r="D360" i="16"/>
  <c r="E354" i="16"/>
  <c r="C352" i="16"/>
  <c r="D352" i="16"/>
  <c r="B342" i="16"/>
  <c r="C342" i="16"/>
  <c r="B328" i="16"/>
  <c r="C328" i="16"/>
  <c r="B323" i="16"/>
  <c r="C323" i="16"/>
  <c r="D323" i="16"/>
  <c r="D321" i="16"/>
  <c r="B321" i="16"/>
  <c r="C321" i="16"/>
  <c r="B316" i="16"/>
  <c r="C316" i="16"/>
  <c r="D313" i="16"/>
  <c r="E313" i="16"/>
  <c r="B296" i="16"/>
  <c r="C296" i="16"/>
  <c r="B291" i="16"/>
  <c r="C291" i="16"/>
  <c r="D291" i="16"/>
  <c r="D289" i="16"/>
  <c r="B289" i="16"/>
  <c r="C289" i="16"/>
  <c r="B284" i="16"/>
  <c r="C284" i="16"/>
  <c r="D281" i="16"/>
  <c r="E281" i="16"/>
  <c r="B264" i="16"/>
  <c r="C264" i="16"/>
  <c r="B259" i="16"/>
  <c r="C259" i="16"/>
  <c r="D259" i="16"/>
  <c r="D257" i="16"/>
  <c r="B257" i="16"/>
  <c r="C257" i="16"/>
  <c r="B252" i="16"/>
  <c r="C252" i="16"/>
  <c r="D249" i="16"/>
  <c r="E249" i="16"/>
  <c r="B236" i="16"/>
  <c r="C236" i="16"/>
  <c r="B216" i="16"/>
  <c r="C216" i="16"/>
  <c r="C212" i="16"/>
  <c r="D212" i="16"/>
  <c r="D207" i="16"/>
  <c r="E207" i="16"/>
  <c r="D204" i="16"/>
  <c r="B204" i="16"/>
  <c r="C204" i="16"/>
  <c r="D184" i="16"/>
  <c r="B184" i="16"/>
  <c r="C184" i="16"/>
  <c r="D173" i="16"/>
  <c r="C173" i="16"/>
  <c r="B173" i="16"/>
  <c r="E173" i="16"/>
  <c r="B160" i="16"/>
  <c r="D160" i="16"/>
  <c r="E160" i="16"/>
  <c r="B144" i="16"/>
  <c r="D144" i="16"/>
  <c r="E144" i="16"/>
  <c r="D132" i="16"/>
  <c r="C132" i="16"/>
  <c r="E132" i="16"/>
  <c r="D117" i="16"/>
  <c r="C117" i="16"/>
  <c r="E117" i="16"/>
  <c r="B112" i="16"/>
  <c r="D112" i="16"/>
  <c r="E112" i="16"/>
  <c r="D100" i="16"/>
  <c r="C100" i="16"/>
  <c r="E100" i="16"/>
  <c r="D93" i="16"/>
  <c r="C93" i="16"/>
  <c r="E93" i="16"/>
  <c r="D84" i="16"/>
  <c r="C84" i="16"/>
  <c r="E84" i="16"/>
  <c r="D201" i="16"/>
  <c r="C201" i="16"/>
  <c r="D189" i="16"/>
  <c r="C189" i="16"/>
  <c r="D181" i="16"/>
  <c r="E181" i="16"/>
  <c r="D177" i="16"/>
  <c r="B177" i="16"/>
  <c r="D169" i="16"/>
  <c r="C169" i="16"/>
  <c r="B155" i="16"/>
  <c r="D155" i="16"/>
  <c r="D153" i="16"/>
  <c r="C153" i="16"/>
  <c r="C56" i="16"/>
  <c r="D56" i="16"/>
  <c r="E56" i="16"/>
  <c r="B45" i="16"/>
  <c r="C45" i="16"/>
  <c r="B43" i="16"/>
  <c r="D43" i="16"/>
  <c r="E43" i="16"/>
  <c r="C40" i="16"/>
  <c r="D40" i="16"/>
  <c r="E40" i="16"/>
  <c r="B33" i="16"/>
  <c r="E23" i="16"/>
  <c r="E20" i="16"/>
  <c r="E337" i="16"/>
  <c r="E307" i="16"/>
  <c r="E306" i="16"/>
  <c r="E305" i="16"/>
  <c r="E275" i="16"/>
  <c r="E274" i="16"/>
  <c r="E273" i="16"/>
  <c r="E243" i="16"/>
  <c r="E242" i="16"/>
  <c r="E241" i="16"/>
  <c r="E225" i="16"/>
  <c r="E209" i="16"/>
  <c r="E208" i="16"/>
  <c r="E200" i="16"/>
  <c r="E199" i="16"/>
  <c r="D199" i="16"/>
  <c r="E188" i="16"/>
  <c r="E176" i="16"/>
  <c r="E168" i="16"/>
  <c r="E167" i="16"/>
  <c r="D167" i="16"/>
  <c r="E152" i="16"/>
  <c r="B139" i="16"/>
  <c r="E139" i="16"/>
  <c r="B131" i="16"/>
  <c r="E131" i="16"/>
  <c r="B123" i="16"/>
  <c r="E123" i="16"/>
  <c r="B115" i="16"/>
  <c r="E115" i="16"/>
  <c r="B107" i="16"/>
  <c r="E107" i="16"/>
  <c r="B99" i="16"/>
  <c r="E99" i="16"/>
  <c r="B91" i="16"/>
  <c r="E91" i="16"/>
  <c r="B83" i="16"/>
  <c r="E83" i="16"/>
  <c r="C76" i="16"/>
  <c r="D76" i="16"/>
  <c r="B8" i="16"/>
  <c r="E64" i="16"/>
  <c r="B48" i="16"/>
  <c r="E29" i="16"/>
  <c r="E25" i="16"/>
  <c r="E79" i="16"/>
  <c r="E77" i="16"/>
  <c r="E73" i="16"/>
  <c r="B72" i="16"/>
  <c r="B69" i="16"/>
  <c r="C68" i="16"/>
  <c r="D67" i="16"/>
  <c r="C65" i="16"/>
  <c r="C61" i="16"/>
  <c r="E58" i="16"/>
  <c r="B56" i="16"/>
  <c r="B57" i="16" s="1"/>
  <c r="B53" i="16"/>
  <c r="C52" i="16"/>
  <c r="E50" i="16"/>
  <c r="B49" i="16"/>
  <c r="E47" i="16"/>
  <c r="B40" i="16"/>
  <c r="D35" i="16"/>
  <c r="C33" i="16"/>
  <c r="E31" i="16"/>
  <c r="B24" i="16"/>
  <c r="B21" i="16"/>
  <c r="C20" i="16"/>
  <c r="D19" i="16"/>
  <c r="B17" i="16"/>
  <c r="C16" i="16"/>
  <c r="D15" i="16"/>
  <c r="C13" i="16"/>
  <c r="C9" i="16"/>
  <c r="D68" i="16"/>
  <c r="E67" i="16"/>
  <c r="E65" i="16"/>
  <c r="E61" i="16"/>
  <c r="C53" i="16"/>
  <c r="D52" i="16"/>
  <c r="C49" i="16"/>
  <c r="E35" i="16"/>
  <c r="D23" i="16"/>
  <c r="D20" i="16"/>
  <c r="E19" i="16"/>
  <c r="D16" i="16"/>
  <c r="E15" i="16"/>
  <c r="E13" i="16"/>
  <c r="E9" i="16"/>
  <c r="E6" i="16"/>
  <c r="D79" i="16"/>
  <c r="E70" i="16"/>
  <c r="B65" i="16"/>
  <c r="E62" i="16"/>
  <c r="B61" i="16"/>
  <c r="D47" i="16"/>
  <c r="B36" i="16"/>
  <c r="D31" i="16"/>
  <c r="E22" i="16"/>
  <c r="B13" i="16"/>
  <c r="E10" i="16"/>
  <c r="B9" i="16"/>
  <c r="E7" i="16"/>
  <c r="D921" i="16"/>
  <c r="B921" i="16"/>
  <c r="B919" i="16"/>
  <c r="D919" i="16"/>
  <c r="D905" i="16"/>
  <c r="B905" i="16"/>
  <c r="B903" i="16"/>
  <c r="D903" i="16"/>
  <c r="D889" i="16"/>
  <c r="B889" i="16"/>
  <c r="B887" i="16"/>
  <c r="D887" i="16"/>
  <c r="D873" i="16"/>
  <c r="B873" i="16"/>
  <c r="B871" i="16"/>
  <c r="D871" i="16"/>
  <c r="D857" i="16"/>
  <c r="B857" i="16"/>
  <c r="B855" i="16"/>
  <c r="D855" i="16"/>
  <c r="D841" i="16"/>
  <c r="B841" i="16"/>
  <c r="B839" i="16"/>
  <c r="D839" i="16"/>
  <c r="D825" i="16"/>
  <c r="B825" i="16"/>
  <c r="B823" i="16"/>
  <c r="D823" i="16"/>
  <c r="D809" i="16"/>
  <c r="B809" i="16"/>
  <c r="B807" i="16"/>
  <c r="D807" i="16"/>
  <c r="D793" i="16"/>
  <c r="B793" i="16"/>
  <c r="D785" i="16"/>
  <c r="C785" i="16"/>
  <c r="B785" i="16"/>
  <c r="D777" i="16"/>
  <c r="C777" i="16"/>
  <c r="B777" i="16"/>
  <c r="D769" i="16"/>
  <c r="C769" i="16"/>
  <c r="B769" i="16"/>
  <c r="D761" i="16"/>
  <c r="C761" i="16"/>
  <c r="B761" i="16"/>
  <c r="D753" i="16"/>
  <c r="C753" i="16"/>
  <c r="B753" i="16"/>
  <c r="D745" i="16"/>
  <c r="C745" i="16"/>
  <c r="B745" i="16"/>
  <c r="E1496" i="16"/>
  <c r="E1480" i="16"/>
  <c r="E1472" i="16"/>
  <c r="E1456" i="16"/>
  <c r="E1452" i="16"/>
  <c r="E1444" i="16"/>
  <c r="E1440" i="16"/>
  <c r="E1432" i="16"/>
  <c r="E1424" i="16"/>
  <c r="E1404" i="16"/>
  <c r="E1400" i="16"/>
  <c r="D917" i="16"/>
  <c r="B917" i="16"/>
  <c r="B915" i="16"/>
  <c r="D915" i="16"/>
  <c r="D901" i="16"/>
  <c r="B901" i="16"/>
  <c r="B899" i="16"/>
  <c r="D899" i="16"/>
  <c r="D885" i="16"/>
  <c r="B885" i="16"/>
  <c r="B883" i="16"/>
  <c r="D883" i="16"/>
  <c r="D869" i="16"/>
  <c r="B869" i="16"/>
  <c r="B867" i="16"/>
  <c r="D867" i="16"/>
  <c r="D853" i="16"/>
  <c r="B853" i="16"/>
  <c r="B851" i="16"/>
  <c r="D851" i="16"/>
  <c r="D837" i="16"/>
  <c r="B837" i="16"/>
  <c r="B835" i="16"/>
  <c r="D835" i="16"/>
  <c r="D821" i="16"/>
  <c r="B821" i="16"/>
  <c r="B819" i="16"/>
  <c r="D819" i="16"/>
  <c r="D805" i="16"/>
  <c r="B805" i="16"/>
  <c r="B803" i="16"/>
  <c r="D803" i="16"/>
  <c r="E1488" i="16"/>
  <c r="E1416" i="16"/>
  <c r="E1412" i="16"/>
  <c r="E1408" i="16"/>
  <c r="E1392" i="16"/>
  <c r="B1500" i="16"/>
  <c r="D1498" i="16"/>
  <c r="B1496" i="16"/>
  <c r="D1494" i="16"/>
  <c r="B1492" i="16"/>
  <c r="D1490" i="16"/>
  <c r="B1488" i="16"/>
  <c r="D1486" i="16"/>
  <c r="B1484" i="16"/>
  <c r="D1482" i="16"/>
  <c r="B1480" i="16"/>
  <c r="D1478" i="16"/>
  <c r="B1476" i="16"/>
  <c r="D1474" i="16"/>
  <c r="B1472" i="16"/>
  <c r="D1470" i="16"/>
  <c r="B1468" i="16"/>
  <c r="D1466" i="16"/>
  <c r="B1464" i="16"/>
  <c r="D1462" i="16"/>
  <c r="B1460" i="16"/>
  <c r="D1458" i="16"/>
  <c r="B1456" i="16"/>
  <c r="D1454" i="16"/>
  <c r="B1452" i="16"/>
  <c r="D1450" i="16"/>
  <c r="B1448" i="16"/>
  <c r="D1446" i="16"/>
  <c r="B1444" i="16"/>
  <c r="D1442" i="16"/>
  <c r="B1440" i="16"/>
  <c r="D1438" i="16"/>
  <c r="B1436" i="16"/>
  <c r="D1434" i="16"/>
  <c r="B1432" i="16"/>
  <c r="D1430" i="16"/>
  <c r="B1428" i="16"/>
  <c r="D1426" i="16"/>
  <c r="B1424" i="16"/>
  <c r="D1422" i="16"/>
  <c r="B1420" i="16"/>
  <c r="D1418" i="16"/>
  <c r="B1416" i="16"/>
  <c r="D1414" i="16"/>
  <c r="B1412" i="16"/>
  <c r="D1410" i="16"/>
  <c r="B1408" i="16"/>
  <c r="D1406" i="16"/>
  <c r="B1404" i="16"/>
  <c r="D1402" i="16"/>
  <c r="B1400" i="16"/>
  <c r="D1398" i="16"/>
  <c r="B1396" i="16"/>
  <c r="D1394" i="16"/>
  <c r="B1392" i="16"/>
  <c r="D1390" i="16"/>
  <c r="B1388" i="16"/>
  <c r="D1386" i="16"/>
  <c r="B1384" i="16"/>
  <c r="D1382" i="16"/>
  <c r="B1380" i="16"/>
  <c r="D1378" i="16"/>
  <c r="B1376" i="16"/>
  <c r="D1374" i="16"/>
  <c r="B1372" i="16"/>
  <c r="D1370" i="16"/>
  <c r="B1368" i="16"/>
  <c r="D1366" i="16"/>
  <c r="B1364" i="16"/>
  <c r="D1362" i="16"/>
  <c r="B1360" i="16"/>
  <c r="D1358" i="16"/>
  <c r="B1356" i="16"/>
  <c r="D1354" i="16"/>
  <c r="B1352" i="16"/>
  <c r="D1350" i="16"/>
  <c r="B1348" i="16"/>
  <c r="D1346" i="16"/>
  <c r="B1344" i="16"/>
  <c r="D1342" i="16"/>
  <c r="B1340" i="16"/>
  <c r="D1338" i="16"/>
  <c r="B1336" i="16"/>
  <c r="D1334" i="16"/>
  <c r="B1332" i="16"/>
  <c r="D1330" i="16"/>
  <c r="B1328" i="16"/>
  <c r="D1326" i="16"/>
  <c r="B1324" i="16"/>
  <c r="D1322" i="16"/>
  <c r="B1320" i="16"/>
  <c r="D1318" i="16"/>
  <c r="B1316" i="16"/>
  <c r="D1314" i="16"/>
  <c r="B1312" i="16"/>
  <c r="D1310" i="16"/>
  <c r="B1308" i="16"/>
  <c r="D1306" i="16"/>
  <c r="B1304" i="16"/>
  <c r="D1302" i="16"/>
  <c r="B1300" i="16"/>
  <c r="D1298" i="16"/>
  <c r="B1296" i="16"/>
  <c r="D1294" i="16"/>
  <c r="B1292" i="16"/>
  <c r="D1290" i="16"/>
  <c r="B1288" i="16"/>
  <c r="D1286" i="16"/>
  <c r="B1284" i="16"/>
  <c r="D1282" i="16"/>
  <c r="B1280" i="16"/>
  <c r="D1278" i="16"/>
  <c r="B1276" i="16"/>
  <c r="D1274" i="16"/>
  <c r="B1272" i="16"/>
  <c r="D1270" i="16"/>
  <c r="B1268" i="16"/>
  <c r="D1266" i="16"/>
  <c r="B1264" i="16"/>
  <c r="D1262" i="16"/>
  <c r="B1260" i="16"/>
  <c r="D1258" i="16"/>
  <c r="B1256" i="16"/>
  <c r="D1254" i="16"/>
  <c r="B1252" i="16"/>
  <c r="D1250" i="16"/>
  <c r="B1248" i="16"/>
  <c r="D1246" i="16"/>
  <c r="B1244" i="16"/>
  <c r="D1242" i="16"/>
  <c r="B1240" i="16"/>
  <c r="D1238" i="16"/>
  <c r="B1236" i="16"/>
  <c r="D1234" i="16"/>
  <c r="B1232" i="16"/>
  <c r="D1230" i="16"/>
  <c r="B1228" i="16"/>
  <c r="D1226" i="16"/>
  <c r="B1224" i="16"/>
  <c r="D1222" i="16"/>
  <c r="B1220" i="16"/>
  <c r="D1218" i="16"/>
  <c r="B1216" i="16"/>
  <c r="D1214" i="16"/>
  <c r="B1212" i="16"/>
  <c r="D1210" i="16"/>
  <c r="B1208" i="16"/>
  <c r="D1206" i="16"/>
  <c r="B1204" i="16"/>
  <c r="D1202" i="16"/>
  <c r="B1200" i="16"/>
  <c r="D1198" i="16"/>
  <c r="B1196" i="16"/>
  <c r="D1194" i="16"/>
  <c r="B1192" i="16"/>
  <c r="D1190" i="16"/>
  <c r="B1188" i="16"/>
  <c r="D1186" i="16"/>
  <c r="B1184" i="16"/>
  <c r="D1182" i="16"/>
  <c r="B1180" i="16"/>
  <c r="D1178" i="16"/>
  <c r="B1176" i="16"/>
  <c r="D1174" i="16"/>
  <c r="B1172" i="16"/>
  <c r="D1170" i="16"/>
  <c r="B1168" i="16"/>
  <c r="D1166" i="16"/>
  <c r="B1164" i="16"/>
  <c r="D1162" i="16"/>
  <c r="B1160" i="16"/>
  <c r="D1158" i="16"/>
  <c r="B1156" i="16"/>
  <c r="D1154" i="16"/>
  <c r="B1152" i="16"/>
  <c r="D1150" i="16"/>
  <c r="E1149" i="16"/>
  <c r="C1143" i="16"/>
  <c r="B1142" i="16"/>
  <c r="B1141" i="16"/>
  <c r="D1139" i="16"/>
  <c r="D1138" i="16"/>
  <c r="C1137" i="16"/>
  <c r="E1135" i="16"/>
  <c r="E1134" i="16"/>
  <c r="E1133" i="16"/>
  <c r="C1127" i="16"/>
  <c r="B1126" i="16"/>
  <c r="B1125" i="16"/>
  <c r="D1123" i="16"/>
  <c r="D1122" i="16"/>
  <c r="C1121" i="16"/>
  <c r="E1119" i="16"/>
  <c r="E1118" i="16"/>
  <c r="E1117" i="16"/>
  <c r="C1111" i="16"/>
  <c r="B1110" i="16"/>
  <c r="B1109" i="16"/>
  <c r="D1107" i="16"/>
  <c r="D1106" i="16"/>
  <c r="C1105" i="16"/>
  <c r="E1103" i="16"/>
  <c r="E1102" i="16"/>
  <c r="E1101" i="16"/>
  <c r="C1095" i="16"/>
  <c r="B1094" i="16"/>
  <c r="B1093" i="16"/>
  <c r="D1091" i="16"/>
  <c r="D1090" i="16"/>
  <c r="C1089" i="16"/>
  <c r="E1087" i="16"/>
  <c r="E1086" i="16"/>
  <c r="E1085" i="16"/>
  <c r="C1079" i="16"/>
  <c r="B1078" i="16"/>
  <c r="B1077" i="16"/>
  <c r="D1075" i="16"/>
  <c r="D1074" i="16"/>
  <c r="C1073" i="16"/>
  <c r="E1071" i="16"/>
  <c r="E1070" i="16"/>
  <c r="E1069" i="16"/>
  <c r="C1063" i="16"/>
  <c r="B1062" i="16"/>
  <c r="B1061" i="16"/>
  <c r="D1059" i="16"/>
  <c r="D1058" i="16"/>
  <c r="C1057" i="16"/>
  <c r="E1055" i="16"/>
  <c r="E1054" i="16"/>
  <c r="E1053" i="16"/>
  <c r="C1047" i="16"/>
  <c r="B1046" i="16"/>
  <c r="B1045" i="16"/>
  <c r="D1043" i="16"/>
  <c r="D1042" i="16"/>
  <c r="C1041" i="16"/>
  <c r="E1039" i="16"/>
  <c r="E1038" i="16"/>
  <c r="E1037" i="16"/>
  <c r="C1031" i="16"/>
  <c r="B1030" i="16"/>
  <c r="B1029" i="16"/>
  <c r="D1027" i="16"/>
  <c r="D1026" i="16"/>
  <c r="C1025" i="16"/>
  <c r="E1023" i="16"/>
  <c r="E1022" i="16"/>
  <c r="E1021" i="16"/>
  <c r="C1015" i="16"/>
  <c r="B1014" i="16"/>
  <c r="B1013" i="16"/>
  <c r="D1011" i="16"/>
  <c r="D1010" i="16"/>
  <c r="C1009" i="16"/>
  <c r="E1007" i="16"/>
  <c r="E1006" i="16"/>
  <c r="E1005" i="16"/>
  <c r="C999" i="16"/>
  <c r="B998" i="16"/>
  <c r="B997" i="16"/>
  <c r="D995" i="16"/>
  <c r="D994" i="16"/>
  <c r="C993" i="16"/>
  <c r="E991" i="16"/>
  <c r="E990" i="16"/>
  <c r="E989" i="16"/>
  <c r="C983" i="16"/>
  <c r="B982" i="16"/>
  <c r="B981" i="16"/>
  <c r="D979" i="16"/>
  <c r="D978" i="16"/>
  <c r="C977" i="16"/>
  <c r="E975" i="16"/>
  <c r="E974" i="16"/>
  <c r="E973" i="16"/>
  <c r="C967" i="16"/>
  <c r="B966" i="16"/>
  <c r="B965" i="16"/>
  <c r="D963" i="16"/>
  <c r="D962" i="16"/>
  <c r="C961" i="16"/>
  <c r="E959" i="16"/>
  <c r="E958" i="16"/>
  <c r="E957" i="16"/>
  <c r="C951" i="16"/>
  <c r="B950" i="16"/>
  <c r="B949" i="16"/>
  <c r="D947" i="16"/>
  <c r="D946" i="16"/>
  <c r="C945" i="16"/>
  <c r="E943" i="16"/>
  <c r="E942" i="16"/>
  <c r="E941" i="16"/>
  <c r="C935" i="16"/>
  <c r="B934" i="16"/>
  <c r="B933" i="16"/>
  <c r="D931" i="16"/>
  <c r="D930" i="16"/>
  <c r="C929" i="16"/>
  <c r="E927" i="16"/>
  <c r="C921" i="16"/>
  <c r="C919" i="16"/>
  <c r="C905" i="16"/>
  <c r="C903" i="16"/>
  <c r="C889" i="16"/>
  <c r="C887" i="16"/>
  <c r="C873" i="16"/>
  <c r="C871" i="16"/>
  <c r="C857" i="16"/>
  <c r="C855" i="16"/>
  <c r="C841" i="16"/>
  <c r="C839" i="16"/>
  <c r="C825" i="16"/>
  <c r="C823" i="16"/>
  <c r="C809" i="16"/>
  <c r="C807" i="16"/>
  <c r="C793" i="16"/>
  <c r="E785" i="16"/>
  <c r="E777" i="16"/>
  <c r="E769" i="16"/>
  <c r="E761" i="16"/>
  <c r="E753" i="16"/>
  <c r="E745" i="16"/>
  <c r="D913" i="16"/>
  <c r="B913" i="16"/>
  <c r="B911" i="16"/>
  <c r="D911" i="16"/>
  <c r="D897" i="16"/>
  <c r="B897" i="16"/>
  <c r="B895" i="16"/>
  <c r="D895" i="16"/>
  <c r="D881" i="16"/>
  <c r="B881" i="16"/>
  <c r="B879" i="16"/>
  <c r="D879" i="16"/>
  <c r="D865" i="16"/>
  <c r="B865" i="16"/>
  <c r="B863" i="16"/>
  <c r="D863" i="16"/>
  <c r="D849" i="16"/>
  <c r="B849" i="16"/>
  <c r="B847" i="16"/>
  <c r="D847" i="16"/>
  <c r="D833" i="16"/>
  <c r="B833" i="16"/>
  <c r="B831" i="16"/>
  <c r="D831" i="16"/>
  <c r="D817" i="16"/>
  <c r="B817" i="16"/>
  <c r="B815" i="16"/>
  <c r="D815" i="16"/>
  <c r="D801" i="16"/>
  <c r="B801" i="16"/>
  <c r="B799" i="16"/>
  <c r="D799" i="16"/>
  <c r="D789" i="16"/>
  <c r="C789" i="16"/>
  <c r="B789" i="16"/>
  <c r="D781" i="16"/>
  <c r="C781" i="16"/>
  <c r="B781" i="16"/>
  <c r="D773" i="16"/>
  <c r="C773" i="16"/>
  <c r="B773" i="16"/>
  <c r="D765" i="16"/>
  <c r="C765" i="16"/>
  <c r="B765" i="16"/>
  <c r="D757" i="16"/>
  <c r="C757" i="16"/>
  <c r="B757" i="16"/>
  <c r="D749" i="16"/>
  <c r="C749" i="16"/>
  <c r="B749" i="16"/>
  <c r="D741" i="16"/>
  <c r="C741" i="16"/>
  <c r="B741" i="16"/>
  <c r="C1500" i="16"/>
  <c r="C1496" i="16"/>
  <c r="C1492" i="16"/>
  <c r="C1488" i="16"/>
  <c r="C1484" i="16"/>
  <c r="C1480" i="16"/>
  <c r="C1476" i="16"/>
  <c r="C1472" i="16"/>
  <c r="C1468" i="16"/>
  <c r="C1464" i="16"/>
  <c r="C1460" i="16"/>
  <c r="C1456" i="16"/>
  <c r="C1452" i="16"/>
  <c r="C1448" i="16"/>
  <c r="C1444" i="16"/>
  <c r="C1440" i="16"/>
  <c r="C1436" i="16"/>
  <c r="C1432" i="16"/>
  <c r="C1428" i="16"/>
  <c r="C1424" i="16"/>
  <c r="C1420" i="16"/>
  <c r="C1416" i="16"/>
  <c r="C1412" i="16"/>
  <c r="C1408" i="16"/>
  <c r="C1404" i="16"/>
  <c r="C1400" i="16"/>
  <c r="C1396" i="16"/>
  <c r="C1392" i="16"/>
  <c r="C1388" i="16"/>
  <c r="C1384" i="16"/>
  <c r="C1380" i="16"/>
  <c r="C1376" i="16"/>
  <c r="C1372" i="16"/>
  <c r="C1368" i="16"/>
  <c r="C1364" i="16"/>
  <c r="C1360" i="16"/>
  <c r="C1356" i="16"/>
  <c r="C1352" i="16"/>
  <c r="C1348" i="16"/>
  <c r="C1344" i="16"/>
  <c r="C1340" i="16"/>
  <c r="C1336" i="16"/>
  <c r="C1332" i="16"/>
  <c r="C1328" i="16"/>
  <c r="C1324" i="16"/>
  <c r="C1320" i="16"/>
  <c r="C1316" i="16"/>
  <c r="C1312" i="16"/>
  <c r="C1308" i="16"/>
  <c r="C1304" i="16"/>
  <c r="C1300" i="16"/>
  <c r="C1296" i="16"/>
  <c r="C1292" i="16"/>
  <c r="C1288" i="16"/>
  <c r="C1284" i="16"/>
  <c r="C1280" i="16"/>
  <c r="C1276" i="16"/>
  <c r="C1272" i="16"/>
  <c r="C1268" i="16"/>
  <c r="C1264" i="16"/>
  <c r="C1260" i="16"/>
  <c r="C1256" i="16"/>
  <c r="C1252" i="16"/>
  <c r="C1248" i="16"/>
  <c r="C1244" i="16"/>
  <c r="C1240" i="16"/>
  <c r="C1236" i="16"/>
  <c r="C1232" i="16"/>
  <c r="C1228" i="16"/>
  <c r="C1224" i="16"/>
  <c r="C1220" i="16"/>
  <c r="C1216" i="16"/>
  <c r="C1212" i="16"/>
  <c r="C1208" i="16"/>
  <c r="C1204" i="16"/>
  <c r="C1200" i="16"/>
  <c r="C1196" i="16"/>
  <c r="C1192" i="16"/>
  <c r="C1188" i="16"/>
  <c r="C1184" i="16"/>
  <c r="C1180" i="16"/>
  <c r="C1176" i="16"/>
  <c r="C1172" i="16"/>
  <c r="C1168" i="16"/>
  <c r="C1164" i="16"/>
  <c r="C1160" i="16"/>
  <c r="C1156" i="16"/>
  <c r="C1152" i="16"/>
  <c r="D1143" i="16"/>
  <c r="D1142" i="16"/>
  <c r="C1141" i="16"/>
  <c r="D1127" i="16"/>
  <c r="D1126" i="16"/>
  <c r="C1125" i="16"/>
  <c r="D1111" i="16"/>
  <c r="D1110" i="16"/>
  <c r="C1109" i="16"/>
  <c r="D1095" i="16"/>
  <c r="D1094" i="16"/>
  <c r="C1093" i="16"/>
  <c r="D1079" i="16"/>
  <c r="D1078" i="16"/>
  <c r="C1077" i="16"/>
  <c r="D1063" i="16"/>
  <c r="D1062" i="16"/>
  <c r="C1061" i="16"/>
  <c r="D1047" i="16"/>
  <c r="D1046" i="16"/>
  <c r="C1045" i="16"/>
  <c r="D1031" i="16"/>
  <c r="D1030" i="16"/>
  <c r="C1029" i="16"/>
  <c r="D1015" i="16"/>
  <c r="D1014" i="16"/>
  <c r="C1013" i="16"/>
  <c r="D999" i="16"/>
  <c r="D998" i="16"/>
  <c r="C997" i="16"/>
  <c r="D983" i="16"/>
  <c r="D982" i="16"/>
  <c r="C981" i="16"/>
  <c r="D967" i="16"/>
  <c r="D966" i="16"/>
  <c r="C965" i="16"/>
  <c r="D951" i="16"/>
  <c r="D950" i="16"/>
  <c r="C949" i="16"/>
  <c r="D935" i="16"/>
  <c r="D934" i="16"/>
  <c r="C933" i="16"/>
  <c r="E921" i="16"/>
  <c r="E919" i="16"/>
  <c r="E905" i="16"/>
  <c r="E903" i="16"/>
  <c r="E889" i="16"/>
  <c r="E887" i="16"/>
  <c r="E873" i="16"/>
  <c r="E871" i="16"/>
  <c r="E857" i="16"/>
  <c r="E855" i="16"/>
  <c r="E841" i="16"/>
  <c r="E839" i="16"/>
  <c r="E825" i="16"/>
  <c r="E823" i="16"/>
  <c r="D925" i="16"/>
  <c r="B925" i="16"/>
  <c r="B923" i="16"/>
  <c r="D923" i="16"/>
  <c r="D909" i="16"/>
  <c r="B909" i="16"/>
  <c r="B907" i="16"/>
  <c r="D907" i="16"/>
  <c r="D893" i="16"/>
  <c r="B893" i="16"/>
  <c r="B891" i="16"/>
  <c r="D891" i="16"/>
  <c r="D877" i="16"/>
  <c r="B877" i="16"/>
  <c r="B875" i="16"/>
  <c r="D875" i="16"/>
  <c r="D861" i="16"/>
  <c r="B861" i="16"/>
  <c r="B859" i="16"/>
  <c r="D859" i="16"/>
  <c r="D845" i="16"/>
  <c r="B845" i="16"/>
  <c r="B843" i="16"/>
  <c r="D843" i="16"/>
  <c r="D829" i="16"/>
  <c r="B829" i="16"/>
  <c r="B827" i="16"/>
  <c r="D827" i="16"/>
  <c r="D813" i="16"/>
  <c r="B813" i="16"/>
  <c r="B811" i="16"/>
  <c r="D811" i="16"/>
  <c r="D797" i="16"/>
  <c r="B797" i="16"/>
  <c r="B795" i="16"/>
  <c r="D795" i="16"/>
  <c r="B1149" i="16"/>
  <c r="E1143" i="16"/>
  <c r="E1142" i="16"/>
  <c r="E1141" i="16"/>
  <c r="C1135" i="16"/>
  <c r="B1134" i="16"/>
  <c r="B1133" i="16"/>
  <c r="E1127" i="16"/>
  <c r="E1126" i="16"/>
  <c r="E1125" i="16"/>
  <c r="C1119" i="16"/>
  <c r="B1118" i="16"/>
  <c r="B1117" i="16"/>
  <c r="E1111" i="16"/>
  <c r="E1110" i="16"/>
  <c r="E1109" i="16"/>
  <c r="C1103" i="16"/>
  <c r="B1102" i="16"/>
  <c r="B1101" i="16"/>
  <c r="E1095" i="16"/>
  <c r="E1094" i="16"/>
  <c r="E1093" i="16"/>
  <c r="C1087" i="16"/>
  <c r="B1086" i="16"/>
  <c r="B1085" i="16"/>
  <c r="E1079" i="16"/>
  <c r="E1078" i="16"/>
  <c r="E1077" i="16"/>
  <c r="C1071" i="16"/>
  <c r="B1070" i="16"/>
  <c r="B1069" i="16"/>
  <c r="E1063" i="16"/>
  <c r="E1062" i="16"/>
  <c r="E1061" i="16"/>
  <c r="C1055" i="16"/>
  <c r="B1054" i="16"/>
  <c r="B1053" i="16"/>
  <c r="E1047" i="16"/>
  <c r="E1046" i="16"/>
  <c r="E1045" i="16"/>
  <c r="C1039" i="16"/>
  <c r="B1038" i="16"/>
  <c r="B1037" i="16"/>
  <c r="E1031" i="16"/>
  <c r="E1030" i="16"/>
  <c r="E1029" i="16"/>
  <c r="C1023" i="16"/>
  <c r="B1022" i="16"/>
  <c r="B1021" i="16"/>
  <c r="E1015" i="16"/>
  <c r="E1014" i="16"/>
  <c r="E1013" i="16"/>
  <c r="C1007" i="16"/>
  <c r="B1006" i="16"/>
  <c r="B1005" i="16"/>
  <c r="E999" i="16"/>
  <c r="E998" i="16"/>
  <c r="E997" i="16"/>
  <c r="C991" i="16"/>
  <c r="B990" i="16"/>
  <c r="B989" i="16"/>
  <c r="E983" i="16"/>
  <c r="E982" i="16"/>
  <c r="E981" i="16"/>
  <c r="C975" i="16"/>
  <c r="B974" i="16"/>
  <c r="B973" i="16"/>
  <c r="E967" i="16"/>
  <c r="E966" i="16"/>
  <c r="E965" i="16"/>
  <c r="C959" i="16"/>
  <c r="B958" i="16"/>
  <c r="B957" i="16"/>
  <c r="E951" i="16"/>
  <c r="E950" i="16"/>
  <c r="E949" i="16"/>
  <c r="C943" i="16"/>
  <c r="B942" i="16"/>
  <c r="B941" i="16"/>
  <c r="E935" i="16"/>
  <c r="E934" i="16"/>
  <c r="E933" i="16"/>
  <c r="C927" i="16"/>
  <c r="C913" i="16"/>
  <c r="C911" i="16"/>
  <c r="C897" i="16"/>
  <c r="C895" i="16"/>
  <c r="C881" i="16"/>
  <c r="C879" i="16"/>
  <c r="C865" i="16"/>
  <c r="C863" i="16"/>
  <c r="C849" i="16"/>
  <c r="C847" i="16"/>
  <c r="C833" i="16"/>
  <c r="C831" i="16"/>
  <c r="C817" i="16"/>
  <c r="C815" i="16"/>
  <c r="C801" i="16"/>
  <c r="C799" i="16"/>
  <c r="E789" i="16"/>
  <c r="E781" i="16"/>
  <c r="E773" i="16"/>
  <c r="E765" i="16"/>
  <c r="E757" i="16"/>
  <c r="E749" i="16"/>
  <c r="E741" i="16"/>
  <c r="B447" i="16"/>
  <c r="D447" i="16"/>
  <c r="D445" i="16"/>
  <c r="B445" i="16"/>
  <c r="B431" i="16"/>
  <c r="D431" i="16"/>
  <c r="D429" i="16"/>
  <c r="B429" i="16"/>
  <c r="B415" i="16"/>
  <c r="D415" i="16"/>
  <c r="B407" i="16"/>
  <c r="D407" i="16"/>
  <c r="C407" i="16"/>
  <c r="B399" i="16"/>
  <c r="D399" i="16"/>
  <c r="C399" i="16"/>
  <c r="B391" i="16"/>
  <c r="D391" i="16"/>
  <c r="C391" i="16"/>
  <c r="B383" i="16"/>
  <c r="D383" i="16"/>
  <c r="C383" i="16"/>
  <c r="B443" i="16"/>
  <c r="D443" i="16"/>
  <c r="D441" i="16"/>
  <c r="B441" i="16"/>
  <c r="B427" i="16"/>
  <c r="D427" i="16"/>
  <c r="D425" i="16"/>
  <c r="B425" i="16"/>
  <c r="D791" i="16"/>
  <c r="D787" i="16"/>
  <c r="D783" i="16"/>
  <c r="D779" i="16"/>
  <c r="D775" i="16"/>
  <c r="D771" i="16"/>
  <c r="D767" i="16"/>
  <c r="D763" i="16"/>
  <c r="D759" i="16"/>
  <c r="D755" i="16"/>
  <c r="D751" i="16"/>
  <c r="D747" i="16"/>
  <c r="D743" i="16"/>
  <c r="D739" i="16"/>
  <c r="B737" i="16"/>
  <c r="D735" i="16"/>
  <c r="B733" i="16"/>
  <c r="D731" i="16"/>
  <c r="B729" i="16"/>
  <c r="D727" i="16"/>
  <c r="B725" i="16"/>
  <c r="D723" i="16"/>
  <c r="B721" i="16"/>
  <c r="D719" i="16"/>
  <c r="B717" i="16"/>
  <c r="D715" i="16"/>
  <c r="B713" i="16"/>
  <c r="D711" i="16"/>
  <c r="B709" i="16"/>
  <c r="D707" i="16"/>
  <c r="B705" i="16"/>
  <c r="D703" i="16"/>
  <c r="B701" i="16"/>
  <c r="D699" i="16"/>
  <c r="B697" i="16"/>
  <c r="D695" i="16"/>
  <c r="B693" i="16"/>
  <c r="D691" i="16"/>
  <c r="B689" i="16"/>
  <c r="D687" i="16"/>
  <c r="B685" i="16"/>
  <c r="D683" i="16"/>
  <c r="B681" i="16"/>
  <c r="D679" i="16"/>
  <c r="B677" i="16"/>
  <c r="D675" i="16"/>
  <c r="B673" i="16"/>
  <c r="D671" i="16"/>
  <c r="B669" i="16"/>
  <c r="D667" i="16"/>
  <c r="B665" i="16"/>
  <c r="D663" i="16"/>
  <c r="B661" i="16"/>
  <c r="D659" i="16"/>
  <c r="B657" i="16"/>
  <c r="D655" i="16"/>
  <c r="B653" i="16"/>
  <c r="D651" i="16"/>
  <c r="B649" i="16"/>
  <c r="D647" i="16"/>
  <c r="B645" i="16"/>
  <c r="D643" i="16"/>
  <c r="B641" i="16"/>
  <c r="D639" i="16"/>
  <c r="B637" i="16"/>
  <c r="D635" i="16"/>
  <c r="B633" i="16"/>
  <c r="D631" i="16"/>
  <c r="B629" i="16"/>
  <c r="D627" i="16"/>
  <c r="B625" i="16"/>
  <c r="D623" i="16"/>
  <c r="B621" i="16"/>
  <c r="D619" i="16"/>
  <c r="B617" i="16"/>
  <c r="D615" i="16"/>
  <c r="B613" i="16"/>
  <c r="D611" i="16"/>
  <c r="B609" i="16"/>
  <c r="D607" i="16"/>
  <c r="B605" i="16"/>
  <c r="D603" i="16"/>
  <c r="B601" i="16"/>
  <c r="D599" i="16"/>
  <c r="B597" i="16"/>
  <c r="D595" i="16"/>
  <c r="B593" i="16"/>
  <c r="D591" i="16"/>
  <c r="B589" i="16"/>
  <c r="D587" i="16"/>
  <c r="B585" i="16"/>
  <c r="D583" i="16"/>
  <c r="B581" i="16"/>
  <c r="D579" i="16"/>
  <c r="C573" i="16"/>
  <c r="B572" i="16"/>
  <c r="B571" i="16"/>
  <c r="E565" i="16"/>
  <c r="E564" i="16"/>
  <c r="E563" i="16"/>
  <c r="C557" i="16"/>
  <c r="B556" i="16"/>
  <c r="B555" i="16"/>
  <c r="E549" i="16"/>
  <c r="E548" i="16"/>
  <c r="E547" i="16"/>
  <c r="C541" i="16"/>
  <c r="B540" i="16"/>
  <c r="B539" i="16"/>
  <c r="E533" i="16"/>
  <c r="E532" i="16"/>
  <c r="E531" i="16"/>
  <c r="C525" i="16"/>
  <c r="B524" i="16"/>
  <c r="B523" i="16"/>
  <c r="E517" i="16"/>
  <c r="E516" i="16"/>
  <c r="E515" i="16"/>
  <c r="C509" i="16"/>
  <c r="B508" i="16"/>
  <c r="B507" i="16"/>
  <c r="E501" i="16"/>
  <c r="E500" i="16"/>
  <c r="E499" i="16"/>
  <c r="C493" i="16"/>
  <c r="B492" i="16"/>
  <c r="B491" i="16"/>
  <c r="E485" i="16"/>
  <c r="E484" i="16"/>
  <c r="E483" i="16"/>
  <c r="C477" i="16"/>
  <c r="B476" i="16"/>
  <c r="B475" i="16"/>
  <c r="E469" i="16"/>
  <c r="E468" i="16"/>
  <c r="E467" i="16"/>
  <c r="C461" i="16"/>
  <c r="B460" i="16"/>
  <c r="B459" i="16"/>
  <c r="E453" i="16"/>
  <c r="C447" i="16"/>
  <c r="C445" i="16"/>
  <c r="C431" i="16"/>
  <c r="C429" i="16"/>
  <c r="C415" i="16"/>
  <c r="E407" i="16"/>
  <c r="E399" i="16"/>
  <c r="E391" i="16"/>
  <c r="E383" i="16"/>
  <c r="B439" i="16"/>
  <c r="D439" i="16"/>
  <c r="D437" i="16"/>
  <c r="B437" i="16"/>
  <c r="B423" i="16"/>
  <c r="D423" i="16"/>
  <c r="D421" i="16"/>
  <c r="B421" i="16"/>
  <c r="B411" i="16"/>
  <c r="D411" i="16"/>
  <c r="C411" i="16"/>
  <c r="B403" i="16"/>
  <c r="D403" i="16"/>
  <c r="C403" i="16"/>
  <c r="B395" i="16"/>
  <c r="D395" i="16"/>
  <c r="C395" i="16"/>
  <c r="B387" i="16"/>
  <c r="D387" i="16"/>
  <c r="C387" i="16"/>
  <c r="B379" i="16"/>
  <c r="D379" i="16"/>
  <c r="C379" i="16"/>
  <c r="C737" i="16"/>
  <c r="C733" i="16"/>
  <c r="C729" i="16"/>
  <c r="C725" i="16"/>
  <c r="C721" i="16"/>
  <c r="C717" i="16"/>
  <c r="C713" i="16"/>
  <c r="C709" i="16"/>
  <c r="C705" i="16"/>
  <c r="C701" i="16"/>
  <c r="C697" i="16"/>
  <c r="C693" i="16"/>
  <c r="C689" i="16"/>
  <c r="C685" i="16"/>
  <c r="C681" i="16"/>
  <c r="C677" i="16"/>
  <c r="C673" i="16"/>
  <c r="C669" i="16"/>
  <c r="C665" i="16"/>
  <c r="C661" i="16"/>
  <c r="C657" i="16"/>
  <c r="C653" i="16"/>
  <c r="C649" i="16"/>
  <c r="C645" i="16"/>
  <c r="C641" i="16"/>
  <c r="C637" i="16"/>
  <c r="C633" i="16"/>
  <c r="C629" i="16"/>
  <c r="C625" i="16"/>
  <c r="C621" i="16"/>
  <c r="C617" i="16"/>
  <c r="C613" i="16"/>
  <c r="C609" i="16"/>
  <c r="C605" i="16"/>
  <c r="C601" i="16"/>
  <c r="C597" i="16"/>
  <c r="C593" i="16"/>
  <c r="C589" i="16"/>
  <c r="C585" i="16"/>
  <c r="C581" i="16"/>
  <c r="D573" i="16"/>
  <c r="D572" i="16"/>
  <c r="C571" i="16"/>
  <c r="D557" i="16"/>
  <c r="D556" i="16"/>
  <c r="C555" i="16"/>
  <c r="D541" i="16"/>
  <c r="D540" i="16"/>
  <c r="C539" i="16"/>
  <c r="D525" i="16"/>
  <c r="D524" i="16"/>
  <c r="C523" i="16"/>
  <c r="D509" i="16"/>
  <c r="D508" i="16"/>
  <c r="C507" i="16"/>
  <c r="D493" i="16"/>
  <c r="D492" i="16"/>
  <c r="C491" i="16"/>
  <c r="D477" i="16"/>
  <c r="D476" i="16"/>
  <c r="C475" i="16"/>
  <c r="D461" i="16"/>
  <c r="D460" i="16"/>
  <c r="C459" i="16"/>
  <c r="E447" i="16"/>
  <c r="E445" i="16"/>
  <c r="E431" i="16"/>
  <c r="E429" i="16"/>
  <c r="E415" i="16"/>
  <c r="B451" i="16"/>
  <c r="D451" i="16"/>
  <c r="D449" i="16"/>
  <c r="B449" i="16"/>
  <c r="B435" i="16"/>
  <c r="D435" i="16"/>
  <c r="D433" i="16"/>
  <c r="B433" i="16"/>
  <c r="B419" i="16"/>
  <c r="D419" i="16"/>
  <c r="D417" i="16"/>
  <c r="B417" i="16"/>
  <c r="D577" i="16"/>
  <c r="D576" i="16"/>
  <c r="C575" i="16"/>
  <c r="E573" i="16"/>
  <c r="E572" i="16"/>
  <c r="E571" i="16"/>
  <c r="C565" i="16"/>
  <c r="B564" i="16"/>
  <c r="B563" i="16"/>
  <c r="D561" i="16"/>
  <c r="D560" i="16"/>
  <c r="C559" i="16"/>
  <c r="E557" i="16"/>
  <c r="E556" i="16"/>
  <c r="E555" i="16"/>
  <c r="C549" i="16"/>
  <c r="B548" i="16"/>
  <c r="B547" i="16"/>
  <c r="D545" i="16"/>
  <c r="D544" i="16"/>
  <c r="C543" i="16"/>
  <c r="E541" i="16"/>
  <c r="E540" i="16"/>
  <c r="E539" i="16"/>
  <c r="C533" i="16"/>
  <c r="B532" i="16"/>
  <c r="B531" i="16"/>
  <c r="D529" i="16"/>
  <c r="D528" i="16"/>
  <c r="C527" i="16"/>
  <c r="E525" i="16"/>
  <c r="E524" i="16"/>
  <c r="E523" i="16"/>
  <c r="C517" i="16"/>
  <c r="B516" i="16"/>
  <c r="B515" i="16"/>
  <c r="D513" i="16"/>
  <c r="D512" i="16"/>
  <c r="C511" i="16"/>
  <c r="E509" i="16"/>
  <c r="E508" i="16"/>
  <c r="E507" i="16"/>
  <c r="C501" i="16"/>
  <c r="B500" i="16"/>
  <c r="B499" i="16"/>
  <c r="D497" i="16"/>
  <c r="D496" i="16"/>
  <c r="C495" i="16"/>
  <c r="E493" i="16"/>
  <c r="E492" i="16"/>
  <c r="E491" i="16"/>
  <c r="C485" i="16"/>
  <c r="B484" i="16"/>
  <c r="B483" i="16"/>
  <c r="D481" i="16"/>
  <c r="D480" i="16"/>
  <c r="C479" i="16"/>
  <c r="E477" i="16"/>
  <c r="E476" i="16"/>
  <c r="E475" i="16"/>
  <c r="C469" i="16"/>
  <c r="B468" i="16"/>
  <c r="B467" i="16"/>
  <c r="D465" i="16"/>
  <c r="D464" i="16"/>
  <c r="C463" i="16"/>
  <c r="E461" i="16"/>
  <c r="E460" i="16"/>
  <c r="E459" i="16"/>
  <c r="C453" i="16"/>
  <c r="E443" i="16"/>
  <c r="E441" i="16"/>
  <c r="C439" i="16"/>
  <c r="C437" i="16"/>
  <c r="E427" i="16"/>
  <c r="E425" i="16"/>
  <c r="C423" i="16"/>
  <c r="C421" i="16"/>
  <c r="E411" i="16"/>
  <c r="E403" i="16"/>
  <c r="E395" i="16"/>
  <c r="E387" i="16"/>
  <c r="E379" i="16"/>
  <c r="C230" i="16"/>
  <c r="D230" i="16"/>
  <c r="B227" i="16"/>
  <c r="C227" i="16"/>
  <c r="C214" i="16"/>
  <c r="D214" i="16"/>
  <c r="B211" i="16"/>
  <c r="C211" i="16"/>
  <c r="C198" i="16"/>
  <c r="D198" i="16"/>
  <c r="B195" i="16"/>
  <c r="C195" i="16"/>
  <c r="C182" i="16"/>
  <c r="D182" i="16"/>
  <c r="B179" i="16"/>
  <c r="C179" i="16"/>
  <c r="C166" i="16"/>
  <c r="D166" i="16"/>
  <c r="C158" i="16"/>
  <c r="B158" i="16"/>
  <c r="D158" i="16"/>
  <c r="C150" i="16"/>
  <c r="B150" i="16"/>
  <c r="D150" i="16"/>
  <c r="C375" i="16"/>
  <c r="C371" i="16"/>
  <c r="C367" i="16"/>
  <c r="C363" i="16"/>
  <c r="C359" i="16"/>
  <c r="C355" i="16"/>
  <c r="C351" i="16"/>
  <c r="C347" i="16"/>
  <c r="C343" i="16"/>
  <c r="C339" i="16"/>
  <c r="D327" i="16"/>
  <c r="D326" i="16"/>
  <c r="C325" i="16"/>
  <c r="D311" i="16"/>
  <c r="D310" i="16"/>
  <c r="C309" i="16"/>
  <c r="D295" i="16"/>
  <c r="D294" i="16"/>
  <c r="C293" i="16"/>
  <c r="D279" i="16"/>
  <c r="D278" i="16"/>
  <c r="C277" i="16"/>
  <c r="D263" i="16"/>
  <c r="D262" i="16"/>
  <c r="C261" i="16"/>
  <c r="D247" i="16"/>
  <c r="D246" i="16"/>
  <c r="C245" i="16"/>
  <c r="B239" i="16"/>
  <c r="C239" i="16"/>
  <c r="C226" i="16"/>
  <c r="D226" i="16"/>
  <c r="B223" i="16"/>
  <c r="C223" i="16"/>
  <c r="C210" i="16"/>
  <c r="D210" i="16"/>
  <c r="B207" i="16"/>
  <c r="C207" i="16"/>
  <c r="C194" i="16"/>
  <c r="D194" i="16"/>
  <c r="B191" i="16"/>
  <c r="C191" i="16"/>
  <c r="C178" i="16"/>
  <c r="D178" i="16"/>
  <c r="B175" i="16"/>
  <c r="C175" i="16"/>
  <c r="B413" i="16"/>
  <c r="B409" i="16"/>
  <c r="B405" i="16"/>
  <c r="B401" i="16"/>
  <c r="B397" i="16"/>
  <c r="B393" i="16"/>
  <c r="B389" i="16"/>
  <c r="B385" i="16"/>
  <c r="B381" i="16"/>
  <c r="B377" i="16"/>
  <c r="D375" i="16"/>
  <c r="B373" i="16"/>
  <c r="D371" i="16"/>
  <c r="B369" i="16"/>
  <c r="D367" i="16"/>
  <c r="B365" i="16"/>
  <c r="D363" i="16"/>
  <c r="B361" i="16"/>
  <c r="D359" i="16"/>
  <c r="B357" i="16"/>
  <c r="D355" i="16"/>
  <c r="B353" i="16"/>
  <c r="D351" i="16"/>
  <c r="B349" i="16"/>
  <c r="D347" i="16"/>
  <c r="B345" i="16"/>
  <c r="D343" i="16"/>
  <c r="B341" i="16"/>
  <c r="D339" i="16"/>
  <c r="C335" i="16"/>
  <c r="B334" i="16"/>
  <c r="B333" i="16"/>
  <c r="D331" i="16"/>
  <c r="D330" i="16"/>
  <c r="C329" i="16"/>
  <c r="E327" i="16"/>
  <c r="E326" i="16"/>
  <c r="E325" i="16"/>
  <c r="C319" i="16"/>
  <c r="B318" i="16"/>
  <c r="B317" i="16"/>
  <c r="D315" i="16"/>
  <c r="D314" i="16"/>
  <c r="C313" i="16"/>
  <c r="E311" i="16"/>
  <c r="E310" i="16"/>
  <c r="E309" i="16"/>
  <c r="C303" i="16"/>
  <c r="B302" i="16"/>
  <c r="B301" i="16"/>
  <c r="D299" i="16"/>
  <c r="D298" i="16"/>
  <c r="C297" i="16"/>
  <c r="E295" i="16"/>
  <c r="E294" i="16"/>
  <c r="E293" i="16"/>
  <c r="C287" i="16"/>
  <c r="B286" i="16"/>
  <c r="B285" i="16"/>
  <c r="D283" i="16"/>
  <c r="D282" i="16"/>
  <c r="C281" i="16"/>
  <c r="E279" i="16"/>
  <c r="E278" i="16"/>
  <c r="E277" i="16"/>
  <c r="C271" i="16"/>
  <c r="B270" i="16"/>
  <c r="B269" i="16"/>
  <c r="D267" i="16"/>
  <c r="D266" i="16"/>
  <c r="C265" i="16"/>
  <c r="E263" i="16"/>
  <c r="E262" i="16"/>
  <c r="E261" i="16"/>
  <c r="C255" i="16"/>
  <c r="B254" i="16"/>
  <c r="B253" i="16"/>
  <c r="D251" i="16"/>
  <c r="D250" i="16"/>
  <c r="C249" i="16"/>
  <c r="E247" i="16"/>
  <c r="E246" i="16"/>
  <c r="E245" i="16"/>
  <c r="B230" i="16"/>
  <c r="D227" i="16"/>
  <c r="B214" i="16"/>
  <c r="D211" i="16"/>
  <c r="B198" i="16"/>
  <c r="D195" i="16"/>
  <c r="B182" i="16"/>
  <c r="D179" i="16"/>
  <c r="B166" i="16"/>
  <c r="E158" i="16"/>
  <c r="E150" i="16"/>
  <c r="C238" i="16"/>
  <c r="D238" i="16"/>
  <c r="B235" i="16"/>
  <c r="C235" i="16"/>
  <c r="C222" i="16"/>
  <c r="D222" i="16"/>
  <c r="B219" i="16"/>
  <c r="C219" i="16"/>
  <c r="C206" i="16"/>
  <c r="D206" i="16"/>
  <c r="B203" i="16"/>
  <c r="C203" i="16"/>
  <c r="C190" i="16"/>
  <c r="D190" i="16"/>
  <c r="B187" i="16"/>
  <c r="C187" i="16"/>
  <c r="C174" i="16"/>
  <c r="D174" i="16"/>
  <c r="B171" i="16"/>
  <c r="C171" i="16"/>
  <c r="C162" i="16"/>
  <c r="B162" i="16"/>
  <c r="D162" i="16"/>
  <c r="C154" i="16"/>
  <c r="B154" i="16"/>
  <c r="D154" i="16"/>
  <c r="C146" i="16"/>
  <c r="B146" i="16"/>
  <c r="D146" i="16"/>
  <c r="C234" i="16"/>
  <c r="D234" i="16"/>
  <c r="B231" i="16"/>
  <c r="C231" i="16"/>
  <c r="C218" i="16"/>
  <c r="D218" i="16"/>
  <c r="B215" i="16"/>
  <c r="C215" i="16"/>
  <c r="C202" i="16"/>
  <c r="D202" i="16"/>
  <c r="B199" i="16"/>
  <c r="C199" i="16"/>
  <c r="C186" i="16"/>
  <c r="D186" i="16"/>
  <c r="B183" i="16"/>
  <c r="C183" i="16"/>
  <c r="C170" i="16"/>
  <c r="D170" i="16"/>
  <c r="B167" i="16"/>
  <c r="C167" i="16"/>
  <c r="E335" i="16"/>
  <c r="E334" i="16"/>
  <c r="E333" i="16"/>
  <c r="C327" i="16"/>
  <c r="B326" i="16"/>
  <c r="B325" i="16"/>
  <c r="E319" i="16"/>
  <c r="E318" i="16"/>
  <c r="E317" i="16"/>
  <c r="C311" i="16"/>
  <c r="B310" i="16"/>
  <c r="B309" i="16"/>
  <c r="E303" i="16"/>
  <c r="E302" i="16"/>
  <c r="E301" i="16"/>
  <c r="C295" i="16"/>
  <c r="B294" i="16"/>
  <c r="B293" i="16"/>
  <c r="E287" i="16"/>
  <c r="E286" i="16"/>
  <c r="E285" i="16"/>
  <c r="C279" i="16"/>
  <c r="B278" i="16"/>
  <c r="B277" i="16"/>
  <c r="E271" i="16"/>
  <c r="E270" i="16"/>
  <c r="E269" i="16"/>
  <c r="C263" i="16"/>
  <c r="B262" i="16"/>
  <c r="B261" i="16"/>
  <c r="E255" i="16"/>
  <c r="E254" i="16"/>
  <c r="E253" i="16"/>
  <c r="C247" i="16"/>
  <c r="B246" i="16"/>
  <c r="B245" i="16"/>
  <c r="B238" i="16"/>
  <c r="D235" i="16"/>
  <c r="B222" i="16"/>
  <c r="D219" i="16"/>
  <c r="B206" i="16"/>
  <c r="D203" i="16"/>
  <c r="B190" i="16"/>
  <c r="D187" i="16"/>
  <c r="B174" i="16"/>
  <c r="D171" i="16"/>
  <c r="E162" i="16"/>
  <c r="E154" i="16"/>
  <c r="E146" i="16"/>
  <c r="C163" i="16"/>
  <c r="C159" i="16"/>
  <c r="C155" i="16"/>
  <c r="C151" i="16"/>
  <c r="C147" i="16"/>
  <c r="C143" i="16"/>
  <c r="D142" i="16"/>
  <c r="C139" i="16"/>
  <c r="D138" i="16"/>
  <c r="C135" i="16"/>
  <c r="D134" i="16"/>
  <c r="C131" i="16"/>
  <c r="D130" i="16"/>
  <c r="C127" i="16"/>
  <c r="D126" i="16"/>
  <c r="C123" i="16"/>
  <c r="D122" i="16"/>
  <c r="C119" i="16"/>
  <c r="D118" i="16"/>
  <c r="C115" i="16"/>
  <c r="D114" i="16"/>
  <c r="C111" i="16"/>
  <c r="D110" i="16"/>
  <c r="C107" i="16"/>
  <c r="D106" i="16"/>
  <c r="C103" i="16"/>
  <c r="D102" i="16"/>
  <c r="C99" i="16"/>
  <c r="D98" i="16"/>
  <c r="C95" i="16"/>
  <c r="D94" i="16"/>
  <c r="C91" i="16"/>
  <c r="D90" i="16"/>
  <c r="C87" i="16"/>
  <c r="D86" i="16"/>
  <c r="C83" i="16"/>
  <c r="D82" i="16"/>
  <c r="C79" i="16"/>
  <c r="C75" i="16"/>
  <c r="D74" i="16"/>
  <c r="C71" i="16"/>
  <c r="D70" i="16"/>
  <c r="C67" i="16"/>
  <c r="C63" i="16"/>
  <c r="D62" i="16"/>
  <c r="C59" i="16"/>
  <c r="D58" i="16"/>
  <c r="C55" i="16"/>
  <c r="C51" i="16"/>
  <c r="D50" i="16"/>
  <c r="C47" i="16"/>
  <c r="D46" i="16"/>
  <c r="C43" i="16"/>
  <c r="C39" i="16"/>
  <c r="D38" i="16"/>
  <c r="C35" i="16"/>
  <c r="D34" i="16"/>
  <c r="C31" i="16"/>
  <c r="C27" i="16"/>
  <c r="D26" i="16"/>
  <c r="C23" i="16"/>
  <c r="D22" i="16"/>
  <c r="C19" i="16"/>
  <c r="C15" i="16"/>
  <c r="C11" i="16"/>
  <c r="D10" i="16"/>
  <c r="C7" i="16"/>
  <c r="D6" i="16"/>
  <c r="D7" i="16"/>
  <c r="B142" i="16"/>
  <c r="B138" i="16"/>
  <c r="B134" i="16"/>
  <c r="B130" i="16"/>
  <c r="B126" i="16"/>
  <c r="B122" i="16"/>
  <c r="B118" i="16"/>
  <c r="B114" i="16"/>
  <c r="B110" i="16"/>
  <c r="B106" i="16"/>
  <c r="B102" i="16"/>
  <c r="B98" i="16"/>
  <c r="B94" i="16"/>
  <c r="B90" i="16"/>
  <c r="B86" i="16"/>
  <c r="B82" i="16"/>
  <c r="B78" i="16"/>
  <c r="B74" i="16"/>
  <c r="B75" i="16" s="1"/>
  <c r="B70" i="16"/>
  <c r="B66" i="16"/>
  <c r="B62" i="16"/>
  <c r="B63" i="16" s="1"/>
  <c r="B58" i="16"/>
  <c r="B54" i="16"/>
  <c r="B50" i="16"/>
  <c r="B51" i="16" s="1"/>
  <c r="B46" i="16"/>
  <c r="B42" i="16"/>
  <c r="B38" i="16"/>
  <c r="B39" i="16" s="1"/>
  <c r="B34" i="16"/>
  <c r="B30" i="16"/>
  <c r="B26" i="16"/>
  <c r="B27" i="16" s="1"/>
  <c r="B22" i="16"/>
  <c r="B18" i="16"/>
  <c r="B14" i="16"/>
  <c r="B10" i="16"/>
  <c r="B11" i="16" s="1"/>
  <c r="B6" i="16"/>
  <c r="B975" i="14"/>
  <c r="F975" i="14"/>
  <c r="J975" i="14"/>
  <c r="D975" i="14"/>
  <c r="H975" i="14"/>
  <c r="D965" i="14"/>
  <c r="H965" i="14"/>
  <c r="B965" i="14"/>
  <c r="F965" i="14"/>
  <c r="J965" i="14"/>
  <c r="B959" i="14"/>
  <c r="F959" i="14"/>
  <c r="J959" i="14"/>
  <c r="D959" i="14"/>
  <c r="H959" i="14"/>
  <c r="D949" i="14"/>
  <c r="H949" i="14"/>
  <c r="B949" i="14"/>
  <c r="F949" i="14"/>
  <c r="J949" i="14"/>
  <c r="B943" i="14"/>
  <c r="F943" i="14"/>
  <c r="J943" i="14"/>
  <c r="D943" i="14"/>
  <c r="H943" i="14"/>
  <c r="D933" i="14"/>
  <c r="H933" i="14"/>
  <c r="B933" i="14"/>
  <c r="F933" i="14"/>
  <c r="J933" i="14"/>
  <c r="B927" i="14"/>
  <c r="F927" i="14"/>
  <c r="J927" i="14"/>
  <c r="D927" i="14"/>
  <c r="H927" i="14"/>
  <c r="D917" i="14"/>
  <c r="H917" i="14"/>
  <c r="B917" i="14"/>
  <c r="F917" i="14"/>
  <c r="J917" i="14"/>
  <c r="B911" i="14"/>
  <c r="F911" i="14"/>
  <c r="J911" i="14"/>
  <c r="D911" i="14"/>
  <c r="H911" i="14"/>
  <c r="D901" i="14"/>
  <c r="H901" i="14"/>
  <c r="B901" i="14"/>
  <c r="F901" i="14"/>
  <c r="J901" i="14"/>
  <c r="B895" i="14"/>
  <c r="F895" i="14"/>
  <c r="J895" i="14"/>
  <c r="D895" i="14"/>
  <c r="H895" i="14"/>
  <c r="D885" i="14"/>
  <c r="H885" i="14"/>
  <c r="B885" i="14"/>
  <c r="F885" i="14"/>
  <c r="J885" i="14"/>
  <c r="B879" i="14"/>
  <c r="F879" i="14"/>
  <c r="J879" i="14"/>
  <c r="D879" i="14"/>
  <c r="H879" i="14"/>
  <c r="D869" i="14"/>
  <c r="H869" i="14"/>
  <c r="B869" i="14"/>
  <c r="F869" i="14"/>
  <c r="J869" i="14"/>
  <c r="B863" i="14"/>
  <c r="F863" i="14"/>
  <c r="J863" i="14"/>
  <c r="D863" i="14"/>
  <c r="H863" i="14"/>
  <c r="D853" i="14"/>
  <c r="H853" i="14"/>
  <c r="B853" i="14"/>
  <c r="F853" i="14"/>
  <c r="J853" i="14"/>
  <c r="G1003" i="14"/>
  <c r="B1003" i="14"/>
  <c r="H1002" i="14"/>
  <c r="B1002" i="14"/>
  <c r="H1001" i="14"/>
  <c r="C1001" i="14"/>
  <c r="G999" i="14"/>
  <c r="B999" i="14"/>
  <c r="H998" i="14"/>
  <c r="B998" i="14"/>
  <c r="H997" i="14"/>
  <c r="C997" i="14"/>
  <c r="G995" i="14"/>
  <c r="B995" i="14"/>
  <c r="H994" i="14"/>
  <c r="B994" i="14"/>
  <c r="H993" i="14"/>
  <c r="C993" i="14"/>
  <c r="G991" i="14"/>
  <c r="B991" i="14"/>
  <c r="H990" i="14"/>
  <c r="B990" i="14"/>
  <c r="H989" i="14"/>
  <c r="C989" i="14"/>
  <c r="G987" i="14"/>
  <c r="B987" i="14"/>
  <c r="H986" i="14"/>
  <c r="B986" i="14"/>
  <c r="H985" i="14"/>
  <c r="C985" i="14"/>
  <c r="G983" i="14"/>
  <c r="B983" i="14"/>
  <c r="H982" i="14"/>
  <c r="B982" i="14"/>
  <c r="H981" i="14"/>
  <c r="C981" i="14"/>
  <c r="G979" i="14"/>
  <c r="B979" i="14"/>
  <c r="H978" i="14"/>
  <c r="B978" i="14"/>
  <c r="K969" i="14"/>
  <c r="C969" i="14"/>
  <c r="K963" i="14"/>
  <c r="C963" i="14"/>
  <c r="K953" i="14"/>
  <c r="C953" i="14"/>
  <c r="K947" i="14"/>
  <c r="C947" i="14"/>
  <c r="K937" i="14"/>
  <c r="C937" i="14"/>
  <c r="K931" i="14"/>
  <c r="C931" i="14"/>
  <c r="K921" i="14"/>
  <c r="C921" i="14"/>
  <c r="K915" i="14"/>
  <c r="C915" i="14"/>
  <c r="K905" i="14"/>
  <c r="C905" i="14"/>
  <c r="K899" i="14"/>
  <c r="C899" i="14"/>
  <c r="K889" i="14"/>
  <c r="C889" i="14"/>
  <c r="K883" i="14"/>
  <c r="C883" i="14"/>
  <c r="K873" i="14"/>
  <c r="C873" i="14"/>
  <c r="K867" i="14"/>
  <c r="C867" i="14"/>
  <c r="K857" i="14"/>
  <c r="C857" i="14"/>
  <c r="K851" i="14"/>
  <c r="C851" i="14"/>
  <c r="E847" i="14"/>
  <c r="E843" i="14"/>
  <c r="E839" i="14"/>
  <c r="E835" i="14"/>
  <c r="E831" i="14"/>
  <c r="E827" i="14"/>
  <c r="E823" i="14"/>
  <c r="E819" i="14"/>
  <c r="E815" i="14"/>
  <c r="E811" i="14"/>
  <c r="E807" i="14"/>
  <c r="E803" i="14"/>
  <c r="E799" i="14"/>
  <c r="E795" i="14"/>
  <c r="E791" i="14"/>
  <c r="E787" i="14"/>
  <c r="E783" i="14"/>
  <c r="E779" i="14"/>
  <c r="D977" i="14"/>
  <c r="H977" i="14"/>
  <c r="B977" i="14"/>
  <c r="F977" i="14"/>
  <c r="J977" i="14"/>
  <c r="B971" i="14"/>
  <c r="F971" i="14"/>
  <c r="J971" i="14"/>
  <c r="D971" i="14"/>
  <c r="H971" i="14"/>
  <c r="D961" i="14"/>
  <c r="H961" i="14"/>
  <c r="B961" i="14"/>
  <c r="F961" i="14"/>
  <c r="J961" i="14"/>
  <c r="B955" i="14"/>
  <c r="F955" i="14"/>
  <c r="J955" i="14"/>
  <c r="D955" i="14"/>
  <c r="H955" i="14"/>
  <c r="D945" i="14"/>
  <c r="H945" i="14"/>
  <c r="B945" i="14"/>
  <c r="F945" i="14"/>
  <c r="J945" i="14"/>
  <c r="B939" i="14"/>
  <c r="F939" i="14"/>
  <c r="J939" i="14"/>
  <c r="D939" i="14"/>
  <c r="H939" i="14"/>
  <c r="D929" i="14"/>
  <c r="H929" i="14"/>
  <c r="B929" i="14"/>
  <c r="F929" i="14"/>
  <c r="J929" i="14"/>
  <c r="B923" i="14"/>
  <c r="F923" i="14"/>
  <c r="J923" i="14"/>
  <c r="D923" i="14"/>
  <c r="H923" i="14"/>
  <c r="D913" i="14"/>
  <c r="H913" i="14"/>
  <c r="B913" i="14"/>
  <c r="F913" i="14"/>
  <c r="J913" i="14"/>
  <c r="B907" i="14"/>
  <c r="F907" i="14"/>
  <c r="J907" i="14"/>
  <c r="D907" i="14"/>
  <c r="H907" i="14"/>
  <c r="D897" i="14"/>
  <c r="H897" i="14"/>
  <c r="B897" i="14"/>
  <c r="F897" i="14"/>
  <c r="J897" i="14"/>
  <c r="B891" i="14"/>
  <c r="F891" i="14"/>
  <c r="J891" i="14"/>
  <c r="D891" i="14"/>
  <c r="H891" i="14"/>
  <c r="D881" i="14"/>
  <c r="H881" i="14"/>
  <c r="B881" i="14"/>
  <c r="F881" i="14"/>
  <c r="J881" i="14"/>
  <c r="B875" i="14"/>
  <c r="F875" i="14"/>
  <c r="J875" i="14"/>
  <c r="D875" i="14"/>
  <c r="H875" i="14"/>
  <c r="D865" i="14"/>
  <c r="H865" i="14"/>
  <c r="B865" i="14"/>
  <c r="F865" i="14"/>
  <c r="J865" i="14"/>
  <c r="B859" i="14"/>
  <c r="F859" i="14"/>
  <c r="J859" i="14"/>
  <c r="D859" i="14"/>
  <c r="H859" i="14"/>
  <c r="I1003" i="14"/>
  <c r="C1003" i="14"/>
  <c r="I1002" i="14"/>
  <c r="D1002" i="14"/>
  <c r="I1001" i="14"/>
  <c r="D1001" i="14"/>
  <c r="I999" i="14"/>
  <c r="C999" i="14"/>
  <c r="I998" i="14"/>
  <c r="D998" i="14"/>
  <c r="I997" i="14"/>
  <c r="D997" i="14"/>
  <c r="I995" i="14"/>
  <c r="C995" i="14"/>
  <c r="I994" i="14"/>
  <c r="D994" i="14"/>
  <c r="I993" i="14"/>
  <c r="D993" i="14"/>
  <c r="I991" i="14"/>
  <c r="C991" i="14"/>
  <c r="I990" i="14"/>
  <c r="D990" i="14"/>
  <c r="I989" i="14"/>
  <c r="D989" i="14"/>
  <c r="I987" i="14"/>
  <c r="C987" i="14"/>
  <c r="I986" i="14"/>
  <c r="D986" i="14"/>
  <c r="I985" i="14"/>
  <c r="D985" i="14"/>
  <c r="I983" i="14"/>
  <c r="C983" i="14"/>
  <c r="I982" i="14"/>
  <c r="D982" i="14"/>
  <c r="I981" i="14"/>
  <c r="D981" i="14"/>
  <c r="I979" i="14"/>
  <c r="C979" i="14"/>
  <c r="I978" i="14"/>
  <c r="D978" i="14"/>
  <c r="E969" i="14"/>
  <c r="E963" i="14"/>
  <c r="E953" i="14"/>
  <c r="E947" i="14"/>
  <c r="E937" i="14"/>
  <c r="E931" i="14"/>
  <c r="E921" i="14"/>
  <c r="E915" i="14"/>
  <c r="E905" i="14"/>
  <c r="E899" i="14"/>
  <c r="E889" i="14"/>
  <c r="E883" i="14"/>
  <c r="E873" i="14"/>
  <c r="E867" i="14"/>
  <c r="E857" i="14"/>
  <c r="E851" i="14"/>
  <c r="D973" i="14"/>
  <c r="H973" i="14"/>
  <c r="B973" i="14"/>
  <c r="F973" i="14"/>
  <c r="J973" i="14"/>
  <c r="B967" i="14"/>
  <c r="F967" i="14"/>
  <c r="J967" i="14"/>
  <c r="D967" i="14"/>
  <c r="H967" i="14"/>
  <c r="D957" i="14"/>
  <c r="H957" i="14"/>
  <c r="B957" i="14"/>
  <c r="F957" i="14"/>
  <c r="J957" i="14"/>
  <c r="B951" i="14"/>
  <c r="F951" i="14"/>
  <c r="J951" i="14"/>
  <c r="D951" i="14"/>
  <c r="H951" i="14"/>
  <c r="D941" i="14"/>
  <c r="H941" i="14"/>
  <c r="B941" i="14"/>
  <c r="F941" i="14"/>
  <c r="J941" i="14"/>
  <c r="B935" i="14"/>
  <c r="F935" i="14"/>
  <c r="J935" i="14"/>
  <c r="D935" i="14"/>
  <c r="H935" i="14"/>
  <c r="D925" i="14"/>
  <c r="H925" i="14"/>
  <c r="B925" i="14"/>
  <c r="F925" i="14"/>
  <c r="J925" i="14"/>
  <c r="B919" i="14"/>
  <c r="F919" i="14"/>
  <c r="J919" i="14"/>
  <c r="D919" i="14"/>
  <c r="H919" i="14"/>
  <c r="D909" i="14"/>
  <c r="H909" i="14"/>
  <c r="B909" i="14"/>
  <c r="F909" i="14"/>
  <c r="J909" i="14"/>
  <c r="B903" i="14"/>
  <c r="F903" i="14"/>
  <c r="J903" i="14"/>
  <c r="D903" i="14"/>
  <c r="H903" i="14"/>
  <c r="D893" i="14"/>
  <c r="H893" i="14"/>
  <c r="B893" i="14"/>
  <c r="F893" i="14"/>
  <c r="J893" i="14"/>
  <c r="B887" i="14"/>
  <c r="F887" i="14"/>
  <c r="J887" i="14"/>
  <c r="D887" i="14"/>
  <c r="H887" i="14"/>
  <c r="D877" i="14"/>
  <c r="H877" i="14"/>
  <c r="B877" i="14"/>
  <c r="F877" i="14"/>
  <c r="J877" i="14"/>
  <c r="B871" i="14"/>
  <c r="F871" i="14"/>
  <c r="J871" i="14"/>
  <c r="D871" i="14"/>
  <c r="H871" i="14"/>
  <c r="D861" i="14"/>
  <c r="H861" i="14"/>
  <c r="B861" i="14"/>
  <c r="F861" i="14"/>
  <c r="J861" i="14"/>
  <c r="B855" i="14"/>
  <c r="F855" i="14"/>
  <c r="J855" i="14"/>
  <c r="D855" i="14"/>
  <c r="H855" i="14"/>
  <c r="J1003" i="14"/>
  <c r="J1002" i="14"/>
  <c r="K1001" i="14"/>
  <c r="J999" i="14"/>
  <c r="J998" i="14"/>
  <c r="K997" i="14"/>
  <c r="J995" i="14"/>
  <c r="J994" i="14"/>
  <c r="K993" i="14"/>
  <c r="J991" i="14"/>
  <c r="J990" i="14"/>
  <c r="K989" i="14"/>
  <c r="J987" i="14"/>
  <c r="J986" i="14"/>
  <c r="K985" i="14"/>
  <c r="J983" i="14"/>
  <c r="J982" i="14"/>
  <c r="K981" i="14"/>
  <c r="J979" i="14"/>
  <c r="J978" i="14"/>
  <c r="K977" i="14"/>
  <c r="C977" i="14"/>
  <c r="K971" i="14"/>
  <c r="C971" i="14"/>
  <c r="K961" i="14"/>
  <c r="C961" i="14"/>
  <c r="K955" i="14"/>
  <c r="C955" i="14"/>
  <c r="K945" i="14"/>
  <c r="C945" i="14"/>
  <c r="K939" i="14"/>
  <c r="C939" i="14"/>
  <c r="K929" i="14"/>
  <c r="C929" i="14"/>
  <c r="K923" i="14"/>
  <c r="C923" i="14"/>
  <c r="K913" i="14"/>
  <c r="C913" i="14"/>
  <c r="K907" i="14"/>
  <c r="C907" i="14"/>
  <c r="K897" i="14"/>
  <c r="C897" i="14"/>
  <c r="K891" i="14"/>
  <c r="C891" i="14"/>
  <c r="K881" i="14"/>
  <c r="C881" i="14"/>
  <c r="K875" i="14"/>
  <c r="C875" i="14"/>
  <c r="K865" i="14"/>
  <c r="C865" i="14"/>
  <c r="K859" i="14"/>
  <c r="C859" i="14"/>
  <c r="D1003" i="14"/>
  <c r="H1003" i="14"/>
  <c r="C1002" i="14"/>
  <c r="G1002" i="14"/>
  <c r="K1002" i="14"/>
  <c r="B1001" i="14"/>
  <c r="F1001" i="14"/>
  <c r="J1001" i="14"/>
  <c r="D999" i="14"/>
  <c r="H999" i="14"/>
  <c r="C998" i="14"/>
  <c r="G998" i="14"/>
  <c r="K998" i="14"/>
  <c r="B997" i="14"/>
  <c r="F997" i="14"/>
  <c r="J997" i="14"/>
  <c r="D995" i="14"/>
  <c r="H995" i="14"/>
  <c r="C994" i="14"/>
  <c r="G994" i="14"/>
  <c r="K994" i="14"/>
  <c r="B993" i="14"/>
  <c r="F993" i="14"/>
  <c r="J993" i="14"/>
  <c r="D991" i="14"/>
  <c r="H991" i="14"/>
  <c r="C990" i="14"/>
  <c r="G990" i="14"/>
  <c r="K990" i="14"/>
  <c r="B989" i="14"/>
  <c r="F989" i="14"/>
  <c r="J989" i="14"/>
  <c r="D987" i="14"/>
  <c r="H987" i="14"/>
  <c r="C986" i="14"/>
  <c r="G986" i="14"/>
  <c r="K986" i="14"/>
  <c r="B985" i="14"/>
  <c r="F985" i="14"/>
  <c r="J985" i="14"/>
  <c r="D983" i="14"/>
  <c r="H983" i="14"/>
  <c r="C982" i="14"/>
  <c r="G982" i="14"/>
  <c r="K982" i="14"/>
  <c r="B981" i="14"/>
  <c r="F981" i="14"/>
  <c r="J981" i="14"/>
  <c r="D979" i="14"/>
  <c r="H979" i="14"/>
  <c r="C978" i="14"/>
  <c r="G978" i="14"/>
  <c r="K978" i="14"/>
  <c r="D969" i="14"/>
  <c r="H969" i="14"/>
  <c r="B969" i="14"/>
  <c r="F969" i="14"/>
  <c r="J969" i="14"/>
  <c r="B963" i="14"/>
  <c r="F963" i="14"/>
  <c r="J963" i="14"/>
  <c r="D963" i="14"/>
  <c r="H963" i="14"/>
  <c r="D953" i="14"/>
  <c r="H953" i="14"/>
  <c r="B953" i="14"/>
  <c r="F953" i="14"/>
  <c r="J953" i="14"/>
  <c r="B947" i="14"/>
  <c r="F947" i="14"/>
  <c r="J947" i="14"/>
  <c r="D947" i="14"/>
  <c r="H947" i="14"/>
  <c r="D937" i="14"/>
  <c r="H937" i="14"/>
  <c r="B937" i="14"/>
  <c r="F937" i="14"/>
  <c r="J937" i="14"/>
  <c r="B931" i="14"/>
  <c r="F931" i="14"/>
  <c r="J931" i="14"/>
  <c r="D931" i="14"/>
  <c r="H931" i="14"/>
  <c r="D921" i="14"/>
  <c r="H921" i="14"/>
  <c r="B921" i="14"/>
  <c r="F921" i="14"/>
  <c r="J921" i="14"/>
  <c r="B915" i="14"/>
  <c r="F915" i="14"/>
  <c r="J915" i="14"/>
  <c r="D915" i="14"/>
  <c r="H915" i="14"/>
  <c r="D905" i="14"/>
  <c r="H905" i="14"/>
  <c r="B905" i="14"/>
  <c r="F905" i="14"/>
  <c r="J905" i="14"/>
  <c r="B899" i="14"/>
  <c r="F899" i="14"/>
  <c r="J899" i="14"/>
  <c r="D899" i="14"/>
  <c r="H899" i="14"/>
  <c r="D889" i="14"/>
  <c r="H889" i="14"/>
  <c r="B889" i="14"/>
  <c r="F889" i="14"/>
  <c r="J889" i="14"/>
  <c r="B883" i="14"/>
  <c r="F883" i="14"/>
  <c r="J883" i="14"/>
  <c r="D883" i="14"/>
  <c r="H883" i="14"/>
  <c r="D873" i="14"/>
  <c r="H873" i="14"/>
  <c r="B873" i="14"/>
  <c r="F873" i="14"/>
  <c r="J873" i="14"/>
  <c r="B867" i="14"/>
  <c r="F867" i="14"/>
  <c r="J867" i="14"/>
  <c r="D867" i="14"/>
  <c r="H867" i="14"/>
  <c r="D857" i="14"/>
  <c r="H857" i="14"/>
  <c r="B857" i="14"/>
  <c r="F857" i="14"/>
  <c r="J857" i="14"/>
  <c r="B851" i="14"/>
  <c r="F851" i="14"/>
  <c r="J851" i="14"/>
  <c r="D851" i="14"/>
  <c r="H851" i="14"/>
  <c r="C847" i="14"/>
  <c r="G847" i="14"/>
  <c r="K847" i="14"/>
  <c r="B847" i="14"/>
  <c r="F847" i="14"/>
  <c r="J847" i="14"/>
  <c r="D847" i="14"/>
  <c r="H847" i="14"/>
  <c r="C843" i="14"/>
  <c r="G843" i="14"/>
  <c r="K843" i="14"/>
  <c r="B843" i="14"/>
  <c r="F843" i="14"/>
  <c r="J843" i="14"/>
  <c r="D843" i="14"/>
  <c r="H843" i="14"/>
  <c r="C839" i="14"/>
  <c r="G839" i="14"/>
  <c r="K839" i="14"/>
  <c r="B839" i="14"/>
  <c r="F839" i="14"/>
  <c r="J839" i="14"/>
  <c r="D839" i="14"/>
  <c r="H839" i="14"/>
  <c r="C835" i="14"/>
  <c r="G835" i="14"/>
  <c r="K835" i="14"/>
  <c r="B835" i="14"/>
  <c r="F835" i="14"/>
  <c r="J835" i="14"/>
  <c r="D835" i="14"/>
  <c r="H835" i="14"/>
  <c r="C831" i="14"/>
  <c r="G831" i="14"/>
  <c r="K831" i="14"/>
  <c r="B831" i="14"/>
  <c r="F831" i="14"/>
  <c r="J831" i="14"/>
  <c r="D831" i="14"/>
  <c r="H831" i="14"/>
  <c r="C827" i="14"/>
  <c r="G827" i="14"/>
  <c r="K827" i="14"/>
  <c r="B827" i="14"/>
  <c r="F827" i="14"/>
  <c r="J827" i="14"/>
  <c r="D827" i="14"/>
  <c r="H827" i="14"/>
  <c r="C823" i="14"/>
  <c r="G823" i="14"/>
  <c r="K823" i="14"/>
  <c r="B823" i="14"/>
  <c r="F823" i="14"/>
  <c r="J823" i="14"/>
  <c r="D823" i="14"/>
  <c r="H823" i="14"/>
  <c r="C819" i="14"/>
  <c r="G819" i="14"/>
  <c r="K819" i="14"/>
  <c r="B819" i="14"/>
  <c r="F819" i="14"/>
  <c r="J819" i="14"/>
  <c r="D819" i="14"/>
  <c r="H819" i="14"/>
  <c r="C815" i="14"/>
  <c r="G815" i="14"/>
  <c r="K815" i="14"/>
  <c r="B815" i="14"/>
  <c r="F815" i="14"/>
  <c r="J815" i="14"/>
  <c r="D815" i="14"/>
  <c r="H815" i="14"/>
  <c r="C811" i="14"/>
  <c r="G811" i="14"/>
  <c r="K811" i="14"/>
  <c r="B811" i="14"/>
  <c r="F811" i="14"/>
  <c r="J811" i="14"/>
  <c r="D811" i="14"/>
  <c r="H811" i="14"/>
  <c r="C807" i="14"/>
  <c r="G807" i="14"/>
  <c r="K807" i="14"/>
  <c r="B807" i="14"/>
  <c r="F807" i="14"/>
  <c r="J807" i="14"/>
  <c r="D807" i="14"/>
  <c r="H807" i="14"/>
  <c r="C803" i="14"/>
  <c r="G803" i="14"/>
  <c r="K803" i="14"/>
  <c r="B803" i="14"/>
  <c r="F803" i="14"/>
  <c r="J803" i="14"/>
  <c r="D803" i="14"/>
  <c r="H803" i="14"/>
  <c r="C799" i="14"/>
  <c r="G799" i="14"/>
  <c r="K799" i="14"/>
  <c r="B799" i="14"/>
  <c r="F799" i="14"/>
  <c r="J799" i="14"/>
  <c r="D799" i="14"/>
  <c r="H799" i="14"/>
  <c r="C795" i="14"/>
  <c r="G795" i="14"/>
  <c r="K795" i="14"/>
  <c r="B795" i="14"/>
  <c r="F795" i="14"/>
  <c r="J795" i="14"/>
  <c r="D795" i="14"/>
  <c r="H795" i="14"/>
  <c r="C791" i="14"/>
  <c r="G791" i="14"/>
  <c r="K791" i="14"/>
  <c r="B791" i="14"/>
  <c r="F791" i="14"/>
  <c r="J791" i="14"/>
  <c r="D791" i="14"/>
  <c r="H791" i="14"/>
  <c r="C787" i="14"/>
  <c r="G787" i="14"/>
  <c r="K787" i="14"/>
  <c r="B787" i="14"/>
  <c r="F787" i="14"/>
  <c r="J787" i="14"/>
  <c r="D787" i="14"/>
  <c r="H787" i="14"/>
  <c r="C783" i="14"/>
  <c r="G783" i="14"/>
  <c r="K783" i="14"/>
  <c r="B783" i="14"/>
  <c r="F783" i="14"/>
  <c r="J783" i="14"/>
  <c r="D783" i="14"/>
  <c r="H783" i="14"/>
  <c r="C779" i="14"/>
  <c r="G779" i="14"/>
  <c r="K779" i="14"/>
  <c r="B779" i="14"/>
  <c r="F779" i="14"/>
  <c r="J779" i="14"/>
  <c r="D779" i="14"/>
  <c r="H779" i="14"/>
  <c r="K974" i="14"/>
  <c r="G974" i="14"/>
  <c r="K970" i="14"/>
  <c r="G970" i="14"/>
  <c r="K966" i="14"/>
  <c r="G966" i="14"/>
  <c r="K962" i="14"/>
  <c r="G962" i="14"/>
  <c r="K958" i="14"/>
  <c r="G958" i="14"/>
  <c r="K954" i="14"/>
  <c r="G954" i="14"/>
  <c r="K950" i="14"/>
  <c r="G950" i="14"/>
  <c r="K946" i="14"/>
  <c r="G946" i="14"/>
  <c r="K942" i="14"/>
  <c r="G942" i="14"/>
  <c r="K938" i="14"/>
  <c r="G938" i="14"/>
  <c r="K934" i="14"/>
  <c r="G934" i="14"/>
  <c r="K930" i="14"/>
  <c r="G930" i="14"/>
  <c r="K926" i="14"/>
  <c r="G926" i="14"/>
  <c r="K922" i="14"/>
  <c r="G922" i="14"/>
  <c r="K918" i="14"/>
  <c r="G918" i="14"/>
  <c r="K914" i="14"/>
  <c r="G914" i="14"/>
  <c r="K910" i="14"/>
  <c r="G910" i="14"/>
  <c r="K906" i="14"/>
  <c r="G906" i="14"/>
  <c r="K902" i="14"/>
  <c r="G902" i="14"/>
  <c r="K898" i="14"/>
  <c r="G898" i="14"/>
  <c r="K894" i="14"/>
  <c r="G894" i="14"/>
  <c r="K890" i="14"/>
  <c r="G890" i="14"/>
  <c r="K886" i="14"/>
  <c r="G886" i="14"/>
  <c r="K882" i="14"/>
  <c r="G882" i="14"/>
  <c r="K878" i="14"/>
  <c r="G878" i="14"/>
  <c r="K874" i="14"/>
  <c r="G874" i="14"/>
  <c r="K870" i="14"/>
  <c r="G870" i="14"/>
  <c r="K866" i="14"/>
  <c r="G866" i="14"/>
  <c r="K862" i="14"/>
  <c r="G862" i="14"/>
  <c r="K858" i="14"/>
  <c r="G858" i="14"/>
  <c r="K854" i="14"/>
  <c r="G854" i="14"/>
  <c r="K850" i="14"/>
  <c r="G850" i="14"/>
  <c r="J849" i="14"/>
  <c r="F849" i="14"/>
  <c r="B849" i="14"/>
  <c r="K846" i="14"/>
  <c r="G846" i="14"/>
  <c r="J845" i="14"/>
  <c r="F845" i="14"/>
  <c r="B845" i="14"/>
  <c r="K842" i="14"/>
  <c r="G842" i="14"/>
  <c r="J841" i="14"/>
  <c r="F841" i="14"/>
  <c r="B841" i="14"/>
  <c r="K838" i="14"/>
  <c r="G838" i="14"/>
  <c r="J837" i="14"/>
  <c r="F837" i="14"/>
  <c r="B837" i="14"/>
  <c r="K834" i="14"/>
  <c r="G834" i="14"/>
  <c r="J833" i="14"/>
  <c r="F833" i="14"/>
  <c r="B833" i="14"/>
  <c r="K830" i="14"/>
  <c r="G830" i="14"/>
  <c r="J829" i="14"/>
  <c r="F829" i="14"/>
  <c r="B829" i="14"/>
  <c r="K826" i="14"/>
  <c r="G826" i="14"/>
  <c r="J825" i="14"/>
  <c r="F825" i="14"/>
  <c r="B825" i="14"/>
  <c r="K822" i="14"/>
  <c r="G822" i="14"/>
  <c r="J821" i="14"/>
  <c r="F821" i="14"/>
  <c r="B821" i="14"/>
  <c r="K818" i="14"/>
  <c r="G818" i="14"/>
  <c r="J817" i="14"/>
  <c r="F817" i="14"/>
  <c r="B817" i="14"/>
  <c r="K814" i="14"/>
  <c r="G814" i="14"/>
  <c r="J813" i="14"/>
  <c r="F813" i="14"/>
  <c r="B813" i="14"/>
  <c r="K810" i="14"/>
  <c r="G810" i="14"/>
  <c r="J809" i="14"/>
  <c r="F809" i="14"/>
  <c r="B809" i="14"/>
  <c r="K806" i="14"/>
  <c r="G806" i="14"/>
  <c r="J805" i="14"/>
  <c r="F805" i="14"/>
  <c r="B805" i="14"/>
  <c r="K802" i="14"/>
  <c r="G802" i="14"/>
  <c r="J801" i="14"/>
  <c r="F801" i="14"/>
  <c r="B801" i="14"/>
  <c r="K798" i="14"/>
  <c r="G798" i="14"/>
  <c r="J797" i="14"/>
  <c r="F797" i="14"/>
  <c r="B797" i="14"/>
  <c r="K794" i="14"/>
  <c r="G794" i="14"/>
  <c r="J793" i="14"/>
  <c r="F793" i="14"/>
  <c r="B793" i="14"/>
  <c r="K790" i="14"/>
  <c r="G790" i="14"/>
  <c r="J789" i="14"/>
  <c r="F789" i="14"/>
  <c r="B789" i="14"/>
  <c r="K786" i="14"/>
  <c r="G786" i="14"/>
  <c r="J785" i="14"/>
  <c r="F785" i="14"/>
  <c r="B785" i="14"/>
  <c r="K782" i="14"/>
  <c r="G782" i="14"/>
  <c r="J781" i="14"/>
  <c r="F781" i="14"/>
  <c r="B781" i="14"/>
  <c r="K778" i="14"/>
  <c r="G778" i="14"/>
  <c r="J777" i="14"/>
  <c r="F777" i="14"/>
  <c r="B777" i="14"/>
  <c r="H775" i="14"/>
  <c r="D775" i="14"/>
  <c r="K774" i="14"/>
  <c r="G774" i="14"/>
  <c r="J773" i="14"/>
  <c r="F773" i="14"/>
  <c r="B773" i="14"/>
  <c r="H771" i="14"/>
  <c r="D771" i="14"/>
  <c r="K770" i="14"/>
  <c r="G770" i="14"/>
  <c r="J769" i="14"/>
  <c r="F769" i="14"/>
  <c r="B769" i="14"/>
  <c r="H767" i="14"/>
  <c r="D767" i="14"/>
  <c r="K766" i="14"/>
  <c r="G766" i="14"/>
  <c r="J765" i="14"/>
  <c r="F765" i="14"/>
  <c r="B765" i="14"/>
  <c r="H763" i="14"/>
  <c r="D763" i="14"/>
  <c r="K762" i="14"/>
  <c r="G762" i="14"/>
  <c r="J761" i="14"/>
  <c r="F761" i="14"/>
  <c r="B761" i="14"/>
  <c r="H759" i="14"/>
  <c r="D759" i="14"/>
  <c r="K758" i="14"/>
  <c r="G758" i="14"/>
  <c r="J757" i="14"/>
  <c r="F757" i="14"/>
  <c r="B757" i="14"/>
  <c r="H755" i="14"/>
  <c r="D755" i="14"/>
  <c r="K754" i="14"/>
  <c r="G754" i="14"/>
  <c r="J753" i="14"/>
  <c r="F753" i="14"/>
  <c r="B753" i="14"/>
  <c r="H751" i="14"/>
  <c r="D751" i="14"/>
  <c r="K750" i="14"/>
  <c r="G750" i="14"/>
  <c r="J749" i="14"/>
  <c r="F749" i="14"/>
  <c r="B749" i="14"/>
  <c r="H747" i="14"/>
  <c r="D747" i="14"/>
  <c r="K746" i="14"/>
  <c r="G746" i="14"/>
  <c r="J745" i="14"/>
  <c r="F745" i="14"/>
  <c r="B745" i="14"/>
  <c r="H743" i="14"/>
  <c r="D743" i="14"/>
  <c r="K742" i="14"/>
  <c r="G742" i="14"/>
  <c r="J741" i="14"/>
  <c r="F741" i="14"/>
  <c r="B741" i="14"/>
  <c r="H739" i="14"/>
  <c r="D739" i="14"/>
  <c r="K738" i="14"/>
  <c r="G738" i="14"/>
  <c r="J737" i="14"/>
  <c r="F737" i="14"/>
  <c r="B737" i="14"/>
  <c r="H735" i="14"/>
  <c r="D735" i="14"/>
  <c r="K734" i="14"/>
  <c r="G734" i="14"/>
  <c r="J733" i="14"/>
  <c r="F733" i="14"/>
  <c r="B733" i="14"/>
  <c r="H731" i="14"/>
  <c r="D731" i="14"/>
  <c r="K730" i="14"/>
  <c r="G730" i="14"/>
  <c r="J729" i="14"/>
  <c r="F729" i="14"/>
  <c r="B729" i="14"/>
  <c r="H727" i="14"/>
  <c r="D727" i="14"/>
  <c r="K726" i="14"/>
  <c r="G726" i="14"/>
  <c r="J725" i="14"/>
  <c r="F725" i="14"/>
  <c r="B725" i="14"/>
  <c r="H723" i="14"/>
  <c r="D723" i="14"/>
  <c r="K722" i="14"/>
  <c r="G722" i="14"/>
  <c r="J721" i="14"/>
  <c r="F721" i="14"/>
  <c r="B721" i="14"/>
  <c r="H719" i="14"/>
  <c r="D719" i="14"/>
  <c r="K718" i="14"/>
  <c r="G718" i="14"/>
  <c r="J717" i="14"/>
  <c r="F717" i="14"/>
  <c r="B717" i="14"/>
  <c r="H715" i="14"/>
  <c r="D715" i="14"/>
  <c r="K714" i="14"/>
  <c r="G714" i="14"/>
  <c r="J713" i="14"/>
  <c r="F713" i="14"/>
  <c r="B713" i="14"/>
  <c r="H711" i="14"/>
  <c r="D711" i="14"/>
  <c r="K710" i="14"/>
  <c r="G710" i="14"/>
  <c r="J709" i="14"/>
  <c r="F709" i="14"/>
  <c r="B709" i="14"/>
  <c r="H707" i="14"/>
  <c r="D707" i="14"/>
  <c r="K706" i="14"/>
  <c r="G706" i="14"/>
  <c r="J705" i="14"/>
  <c r="F705" i="14"/>
  <c r="B705" i="14"/>
  <c r="H703" i="14"/>
  <c r="D703" i="14"/>
  <c r="K702" i="14"/>
  <c r="G702" i="14"/>
  <c r="J701" i="14"/>
  <c r="F701" i="14"/>
  <c r="B701" i="14"/>
  <c r="H699" i="14"/>
  <c r="D699" i="14"/>
  <c r="K698" i="14"/>
  <c r="G698" i="14"/>
  <c r="J697" i="14"/>
  <c r="F697" i="14"/>
  <c r="B697" i="14"/>
  <c r="H695" i="14"/>
  <c r="D695" i="14"/>
  <c r="K694" i="14"/>
  <c r="G694" i="14"/>
  <c r="J693" i="14"/>
  <c r="F693" i="14"/>
  <c r="B693" i="14"/>
  <c r="H691" i="14"/>
  <c r="D691" i="14"/>
  <c r="K690" i="14"/>
  <c r="G690" i="14"/>
  <c r="J689" i="14"/>
  <c r="F689" i="14"/>
  <c r="B689" i="14"/>
  <c r="H687" i="14"/>
  <c r="D687" i="14"/>
  <c r="K686" i="14"/>
  <c r="G686" i="14"/>
  <c r="J685" i="14"/>
  <c r="F685" i="14"/>
  <c r="B685" i="14"/>
  <c r="H683" i="14"/>
  <c r="D683" i="14"/>
  <c r="K682" i="14"/>
  <c r="G682" i="14"/>
  <c r="J681" i="14"/>
  <c r="F681" i="14"/>
  <c r="B681" i="14"/>
  <c r="H679" i="14"/>
  <c r="D679" i="14"/>
  <c r="K678" i="14"/>
  <c r="G678" i="14"/>
  <c r="B678" i="14"/>
  <c r="H677" i="14"/>
  <c r="C677" i="14"/>
  <c r="G675" i="14"/>
  <c r="B675" i="14"/>
  <c r="H674" i="14"/>
  <c r="B674" i="14"/>
  <c r="H673" i="14"/>
  <c r="C673" i="14"/>
  <c r="G671" i="14"/>
  <c r="B671" i="14"/>
  <c r="H670" i="14"/>
  <c r="B670" i="14"/>
  <c r="H669" i="14"/>
  <c r="C669" i="14"/>
  <c r="G667" i="14"/>
  <c r="B667" i="14"/>
  <c r="H666" i="14"/>
  <c r="B666" i="14"/>
  <c r="H665" i="14"/>
  <c r="C665" i="14"/>
  <c r="G663" i="14"/>
  <c r="B663" i="14"/>
  <c r="H662" i="14"/>
  <c r="B662" i="14"/>
  <c r="H661" i="14"/>
  <c r="C661" i="14"/>
  <c r="G659" i="14"/>
  <c r="B659" i="14"/>
  <c r="H658" i="14"/>
  <c r="B658" i="14"/>
  <c r="H657" i="14"/>
  <c r="C657" i="14"/>
  <c r="G655" i="14"/>
  <c r="B655" i="14"/>
  <c r="H654" i="14"/>
  <c r="B654" i="14"/>
  <c r="H653" i="14"/>
  <c r="C653" i="14"/>
  <c r="G651" i="14"/>
  <c r="B651" i="14"/>
  <c r="H650" i="14"/>
  <c r="B650" i="14"/>
  <c r="H649" i="14"/>
  <c r="C649" i="14"/>
  <c r="K646" i="14"/>
  <c r="D646" i="14"/>
  <c r="J643" i="14"/>
  <c r="D643" i="14"/>
  <c r="J640" i="14"/>
  <c r="C640" i="14"/>
  <c r="K638" i="14"/>
  <c r="D638" i="14"/>
  <c r="J635" i="14"/>
  <c r="D635" i="14"/>
  <c r="J632" i="14"/>
  <c r="C632" i="14"/>
  <c r="K630" i="14"/>
  <c r="D630" i="14"/>
  <c r="J627" i="14"/>
  <c r="D627" i="14"/>
  <c r="J624" i="14"/>
  <c r="C624" i="14"/>
  <c r="K622" i="14"/>
  <c r="D622" i="14"/>
  <c r="J619" i="14"/>
  <c r="D619" i="14"/>
  <c r="J616" i="14"/>
  <c r="C616" i="14"/>
  <c r="K614" i="14"/>
  <c r="D614" i="14"/>
  <c r="J611" i="14"/>
  <c r="D611" i="14"/>
  <c r="C647" i="14"/>
  <c r="G647" i="14"/>
  <c r="B647" i="14"/>
  <c r="H647" i="14"/>
  <c r="D644" i="14"/>
  <c r="H644" i="14"/>
  <c r="B644" i="14"/>
  <c r="G644" i="14"/>
  <c r="B642" i="14"/>
  <c r="F642" i="14"/>
  <c r="J642" i="14"/>
  <c r="C642" i="14"/>
  <c r="H642" i="14"/>
  <c r="C639" i="14"/>
  <c r="G639" i="14"/>
  <c r="K639" i="14"/>
  <c r="B639" i="14"/>
  <c r="H639" i="14"/>
  <c r="D636" i="14"/>
  <c r="H636" i="14"/>
  <c r="B636" i="14"/>
  <c r="G636" i="14"/>
  <c r="B634" i="14"/>
  <c r="F634" i="14"/>
  <c r="J634" i="14"/>
  <c r="C634" i="14"/>
  <c r="H634" i="14"/>
  <c r="C631" i="14"/>
  <c r="G631" i="14"/>
  <c r="K631" i="14"/>
  <c r="B631" i="14"/>
  <c r="H631" i="14"/>
  <c r="D628" i="14"/>
  <c r="H628" i="14"/>
  <c r="B628" i="14"/>
  <c r="G628" i="14"/>
  <c r="B626" i="14"/>
  <c r="F626" i="14"/>
  <c r="J626" i="14"/>
  <c r="C626" i="14"/>
  <c r="H626" i="14"/>
  <c r="C623" i="14"/>
  <c r="G623" i="14"/>
  <c r="K623" i="14"/>
  <c r="B623" i="14"/>
  <c r="H623" i="14"/>
  <c r="D620" i="14"/>
  <c r="H620" i="14"/>
  <c r="B620" i="14"/>
  <c r="G620" i="14"/>
  <c r="B618" i="14"/>
  <c r="F618" i="14"/>
  <c r="J618" i="14"/>
  <c r="C618" i="14"/>
  <c r="H618" i="14"/>
  <c r="C615" i="14"/>
  <c r="G615" i="14"/>
  <c r="K615" i="14"/>
  <c r="B615" i="14"/>
  <c r="H615" i="14"/>
  <c r="D612" i="14"/>
  <c r="H612" i="14"/>
  <c r="B612" i="14"/>
  <c r="G612" i="14"/>
  <c r="B610" i="14"/>
  <c r="F610" i="14"/>
  <c r="J610" i="14"/>
  <c r="C610" i="14"/>
  <c r="H610" i="14"/>
  <c r="D608" i="14"/>
  <c r="H608" i="14"/>
  <c r="B608" i="14"/>
  <c r="G608" i="14"/>
  <c r="E608" i="14"/>
  <c r="J608" i="14"/>
  <c r="C607" i="14"/>
  <c r="G607" i="14"/>
  <c r="K607" i="14"/>
  <c r="B607" i="14"/>
  <c r="H607" i="14"/>
  <c r="E607" i="14"/>
  <c r="J607" i="14"/>
  <c r="B606" i="14"/>
  <c r="F606" i="14"/>
  <c r="J606" i="14"/>
  <c r="C606" i="14"/>
  <c r="H606" i="14"/>
  <c r="E606" i="14"/>
  <c r="K606" i="14"/>
  <c r="D604" i="14"/>
  <c r="H604" i="14"/>
  <c r="B604" i="14"/>
  <c r="G604" i="14"/>
  <c r="E604" i="14"/>
  <c r="J604" i="14"/>
  <c r="C603" i="14"/>
  <c r="G603" i="14"/>
  <c r="K603" i="14"/>
  <c r="B603" i="14"/>
  <c r="H603" i="14"/>
  <c r="E603" i="14"/>
  <c r="J603" i="14"/>
  <c r="B602" i="14"/>
  <c r="F602" i="14"/>
  <c r="J602" i="14"/>
  <c r="C602" i="14"/>
  <c r="H602" i="14"/>
  <c r="E602" i="14"/>
  <c r="K602" i="14"/>
  <c r="D600" i="14"/>
  <c r="H600" i="14"/>
  <c r="B600" i="14"/>
  <c r="G600" i="14"/>
  <c r="E600" i="14"/>
  <c r="J600" i="14"/>
  <c r="C599" i="14"/>
  <c r="G599" i="14"/>
  <c r="K599" i="14"/>
  <c r="B599" i="14"/>
  <c r="H599" i="14"/>
  <c r="E599" i="14"/>
  <c r="J599" i="14"/>
  <c r="B598" i="14"/>
  <c r="F598" i="14"/>
  <c r="J598" i="14"/>
  <c r="C598" i="14"/>
  <c r="H598" i="14"/>
  <c r="E598" i="14"/>
  <c r="K598" i="14"/>
  <c r="D596" i="14"/>
  <c r="H596" i="14"/>
  <c r="B596" i="14"/>
  <c r="G596" i="14"/>
  <c r="E596" i="14"/>
  <c r="J596" i="14"/>
  <c r="C595" i="14"/>
  <c r="G595" i="14"/>
  <c r="K595" i="14"/>
  <c r="B595" i="14"/>
  <c r="H595" i="14"/>
  <c r="E595" i="14"/>
  <c r="J595" i="14"/>
  <c r="B594" i="14"/>
  <c r="F594" i="14"/>
  <c r="J594" i="14"/>
  <c r="C594" i="14"/>
  <c r="H594" i="14"/>
  <c r="E594" i="14"/>
  <c r="K594" i="14"/>
  <c r="D592" i="14"/>
  <c r="H592" i="14"/>
  <c r="B592" i="14"/>
  <c r="G592" i="14"/>
  <c r="E592" i="14"/>
  <c r="J592" i="14"/>
  <c r="C591" i="14"/>
  <c r="G591" i="14"/>
  <c r="K591" i="14"/>
  <c r="B591" i="14"/>
  <c r="H591" i="14"/>
  <c r="E591" i="14"/>
  <c r="J591" i="14"/>
  <c r="B590" i="14"/>
  <c r="F590" i="14"/>
  <c r="J590" i="14"/>
  <c r="C590" i="14"/>
  <c r="H590" i="14"/>
  <c r="E590" i="14"/>
  <c r="K590" i="14"/>
  <c r="D588" i="14"/>
  <c r="H588" i="14"/>
  <c r="B588" i="14"/>
  <c r="G588" i="14"/>
  <c r="E588" i="14"/>
  <c r="J588" i="14"/>
  <c r="C587" i="14"/>
  <c r="G587" i="14"/>
  <c r="K587" i="14"/>
  <c r="B587" i="14"/>
  <c r="H587" i="14"/>
  <c r="E587" i="14"/>
  <c r="J587" i="14"/>
  <c r="B586" i="14"/>
  <c r="F586" i="14"/>
  <c r="J586" i="14"/>
  <c r="C586" i="14"/>
  <c r="H586" i="14"/>
  <c r="E586" i="14"/>
  <c r="K586" i="14"/>
  <c r="D584" i="14"/>
  <c r="H584" i="14"/>
  <c r="B584" i="14"/>
  <c r="G584" i="14"/>
  <c r="E584" i="14"/>
  <c r="J584" i="14"/>
  <c r="C583" i="14"/>
  <c r="G583" i="14"/>
  <c r="K583" i="14"/>
  <c r="B583" i="14"/>
  <c r="H583" i="14"/>
  <c r="E583" i="14"/>
  <c r="J583" i="14"/>
  <c r="B582" i="14"/>
  <c r="F582" i="14"/>
  <c r="J582" i="14"/>
  <c r="C582" i="14"/>
  <c r="H582" i="14"/>
  <c r="E582" i="14"/>
  <c r="K582" i="14"/>
  <c r="D580" i="14"/>
  <c r="H580" i="14"/>
  <c r="B580" i="14"/>
  <c r="G580" i="14"/>
  <c r="E580" i="14"/>
  <c r="J580" i="14"/>
  <c r="C579" i="14"/>
  <c r="G579" i="14"/>
  <c r="K579" i="14"/>
  <c r="B579" i="14"/>
  <c r="H579" i="14"/>
  <c r="E579" i="14"/>
  <c r="J579" i="14"/>
  <c r="B578" i="14"/>
  <c r="F578" i="14"/>
  <c r="J578" i="14"/>
  <c r="C578" i="14"/>
  <c r="H578" i="14"/>
  <c r="E578" i="14"/>
  <c r="K578" i="14"/>
  <c r="D576" i="14"/>
  <c r="H576" i="14"/>
  <c r="B576" i="14"/>
  <c r="G576" i="14"/>
  <c r="E576" i="14"/>
  <c r="J576" i="14"/>
  <c r="C575" i="14"/>
  <c r="G575" i="14"/>
  <c r="K575" i="14"/>
  <c r="B575" i="14"/>
  <c r="H575" i="14"/>
  <c r="E575" i="14"/>
  <c r="J575" i="14"/>
  <c r="B574" i="14"/>
  <c r="F574" i="14"/>
  <c r="J574" i="14"/>
  <c r="C574" i="14"/>
  <c r="H574" i="14"/>
  <c r="E574" i="14"/>
  <c r="K574" i="14"/>
  <c r="D572" i="14"/>
  <c r="H572" i="14"/>
  <c r="B572" i="14"/>
  <c r="G572" i="14"/>
  <c r="E572" i="14"/>
  <c r="J572" i="14"/>
  <c r="C571" i="14"/>
  <c r="G571" i="14"/>
  <c r="K571" i="14"/>
  <c r="B571" i="14"/>
  <c r="H571" i="14"/>
  <c r="E571" i="14"/>
  <c r="J571" i="14"/>
  <c r="B570" i="14"/>
  <c r="F570" i="14"/>
  <c r="J570" i="14"/>
  <c r="C570" i="14"/>
  <c r="H570" i="14"/>
  <c r="E570" i="14"/>
  <c r="K570" i="14"/>
  <c r="D568" i="14"/>
  <c r="H568" i="14"/>
  <c r="B568" i="14"/>
  <c r="G568" i="14"/>
  <c r="E568" i="14"/>
  <c r="J568" i="14"/>
  <c r="C567" i="14"/>
  <c r="G567" i="14"/>
  <c r="K567" i="14"/>
  <c r="B567" i="14"/>
  <c r="H567" i="14"/>
  <c r="E567" i="14"/>
  <c r="J567" i="14"/>
  <c r="B566" i="14"/>
  <c r="F566" i="14"/>
  <c r="J566" i="14"/>
  <c r="C566" i="14"/>
  <c r="H566" i="14"/>
  <c r="E566" i="14"/>
  <c r="K566" i="14"/>
  <c r="D564" i="14"/>
  <c r="H564" i="14"/>
  <c r="B564" i="14"/>
  <c r="G564" i="14"/>
  <c r="E564" i="14"/>
  <c r="J564" i="14"/>
  <c r="C563" i="14"/>
  <c r="G563" i="14"/>
  <c r="K563" i="14"/>
  <c r="B563" i="14"/>
  <c r="H563" i="14"/>
  <c r="E563" i="14"/>
  <c r="J563" i="14"/>
  <c r="B562" i="14"/>
  <c r="F562" i="14"/>
  <c r="J562" i="14"/>
  <c r="C562" i="14"/>
  <c r="H562" i="14"/>
  <c r="E562" i="14"/>
  <c r="K562" i="14"/>
  <c r="D560" i="14"/>
  <c r="H560" i="14"/>
  <c r="B560" i="14"/>
  <c r="G560" i="14"/>
  <c r="E560" i="14"/>
  <c r="J560" i="14"/>
  <c r="C559" i="14"/>
  <c r="G559" i="14"/>
  <c r="K559" i="14"/>
  <c r="B559" i="14"/>
  <c r="H559" i="14"/>
  <c r="E559" i="14"/>
  <c r="J559" i="14"/>
  <c r="B558" i="14"/>
  <c r="F558" i="14"/>
  <c r="J558" i="14"/>
  <c r="C558" i="14"/>
  <c r="H558" i="14"/>
  <c r="E558" i="14"/>
  <c r="K558" i="14"/>
  <c r="D556" i="14"/>
  <c r="H556" i="14"/>
  <c r="B556" i="14"/>
  <c r="G556" i="14"/>
  <c r="E556" i="14"/>
  <c r="J556" i="14"/>
  <c r="C555" i="14"/>
  <c r="G555" i="14"/>
  <c r="K555" i="14"/>
  <c r="B555" i="14"/>
  <c r="H555" i="14"/>
  <c r="E555" i="14"/>
  <c r="J555" i="14"/>
  <c r="B554" i="14"/>
  <c r="F554" i="14"/>
  <c r="J554" i="14"/>
  <c r="C554" i="14"/>
  <c r="H554" i="14"/>
  <c r="E554" i="14"/>
  <c r="K554" i="14"/>
  <c r="D552" i="14"/>
  <c r="H552" i="14"/>
  <c r="B552" i="14"/>
  <c r="G552" i="14"/>
  <c r="E552" i="14"/>
  <c r="J552" i="14"/>
  <c r="C551" i="14"/>
  <c r="G551" i="14"/>
  <c r="K551" i="14"/>
  <c r="B551" i="14"/>
  <c r="H551" i="14"/>
  <c r="E551" i="14"/>
  <c r="J551" i="14"/>
  <c r="B550" i="14"/>
  <c r="F550" i="14"/>
  <c r="J550" i="14"/>
  <c r="C550" i="14"/>
  <c r="H550" i="14"/>
  <c r="E550" i="14"/>
  <c r="K550" i="14"/>
  <c r="D548" i="14"/>
  <c r="H548" i="14"/>
  <c r="B548" i="14"/>
  <c r="G548" i="14"/>
  <c r="E548" i="14"/>
  <c r="J548" i="14"/>
  <c r="C547" i="14"/>
  <c r="G547" i="14"/>
  <c r="K547" i="14"/>
  <c r="B547" i="14"/>
  <c r="H547" i="14"/>
  <c r="E547" i="14"/>
  <c r="J547" i="14"/>
  <c r="H849" i="14"/>
  <c r="H845" i="14"/>
  <c r="H841" i="14"/>
  <c r="H837" i="14"/>
  <c r="H833" i="14"/>
  <c r="H829" i="14"/>
  <c r="H825" i="14"/>
  <c r="H821" i="14"/>
  <c r="H817" i="14"/>
  <c r="H813" i="14"/>
  <c r="H809" i="14"/>
  <c r="H805" i="14"/>
  <c r="H801" i="14"/>
  <c r="H797" i="14"/>
  <c r="H793" i="14"/>
  <c r="H789" i="14"/>
  <c r="H785" i="14"/>
  <c r="H781" i="14"/>
  <c r="H777" i="14"/>
  <c r="J775" i="14"/>
  <c r="F775" i="14"/>
  <c r="B775" i="14"/>
  <c r="H773" i="14"/>
  <c r="J771" i="14"/>
  <c r="F771" i="14"/>
  <c r="B771" i="14"/>
  <c r="H769" i="14"/>
  <c r="J767" i="14"/>
  <c r="F767" i="14"/>
  <c r="B767" i="14"/>
  <c r="H765" i="14"/>
  <c r="J763" i="14"/>
  <c r="F763" i="14"/>
  <c r="B763" i="14"/>
  <c r="H761" i="14"/>
  <c r="J759" i="14"/>
  <c r="F759" i="14"/>
  <c r="B759" i="14"/>
  <c r="H757" i="14"/>
  <c r="J755" i="14"/>
  <c r="F755" i="14"/>
  <c r="B755" i="14"/>
  <c r="H753" i="14"/>
  <c r="J751" i="14"/>
  <c r="F751" i="14"/>
  <c r="B751" i="14"/>
  <c r="H749" i="14"/>
  <c r="J747" i="14"/>
  <c r="F747" i="14"/>
  <c r="B747" i="14"/>
  <c r="H745" i="14"/>
  <c r="J743" i="14"/>
  <c r="F743" i="14"/>
  <c r="B743" i="14"/>
  <c r="H741" i="14"/>
  <c r="J739" i="14"/>
  <c r="F739" i="14"/>
  <c r="B739" i="14"/>
  <c r="H737" i="14"/>
  <c r="J735" i="14"/>
  <c r="F735" i="14"/>
  <c r="B735" i="14"/>
  <c r="H733" i="14"/>
  <c r="J731" i="14"/>
  <c r="F731" i="14"/>
  <c r="B731" i="14"/>
  <c r="H729" i="14"/>
  <c r="J727" i="14"/>
  <c r="F727" i="14"/>
  <c r="B727" i="14"/>
  <c r="H725" i="14"/>
  <c r="J723" i="14"/>
  <c r="F723" i="14"/>
  <c r="B723" i="14"/>
  <c r="H721" i="14"/>
  <c r="J719" i="14"/>
  <c r="F719" i="14"/>
  <c r="B719" i="14"/>
  <c r="H717" i="14"/>
  <c r="J715" i="14"/>
  <c r="F715" i="14"/>
  <c r="B715" i="14"/>
  <c r="H713" i="14"/>
  <c r="J711" i="14"/>
  <c r="F711" i="14"/>
  <c r="B711" i="14"/>
  <c r="H709" i="14"/>
  <c r="J707" i="14"/>
  <c r="F707" i="14"/>
  <c r="B707" i="14"/>
  <c r="H705" i="14"/>
  <c r="J703" i="14"/>
  <c r="F703" i="14"/>
  <c r="B703" i="14"/>
  <c r="H701" i="14"/>
  <c r="J699" i="14"/>
  <c r="F699" i="14"/>
  <c r="B699" i="14"/>
  <c r="H697" i="14"/>
  <c r="J695" i="14"/>
  <c r="F695" i="14"/>
  <c r="B695" i="14"/>
  <c r="H693" i="14"/>
  <c r="J691" i="14"/>
  <c r="F691" i="14"/>
  <c r="B691" i="14"/>
  <c r="H689" i="14"/>
  <c r="J687" i="14"/>
  <c r="F687" i="14"/>
  <c r="B687" i="14"/>
  <c r="H685" i="14"/>
  <c r="J683" i="14"/>
  <c r="F683" i="14"/>
  <c r="B683" i="14"/>
  <c r="H681" i="14"/>
  <c r="J679" i="14"/>
  <c r="F679" i="14"/>
  <c r="B679" i="14"/>
  <c r="I678" i="14"/>
  <c r="E678" i="14"/>
  <c r="K677" i="14"/>
  <c r="J675" i="14"/>
  <c r="J674" i="14"/>
  <c r="K673" i="14"/>
  <c r="J671" i="14"/>
  <c r="J670" i="14"/>
  <c r="K669" i="14"/>
  <c r="J667" i="14"/>
  <c r="J666" i="14"/>
  <c r="K665" i="14"/>
  <c r="J663" i="14"/>
  <c r="J662" i="14"/>
  <c r="K661" i="14"/>
  <c r="J659" i="14"/>
  <c r="J658" i="14"/>
  <c r="K657" i="14"/>
  <c r="J655" i="14"/>
  <c r="J654" i="14"/>
  <c r="K653" i="14"/>
  <c r="J651" i="14"/>
  <c r="J650" i="14"/>
  <c r="K649" i="14"/>
  <c r="J647" i="14"/>
  <c r="D647" i="14"/>
  <c r="J644" i="14"/>
  <c r="C644" i="14"/>
  <c r="K642" i="14"/>
  <c r="D642" i="14"/>
  <c r="J639" i="14"/>
  <c r="D639" i="14"/>
  <c r="J636" i="14"/>
  <c r="C636" i="14"/>
  <c r="K634" i="14"/>
  <c r="D634" i="14"/>
  <c r="J631" i="14"/>
  <c r="D631" i="14"/>
  <c r="J628" i="14"/>
  <c r="C628" i="14"/>
  <c r="K626" i="14"/>
  <c r="D626" i="14"/>
  <c r="J623" i="14"/>
  <c r="D623" i="14"/>
  <c r="J620" i="14"/>
  <c r="C620" i="14"/>
  <c r="K618" i="14"/>
  <c r="D618" i="14"/>
  <c r="J615" i="14"/>
  <c r="D615" i="14"/>
  <c r="J612" i="14"/>
  <c r="C612" i="14"/>
  <c r="K610" i="14"/>
  <c r="D610" i="14"/>
  <c r="C608" i="14"/>
  <c r="D607" i="14"/>
  <c r="D606" i="14"/>
  <c r="C604" i="14"/>
  <c r="D603" i="14"/>
  <c r="D602" i="14"/>
  <c r="C600" i="14"/>
  <c r="D599" i="14"/>
  <c r="D598" i="14"/>
  <c r="C596" i="14"/>
  <c r="D595" i="14"/>
  <c r="D594" i="14"/>
  <c r="C592" i="14"/>
  <c r="D591" i="14"/>
  <c r="D590" i="14"/>
  <c r="C588" i="14"/>
  <c r="D587" i="14"/>
  <c r="D586" i="14"/>
  <c r="C584" i="14"/>
  <c r="D583" i="14"/>
  <c r="D582" i="14"/>
  <c r="C580" i="14"/>
  <c r="D579" i="14"/>
  <c r="D578" i="14"/>
  <c r="C576" i="14"/>
  <c r="D575" i="14"/>
  <c r="D574" i="14"/>
  <c r="C572" i="14"/>
  <c r="D571" i="14"/>
  <c r="D570" i="14"/>
  <c r="C568" i="14"/>
  <c r="D567" i="14"/>
  <c r="D566" i="14"/>
  <c r="C564" i="14"/>
  <c r="D563" i="14"/>
  <c r="D562" i="14"/>
  <c r="C560" i="14"/>
  <c r="D559" i="14"/>
  <c r="D558" i="14"/>
  <c r="C556" i="14"/>
  <c r="D555" i="14"/>
  <c r="D554" i="14"/>
  <c r="C552" i="14"/>
  <c r="D551" i="14"/>
  <c r="D550" i="14"/>
  <c r="C548" i="14"/>
  <c r="D547" i="14"/>
  <c r="B677" i="14"/>
  <c r="F677" i="14"/>
  <c r="J677" i="14"/>
  <c r="D675" i="14"/>
  <c r="H675" i="14"/>
  <c r="C674" i="14"/>
  <c r="G674" i="14"/>
  <c r="K674" i="14"/>
  <c r="B673" i="14"/>
  <c r="F673" i="14"/>
  <c r="J673" i="14"/>
  <c r="D671" i="14"/>
  <c r="H671" i="14"/>
  <c r="C670" i="14"/>
  <c r="G670" i="14"/>
  <c r="K670" i="14"/>
  <c r="B669" i="14"/>
  <c r="F669" i="14"/>
  <c r="J669" i="14"/>
  <c r="D667" i="14"/>
  <c r="H667" i="14"/>
  <c r="C666" i="14"/>
  <c r="G666" i="14"/>
  <c r="K666" i="14"/>
  <c r="B665" i="14"/>
  <c r="F665" i="14"/>
  <c r="J665" i="14"/>
  <c r="D663" i="14"/>
  <c r="H663" i="14"/>
  <c r="C662" i="14"/>
  <c r="G662" i="14"/>
  <c r="K662" i="14"/>
  <c r="B661" i="14"/>
  <c r="F661" i="14"/>
  <c r="J661" i="14"/>
  <c r="D659" i="14"/>
  <c r="H659" i="14"/>
  <c r="C658" i="14"/>
  <c r="G658" i="14"/>
  <c r="K658" i="14"/>
  <c r="B657" i="14"/>
  <c r="F657" i="14"/>
  <c r="J657" i="14"/>
  <c r="D655" i="14"/>
  <c r="H655" i="14"/>
  <c r="C654" i="14"/>
  <c r="G654" i="14"/>
  <c r="K654" i="14"/>
  <c r="B653" i="14"/>
  <c r="F653" i="14"/>
  <c r="J653" i="14"/>
  <c r="D651" i="14"/>
  <c r="H651" i="14"/>
  <c r="C650" i="14"/>
  <c r="G650" i="14"/>
  <c r="K650" i="14"/>
  <c r="B649" i="14"/>
  <c r="F649" i="14"/>
  <c r="J649" i="14"/>
  <c r="B646" i="14"/>
  <c r="F646" i="14"/>
  <c r="J646" i="14"/>
  <c r="C646" i="14"/>
  <c r="H646" i="14"/>
  <c r="C643" i="14"/>
  <c r="G643" i="14"/>
  <c r="K643" i="14"/>
  <c r="B643" i="14"/>
  <c r="H643" i="14"/>
  <c r="D640" i="14"/>
  <c r="H640" i="14"/>
  <c r="B640" i="14"/>
  <c r="G640" i="14"/>
  <c r="B638" i="14"/>
  <c r="F638" i="14"/>
  <c r="J638" i="14"/>
  <c r="C638" i="14"/>
  <c r="H638" i="14"/>
  <c r="C635" i="14"/>
  <c r="G635" i="14"/>
  <c r="K635" i="14"/>
  <c r="B635" i="14"/>
  <c r="H635" i="14"/>
  <c r="D632" i="14"/>
  <c r="H632" i="14"/>
  <c r="B632" i="14"/>
  <c r="G632" i="14"/>
  <c r="B630" i="14"/>
  <c r="F630" i="14"/>
  <c r="J630" i="14"/>
  <c r="C630" i="14"/>
  <c r="H630" i="14"/>
  <c r="C627" i="14"/>
  <c r="G627" i="14"/>
  <c r="K627" i="14"/>
  <c r="B627" i="14"/>
  <c r="H627" i="14"/>
  <c r="D624" i="14"/>
  <c r="H624" i="14"/>
  <c r="B624" i="14"/>
  <c r="G624" i="14"/>
  <c r="B622" i="14"/>
  <c r="F622" i="14"/>
  <c r="J622" i="14"/>
  <c r="C622" i="14"/>
  <c r="H622" i="14"/>
  <c r="C619" i="14"/>
  <c r="G619" i="14"/>
  <c r="K619" i="14"/>
  <c r="B619" i="14"/>
  <c r="H619" i="14"/>
  <c r="D616" i="14"/>
  <c r="H616" i="14"/>
  <c r="B616" i="14"/>
  <c r="G616" i="14"/>
  <c r="B614" i="14"/>
  <c r="F614" i="14"/>
  <c r="J614" i="14"/>
  <c r="C614" i="14"/>
  <c r="H614" i="14"/>
  <c r="C611" i="14"/>
  <c r="G611" i="14"/>
  <c r="K611" i="14"/>
  <c r="B611" i="14"/>
  <c r="H611" i="14"/>
  <c r="K775" i="14"/>
  <c r="G775" i="14"/>
  <c r="K771" i="14"/>
  <c r="G771" i="14"/>
  <c r="K767" i="14"/>
  <c r="G767" i="14"/>
  <c r="K763" i="14"/>
  <c r="G763" i="14"/>
  <c r="K759" i="14"/>
  <c r="G759" i="14"/>
  <c r="K755" i="14"/>
  <c r="G755" i="14"/>
  <c r="K751" i="14"/>
  <c r="G751" i="14"/>
  <c r="K747" i="14"/>
  <c r="G747" i="14"/>
  <c r="K743" i="14"/>
  <c r="G743" i="14"/>
  <c r="K739" i="14"/>
  <c r="G739" i="14"/>
  <c r="K735" i="14"/>
  <c r="G735" i="14"/>
  <c r="K731" i="14"/>
  <c r="G731" i="14"/>
  <c r="K727" i="14"/>
  <c r="G727" i="14"/>
  <c r="K723" i="14"/>
  <c r="G723" i="14"/>
  <c r="K719" i="14"/>
  <c r="G719" i="14"/>
  <c r="K715" i="14"/>
  <c r="G715" i="14"/>
  <c r="K711" i="14"/>
  <c r="G711" i="14"/>
  <c r="K707" i="14"/>
  <c r="G707" i="14"/>
  <c r="K703" i="14"/>
  <c r="G703" i="14"/>
  <c r="K699" i="14"/>
  <c r="G699" i="14"/>
  <c r="K695" i="14"/>
  <c r="G695" i="14"/>
  <c r="K691" i="14"/>
  <c r="G691" i="14"/>
  <c r="K687" i="14"/>
  <c r="G687" i="14"/>
  <c r="K683" i="14"/>
  <c r="G683" i="14"/>
  <c r="K679" i="14"/>
  <c r="G679" i="14"/>
  <c r="K647" i="14"/>
  <c r="E647" i="14"/>
  <c r="K644" i="14"/>
  <c r="E644" i="14"/>
  <c r="E642" i="14"/>
  <c r="E639" i="14"/>
  <c r="K636" i="14"/>
  <c r="E636" i="14"/>
  <c r="E634" i="14"/>
  <c r="E631" i="14"/>
  <c r="K628" i="14"/>
  <c r="E628" i="14"/>
  <c r="E626" i="14"/>
  <c r="E623" i="14"/>
  <c r="K620" i="14"/>
  <c r="E620" i="14"/>
  <c r="E618" i="14"/>
  <c r="E615" i="14"/>
  <c r="K612" i="14"/>
  <c r="E612" i="14"/>
  <c r="E610" i="14"/>
  <c r="F608" i="14"/>
  <c r="F607" i="14"/>
  <c r="G606" i="14"/>
  <c r="F604" i="14"/>
  <c r="F603" i="14"/>
  <c r="G602" i="14"/>
  <c r="F600" i="14"/>
  <c r="F599" i="14"/>
  <c r="G598" i="14"/>
  <c r="F596" i="14"/>
  <c r="F595" i="14"/>
  <c r="G594" i="14"/>
  <c r="F592" i="14"/>
  <c r="F591" i="14"/>
  <c r="G590" i="14"/>
  <c r="F588" i="14"/>
  <c r="F587" i="14"/>
  <c r="G586" i="14"/>
  <c r="F584" i="14"/>
  <c r="F583" i="14"/>
  <c r="G582" i="14"/>
  <c r="F580" i="14"/>
  <c r="F579" i="14"/>
  <c r="G578" i="14"/>
  <c r="F576" i="14"/>
  <c r="F575" i="14"/>
  <c r="G574" i="14"/>
  <c r="F572" i="14"/>
  <c r="F571" i="14"/>
  <c r="G570" i="14"/>
  <c r="F568" i="14"/>
  <c r="F567" i="14"/>
  <c r="G566" i="14"/>
  <c r="F564" i="14"/>
  <c r="F563" i="14"/>
  <c r="G562" i="14"/>
  <c r="F560" i="14"/>
  <c r="F559" i="14"/>
  <c r="G558" i="14"/>
  <c r="F556" i="14"/>
  <c r="F555" i="14"/>
  <c r="G554" i="14"/>
  <c r="F552" i="14"/>
  <c r="F551" i="14"/>
  <c r="G550" i="14"/>
  <c r="F548" i="14"/>
  <c r="F547" i="14"/>
  <c r="C511" i="14"/>
  <c r="G511" i="14"/>
  <c r="K511" i="14"/>
  <c r="B511" i="14"/>
  <c r="F511" i="14"/>
  <c r="J511" i="14"/>
  <c r="C503" i="14"/>
  <c r="G503" i="14"/>
  <c r="K503" i="14"/>
  <c r="B503" i="14"/>
  <c r="F503" i="14"/>
  <c r="J503" i="14"/>
  <c r="C495" i="14"/>
  <c r="G495" i="14"/>
  <c r="K495" i="14"/>
  <c r="B495" i="14"/>
  <c r="F495" i="14"/>
  <c r="J495" i="14"/>
  <c r="C487" i="14"/>
  <c r="G487" i="14"/>
  <c r="K487" i="14"/>
  <c r="B487" i="14"/>
  <c r="F487" i="14"/>
  <c r="J487" i="14"/>
  <c r="C479" i="14"/>
  <c r="G479" i="14"/>
  <c r="K479" i="14"/>
  <c r="B479" i="14"/>
  <c r="F479" i="14"/>
  <c r="J479" i="14"/>
  <c r="C471" i="14"/>
  <c r="G471" i="14"/>
  <c r="K471" i="14"/>
  <c r="B471" i="14"/>
  <c r="F471" i="14"/>
  <c r="J471" i="14"/>
  <c r="D467" i="14"/>
  <c r="H467" i="14"/>
  <c r="C467" i="14"/>
  <c r="G467" i="14"/>
  <c r="K467" i="14"/>
  <c r="B467" i="14"/>
  <c r="F467" i="14"/>
  <c r="J467" i="14"/>
  <c r="D463" i="14"/>
  <c r="H463" i="14"/>
  <c r="C463" i="14"/>
  <c r="G463" i="14"/>
  <c r="K463" i="14"/>
  <c r="B463" i="14"/>
  <c r="F463" i="14"/>
  <c r="J463" i="14"/>
  <c r="D459" i="14"/>
  <c r="H459" i="14"/>
  <c r="C459" i="14"/>
  <c r="G459" i="14"/>
  <c r="K459" i="14"/>
  <c r="B459" i="14"/>
  <c r="F459" i="14"/>
  <c r="J459" i="14"/>
  <c r="D455" i="14"/>
  <c r="H455" i="14"/>
  <c r="C455" i="14"/>
  <c r="G455" i="14"/>
  <c r="K455" i="14"/>
  <c r="B455" i="14"/>
  <c r="F455" i="14"/>
  <c r="J455" i="14"/>
  <c r="D451" i="14"/>
  <c r="H451" i="14"/>
  <c r="C451" i="14"/>
  <c r="G451" i="14"/>
  <c r="K451" i="14"/>
  <c r="B451" i="14"/>
  <c r="F451" i="14"/>
  <c r="J451" i="14"/>
  <c r="D512" i="14"/>
  <c r="H512" i="14"/>
  <c r="C512" i="14"/>
  <c r="G512" i="14"/>
  <c r="K512" i="14"/>
  <c r="D504" i="14"/>
  <c r="H504" i="14"/>
  <c r="C504" i="14"/>
  <c r="G504" i="14"/>
  <c r="K504" i="14"/>
  <c r="D496" i="14"/>
  <c r="H496" i="14"/>
  <c r="C496" i="14"/>
  <c r="G496" i="14"/>
  <c r="K496" i="14"/>
  <c r="D488" i="14"/>
  <c r="H488" i="14"/>
  <c r="C488" i="14"/>
  <c r="G488" i="14"/>
  <c r="K488" i="14"/>
  <c r="D480" i="14"/>
  <c r="H480" i="14"/>
  <c r="C480" i="14"/>
  <c r="G480" i="14"/>
  <c r="K480" i="14"/>
  <c r="D472" i="14"/>
  <c r="H472" i="14"/>
  <c r="C472" i="14"/>
  <c r="G472" i="14"/>
  <c r="K472" i="14"/>
  <c r="K546" i="14"/>
  <c r="J544" i="14"/>
  <c r="J543" i="14"/>
  <c r="K542" i="14"/>
  <c r="J540" i="14"/>
  <c r="J539" i="14"/>
  <c r="K538" i="14"/>
  <c r="J536" i="14"/>
  <c r="J535" i="14"/>
  <c r="K534" i="14"/>
  <c r="J532" i="14"/>
  <c r="J531" i="14"/>
  <c r="K530" i="14"/>
  <c r="J528" i="14"/>
  <c r="J527" i="14"/>
  <c r="K526" i="14"/>
  <c r="J524" i="14"/>
  <c r="J523" i="14"/>
  <c r="K522" i="14"/>
  <c r="J520" i="14"/>
  <c r="J519" i="14"/>
  <c r="K518" i="14"/>
  <c r="J516" i="14"/>
  <c r="J515" i="14"/>
  <c r="D511" i="14"/>
  <c r="E508" i="14"/>
  <c r="D503" i="14"/>
  <c r="E500" i="14"/>
  <c r="D495" i="14"/>
  <c r="E492" i="14"/>
  <c r="D487" i="14"/>
  <c r="E484" i="14"/>
  <c r="D479" i="14"/>
  <c r="E476" i="14"/>
  <c r="D471" i="14"/>
  <c r="E467" i="14"/>
  <c r="E463" i="14"/>
  <c r="E459" i="14"/>
  <c r="E455" i="14"/>
  <c r="E451" i="14"/>
  <c r="B546" i="14"/>
  <c r="F546" i="14"/>
  <c r="J546" i="14"/>
  <c r="D544" i="14"/>
  <c r="H544" i="14"/>
  <c r="C543" i="14"/>
  <c r="G543" i="14"/>
  <c r="K543" i="14"/>
  <c r="B542" i="14"/>
  <c r="F542" i="14"/>
  <c r="J542" i="14"/>
  <c r="D540" i="14"/>
  <c r="H540" i="14"/>
  <c r="C539" i="14"/>
  <c r="G539" i="14"/>
  <c r="K539" i="14"/>
  <c r="B538" i="14"/>
  <c r="F538" i="14"/>
  <c r="J538" i="14"/>
  <c r="D536" i="14"/>
  <c r="H536" i="14"/>
  <c r="C535" i="14"/>
  <c r="G535" i="14"/>
  <c r="K535" i="14"/>
  <c r="B534" i="14"/>
  <c r="F534" i="14"/>
  <c r="J534" i="14"/>
  <c r="D532" i="14"/>
  <c r="H532" i="14"/>
  <c r="C531" i="14"/>
  <c r="G531" i="14"/>
  <c r="K531" i="14"/>
  <c r="B530" i="14"/>
  <c r="F530" i="14"/>
  <c r="J530" i="14"/>
  <c r="D528" i="14"/>
  <c r="H528" i="14"/>
  <c r="C527" i="14"/>
  <c r="G527" i="14"/>
  <c r="K527" i="14"/>
  <c r="B526" i="14"/>
  <c r="F526" i="14"/>
  <c r="J526" i="14"/>
  <c r="D524" i="14"/>
  <c r="H524" i="14"/>
  <c r="C523" i="14"/>
  <c r="G523" i="14"/>
  <c r="K523" i="14"/>
  <c r="B522" i="14"/>
  <c r="F522" i="14"/>
  <c r="J522" i="14"/>
  <c r="D520" i="14"/>
  <c r="H520" i="14"/>
  <c r="C519" i="14"/>
  <c r="G519" i="14"/>
  <c r="K519" i="14"/>
  <c r="B518" i="14"/>
  <c r="F518" i="14"/>
  <c r="J518" i="14"/>
  <c r="D516" i="14"/>
  <c r="H516" i="14"/>
  <c r="C515" i="14"/>
  <c r="G515" i="14"/>
  <c r="K515" i="14"/>
  <c r="C507" i="14"/>
  <c r="G507" i="14"/>
  <c r="K507" i="14"/>
  <c r="B507" i="14"/>
  <c r="F507" i="14"/>
  <c r="J507" i="14"/>
  <c r="C499" i="14"/>
  <c r="G499" i="14"/>
  <c r="K499" i="14"/>
  <c r="B499" i="14"/>
  <c r="F499" i="14"/>
  <c r="J499" i="14"/>
  <c r="C491" i="14"/>
  <c r="G491" i="14"/>
  <c r="K491" i="14"/>
  <c r="B491" i="14"/>
  <c r="F491" i="14"/>
  <c r="J491" i="14"/>
  <c r="C483" i="14"/>
  <c r="G483" i="14"/>
  <c r="K483" i="14"/>
  <c r="B483" i="14"/>
  <c r="F483" i="14"/>
  <c r="J483" i="14"/>
  <c r="C475" i="14"/>
  <c r="G475" i="14"/>
  <c r="K475" i="14"/>
  <c r="B475" i="14"/>
  <c r="F475" i="14"/>
  <c r="J475" i="14"/>
  <c r="E511" i="14"/>
  <c r="E503" i="14"/>
  <c r="E495" i="14"/>
  <c r="E487" i="14"/>
  <c r="E479" i="14"/>
  <c r="E471" i="14"/>
  <c r="I467" i="14"/>
  <c r="I463" i="14"/>
  <c r="I459" i="14"/>
  <c r="I455" i="14"/>
  <c r="I451" i="14"/>
  <c r="D508" i="14"/>
  <c r="H508" i="14"/>
  <c r="C508" i="14"/>
  <c r="G508" i="14"/>
  <c r="K508" i="14"/>
  <c r="D500" i="14"/>
  <c r="H500" i="14"/>
  <c r="C500" i="14"/>
  <c r="G500" i="14"/>
  <c r="K500" i="14"/>
  <c r="D492" i="14"/>
  <c r="H492" i="14"/>
  <c r="C492" i="14"/>
  <c r="G492" i="14"/>
  <c r="K492" i="14"/>
  <c r="D484" i="14"/>
  <c r="H484" i="14"/>
  <c r="C484" i="14"/>
  <c r="G484" i="14"/>
  <c r="K484" i="14"/>
  <c r="D476" i="14"/>
  <c r="H476" i="14"/>
  <c r="C476" i="14"/>
  <c r="G476" i="14"/>
  <c r="K476" i="14"/>
  <c r="H546" i="14"/>
  <c r="C546" i="14"/>
  <c r="G544" i="14"/>
  <c r="B544" i="14"/>
  <c r="H543" i="14"/>
  <c r="B543" i="14"/>
  <c r="H542" i="14"/>
  <c r="C542" i="14"/>
  <c r="G540" i="14"/>
  <c r="B540" i="14"/>
  <c r="H539" i="14"/>
  <c r="B539" i="14"/>
  <c r="H538" i="14"/>
  <c r="C538" i="14"/>
  <c r="G536" i="14"/>
  <c r="B536" i="14"/>
  <c r="H535" i="14"/>
  <c r="B535" i="14"/>
  <c r="H534" i="14"/>
  <c r="C534" i="14"/>
  <c r="G532" i="14"/>
  <c r="B532" i="14"/>
  <c r="H531" i="14"/>
  <c r="B531" i="14"/>
  <c r="H530" i="14"/>
  <c r="C530" i="14"/>
  <c r="G528" i="14"/>
  <c r="B528" i="14"/>
  <c r="H527" i="14"/>
  <c r="B527" i="14"/>
  <c r="H526" i="14"/>
  <c r="C526" i="14"/>
  <c r="G524" i="14"/>
  <c r="B524" i="14"/>
  <c r="H523" i="14"/>
  <c r="B523" i="14"/>
  <c r="H522" i="14"/>
  <c r="C522" i="14"/>
  <c r="H511" i="14"/>
  <c r="H503" i="14"/>
  <c r="H495" i="14"/>
  <c r="H487" i="14"/>
  <c r="H479" i="14"/>
  <c r="H471" i="14"/>
  <c r="D425" i="14"/>
  <c r="H425" i="14"/>
  <c r="C424" i="14"/>
  <c r="G424" i="14"/>
  <c r="K424" i="14"/>
  <c r="B423" i="14"/>
  <c r="F423" i="14"/>
  <c r="J423" i="14"/>
  <c r="D421" i="14"/>
  <c r="H421" i="14"/>
  <c r="C420" i="14"/>
  <c r="G420" i="14"/>
  <c r="K420" i="14"/>
  <c r="B419" i="14"/>
  <c r="F419" i="14"/>
  <c r="J419" i="14"/>
  <c r="D417" i="14"/>
  <c r="H417" i="14"/>
  <c r="C416" i="14"/>
  <c r="G416" i="14"/>
  <c r="K416" i="14"/>
  <c r="B415" i="14"/>
  <c r="F415" i="14"/>
  <c r="J415" i="14"/>
  <c r="D413" i="14"/>
  <c r="H413" i="14"/>
  <c r="C412" i="14"/>
  <c r="G412" i="14"/>
  <c r="K412" i="14"/>
  <c r="B411" i="14"/>
  <c r="F411" i="14"/>
  <c r="J411" i="14"/>
  <c r="D409" i="14"/>
  <c r="H409" i="14"/>
  <c r="C408" i="14"/>
  <c r="G408" i="14"/>
  <c r="K408" i="14"/>
  <c r="B407" i="14"/>
  <c r="F407" i="14"/>
  <c r="J407" i="14"/>
  <c r="D405" i="14"/>
  <c r="H405" i="14"/>
  <c r="C404" i="14"/>
  <c r="G404" i="14"/>
  <c r="K404" i="14"/>
  <c r="B403" i="14"/>
  <c r="F403" i="14"/>
  <c r="J403" i="14"/>
  <c r="D401" i="14"/>
  <c r="H401" i="14"/>
  <c r="C400" i="14"/>
  <c r="G400" i="14"/>
  <c r="K400" i="14"/>
  <c r="B399" i="14"/>
  <c r="F399" i="14"/>
  <c r="J399" i="14"/>
  <c r="D397" i="14"/>
  <c r="H397" i="14"/>
  <c r="C396" i="14"/>
  <c r="G396" i="14"/>
  <c r="K396" i="14"/>
  <c r="B395" i="14"/>
  <c r="F395" i="14"/>
  <c r="J395" i="14"/>
  <c r="D393" i="14"/>
  <c r="H393" i="14"/>
  <c r="C392" i="14"/>
  <c r="G392" i="14"/>
  <c r="K392" i="14"/>
  <c r="B391" i="14"/>
  <c r="F391" i="14"/>
  <c r="J391" i="14"/>
  <c r="D389" i="14"/>
  <c r="H389" i="14"/>
  <c r="C388" i="14"/>
  <c r="G388" i="14"/>
  <c r="K388" i="14"/>
  <c r="B387" i="14"/>
  <c r="F387" i="14"/>
  <c r="J387" i="14"/>
  <c r="D385" i="14"/>
  <c r="H385" i="14"/>
  <c r="C384" i="14"/>
  <c r="G384" i="14"/>
  <c r="K384" i="14"/>
  <c r="B383" i="14"/>
  <c r="F383" i="14"/>
  <c r="J383" i="14"/>
  <c r="D381" i="14"/>
  <c r="H381" i="14"/>
  <c r="C380" i="14"/>
  <c r="G380" i="14"/>
  <c r="K380" i="14"/>
  <c r="B379" i="14"/>
  <c r="F379" i="14"/>
  <c r="J379" i="14"/>
  <c r="D377" i="14"/>
  <c r="H377" i="14"/>
  <c r="C376" i="14"/>
  <c r="G376" i="14"/>
  <c r="K376" i="14"/>
  <c r="B375" i="14"/>
  <c r="F375" i="14"/>
  <c r="J375" i="14"/>
  <c r="D364" i="14"/>
  <c r="H364" i="14"/>
  <c r="C364" i="14"/>
  <c r="G364" i="14"/>
  <c r="K364" i="14"/>
  <c r="C359" i="14"/>
  <c r="G359" i="14"/>
  <c r="K359" i="14"/>
  <c r="B359" i="14"/>
  <c r="F359" i="14"/>
  <c r="J359" i="14"/>
  <c r="D343" i="14"/>
  <c r="H343" i="14"/>
  <c r="C343" i="14"/>
  <c r="G343" i="14"/>
  <c r="K343" i="14"/>
  <c r="B343" i="14"/>
  <c r="F343" i="14"/>
  <c r="J343" i="14"/>
  <c r="D327" i="14"/>
  <c r="H327" i="14"/>
  <c r="C327" i="14"/>
  <c r="G327" i="14"/>
  <c r="K327" i="14"/>
  <c r="B327" i="14"/>
  <c r="F327" i="14"/>
  <c r="J327" i="14"/>
  <c r="K468" i="14"/>
  <c r="G468" i="14"/>
  <c r="C468" i="14"/>
  <c r="K464" i="14"/>
  <c r="G464" i="14"/>
  <c r="C464" i="14"/>
  <c r="K460" i="14"/>
  <c r="G460" i="14"/>
  <c r="C460" i="14"/>
  <c r="K456" i="14"/>
  <c r="G456" i="14"/>
  <c r="C456" i="14"/>
  <c r="K452" i="14"/>
  <c r="G452" i="14"/>
  <c r="C452" i="14"/>
  <c r="K448" i="14"/>
  <c r="G448" i="14"/>
  <c r="C448" i="14"/>
  <c r="J447" i="14"/>
  <c r="F447" i="14"/>
  <c r="B447" i="14"/>
  <c r="K444" i="14"/>
  <c r="G444" i="14"/>
  <c r="C444" i="14"/>
  <c r="J443" i="14"/>
  <c r="F443" i="14"/>
  <c r="B443" i="14"/>
  <c r="K440" i="14"/>
  <c r="G440" i="14"/>
  <c r="C440" i="14"/>
  <c r="J439" i="14"/>
  <c r="F439" i="14"/>
  <c r="B439" i="14"/>
  <c r="K436" i="14"/>
  <c r="G436" i="14"/>
  <c r="C436" i="14"/>
  <c r="J435" i="14"/>
  <c r="F435" i="14"/>
  <c r="B435" i="14"/>
  <c r="K432" i="14"/>
  <c r="G432" i="14"/>
  <c r="C432" i="14"/>
  <c r="J431" i="14"/>
  <c r="F431" i="14"/>
  <c r="B431" i="14"/>
  <c r="K428" i="14"/>
  <c r="G428" i="14"/>
  <c r="C428" i="14"/>
  <c r="E372" i="14"/>
  <c r="J368" i="14"/>
  <c r="B368" i="14"/>
  <c r="E367" i="14"/>
  <c r="D363" i="14"/>
  <c r="E355" i="14"/>
  <c r="E339" i="14"/>
  <c r="E323" i="14"/>
  <c r="F316" i="14"/>
  <c r="F308" i="14"/>
  <c r="F300" i="14"/>
  <c r="C371" i="14"/>
  <c r="G371" i="14"/>
  <c r="K371" i="14"/>
  <c r="B371" i="14"/>
  <c r="F371" i="14"/>
  <c r="J371" i="14"/>
  <c r="D360" i="14"/>
  <c r="H360" i="14"/>
  <c r="C360" i="14"/>
  <c r="G360" i="14"/>
  <c r="K360" i="14"/>
  <c r="D347" i="14"/>
  <c r="H347" i="14"/>
  <c r="C347" i="14"/>
  <c r="G347" i="14"/>
  <c r="K347" i="14"/>
  <c r="B347" i="14"/>
  <c r="F347" i="14"/>
  <c r="J347" i="14"/>
  <c r="D331" i="14"/>
  <c r="H331" i="14"/>
  <c r="C331" i="14"/>
  <c r="G331" i="14"/>
  <c r="K331" i="14"/>
  <c r="B331" i="14"/>
  <c r="F331" i="14"/>
  <c r="J331" i="14"/>
  <c r="C315" i="14"/>
  <c r="G315" i="14"/>
  <c r="K315" i="14"/>
  <c r="E315" i="14"/>
  <c r="J315" i="14"/>
  <c r="D315" i="14"/>
  <c r="I315" i="14"/>
  <c r="B315" i="14"/>
  <c r="H315" i="14"/>
  <c r="D312" i="14"/>
  <c r="H312" i="14"/>
  <c r="E312" i="14"/>
  <c r="J312" i="14"/>
  <c r="C312" i="14"/>
  <c r="I312" i="14"/>
  <c r="B312" i="14"/>
  <c r="G312" i="14"/>
  <c r="B310" i="14"/>
  <c r="F310" i="14"/>
  <c r="J310" i="14"/>
  <c r="E310" i="14"/>
  <c r="K310" i="14"/>
  <c r="D310" i="14"/>
  <c r="I310" i="14"/>
  <c r="C310" i="14"/>
  <c r="H310" i="14"/>
  <c r="C307" i="14"/>
  <c r="G307" i="14"/>
  <c r="K307" i="14"/>
  <c r="E307" i="14"/>
  <c r="J307" i="14"/>
  <c r="D307" i="14"/>
  <c r="I307" i="14"/>
  <c r="B307" i="14"/>
  <c r="H307" i="14"/>
  <c r="D304" i="14"/>
  <c r="H304" i="14"/>
  <c r="E304" i="14"/>
  <c r="J304" i="14"/>
  <c r="C304" i="14"/>
  <c r="I304" i="14"/>
  <c r="B304" i="14"/>
  <c r="G304" i="14"/>
  <c r="B302" i="14"/>
  <c r="F302" i="14"/>
  <c r="J302" i="14"/>
  <c r="E302" i="14"/>
  <c r="K302" i="14"/>
  <c r="D302" i="14"/>
  <c r="I302" i="14"/>
  <c r="C302" i="14"/>
  <c r="H302" i="14"/>
  <c r="C299" i="14"/>
  <c r="G299" i="14"/>
  <c r="K299" i="14"/>
  <c r="E299" i="14"/>
  <c r="J299" i="14"/>
  <c r="D299" i="14"/>
  <c r="I299" i="14"/>
  <c r="B299" i="14"/>
  <c r="H299" i="14"/>
  <c r="J514" i="14"/>
  <c r="F514" i="14"/>
  <c r="J510" i="14"/>
  <c r="F510" i="14"/>
  <c r="J506" i="14"/>
  <c r="F506" i="14"/>
  <c r="J502" i="14"/>
  <c r="F502" i="14"/>
  <c r="J498" i="14"/>
  <c r="F498" i="14"/>
  <c r="J494" i="14"/>
  <c r="F494" i="14"/>
  <c r="J490" i="14"/>
  <c r="F490" i="14"/>
  <c r="J486" i="14"/>
  <c r="F486" i="14"/>
  <c r="J482" i="14"/>
  <c r="F482" i="14"/>
  <c r="J478" i="14"/>
  <c r="F478" i="14"/>
  <c r="J474" i="14"/>
  <c r="F474" i="14"/>
  <c r="J470" i="14"/>
  <c r="F470" i="14"/>
  <c r="H468" i="14"/>
  <c r="J466" i="14"/>
  <c r="F466" i="14"/>
  <c r="H464" i="14"/>
  <c r="J462" i="14"/>
  <c r="F462" i="14"/>
  <c r="H460" i="14"/>
  <c r="J458" i="14"/>
  <c r="F458" i="14"/>
  <c r="H456" i="14"/>
  <c r="J454" i="14"/>
  <c r="F454" i="14"/>
  <c r="H452" i="14"/>
  <c r="J450" i="14"/>
  <c r="F450" i="14"/>
  <c r="H448" i="14"/>
  <c r="K447" i="14"/>
  <c r="G447" i="14"/>
  <c r="C447" i="14"/>
  <c r="J446" i="14"/>
  <c r="F446" i="14"/>
  <c r="H444" i="14"/>
  <c r="K443" i="14"/>
  <c r="G443" i="14"/>
  <c r="C443" i="14"/>
  <c r="J442" i="14"/>
  <c r="F442" i="14"/>
  <c r="H440" i="14"/>
  <c r="K439" i="14"/>
  <c r="G439" i="14"/>
  <c r="C439" i="14"/>
  <c r="J438" i="14"/>
  <c r="F438" i="14"/>
  <c r="H436" i="14"/>
  <c r="K435" i="14"/>
  <c r="G435" i="14"/>
  <c r="C435" i="14"/>
  <c r="J434" i="14"/>
  <c r="F434" i="14"/>
  <c r="H432" i="14"/>
  <c r="K431" i="14"/>
  <c r="G431" i="14"/>
  <c r="C431" i="14"/>
  <c r="J430" i="14"/>
  <c r="F430" i="14"/>
  <c r="H428" i="14"/>
  <c r="K427" i="14"/>
  <c r="G427" i="14"/>
  <c r="C427" i="14"/>
  <c r="G425" i="14"/>
  <c r="B425" i="14"/>
  <c r="H424" i="14"/>
  <c r="B424" i="14"/>
  <c r="H423" i="14"/>
  <c r="C423" i="14"/>
  <c r="G421" i="14"/>
  <c r="B421" i="14"/>
  <c r="H420" i="14"/>
  <c r="B420" i="14"/>
  <c r="H419" i="14"/>
  <c r="C419" i="14"/>
  <c r="G417" i="14"/>
  <c r="B417" i="14"/>
  <c r="H416" i="14"/>
  <c r="B416" i="14"/>
  <c r="H415" i="14"/>
  <c r="C415" i="14"/>
  <c r="G413" i="14"/>
  <c r="B413" i="14"/>
  <c r="H412" i="14"/>
  <c r="B412" i="14"/>
  <c r="H411" i="14"/>
  <c r="C411" i="14"/>
  <c r="G409" i="14"/>
  <c r="B409" i="14"/>
  <c r="H408" i="14"/>
  <c r="B408" i="14"/>
  <c r="H407" i="14"/>
  <c r="C407" i="14"/>
  <c r="G405" i="14"/>
  <c r="B405" i="14"/>
  <c r="H404" i="14"/>
  <c r="B404" i="14"/>
  <c r="H403" i="14"/>
  <c r="C403" i="14"/>
  <c r="G401" i="14"/>
  <c r="B401" i="14"/>
  <c r="H400" i="14"/>
  <c r="B400" i="14"/>
  <c r="H399" i="14"/>
  <c r="C399" i="14"/>
  <c r="G397" i="14"/>
  <c r="B397" i="14"/>
  <c r="H396" i="14"/>
  <c r="B396" i="14"/>
  <c r="H395" i="14"/>
  <c r="C395" i="14"/>
  <c r="G393" i="14"/>
  <c r="B393" i="14"/>
  <c r="H392" i="14"/>
  <c r="B392" i="14"/>
  <c r="H391" i="14"/>
  <c r="C391" i="14"/>
  <c r="G389" i="14"/>
  <c r="B389" i="14"/>
  <c r="H388" i="14"/>
  <c r="B388" i="14"/>
  <c r="H387" i="14"/>
  <c r="C387" i="14"/>
  <c r="E368" i="14"/>
  <c r="E363" i="14"/>
  <c r="D372" i="14"/>
  <c r="H372" i="14"/>
  <c r="C372" i="14"/>
  <c r="G372" i="14"/>
  <c r="K372" i="14"/>
  <c r="C367" i="14"/>
  <c r="G367" i="14"/>
  <c r="K367" i="14"/>
  <c r="B367" i="14"/>
  <c r="F367" i="14"/>
  <c r="J367" i="14"/>
  <c r="D351" i="14"/>
  <c r="H351" i="14"/>
  <c r="C351" i="14"/>
  <c r="G351" i="14"/>
  <c r="K351" i="14"/>
  <c r="B351" i="14"/>
  <c r="F351" i="14"/>
  <c r="J351" i="14"/>
  <c r="D335" i="14"/>
  <c r="H335" i="14"/>
  <c r="C335" i="14"/>
  <c r="G335" i="14"/>
  <c r="K335" i="14"/>
  <c r="B335" i="14"/>
  <c r="F335" i="14"/>
  <c r="J335" i="14"/>
  <c r="D319" i="14"/>
  <c r="H319" i="14"/>
  <c r="C319" i="14"/>
  <c r="G319" i="14"/>
  <c r="K319" i="14"/>
  <c r="B319" i="14"/>
  <c r="F319" i="14"/>
  <c r="J319" i="14"/>
  <c r="H447" i="14"/>
  <c r="H443" i="14"/>
  <c r="H439" i="14"/>
  <c r="H435" i="14"/>
  <c r="H431" i="14"/>
  <c r="E331" i="14"/>
  <c r="F315" i="14"/>
  <c r="F312" i="14"/>
  <c r="G310" i="14"/>
  <c r="F307" i="14"/>
  <c r="F304" i="14"/>
  <c r="G302" i="14"/>
  <c r="D368" i="14"/>
  <c r="H368" i="14"/>
  <c r="C368" i="14"/>
  <c r="G368" i="14"/>
  <c r="K368" i="14"/>
  <c r="C363" i="14"/>
  <c r="G363" i="14"/>
  <c r="K363" i="14"/>
  <c r="B363" i="14"/>
  <c r="F363" i="14"/>
  <c r="J363" i="14"/>
  <c r="D355" i="14"/>
  <c r="H355" i="14"/>
  <c r="C355" i="14"/>
  <c r="G355" i="14"/>
  <c r="K355" i="14"/>
  <c r="B355" i="14"/>
  <c r="F355" i="14"/>
  <c r="J355" i="14"/>
  <c r="D339" i="14"/>
  <c r="H339" i="14"/>
  <c r="C339" i="14"/>
  <c r="G339" i="14"/>
  <c r="K339" i="14"/>
  <c r="B339" i="14"/>
  <c r="F339" i="14"/>
  <c r="J339" i="14"/>
  <c r="D323" i="14"/>
  <c r="H323" i="14"/>
  <c r="C323" i="14"/>
  <c r="G323" i="14"/>
  <c r="K323" i="14"/>
  <c r="B323" i="14"/>
  <c r="F323" i="14"/>
  <c r="J323" i="14"/>
  <c r="D316" i="14"/>
  <c r="E316" i="14"/>
  <c r="I316" i="14"/>
  <c r="C316" i="14"/>
  <c r="H316" i="14"/>
  <c r="B316" i="14"/>
  <c r="G316" i="14"/>
  <c r="K316" i="14"/>
  <c r="B314" i="14"/>
  <c r="F314" i="14"/>
  <c r="J314" i="14"/>
  <c r="E314" i="14"/>
  <c r="K314" i="14"/>
  <c r="D314" i="14"/>
  <c r="I314" i="14"/>
  <c r="C314" i="14"/>
  <c r="H314" i="14"/>
  <c r="C311" i="14"/>
  <c r="G311" i="14"/>
  <c r="K311" i="14"/>
  <c r="E311" i="14"/>
  <c r="J311" i="14"/>
  <c r="D311" i="14"/>
  <c r="I311" i="14"/>
  <c r="B311" i="14"/>
  <c r="H311" i="14"/>
  <c r="D308" i="14"/>
  <c r="H308" i="14"/>
  <c r="E308" i="14"/>
  <c r="J308" i="14"/>
  <c r="C308" i="14"/>
  <c r="I308" i="14"/>
  <c r="B308" i="14"/>
  <c r="G308" i="14"/>
  <c r="B306" i="14"/>
  <c r="F306" i="14"/>
  <c r="J306" i="14"/>
  <c r="E306" i="14"/>
  <c r="K306" i="14"/>
  <c r="D306" i="14"/>
  <c r="I306" i="14"/>
  <c r="C306" i="14"/>
  <c r="H306" i="14"/>
  <c r="C303" i="14"/>
  <c r="G303" i="14"/>
  <c r="K303" i="14"/>
  <c r="E303" i="14"/>
  <c r="J303" i="14"/>
  <c r="D303" i="14"/>
  <c r="I303" i="14"/>
  <c r="B303" i="14"/>
  <c r="H303" i="14"/>
  <c r="D300" i="14"/>
  <c r="H300" i="14"/>
  <c r="E300" i="14"/>
  <c r="J300" i="14"/>
  <c r="C300" i="14"/>
  <c r="I300" i="14"/>
  <c r="B300" i="14"/>
  <c r="G300" i="14"/>
  <c r="B298" i="14"/>
  <c r="F298" i="14"/>
  <c r="J298" i="14"/>
  <c r="E298" i="14"/>
  <c r="K298" i="14"/>
  <c r="D298" i="14"/>
  <c r="I298" i="14"/>
  <c r="C298" i="14"/>
  <c r="H298" i="14"/>
  <c r="D296" i="14"/>
  <c r="H296" i="14"/>
  <c r="C295" i="14"/>
  <c r="G295" i="14"/>
  <c r="K295" i="14"/>
  <c r="B294" i="14"/>
  <c r="F294" i="14"/>
  <c r="J294" i="14"/>
  <c r="D292" i="14"/>
  <c r="H292" i="14"/>
  <c r="C291" i="14"/>
  <c r="G291" i="14"/>
  <c r="K291" i="14"/>
  <c r="B290" i="14"/>
  <c r="F290" i="14"/>
  <c r="J290" i="14"/>
  <c r="D288" i="14"/>
  <c r="H288" i="14"/>
  <c r="C287" i="14"/>
  <c r="G287" i="14"/>
  <c r="K287" i="14"/>
  <c r="B286" i="14"/>
  <c r="F286" i="14"/>
  <c r="J286" i="14"/>
  <c r="D284" i="14"/>
  <c r="H284" i="14"/>
  <c r="C283" i="14"/>
  <c r="G283" i="14"/>
  <c r="K283" i="14"/>
  <c r="B282" i="14"/>
  <c r="F282" i="14"/>
  <c r="J282" i="14"/>
  <c r="D280" i="14"/>
  <c r="H280" i="14"/>
  <c r="C279" i="14"/>
  <c r="G279" i="14"/>
  <c r="K279" i="14"/>
  <c r="B278" i="14"/>
  <c r="F278" i="14"/>
  <c r="J278" i="14"/>
  <c r="D276" i="14"/>
  <c r="H276" i="14"/>
  <c r="C275" i="14"/>
  <c r="G275" i="14"/>
  <c r="K275" i="14"/>
  <c r="B274" i="14"/>
  <c r="F274" i="14"/>
  <c r="J274" i="14"/>
  <c r="D272" i="14"/>
  <c r="H272" i="14"/>
  <c r="C271" i="14"/>
  <c r="G271" i="14"/>
  <c r="K271" i="14"/>
  <c r="B270" i="14"/>
  <c r="F270" i="14"/>
  <c r="J270" i="14"/>
  <c r="D268" i="14"/>
  <c r="H268" i="14"/>
  <c r="C267" i="14"/>
  <c r="G267" i="14"/>
  <c r="K267" i="14"/>
  <c r="B266" i="14"/>
  <c r="F266" i="14"/>
  <c r="J266" i="14"/>
  <c r="D264" i="14"/>
  <c r="H264" i="14"/>
  <c r="C263" i="14"/>
  <c r="G263" i="14"/>
  <c r="K263" i="14"/>
  <c r="B262" i="14"/>
  <c r="F262" i="14"/>
  <c r="J262" i="14"/>
  <c r="D260" i="14"/>
  <c r="H260" i="14"/>
  <c r="C259" i="14"/>
  <c r="G259" i="14"/>
  <c r="K259" i="14"/>
  <c r="B258" i="14"/>
  <c r="F258" i="14"/>
  <c r="J258" i="14"/>
  <c r="D256" i="14"/>
  <c r="H256" i="14"/>
  <c r="C255" i="14"/>
  <c r="G255" i="14"/>
  <c r="K255" i="14"/>
  <c r="B254" i="14"/>
  <c r="F254" i="14"/>
  <c r="J254" i="14"/>
  <c r="D252" i="14"/>
  <c r="H252" i="14"/>
  <c r="C251" i="14"/>
  <c r="G251" i="14"/>
  <c r="K251" i="14"/>
  <c r="B250" i="14"/>
  <c r="F250" i="14"/>
  <c r="J250" i="14"/>
  <c r="D248" i="14"/>
  <c r="H248" i="14"/>
  <c r="C247" i="14"/>
  <c r="G247" i="14"/>
  <c r="K247" i="14"/>
  <c r="B246" i="14"/>
  <c r="F246" i="14"/>
  <c r="J246" i="14"/>
  <c r="D244" i="14"/>
  <c r="H244" i="14"/>
  <c r="C243" i="14"/>
  <c r="G243" i="14"/>
  <c r="K243" i="14"/>
  <c r="B242" i="14"/>
  <c r="F242" i="14"/>
  <c r="J242" i="14"/>
  <c r="D240" i="14"/>
  <c r="H240" i="14"/>
  <c r="D230" i="14"/>
  <c r="H230" i="14"/>
  <c r="B230" i="14"/>
  <c r="F230" i="14"/>
  <c r="J230" i="14"/>
  <c r="B224" i="14"/>
  <c r="F224" i="14"/>
  <c r="J224" i="14"/>
  <c r="D224" i="14"/>
  <c r="H224" i="14"/>
  <c r="D214" i="14"/>
  <c r="H214" i="14"/>
  <c r="B214" i="14"/>
  <c r="F214" i="14"/>
  <c r="J214" i="14"/>
  <c r="B208" i="14"/>
  <c r="F208" i="14"/>
  <c r="J208" i="14"/>
  <c r="D208" i="14"/>
  <c r="H208" i="14"/>
  <c r="K234" i="14"/>
  <c r="C234" i="14"/>
  <c r="K228" i="14"/>
  <c r="C228" i="14"/>
  <c r="K218" i="14"/>
  <c r="C218" i="14"/>
  <c r="K212" i="14"/>
  <c r="C212" i="14"/>
  <c r="B236" i="14"/>
  <c r="F236" i="14"/>
  <c r="J236" i="14"/>
  <c r="D236" i="14"/>
  <c r="H236" i="14"/>
  <c r="D226" i="14"/>
  <c r="H226" i="14"/>
  <c r="B226" i="14"/>
  <c r="F226" i="14"/>
  <c r="J226" i="14"/>
  <c r="B220" i="14"/>
  <c r="F220" i="14"/>
  <c r="J220" i="14"/>
  <c r="D220" i="14"/>
  <c r="H220" i="14"/>
  <c r="D210" i="14"/>
  <c r="H210" i="14"/>
  <c r="B210" i="14"/>
  <c r="F210" i="14"/>
  <c r="J210" i="14"/>
  <c r="B204" i="14"/>
  <c r="F204" i="14"/>
  <c r="J204" i="14"/>
  <c r="D204" i="14"/>
  <c r="H204" i="14"/>
  <c r="C200" i="14"/>
  <c r="G200" i="14"/>
  <c r="K200" i="14"/>
  <c r="B200" i="14"/>
  <c r="F200" i="14"/>
  <c r="J200" i="14"/>
  <c r="D200" i="14"/>
  <c r="H200" i="14"/>
  <c r="C196" i="14"/>
  <c r="G196" i="14"/>
  <c r="K196" i="14"/>
  <c r="B196" i="14"/>
  <c r="F196" i="14"/>
  <c r="J196" i="14"/>
  <c r="D196" i="14"/>
  <c r="H196" i="14"/>
  <c r="C192" i="14"/>
  <c r="G192" i="14"/>
  <c r="K192" i="14"/>
  <c r="B192" i="14"/>
  <c r="F192" i="14"/>
  <c r="J192" i="14"/>
  <c r="D192" i="14"/>
  <c r="H192" i="14"/>
  <c r="H373" i="14"/>
  <c r="H369" i="14"/>
  <c r="H365" i="14"/>
  <c r="H361" i="14"/>
  <c r="H357" i="14"/>
  <c r="K356" i="14"/>
  <c r="G356" i="14"/>
  <c r="C356" i="14"/>
  <c r="H353" i="14"/>
  <c r="K352" i="14"/>
  <c r="G352" i="14"/>
  <c r="C352" i="14"/>
  <c r="H349" i="14"/>
  <c r="K348" i="14"/>
  <c r="G348" i="14"/>
  <c r="C348" i="14"/>
  <c r="H345" i="14"/>
  <c r="K344" i="14"/>
  <c r="G344" i="14"/>
  <c r="C344" i="14"/>
  <c r="H341" i="14"/>
  <c r="K340" i="14"/>
  <c r="G340" i="14"/>
  <c r="C340" i="14"/>
  <c r="H337" i="14"/>
  <c r="K336" i="14"/>
  <c r="G336" i="14"/>
  <c r="C336" i="14"/>
  <c r="H333" i="14"/>
  <c r="K332" i="14"/>
  <c r="G332" i="14"/>
  <c r="C332" i="14"/>
  <c r="H329" i="14"/>
  <c r="K328" i="14"/>
  <c r="G328" i="14"/>
  <c r="C328" i="14"/>
  <c r="H325" i="14"/>
  <c r="K324" i="14"/>
  <c r="G324" i="14"/>
  <c r="C324" i="14"/>
  <c r="H321" i="14"/>
  <c r="K320" i="14"/>
  <c r="G320" i="14"/>
  <c r="C320" i="14"/>
  <c r="H317" i="14"/>
  <c r="G296" i="14"/>
  <c r="B296" i="14"/>
  <c r="H295" i="14"/>
  <c r="B295" i="14"/>
  <c r="H294" i="14"/>
  <c r="C294" i="14"/>
  <c r="D238" i="14"/>
  <c r="H238" i="14"/>
  <c r="B238" i="14"/>
  <c r="F238" i="14"/>
  <c r="J238" i="14"/>
  <c r="B232" i="14"/>
  <c r="F232" i="14"/>
  <c r="J232" i="14"/>
  <c r="D232" i="14"/>
  <c r="H232" i="14"/>
  <c r="D222" i="14"/>
  <c r="H222" i="14"/>
  <c r="B222" i="14"/>
  <c r="F222" i="14"/>
  <c r="J222" i="14"/>
  <c r="B216" i="14"/>
  <c r="F216" i="14"/>
  <c r="J216" i="14"/>
  <c r="D216" i="14"/>
  <c r="H216" i="14"/>
  <c r="D206" i="14"/>
  <c r="H206" i="14"/>
  <c r="B206" i="14"/>
  <c r="F206" i="14"/>
  <c r="J206" i="14"/>
  <c r="H356" i="14"/>
  <c r="H352" i="14"/>
  <c r="H348" i="14"/>
  <c r="H344" i="14"/>
  <c r="H340" i="14"/>
  <c r="H336" i="14"/>
  <c r="H332" i="14"/>
  <c r="H328" i="14"/>
  <c r="H324" i="14"/>
  <c r="H320" i="14"/>
  <c r="K236" i="14"/>
  <c r="C236" i="14"/>
  <c r="K226" i="14"/>
  <c r="C226" i="14"/>
  <c r="K220" i="14"/>
  <c r="C220" i="14"/>
  <c r="K210" i="14"/>
  <c r="C210" i="14"/>
  <c r="K204" i="14"/>
  <c r="C204" i="14"/>
  <c r="E200" i="14"/>
  <c r="E196" i="14"/>
  <c r="E192" i="14"/>
  <c r="D234" i="14"/>
  <c r="H234" i="14"/>
  <c r="B234" i="14"/>
  <c r="F234" i="14"/>
  <c r="J234" i="14"/>
  <c r="B228" i="14"/>
  <c r="F228" i="14"/>
  <c r="J228" i="14"/>
  <c r="D228" i="14"/>
  <c r="H228" i="14"/>
  <c r="D218" i="14"/>
  <c r="H218" i="14"/>
  <c r="B218" i="14"/>
  <c r="F218" i="14"/>
  <c r="J218" i="14"/>
  <c r="B212" i="14"/>
  <c r="F212" i="14"/>
  <c r="J212" i="14"/>
  <c r="D212" i="14"/>
  <c r="H212" i="14"/>
  <c r="E236" i="14"/>
  <c r="E226" i="14"/>
  <c r="E220" i="14"/>
  <c r="E210" i="14"/>
  <c r="E204" i="14"/>
  <c r="I200" i="14"/>
  <c r="I196" i="14"/>
  <c r="I192" i="14"/>
  <c r="K239" i="14"/>
  <c r="G239" i="14"/>
  <c r="K235" i="14"/>
  <c r="G235" i="14"/>
  <c r="K231" i="14"/>
  <c r="G231" i="14"/>
  <c r="K227" i="14"/>
  <c r="G227" i="14"/>
  <c r="K223" i="14"/>
  <c r="G223" i="14"/>
  <c r="K219" i="14"/>
  <c r="G219" i="14"/>
  <c r="K215" i="14"/>
  <c r="G215" i="14"/>
  <c r="K211" i="14"/>
  <c r="G211" i="14"/>
  <c r="K207" i="14"/>
  <c r="G207" i="14"/>
  <c r="K203" i="14"/>
  <c r="G203" i="14"/>
  <c r="J202" i="14"/>
  <c r="F202" i="14"/>
  <c r="B202" i="14"/>
  <c r="K199" i="14"/>
  <c r="G199" i="14"/>
  <c r="J198" i="14"/>
  <c r="F198" i="14"/>
  <c r="B198" i="14"/>
  <c r="K195" i="14"/>
  <c r="G195" i="14"/>
  <c r="J194" i="14"/>
  <c r="F194" i="14"/>
  <c r="B194" i="14"/>
  <c r="K191" i="14"/>
  <c r="G191" i="14"/>
  <c r="J190" i="14"/>
  <c r="F190" i="14"/>
  <c r="B190" i="14"/>
  <c r="H188" i="14"/>
  <c r="D188" i="14"/>
  <c r="K187" i="14"/>
  <c r="G187" i="14"/>
  <c r="J186" i="14"/>
  <c r="F186" i="14"/>
  <c r="B186" i="14"/>
  <c r="H184" i="14"/>
  <c r="D184" i="14"/>
  <c r="K183" i="14"/>
  <c r="G183" i="14"/>
  <c r="J182" i="14"/>
  <c r="F182" i="14"/>
  <c r="B182" i="14"/>
  <c r="H180" i="14"/>
  <c r="D180" i="14"/>
  <c r="K179" i="14"/>
  <c r="G179" i="14"/>
  <c r="J178" i="14"/>
  <c r="F178" i="14"/>
  <c r="B178" i="14"/>
  <c r="H176" i="14"/>
  <c r="D176" i="14"/>
  <c r="K175" i="14"/>
  <c r="G175" i="14"/>
  <c r="J174" i="14"/>
  <c r="F174" i="14"/>
  <c r="B174" i="14"/>
  <c r="H172" i="14"/>
  <c r="D172" i="14"/>
  <c r="K171" i="14"/>
  <c r="G171" i="14"/>
  <c r="J170" i="14"/>
  <c r="F170" i="14"/>
  <c r="B170" i="14"/>
  <c r="H168" i="14"/>
  <c r="D168" i="14"/>
  <c r="K167" i="14"/>
  <c r="G167" i="14"/>
  <c r="J166" i="14"/>
  <c r="F166" i="14"/>
  <c r="B166" i="14"/>
  <c r="H164" i="14"/>
  <c r="D164" i="14"/>
  <c r="K163" i="14"/>
  <c r="G163" i="14"/>
  <c r="J162" i="14"/>
  <c r="F162" i="14"/>
  <c r="B162" i="14"/>
  <c r="H160" i="14"/>
  <c r="D160" i="14"/>
  <c r="K159" i="14"/>
  <c r="G159" i="14"/>
  <c r="J158" i="14"/>
  <c r="F158" i="14"/>
  <c r="B158" i="14"/>
  <c r="H156" i="14"/>
  <c r="D156" i="14"/>
  <c r="K155" i="14"/>
  <c r="G155" i="14"/>
  <c r="J154" i="14"/>
  <c r="F154" i="14"/>
  <c r="B154" i="14"/>
  <c r="H152" i="14"/>
  <c r="D152" i="14"/>
  <c r="K151" i="14"/>
  <c r="G151" i="14"/>
  <c r="J150" i="14"/>
  <c r="F150" i="14"/>
  <c r="B150" i="14"/>
  <c r="H148" i="14"/>
  <c r="D148" i="14"/>
  <c r="K147" i="14"/>
  <c r="G147" i="14"/>
  <c r="J146" i="14"/>
  <c r="F146" i="14"/>
  <c r="B146" i="14"/>
  <c r="H144" i="14"/>
  <c r="D144" i="14"/>
  <c r="K143" i="14"/>
  <c r="G143" i="14"/>
  <c r="J142" i="14"/>
  <c r="F142" i="14"/>
  <c r="B142" i="14"/>
  <c r="H140" i="14"/>
  <c r="D140" i="14"/>
  <c r="K139" i="14"/>
  <c r="G139" i="14"/>
  <c r="J138" i="14"/>
  <c r="F138" i="14"/>
  <c r="B138" i="14"/>
  <c r="H136" i="14"/>
  <c r="D136" i="14"/>
  <c r="K135" i="14"/>
  <c r="G135" i="14"/>
  <c r="H202" i="14"/>
  <c r="H198" i="14"/>
  <c r="H194" i="14"/>
  <c r="H190" i="14"/>
  <c r="J188" i="14"/>
  <c r="F188" i="14"/>
  <c r="B188" i="14"/>
  <c r="H186" i="14"/>
  <c r="J184" i="14"/>
  <c r="F184" i="14"/>
  <c r="B184" i="14"/>
  <c r="H182" i="14"/>
  <c r="J180" i="14"/>
  <c r="F180" i="14"/>
  <c r="B180" i="14"/>
  <c r="H178" i="14"/>
  <c r="J176" i="14"/>
  <c r="F176" i="14"/>
  <c r="B176" i="14"/>
  <c r="H174" i="14"/>
  <c r="J172" i="14"/>
  <c r="F172" i="14"/>
  <c r="B172" i="14"/>
  <c r="H170" i="14"/>
  <c r="J168" i="14"/>
  <c r="F168" i="14"/>
  <c r="B168" i="14"/>
  <c r="H166" i="14"/>
  <c r="J164" i="14"/>
  <c r="F164" i="14"/>
  <c r="B164" i="14"/>
  <c r="H162" i="14"/>
  <c r="J160" i="14"/>
  <c r="F160" i="14"/>
  <c r="B160" i="14"/>
  <c r="H158" i="14"/>
  <c r="J156" i="14"/>
  <c r="F156" i="14"/>
  <c r="B156" i="14"/>
  <c r="H154" i="14"/>
  <c r="J152" i="14"/>
  <c r="F152" i="14"/>
  <c r="B152" i="14"/>
  <c r="H150" i="14"/>
  <c r="J148" i="14"/>
  <c r="F148" i="14"/>
  <c r="B148" i="14"/>
  <c r="H146" i="14"/>
  <c r="J144" i="14"/>
  <c r="F144" i="14"/>
  <c r="B144" i="14"/>
  <c r="H142" i="14"/>
  <c r="J140" i="14"/>
  <c r="F140" i="14"/>
  <c r="B140" i="14"/>
  <c r="H138" i="14"/>
  <c r="J136" i="14"/>
  <c r="F136" i="14"/>
  <c r="B136" i="14"/>
  <c r="K188" i="14"/>
  <c r="G188" i="14"/>
  <c r="K184" i="14"/>
  <c r="G184" i="14"/>
  <c r="K180" i="14"/>
  <c r="G180" i="14"/>
  <c r="K176" i="14"/>
  <c r="G176" i="14"/>
  <c r="K172" i="14"/>
  <c r="G172" i="14"/>
  <c r="K168" i="14"/>
  <c r="G168" i="14"/>
  <c r="K164" i="14"/>
  <c r="G164" i="14"/>
  <c r="K160" i="14"/>
  <c r="G160" i="14"/>
  <c r="K156" i="14"/>
  <c r="G156" i="14"/>
  <c r="K152" i="14"/>
  <c r="G152" i="14"/>
  <c r="K148" i="14"/>
  <c r="G148" i="14"/>
  <c r="K144" i="14"/>
  <c r="G144" i="14"/>
  <c r="K140" i="14"/>
  <c r="G140" i="14"/>
  <c r="G136" i="14"/>
  <c r="IT149" i="1"/>
  <c r="IV148" i="1"/>
  <c r="IS148" i="1"/>
  <c r="D148" i="1"/>
  <c r="DM148" i="1"/>
  <c r="GR148" i="1"/>
  <c r="DI148" i="1"/>
  <c r="GN148" i="1"/>
  <c r="DN148" i="1"/>
  <c r="GS148" i="1"/>
  <c r="DJ148" i="1"/>
  <c r="GO148" i="1"/>
  <c r="DB148" i="1"/>
  <c r="CZ148" i="1" s="1"/>
  <c r="GT148" i="1"/>
  <c r="BG148" i="1"/>
  <c r="BF148" i="1" s="1"/>
  <c r="BE148" i="1" s="1"/>
  <c r="BD148" i="1" s="1"/>
  <c r="BC148" i="1" s="1"/>
  <c r="BB148" i="1" s="1"/>
  <c r="BA148" i="1" s="1"/>
  <c r="AZ148" i="1" s="1"/>
  <c r="DC148" i="1"/>
  <c r="DA148" i="1" s="1"/>
  <c r="DO148" i="1"/>
  <c r="GP148" i="1"/>
  <c r="DK148" i="1"/>
  <c r="GL148" i="1"/>
  <c r="DG148" i="1"/>
  <c r="DL148" i="1"/>
  <c r="GQ148" i="1"/>
  <c r="DH148" i="1"/>
  <c r="GM148" i="1"/>
  <c r="D149" i="1"/>
  <c r="BH148" i="1"/>
  <c r="DM149" i="1"/>
  <c r="GR149" i="1"/>
  <c r="DI149" i="1"/>
  <c r="GN149" i="1"/>
  <c r="DN149" i="1"/>
  <c r="GS149" i="1"/>
  <c r="DJ149" i="1"/>
  <c r="GO149" i="1"/>
  <c r="DB149" i="1"/>
  <c r="CZ149" i="1" s="1"/>
  <c r="GT149" i="1"/>
  <c r="BG149" i="1"/>
  <c r="DC149" i="1"/>
  <c r="DA149" i="1" s="1"/>
  <c r="DO149" i="1"/>
  <c r="GP149" i="1"/>
  <c r="DK149" i="1"/>
  <c r="GL149" i="1"/>
  <c r="DG149" i="1"/>
  <c r="DL149" i="1"/>
  <c r="GQ149" i="1"/>
  <c r="DH149" i="1"/>
  <c r="GM149" i="1"/>
  <c r="IV149" i="1"/>
  <c r="BH149" i="1"/>
  <c r="IV33" i="1"/>
  <c r="IV80" i="1"/>
  <c r="IV60" i="1"/>
  <c r="IS115" i="1"/>
  <c r="IV128" i="1"/>
  <c r="IV85" i="1"/>
  <c r="IV53" i="1"/>
  <c r="IV38" i="1"/>
  <c r="IV21" i="1"/>
  <c r="IT48" i="1"/>
  <c r="IS35" i="1"/>
  <c r="IV124" i="1"/>
  <c r="IT125" i="1"/>
  <c r="IV24" i="1"/>
  <c r="IV125" i="1"/>
  <c r="IT81" i="1"/>
  <c r="IS68" i="1"/>
  <c r="IV49" i="1"/>
  <c r="IT51" i="1"/>
  <c r="IT39" i="1"/>
  <c r="IS43" i="1"/>
  <c r="IV66" i="1"/>
  <c r="IV48" i="1"/>
  <c r="IV37" i="1"/>
  <c r="GR126" i="1"/>
  <c r="IT41" i="1"/>
  <c r="IT33" i="1"/>
  <c r="IT126" i="1"/>
  <c r="IS128" i="1"/>
  <c r="DA125" i="1"/>
  <c r="GM127" i="1"/>
  <c r="GL124" i="1"/>
  <c r="IV127" i="1"/>
  <c r="IV126" i="1"/>
  <c r="IT124" i="1"/>
  <c r="IV22" i="1"/>
  <c r="IT25" i="1"/>
  <c r="DH124" i="1"/>
  <c r="IT49" i="1"/>
  <c r="GT128" i="1"/>
  <c r="GS125" i="1"/>
  <c r="GN126" i="1"/>
  <c r="IV74" i="1"/>
  <c r="IV44" i="1"/>
  <c r="IS50" i="1"/>
  <c r="IS26" i="1"/>
  <c r="GT127" i="1"/>
  <c r="GS128" i="1"/>
  <c r="GS124" i="1"/>
  <c r="GR125" i="1"/>
  <c r="GQ126" i="1"/>
  <c r="GP127" i="1"/>
  <c r="GO128" i="1"/>
  <c r="GO124" i="1"/>
  <c r="GN125" i="1"/>
  <c r="GM126" i="1"/>
  <c r="GL127" i="1"/>
  <c r="GT124" i="1"/>
  <c r="GP128" i="1"/>
  <c r="GO125" i="1"/>
  <c r="IV86" i="1"/>
  <c r="BG126" i="1"/>
  <c r="BF126" i="1" s="1"/>
  <c r="BE126" i="1" s="1"/>
  <c r="DC126" i="1"/>
  <c r="DA126" i="1" s="1"/>
  <c r="DO126" i="1"/>
  <c r="DB126" i="1"/>
  <c r="CZ126" i="1" s="1"/>
  <c r="GT126" i="1"/>
  <c r="DN127" i="1"/>
  <c r="GS127" i="1"/>
  <c r="DM128" i="1"/>
  <c r="GR128" i="1"/>
  <c r="DM124" i="1"/>
  <c r="GR124" i="1"/>
  <c r="DL125" i="1"/>
  <c r="GQ125" i="1"/>
  <c r="DK126" i="1"/>
  <c r="GP126" i="1"/>
  <c r="DJ127" i="1"/>
  <c r="GO127" i="1"/>
  <c r="DI128" i="1"/>
  <c r="GN128" i="1"/>
  <c r="DI124" i="1"/>
  <c r="GN124" i="1"/>
  <c r="DH125" i="1"/>
  <c r="GM125" i="1"/>
  <c r="DG126" i="1"/>
  <c r="GL126" i="1"/>
  <c r="D127" i="1"/>
  <c r="BH127" i="1"/>
  <c r="GQ127" i="1"/>
  <c r="GP124" i="1"/>
  <c r="GL128" i="1"/>
  <c r="BG125" i="1"/>
  <c r="BF125" i="1" s="1"/>
  <c r="BE125" i="1" s="1"/>
  <c r="BD125" i="1" s="1"/>
  <c r="BC125" i="1" s="1"/>
  <c r="BB125" i="1" s="1"/>
  <c r="DB125" i="1"/>
  <c r="CZ125" i="1" s="1"/>
  <c r="DO125" i="1"/>
  <c r="DM127" i="1"/>
  <c r="DL128" i="1"/>
  <c r="DL124" i="1"/>
  <c r="DK125" i="1"/>
  <c r="DJ126" i="1"/>
  <c r="DH128" i="1"/>
  <c r="DG125" i="1"/>
  <c r="D126" i="1"/>
  <c r="BH126" i="1"/>
  <c r="BG128" i="1"/>
  <c r="DC128" i="1"/>
  <c r="DA128" i="1" s="1"/>
  <c r="DO128" i="1"/>
  <c r="DB128" i="1"/>
  <c r="CZ128" i="1" s="1"/>
  <c r="BG124" i="1"/>
  <c r="BF124" i="1" s="1"/>
  <c r="BE124" i="1" s="1"/>
  <c r="BD124" i="1" s="1"/>
  <c r="BC124" i="1" s="1"/>
  <c r="BB124" i="1" s="1"/>
  <c r="BA124" i="1" s="1"/>
  <c r="DC124" i="1"/>
  <c r="DA124" i="1" s="1"/>
  <c r="DO124" i="1"/>
  <c r="DB124" i="1"/>
  <c r="CZ124" i="1" s="1"/>
  <c r="DN125" i="1"/>
  <c r="DM126" i="1"/>
  <c r="DL127" i="1"/>
  <c r="DK128" i="1"/>
  <c r="DK124" i="1"/>
  <c r="DJ125" i="1"/>
  <c r="DI126" i="1"/>
  <c r="DH127" i="1"/>
  <c r="DG128" i="1"/>
  <c r="DG124" i="1"/>
  <c r="D125" i="1"/>
  <c r="BH125" i="1"/>
  <c r="BG127" i="1"/>
  <c r="BF127" i="1" s="1"/>
  <c r="DB127" i="1"/>
  <c r="CZ127" i="1" s="1"/>
  <c r="DC127" i="1"/>
  <c r="DA127" i="1" s="1"/>
  <c r="DO127" i="1"/>
  <c r="DN128" i="1"/>
  <c r="DN124" i="1"/>
  <c r="DM125" i="1"/>
  <c r="DL126" i="1"/>
  <c r="DK127" i="1"/>
  <c r="DJ128" i="1"/>
  <c r="DJ124" i="1"/>
  <c r="DI125" i="1"/>
  <c r="DH126" i="1"/>
  <c r="DG127" i="1"/>
  <c r="D128" i="1"/>
  <c r="BH128" i="1"/>
  <c r="D124" i="1"/>
  <c r="BH124" i="1"/>
  <c r="GT125" i="1"/>
  <c r="GS126" i="1"/>
  <c r="GR127" i="1"/>
  <c r="GQ128" i="1"/>
  <c r="GQ124" i="1"/>
  <c r="GP125" i="1"/>
  <c r="GO126" i="1"/>
  <c r="GN127" i="1"/>
  <c r="GM128" i="1"/>
  <c r="GM124" i="1"/>
  <c r="GL125" i="1"/>
  <c r="DN126" i="1"/>
  <c r="DI127" i="1"/>
  <c r="IV32" i="1"/>
  <c r="IV76" i="1"/>
  <c r="IS85" i="1"/>
  <c r="BG29" i="1"/>
  <c r="BF29" i="1" s="1"/>
  <c r="DB29" i="1"/>
  <c r="CZ29" i="1" s="1"/>
  <c r="DC29" i="1"/>
  <c r="DA29" i="1" s="1"/>
  <c r="DO29" i="1"/>
  <c r="DN29" i="1"/>
  <c r="DM29" i="1"/>
  <c r="DL29" i="1"/>
  <c r="DK29" i="1"/>
  <c r="DJ29" i="1"/>
  <c r="DI29" i="1"/>
  <c r="DH29" i="1"/>
  <c r="DG29" i="1"/>
  <c r="D29" i="1"/>
  <c r="BH29" i="1"/>
  <c r="GT29" i="1"/>
  <c r="GS29" i="1"/>
  <c r="GR29" i="1"/>
  <c r="GQ29" i="1"/>
  <c r="GP29" i="1"/>
  <c r="GO29" i="1"/>
  <c r="GN29" i="1"/>
  <c r="GM29" i="1"/>
  <c r="GL29" i="1"/>
  <c r="BG28" i="1"/>
  <c r="DB28" i="1"/>
  <c r="CZ28" i="1" s="1"/>
  <c r="DC28" i="1"/>
  <c r="DA28" i="1" s="1"/>
  <c r="DO28" i="1"/>
  <c r="BF28" i="1"/>
  <c r="BE28" i="1" s="1"/>
  <c r="BD28" i="1" s="1"/>
  <c r="BC28" i="1" s="1"/>
  <c r="BB28" i="1" s="1"/>
  <c r="DN28" i="1"/>
  <c r="DM28" i="1"/>
  <c r="DL28" i="1"/>
  <c r="DK28" i="1"/>
  <c r="DJ28" i="1"/>
  <c r="DI28" i="1"/>
  <c r="DH28" i="1"/>
  <c r="DG28" i="1"/>
  <c r="D28" i="1"/>
  <c r="BH28" i="1"/>
  <c r="GT28" i="1"/>
  <c r="GS28" i="1"/>
  <c r="GR28" i="1"/>
  <c r="GQ28" i="1"/>
  <c r="GP28" i="1"/>
  <c r="GO28" i="1"/>
  <c r="GN28" i="1"/>
  <c r="GM28" i="1"/>
  <c r="GL28" i="1"/>
  <c r="IS62" i="1"/>
  <c r="GQ24" i="1"/>
  <c r="GM24" i="1"/>
  <c r="BG31" i="1"/>
  <c r="BF31" i="1" s="1"/>
  <c r="BE31" i="1" s="1"/>
  <c r="DB31" i="1"/>
  <c r="CZ31" i="1" s="1"/>
  <c r="DC31" i="1"/>
  <c r="DA31" i="1" s="1"/>
  <c r="DO31" i="1"/>
  <c r="DN31" i="1"/>
  <c r="DM31" i="1"/>
  <c r="DL31" i="1"/>
  <c r="DK31" i="1"/>
  <c r="DJ31" i="1"/>
  <c r="DI31" i="1"/>
  <c r="DH31" i="1"/>
  <c r="DG31" i="1"/>
  <c r="D31" i="1"/>
  <c r="BH31" i="1"/>
  <c r="GT31" i="1"/>
  <c r="GS31" i="1"/>
  <c r="GR31" i="1"/>
  <c r="GQ31" i="1"/>
  <c r="GP31" i="1"/>
  <c r="GO31" i="1"/>
  <c r="GN31" i="1"/>
  <c r="GM31" i="1"/>
  <c r="GL31" i="1"/>
  <c r="BG30" i="1"/>
  <c r="BF30" i="1" s="1"/>
  <c r="BE30" i="1" s="1"/>
  <c r="BD30" i="1" s="1"/>
  <c r="DB30" i="1"/>
  <c r="CZ30" i="1" s="1"/>
  <c r="DC30" i="1"/>
  <c r="DA30" i="1" s="1"/>
  <c r="DO30" i="1"/>
  <c r="DN30" i="1"/>
  <c r="DM30" i="1"/>
  <c r="DL30" i="1"/>
  <c r="DK30" i="1"/>
  <c r="DJ30" i="1"/>
  <c r="DI30" i="1"/>
  <c r="DH30" i="1"/>
  <c r="DG30" i="1"/>
  <c r="D30" i="1"/>
  <c r="BH30" i="1"/>
  <c r="GT30" i="1"/>
  <c r="GS30" i="1"/>
  <c r="GR30" i="1"/>
  <c r="GQ30" i="1"/>
  <c r="GP30" i="1"/>
  <c r="GO30" i="1"/>
  <c r="GN30" i="1"/>
  <c r="GM30" i="1"/>
  <c r="GL30" i="1"/>
  <c r="IS54" i="1"/>
  <c r="IT45" i="1"/>
  <c r="IS24" i="1"/>
  <c r="GS24" i="1"/>
  <c r="DN24" i="1"/>
  <c r="GO24" i="1"/>
  <c r="DJ24" i="1"/>
  <c r="C24" i="1"/>
  <c r="GK24" i="1"/>
  <c r="DF24" i="1"/>
  <c r="GR24" i="1"/>
  <c r="DM24" i="1"/>
  <c r="GN24" i="1"/>
  <c r="DI24" i="1"/>
  <c r="BG24" i="1"/>
  <c r="BF24" i="1" s="1"/>
  <c r="BE24" i="1" s="1"/>
  <c r="BD24" i="1" s="1"/>
  <c r="BC24" i="1" s="1"/>
  <c r="BB24" i="1" s="1"/>
  <c r="BA24" i="1" s="1"/>
  <c r="DC24" i="1"/>
  <c r="DA24" i="1" s="1"/>
  <c r="DO24" i="1"/>
  <c r="DB24" i="1"/>
  <c r="CZ24" i="1" s="1"/>
  <c r="GT24" i="1"/>
  <c r="DK24" i="1"/>
  <c r="GP24" i="1"/>
  <c r="DG24" i="1"/>
  <c r="GL24" i="1"/>
  <c r="IS77" i="1"/>
  <c r="IV52" i="1"/>
  <c r="IV41" i="1"/>
  <c r="IV36" i="1"/>
  <c r="IV20" i="1"/>
  <c r="IS46" i="1"/>
  <c r="IS34" i="1"/>
  <c r="D24" i="1"/>
  <c r="IT66" i="1"/>
  <c r="IS61" i="1"/>
  <c r="IV45" i="1"/>
  <c r="IV40" i="1"/>
  <c r="IV25" i="1"/>
  <c r="IT47" i="1"/>
  <c r="IT21" i="1"/>
  <c r="IS38" i="1"/>
  <c r="DL24" i="1"/>
  <c r="DH24" i="1"/>
  <c r="IV117" i="1"/>
  <c r="IV51" i="1"/>
  <c r="IV47" i="1"/>
  <c r="IV43" i="1"/>
  <c r="IV39" i="1"/>
  <c r="IV35" i="1"/>
  <c r="IV27" i="1"/>
  <c r="IV23" i="1"/>
  <c r="IT53" i="1"/>
  <c r="IT37" i="1"/>
  <c r="IS42" i="1"/>
  <c r="IS22" i="1"/>
  <c r="GT53" i="1"/>
  <c r="GT49" i="1"/>
  <c r="GT41" i="1"/>
  <c r="GT37" i="1"/>
  <c r="GT33" i="1"/>
  <c r="GT21" i="1"/>
  <c r="GQ49" i="1"/>
  <c r="GQ45" i="1"/>
  <c r="GQ41" i="1"/>
  <c r="GR53" i="1"/>
  <c r="GR49" i="1"/>
  <c r="GR41" i="1"/>
  <c r="GR37" i="1"/>
  <c r="GR33" i="1"/>
  <c r="GR21" i="1"/>
  <c r="IV115" i="1"/>
  <c r="IV59" i="1"/>
  <c r="GS49" i="1"/>
  <c r="GS45" i="1"/>
  <c r="GS41" i="1"/>
  <c r="GS33" i="1"/>
  <c r="GS25" i="1"/>
  <c r="GS21" i="1"/>
  <c r="BG52" i="1"/>
  <c r="BF52" i="1" s="1"/>
  <c r="BE52" i="1" s="1"/>
  <c r="BD52" i="1" s="1"/>
  <c r="BC52" i="1" s="1"/>
  <c r="BB52" i="1" s="1"/>
  <c r="BA52" i="1" s="1"/>
  <c r="DO52" i="1"/>
  <c r="DB52" i="1"/>
  <c r="CZ52" i="1" s="1"/>
  <c r="DC52" i="1"/>
  <c r="DA52" i="1" s="1"/>
  <c r="GT52" i="1"/>
  <c r="BG48" i="1"/>
  <c r="BF48" i="1" s="1"/>
  <c r="BE48" i="1" s="1"/>
  <c r="BD48" i="1" s="1"/>
  <c r="BC48" i="1" s="1"/>
  <c r="BB48" i="1" s="1"/>
  <c r="BA48" i="1" s="1"/>
  <c r="DB48" i="1"/>
  <c r="CZ48" i="1" s="1"/>
  <c r="DC48" i="1"/>
  <c r="DA48" i="1" s="1"/>
  <c r="DO48" i="1"/>
  <c r="GT48" i="1"/>
  <c r="BG44" i="1"/>
  <c r="BF44" i="1" s="1"/>
  <c r="BE44" i="1" s="1"/>
  <c r="BD44" i="1" s="1"/>
  <c r="BC44" i="1" s="1"/>
  <c r="BB44" i="1" s="1"/>
  <c r="BA44" i="1" s="1"/>
  <c r="DO44" i="1"/>
  <c r="DB44" i="1"/>
  <c r="CZ44" i="1" s="1"/>
  <c r="DC44" i="1"/>
  <c r="DA44" i="1" s="1"/>
  <c r="GT44" i="1"/>
  <c r="BG40" i="1"/>
  <c r="BF40" i="1" s="1"/>
  <c r="BE40" i="1" s="1"/>
  <c r="BD40" i="1" s="1"/>
  <c r="BC40" i="1" s="1"/>
  <c r="BB40" i="1" s="1"/>
  <c r="BA40" i="1" s="1"/>
  <c r="DB40" i="1"/>
  <c r="CZ40" i="1" s="1"/>
  <c r="DC40" i="1"/>
  <c r="DA40" i="1" s="1"/>
  <c r="DO40" i="1"/>
  <c r="GT40" i="1"/>
  <c r="BG36" i="1"/>
  <c r="BF36" i="1" s="1"/>
  <c r="BE36" i="1" s="1"/>
  <c r="BD36" i="1" s="1"/>
  <c r="BC36" i="1" s="1"/>
  <c r="BB36" i="1" s="1"/>
  <c r="BA36" i="1" s="1"/>
  <c r="DO36" i="1"/>
  <c r="DB36" i="1"/>
  <c r="CZ36" i="1" s="1"/>
  <c r="DC36" i="1"/>
  <c r="DA36" i="1" s="1"/>
  <c r="GT36" i="1"/>
  <c r="BG32" i="1"/>
  <c r="DB32" i="1"/>
  <c r="CZ32" i="1" s="1"/>
  <c r="DC32" i="1"/>
  <c r="DA32" i="1" s="1"/>
  <c r="DO32" i="1"/>
  <c r="GT32" i="1"/>
  <c r="BG20" i="1"/>
  <c r="BF20" i="1" s="1"/>
  <c r="BE20" i="1" s="1"/>
  <c r="BD20" i="1" s="1"/>
  <c r="BC20" i="1" s="1"/>
  <c r="BB20" i="1" s="1"/>
  <c r="BA20" i="1" s="1"/>
  <c r="DB20" i="1"/>
  <c r="CZ20" i="1" s="1"/>
  <c r="DC20" i="1"/>
  <c r="DA20" i="1" s="1"/>
  <c r="DO20" i="1"/>
  <c r="GT20" i="1"/>
  <c r="DN52" i="1"/>
  <c r="GS52" i="1"/>
  <c r="DN48" i="1"/>
  <c r="GS48" i="1"/>
  <c r="DN44" i="1"/>
  <c r="GS44" i="1"/>
  <c r="DN40" i="1"/>
  <c r="GS40" i="1"/>
  <c r="DN36" i="1"/>
  <c r="GS36" i="1"/>
  <c r="DN32" i="1"/>
  <c r="GS32" i="1"/>
  <c r="DN20" i="1"/>
  <c r="GS20" i="1"/>
  <c r="DM52" i="1"/>
  <c r="GR52" i="1"/>
  <c r="DM48" i="1"/>
  <c r="GR48" i="1"/>
  <c r="DM44" i="1"/>
  <c r="GR44" i="1"/>
  <c r="DM40" i="1"/>
  <c r="GR40" i="1"/>
  <c r="DM36" i="1"/>
  <c r="GR36" i="1"/>
  <c r="DM32" i="1"/>
  <c r="GR32" i="1"/>
  <c r="DM20" i="1"/>
  <c r="GR20" i="1"/>
  <c r="DL52" i="1"/>
  <c r="GQ52" i="1"/>
  <c r="DL48" i="1"/>
  <c r="GQ48" i="1"/>
  <c r="DL44" i="1"/>
  <c r="GQ44" i="1"/>
  <c r="DL40" i="1"/>
  <c r="GQ40" i="1"/>
  <c r="DL36" i="1"/>
  <c r="GQ36" i="1"/>
  <c r="DL32" i="1"/>
  <c r="GQ32" i="1"/>
  <c r="DL20" i="1"/>
  <c r="GQ20" i="1"/>
  <c r="DK52" i="1"/>
  <c r="GP52" i="1"/>
  <c r="DK48" i="1"/>
  <c r="GP48" i="1"/>
  <c r="DK44" i="1"/>
  <c r="GP44" i="1"/>
  <c r="DK40" i="1"/>
  <c r="GP40" i="1"/>
  <c r="DK36" i="1"/>
  <c r="GP36" i="1"/>
  <c r="DK32" i="1"/>
  <c r="GP32" i="1"/>
  <c r="DK20" i="1"/>
  <c r="GP20" i="1"/>
  <c r="DJ52" i="1"/>
  <c r="GO52" i="1"/>
  <c r="DJ48" i="1"/>
  <c r="GO48" i="1"/>
  <c r="DJ44" i="1"/>
  <c r="GO44" i="1"/>
  <c r="DJ40" i="1"/>
  <c r="GO40" i="1"/>
  <c r="DJ36" i="1"/>
  <c r="GO36" i="1"/>
  <c r="DJ32" i="1"/>
  <c r="GO32" i="1"/>
  <c r="DJ20" i="1"/>
  <c r="GO20" i="1"/>
  <c r="DI52" i="1"/>
  <c r="GN52" i="1"/>
  <c r="DI48" i="1"/>
  <c r="GN48" i="1"/>
  <c r="DI44" i="1"/>
  <c r="GN44" i="1"/>
  <c r="DI40" i="1"/>
  <c r="GN40" i="1"/>
  <c r="DI36" i="1"/>
  <c r="GN36" i="1"/>
  <c r="DI32" i="1"/>
  <c r="GN32" i="1"/>
  <c r="DI20" i="1"/>
  <c r="GN20" i="1"/>
  <c r="DH52" i="1"/>
  <c r="GM52" i="1"/>
  <c r="DH48" i="1"/>
  <c r="GM48" i="1"/>
  <c r="DH44" i="1"/>
  <c r="GM44" i="1"/>
  <c r="DH40" i="1"/>
  <c r="GM40" i="1"/>
  <c r="DH36" i="1"/>
  <c r="GM36" i="1"/>
  <c r="DH32" i="1"/>
  <c r="GM32" i="1"/>
  <c r="DH20" i="1"/>
  <c r="GM20" i="1"/>
  <c r="DG52" i="1"/>
  <c r="GL52" i="1"/>
  <c r="DG48" i="1"/>
  <c r="GL48" i="1"/>
  <c r="DG44" i="1"/>
  <c r="GL44" i="1"/>
  <c r="DG40" i="1"/>
  <c r="GL40" i="1"/>
  <c r="DG36" i="1"/>
  <c r="GL36" i="1"/>
  <c r="DG32" i="1"/>
  <c r="GL32" i="1"/>
  <c r="DG20" i="1"/>
  <c r="GL20" i="1"/>
  <c r="D52" i="1"/>
  <c r="BH52" i="1"/>
  <c r="D48" i="1"/>
  <c r="BH48" i="1"/>
  <c r="D44" i="1"/>
  <c r="BH44" i="1"/>
  <c r="D40" i="1"/>
  <c r="BH40" i="1"/>
  <c r="D36" i="1"/>
  <c r="BH36" i="1"/>
  <c r="D32" i="1"/>
  <c r="BH32" i="1"/>
  <c r="D20" i="1"/>
  <c r="BH20" i="1"/>
  <c r="IS82" i="1"/>
  <c r="IV68" i="1"/>
  <c r="IT65" i="1"/>
  <c r="IT57" i="1"/>
  <c r="BG51" i="1"/>
  <c r="BF51" i="1" s="1"/>
  <c r="BE51" i="1" s="1"/>
  <c r="BD51" i="1" s="1"/>
  <c r="BC51" i="1" s="1"/>
  <c r="BB51" i="1" s="1"/>
  <c r="BA51" i="1" s="1"/>
  <c r="DB51" i="1"/>
  <c r="CZ51" i="1" s="1"/>
  <c r="DC51" i="1"/>
  <c r="DA51" i="1" s="1"/>
  <c r="DO51" i="1"/>
  <c r="GT51" i="1"/>
  <c r="BG47" i="1"/>
  <c r="BF47" i="1" s="1"/>
  <c r="BE47" i="1" s="1"/>
  <c r="BD47" i="1" s="1"/>
  <c r="BC47" i="1" s="1"/>
  <c r="BB47" i="1" s="1"/>
  <c r="DB47" i="1"/>
  <c r="CZ47" i="1" s="1"/>
  <c r="DC47" i="1"/>
  <c r="DA47" i="1" s="1"/>
  <c r="DO47" i="1"/>
  <c r="GT47" i="1"/>
  <c r="BG43" i="1"/>
  <c r="BF43" i="1" s="1"/>
  <c r="BE43" i="1" s="1"/>
  <c r="BD43" i="1" s="1"/>
  <c r="BC43" i="1" s="1"/>
  <c r="BB43" i="1" s="1"/>
  <c r="BA43" i="1" s="1"/>
  <c r="DB43" i="1"/>
  <c r="CZ43" i="1" s="1"/>
  <c r="DC43" i="1"/>
  <c r="DA43" i="1" s="1"/>
  <c r="DO43" i="1"/>
  <c r="GT43" i="1"/>
  <c r="BG39" i="1"/>
  <c r="BF39" i="1" s="1"/>
  <c r="BE39" i="1" s="1"/>
  <c r="BD39" i="1" s="1"/>
  <c r="BC39" i="1" s="1"/>
  <c r="DB39" i="1"/>
  <c r="CZ39" i="1" s="1"/>
  <c r="DC39" i="1"/>
  <c r="DA39" i="1" s="1"/>
  <c r="DO39" i="1"/>
  <c r="GT39" i="1"/>
  <c r="BG35" i="1"/>
  <c r="BF35" i="1" s="1"/>
  <c r="BE35" i="1" s="1"/>
  <c r="BD35" i="1" s="1"/>
  <c r="BC35" i="1" s="1"/>
  <c r="BB35" i="1" s="1"/>
  <c r="DB35" i="1"/>
  <c r="CZ35" i="1" s="1"/>
  <c r="DC35" i="1"/>
  <c r="DA35" i="1" s="1"/>
  <c r="DO35" i="1"/>
  <c r="GT35" i="1"/>
  <c r="BG27" i="1"/>
  <c r="BF27" i="1" s="1"/>
  <c r="BE27" i="1" s="1"/>
  <c r="BD27" i="1" s="1"/>
  <c r="BC27" i="1" s="1"/>
  <c r="BB27" i="1" s="1"/>
  <c r="DB27" i="1"/>
  <c r="CZ27" i="1" s="1"/>
  <c r="DC27" i="1"/>
  <c r="DA27" i="1" s="1"/>
  <c r="DO27" i="1"/>
  <c r="GT27" i="1"/>
  <c r="BG23" i="1"/>
  <c r="BF23" i="1" s="1"/>
  <c r="BE23" i="1" s="1"/>
  <c r="BD23" i="1" s="1"/>
  <c r="BC23" i="1" s="1"/>
  <c r="BB23" i="1" s="1"/>
  <c r="BA23" i="1" s="1"/>
  <c r="DB23" i="1"/>
  <c r="CZ23" i="1" s="1"/>
  <c r="DC23" i="1"/>
  <c r="DA23" i="1" s="1"/>
  <c r="DO23" i="1"/>
  <c r="GT23" i="1"/>
  <c r="DN51" i="1"/>
  <c r="GS51" i="1"/>
  <c r="DN47" i="1"/>
  <c r="GS47" i="1"/>
  <c r="DN43" i="1"/>
  <c r="GS43" i="1"/>
  <c r="DN39" i="1"/>
  <c r="GS39" i="1"/>
  <c r="DN35" i="1"/>
  <c r="GS35" i="1"/>
  <c r="DN27" i="1"/>
  <c r="GS27" i="1"/>
  <c r="DN23" i="1"/>
  <c r="GS23" i="1"/>
  <c r="DM51" i="1"/>
  <c r="GR51" i="1"/>
  <c r="DM47" i="1"/>
  <c r="GR47" i="1"/>
  <c r="DM43" i="1"/>
  <c r="GR43" i="1"/>
  <c r="DM39" i="1"/>
  <c r="GR39" i="1"/>
  <c r="DM35" i="1"/>
  <c r="GR35" i="1"/>
  <c r="DM27" i="1"/>
  <c r="GR27" i="1"/>
  <c r="DM23" i="1"/>
  <c r="GR23" i="1"/>
  <c r="DL51" i="1"/>
  <c r="GQ51" i="1"/>
  <c r="DL47" i="1"/>
  <c r="GQ47" i="1"/>
  <c r="DL43" i="1"/>
  <c r="GQ43" i="1"/>
  <c r="DL39" i="1"/>
  <c r="GQ39" i="1"/>
  <c r="DL35" i="1"/>
  <c r="GQ35" i="1"/>
  <c r="DL27" i="1"/>
  <c r="GQ27" i="1"/>
  <c r="DL23" i="1"/>
  <c r="GQ23" i="1"/>
  <c r="DK51" i="1"/>
  <c r="GP51" i="1"/>
  <c r="IV84" i="1"/>
  <c r="IV72" i="1"/>
  <c r="IV56" i="1"/>
  <c r="IT69" i="1"/>
  <c r="IT64" i="1"/>
  <c r="IT56" i="1"/>
  <c r="BG54" i="1"/>
  <c r="BF54" i="1" s="1"/>
  <c r="BE54" i="1" s="1"/>
  <c r="BD54" i="1" s="1"/>
  <c r="BC54" i="1" s="1"/>
  <c r="BB54" i="1" s="1"/>
  <c r="BA54" i="1" s="1"/>
  <c r="DB54" i="1"/>
  <c r="CZ54" i="1" s="1"/>
  <c r="DC54" i="1"/>
  <c r="DA54" i="1" s="1"/>
  <c r="DO54" i="1"/>
  <c r="GT54" i="1"/>
  <c r="BG50" i="1"/>
  <c r="BF50" i="1" s="1"/>
  <c r="BE50" i="1" s="1"/>
  <c r="BD50" i="1" s="1"/>
  <c r="BC50" i="1" s="1"/>
  <c r="BB50" i="1" s="1"/>
  <c r="BA50" i="1" s="1"/>
  <c r="DB50" i="1"/>
  <c r="CZ50" i="1" s="1"/>
  <c r="DC50" i="1"/>
  <c r="DA50" i="1" s="1"/>
  <c r="DO50" i="1"/>
  <c r="GT50" i="1"/>
  <c r="BG46" i="1"/>
  <c r="BF46" i="1" s="1"/>
  <c r="BE46" i="1" s="1"/>
  <c r="BD46" i="1" s="1"/>
  <c r="BC46" i="1" s="1"/>
  <c r="BB46" i="1" s="1"/>
  <c r="BA46" i="1" s="1"/>
  <c r="DB46" i="1"/>
  <c r="CZ46" i="1" s="1"/>
  <c r="DC46" i="1"/>
  <c r="DA46" i="1" s="1"/>
  <c r="DO46" i="1"/>
  <c r="GT46" i="1"/>
  <c r="BG42" i="1"/>
  <c r="BF42" i="1" s="1"/>
  <c r="BE42" i="1" s="1"/>
  <c r="BD42" i="1" s="1"/>
  <c r="BC42" i="1" s="1"/>
  <c r="BB42" i="1" s="1"/>
  <c r="BA42" i="1" s="1"/>
  <c r="DB42" i="1"/>
  <c r="CZ42" i="1" s="1"/>
  <c r="DC42" i="1"/>
  <c r="DA42" i="1" s="1"/>
  <c r="DO42" i="1"/>
  <c r="GT42" i="1"/>
  <c r="BG38" i="1"/>
  <c r="BF38" i="1" s="1"/>
  <c r="BE38" i="1" s="1"/>
  <c r="BD38" i="1" s="1"/>
  <c r="BC38" i="1" s="1"/>
  <c r="BB38" i="1" s="1"/>
  <c r="BA38" i="1" s="1"/>
  <c r="DB38" i="1"/>
  <c r="CZ38" i="1" s="1"/>
  <c r="DC38" i="1"/>
  <c r="DA38" i="1" s="1"/>
  <c r="DO38" i="1"/>
  <c r="GT38" i="1"/>
  <c r="BG34" i="1"/>
  <c r="BF34" i="1" s="1"/>
  <c r="BE34" i="1" s="1"/>
  <c r="BD34" i="1" s="1"/>
  <c r="BC34" i="1" s="1"/>
  <c r="BB34" i="1" s="1"/>
  <c r="BA34" i="1" s="1"/>
  <c r="DB34" i="1"/>
  <c r="CZ34" i="1" s="1"/>
  <c r="DC34" i="1"/>
  <c r="DA34" i="1" s="1"/>
  <c r="DO34" i="1"/>
  <c r="GT34" i="1"/>
  <c r="BG26" i="1"/>
  <c r="BF26" i="1" s="1"/>
  <c r="BE26" i="1" s="1"/>
  <c r="BD26" i="1" s="1"/>
  <c r="BC26" i="1" s="1"/>
  <c r="BB26" i="1" s="1"/>
  <c r="BA26" i="1" s="1"/>
  <c r="DB26" i="1"/>
  <c r="CZ26" i="1" s="1"/>
  <c r="DC26" i="1"/>
  <c r="DA26" i="1" s="1"/>
  <c r="DO26" i="1"/>
  <c r="GT26" i="1"/>
  <c r="BG22" i="1"/>
  <c r="BF22" i="1" s="1"/>
  <c r="BE22" i="1" s="1"/>
  <c r="BD22" i="1" s="1"/>
  <c r="BC22" i="1" s="1"/>
  <c r="BB22" i="1" s="1"/>
  <c r="BA22" i="1" s="1"/>
  <c r="DB22" i="1"/>
  <c r="CZ22" i="1" s="1"/>
  <c r="DC22" i="1"/>
  <c r="DA22" i="1" s="1"/>
  <c r="DO22" i="1"/>
  <c r="GT22" i="1"/>
  <c r="DN54" i="1"/>
  <c r="GS54" i="1"/>
  <c r="DN50" i="1"/>
  <c r="GS50" i="1"/>
  <c r="DN46" i="1"/>
  <c r="GS46" i="1"/>
  <c r="DN42" i="1"/>
  <c r="GS42" i="1"/>
  <c r="DN38" i="1"/>
  <c r="GS38" i="1"/>
  <c r="DN34" i="1"/>
  <c r="GS34" i="1"/>
  <c r="DN26" i="1"/>
  <c r="GS26" i="1"/>
  <c r="DN22" i="1"/>
  <c r="GS22" i="1"/>
  <c r="DM54" i="1"/>
  <c r="GR54" i="1"/>
  <c r="DM50" i="1"/>
  <c r="GR50" i="1"/>
  <c r="DM46" i="1"/>
  <c r="GR46" i="1"/>
  <c r="DM42" i="1"/>
  <c r="GR42" i="1"/>
  <c r="DM38" i="1"/>
  <c r="GR38" i="1"/>
  <c r="DM34" i="1"/>
  <c r="GR34" i="1"/>
  <c r="DM26" i="1"/>
  <c r="GR26" i="1"/>
  <c r="DM22" i="1"/>
  <c r="GR22" i="1"/>
  <c r="DL54" i="1"/>
  <c r="GQ54" i="1"/>
  <c r="DL50" i="1"/>
  <c r="GQ50" i="1"/>
  <c r="DL46" i="1"/>
  <c r="GQ46" i="1"/>
  <c r="DL42" i="1"/>
  <c r="GQ42" i="1"/>
  <c r="DL38" i="1"/>
  <c r="GQ38" i="1"/>
  <c r="DL34" i="1"/>
  <c r="GQ34" i="1"/>
  <c r="DL26" i="1"/>
  <c r="GQ26" i="1"/>
  <c r="DL22" i="1"/>
  <c r="GQ22" i="1"/>
  <c r="DK54" i="1"/>
  <c r="GP54" i="1"/>
  <c r="DK50" i="1"/>
  <c r="GP50" i="1"/>
  <c r="DK46" i="1"/>
  <c r="GP46" i="1"/>
  <c r="DK42" i="1"/>
  <c r="GP42" i="1"/>
  <c r="DK38" i="1"/>
  <c r="GP38" i="1"/>
  <c r="DK34" i="1"/>
  <c r="GP34" i="1"/>
  <c r="DK26" i="1"/>
  <c r="GP26" i="1"/>
  <c r="DK22" i="1"/>
  <c r="GP22" i="1"/>
  <c r="DJ54" i="1"/>
  <c r="GO54" i="1"/>
  <c r="DJ50" i="1"/>
  <c r="GO50" i="1"/>
  <c r="DJ46" i="1"/>
  <c r="GO46" i="1"/>
  <c r="DJ42" i="1"/>
  <c r="GO42" i="1"/>
  <c r="DJ38" i="1"/>
  <c r="GO38" i="1"/>
  <c r="DJ34" i="1"/>
  <c r="GO34" i="1"/>
  <c r="DJ26" i="1"/>
  <c r="GO26" i="1"/>
  <c r="DJ22" i="1"/>
  <c r="GO22" i="1"/>
  <c r="DI54" i="1"/>
  <c r="GN54" i="1"/>
  <c r="DI50" i="1"/>
  <c r="GN50" i="1"/>
  <c r="DI46" i="1"/>
  <c r="GN46" i="1"/>
  <c r="DI42" i="1"/>
  <c r="GN42" i="1"/>
  <c r="DI38" i="1"/>
  <c r="GN38" i="1"/>
  <c r="DI34" i="1"/>
  <c r="GN34" i="1"/>
  <c r="DI26" i="1"/>
  <c r="GN26" i="1"/>
  <c r="DI22" i="1"/>
  <c r="GN22" i="1"/>
  <c r="DH54" i="1"/>
  <c r="GM54" i="1"/>
  <c r="DH50" i="1"/>
  <c r="GM50" i="1"/>
  <c r="DH46" i="1"/>
  <c r="GM46" i="1"/>
  <c r="DH42" i="1"/>
  <c r="GM42" i="1"/>
  <c r="DH38" i="1"/>
  <c r="GM38" i="1"/>
  <c r="DH34" i="1"/>
  <c r="GM34" i="1"/>
  <c r="DH26" i="1"/>
  <c r="GM26" i="1"/>
  <c r="DH22" i="1"/>
  <c r="GM22" i="1"/>
  <c r="DG54" i="1"/>
  <c r="GL54" i="1"/>
  <c r="DG50" i="1"/>
  <c r="GL50" i="1"/>
  <c r="DG46" i="1"/>
  <c r="GL46" i="1"/>
  <c r="DG42" i="1"/>
  <c r="GL42" i="1"/>
  <c r="DG38" i="1"/>
  <c r="GL38" i="1"/>
  <c r="DG34" i="1"/>
  <c r="GL34" i="1"/>
  <c r="DG26" i="1"/>
  <c r="GL26" i="1"/>
  <c r="DG22" i="1"/>
  <c r="GL22" i="1"/>
  <c r="D54" i="1"/>
  <c r="BH54" i="1"/>
  <c r="D50" i="1"/>
  <c r="BH50" i="1"/>
  <c r="D46" i="1"/>
  <c r="BH46" i="1"/>
  <c r="D42" i="1"/>
  <c r="BH42" i="1"/>
  <c r="D38" i="1"/>
  <c r="BH38" i="1"/>
  <c r="D34" i="1"/>
  <c r="BH34" i="1"/>
  <c r="D26" i="1"/>
  <c r="BH26" i="1"/>
  <c r="D22" i="1"/>
  <c r="BH22" i="1"/>
  <c r="IV81" i="1"/>
  <c r="IS88" i="1"/>
  <c r="IS80" i="1"/>
  <c r="IV71" i="1"/>
  <c r="IV64" i="1"/>
  <c r="BG53" i="1"/>
  <c r="BF53" i="1" s="1"/>
  <c r="DB53" i="1"/>
  <c r="CZ53" i="1" s="1"/>
  <c r="DC53" i="1"/>
  <c r="DA53" i="1" s="1"/>
  <c r="DO53" i="1"/>
  <c r="BG49" i="1"/>
  <c r="BF49" i="1" s="1"/>
  <c r="DB49" i="1"/>
  <c r="CZ49" i="1" s="1"/>
  <c r="DC49" i="1"/>
  <c r="DA49" i="1" s="1"/>
  <c r="DO49" i="1"/>
  <c r="BG45" i="1"/>
  <c r="BF45" i="1" s="1"/>
  <c r="BE45" i="1" s="1"/>
  <c r="DB45" i="1"/>
  <c r="CZ45" i="1" s="1"/>
  <c r="DC45" i="1"/>
  <c r="DA45" i="1" s="1"/>
  <c r="DO45" i="1"/>
  <c r="BG41" i="1"/>
  <c r="DB41" i="1"/>
  <c r="CZ41" i="1" s="1"/>
  <c r="DC41" i="1"/>
  <c r="DA41" i="1" s="1"/>
  <c r="DO41" i="1"/>
  <c r="BG37" i="1"/>
  <c r="BF37" i="1" s="1"/>
  <c r="DB37" i="1"/>
  <c r="CZ37" i="1" s="1"/>
  <c r="DC37" i="1"/>
  <c r="DA37" i="1" s="1"/>
  <c r="DO37" i="1"/>
  <c r="BG33" i="1"/>
  <c r="BF33" i="1" s="1"/>
  <c r="DB33" i="1"/>
  <c r="CZ33" i="1" s="1"/>
  <c r="DC33" i="1"/>
  <c r="DA33" i="1" s="1"/>
  <c r="DO33" i="1"/>
  <c r="BG25" i="1"/>
  <c r="DB25" i="1"/>
  <c r="CZ25" i="1" s="1"/>
  <c r="DC25" i="1"/>
  <c r="DA25" i="1" s="1"/>
  <c r="DO25" i="1"/>
  <c r="BG21" i="1"/>
  <c r="DB21" i="1"/>
  <c r="CZ21" i="1" s="1"/>
  <c r="DC21" i="1"/>
  <c r="DA21" i="1" s="1"/>
  <c r="DO21" i="1"/>
  <c r="DN53" i="1"/>
  <c r="DN49" i="1"/>
  <c r="DN45" i="1"/>
  <c r="DN41" i="1"/>
  <c r="DN37" i="1"/>
  <c r="DN33" i="1"/>
  <c r="DN25" i="1"/>
  <c r="DN21" i="1"/>
  <c r="DM53" i="1"/>
  <c r="DM49" i="1"/>
  <c r="DM45" i="1"/>
  <c r="DM41" i="1"/>
  <c r="DM37" i="1"/>
  <c r="DM33" i="1"/>
  <c r="DM25" i="1"/>
  <c r="DM21" i="1"/>
  <c r="DL53" i="1"/>
  <c r="DL49" i="1"/>
  <c r="DL45" i="1"/>
  <c r="DL41" i="1"/>
  <c r="DL37" i="1"/>
  <c r="DL33" i="1"/>
  <c r="GQ33" i="1"/>
  <c r="DL25" i="1"/>
  <c r="GQ25" i="1"/>
  <c r="DL21" i="1"/>
  <c r="GQ21" i="1"/>
  <c r="DK53" i="1"/>
  <c r="GP53" i="1"/>
  <c r="DK49" i="1"/>
  <c r="GP49" i="1"/>
  <c r="DK45" i="1"/>
  <c r="GP45" i="1"/>
  <c r="DK41" i="1"/>
  <c r="GP41" i="1"/>
  <c r="DK37" i="1"/>
  <c r="GP37" i="1"/>
  <c r="DK33" i="1"/>
  <c r="GP33" i="1"/>
  <c r="DK25" i="1"/>
  <c r="GP25" i="1"/>
  <c r="DK21" i="1"/>
  <c r="GP21" i="1"/>
  <c r="DJ53" i="1"/>
  <c r="GO53" i="1"/>
  <c r="DJ49" i="1"/>
  <c r="GO49" i="1"/>
  <c r="DJ45" i="1"/>
  <c r="GO45" i="1"/>
  <c r="DJ41" i="1"/>
  <c r="GO41" i="1"/>
  <c r="DJ37" i="1"/>
  <c r="GO37" i="1"/>
  <c r="DJ33" i="1"/>
  <c r="GO33" i="1"/>
  <c r="DJ25" i="1"/>
  <c r="GO25" i="1"/>
  <c r="DJ21" i="1"/>
  <c r="GO21" i="1"/>
  <c r="DI53" i="1"/>
  <c r="GN53" i="1"/>
  <c r="DI49" i="1"/>
  <c r="GN49" i="1"/>
  <c r="DI45" i="1"/>
  <c r="GN45" i="1"/>
  <c r="DI41" i="1"/>
  <c r="GN41" i="1"/>
  <c r="DI37" i="1"/>
  <c r="GN37" i="1"/>
  <c r="DI33" i="1"/>
  <c r="GN33" i="1"/>
  <c r="DI25" i="1"/>
  <c r="GN25" i="1"/>
  <c r="DI21" i="1"/>
  <c r="GN21" i="1"/>
  <c r="DH53" i="1"/>
  <c r="GM53" i="1"/>
  <c r="DH49" i="1"/>
  <c r="GM49" i="1"/>
  <c r="DH45" i="1"/>
  <c r="GM45" i="1"/>
  <c r="DH41" i="1"/>
  <c r="GM41" i="1"/>
  <c r="DH37" i="1"/>
  <c r="GM37" i="1"/>
  <c r="DH33" i="1"/>
  <c r="GM33" i="1"/>
  <c r="DH25" i="1"/>
  <c r="GM25" i="1"/>
  <c r="DH21" i="1"/>
  <c r="GM21" i="1"/>
  <c r="DG53" i="1"/>
  <c r="GL53" i="1"/>
  <c r="DG49" i="1"/>
  <c r="GL49" i="1"/>
  <c r="DG45" i="1"/>
  <c r="GL45" i="1"/>
  <c r="DG41" i="1"/>
  <c r="GL41" i="1"/>
  <c r="DG37" i="1"/>
  <c r="GL37" i="1"/>
  <c r="DG33" i="1"/>
  <c r="GL33" i="1"/>
  <c r="DG25" i="1"/>
  <c r="GL25" i="1"/>
  <c r="DG21" i="1"/>
  <c r="GL21" i="1"/>
  <c r="D53" i="1"/>
  <c r="BH53" i="1"/>
  <c r="D49" i="1"/>
  <c r="BH49" i="1"/>
  <c r="D45" i="1"/>
  <c r="BH45" i="1"/>
  <c r="D41" i="1"/>
  <c r="BH41" i="1"/>
  <c r="D37" i="1"/>
  <c r="BH37" i="1"/>
  <c r="D33" i="1"/>
  <c r="BH33" i="1"/>
  <c r="D25" i="1"/>
  <c r="BH25" i="1"/>
  <c r="D21" i="1"/>
  <c r="BH21" i="1"/>
  <c r="GT45" i="1"/>
  <c r="GT25" i="1"/>
  <c r="GS53" i="1"/>
  <c r="GS37" i="1"/>
  <c r="GR45" i="1"/>
  <c r="GR25" i="1"/>
  <c r="GQ53" i="1"/>
  <c r="GQ37" i="1"/>
  <c r="DK47" i="1"/>
  <c r="DK43" i="1"/>
  <c r="DK39" i="1"/>
  <c r="DK35" i="1"/>
  <c r="DK27" i="1"/>
  <c r="DK23" i="1"/>
  <c r="DJ51" i="1"/>
  <c r="DJ47" i="1"/>
  <c r="DJ43" i="1"/>
  <c r="DJ39" i="1"/>
  <c r="DJ35" i="1"/>
  <c r="DJ27" i="1"/>
  <c r="DJ23" i="1"/>
  <c r="DI51" i="1"/>
  <c r="DI47" i="1"/>
  <c r="DI43" i="1"/>
  <c r="DI39" i="1"/>
  <c r="DI35" i="1"/>
  <c r="DI27" i="1"/>
  <c r="DI23" i="1"/>
  <c r="DH51" i="1"/>
  <c r="DH47" i="1"/>
  <c r="DH43" i="1"/>
  <c r="DH39" i="1"/>
  <c r="DH35" i="1"/>
  <c r="DH27" i="1"/>
  <c r="DH23" i="1"/>
  <c r="DG51" i="1"/>
  <c r="GL51" i="1"/>
  <c r="DG47" i="1"/>
  <c r="GL47" i="1"/>
  <c r="DG43" i="1"/>
  <c r="GL43" i="1"/>
  <c r="DG39" i="1"/>
  <c r="GL39" i="1"/>
  <c r="DG35" i="1"/>
  <c r="GL35" i="1"/>
  <c r="DG27" i="1"/>
  <c r="GL27" i="1"/>
  <c r="DG23" i="1"/>
  <c r="GL23" i="1"/>
  <c r="D51" i="1"/>
  <c r="BH51" i="1"/>
  <c r="D47" i="1"/>
  <c r="BH47" i="1"/>
  <c r="D43" i="1"/>
  <c r="BH43" i="1"/>
  <c r="D39" i="1"/>
  <c r="BH39" i="1"/>
  <c r="D35" i="1"/>
  <c r="BH35" i="1"/>
  <c r="D27" i="1"/>
  <c r="BH27" i="1"/>
  <c r="D23" i="1"/>
  <c r="BH23" i="1"/>
  <c r="GP47" i="1"/>
  <c r="GP43" i="1"/>
  <c r="GP39" i="1"/>
  <c r="GP35" i="1"/>
  <c r="GP27" i="1"/>
  <c r="GP23" i="1"/>
  <c r="GO51" i="1"/>
  <c r="GO47" i="1"/>
  <c r="GO43" i="1"/>
  <c r="GO39" i="1"/>
  <c r="GO35" i="1"/>
  <c r="GO27" i="1"/>
  <c r="GO23" i="1"/>
  <c r="GN51" i="1"/>
  <c r="GN47" i="1"/>
  <c r="GN43" i="1"/>
  <c r="GN39" i="1"/>
  <c r="GN35" i="1"/>
  <c r="GN27" i="1"/>
  <c r="GN23" i="1"/>
  <c r="GM51" i="1"/>
  <c r="GM47" i="1"/>
  <c r="GM43" i="1"/>
  <c r="GM39" i="1"/>
  <c r="GM35" i="1"/>
  <c r="GM27" i="1"/>
  <c r="GM23" i="1"/>
  <c r="IV63" i="1"/>
  <c r="IV58" i="1"/>
  <c r="IS72" i="1"/>
  <c r="IV67" i="1"/>
  <c r="IV62" i="1"/>
  <c r="IT60" i="1"/>
  <c r="IS70" i="1"/>
  <c r="IV116" i="1"/>
  <c r="IV89" i="1"/>
  <c r="IV82" i="1"/>
  <c r="IV77" i="1"/>
  <c r="IT87" i="1"/>
  <c r="IS71" i="1"/>
  <c r="IS67" i="1"/>
  <c r="IS63" i="1"/>
  <c r="IS59" i="1"/>
  <c r="IV91" i="1"/>
  <c r="IV78" i="1"/>
  <c r="IV69" i="1"/>
  <c r="IV65" i="1"/>
  <c r="IV61" i="1"/>
  <c r="IV57" i="1"/>
  <c r="IV88" i="1"/>
  <c r="IT89" i="1"/>
  <c r="IT79" i="1"/>
  <c r="GT70" i="1"/>
  <c r="GT66" i="1"/>
  <c r="GT62" i="1"/>
  <c r="GT58" i="1"/>
  <c r="GP70" i="1"/>
  <c r="GP66" i="1"/>
  <c r="GP62" i="1"/>
  <c r="GP58" i="1"/>
  <c r="GL70" i="1"/>
  <c r="GL66" i="1"/>
  <c r="GL62" i="1"/>
  <c r="GL58" i="1"/>
  <c r="GQ62" i="1"/>
  <c r="GQ58" i="1"/>
  <c r="GM70" i="1"/>
  <c r="GM58" i="1"/>
  <c r="GT72" i="1"/>
  <c r="GT57" i="1"/>
  <c r="GS71" i="1"/>
  <c r="GS68" i="1"/>
  <c r="GS56" i="1"/>
  <c r="GR67" i="1"/>
  <c r="GR63" i="1"/>
  <c r="GP72" i="1"/>
  <c r="GP69" i="1"/>
  <c r="GP57" i="1"/>
  <c r="GO68" i="1"/>
  <c r="GO64" i="1"/>
  <c r="GN63" i="1"/>
  <c r="GN59" i="1"/>
  <c r="GL69" i="1"/>
  <c r="GL65" i="1"/>
  <c r="GS90" i="1"/>
  <c r="IT90" i="1"/>
  <c r="GS72" i="1"/>
  <c r="GS69" i="1"/>
  <c r="GS65" i="1"/>
  <c r="GS61" i="1"/>
  <c r="GS57" i="1"/>
  <c r="GR71" i="1"/>
  <c r="GR68" i="1"/>
  <c r="GR64" i="1"/>
  <c r="GR60" i="1"/>
  <c r="GR56" i="1"/>
  <c r="GQ67" i="1"/>
  <c r="GQ63" i="1"/>
  <c r="GQ59" i="1"/>
  <c r="GO72" i="1"/>
  <c r="GO69" i="1"/>
  <c r="GO65" i="1"/>
  <c r="GO61" i="1"/>
  <c r="GO57" i="1"/>
  <c r="GN71" i="1"/>
  <c r="GN68" i="1"/>
  <c r="GN64" i="1"/>
  <c r="GN60" i="1"/>
  <c r="GN56" i="1"/>
  <c r="GM67" i="1"/>
  <c r="GM63" i="1"/>
  <c r="GM59" i="1"/>
  <c r="BG71" i="1"/>
  <c r="BF71" i="1" s="1"/>
  <c r="BE71" i="1" s="1"/>
  <c r="DC71" i="1"/>
  <c r="DA71" i="1" s="1"/>
  <c r="DB71" i="1"/>
  <c r="CZ71" i="1" s="1"/>
  <c r="DO71" i="1"/>
  <c r="BG68" i="1"/>
  <c r="BF68" i="1" s="1"/>
  <c r="DC68" i="1"/>
  <c r="DA68" i="1" s="1"/>
  <c r="DB68" i="1"/>
  <c r="CZ68" i="1" s="1"/>
  <c r="DO68" i="1"/>
  <c r="BG64" i="1"/>
  <c r="BF64" i="1" s="1"/>
  <c r="BE64" i="1" s="1"/>
  <c r="DC64" i="1"/>
  <c r="DA64" i="1" s="1"/>
  <c r="DB64" i="1"/>
  <c r="CZ64" i="1" s="1"/>
  <c r="DO64" i="1"/>
  <c r="BG60" i="1"/>
  <c r="BF60" i="1" s="1"/>
  <c r="DC60" i="1"/>
  <c r="DA60" i="1" s="1"/>
  <c r="DB60" i="1"/>
  <c r="CZ60" i="1" s="1"/>
  <c r="DO60" i="1"/>
  <c r="BG56" i="1"/>
  <c r="BF56" i="1" s="1"/>
  <c r="BE56" i="1" s="1"/>
  <c r="BD56" i="1" s="1"/>
  <c r="BC56" i="1" s="1"/>
  <c r="BB56" i="1" s="1"/>
  <c r="BA56" i="1" s="1"/>
  <c r="DC56" i="1"/>
  <c r="DA56" i="1" s="1"/>
  <c r="DB56" i="1"/>
  <c r="CZ56" i="1" s="1"/>
  <c r="DO56" i="1"/>
  <c r="DN67" i="1"/>
  <c r="DN63" i="1"/>
  <c r="DN59" i="1"/>
  <c r="DM70" i="1"/>
  <c r="DM66" i="1"/>
  <c r="DM62" i="1"/>
  <c r="DM58" i="1"/>
  <c r="DL72" i="1"/>
  <c r="DL69" i="1"/>
  <c r="DL65" i="1"/>
  <c r="DL61" i="1"/>
  <c r="DL57" i="1"/>
  <c r="DK71" i="1"/>
  <c r="DK68" i="1"/>
  <c r="DK64" i="1"/>
  <c r="DK60" i="1"/>
  <c r="DK56" i="1"/>
  <c r="DJ67" i="1"/>
  <c r="DJ63" i="1"/>
  <c r="DJ59" i="1"/>
  <c r="DI70" i="1"/>
  <c r="DI66" i="1"/>
  <c r="DI62" i="1"/>
  <c r="DI58" i="1"/>
  <c r="DH72" i="1"/>
  <c r="DH69" i="1"/>
  <c r="DH65" i="1"/>
  <c r="DH61" i="1"/>
  <c r="DH57" i="1"/>
  <c r="DG71" i="1"/>
  <c r="DG68" i="1"/>
  <c r="DG64" i="1"/>
  <c r="DG60" i="1"/>
  <c r="DG56" i="1"/>
  <c r="D67" i="1"/>
  <c r="BH67" i="1"/>
  <c r="D63" i="1"/>
  <c r="BH63" i="1"/>
  <c r="D59" i="1"/>
  <c r="BH59" i="1"/>
  <c r="BG67" i="1"/>
  <c r="DC67" i="1"/>
  <c r="DA67" i="1" s="1"/>
  <c r="DB67" i="1"/>
  <c r="CZ67" i="1" s="1"/>
  <c r="DO67" i="1"/>
  <c r="BG63" i="1"/>
  <c r="BF63" i="1" s="1"/>
  <c r="DC63" i="1"/>
  <c r="DA63" i="1" s="1"/>
  <c r="DB63" i="1"/>
  <c r="CZ63" i="1" s="1"/>
  <c r="DO63" i="1"/>
  <c r="BG59" i="1"/>
  <c r="DC59" i="1"/>
  <c r="DA59" i="1" s="1"/>
  <c r="DB59" i="1"/>
  <c r="CZ59" i="1" s="1"/>
  <c r="DO59" i="1"/>
  <c r="DN70" i="1"/>
  <c r="DN66" i="1"/>
  <c r="DN62" i="1"/>
  <c r="DN58" i="1"/>
  <c r="DM72" i="1"/>
  <c r="DM69" i="1"/>
  <c r="DM65" i="1"/>
  <c r="DM61" i="1"/>
  <c r="DM57" i="1"/>
  <c r="DL71" i="1"/>
  <c r="DL68" i="1"/>
  <c r="DL64" i="1"/>
  <c r="DL60" i="1"/>
  <c r="DL56" i="1"/>
  <c r="DK67" i="1"/>
  <c r="DK63" i="1"/>
  <c r="DK59" i="1"/>
  <c r="DJ70" i="1"/>
  <c r="DJ66" i="1"/>
  <c r="DJ62" i="1"/>
  <c r="DJ58" i="1"/>
  <c r="DI72" i="1"/>
  <c r="DI69" i="1"/>
  <c r="DI65" i="1"/>
  <c r="DI61" i="1"/>
  <c r="DI57" i="1"/>
  <c r="DH71" i="1"/>
  <c r="DH68" i="1"/>
  <c r="DH64" i="1"/>
  <c r="DH60" i="1"/>
  <c r="DH56" i="1"/>
  <c r="DG67" i="1"/>
  <c r="DG63" i="1"/>
  <c r="DG59" i="1"/>
  <c r="D70" i="1"/>
  <c r="BH70" i="1"/>
  <c r="D66" i="1"/>
  <c r="BH66" i="1"/>
  <c r="D62" i="1"/>
  <c r="BH62" i="1"/>
  <c r="D58" i="1"/>
  <c r="BH58" i="1"/>
  <c r="GT69" i="1"/>
  <c r="GT65" i="1"/>
  <c r="GT61" i="1"/>
  <c r="GS64" i="1"/>
  <c r="GS60" i="1"/>
  <c r="GR59" i="1"/>
  <c r="GQ70" i="1"/>
  <c r="GQ66" i="1"/>
  <c r="GP65" i="1"/>
  <c r="GP61" i="1"/>
  <c r="GO71" i="1"/>
  <c r="GO60" i="1"/>
  <c r="GO56" i="1"/>
  <c r="GN67" i="1"/>
  <c r="GM66" i="1"/>
  <c r="GM62" i="1"/>
  <c r="GL72" i="1"/>
  <c r="GL61" i="1"/>
  <c r="GL57" i="1"/>
  <c r="BG70" i="1"/>
  <c r="DC70" i="1"/>
  <c r="DA70" i="1" s="1"/>
  <c r="DB70" i="1"/>
  <c r="CZ70" i="1" s="1"/>
  <c r="DO70" i="1"/>
  <c r="BG66" i="1"/>
  <c r="DC66" i="1"/>
  <c r="DA66" i="1" s="1"/>
  <c r="DB66" i="1"/>
  <c r="CZ66" i="1" s="1"/>
  <c r="DO66" i="1"/>
  <c r="BG62" i="1"/>
  <c r="DC62" i="1"/>
  <c r="DA62" i="1" s="1"/>
  <c r="DB62" i="1"/>
  <c r="CZ62" i="1" s="1"/>
  <c r="DO62" i="1"/>
  <c r="BG58" i="1"/>
  <c r="BF58" i="1" s="1"/>
  <c r="DC58" i="1"/>
  <c r="DA58" i="1" s="1"/>
  <c r="DB58" i="1"/>
  <c r="CZ58" i="1" s="1"/>
  <c r="DO58" i="1"/>
  <c r="DN72" i="1"/>
  <c r="DN69" i="1"/>
  <c r="DN65" i="1"/>
  <c r="DN61" i="1"/>
  <c r="DN57" i="1"/>
  <c r="DM71" i="1"/>
  <c r="DM68" i="1"/>
  <c r="DM64" i="1"/>
  <c r="DM60" i="1"/>
  <c r="DM56" i="1"/>
  <c r="DL67" i="1"/>
  <c r="DL63" i="1"/>
  <c r="DL59" i="1"/>
  <c r="DK70" i="1"/>
  <c r="DK66" i="1"/>
  <c r="DK62" i="1"/>
  <c r="DK58" i="1"/>
  <c r="DJ72" i="1"/>
  <c r="DJ69" i="1"/>
  <c r="DJ65" i="1"/>
  <c r="DJ61" i="1"/>
  <c r="DJ57" i="1"/>
  <c r="DI71" i="1"/>
  <c r="DI68" i="1"/>
  <c r="DI64" i="1"/>
  <c r="DI60" i="1"/>
  <c r="DI56" i="1"/>
  <c r="DH67" i="1"/>
  <c r="DH63" i="1"/>
  <c r="DH59" i="1"/>
  <c r="DG70" i="1"/>
  <c r="DG66" i="1"/>
  <c r="DG62" i="1"/>
  <c r="DG58" i="1"/>
  <c r="D72" i="1"/>
  <c r="BH72" i="1"/>
  <c r="D69" i="1"/>
  <c r="BH69" i="1"/>
  <c r="D65" i="1"/>
  <c r="BH65" i="1"/>
  <c r="D61" i="1"/>
  <c r="BH61" i="1"/>
  <c r="D57" i="1"/>
  <c r="BH57" i="1"/>
  <c r="GT71" i="1"/>
  <c r="GT68" i="1"/>
  <c r="GT64" i="1"/>
  <c r="GT60" i="1"/>
  <c r="GT56" i="1"/>
  <c r="GS67" i="1"/>
  <c r="GS63" i="1"/>
  <c r="GS59" i="1"/>
  <c r="GR70" i="1"/>
  <c r="GR66" i="1"/>
  <c r="GR62" i="1"/>
  <c r="GR58" i="1"/>
  <c r="GQ72" i="1"/>
  <c r="GQ69" i="1"/>
  <c r="GQ65" i="1"/>
  <c r="GQ61" i="1"/>
  <c r="GQ57" i="1"/>
  <c r="GP71" i="1"/>
  <c r="GP68" i="1"/>
  <c r="GP64" i="1"/>
  <c r="GP60" i="1"/>
  <c r="GP56" i="1"/>
  <c r="GO67" i="1"/>
  <c r="GO63" i="1"/>
  <c r="GO59" i="1"/>
  <c r="GN70" i="1"/>
  <c r="GN66" i="1"/>
  <c r="GN62" i="1"/>
  <c r="GN58" i="1"/>
  <c r="GM72" i="1"/>
  <c r="GM69" i="1"/>
  <c r="GM65" i="1"/>
  <c r="GM61" i="1"/>
  <c r="GM57" i="1"/>
  <c r="GL71" i="1"/>
  <c r="GL68" i="1"/>
  <c r="GL64" i="1"/>
  <c r="GL60" i="1"/>
  <c r="GL56" i="1"/>
  <c r="BG72" i="1"/>
  <c r="DB72" i="1"/>
  <c r="CZ72" i="1" s="1"/>
  <c r="DC72" i="1"/>
  <c r="DA72" i="1" s="1"/>
  <c r="DO72" i="1"/>
  <c r="BG69" i="1"/>
  <c r="BF69" i="1" s="1"/>
  <c r="DB69" i="1"/>
  <c r="CZ69" i="1" s="1"/>
  <c r="DC69" i="1"/>
  <c r="DA69" i="1" s="1"/>
  <c r="DO69" i="1"/>
  <c r="BG65" i="1"/>
  <c r="DB65" i="1"/>
  <c r="CZ65" i="1" s="1"/>
  <c r="DC65" i="1"/>
  <c r="DA65" i="1" s="1"/>
  <c r="DO65" i="1"/>
  <c r="BG61" i="1"/>
  <c r="BF61" i="1" s="1"/>
  <c r="DB61" i="1"/>
  <c r="CZ61" i="1" s="1"/>
  <c r="DC61" i="1"/>
  <c r="DA61" i="1" s="1"/>
  <c r="DO61" i="1"/>
  <c r="BG57" i="1"/>
  <c r="DB57" i="1"/>
  <c r="CZ57" i="1" s="1"/>
  <c r="DC57" i="1"/>
  <c r="DA57" i="1" s="1"/>
  <c r="DO57" i="1"/>
  <c r="DN71" i="1"/>
  <c r="DN68" i="1"/>
  <c r="DN64" i="1"/>
  <c r="DN60" i="1"/>
  <c r="DN56" i="1"/>
  <c r="DM67" i="1"/>
  <c r="DM63" i="1"/>
  <c r="DM59" i="1"/>
  <c r="DL70" i="1"/>
  <c r="DL66" i="1"/>
  <c r="DL62" i="1"/>
  <c r="DL58" i="1"/>
  <c r="DK72" i="1"/>
  <c r="DK69" i="1"/>
  <c r="DK65" i="1"/>
  <c r="DK61" i="1"/>
  <c r="DK57" i="1"/>
  <c r="DJ71" i="1"/>
  <c r="DJ68" i="1"/>
  <c r="DJ64" i="1"/>
  <c r="DJ60" i="1"/>
  <c r="DJ56" i="1"/>
  <c r="DI67" i="1"/>
  <c r="DI63" i="1"/>
  <c r="DI59" i="1"/>
  <c r="DH70" i="1"/>
  <c r="DH66" i="1"/>
  <c r="DH62" i="1"/>
  <c r="DH58" i="1"/>
  <c r="DG72" i="1"/>
  <c r="DG69" i="1"/>
  <c r="DG65" i="1"/>
  <c r="DG61" i="1"/>
  <c r="DG57" i="1"/>
  <c r="D71" i="1"/>
  <c r="BH71" i="1"/>
  <c r="D68" i="1"/>
  <c r="BH68" i="1"/>
  <c r="D64" i="1"/>
  <c r="BH64" i="1"/>
  <c r="D60" i="1"/>
  <c r="BH60" i="1"/>
  <c r="D56" i="1"/>
  <c r="BH56" i="1"/>
  <c r="GT67" i="1"/>
  <c r="GT63" i="1"/>
  <c r="GT59" i="1"/>
  <c r="GS70" i="1"/>
  <c r="GS66" i="1"/>
  <c r="GS62" i="1"/>
  <c r="GS58" i="1"/>
  <c r="GR72" i="1"/>
  <c r="GR69" i="1"/>
  <c r="GR65" i="1"/>
  <c r="GR61" i="1"/>
  <c r="GR57" i="1"/>
  <c r="GQ71" i="1"/>
  <c r="GQ68" i="1"/>
  <c r="GQ64" i="1"/>
  <c r="GQ60" i="1"/>
  <c r="GQ56" i="1"/>
  <c r="GP67" i="1"/>
  <c r="GP63" i="1"/>
  <c r="GP59" i="1"/>
  <c r="GO70" i="1"/>
  <c r="GO66" i="1"/>
  <c r="GO62" i="1"/>
  <c r="GO58" i="1"/>
  <c r="GN72" i="1"/>
  <c r="GN69" i="1"/>
  <c r="GN65" i="1"/>
  <c r="GN61" i="1"/>
  <c r="GN57" i="1"/>
  <c r="GM71" i="1"/>
  <c r="GM68" i="1"/>
  <c r="GM64" i="1"/>
  <c r="GM60" i="1"/>
  <c r="GM56" i="1"/>
  <c r="GL67" i="1"/>
  <c r="GL63" i="1"/>
  <c r="GL59" i="1"/>
  <c r="IT83" i="1"/>
  <c r="IT75" i="1"/>
  <c r="IV90" i="1"/>
  <c r="BG90" i="1"/>
  <c r="BF90" i="1" s="1"/>
  <c r="BE90" i="1" s="1"/>
  <c r="BD90" i="1" s="1"/>
  <c r="BC90" i="1" s="1"/>
  <c r="BB90" i="1" s="1"/>
  <c r="BA90" i="1" s="1"/>
  <c r="DC90" i="1"/>
  <c r="DA90" i="1" s="1"/>
  <c r="DO90" i="1"/>
  <c r="DB90" i="1"/>
  <c r="CZ90" i="1" s="1"/>
  <c r="GT90" i="1"/>
  <c r="DK90" i="1"/>
  <c r="GP90" i="1"/>
  <c r="DG90" i="1"/>
  <c r="GL90" i="1"/>
  <c r="GO90" i="1"/>
  <c r="DJ90" i="1"/>
  <c r="C90" i="1"/>
  <c r="GK90" i="1"/>
  <c r="DF90" i="1"/>
  <c r="GR90" i="1"/>
  <c r="DM90" i="1"/>
  <c r="GN90" i="1"/>
  <c r="DI90" i="1"/>
  <c r="GQ90" i="1"/>
  <c r="DL90" i="1"/>
  <c r="GM90" i="1"/>
  <c r="DH90" i="1"/>
  <c r="IS76" i="1"/>
  <c r="DN90" i="1"/>
  <c r="IS93" i="1"/>
  <c r="D90" i="1"/>
  <c r="IV87" i="1"/>
  <c r="IV83" i="1"/>
  <c r="IV79" i="1"/>
  <c r="IV75" i="1"/>
  <c r="IT91" i="1"/>
  <c r="IT86" i="1"/>
  <c r="IT78" i="1"/>
  <c r="IT74" i="1"/>
  <c r="IT84" i="1"/>
  <c r="GR81" i="1"/>
  <c r="GN89" i="1"/>
  <c r="GT77" i="1"/>
  <c r="GP85" i="1"/>
  <c r="GL77" i="1"/>
  <c r="IV94" i="1"/>
  <c r="GS79" i="1"/>
  <c r="GQ83" i="1"/>
  <c r="GO87" i="1"/>
  <c r="GM75" i="1"/>
  <c r="GT76" i="1"/>
  <c r="GS78" i="1"/>
  <c r="GR80" i="1"/>
  <c r="GQ82" i="1"/>
  <c r="GP84" i="1"/>
  <c r="GO86" i="1"/>
  <c r="GN88" i="1"/>
  <c r="GM91" i="1"/>
  <c r="GM74" i="1"/>
  <c r="GL76" i="1"/>
  <c r="IT94" i="1"/>
  <c r="IV114" i="1"/>
  <c r="BG91" i="1"/>
  <c r="DC91" i="1"/>
  <c r="DA91" i="1" s="1"/>
  <c r="DO91" i="1"/>
  <c r="DB91" i="1"/>
  <c r="CZ91" i="1" s="1"/>
  <c r="BG86" i="1"/>
  <c r="BF86" i="1" s="1"/>
  <c r="DC86" i="1"/>
  <c r="DA86" i="1" s="1"/>
  <c r="DO86" i="1"/>
  <c r="DB86" i="1"/>
  <c r="CZ86" i="1" s="1"/>
  <c r="BG82" i="1"/>
  <c r="BF82" i="1" s="1"/>
  <c r="DB82" i="1"/>
  <c r="CZ82" i="1" s="1"/>
  <c r="DC82" i="1"/>
  <c r="DA82" i="1" s="1"/>
  <c r="DO82" i="1"/>
  <c r="BG78" i="1"/>
  <c r="BF78" i="1" s="1"/>
  <c r="DB78" i="1"/>
  <c r="CZ78" i="1" s="1"/>
  <c r="DC78" i="1"/>
  <c r="DA78" i="1" s="1"/>
  <c r="DO78" i="1"/>
  <c r="BG74" i="1"/>
  <c r="BF74" i="1" s="1"/>
  <c r="BE74" i="1" s="1"/>
  <c r="BD74" i="1" s="1"/>
  <c r="BC74" i="1" s="1"/>
  <c r="BB74" i="1" s="1"/>
  <c r="BA74" i="1" s="1"/>
  <c r="DB74" i="1"/>
  <c r="CZ74" i="1" s="1"/>
  <c r="DC74" i="1"/>
  <c r="DA74" i="1" s="1"/>
  <c r="DO74" i="1"/>
  <c r="DN88" i="1"/>
  <c r="DN84" i="1"/>
  <c r="DN80" i="1"/>
  <c r="DN76" i="1"/>
  <c r="DM91" i="1"/>
  <c r="DM86" i="1"/>
  <c r="DM82" i="1"/>
  <c r="DM78" i="1"/>
  <c r="DM74" i="1"/>
  <c r="DL88" i="1"/>
  <c r="DL84" i="1"/>
  <c r="DL80" i="1"/>
  <c r="DL76" i="1"/>
  <c r="DK91" i="1"/>
  <c r="DK86" i="1"/>
  <c r="DK82" i="1"/>
  <c r="DK78" i="1"/>
  <c r="DK74" i="1"/>
  <c r="DJ88" i="1"/>
  <c r="DJ84" i="1"/>
  <c r="DJ80" i="1"/>
  <c r="DJ76" i="1"/>
  <c r="DI91" i="1"/>
  <c r="DI86" i="1"/>
  <c r="DI82" i="1"/>
  <c r="DI78" i="1"/>
  <c r="DI74" i="1"/>
  <c r="DH88" i="1"/>
  <c r="DH84" i="1"/>
  <c r="DH80" i="1"/>
  <c r="DH76" i="1"/>
  <c r="DG91" i="1"/>
  <c r="DG86" i="1"/>
  <c r="DG82" i="1"/>
  <c r="DG78" i="1"/>
  <c r="DG74" i="1"/>
  <c r="D88" i="1"/>
  <c r="BH88" i="1"/>
  <c r="D84" i="1"/>
  <c r="BH84" i="1"/>
  <c r="D80" i="1"/>
  <c r="BH80" i="1"/>
  <c r="D76" i="1"/>
  <c r="BH76" i="1"/>
  <c r="GT88" i="1"/>
  <c r="GT82" i="1"/>
  <c r="GS91" i="1"/>
  <c r="GS84" i="1"/>
  <c r="GS74" i="1"/>
  <c r="GR86" i="1"/>
  <c r="GR76" i="1"/>
  <c r="GQ88" i="1"/>
  <c r="GQ78" i="1"/>
  <c r="GP91" i="1"/>
  <c r="GP80" i="1"/>
  <c r="GP74" i="1"/>
  <c r="GO82" i="1"/>
  <c r="GO76" i="1"/>
  <c r="GN84" i="1"/>
  <c r="GN78" i="1"/>
  <c r="GM86" i="1"/>
  <c r="GM80" i="1"/>
  <c r="GL88" i="1"/>
  <c r="GL82" i="1"/>
  <c r="BG89" i="1"/>
  <c r="BF89" i="1" s="1"/>
  <c r="BE89" i="1" s="1"/>
  <c r="DC89" i="1"/>
  <c r="DA89" i="1" s="1"/>
  <c r="DO89" i="1"/>
  <c r="DB89" i="1"/>
  <c r="CZ89" i="1" s="1"/>
  <c r="BG85" i="1"/>
  <c r="BF85" i="1" s="1"/>
  <c r="DC85" i="1"/>
  <c r="DA85" i="1" s="1"/>
  <c r="DO85" i="1"/>
  <c r="DB85" i="1"/>
  <c r="CZ85" i="1" s="1"/>
  <c r="BG81" i="1"/>
  <c r="BF81" i="1" s="1"/>
  <c r="DC81" i="1"/>
  <c r="DA81" i="1" s="1"/>
  <c r="DO81" i="1"/>
  <c r="DB81" i="1"/>
  <c r="CZ81" i="1" s="1"/>
  <c r="BG77" i="1"/>
  <c r="BF77" i="1" s="1"/>
  <c r="DC77" i="1"/>
  <c r="DA77" i="1" s="1"/>
  <c r="DO77" i="1"/>
  <c r="DB77" i="1"/>
  <c r="CZ77" i="1" s="1"/>
  <c r="DN87" i="1"/>
  <c r="DN83" i="1"/>
  <c r="DN79" i="1"/>
  <c r="DN75" i="1"/>
  <c r="DM89" i="1"/>
  <c r="DM85" i="1"/>
  <c r="DM81" i="1"/>
  <c r="DM77" i="1"/>
  <c r="DL87" i="1"/>
  <c r="DL83" i="1"/>
  <c r="DL79" i="1"/>
  <c r="DL75" i="1"/>
  <c r="DK89" i="1"/>
  <c r="DK85" i="1"/>
  <c r="DK81" i="1"/>
  <c r="DK77" i="1"/>
  <c r="DJ87" i="1"/>
  <c r="DJ83" i="1"/>
  <c r="DJ79" i="1"/>
  <c r="DJ75" i="1"/>
  <c r="DI89" i="1"/>
  <c r="DI85" i="1"/>
  <c r="DI81" i="1"/>
  <c r="DI77" i="1"/>
  <c r="DH87" i="1"/>
  <c r="DH83" i="1"/>
  <c r="DH79" i="1"/>
  <c r="DH75" i="1"/>
  <c r="DG89" i="1"/>
  <c r="DG85" i="1"/>
  <c r="DG81" i="1"/>
  <c r="DG77" i="1"/>
  <c r="D87" i="1"/>
  <c r="BH87" i="1"/>
  <c r="D83" i="1"/>
  <c r="BH83" i="1"/>
  <c r="D79" i="1"/>
  <c r="BH79" i="1"/>
  <c r="D75" i="1"/>
  <c r="BH75" i="1"/>
  <c r="GT86" i="1"/>
  <c r="GT81" i="1"/>
  <c r="GS88" i="1"/>
  <c r="GS83" i="1"/>
  <c r="GR91" i="1"/>
  <c r="GR85" i="1"/>
  <c r="GR74" i="1"/>
  <c r="GQ87" i="1"/>
  <c r="GQ76" i="1"/>
  <c r="GP89" i="1"/>
  <c r="GP78" i="1"/>
  <c r="GO80" i="1"/>
  <c r="GO75" i="1"/>
  <c r="GN82" i="1"/>
  <c r="GN77" i="1"/>
  <c r="GM84" i="1"/>
  <c r="GM79" i="1"/>
  <c r="GL86" i="1"/>
  <c r="GL81" i="1"/>
  <c r="BG88" i="1"/>
  <c r="BF88" i="1" s="1"/>
  <c r="DB88" i="1"/>
  <c r="CZ88" i="1" s="1"/>
  <c r="DC88" i="1"/>
  <c r="DA88" i="1" s="1"/>
  <c r="DO88" i="1"/>
  <c r="BG84" i="1"/>
  <c r="DB84" i="1"/>
  <c r="CZ84" i="1" s="1"/>
  <c r="DC84" i="1"/>
  <c r="DA84" i="1" s="1"/>
  <c r="DO84" i="1"/>
  <c r="BG80" i="1"/>
  <c r="DB80" i="1"/>
  <c r="CZ80" i="1" s="1"/>
  <c r="DC80" i="1"/>
  <c r="DA80" i="1" s="1"/>
  <c r="DO80" i="1"/>
  <c r="BG76" i="1"/>
  <c r="BF76" i="1" s="1"/>
  <c r="DB76" i="1"/>
  <c r="CZ76" i="1" s="1"/>
  <c r="DC76" i="1"/>
  <c r="DA76" i="1" s="1"/>
  <c r="DO76" i="1"/>
  <c r="DN91" i="1"/>
  <c r="DN86" i="1"/>
  <c r="DN82" i="1"/>
  <c r="DN78" i="1"/>
  <c r="DN74" i="1"/>
  <c r="DM88" i="1"/>
  <c r="DM84" i="1"/>
  <c r="DM80" i="1"/>
  <c r="DM76" i="1"/>
  <c r="DL91" i="1"/>
  <c r="DL86" i="1"/>
  <c r="DL82" i="1"/>
  <c r="DL78" i="1"/>
  <c r="DL74" i="1"/>
  <c r="DK88" i="1"/>
  <c r="DK84" i="1"/>
  <c r="DK80" i="1"/>
  <c r="DK76" i="1"/>
  <c r="DJ91" i="1"/>
  <c r="DJ86" i="1"/>
  <c r="DJ82" i="1"/>
  <c r="DJ78" i="1"/>
  <c r="DJ74" i="1"/>
  <c r="DI88" i="1"/>
  <c r="DI84" i="1"/>
  <c r="DI80" i="1"/>
  <c r="DI76" i="1"/>
  <c r="DH91" i="1"/>
  <c r="DH86" i="1"/>
  <c r="DH82" i="1"/>
  <c r="DH78" i="1"/>
  <c r="DH74" i="1"/>
  <c r="DG88" i="1"/>
  <c r="DG84" i="1"/>
  <c r="DG80" i="1"/>
  <c r="DG76" i="1"/>
  <c r="D91" i="1"/>
  <c r="BH91" i="1"/>
  <c r="D86" i="1"/>
  <c r="BH86" i="1"/>
  <c r="D82" i="1"/>
  <c r="BH82" i="1"/>
  <c r="D78" i="1"/>
  <c r="BH78" i="1"/>
  <c r="D74" i="1"/>
  <c r="BH74" i="1"/>
  <c r="GT91" i="1"/>
  <c r="GT85" i="1"/>
  <c r="GT80" i="1"/>
  <c r="GT74" i="1"/>
  <c r="GS87" i="1"/>
  <c r="GS82" i="1"/>
  <c r="GS76" i="1"/>
  <c r="GR89" i="1"/>
  <c r="GR84" i="1"/>
  <c r="GR78" i="1"/>
  <c r="GQ86" i="1"/>
  <c r="GQ80" i="1"/>
  <c r="GQ75" i="1"/>
  <c r="GP88" i="1"/>
  <c r="GP82" i="1"/>
  <c r="GP77" i="1"/>
  <c r="GO91" i="1"/>
  <c r="GO84" i="1"/>
  <c r="GO79" i="1"/>
  <c r="GO74" i="1"/>
  <c r="GN86" i="1"/>
  <c r="GN81" i="1"/>
  <c r="GN76" i="1"/>
  <c r="GM88" i="1"/>
  <c r="GM83" i="1"/>
  <c r="GM78" i="1"/>
  <c r="GL91" i="1"/>
  <c r="GL85" i="1"/>
  <c r="GL80" i="1"/>
  <c r="GL74" i="1"/>
  <c r="BG87" i="1"/>
  <c r="BF87" i="1" s="1"/>
  <c r="DB87" i="1"/>
  <c r="CZ87" i="1" s="1"/>
  <c r="DC87" i="1"/>
  <c r="DA87" i="1" s="1"/>
  <c r="DO87" i="1"/>
  <c r="GT87" i="1"/>
  <c r="BG83" i="1"/>
  <c r="DB83" i="1"/>
  <c r="CZ83" i="1" s="1"/>
  <c r="DC83" i="1"/>
  <c r="DA83" i="1" s="1"/>
  <c r="DO83" i="1"/>
  <c r="GT83" i="1"/>
  <c r="BG79" i="1"/>
  <c r="BF79" i="1" s="1"/>
  <c r="DB79" i="1"/>
  <c r="CZ79" i="1" s="1"/>
  <c r="DC79" i="1"/>
  <c r="DA79" i="1" s="1"/>
  <c r="DO79" i="1"/>
  <c r="GT79" i="1"/>
  <c r="BG75" i="1"/>
  <c r="DB75" i="1"/>
  <c r="CZ75" i="1" s="1"/>
  <c r="DC75" i="1"/>
  <c r="DA75" i="1" s="1"/>
  <c r="DO75" i="1"/>
  <c r="GT75" i="1"/>
  <c r="DN89" i="1"/>
  <c r="GS89" i="1"/>
  <c r="DN85" i="1"/>
  <c r="GS85" i="1"/>
  <c r="DN81" i="1"/>
  <c r="GS81" i="1"/>
  <c r="DN77" i="1"/>
  <c r="GS77" i="1"/>
  <c r="DM87" i="1"/>
  <c r="GR87" i="1"/>
  <c r="DM83" i="1"/>
  <c r="GR83" i="1"/>
  <c r="DM79" i="1"/>
  <c r="GR79" i="1"/>
  <c r="DM75" i="1"/>
  <c r="GR75" i="1"/>
  <c r="DL89" i="1"/>
  <c r="GQ89" i="1"/>
  <c r="DL85" i="1"/>
  <c r="GQ85" i="1"/>
  <c r="DL81" i="1"/>
  <c r="GQ81" i="1"/>
  <c r="DL77" i="1"/>
  <c r="GQ77" i="1"/>
  <c r="DK87" i="1"/>
  <c r="GP87" i="1"/>
  <c r="DK83" i="1"/>
  <c r="GP83" i="1"/>
  <c r="DK79" i="1"/>
  <c r="GP79" i="1"/>
  <c r="DK75" i="1"/>
  <c r="GP75" i="1"/>
  <c r="DJ89" i="1"/>
  <c r="GO89" i="1"/>
  <c r="DJ85" i="1"/>
  <c r="GO85" i="1"/>
  <c r="DJ81" i="1"/>
  <c r="GO81" i="1"/>
  <c r="DJ77" i="1"/>
  <c r="GO77" i="1"/>
  <c r="DI87" i="1"/>
  <c r="GN87" i="1"/>
  <c r="DI83" i="1"/>
  <c r="GN83" i="1"/>
  <c r="DI79" i="1"/>
  <c r="GN79" i="1"/>
  <c r="DI75" i="1"/>
  <c r="GN75" i="1"/>
  <c r="DH89" i="1"/>
  <c r="GM89" i="1"/>
  <c r="DH85" i="1"/>
  <c r="GM85" i="1"/>
  <c r="DH81" i="1"/>
  <c r="GM81" i="1"/>
  <c r="DH77" i="1"/>
  <c r="GM77" i="1"/>
  <c r="DG87" i="1"/>
  <c r="GL87" i="1"/>
  <c r="DG83" i="1"/>
  <c r="GL83" i="1"/>
  <c r="DG79" i="1"/>
  <c r="GL79" i="1"/>
  <c r="DG75" i="1"/>
  <c r="GL75" i="1"/>
  <c r="D89" i="1"/>
  <c r="BH89" i="1"/>
  <c r="D85" i="1"/>
  <c r="BH85" i="1"/>
  <c r="D81" i="1"/>
  <c r="BH81" i="1"/>
  <c r="D77" i="1"/>
  <c r="BH77" i="1"/>
  <c r="GT89" i="1"/>
  <c r="GT84" i="1"/>
  <c r="GT78" i="1"/>
  <c r="GS86" i="1"/>
  <c r="GS80" i="1"/>
  <c r="GS75" i="1"/>
  <c r="GR88" i="1"/>
  <c r="GR82" i="1"/>
  <c r="GR77" i="1"/>
  <c r="GQ91" i="1"/>
  <c r="GQ84" i="1"/>
  <c r="GQ79" i="1"/>
  <c r="GQ74" i="1"/>
  <c r="GP86" i="1"/>
  <c r="GP81" i="1"/>
  <c r="GP76" i="1"/>
  <c r="GO88" i="1"/>
  <c r="GO83" i="1"/>
  <c r="GO78" i="1"/>
  <c r="GN91" i="1"/>
  <c r="GN85" i="1"/>
  <c r="GN80" i="1"/>
  <c r="GN74" i="1"/>
  <c r="GM87" i="1"/>
  <c r="GM82" i="1"/>
  <c r="GM76" i="1"/>
  <c r="GL89" i="1"/>
  <c r="GL84" i="1"/>
  <c r="GL78" i="1"/>
  <c r="IT116" i="1"/>
  <c r="GL111" i="1"/>
  <c r="GL107" i="1"/>
  <c r="IV122" i="1"/>
  <c r="IV95" i="1"/>
  <c r="IV93" i="1"/>
  <c r="IV96" i="1"/>
  <c r="BG110" i="1"/>
  <c r="BF110" i="1" s="1"/>
  <c r="DC110" i="1"/>
  <c r="DA110" i="1" s="1"/>
  <c r="DB110" i="1"/>
  <c r="CZ110" i="1" s="1"/>
  <c r="DO110" i="1"/>
  <c r="BG106" i="1"/>
  <c r="BF106" i="1" s="1"/>
  <c r="DC106" i="1"/>
  <c r="DA106" i="1" s="1"/>
  <c r="DB106" i="1"/>
  <c r="CZ106" i="1" s="1"/>
  <c r="DO106" i="1"/>
  <c r="BG102" i="1"/>
  <c r="BF102" i="1" s="1"/>
  <c r="DC102" i="1"/>
  <c r="DA102" i="1" s="1"/>
  <c r="DB102" i="1"/>
  <c r="CZ102" i="1" s="1"/>
  <c r="DO102" i="1"/>
  <c r="DN112" i="1"/>
  <c r="DN108" i="1"/>
  <c r="DN104" i="1"/>
  <c r="DM110" i="1"/>
  <c r="DM106" i="1"/>
  <c r="DM102" i="1"/>
  <c r="DL112" i="1"/>
  <c r="DL108" i="1"/>
  <c r="DL104" i="1"/>
  <c r="DK110" i="1"/>
  <c r="DK106" i="1"/>
  <c r="DK102" i="1"/>
  <c r="DJ112" i="1"/>
  <c r="DJ108" i="1"/>
  <c r="DJ104" i="1"/>
  <c r="DI110" i="1"/>
  <c r="DI106" i="1"/>
  <c r="DI102" i="1"/>
  <c r="DH112" i="1"/>
  <c r="DH108" i="1"/>
  <c r="DH104" i="1"/>
  <c r="DG110" i="1"/>
  <c r="DG106" i="1"/>
  <c r="DG102" i="1"/>
  <c r="D112" i="1"/>
  <c r="BH112" i="1"/>
  <c r="D108" i="1"/>
  <c r="BH108" i="1"/>
  <c r="D104" i="1"/>
  <c r="BH104" i="1"/>
  <c r="GT110" i="1"/>
  <c r="GT106" i="1"/>
  <c r="GT102" i="1"/>
  <c r="GS112" i="1"/>
  <c r="GS108" i="1"/>
  <c r="GS104" i="1"/>
  <c r="GR110" i="1"/>
  <c r="GR106" i="1"/>
  <c r="GR102" i="1"/>
  <c r="GQ112" i="1"/>
  <c r="GQ108" i="1"/>
  <c r="GQ104" i="1"/>
  <c r="GP110" i="1"/>
  <c r="GP106" i="1"/>
  <c r="GP102" i="1"/>
  <c r="GO112" i="1"/>
  <c r="GO108" i="1"/>
  <c r="GO104" i="1"/>
  <c r="GN110" i="1"/>
  <c r="GN106" i="1"/>
  <c r="GN102" i="1"/>
  <c r="GM112" i="1"/>
  <c r="GM108" i="1"/>
  <c r="GM104" i="1"/>
  <c r="GL102" i="1"/>
  <c r="BG109" i="1"/>
  <c r="BF109" i="1" s="1"/>
  <c r="BE109" i="1" s="1"/>
  <c r="DB109" i="1"/>
  <c r="CZ109" i="1" s="1"/>
  <c r="DC109" i="1"/>
  <c r="DA109" i="1" s="1"/>
  <c r="DO109" i="1"/>
  <c r="BG105" i="1"/>
  <c r="BF105" i="1" s="1"/>
  <c r="DB105" i="1"/>
  <c r="CZ105" i="1" s="1"/>
  <c r="DC105" i="1"/>
  <c r="DA105" i="1" s="1"/>
  <c r="DO105" i="1"/>
  <c r="BG101" i="1"/>
  <c r="BF101" i="1" s="1"/>
  <c r="BE101" i="1" s="1"/>
  <c r="BD101" i="1" s="1"/>
  <c r="BC101" i="1" s="1"/>
  <c r="BB101" i="1" s="1"/>
  <c r="BA101" i="1" s="1"/>
  <c r="DB101" i="1"/>
  <c r="CZ101" i="1" s="1"/>
  <c r="DC101" i="1"/>
  <c r="DA101" i="1" s="1"/>
  <c r="DO101" i="1"/>
  <c r="DN111" i="1"/>
  <c r="DN107" i="1"/>
  <c r="DN103" i="1"/>
  <c r="DM109" i="1"/>
  <c r="DM105" i="1"/>
  <c r="DM101" i="1"/>
  <c r="DL111" i="1"/>
  <c r="DL107" i="1"/>
  <c r="DL103" i="1"/>
  <c r="DK109" i="1"/>
  <c r="DK105" i="1"/>
  <c r="DK101" i="1"/>
  <c r="DJ111" i="1"/>
  <c r="DJ107" i="1"/>
  <c r="DJ103" i="1"/>
  <c r="DI109" i="1"/>
  <c r="DI105" i="1"/>
  <c r="DI101" i="1"/>
  <c r="DH111" i="1"/>
  <c r="DH107" i="1"/>
  <c r="DH103" i="1"/>
  <c r="DG109" i="1"/>
  <c r="DG105" i="1"/>
  <c r="DG101" i="1"/>
  <c r="D111" i="1"/>
  <c r="BH111" i="1"/>
  <c r="D107" i="1"/>
  <c r="BH107" i="1"/>
  <c r="D103" i="1"/>
  <c r="BH103" i="1"/>
  <c r="GT109" i="1"/>
  <c r="GT105" i="1"/>
  <c r="GT101" i="1"/>
  <c r="GS111" i="1"/>
  <c r="GS107" i="1"/>
  <c r="GS103" i="1"/>
  <c r="GR109" i="1"/>
  <c r="GR105" i="1"/>
  <c r="GR101" i="1"/>
  <c r="GQ111" i="1"/>
  <c r="GQ107" i="1"/>
  <c r="GQ103" i="1"/>
  <c r="GP109" i="1"/>
  <c r="GP105" i="1"/>
  <c r="GP101" i="1"/>
  <c r="GO111" i="1"/>
  <c r="GO107" i="1"/>
  <c r="GO103" i="1"/>
  <c r="GN109" i="1"/>
  <c r="GN105" i="1"/>
  <c r="GN101" i="1"/>
  <c r="GM111" i="1"/>
  <c r="GM107" i="1"/>
  <c r="GM103" i="1"/>
  <c r="GL106" i="1"/>
  <c r="GL101" i="1"/>
  <c r="BG112" i="1"/>
  <c r="BF112" i="1" s="1"/>
  <c r="DB112" i="1"/>
  <c r="CZ112" i="1" s="1"/>
  <c r="DC112" i="1"/>
  <c r="DA112" i="1" s="1"/>
  <c r="DO112" i="1"/>
  <c r="BG108" i="1"/>
  <c r="DB108" i="1"/>
  <c r="CZ108" i="1" s="1"/>
  <c r="DC108" i="1"/>
  <c r="DA108" i="1" s="1"/>
  <c r="DO108" i="1"/>
  <c r="BG104" i="1"/>
  <c r="DB104" i="1"/>
  <c r="CZ104" i="1" s="1"/>
  <c r="DC104" i="1"/>
  <c r="DA104" i="1" s="1"/>
  <c r="DO104" i="1"/>
  <c r="DN110" i="1"/>
  <c r="DN106" i="1"/>
  <c r="DN102" i="1"/>
  <c r="DM112" i="1"/>
  <c r="DM108" i="1"/>
  <c r="DM104" i="1"/>
  <c r="DL110" i="1"/>
  <c r="DL106" i="1"/>
  <c r="DL102" i="1"/>
  <c r="DK112" i="1"/>
  <c r="DK108" i="1"/>
  <c r="DK104" i="1"/>
  <c r="DJ110" i="1"/>
  <c r="DJ106" i="1"/>
  <c r="DJ102" i="1"/>
  <c r="DI112" i="1"/>
  <c r="DI108" i="1"/>
  <c r="DI104" i="1"/>
  <c r="DH110" i="1"/>
  <c r="DH106" i="1"/>
  <c r="DH102" i="1"/>
  <c r="DG112" i="1"/>
  <c r="GL112" i="1"/>
  <c r="DG108" i="1"/>
  <c r="GL108" i="1"/>
  <c r="DG104" i="1"/>
  <c r="GL104" i="1"/>
  <c r="D110" i="1"/>
  <c r="BH110" i="1"/>
  <c r="D106" i="1"/>
  <c r="BH106" i="1"/>
  <c r="D102" i="1"/>
  <c r="BH102" i="1"/>
  <c r="GT112" i="1"/>
  <c r="GT108" i="1"/>
  <c r="GT104" i="1"/>
  <c r="GS110" i="1"/>
  <c r="GS106" i="1"/>
  <c r="GS102" i="1"/>
  <c r="GR112" i="1"/>
  <c r="GR108" i="1"/>
  <c r="GR104" i="1"/>
  <c r="GQ110" i="1"/>
  <c r="GQ106" i="1"/>
  <c r="GQ102" i="1"/>
  <c r="GP112" i="1"/>
  <c r="GP108" i="1"/>
  <c r="GP104" i="1"/>
  <c r="GO110" i="1"/>
  <c r="GO106" i="1"/>
  <c r="GO102" i="1"/>
  <c r="GN112" i="1"/>
  <c r="GN108" i="1"/>
  <c r="GN104" i="1"/>
  <c r="GM110" i="1"/>
  <c r="GM106" i="1"/>
  <c r="GM102" i="1"/>
  <c r="GL110" i="1"/>
  <c r="GL105" i="1"/>
  <c r="BG111" i="1"/>
  <c r="DC111" i="1"/>
  <c r="DA111" i="1" s="1"/>
  <c r="DB111" i="1"/>
  <c r="CZ111" i="1" s="1"/>
  <c r="DO111" i="1"/>
  <c r="BG107" i="1"/>
  <c r="BF107" i="1" s="1"/>
  <c r="DC107" i="1"/>
  <c r="DA107" i="1" s="1"/>
  <c r="DB107" i="1"/>
  <c r="CZ107" i="1" s="1"/>
  <c r="DO107" i="1"/>
  <c r="BG103" i="1"/>
  <c r="DC103" i="1"/>
  <c r="DA103" i="1" s="1"/>
  <c r="DB103" i="1"/>
  <c r="CZ103" i="1" s="1"/>
  <c r="DO103" i="1"/>
  <c r="DN109" i="1"/>
  <c r="DN105" i="1"/>
  <c r="DN101" i="1"/>
  <c r="DM111" i="1"/>
  <c r="DM107" i="1"/>
  <c r="DM103" i="1"/>
  <c r="DL109" i="1"/>
  <c r="DL105" i="1"/>
  <c r="DL101" i="1"/>
  <c r="DK111" i="1"/>
  <c r="DK107" i="1"/>
  <c r="DK103" i="1"/>
  <c r="DJ109" i="1"/>
  <c r="DJ105" i="1"/>
  <c r="DJ101" i="1"/>
  <c r="DI111" i="1"/>
  <c r="DI107" i="1"/>
  <c r="DI103" i="1"/>
  <c r="DH109" i="1"/>
  <c r="DH105" i="1"/>
  <c r="DH101" i="1"/>
  <c r="DG111" i="1"/>
  <c r="DG107" i="1"/>
  <c r="DG103" i="1"/>
  <c r="D109" i="1"/>
  <c r="BH109" i="1"/>
  <c r="D105" i="1"/>
  <c r="BH105" i="1"/>
  <c r="D101" i="1"/>
  <c r="BH101" i="1"/>
  <c r="GT111" i="1"/>
  <c r="GT107" i="1"/>
  <c r="GT103" i="1"/>
  <c r="GS109" i="1"/>
  <c r="GS105" i="1"/>
  <c r="GS101" i="1"/>
  <c r="GR111" i="1"/>
  <c r="GR107" i="1"/>
  <c r="GR103" i="1"/>
  <c r="GQ109" i="1"/>
  <c r="GQ105" i="1"/>
  <c r="GQ101" i="1"/>
  <c r="GP111" i="1"/>
  <c r="GP107" i="1"/>
  <c r="GP103" i="1"/>
  <c r="GO109" i="1"/>
  <c r="GO105" i="1"/>
  <c r="GO101" i="1"/>
  <c r="GN111" i="1"/>
  <c r="GN107" i="1"/>
  <c r="GN103" i="1"/>
  <c r="GM109" i="1"/>
  <c r="GM105" i="1"/>
  <c r="GM101" i="1"/>
  <c r="GL109" i="1"/>
  <c r="GL103" i="1"/>
  <c r="IT117" i="1"/>
  <c r="GR117" i="1"/>
  <c r="GQ117" i="1"/>
  <c r="GN117" i="1"/>
  <c r="GM117" i="1"/>
  <c r="GT116" i="1"/>
  <c r="GQ116" i="1"/>
  <c r="GP116" i="1"/>
  <c r="GM116" i="1"/>
  <c r="GL116" i="1"/>
  <c r="GS115" i="1"/>
  <c r="GP115" i="1"/>
  <c r="GO115" i="1"/>
  <c r="GL115" i="1"/>
  <c r="GS114" i="1"/>
  <c r="GR114" i="1"/>
  <c r="GO114" i="1"/>
  <c r="GN114" i="1"/>
  <c r="BG114" i="1"/>
  <c r="BF114" i="1" s="1"/>
  <c r="BE114" i="1" s="1"/>
  <c r="BD114" i="1" s="1"/>
  <c r="BC114" i="1" s="1"/>
  <c r="BB114" i="1" s="1"/>
  <c r="BA114" i="1" s="1"/>
  <c r="DB114" i="1"/>
  <c r="CZ114" i="1" s="1"/>
  <c r="DC114" i="1"/>
  <c r="DA114" i="1" s="1"/>
  <c r="DO114" i="1"/>
  <c r="DN117" i="1"/>
  <c r="DM116" i="1"/>
  <c r="DL115" i="1"/>
  <c r="DK114" i="1"/>
  <c r="DJ117" i="1"/>
  <c r="DI116" i="1"/>
  <c r="DH115" i="1"/>
  <c r="DG114" i="1"/>
  <c r="D117" i="1"/>
  <c r="BH117" i="1"/>
  <c r="IT96" i="1"/>
  <c r="BG117" i="1"/>
  <c r="BF117" i="1" s="1"/>
  <c r="DB117" i="1"/>
  <c r="CZ117" i="1" s="1"/>
  <c r="DC117" i="1"/>
  <c r="DA117" i="1" s="1"/>
  <c r="DO117" i="1"/>
  <c r="DN116" i="1"/>
  <c r="DM115" i="1"/>
  <c r="DL114" i="1"/>
  <c r="DK117" i="1"/>
  <c r="DJ116" i="1"/>
  <c r="DI115" i="1"/>
  <c r="DH114" i="1"/>
  <c r="DG117" i="1"/>
  <c r="D116" i="1"/>
  <c r="BH116" i="1"/>
  <c r="GT115" i="1"/>
  <c r="BG116" i="1"/>
  <c r="DC116" i="1"/>
  <c r="DA116" i="1" s="1"/>
  <c r="DO116" i="1"/>
  <c r="DB116" i="1"/>
  <c r="CZ116" i="1" s="1"/>
  <c r="DN115" i="1"/>
  <c r="DM114" i="1"/>
  <c r="DL117" i="1"/>
  <c r="DK116" i="1"/>
  <c r="DJ115" i="1"/>
  <c r="DI114" i="1"/>
  <c r="DH117" i="1"/>
  <c r="DG116" i="1"/>
  <c r="D115" i="1"/>
  <c r="BH115" i="1"/>
  <c r="GT114" i="1"/>
  <c r="GS117" i="1"/>
  <c r="GR116" i="1"/>
  <c r="GQ115" i="1"/>
  <c r="GP114" i="1"/>
  <c r="GO117" i="1"/>
  <c r="GN116" i="1"/>
  <c r="GM115" i="1"/>
  <c r="GL114" i="1"/>
  <c r="BG115" i="1"/>
  <c r="DC115" i="1"/>
  <c r="DA115" i="1" s="1"/>
  <c r="DO115" i="1"/>
  <c r="DB115" i="1"/>
  <c r="CZ115" i="1" s="1"/>
  <c r="DN114" i="1"/>
  <c r="DM117" i="1"/>
  <c r="DL116" i="1"/>
  <c r="DK115" i="1"/>
  <c r="DJ114" i="1"/>
  <c r="DI117" i="1"/>
  <c r="DH116" i="1"/>
  <c r="DG115" i="1"/>
  <c r="D114" i="1"/>
  <c r="BH114" i="1"/>
  <c r="GT117" i="1"/>
  <c r="GS116" i="1"/>
  <c r="GR115" i="1"/>
  <c r="GQ114" i="1"/>
  <c r="GP117" i="1"/>
  <c r="GO116" i="1"/>
  <c r="GN115" i="1"/>
  <c r="GM114" i="1"/>
  <c r="GL117" i="1"/>
  <c r="IT95" i="1"/>
  <c r="BG94" i="1"/>
  <c r="DB94" i="1"/>
  <c r="CZ94" i="1" s="1"/>
  <c r="DC94" i="1"/>
  <c r="DA94" i="1" s="1"/>
  <c r="DO94" i="1"/>
  <c r="DN94" i="1"/>
  <c r="DM94" i="1"/>
  <c r="DL94" i="1"/>
  <c r="DK94" i="1"/>
  <c r="DJ94" i="1"/>
  <c r="DI94" i="1"/>
  <c r="DH94" i="1"/>
  <c r="DG94" i="1"/>
  <c r="D94" i="1"/>
  <c r="BH94" i="1"/>
  <c r="GT94" i="1"/>
  <c r="GS94" i="1"/>
  <c r="GR94" i="1"/>
  <c r="GQ94" i="1"/>
  <c r="GP94" i="1"/>
  <c r="GO94" i="1"/>
  <c r="GN94" i="1"/>
  <c r="GM94" i="1"/>
  <c r="GL94" i="1"/>
  <c r="BG93" i="1"/>
  <c r="BF93" i="1" s="1"/>
  <c r="BE93" i="1" s="1"/>
  <c r="BD93" i="1" s="1"/>
  <c r="BC93" i="1" s="1"/>
  <c r="BB93" i="1" s="1"/>
  <c r="BA93" i="1" s="1"/>
  <c r="DC93" i="1"/>
  <c r="DA93" i="1" s="1"/>
  <c r="DO93" i="1"/>
  <c r="DB93" i="1"/>
  <c r="CZ93" i="1" s="1"/>
  <c r="DN93" i="1"/>
  <c r="DM93" i="1"/>
  <c r="DL93" i="1"/>
  <c r="DK93" i="1"/>
  <c r="DJ93" i="1"/>
  <c r="DI93" i="1"/>
  <c r="DH93" i="1"/>
  <c r="DG93" i="1"/>
  <c r="D93" i="1"/>
  <c r="BH93" i="1"/>
  <c r="GT93" i="1"/>
  <c r="GS93" i="1"/>
  <c r="GR93" i="1"/>
  <c r="GQ93" i="1"/>
  <c r="GP93" i="1"/>
  <c r="GO93" i="1"/>
  <c r="GN93" i="1"/>
  <c r="GM93" i="1"/>
  <c r="GL93" i="1"/>
  <c r="BG96" i="1"/>
  <c r="BF96" i="1" s="1"/>
  <c r="BE96" i="1" s="1"/>
  <c r="BD96" i="1" s="1"/>
  <c r="DB96" i="1"/>
  <c r="CZ96" i="1" s="1"/>
  <c r="DC96" i="1"/>
  <c r="DA96" i="1" s="1"/>
  <c r="DO96" i="1"/>
  <c r="DN96" i="1"/>
  <c r="DM96" i="1"/>
  <c r="DL96" i="1"/>
  <c r="DK96" i="1"/>
  <c r="DJ96" i="1"/>
  <c r="DI96" i="1"/>
  <c r="DH96" i="1"/>
  <c r="DG96" i="1"/>
  <c r="D96" i="1"/>
  <c r="BH96" i="1"/>
  <c r="GT96" i="1"/>
  <c r="GS96" i="1"/>
  <c r="GR96" i="1"/>
  <c r="GQ96" i="1"/>
  <c r="GP96" i="1"/>
  <c r="GO96" i="1"/>
  <c r="GN96" i="1"/>
  <c r="GM96" i="1"/>
  <c r="GL96" i="1"/>
  <c r="BG95" i="1"/>
  <c r="DC95" i="1"/>
  <c r="DA95" i="1" s="1"/>
  <c r="DO95" i="1"/>
  <c r="DB95" i="1"/>
  <c r="CZ95" i="1" s="1"/>
  <c r="DN95" i="1"/>
  <c r="DM95" i="1"/>
  <c r="DL95" i="1"/>
  <c r="DK95" i="1"/>
  <c r="DJ95" i="1"/>
  <c r="DI95" i="1"/>
  <c r="DH95" i="1"/>
  <c r="DG95" i="1"/>
  <c r="D95" i="1"/>
  <c r="BH95" i="1"/>
  <c r="GT95" i="1"/>
  <c r="GS95" i="1"/>
  <c r="GR95" i="1"/>
  <c r="GQ95" i="1"/>
  <c r="GP95" i="1"/>
  <c r="GO95" i="1"/>
  <c r="GN95" i="1"/>
  <c r="GM95" i="1"/>
  <c r="GL95" i="1"/>
  <c r="IT120" i="1"/>
  <c r="IT121" i="1"/>
  <c r="GQ121" i="1"/>
  <c r="DL121" i="1"/>
  <c r="GM121" i="1"/>
  <c r="DH121" i="1"/>
  <c r="BG121" i="1"/>
  <c r="BF121" i="1" s="1"/>
  <c r="BE121" i="1" s="1"/>
  <c r="BD121" i="1" s="1"/>
  <c r="BC121" i="1" s="1"/>
  <c r="BB121" i="1" s="1"/>
  <c r="BA121" i="1" s="1"/>
  <c r="DC121" i="1"/>
  <c r="DA121" i="1" s="1"/>
  <c r="DO121" i="1"/>
  <c r="DB121" i="1"/>
  <c r="CZ121" i="1" s="1"/>
  <c r="GT121" i="1"/>
  <c r="DK121" i="1"/>
  <c r="GP121" i="1"/>
  <c r="DG121" i="1"/>
  <c r="GL121" i="1"/>
  <c r="GS121" i="1"/>
  <c r="DN121" i="1"/>
  <c r="GO121" i="1"/>
  <c r="DJ121" i="1"/>
  <c r="C121" i="1"/>
  <c r="GK121" i="1"/>
  <c r="DF121" i="1"/>
  <c r="GR121" i="1"/>
  <c r="DM121" i="1"/>
  <c r="GN121" i="1"/>
  <c r="DI121" i="1"/>
  <c r="GQ120" i="1"/>
  <c r="D121" i="1"/>
  <c r="GS120" i="1"/>
  <c r="GN119" i="1"/>
  <c r="IV121" i="1"/>
  <c r="IV120" i="1"/>
  <c r="IT119" i="1"/>
  <c r="IV119" i="1"/>
  <c r="IT122" i="1"/>
  <c r="DK122" i="1"/>
  <c r="DN119" i="1"/>
  <c r="GL119" i="1"/>
  <c r="DG119" i="1"/>
  <c r="GQ122" i="1"/>
  <c r="DL122" i="1"/>
  <c r="GM122" i="1"/>
  <c r="DH122" i="1"/>
  <c r="GO122" i="1"/>
  <c r="DI120" i="1"/>
  <c r="DO119" i="1"/>
  <c r="DC119" i="1"/>
  <c r="DA119" i="1" s="1"/>
  <c r="DM122" i="1"/>
  <c r="DL120" i="1"/>
  <c r="DK119" i="1"/>
  <c r="DI122" i="1"/>
  <c r="DH120" i="1"/>
  <c r="GT122" i="1"/>
  <c r="GR122" i="1"/>
  <c r="GQ119" i="1"/>
  <c r="GO120" i="1"/>
  <c r="GM120" i="1"/>
  <c r="DB120" i="1"/>
  <c r="CZ120" i="1" s="1"/>
  <c r="BG120" i="1"/>
  <c r="BF120" i="1" s="1"/>
  <c r="GT120" i="1"/>
  <c r="DC120" i="1"/>
  <c r="DA120" i="1" s="1"/>
  <c r="DO120" i="1"/>
  <c r="DK120" i="1"/>
  <c r="GP120" i="1"/>
  <c r="DG120" i="1"/>
  <c r="GL120" i="1"/>
  <c r="IV139" i="1"/>
  <c r="IT140" i="1"/>
  <c r="DN122" i="1"/>
  <c r="DJ122" i="1"/>
  <c r="D122" i="1"/>
  <c r="GT119" i="1"/>
  <c r="GR120" i="1"/>
  <c r="GP122" i="1"/>
  <c r="GN122" i="1"/>
  <c r="GM119" i="1"/>
  <c r="DB119" i="1"/>
  <c r="CZ119" i="1" s="1"/>
  <c r="DN120" i="1"/>
  <c r="BG119" i="1"/>
  <c r="BF119" i="1" s="1"/>
  <c r="BE119" i="1" s="1"/>
  <c r="BD119" i="1" s="1"/>
  <c r="BC119" i="1" s="1"/>
  <c r="BB119" i="1" s="1"/>
  <c r="BA119" i="1" s="1"/>
  <c r="GS119" i="1"/>
  <c r="DJ119" i="1"/>
  <c r="GO119" i="1"/>
  <c r="C119" i="1"/>
  <c r="DF119" i="1"/>
  <c r="GK119" i="1"/>
  <c r="IT138" i="1"/>
  <c r="DB122" i="1"/>
  <c r="CZ122" i="1" s="1"/>
  <c r="BG122" i="1"/>
  <c r="DC122" i="1"/>
  <c r="DA122" i="1" s="1"/>
  <c r="DO122" i="1"/>
  <c r="DM119" i="1"/>
  <c r="DJ120" i="1"/>
  <c r="DG122" i="1"/>
  <c r="D120" i="1"/>
  <c r="BH120" i="1"/>
  <c r="GS122" i="1"/>
  <c r="GR119" i="1"/>
  <c r="GP119" i="1"/>
  <c r="GN120" i="1"/>
  <c r="GL122" i="1"/>
  <c r="DI119" i="1"/>
  <c r="DL119" i="1"/>
  <c r="D119" i="1"/>
  <c r="BH122" i="1"/>
  <c r="DM120" i="1"/>
  <c r="DH119" i="1"/>
  <c r="IV137" i="1"/>
  <c r="IS139" i="1"/>
  <c r="IS137" i="1"/>
  <c r="IV140" i="1"/>
  <c r="GQ140" i="1"/>
  <c r="DL140" i="1"/>
  <c r="GM140" i="1"/>
  <c r="DH140" i="1"/>
  <c r="BG140" i="1"/>
  <c r="BF140" i="1" s="1"/>
  <c r="BE140" i="1" s="1"/>
  <c r="BD140" i="1" s="1"/>
  <c r="BC140" i="1" s="1"/>
  <c r="BB140" i="1" s="1"/>
  <c r="BA140" i="1" s="1"/>
  <c r="AZ140" i="1" s="1"/>
  <c r="DC140" i="1"/>
  <c r="DA140" i="1" s="1"/>
  <c r="DO140" i="1"/>
  <c r="DB140" i="1"/>
  <c r="CZ140" i="1" s="1"/>
  <c r="GT140" i="1"/>
  <c r="DK140" i="1"/>
  <c r="GP140" i="1"/>
  <c r="DG140" i="1"/>
  <c r="GL140" i="1"/>
  <c r="GS140" i="1"/>
  <c r="DN140" i="1"/>
  <c r="GO140" i="1"/>
  <c r="DJ140" i="1"/>
  <c r="C140" i="1"/>
  <c r="GK140" i="1"/>
  <c r="DF140" i="1"/>
  <c r="GR140" i="1"/>
  <c r="DM140" i="1"/>
  <c r="GN140" i="1"/>
  <c r="DI140" i="1"/>
  <c r="DO138" i="1"/>
  <c r="DK138" i="1"/>
  <c r="DH139" i="1"/>
  <c r="D140" i="1"/>
  <c r="DO139" i="1"/>
  <c r="DN138" i="1"/>
  <c r="DK139" i="1"/>
  <c r="W138" i="1"/>
  <c r="GL138" i="1"/>
  <c r="GP138" i="1"/>
  <c r="GT138" i="1"/>
  <c r="GO138" i="1"/>
  <c r="GS138" i="1"/>
  <c r="IV138" i="1"/>
  <c r="DN137" i="1"/>
  <c r="W137" i="1"/>
  <c r="GO137" i="1"/>
  <c r="GS137" i="1"/>
  <c r="GN137" i="1"/>
  <c r="GR137" i="1"/>
  <c r="DI137" i="1"/>
  <c r="BG137" i="1"/>
  <c r="BF137" i="1" s="1"/>
  <c r="BE137" i="1" s="1"/>
  <c r="BD137" i="1" s="1"/>
  <c r="BC137" i="1" s="1"/>
  <c r="BB137" i="1" s="1"/>
  <c r="BA137" i="1" s="1"/>
  <c r="AZ137" i="1" s="1"/>
  <c r="DC137" i="1"/>
  <c r="DA137" i="1" s="1"/>
  <c r="DO137" i="1"/>
  <c r="DB137" i="1"/>
  <c r="CZ137" i="1" s="1"/>
  <c r="DM139" i="1"/>
  <c r="DL138" i="1"/>
  <c r="DK137" i="1"/>
  <c r="DI139" i="1"/>
  <c r="DH138" i="1"/>
  <c r="DG137" i="1"/>
  <c r="GT139" i="1"/>
  <c r="GP139" i="1"/>
  <c r="GL139" i="1"/>
  <c r="DM138" i="1"/>
  <c r="DL137" i="1"/>
  <c r="DJ139" i="1"/>
  <c r="DI138" i="1"/>
  <c r="DH137" i="1"/>
  <c r="D139" i="1"/>
  <c r="BH139" i="1"/>
  <c r="GQ139" i="1"/>
  <c r="GM139" i="1"/>
  <c r="BG139" i="1"/>
  <c r="BF139" i="1" s="1"/>
  <c r="DB139" i="1"/>
  <c r="CZ139" i="1" s="1"/>
  <c r="BH138" i="1"/>
  <c r="D138" i="1"/>
  <c r="GT137" i="1"/>
  <c r="GR139" i="1"/>
  <c r="GQ138" i="1"/>
  <c r="GP137" i="1"/>
  <c r="GN139" i="1"/>
  <c r="GM138" i="1"/>
  <c r="GL137" i="1"/>
  <c r="DM137" i="1"/>
  <c r="DJ138" i="1"/>
  <c r="DG139" i="1"/>
  <c r="DC139" i="1"/>
  <c r="DA139" i="1" s="1"/>
  <c r="BG138" i="1"/>
  <c r="DC138" i="1"/>
  <c r="DA138" i="1" s="1"/>
  <c r="D137" i="1"/>
  <c r="BH137" i="1"/>
  <c r="GS139" i="1"/>
  <c r="GR138" i="1"/>
  <c r="GQ137" i="1"/>
  <c r="GO139" i="1"/>
  <c r="GN138" i="1"/>
  <c r="GM137" i="1"/>
  <c r="DN139" i="1"/>
  <c r="DL139" i="1"/>
  <c r="DJ137" i="1"/>
  <c r="DG138" i="1"/>
  <c r="DB138" i="1"/>
  <c r="CZ138" i="1" s="1"/>
  <c r="A4" i="16"/>
  <c r="B4" i="16" s="1"/>
  <c r="O85" i="12"/>
  <c r="C76" i="12"/>
  <c r="E21" i="16"/>
  <c r="E17" i="16"/>
  <c r="D60" i="16"/>
  <c r="E30" i="16"/>
  <c r="D21" i="16"/>
  <c r="D17" i="16"/>
  <c r="E48" i="16"/>
  <c r="D8" i="16"/>
  <c r="E8" i="16"/>
  <c r="E14" i="16"/>
  <c r="E66" i="16"/>
  <c r="E69" i="16"/>
  <c r="D57" i="16"/>
  <c r="E42" i="16"/>
  <c r="D24" i="16"/>
  <c r="D33" i="16"/>
  <c r="E54" i="16"/>
  <c r="D36" i="16"/>
  <c r="E18" i="16"/>
  <c r="E33" i="16"/>
  <c r="D69" i="16"/>
  <c r="E57" i="16"/>
  <c r="D72" i="16"/>
  <c r="E72" i="16"/>
  <c r="E78" i="16"/>
  <c r="D48" i="16"/>
  <c r="D42" i="16"/>
  <c r="E24" i="16"/>
  <c r="E60" i="16"/>
  <c r="E36" i="16"/>
  <c r="CX148" i="1" l="1"/>
  <c r="CV148" i="1" s="1"/>
  <c r="CY148" i="1"/>
  <c r="CW148" i="1" s="1"/>
  <c r="DF148" i="1"/>
  <c r="GK148" i="1"/>
  <c r="C148" i="1"/>
  <c r="BF149" i="1"/>
  <c r="DF149" i="1"/>
  <c r="GK149" i="1"/>
  <c r="C149" i="1"/>
  <c r="CU126" i="1"/>
  <c r="CS126" i="1" s="1"/>
  <c r="CT126" i="1"/>
  <c r="CR126" i="1" s="1"/>
  <c r="BE127" i="1"/>
  <c r="CD124" i="1"/>
  <c r="CB124" i="1" s="1"/>
  <c r="CE124" i="1"/>
  <c r="CC124" i="1" s="1"/>
  <c r="CP125" i="1"/>
  <c r="CN125" i="1" s="1"/>
  <c r="CQ125" i="1"/>
  <c r="CO125" i="1" s="1"/>
  <c r="CX127" i="1"/>
  <c r="CV127" i="1" s="1"/>
  <c r="CY127" i="1"/>
  <c r="CW127" i="1" s="1"/>
  <c r="C126" i="1"/>
  <c r="DF126" i="1"/>
  <c r="GK126" i="1"/>
  <c r="CH124" i="1"/>
  <c r="CF124" i="1" s="1"/>
  <c r="CI124" i="1"/>
  <c r="CG124" i="1" s="1"/>
  <c r="C127" i="1"/>
  <c r="DF127" i="1"/>
  <c r="GK127" i="1"/>
  <c r="C128" i="1"/>
  <c r="DF128" i="1"/>
  <c r="GK128" i="1"/>
  <c r="BD126" i="1"/>
  <c r="C125" i="1"/>
  <c r="DF125" i="1"/>
  <c r="GK125" i="1"/>
  <c r="CL124" i="1"/>
  <c r="CJ124" i="1" s="1"/>
  <c r="CM124" i="1"/>
  <c r="CK124" i="1" s="1"/>
  <c r="CX125" i="1"/>
  <c r="CV125" i="1" s="1"/>
  <c r="CY125" i="1"/>
  <c r="CW125" i="1" s="1"/>
  <c r="CP124" i="1"/>
  <c r="CN124" i="1" s="1"/>
  <c r="CQ124" i="1"/>
  <c r="CO124" i="1" s="1"/>
  <c r="BF128" i="1"/>
  <c r="CU124" i="1"/>
  <c r="CS124" i="1" s="1"/>
  <c r="CT124" i="1"/>
  <c r="CR124" i="1" s="1"/>
  <c r="CY124" i="1"/>
  <c r="CW124" i="1" s="1"/>
  <c r="CX124" i="1"/>
  <c r="CV124" i="1" s="1"/>
  <c r="C124" i="1"/>
  <c r="DF124" i="1"/>
  <c r="GK124" i="1"/>
  <c r="BA125" i="1"/>
  <c r="CY126" i="1"/>
  <c r="CW126" i="1" s="1"/>
  <c r="CX126" i="1"/>
  <c r="CV126" i="1" s="1"/>
  <c r="CT125" i="1"/>
  <c r="CR125" i="1" s="1"/>
  <c r="CU125" i="1"/>
  <c r="CS125" i="1" s="1"/>
  <c r="CL29" i="1"/>
  <c r="CJ29" i="1" s="1"/>
  <c r="CM29" i="1"/>
  <c r="CK29" i="1" s="1"/>
  <c r="BC30" i="1"/>
  <c r="CP30" i="1"/>
  <c r="CN30" i="1" s="1"/>
  <c r="CQ30" i="1"/>
  <c r="CO30" i="1" s="1"/>
  <c r="BD31" i="1"/>
  <c r="CT28" i="1"/>
  <c r="CR28" i="1" s="1"/>
  <c r="CU28" i="1"/>
  <c r="CS28" i="1" s="1"/>
  <c r="BE29" i="1"/>
  <c r="CT29" i="1"/>
  <c r="CR29" i="1" s="1"/>
  <c r="CU29" i="1"/>
  <c r="CS29" i="1" s="1"/>
  <c r="CX30" i="1"/>
  <c r="CV30" i="1" s="1"/>
  <c r="CY30" i="1"/>
  <c r="CW30" i="1" s="1"/>
  <c r="C29" i="1"/>
  <c r="DF29" i="1"/>
  <c r="GK29" i="1"/>
  <c r="BF32" i="1"/>
  <c r="CX31" i="1"/>
  <c r="CV31" i="1" s="1"/>
  <c r="CY31" i="1"/>
  <c r="CW31" i="1" s="1"/>
  <c r="C30" i="1"/>
  <c r="DF30" i="1"/>
  <c r="GK30" i="1"/>
  <c r="C31" i="1"/>
  <c r="DF31" i="1"/>
  <c r="GK31" i="1"/>
  <c r="CP29" i="1"/>
  <c r="CN29" i="1" s="1"/>
  <c r="CQ29" i="1"/>
  <c r="CO29" i="1" s="1"/>
  <c r="CX29" i="1"/>
  <c r="CV29" i="1" s="1"/>
  <c r="CY29" i="1"/>
  <c r="CW29" i="1" s="1"/>
  <c r="CT30" i="1"/>
  <c r="CR30" i="1" s="1"/>
  <c r="CU30" i="1"/>
  <c r="CS30" i="1" s="1"/>
  <c r="C28" i="1"/>
  <c r="DF28" i="1"/>
  <c r="GK28" i="1"/>
  <c r="CX28" i="1"/>
  <c r="CV28" i="1" s="1"/>
  <c r="CY28" i="1"/>
  <c r="CW28" i="1" s="1"/>
  <c r="BF25" i="1"/>
  <c r="CY24" i="1"/>
  <c r="CW24" i="1" s="1"/>
  <c r="CX24" i="1"/>
  <c r="CV24" i="1" s="1"/>
  <c r="BZ22" i="1"/>
  <c r="BX22" i="1" s="1"/>
  <c r="CA22" i="1"/>
  <c r="BY22" i="1" s="1"/>
  <c r="CT36" i="1"/>
  <c r="CR36" i="1" s="1"/>
  <c r="CU36" i="1"/>
  <c r="CS36" i="1" s="1"/>
  <c r="BE37" i="1"/>
  <c r="CT52" i="1"/>
  <c r="CR52" i="1" s="1"/>
  <c r="CU52" i="1"/>
  <c r="CS52" i="1" s="1"/>
  <c r="BE53" i="1"/>
  <c r="BZ42" i="1"/>
  <c r="BX42" i="1" s="1"/>
  <c r="CA42" i="1"/>
  <c r="BY42" i="1" s="1"/>
  <c r="CD34" i="1"/>
  <c r="CB34" i="1" s="1"/>
  <c r="CE34" i="1"/>
  <c r="CC34" i="1" s="1"/>
  <c r="BA35" i="1"/>
  <c r="CP44" i="1"/>
  <c r="CN44" i="1" s="1"/>
  <c r="CQ44" i="1"/>
  <c r="CO44" i="1" s="1"/>
  <c r="BD45" i="1"/>
  <c r="CD50" i="1"/>
  <c r="CB50" i="1" s="1"/>
  <c r="CE50" i="1"/>
  <c r="CC50" i="1" s="1"/>
  <c r="CH22" i="1"/>
  <c r="CF22" i="1" s="1"/>
  <c r="CI22" i="1"/>
  <c r="CG22" i="1" s="1"/>
  <c r="CH42" i="1"/>
  <c r="CF42" i="1" s="1"/>
  <c r="CI42" i="1"/>
  <c r="CG42" i="1" s="1"/>
  <c r="C25" i="1"/>
  <c r="DF25" i="1"/>
  <c r="GK25" i="1"/>
  <c r="C37" i="1"/>
  <c r="DF37" i="1"/>
  <c r="GK37" i="1"/>
  <c r="C45" i="1"/>
  <c r="DF45" i="1"/>
  <c r="GK45" i="1"/>
  <c r="C53" i="1"/>
  <c r="DF53" i="1"/>
  <c r="GK53" i="1"/>
  <c r="CX44" i="1"/>
  <c r="CV44" i="1" s="1"/>
  <c r="CY44" i="1"/>
  <c r="CW44" i="1" s="1"/>
  <c r="C22" i="1"/>
  <c r="DF22" i="1"/>
  <c r="GK22" i="1"/>
  <c r="C34" i="1"/>
  <c r="DF34" i="1"/>
  <c r="GK34" i="1"/>
  <c r="C42" i="1"/>
  <c r="DF42" i="1"/>
  <c r="GK42" i="1"/>
  <c r="C50" i="1"/>
  <c r="DF50" i="1"/>
  <c r="GK50" i="1"/>
  <c r="C36" i="1"/>
  <c r="DF36" i="1"/>
  <c r="GK36" i="1"/>
  <c r="C44" i="1"/>
  <c r="DF44" i="1"/>
  <c r="GK44" i="1"/>
  <c r="C52" i="1"/>
  <c r="DF52" i="1"/>
  <c r="GK52" i="1"/>
  <c r="C23" i="1"/>
  <c r="DF23" i="1"/>
  <c r="GK23" i="1"/>
  <c r="C35" i="1"/>
  <c r="DF35" i="1"/>
  <c r="GK35" i="1"/>
  <c r="C43" i="1"/>
  <c r="DF43" i="1"/>
  <c r="GK43" i="1"/>
  <c r="C51" i="1"/>
  <c r="DF51" i="1"/>
  <c r="GK51" i="1"/>
  <c r="CD26" i="1"/>
  <c r="CB26" i="1" s="1"/>
  <c r="CE26" i="1"/>
  <c r="CC26" i="1" s="1"/>
  <c r="CD46" i="1"/>
  <c r="CB46" i="1" s="1"/>
  <c r="CE46" i="1"/>
  <c r="CC46" i="1" s="1"/>
  <c r="CH38" i="1"/>
  <c r="CF38" i="1" s="1"/>
  <c r="CI38" i="1"/>
  <c r="CG38" i="1" s="1"/>
  <c r="CT32" i="1"/>
  <c r="CR32" i="1" s="1"/>
  <c r="CU32" i="1"/>
  <c r="CS32" i="1" s="1"/>
  <c r="CT48" i="1"/>
  <c r="CR48" i="1" s="1"/>
  <c r="CU48" i="1"/>
  <c r="CS48" i="1" s="1"/>
  <c r="CX20" i="1"/>
  <c r="CV20" i="1" s="1"/>
  <c r="CY20" i="1"/>
  <c r="CW20" i="1" s="1"/>
  <c r="CX40" i="1"/>
  <c r="CV40" i="1" s="1"/>
  <c r="CY40" i="1"/>
  <c r="CW40" i="1" s="1"/>
  <c r="BZ35" i="1"/>
  <c r="BX35" i="1" s="1"/>
  <c r="CA35" i="1"/>
  <c r="BY35" i="1" s="1"/>
  <c r="BZ39" i="1"/>
  <c r="BX39" i="1" s="1"/>
  <c r="CA39" i="1"/>
  <c r="BY39" i="1" s="1"/>
  <c r="BZ43" i="1"/>
  <c r="BX43" i="1" s="1"/>
  <c r="CA43" i="1"/>
  <c r="BY43" i="1" s="1"/>
  <c r="BZ47" i="1"/>
  <c r="BX47" i="1" s="1"/>
  <c r="CA47" i="1"/>
  <c r="BY47" i="1" s="1"/>
  <c r="BZ51" i="1"/>
  <c r="BX51" i="1" s="1"/>
  <c r="CA51" i="1"/>
  <c r="BY51" i="1" s="1"/>
  <c r="CD27" i="1"/>
  <c r="CB27" i="1" s="1"/>
  <c r="CE27" i="1"/>
  <c r="CC27" i="1" s="1"/>
  <c r="CD35" i="1"/>
  <c r="CB35" i="1" s="1"/>
  <c r="CE35" i="1"/>
  <c r="CC35" i="1" s="1"/>
  <c r="CD39" i="1"/>
  <c r="CB39" i="1" s="1"/>
  <c r="CE39" i="1"/>
  <c r="CC39" i="1" s="1"/>
  <c r="CD43" i="1"/>
  <c r="CB43" i="1" s="1"/>
  <c r="CE43" i="1"/>
  <c r="CC43" i="1" s="1"/>
  <c r="CD47" i="1"/>
  <c r="CB47" i="1" s="1"/>
  <c r="CE47" i="1"/>
  <c r="CC47" i="1" s="1"/>
  <c r="CD51" i="1"/>
  <c r="CB51" i="1" s="1"/>
  <c r="CE51" i="1"/>
  <c r="CC51" i="1" s="1"/>
  <c r="CH27" i="1"/>
  <c r="CF27" i="1" s="1"/>
  <c r="CI27" i="1"/>
  <c r="CG27" i="1" s="1"/>
  <c r="CH35" i="1"/>
  <c r="CF35" i="1" s="1"/>
  <c r="CI35" i="1"/>
  <c r="CG35" i="1" s="1"/>
  <c r="CH39" i="1"/>
  <c r="CF39" i="1" s="1"/>
  <c r="CI39" i="1"/>
  <c r="CG39" i="1" s="1"/>
  <c r="CH43" i="1"/>
  <c r="CF43" i="1" s="1"/>
  <c r="CI43" i="1"/>
  <c r="CG43" i="1" s="1"/>
  <c r="CH47" i="1"/>
  <c r="CF47" i="1" s="1"/>
  <c r="CI47" i="1"/>
  <c r="CG47" i="1" s="1"/>
  <c r="CH51" i="1"/>
  <c r="CF51" i="1" s="1"/>
  <c r="CI51" i="1"/>
  <c r="CG51" i="1" s="1"/>
  <c r="CM27" i="1"/>
  <c r="CK27" i="1" s="1"/>
  <c r="CL27" i="1"/>
  <c r="CJ27" i="1" s="1"/>
  <c r="CM35" i="1"/>
  <c r="CK35" i="1" s="1"/>
  <c r="CL35" i="1"/>
  <c r="CJ35" i="1" s="1"/>
  <c r="CL39" i="1"/>
  <c r="CJ39" i="1" s="1"/>
  <c r="CM39" i="1"/>
  <c r="CK39" i="1" s="1"/>
  <c r="CL43" i="1"/>
  <c r="CJ43" i="1" s="1"/>
  <c r="CM43" i="1"/>
  <c r="CK43" i="1" s="1"/>
  <c r="CL47" i="1"/>
  <c r="CJ47" i="1" s="1"/>
  <c r="CM47" i="1"/>
  <c r="CK47" i="1" s="1"/>
  <c r="CL51" i="1"/>
  <c r="CJ51" i="1" s="1"/>
  <c r="CM51" i="1"/>
  <c r="CK51" i="1" s="1"/>
  <c r="CP23" i="1"/>
  <c r="CN23" i="1" s="1"/>
  <c r="CQ23" i="1"/>
  <c r="CO23" i="1" s="1"/>
  <c r="CP27" i="1"/>
  <c r="CN27" i="1" s="1"/>
  <c r="CQ27" i="1"/>
  <c r="CO27" i="1" s="1"/>
  <c r="CP35" i="1"/>
  <c r="CN35" i="1" s="1"/>
  <c r="CQ35" i="1"/>
  <c r="CO35" i="1" s="1"/>
  <c r="CP39" i="1"/>
  <c r="CN39" i="1" s="1"/>
  <c r="CQ39" i="1"/>
  <c r="CO39" i="1" s="1"/>
  <c r="CP43" i="1"/>
  <c r="CN43" i="1" s="1"/>
  <c r="CQ43" i="1"/>
  <c r="CO43" i="1" s="1"/>
  <c r="CP47" i="1"/>
  <c r="CN47" i="1" s="1"/>
  <c r="CQ47" i="1"/>
  <c r="CO47" i="1" s="1"/>
  <c r="CP51" i="1"/>
  <c r="CN51" i="1" s="1"/>
  <c r="CQ51" i="1"/>
  <c r="CO51" i="1" s="1"/>
  <c r="CT23" i="1"/>
  <c r="CR23" i="1" s="1"/>
  <c r="CU23" i="1"/>
  <c r="CS23" i="1" s="1"/>
  <c r="CT27" i="1"/>
  <c r="CR27" i="1" s="1"/>
  <c r="CU27" i="1"/>
  <c r="CS27" i="1" s="1"/>
  <c r="CT35" i="1"/>
  <c r="CR35" i="1" s="1"/>
  <c r="CU35" i="1"/>
  <c r="CS35" i="1" s="1"/>
  <c r="CT39" i="1"/>
  <c r="CR39" i="1" s="1"/>
  <c r="CU39" i="1"/>
  <c r="CS39" i="1" s="1"/>
  <c r="CT43" i="1"/>
  <c r="CR43" i="1" s="1"/>
  <c r="CU43" i="1"/>
  <c r="CS43" i="1" s="1"/>
  <c r="CT47" i="1"/>
  <c r="CR47" i="1" s="1"/>
  <c r="CU47" i="1"/>
  <c r="CS47" i="1" s="1"/>
  <c r="CT51" i="1"/>
  <c r="CR51" i="1" s="1"/>
  <c r="CU51" i="1"/>
  <c r="CS51" i="1" s="1"/>
  <c r="CX23" i="1"/>
  <c r="CV23" i="1" s="1"/>
  <c r="CY23" i="1"/>
  <c r="CW23" i="1" s="1"/>
  <c r="CX27" i="1"/>
  <c r="CV27" i="1" s="1"/>
  <c r="CY27" i="1"/>
  <c r="CW27" i="1" s="1"/>
  <c r="CX35" i="1"/>
  <c r="CV35" i="1" s="1"/>
  <c r="CY35" i="1"/>
  <c r="CW35" i="1" s="1"/>
  <c r="CX39" i="1"/>
  <c r="CV39" i="1" s="1"/>
  <c r="CY39" i="1"/>
  <c r="CW39" i="1" s="1"/>
  <c r="CX43" i="1"/>
  <c r="CV43" i="1" s="1"/>
  <c r="CY43" i="1"/>
  <c r="CW43" i="1" s="1"/>
  <c r="CX47" i="1"/>
  <c r="CV47" i="1" s="1"/>
  <c r="CY47" i="1"/>
  <c r="CW47" i="1" s="1"/>
  <c r="CX51" i="1"/>
  <c r="CV51" i="1" s="1"/>
  <c r="CY51" i="1"/>
  <c r="CW51" i="1" s="1"/>
  <c r="BZ50" i="1"/>
  <c r="BX50" i="1" s="1"/>
  <c r="CA50" i="1"/>
  <c r="BY50" i="1" s="1"/>
  <c r="CD22" i="1"/>
  <c r="CB22" i="1" s="1"/>
  <c r="CE22" i="1"/>
  <c r="CC22" i="1" s="1"/>
  <c r="CD42" i="1"/>
  <c r="CB42" i="1" s="1"/>
  <c r="CE42" i="1"/>
  <c r="CC42" i="1" s="1"/>
  <c r="CH34" i="1"/>
  <c r="CF34" i="1" s="1"/>
  <c r="CI34" i="1"/>
  <c r="CG34" i="1" s="1"/>
  <c r="C21" i="1"/>
  <c r="DF21" i="1"/>
  <c r="GK21" i="1"/>
  <c r="C33" i="1"/>
  <c r="DF33" i="1"/>
  <c r="GK33" i="1"/>
  <c r="C41" i="1"/>
  <c r="DF41" i="1"/>
  <c r="GK41" i="1"/>
  <c r="C49" i="1"/>
  <c r="DF49" i="1"/>
  <c r="GK49" i="1"/>
  <c r="CT44" i="1"/>
  <c r="CR44" i="1" s="1"/>
  <c r="CU44" i="1"/>
  <c r="CS44" i="1" s="1"/>
  <c r="CX36" i="1"/>
  <c r="CV36" i="1" s="1"/>
  <c r="CY36" i="1"/>
  <c r="CW36" i="1" s="1"/>
  <c r="CX52" i="1"/>
  <c r="CV52" i="1" s="1"/>
  <c r="CY52" i="1"/>
  <c r="CW52" i="1" s="1"/>
  <c r="C26" i="1"/>
  <c r="DF26" i="1"/>
  <c r="GK26" i="1"/>
  <c r="C38" i="1"/>
  <c r="DF38" i="1"/>
  <c r="GK38" i="1"/>
  <c r="C46" i="1"/>
  <c r="DF46" i="1"/>
  <c r="GK46" i="1"/>
  <c r="C54" i="1"/>
  <c r="DF54" i="1"/>
  <c r="GK54" i="1"/>
  <c r="C20" i="1"/>
  <c r="DF20" i="1"/>
  <c r="GK20" i="1"/>
  <c r="C32" i="1"/>
  <c r="DF32" i="1"/>
  <c r="GK32" i="1"/>
  <c r="C40" i="1"/>
  <c r="DF40" i="1"/>
  <c r="GK40" i="1"/>
  <c r="C48" i="1"/>
  <c r="DF48" i="1"/>
  <c r="GK48" i="1"/>
  <c r="C27" i="1"/>
  <c r="DF27" i="1"/>
  <c r="GK27" i="1"/>
  <c r="C39" i="1"/>
  <c r="DF39" i="1"/>
  <c r="GK39" i="1"/>
  <c r="C47" i="1"/>
  <c r="DF47" i="1"/>
  <c r="GK47" i="1"/>
  <c r="BA27" i="1"/>
  <c r="BA28" i="1" s="1"/>
  <c r="BA47" i="1"/>
  <c r="BB39" i="1"/>
  <c r="CH26" i="1"/>
  <c r="CF26" i="1" s="1"/>
  <c r="CI26" i="1"/>
  <c r="CG26" i="1" s="1"/>
  <c r="CH46" i="1"/>
  <c r="CF46" i="1" s="1"/>
  <c r="CI46" i="1"/>
  <c r="CG46" i="1" s="1"/>
  <c r="BE33" i="1"/>
  <c r="BE49" i="1"/>
  <c r="BF21" i="1"/>
  <c r="BF41" i="1"/>
  <c r="CX32" i="1"/>
  <c r="CV32" i="1" s="1"/>
  <c r="CY32" i="1"/>
  <c r="CW32" i="1" s="1"/>
  <c r="CX48" i="1"/>
  <c r="CV48" i="1" s="1"/>
  <c r="CY48" i="1"/>
  <c r="CW48" i="1" s="1"/>
  <c r="BZ21" i="1"/>
  <c r="BX21" i="1" s="1"/>
  <c r="CA21" i="1"/>
  <c r="BY21" i="1" s="1"/>
  <c r="BZ25" i="1"/>
  <c r="BX25" i="1" s="1"/>
  <c r="CA25" i="1"/>
  <c r="BY25" i="1" s="1"/>
  <c r="BZ33" i="1"/>
  <c r="BX33" i="1" s="1"/>
  <c r="CA33" i="1"/>
  <c r="BY33" i="1" s="1"/>
  <c r="BZ37" i="1"/>
  <c r="BX37" i="1" s="1"/>
  <c r="CA37" i="1"/>
  <c r="BY37" i="1" s="1"/>
  <c r="BZ41" i="1"/>
  <c r="BX41" i="1" s="1"/>
  <c r="CA41" i="1"/>
  <c r="BY41" i="1" s="1"/>
  <c r="BZ45" i="1"/>
  <c r="BX45" i="1" s="1"/>
  <c r="CA45" i="1"/>
  <c r="BY45" i="1" s="1"/>
  <c r="BZ49" i="1"/>
  <c r="BX49" i="1" s="1"/>
  <c r="CA49" i="1"/>
  <c r="BY49" i="1" s="1"/>
  <c r="BZ53" i="1"/>
  <c r="BX53" i="1" s="1"/>
  <c r="CA53" i="1"/>
  <c r="BY53" i="1" s="1"/>
  <c r="CD21" i="1"/>
  <c r="CB21" i="1" s="1"/>
  <c r="CE21" i="1"/>
  <c r="CC21" i="1" s="1"/>
  <c r="CD25" i="1"/>
  <c r="CB25" i="1" s="1"/>
  <c r="CE25" i="1"/>
  <c r="CC25" i="1" s="1"/>
  <c r="CD33" i="1"/>
  <c r="CB33" i="1" s="1"/>
  <c r="CE33" i="1"/>
  <c r="CC33" i="1" s="1"/>
  <c r="CD37" i="1"/>
  <c r="CB37" i="1" s="1"/>
  <c r="CE37" i="1"/>
  <c r="CC37" i="1" s="1"/>
  <c r="CD41" i="1"/>
  <c r="CB41" i="1" s="1"/>
  <c r="CE41" i="1"/>
  <c r="CC41" i="1" s="1"/>
  <c r="CD45" i="1"/>
  <c r="CB45" i="1" s="1"/>
  <c r="CE45" i="1"/>
  <c r="CC45" i="1" s="1"/>
  <c r="CD49" i="1"/>
  <c r="CB49" i="1" s="1"/>
  <c r="CE49" i="1"/>
  <c r="CC49" i="1" s="1"/>
  <c r="CD53" i="1"/>
  <c r="CB53" i="1" s="1"/>
  <c r="CE53" i="1"/>
  <c r="CC53" i="1" s="1"/>
  <c r="CH21" i="1"/>
  <c r="CF21" i="1" s="1"/>
  <c r="CI21" i="1"/>
  <c r="CG21" i="1" s="1"/>
  <c r="CH25" i="1"/>
  <c r="CF25" i="1" s="1"/>
  <c r="CI25" i="1"/>
  <c r="CG25" i="1" s="1"/>
  <c r="CH33" i="1"/>
  <c r="CF33" i="1" s="1"/>
  <c r="CI33" i="1"/>
  <c r="CG33" i="1" s="1"/>
  <c r="CH37" i="1"/>
  <c r="CF37" i="1" s="1"/>
  <c r="CI37" i="1"/>
  <c r="CG37" i="1" s="1"/>
  <c r="CH41" i="1"/>
  <c r="CF41" i="1" s="1"/>
  <c r="CI41" i="1"/>
  <c r="CG41" i="1" s="1"/>
  <c r="CH45" i="1"/>
  <c r="CF45" i="1" s="1"/>
  <c r="CI45" i="1"/>
  <c r="CG45" i="1" s="1"/>
  <c r="CH49" i="1"/>
  <c r="CF49" i="1" s="1"/>
  <c r="CI49" i="1"/>
  <c r="CG49" i="1" s="1"/>
  <c r="CH53" i="1"/>
  <c r="CF53" i="1" s="1"/>
  <c r="CI53" i="1"/>
  <c r="CG53" i="1" s="1"/>
  <c r="CL21" i="1"/>
  <c r="CJ21" i="1" s="1"/>
  <c r="CM21" i="1"/>
  <c r="CK21" i="1" s="1"/>
  <c r="CL25" i="1"/>
  <c r="CJ25" i="1" s="1"/>
  <c r="CM25" i="1"/>
  <c r="CK25" i="1" s="1"/>
  <c r="CM33" i="1"/>
  <c r="CK33" i="1" s="1"/>
  <c r="CL33" i="1"/>
  <c r="CJ33" i="1" s="1"/>
  <c r="CL37" i="1"/>
  <c r="CJ37" i="1" s="1"/>
  <c r="CM37" i="1"/>
  <c r="CK37" i="1" s="1"/>
  <c r="CL41" i="1"/>
  <c r="CJ41" i="1" s="1"/>
  <c r="CM41" i="1"/>
  <c r="CK41" i="1" s="1"/>
  <c r="CL45" i="1"/>
  <c r="CJ45" i="1" s="1"/>
  <c r="CM45" i="1"/>
  <c r="CK45" i="1" s="1"/>
  <c r="CL49" i="1"/>
  <c r="CJ49" i="1" s="1"/>
  <c r="CM49" i="1"/>
  <c r="CK49" i="1" s="1"/>
  <c r="CL53" i="1"/>
  <c r="CJ53" i="1" s="1"/>
  <c r="CM53" i="1"/>
  <c r="CK53" i="1" s="1"/>
  <c r="CP21" i="1"/>
  <c r="CN21" i="1" s="1"/>
  <c r="CQ21" i="1"/>
  <c r="CO21" i="1" s="1"/>
  <c r="CP25" i="1"/>
  <c r="CN25" i="1" s="1"/>
  <c r="CQ25" i="1"/>
  <c r="CO25" i="1" s="1"/>
  <c r="CP33" i="1"/>
  <c r="CN33" i="1" s="1"/>
  <c r="CQ33" i="1"/>
  <c r="CO33" i="1" s="1"/>
  <c r="CP37" i="1"/>
  <c r="CN37" i="1" s="1"/>
  <c r="CQ37" i="1"/>
  <c r="CO37" i="1" s="1"/>
  <c r="CP41" i="1"/>
  <c r="CN41" i="1" s="1"/>
  <c r="CQ41" i="1"/>
  <c r="CO41" i="1" s="1"/>
  <c r="CP45" i="1"/>
  <c r="CN45" i="1" s="1"/>
  <c r="CQ45" i="1"/>
  <c r="CO45" i="1" s="1"/>
  <c r="CP49" i="1"/>
  <c r="CN49" i="1" s="1"/>
  <c r="CQ49" i="1"/>
  <c r="CO49" i="1" s="1"/>
  <c r="CP53" i="1"/>
  <c r="CN53" i="1" s="1"/>
  <c r="CQ53" i="1"/>
  <c r="CO53" i="1" s="1"/>
  <c r="CT21" i="1"/>
  <c r="CR21" i="1" s="1"/>
  <c r="CU21" i="1"/>
  <c r="CS21" i="1" s="1"/>
  <c r="CT25" i="1"/>
  <c r="CR25" i="1" s="1"/>
  <c r="CU25" i="1"/>
  <c r="CS25" i="1" s="1"/>
  <c r="CT33" i="1"/>
  <c r="CR33" i="1" s="1"/>
  <c r="CU33" i="1"/>
  <c r="CS33" i="1" s="1"/>
  <c r="CT37" i="1"/>
  <c r="CR37" i="1" s="1"/>
  <c r="CU37" i="1"/>
  <c r="CS37" i="1" s="1"/>
  <c r="CT41" i="1"/>
  <c r="CR41" i="1" s="1"/>
  <c r="CU41" i="1"/>
  <c r="CS41" i="1" s="1"/>
  <c r="CT45" i="1"/>
  <c r="CR45" i="1" s="1"/>
  <c r="CU45" i="1"/>
  <c r="CS45" i="1" s="1"/>
  <c r="CT49" i="1"/>
  <c r="CR49" i="1" s="1"/>
  <c r="CU49" i="1"/>
  <c r="CS49" i="1" s="1"/>
  <c r="CT53" i="1"/>
  <c r="CR53" i="1" s="1"/>
  <c r="CU53" i="1"/>
  <c r="CS53" i="1" s="1"/>
  <c r="CX21" i="1"/>
  <c r="CV21" i="1" s="1"/>
  <c r="CY21" i="1"/>
  <c r="CW21" i="1" s="1"/>
  <c r="CX25" i="1"/>
  <c r="CV25" i="1" s="1"/>
  <c r="CY25" i="1"/>
  <c r="CW25" i="1" s="1"/>
  <c r="CX33" i="1"/>
  <c r="CV33" i="1" s="1"/>
  <c r="CY33" i="1"/>
  <c r="CW33" i="1" s="1"/>
  <c r="CX37" i="1"/>
  <c r="CV37" i="1" s="1"/>
  <c r="CY37" i="1"/>
  <c r="CW37" i="1" s="1"/>
  <c r="CX41" i="1"/>
  <c r="CV41" i="1" s="1"/>
  <c r="CY41" i="1"/>
  <c r="CW41" i="1" s="1"/>
  <c r="CX45" i="1"/>
  <c r="CV45" i="1" s="1"/>
  <c r="CY45" i="1"/>
  <c r="CW45" i="1" s="1"/>
  <c r="CX49" i="1"/>
  <c r="CV49" i="1" s="1"/>
  <c r="CY49" i="1"/>
  <c r="CW49" i="1" s="1"/>
  <c r="CX53" i="1"/>
  <c r="CV53" i="1" s="1"/>
  <c r="CY53" i="1"/>
  <c r="CW53" i="1" s="1"/>
  <c r="CH50" i="1"/>
  <c r="CF50" i="1" s="1"/>
  <c r="CI50" i="1"/>
  <c r="CG50" i="1" s="1"/>
  <c r="CL22" i="1"/>
  <c r="CJ22" i="1" s="1"/>
  <c r="CM22" i="1"/>
  <c r="CK22" i="1" s="1"/>
  <c r="CL26" i="1"/>
  <c r="CJ26" i="1" s="1"/>
  <c r="CM26" i="1"/>
  <c r="CK26" i="1" s="1"/>
  <c r="CL34" i="1"/>
  <c r="CJ34" i="1" s="1"/>
  <c r="CM34" i="1"/>
  <c r="CK34" i="1" s="1"/>
  <c r="CL38" i="1"/>
  <c r="CJ38" i="1" s="1"/>
  <c r="CM38" i="1"/>
  <c r="CK38" i="1" s="1"/>
  <c r="CL42" i="1"/>
  <c r="CJ42" i="1" s="1"/>
  <c r="CM42" i="1"/>
  <c r="CK42" i="1" s="1"/>
  <c r="CL46" i="1"/>
  <c r="CJ46" i="1" s="1"/>
  <c r="CM46" i="1"/>
  <c r="CK46" i="1" s="1"/>
  <c r="CL50" i="1"/>
  <c r="CJ50" i="1" s="1"/>
  <c r="CM50" i="1"/>
  <c r="CK50" i="1" s="1"/>
  <c r="CP22" i="1"/>
  <c r="CN22" i="1" s="1"/>
  <c r="CQ22" i="1"/>
  <c r="CO22" i="1" s="1"/>
  <c r="CP26" i="1"/>
  <c r="CN26" i="1" s="1"/>
  <c r="CQ26" i="1"/>
  <c r="CO26" i="1" s="1"/>
  <c r="CP34" i="1"/>
  <c r="CN34" i="1" s="1"/>
  <c r="CQ34" i="1"/>
  <c r="CO34" i="1" s="1"/>
  <c r="CP38" i="1"/>
  <c r="CN38" i="1" s="1"/>
  <c r="CQ38" i="1"/>
  <c r="CO38" i="1" s="1"/>
  <c r="CP42" i="1"/>
  <c r="CN42" i="1" s="1"/>
  <c r="CQ42" i="1"/>
  <c r="CO42" i="1" s="1"/>
  <c r="CP46" i="1"/>
  <c r="CN46" i="1" s="1"/>
  <c r="CQ46" i="1"/>
  <c r="CO46" i="1" s="1"/>
  <c r="CP50" i="1"/>
  <c r="CN50" i="1" s="1"/>
  <c r="CQ50" i="1"/>
  <c r="CO50" i="1" s="1"/>
  <c r="CT22" i="1"/>
  <c r="CR22" i="1" s="1"/>
  <c r="CU22" i="1"/>
  <c r="CS22" i="1" s="1"/>
  <c r="CT26" i="1"/>
  <c r="CR26" i="1" s="1"/>
  <c r="CU26" i="1"/>
  <c r="CS26" i="1" s="1"/>
  <c r="CT34" i="1"/>
  <c r="CR34" i="1" s="1"/>
  <c r="CU34" i="1"/>
  <c r="CS34" i="1" s="1"/>
  <c r="CT38" i="1"/>
  <c r="CR38" i="1" s="1"/>
  <c r="CU38" i="1"/>
  <c r="CS38" i="1" s="1"/>
  <c r="CT42" i="1"/>
  <c r="CR42" i="1" s="1"/>
  <c r="CU42" i="1"/>
  <c r="CS42" i="1" s="1"/>
  <c r="CT46" i="1"/>
  <c r="CR46" i="1" s="1"/>
  <c r="CU46" i="1"/>
  <c r="CS46" i="1" s="1"/>
  <c r="CT50" i="1"/>
  <c r="CR50" i="1" s="1"/>
  <c r="CU50" i="1"/>
  <c r="CS50" i="1" s="1"/>
  <c r="CX22" i="1"/>
  <c r="CV22" i="1" s="1"/>
  <c r="CY22" i="1"/>
  <c r="CW22" i="1" s="1"/>
  <c r="CX26" i="1"/>
  <c r="CV26" i="1" s="1"/>
  <c r="CY26" i="1"/>
  <c r="CW26" i="1" s="1"/>
  <c r="CX34" i="1"/>
  <c r="CV34" i="1" s="1"/>
  <c r="CY34" i="1"/>
  <c r="CW34" i="1" s="1"/>
  <c r="CX38" i="1"/>
  <c r="CV38" i="1" s="1"/>
  <c r="CY38" i="1"/>
  <c r="CW38" i="1" s="1"/>
  <c r="CX42" i="1"/>
  <c r="CV42" i="1" s="1"/>
  <c r="CY42" i="1"/>
  <c r="CW42" i="1" s="1"/>
  <c r="CX46" i="1"/>
  <c r="CV46" i="1" s="1"/>
  <c r="CY46" i="1"/>
  <c r="CW46" i="1" s="1"/>
  <c r="CX50" i="1"/>
  <c r="CV50" i="1" s="1"/>
  <c r="CY50" i="1"/>
  <c r="CW50" i="1" s="1"/>
  <c r="CU62" i="1"/>
  <c r="CS62" i="1" s="1"/>
  <c r="CT62" i="1"/>
  <c r="CR62" i="1" s="1"/>
  <c r="BE63" i="1"/>
  <c r="CU70" i="1"/>
  <c r="CS70" i="1" s="1"/>
  <c r="CT70" i="1"/>
  <c r="CR70" i="1" s="1"/>
  <c r="CT57" i="1"/>
  <c r="CR57" i="1" s="1"/>
  <c r="CU57" i="1"/>
  <c r="CS57" i="1" s="1"/>
  <c r="BE58" i="1"/>
  <c r="CQ63" i="1"/>
  <c r="CO63" i="1" s="1"/>
  <c r="CP63" i="1"/>
  <c r="CN63" i="1" s="1"/>
  <c r="BD64" i="1"/>
  <c r="BD71" i="1"/>
  <c r="CU60" i="1"/>
  <c r="CS60" i="1" s="1"/>
  <c r="CT60" i="1"/>
  <c r="CR60" i="1" s="1"/>
  <c r="BE61" i="1"/>
  <c r="CU68" i="1"/>
  <c r="CS68" i="1" s="1"/>
  <c r="CT68" i="1"/>
  <c r="CR68" i="1" s="1"/>
  <c r="BE69" i="1"/>
  <c r="C60" i="1"/>
  <c r="DF60" i="1"/>
  <c r="GK60" i="1"/>
  <c r="C68" i="1"/>
  <c r="DF68" i="1"/>
  <c r="GK68" i="1"/>
  <c r="CY56" i="1"/>
  <c r="CW56" i="1" s="1"/>
  <c r="CX56" i="1"/>
  <c r="CV56" i="1" s="1"/>
  <c r="CY71" i="1"/>
  <c r="CW71" i="1" s="1"/>
  <c r="CX71" i="1"/>
  <c r="CV71" i="1" s="1"/>
  <c r="C57" i="1"/>
  <c r="DF57" i="1"/>
  <c r="GK57" i="1"/>
  <c r="C65" i="1"/>
  <c r="DF65" i="1"/>
  <c r="GK65" i="1"/>
  <c r="C72" i="1"/>
  <c r="DF72" i="1"/>
  <c r="GK72" i="1"/>
  <c r="CX65" i="1"/>
  <c r="CV65" i="1" s="1"/>
  <c r="CY65" i="1"/>
  <c r="CW65" i="1" s="1"/>
  <c r="C58" i="1"/>
  <c r="DF58" i="1"/>
  <c r="GK58" i="1"/>
  <c r="C66" i="1"/>
  <c r="DF66" i="1"/>
  <c r="GK66" i="1"/>
  <c r="CY66" i="1"/>
  <c r="CW66" i="1" s="1"/>
  <c r="CX66" i="1"/>
  <c r="CV66" i="1" s="1"/>
  <c r="CY59" i="1"/>
  <c r="CW59" i="1" s="1"/>
  <c r="CX59" i="1"/>
  <c r="CV59" i="1" s="1"/>
  <c r="CY63" i="1"/>
  <c r="CW63" i="1" s="1"/>
  <c r="CX63" i="1"/>
  <c r="CV63" i="1" s="1"/>
  <c r="CY67" i="1"/>
  <c r="CW67" i="1" s="1"/>
  <c r="CX67" i="1"/>
  <c r="CV67" i="1" s="1"/>
  <c r="CU59" i="1"/>
  <c r="CS59" i="1" s="1"/>
  <c r="CT59" i="1"/>
  <c r="CR59" i="1" s="1"/>
  <c r="CU67" i="1"/>
  <c r="CS67" i="1" s="1"/>
  <c r="CT67" i="1"/>
  <c r="CR67" i="1" s="1"/>
  <c r="CY60" i="1"/>
  <c r="CW60" i="1" s="1"/>
  <c r="CX60" i="1"/>
  <c r="CV60" i="1" s="1"/>
  <c r="BE68" i="1"/>
  <c r="BF57" i="1"/>
  <c r="BF72" i="1"/>
  <c r="CX61" i="1"/>
  <c r="CV61" i="1" s="1"/>
  <c r="CY61" i="1"/>
  <c r="CW61" i="1" s="1"/>
  <c r="BF66" i="1"/>
  <c r="CY70" i="1"/>
  <c r="CW70" i="1" s="1"/>
  <c r="CX70" i="1"/>
  <c r="CV70" i="1" s="1"/>
  <c r="C59" i="1"/>
  <c r="DF59" i="1"/>
  <c r="GK59" i="1"/>
  <c r="C67" i="1"/>
  <c r="DF67" i="1"/>
  <c r="GK67" i="1"/>
  <c r="C56" i="1"/>
  <c r="DF56" i="1"/>
  <c r="GK56" i="1"/>
  <c r="C64" i="1"/>
  <c r="DF64" i="1"/>
  <c r="GK64" i="1"/>
  <c r="C71" i="1"/>
  <c r="DF71" i="1"/>
  <c r="GK71" i="1"/>
  <c r="CY64" i="1"/>
  <c r="CW64" i="1" s="1"/>
  <c r="CX64" i="1"/>
  <c r="CV64" i="1" s="1"/>
  <c r="C61" i="1"/>
  <c r="DF61" i="1"/>
  <c r="GK61" i="1"/>
  <c r="C69" i="1"/>
  <c r="DF69" i="1"/>
  <c r="GK69" i="1"/>
  <c r="CX57" i="1"/>
  <c r="CV57" i="1" s="1"/>
  <c r="CY57" i="1"/>
  <c r="CW57" i="1" s="1"/>
  <c r="C62" i="1"/>
  <c r="DF62" i="1"/>
  <c r="GK62" i="1"/>
  <c r="C70" i="1"/>
  <c r="DF70" i="1"/>
  <c r="GK70" i="1"/>
  <c r="CY58" i="1"/>
  <c r="CW58" i="1" s="1"/>
  <c r="CX58" i="1"/>
  <c r="CV58" i="1" s="1"/>
  <c r="BF59" i="1"/>
  <c r="BF67" i="1"/>
  <c r="CU63" i="1"/>
  <c r="CS63" i="1" s="1"/>
  <c r="CT63" i="1"/>
  <c r="CR63" i="1" s="1"/>
  <c r="CY68" i="1"/>
  <c r="CW68" i="1" s="1"/>
  <c r="CX68" i="1"/>
  <c r="CV68" i="1" s="1"/>
  <c r="BE60" i="1"/>
  <c r="BF65" i="1"/>
  <c r="CX69" i="1"/>
  <c r="CV69" i="1" s="1"/>
  <c r="CY69" i="1"/>
  <c r="CW69" i="1" s="1"/>
  <c r="BF62" i="1"/>
  <c r="BF70" i="1"/>
  <c r="CY62" i="1"/>
  <c r="CW62" i="1" s="1"/>
  <c r="CX62" i="1"/>
  <c r="CV62" i="1" s="1"/>
  <c r="C63" i="1"/>
  <c r="DF63" i="1"/>
  <c r="GK63" i="1"/>
  <c r="BF91" i="1"/>
  <c r="CY90" i="1"/>
  <c r="CW90" i="1" s="1"/>
  <c r="CX90" i="1"/>
  <c r="CV90" i="1" s="1"/>
  <c r="CP88" i="1"/>
  <c r="CN88" i="1" s="1"/>
  <c r="CQ88" i="1"/>
  <c r="CO88" i="1" s="1"/>
  <c r="BD89" i="1"/>
  <c r="CU86" i="1"/>
  <c r="CS86" i="1" s="1"/>
  <c r="CT86" i="1"/>
  <c r="CR86" i="1" s="1"/>
  <c r="BE87" i="1"/>
  <c r="CQ89" i="1"/>
  <c r="CO89" i="1" s="1"/>
  <c r="CP89" i="1"/>
  <c r="CN89" i="1" s="1"/>
  <c r="CT75" i="1"/>
  <c r="CR75" i="1" s="1"/>
  <c r="CU75" i="1"/>
  <c r="CS75" i="1" s="1"/>
  <c r="BE76" i="1"/>
  <c r="CT87" i="1"/>
  <c r="CR87" i="1" s="1"/>
  <c r="CU87" i="1"/>
  <c r="CS87" i="1" s="1"/>
  <c r="BE88" i="1"/>
  <c r="CU78" i="1"/>
  <c r="CS78" i="1" s="1"/>
  <c r="CT78" i="1"/>
  <c r="CR78" i="1" s="1"/>
  <c r="BE79" i="1"/>
  <c r="C77" i="1"/>
  <c r="DF77" i="1"/>
  <c r="GK77" i="1"/>
  <c r="C85" i="1"/>
  <c r="DF85" i="1"/>
  <c r="GK85" i="1"/>
  <c r="CT84" i="1"/>
  <c r="CR84" i="1" s="1"/>
  <c r="CU84" i="1"/>
  <c r="CS84" i="1" s="1"/>
  <c r="CU77" i="1"/>
  <c r="CS77" i="1" s="1"/>
  <c r="CT77" i="1"/>
  <c r="CR77" i="1" s="1"/>
  <c r="CU85" i="1"/>
  <c r="CS85" i="1" s="1"/>
  <c r="CT85" i="1"/>
  <c r="CR85" i="1" s="1"/>
  <c r="CX79" i="1"/>
  <c r="CV79" i="1" s="1"/>
  <c r="CY79" i="1"/>
  <c r="CW79" i="1" s="1"/>
  <c r="C79" i="1"/>
  <c r="DF79" i="1"/>
  <c r="GK79" i="1"/>
  <c r="C87" i="1"/>
  <c r="DF87" i="1"/>
  <c r="GK87" i="1"/>
  <c r="C80" i="1"/>
  <c r="DF80" i="1"/>
  <c r="GK80" i="1"/>
  <c r="C88" i="1"/>
  <c r="DF88" i="1"/>
  <c r="GK88" i="1"/>
  <c r="BE78" i="1"/>
  <c r="CY85" i="1"/>
  <c r="CW85" i="1" s="1"/>
  <c r="CX85" i="1"/>
  <c r="CV85" i="1" s="1"/>
  <c r="CT80" i="1"/>
  <c r="CR80" i="1" s="1"/>
  <c r="CU80" i="1"/>
  <c r="CS80" i="1" s="1"/>
  <c r="CY74" i="1"/>
  <c r="CW74" i="1" s="1"/>
  <c r="CX74" i="1"/>
  <c r="CV74" i="1" s="1"/>
  <c r="CY82" i="1"/>
  <c r="CW82" i="1" s="1"/>
  <c r="CX82" i="1"/>
  <c r="CV82" i="1" s="1"/>
  <c r="C74" i="1"/>
  <c r="DF74" i="1"/>
  <c r="GK74" i="1"/>
  <c r="C82" i="1"/>
  <c r="DF82" i="1"/>
  <c r="GK82" i="1"/>
  <c r="C91" i="1"/>
  <c r="DF91" i="1"/>
  <c r="GK91" i="1"/>
  <c r="CX83" i="1"/>
  <c r="CV83" i="1" s="1"/>
  <c r="CY83" i="1"/>
  <c r="CW83" i="1" s="1"/>
  <c r="BE85" i="1"/>
  <c r="BF83" i="1"/>
  <c r="CX76" i="1"/>
  <c r="CV76" i="1" s="1"/>
  <c r="CY76" i="1"/>
  <c r="CW76" i="1" s="1"/>
  <c r="CX84" i="1"/>
  <c r="CV84" i="1" s="1"/>
  <c r="CY84" i="1"/>
  <c r="CW84" i="1" s="1"/>
  <c r="CY89" i="1"/>
  <c r="CW89" i="1" s="1"/>
  <c r="CX89" i="1"/>
  <c r="CV89" i="1" s="1"/>
  <c r="C81" i="1"/>
  <c r="DF81" i="1"/>
  <c r="GK81" i="1"/>
  <c r="C89" i="1"/>
  <c r="DF89" i="1"/>
  <c r="GK89" i="1"/>
  <c r="CT76" i="1"/>
  <c r="CR76" i="1" s="1"/>
  <c r="CU76" i="1"/>
  <c r="CS76" i="1" s="1"/>
  <c r="CU81" i="1"/>
  <c r="CS81" i="1" s="1"/>
  <c r="CT81" i="1"/>
  <c r="CR81" i="1" s="1"/>
  <c r="CU89" i="1"/>
  <c r="CS89" i="1" s="1"/>
  <c r="CT89" i="1"/>
  <c r="CR89" i="1" s="1"/>
  <c r="CX87" i="1"/>
  <c r="CV87" i="1" s="1"/>
  <c r="CY87" i="1"/>
  <c r="CW87" i="1" s="1"/>
  <c r="C75" i="1"/>
  <c r="DF75" i="1"/>
  <c r="GK75" i="1"/>
  <c r="C83" i="1"/>
  <c r="DF83" i="1"/>
  <c r="GK83" i="1"/>
  <c r="BE81" i="1"/>
  <c r="C76" i="1"/>
  <c r="DF76" i="1"/>
  <c r="GK76" i="1"/>
  <c r="C84" i="1"/>
  <c r="DF84" i="1"/>
  <c r="GK84" i="1"/>
  <c r="BE86" i="1"/>
  <c r="BF84" i="1"/>
  <c r="CY77" i="1"/>
  <c r="CW77" i="1" s="1"/>
  <c r="CX77" i="1"/>
  <c r="CV77" i="1" s="1"/>
  <c r="CT88" i="1"/>
  <c r="CR88" i="1" s="1"/>
  <c r="CU88" i="1"/>
  <c r="CS88" i="1" s="1"/>
  <c r="CY78" i="1"/>
  <c r="CW78" i="1" s="1"/>
  <c r="CX78" i="1"/>
  <c r="CV78" i="1" s="1"/>
  <c r="CY86" i="1"/>
  <c r="CW86" i="1" s="1"/>
  <c r="CX86" i="1"/>
  <c r="CV86" i="1" s="1"/>
  <c r="C78" i="1"/>
  <c r="DF78" i="1"/>
  <c r="GK78" i="1"/>
  <c r="C86" i="1"/>
  <c r="DF86" i="1"/>
  <c r="GK86" i="1"/>
  <c r="CX75" i="1"/>
  <c r="CV75" i="1" s="1"/>
  <c r="CY75" i="1"/>
  <c r="CW75" i="1" s="1"/>
  <c r="BE77" i="1"/>
  <c r="BF75" i="1"/>
  <c r="CX80" i="1"/>
  <c r="CV80" i="1" s="1"/>
  <c r="CY80" i="1"/>
  <c r="CW80" i="1" s="1"/>
  <c r="CX88" i="1"/>
  <c r="CV88" i="1" s="1"/>
  <c r="CY88" i="1"/>
  <c r="CW88" i="1" s="1"/>
  <c r="BE82" i="1"/>
  <c r="BF80" i="1"/>
  <c r="CY81" i="1"/>
  <c r="CW81" i="1" s="1"/>
  <c r="CX81" i="1"/>
  <c r="CV81" i="1" s="1"/>
  <c r="CU111" i="1"/>
  <c r="CS111" i="1" s="1"/>
  <c r="CT111" i="1"/>
  <c r="CR111" i="1" s="1"/>
  <c r="BE112" i="1"/>
  <c r="CP108" i="1"/>
  <c r="CN108" i="1" s="1"/>
  <c r="CQ108" i="1"/>
  <c r="CO108" i="1" s="1"/>
  <c r="BD109" i="1"/>
  <c r="CU106" i="1"/>
  <c r="CS106" i="1" s="1"/>
  <c r="CT106" i="1"/>
  <c r="CR106" i="1" s="1"/>
  <c r="BE107" i="1"/>
  <c r="C101" i="1"/>
  <c r="DF101" i="1"/>
  <c r="GK101" i="1"/>
  <c r="C109" i="1"/>
  <c r="DF109" i="1"/>
  <c r="GK109" i="1"/>
  <c r="CT104" i="1"/>
  <c r="CR104" i="1" s="1"/>
  <c r="CU104" i="1"/>
  <c r="CS104" i="1" s="1"/>
  <c r="CY102" i="1"/>
  <c r="CW102" i="1" s="1"/>
  <c r="CX102" i="1"/>
  <c r="CV102" i="1" s="1"/>
  <c r="CT109" i="1"/>
  <c r="CR109" i="1" s="1"/>
  <c r="CU109" i="1"/>
  <c r="CS109" i="1" s="1"/>
  <c r="CY107" i="1"/>
  <c r="CW107" i="1" s="1"/>
  <c r="CX107" i="1"/>
  <c r="CV107" i="1" s="1"/>
  <c r="CX104" i="1"/>
  <c r="CV104" i="1" s="1"/>
  <c r="CY104" i="1"/>
  <c r="CW104" i="1" s="1"/>
  <c r="C104" i="1"/>
  <c r="DF104" i="1"/>
  <c r="GK104" i="1"/>
  <c r="C112" i="1"/>
  <c r="DF112" i="1"/>
  <c r="GK112" i="1"/>
  <c r="CX109" i="1"/>
  <c r="CV109" i="1" s="1"/>
  <c r="CY109" i="1"/>
  <c r="CW109" i="1" s="1"/>
  <c r="C102" i="1"/>
  <c r="DF102" i="1"/>
  <c r="GK102" i="1"/>
  <c r="C110" i="1"/>
  <c r="DF110" i="1"/>
  <c r="GK110" i="1"/>
  <c r="CT105" i="1"/>
  <c r="CR105" i="1" s="1"/>
  <c r="CU105" i="1"/>
  <c r="CS105" i="1" s="1"/>
  <c r="CY103" i="1"/>
  <c r="CW103" i="1" s="1"/>
  <c r="CX103" i="1"/>
  <c r="CV103" i="1" s="1"/>
  <c r="C107" i="1"/>
  <c r="DF107" i="1"/>
  <c r="GK107" i="1"/>
  <c r="BE110" i="1"/>
  <c r="BF108" i="1"/>
  <c r="CX105" i="1"/>
  <c r="CV105" i="1" s="1"/>
  <c r="CY105" i="1"/>
  <c r="CW105" i="1" s="1"/>
  <c r="C105" i="1"/>
  <c r="DF105" i="1"/>
  <c r="GK105" i="1"/>
  <c r="CY110" i="1"/>
  <c r="CW110" i="1" s="1"/>
  <c r="CX110" i="1"/>
  <c r="CV110" i="1" s="1"/>
  <c r="CT101" i="1"/>
  <c r="CR101" i="1" s="1"/>
  <c r="CU101" i="1"/>
  <c r="CS101" i="1" s="1"/>
  <c r="BE105" i="1"/>
  <c r="BF103" i="1"/>
  <c r="BF111" i="1"/>
  <c r="CX108" i="1"/>
  <c r="CV108" i="1" s="1"/>
  <c r="CY108" i="1"/>
  <c r="CW108" i="1" s="1"/>
  <c r="C108" i="1"/>
  <c r="DF108" i="1"/>
  <c r="GK108" i="1"/>
  <c r="BE106" i="1"/>
  <c r="BF104" i="1"/>
  <c r="CX101" i="1"/>
  <c r="CV101" i="1" s="1"/>
  <c r="CY101" i="1"/>
  <c r="CW101" i="1" s="1"/>
  <c r="CT108" i="1"/>
  <c r="CR108" i="1" s="1"/>
  <c r="CU108" i="1"/>
  <c r="CS108" i="1" s="1"/>
  <c r="CY106" i="1"/>
  <c r="CW106" i="1" s="1"/>
  <c r="CX106" i="1"/>
  <c r="CV106" i="1" s="1"/>
  <c r="C106" i="1"/>
  <c r="DF106" i="1"/>
  <c r="GK106" i="1"/>
  <c r="CY111" i="1"/>
  <c r="CW111" i="1" s="1"/>
  <c r="CX111" i="1"/>
  <c r="CV111" i="1" s="1"/>
  <c r="C103" i="1"/>
  <c r="DF103" i="1"/>
  <c r="GK103" i="1"/>
  <c r="C111" i="1"/>
  <c r="DF111" i="1"/>
  <c r="GK111" i="1"/>
  <c r="BE102" i="1"/>
  <c r="CU116" i="1"/>
  <c r="CS116" i="1" s="1"/>
  <c r="CT116" i="1"/>
  <c r="CR116" i="1" s="1"/>
  <c r="BE117" i="1"/>
  <c r="C115" i="1"/>
  <c r="DF115" i="1"/>
  <c r="GK115" i="1"/>
  <c r="CY115" i="1"/>
  <c r="CW115" i="1" s="1"/>
  <c r="CX115" i="1"/>
  <c r="CV115" i="1" s="1"/>
  <c r="CX114" i="1"/>
  <c r="CV114" i="1" s="1"/>
  <c r="CY114" i="1"/>
  <c r="CW114" i="1" s="1"/>
  <c r="BF115" i="1"/>
  <c r="C114" i="1"/>
  <c r="DF114" i="1"/>
  <c r="GK114" i="1"/>
  <c r="CY116" i="1"/>
  <c r="CW116" i="1" s="1"/>
  <c r="CX116" i="1"/>
  <c r="CV116" i="1" s="1"/>
  <c r="C116" i="1"/>
  <c r="DF116" i="1"/>
  <c r="GK116" i="1"/>
  <c r="BF116" i="1"/>
  <c r="C117" i="1"/>
  <c r="DF117" i="1"/>
  <c r="GK117" i="1"/>
  <c r="CL95" i="1"/>
  <c r="CJ95" i="1" s="1"/>
  <c r="CM95" i="1"/>
  <c r="CK95" i="1" s="1"/>
  <c r="BC96" i="1"/>
  <c r="CT95" i="1"/>
  <c r="CR95" i="1" s="1"/>
  <c r="CU95" i="1"/>
  <c r="CS95" i="1" s="1"/>
  <c r="CX95" i="1"/>
  <c r="CV95" i="1" s="1"/>
  <c r="CY95" i="1"/>
  <c r="CW95" i="1" s="1"/>
  <c r="CX93" i="1"/>
  <c r="CV93" i="1" s="1"/>
  <c r="CY93" i="1"/>
  <c r="CW93" i="1" s="1"/>
  <c r="C95" i="1"/>
  <c r="DF95" i="1"/>
  <c r="GK95" i="1"/>
  <c r="CX94" i="1"/>
  <c r="CV94" i="1" s="1"/>
  <c r="CY94" i="1"/>
  <c r="CW94" i="1" s="1"/>
  <c r="C93" i="1"/>
  <c r="DF93" i="1"/>
  <c r="GK93" i="1"/>
  <c r="BF95" i="1"/>
  <c r="CP95" i="1"/>
  <c r="CN95" i="1" s="1"/>
  <c r="CQ95" i="1"/>
  <c r="CO95" i="1" s="1"/>
  <c r="DF94" i="1"/>
  <c r="C94" i="1"/>
  <c r="GK94" i="1"/>
  <c r="BF94" i="1"/>
  <c r="C96" i="1"/>
  <c r="DF96" i="1"/>
  <c r="GK96" i="1"/>
  <c r="CY121" i="1"/>
  <c r="CW121" i="1" s="1"/>
  <c r="CX121" i="1"/>
  <c r="CV121" i="1" s="1"/>
  <c r="CT119" i="1"/>
  <c r="CR119" i="1" s="1"/>
  <c r="CU119" i="1"/>
  <c r="CS119" i="1" s="1"/>
  <c r="BE120" i="1"/>
  <c r="CX120" i="1"/>
  <c r="CV120" i="1" s="1"/>
  <c r="CY120" i="1"/>
  <c r="CW120" i="1" s="1"/>
  <c r="BF122" i="1"/>
  <c r="C120" i="1"/>
  <c r="DF120" i="1"/>
  <c r="GK120" i="1"/>
  <c r="DF122" i="1"/>
  <c r="C122" i="1"/>
  <c r="GK122" i="1"/>
  <c r="CY119" i="1"/>
  <c r="CW119" i="1" s="1"/>
  <c r="CX119" i="1"/>
  <c r="CV119" i="1" s="1"/>
  <c r="CU138" i="1"/>
  <c r="CS138" i="1" s="1"/>
  <c r="CT138" i="1"/>
  <c r="CR138" i="1" s="1"/>
  <c r="BE139" i="1"/>
  <c r="CY137" i="1"/>
  <c r="CW137" i="1" s="1"/>
  <c r="CX137" i="1"/>
  <c r="CV137" i="1" s="1"/>
  <c r="BF138" i="1"/>
  <c r="C139" i="1"/>
  <c r="DF139" i="1"/>
  <c r="GK139" i="1"/>
  <c r="C138" i="1"/>
  <c r="DF138" i="1"/>
  <c r="GK138" i="1"/>
  <c r="CY138" i="1"/>
  <c r="CW138" i="1" s="1"/>
  <c r="CX138" i="1"/>
  <c r="CV138" i="1" s="1"/>
  <c r="DF137" i="1"/>
  <c r="C137" i="1"/>
  <c r="GK137" i="1"/>
  <c r="C4" i="16"/>
  <c r="B2" i="15"/>
  <c r="B3" i="15"/>
  <c r="C3" i="15"/>
  <c r="D3" i="15"/>
  <c r="G3" i="15"/>
  <c r="B4" i="15"/>
  <c r="C4" i="15"/>
  <c r="D4" i="15"/>
  <c r="G4" i="15"/>
  <c r="B5" i="15"/>
  <c r="C5" i="15"/>
  <c r="D5" i="15"/>
  <c r="F5" i="15"/>
  <c r="G5" i="15"/>
  <c r="B7" i="15"/>
  <c r="C7" i="15"/>
  <c r="D7" i="15"/>
  <c r="C8" i="15"/>
  <c r="D8" i="15"/>
  <c r="C9" i="15"/>
  <c r="D9" i="15"/>
  <c r="F9" i="15"/>
  <c r="C10" i="15"/>
  <c r="D10" i="15"/>
  <c r="F10" i="15"/>
  <c r="D4" i="16"/>
  <c r="D45" i="16"/>
  <c r="D30" i="16"/>
  <c r="D14" i="16"/>
  <c r="D66" i="16"/>
  <c r="E39" i="16"/>
  <c r="D11" i="16"/>
  <c r="E11" i="16"/>
  <c r="D78" i="16"/>
  <c r="D18" i="16"/>
  <c r="E51" i="16"/>
  <c r="E45" i="16"/>
  <c r="D63" i="16"/>
  <c r="D39" i="16"/>
  <c r="D75" i="16"/>
  <c r="E75" i="16"/>
  <c r="D27" i="16"/>
  <c r="E63" i="16"/>
  <c r="D54" i="16"/>
  <c r="D51" i="16"/>
  <c r="E27" i="16"/>
  <c r="CT148" i="1" l="1"/>
  <c r="CR148" i="1" s="1"/>
  <c r="CU148" i="1"/>
  <c r="CS148" i="1" s="1"/>
  <c r="BE149" i="1"/>
  <c r="BZ124" i="1"/>
  <c r="CA124" i="1"/>
  <c r="CL125" i="1"/>
  <c r="CJ125" i="1" s="1"/>
  <c r="CM125" i="1"/>
  <c r="CK125" i="1" s="1"/>
  <c r="BC126" i="1"/>
  <c r="CT127" i="1"/>
  <c r="CR127" i="1" s="1"/>
  <c r="CU127" i="1"/>
  <c r="CS127" i="1" s="1"/>
  <c r="BE128" i="1"/>
  <c r="CQ126" i="1"/>
  <c r="CO126" i="1" s="1"/>
  <c r="CP126" i="1"/>
  <c r="CN126" i="1" s="1"/>
  <c r="BD127" i="1"/>
  <c r="BE32" i="1"/>
  <c r="CT31" i="1"/>
  <c r="CR31" i="1" s="1"/>
  <c r="CU31" i="1"/>
  <c r="CS31" i="1" s="1"/>
  <c r="CP28" i="1"/>
  <c r="CN28" i="1" s="1"/>
  <c r="CQ28" i="1"/>
  <c r="CO28" i="1" s="1"/>
  <c r="BD29" i="1"/>
  <c r="CL30" i="1"/>
  <c r="CJ30" i="1" s="1"/>
  <c r="CM30" i="1"/>
  <c r="CK30" i="1" s="1"/>
  <c r="BC31" i="1"/>
  <c r="CH29" i="1"/>
  <c r="CF29" i="1" s="1"/>
  <c r="CI29" i="1"/>
  <c r="CG29" i="1" s="1"/>
  <c r="BB30" i="1"/>
  <c r="DD47" i="1"/>
  <c r="L47" i="1" s="1"/>
  <c r="N47" i="1" s="1"/>
  <c r="BE25" i="1"/>
  <c r="CU24" i="1"/>
  <c r="CS24" i="1" s="1"/>
  <c r="CT24" i="1"/>
  <c r="CR24" i="1" s="1"/>
  <c r="CL23" i="1"/>
  <c r="CJ23" i="1" s="1"/>
  <c r="DE47" i="1"/>
  <c r="DE39" i="1"/>
  <c r="DE53" i="1"/>
  <c r="DD53" i="1"/>
  <c r="L53" i="1" s="1"/>
  <c r="DE51" i="1"/>
  <c r="DD51" i="1"/>
  <c r="L51" i="1" s="1"/>
  <c r="DD50" i="1"/>
  <c r="L50" i="1" s="1"/>
  <c r="DE50" i="1"/>
  <c r="DD49" i="1"/>
  <c r="L49" i="1" s="1"/>
  <c r="DD39" i="1"/>
  <c r="L39" i="1" s="1"/>
  <c r="DE49" i="1"/>
  <c r="DE45" i="1"/>
  <c r="DD45" i="1"/>
  <c r="L45" i="1" s="1"/>
  <c r="DD42" i="1"/>
  <c r="L42" i="1" s="1"/>
  <c r="DD43" i="1"/>
  <c r="L43" i="1" s="1"/>
  <c r="DE43" i="1"/>
  <c r="DE41" i="1"/>
  <c r="DE42" i="1"/>
  <c r="DD41" i="1"/>
  <c r="L41" i="1" s="1"/>
  <c r="DD37" i="1"/>
  <c r="L37" i="1" s="1"/>
  <c r="DE37" i="1"/>
  <c r="DD35" i="1"/>
  <c r="L35" i="1" s="1"/>
  <c r="DE35" i="1"/>
  <c r="DE33" i="1"/>
  <c r="DD33" i="1"/>
  <c r="L33" i="1" s="1"/>
  <c r="DE25" i="1"/>
  <c r="DD25" i="1"/>
  <c r="L25" i="1" s="1"/>
  <c r="DD22" i="1"/>
  <c r="L22" i="1" s="1"/>
  <c r="DE22" i="1"/>
  <c r="DE21" i="1"/>
  <c r="DD21" i="1"/>
  <c r="L21" i="1" s="1"/>
  <c r="CP32" i="1"/>
  <c r="CN32" i="1" s="1"/>
  <c r="CQ32" i="1"/>
  <c r="CO32" i="1" s="1"/>
  <c r="BD33" i="1"/>
  <c r="BZ26" i="1"/>
  <c r="CA26" i="1"/>
  <c r="CP36" i="1"/>
  <c r="CN36" i="1" s="1"/>
  <c r="CQ36" i="1"/>
  <c r="CO36" i="1" s="1"/>
  <c r="BD37" i="1"/>
  <c r="CT40" i="1"/>
  <c r="CR40" i="1" s="1"/>
  <c r="CU40" i="1"/>
  <c r="CS40" i="1" s="1"/>
  <c r="BE41" i="1"/>
  <c r="CD38" i="1"/>
  <c r="CB38" i="1" s="1"/>
  <c r="CE38" i="1"/>
  <c r="CC38" i="1" s="1"/>
  <c r="BA39" i="1"/>
  <c r="CL44" i="1"/>
  <c r="CJ44" i="1" s="1"/>
  <c r="CM44" i="1"/>
  <c r="CK44" i="1" s="1"/>
  <c r="BC45" i="1"/>
  <c r="CT20" i="1"/>
  <c r="CR20" i="1" s="1"/>
  <c r="CU20" i="1"/>
  <c r="CS20" i="1" s="1"/>
  <c r="BE21" i="1"/>
  <c r="CP48" i="1"/>
  <c r="CN48" i="1" s="1"/>
  <c r="CQ48" i="1"/>
  <c r="CO48" i="1" s="1"/>
  <c r="BD49" i="1"/>
  <c r="BZ46" i="1"/>
  <c r="CA46" i="1"/>
  <c r="BZ34" i="1"/>
  <c r="CA34" i="1"/>
  <c r="CP52" i="1"/>
  <c r="CN52" i="1" s="1"/>
  <c r="CQ52" i="1"/>
  <c r="CO52" i="1" s="1"/>
  <c r="BD53" i="1"/>
  <c r="CT61" i="1"/>
  <c r="CR61" i="1" s="1"/>
  <c r="CU61" i="1"/>
  <c r="CS61" i="1" s="1"/>
  <c r="BE62" i="1"/>
  <c r="CQ59" i="1"/>
  <c r="CO59" i="1" s="1"/>
  <c r="CP59" i="1"/>
  <c r="CN59" i="1" s="1"/>
  <c r="BD60" i="1"/>
  <c r="CQ67" i="1"/>
  <c r="CO67" i="1" s="1"/>
  <c r="CP67" i="1"/>
  <c r="CN67" i="1" s="1"/>
  <c r="BD68" i="1"/>
  <c r="CP57" i="1"/>
  <c r="CN57" i="1" s="1"/>
  <c r="CQ57" i="1"/>
  <c r="CO57" i="1" s="1"/>
  <c r="BD58" i="1"/>
  <c r="CT65" i="1"/>
  <c r="CR65" i="1" s="1"/>
  <c r="CU65" i="1"/>
  <c r="CS65" i="1" s="1"/>
  <c r="BE66" i="1"/>
  <c r="BC71" i="1"/>
  <c r="CU64" i="1"/>
  <c r="CS64" i="1" s="1"/>
  <c r="CT64" i="1"/>
  <c r="CR64" i="1" s="1"/>
  <c r="BE65" i="1"/>
  <c r="CU66" i="1"/>
  <c r="CS66" i="1" s="1"/>
  <c r="CT66" i="1"/>
  <c r="CR66" i="1" s="1"/>
  <c r="BE67" i="1"/>
  <c r="CU71" i="1"/>
  <c r="CS71" i="1" s="1"/>
  <c r="CT71" i="1"/>
  <c r="CR71" i="1" s="1"/>
  <c r="BE72" i="1"/>
  <c r="CQ68" i="1"/>
  <c r="CO68" i="1" s="1"/>
  <c r="CP68" i="1"/>
  <c r="CN68" i="1" s="1"/>
  <c r="BD69" i="1"/>
  <c r="CM63" i="1"/>
  <c r="CK63" i="1" s="1"/>
  <c r="CL63" i="1"/>
  <c r="CJ63" i="1" s="1"/>
  <c r="BC64" i="1"/>
  <c r="CQ70" i="1"/>
  <c r="CO70" i="1" s="1"/>
  <c r="CP70" i="1"/>
  <c r="CN70" i="1" s="1"/>
  <c r="CT69" i="1"/>
  <c r="CR69" i="1" s="1"/>
  <c r="CU69" i="1"/>
  <c r="CS69" i="1" s="1"/>
  <c r="BE70" i="1"/>
  <c r="CU58" i="1"/>
  <c r="CS58" i="1" s="1"/>
  <c r="CT58" i="1"/>
  <c r="CR58" i="1" s="1"/>
  <c r="BE59" i="1"/>
  <c r="CU56" i="1"/>
  <c r="CS56" i="1" s="1"/>
  <c r="CT56" i="1"/>
  <c r="CR56" i="1" s="1"/>
  <c r="BE57" i="1"/>
  <c r="CQ60" i="1"/>
  <c r="CO60" i="1" s="1"/>
  <c r="CP60" i="1"/>
  <c r="CN60" i="1" s="1"/>
  <c r="BD61" i="1"/>
  <c r="CQ62" i="1"/>
  <c r="CO62" i="1" s="1"/>
  <c r="CP62" i="1"/>
  <c r="CN62" i="1" s="1"/>
  <c r="BD63" i="1"/>
  <c r="BE91" i="1"/>
  <c r="CU90" i="1"/>
  <c r="CS90" i="1" s="1"/>
  <c r="CT90" i="1"/>
  <c r="CR90" i="1" s="1"/>
  <c r="CT79" i="1"/>
  <c r="CR79" i="1" s="1"/>
  <c r="CU79" i="1"/>
  <c r="CS79" i="1" s="1"/>
  <c r="BE80" i="1"/>
  <c r="CP87" i="1"/>
  <c r="CN87" i="1" s="1"/>
  <c r="CQ87" i="1"/>
  <c r="CO87" i="1" s="1"/>
  <c r="BD88" i="1"/>
  <c r="CU74" i="1"/>
  <c r="CS74" i="1" s="1"/>
  <c r="CT74" i="1"/>
  <c r="CR74" i="1" s="1"/>
  <c r="BE75" i="1"/>
  <c r="CT83" i="1"/>
  <c r="CR83" i="1" s="1"/>
  <c r="CU83" i="1"/>
  <c r="CS83" i="1" s="1"/>
  <c r="BE84" i="1"/>
  <c r="CP80" i="1"/>
  <c r="CN80" i="1" s="1"/>
  <c r="CQ80" i="1"/>
  <c r="CO80" i="1" s="1"/>
  <c r="BD81" i="1"/>
  <c r="CP84" i="1"/>
  <c r="CN84" i="1" s="1"/>
  <c r="CQ84" i="1"/>
  <c r="CO84" i="1" s="1"/>
  <c r="BD85" i="1"/>
  <c r="CQ78" i="1"/>
  <c r="CO78" i="1" s="1"/>
  <c r="CP78" i="1"/>
  <c r="CN78" i="1" s="1"/>
  <c r="BD79" i="1"/>
  <c r="CP75" i="1"/>
  <c r="CN75" i="1" s="1"/>
  <c r="CQ75" i="1"/>
  <c r="CO75" i="1" s="1"/>
  <c r="BD76" i="1"/>
  <c r="CQ86" i="1"/>
  <c r="CO86" i="1" s="1"/>
  <c r="CP86" i="1"/>
  <c r="CN86" i="1" s="1"/>
  <c r="BD87" i="1"/>
  <c r="CQ81" i="1"/>
  <c r="CO81" i="1" s="1"/>
  <c r="CP81" i="1"/>
  <c r="CN81" i="1" s="1"/>
  <c r="BD82" i="1"/>
  <c r="CP76" i="1"/>
  <c r="CN76" i="1" s="1"/>
  <c r="CQ76" i="1"/>
  <c r="CO76" i="1" s="1"/>
  <c r="BD77" i="1"/>
  <c r="CQ85" i="1"/>
  <c r="CO85" i="1" s="1"/>
  <c r="CP85" i="1"/>
  <c r="CN85" i="1" s="1"/>
  <c r="BD86" i="1"/>
  <c r="CU82" i="1"/>
  <c r="CS82" i="1" s="1"/>
  <c r="CT82" i="1"/>
  <c r="CR82" i="1" s="1"/>
  <c r="BE83" i="1"/>
  <c r="CQ77" i="1"/>
  <c r="CO77" i="1" s="1"/>
  <c r="CP77" i="1"/>
  <c r="CN77" i="1" s="1"/>
  <c r="BD78" i="1"/>
  <c r="CM89" i="1"/>
  <c r="CK89" i="1" s="1"/>
  <c r="CL89" i="1"/>
  <c r="CJ89" i="1" s="1"/>
  <c r="CL88" i="1"/>
  <c r="CJ88" i="1" s="1"/>
  <c r="CM88" i="1"/>
  <c r="CK88" i="1" s="1"/>
  <c r="BC89" i="1"/>
  <c r="CU110" i="1"/>
  <c r="CS110" i="1" s="1"/>
  <c r="CT110" i="1"/>
  <c r="CR110" i="1" s="1"/>
  <c r="BE111" i="1"/>
  <c r="CU107" i="1"/>
  <c r="CS107" i="1" s="1"/>
  <c r="CT107" i="1"/>
  <c r="CR107" i="1" s="1"/>
  <c r="BE108" i="1"/>
  <c r="CP101" i="1"/>
  <c r="CN101" i="1" s="1"/>
  <c r="CQ101" i="1"/>
  <c r="CO101" i="1" s="1"/>
  <c r="BD102" i="1"/>
  <c r="CU102" i="1"/>
  <c r="CS102" i="1" s="1"/>
  <c r="CT102" i="1"/>
  <c r="CR102" i="1" s="1"/>
  <c r="BE103" i="1"/>
  <c r="CP109" i="1"/>
  <c r="CN109" i="1" s="1"/>
  <c r="CQ109" i="1"/>
  <c r="CO109" i="1" s="1"/>
  <c r="BD110" i="1"/>
  <c r="CL108" i="1"/>
  <c r="CJ108" i="1" s="1"/>
  <c r="CM108" i="1"/>
  <c r="CK108" i="1" s="1"/>
  <c r="BC109" i="1"/>
  <c r="CU103" i="1"/>
  <c r="CS103" i="1" s="1"/>
  <c r="CT103" i="1"/>
  <c r="CR103" i="1" s="1"/>
  <c r="BE104" i="1"/>
  <c r="CP105" i="1"/>
  <c r="CN105" i="1" s="1"/>
  <c r="CQ105" i="1"/>
  <c r="CO105" i="1" s="1"/>
  <c r="BD106" i="1"/>
  <c r="CP104" i="1"/>
  <c r="CN104" i="1" s="1"/>
  <c r="CQ104" i="1"/>
  <c r="CO104" i="1" s="1"/>
  <c r="BD105" i="1"/>
  <c r="CQ106" i="1"/>
  <c r="CO106" i="1" s="1"/>
  <c r="CP106" i="1"/>
  <c r="CN106" i="1" s="1"/>
  <c r="BD107" i="1"/>
  <c r="CQ111" i="1"/>
  <c r="CO111" i="1" s="1"/>
  <c r="CP111" i="1"/>
  <c r="CN111" i="1" s="1"/>
  <c r="BD112" i="1"/>
  <c r="CT115" i="1"/>
  <c r="CR115" i="1" s="1"/>
  <c r="CU115" i="1"/>
  <c r="CS115" i="1" s="1"/>
  <c r="BE116" i="1"/>
  <c r="CU114" i="1"/>
  <c r="CS114" i="1" s="1"/>
  <c r="CT114" i="1"/>
  <c r="CR114" i="1" s="1"/>
  <c r="BE115" i="1"/>
  <c r="CP116" i="1"/>
  <c r="CN116" i="1" s="1"/>
  <c r="CQ116" i="1"/>
  <c r="CO116" i="1" s="1"/>
  <c r="BD117" i="1"/>
  <c r="CT93" i="1"/>
  <c r="CR93" i="1" s="1"/>
  <c r="CU93" i="1"/>
  <c r="CS93" i="1" s="1"/>
  <c r="BE94" i="1"/>
  <c r="CT94" i="1"/>
  <c r="CR94" i="1" s="1"/>
  <c r="CU94" i="1"/>
  <c r="CS94" i="1" s="1"/>
  <c r="BE95" i="1"/>
  <c r="CH95" i="1"/>
  <c r="CF95" i="1" s="1"/>
  <c r="CI95" i="1"/>
  <c r="CG95" i="1" s="1"/>
  <c r="BB96" i="1"/>
  <c r="CU121" i="1"/>
  <c r="CS121" i="1" s="1"/>
  <c r="CT121" i="1"/>
  <c r="CR121" i="1" s="1"/>
  <c r="CU120" i="1"/>
  <c r="CS120" i="1" s="1"/>
  <c r="CT120" i="1"/>
  <c r="CR120" i="1" s="1"/>
  <c r="BE122" i="1"/>
  <c r="CP119" i="1"/>
  <c r="CN119" i="1" s="1"/>
  <c r="CQ119" i="1"/>
  <c r="CO119" i="1" s="1"/>
  <c r="BD120" i="1"/>
  <c r="CU137" i="1"/>
  <c r="CS137" i="1" s="1"/>
  <c r="CT137" i="1"/>
  <c r="CR137" i="1" s="1"/>
  <c r="BE138" i="1"/>
  <c r="CQ138" i="1"/>
  <c r="CO138" i="1" s="1"/>
  <c r="CP138" i="1"/>
  <c r="CN138" i="1" s="1"/>
  <c r="BD139" i="1"/>
  <c r="M87" i="12"/>
  <c r="C87" i="12" s="1"/>
  <c r="E5" i="12"/>
  <c r="E34" i="12"/>
  <c r="E40" i="12"/>
  <c r="E47" i="12"/>
  <c r="E52" i="12"/>
  <c r="E70" i="12"/>
  <c r="E77" i="12"/>
  <c r="E83" i="12"/>
  <c r="E85" i="12"/>
  <c r="E86" i="12"/>
  <c r="E87" i="12"/>
  <c r="D5" i="12"/>
  <c r="D34" i="12"/>
  <c r="D40" i="12"/>
  <c r="D47" i="12"/>
  <c r="D52" i="12"/>
  <c r="D70" i="12"/>
  <c r="D77" i="12"/>
  <c r="D83" i="12"/>
  <c r="D85" i="12"/>
  <c r="D86" i="12"/>
  <c r="D87" i="12"/>
  <c r="H5" i="12"/>
  <c r="I5" i="12"/>
  <c r="M86" i="12"/>
  <c r="M85" i="12"/>
  <c r="C85" i="12" s="1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7" i="12"/>
  <c r="C78" i="12"/>
  <c r="C79" i="12"/>
  <c r="C80" i="12"/>
  <c r="C81" i="12"/>
  <c r="C82" i="12"/>
  <c r="C83" i="12"/>
  <c r="C84" i="12"/>
  <c r="C86" i="12"/>
  <c r="B87" i="12"/>
  <c r="I86" i="12"/>
  <c r="H86" i="12"/>
  <c r="O86" i="12" s="1"/>
  <c r="B86" i="12" s="1"/>
  <c r="I85" i="12"/>
  <c r="H85" i="12"/>
  <c r="B85" i="12" s="1"/>
  <c r="I83" i="12"/>
  <c r="H83" i="12"/>
  <c r="I77" i="12"/>
  <c r="H77" i="12"/>
  <c r="I70" i="12"/>
  <c r="H70" i="12"/>
  <c r="I52" i="12"/>
  <c r="H52" i="12"/>
  <c r="I47" i="12"/>
  <c r="H47" i="12"/>
  <c r="I40" i="12"/>
  <c r="H40" i="12"/>
  <c r="J41" i="12"/>
  <c r="D41" i="12" s="1"/>
  <c r="O34" i="12"/>
  <c r="B34" i="12" s="1"/>
  <c r="I34" i="12"/>
  <c r="H34" i="12"/>
  <c r="J35" i="12"/>
  <c r="J36" i="12" s="1"/>
  <c r="J37" i="12" s="1"/>
  <c r="J38" i="12" s="1"/>
  <c r="J39" i="12" s="1"/>
  <c r="O39" i="12" s="1"/>
  <c r="B39" i="12" s="1"/>
  <c r="K35" i="12"/>
  <c r="K36" i="12" s="1"/>
  <c r="K37" i="12" s="1"/>
  <c r="K38" i="12" s="1"/>
  <c r="K39" i="12" s="1"/>
  <c r="K41" i="12" s="1"/>
  <c r="K42" i="12" s="1"/>
  <c r="K43" i="12" s="1"/>
  <c r="K44" i="12" s="1"/>
  <c r="K45" i="12" s="1"/>
  <c r="K46" i="12" s="1"/>
  <c r="K48" i="12" s="1"/>
  <c r="K49" i="12" s="1"/>
  <c r="K50" i="12" s="1"/>
  <c r="K51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1" i="12" s="1"/>
  <c r="K72" i="12" s="1"/>
  <c r="K73" i="12" s="1"/>
  <c r="K74" i="12" s="1"/>
  <c r="K75" i="12" s="1"/>
  <c r="O5" i="12"/>
  <c r="K6" i="12"/>
  <c r="K7" i="12" s="1"/>
  <c r="E7" i="12" s="1"/>
  <c r="J6" i="12"/>
  <c r="O6" i="12" s="1"/>
  <c r="B6" i="12" s="1"/>
  <c r="HF19" i="1"/>
  <c r="HG19" i="1"/>
  <c r="BH19" i="1" s="1"/>
  <c r="HH19" i="1"/>
  <c r="BI19" i="1" s="1"/>
  <c r="HI19" i="1"/>
  <c r="BJ19" i="1" s="1"/>
  <c r="HJ19" i="1"/>
  <c r="BK19" i="1" s="1"/>
  <c r="HK19" i="1"/>
  <c r="BL19" i="1" s="1"/>
  <c r="HL19" i="1"/>
  <c r="BM19" i="1" s="1"/>
  <c r="HM19" i="1"/>
  <c r="BN19" i="1" s="1"/>
  <c r="HN19" i="1"/>
  <c r="BO19" i="1" s="1"/>
  <c r="HO19" i="1"/>
  <c r="BP19" i="1" s="1"/>
  <c r="HP19" i="1"/>
  <c r="BQ19" i="1" s="1"/>
  <c r="HQ19" i="1"/>
  <c r="HR19" i="1"/>
  <c r="HS19" i="1"/>
  <c r="F19" i="1" s="1"/>
  <c r="HT19" i="1"/>
  <c r="HU19" i="1"/>
  <c r="HV19" i="1"/>
  <c r="IV19" i="1" s="1"/>
  <c r="HW19" i="1"/>
  <c r="HX19" i="1"/>
  <c r="HY19" i="1"/>
  <c r="HZ19" i="1"/>
  <c r="IU19" i="1" s="1"/>
  <c r="IA19" i="1"/>
  <c r="IH19" i="1" s="1"/>
  <c r="IB19" i="1"/>
  <c r="IC19" i="1"/>
  <c r="IO19" i="1" s="1"/>
  <c r="IE19" i="1"/>
  <c r="IF19" i="1"/>
  <c r="IG19" i="1"/>
  <c r="HF55" i="1"/>
  <c r="HG55" i="1"/>
  <c r="BH55" i="1" s="1"/>
  <c r="HH55" i="1"/>
  <c r="BI55" i="1" s="1"/>
  <c r="HI55" i="1"/>
  <c r="BJ55" i="1" s="1"/>
  <c r="HJ55" i="1"/>
  <c r="BK55" i="1" s="1"/>
  <c r="HK55" i="1"/>
  <c r="BL55" i="1" s="1"/>
  <c r="HL55" i="1"/>
  <c r="BM55" i="1" s="1"/>
  <c r="HM55" i="1"/>
  <c r="BN55" i="1" s="1"/>
  <c r="HN55" i="1"/>
  <c r="BO55" i="1" s="1"/>
  <c r="HO55" i="1"/>
  <c r="BP55" i="1" s="1"/>
  <c r="HP55" i="1"/>
  <c r="BQ55" i="1" s="1"/>
  <c r="HQ55" i="1"/>
  <c r="HR55" i="1"/>
  <c r="HS55" i="1"/>
  <c r="F55" i="1" s="1"/>
  <c r="HT55" i="1"/>
  <c r="HU55" i="1"/>
  <c r="HV55" i="1"/>
  <c r="IV55" i="1" s="1"/>
  <c r="HW55" i="1"/>
  <c r="HX55" i="1"/>
  <c r="HY55" i="1"/>
  <c r="HZ55" i="1"/>
  <c r="IU55" i="1" s="1"/>
  <c r="IA55" i="1"/>
  <c r="IH55" i="1" s="1"/>
  <c r="IB55" i="1"/>
  <c r="IC55" i="1"/>
  <c r="IO55" i="1" s="1"/>
  <c r="IE55" i="1"/>
  <c r="IF55" i="1"/>
  <c r="IG55" i="1"/>
  <c r="HF73" i="1"/>
  <c r="HG73" i="1"/>
  <c r="BH73" i="1" s="1"/>
  <c r="HH73" i="1"/>
  <c r="BI73" i="1" s="1"/>
  <c r="HI73" i="1"/>
  <c r="BJ73" i="1" s="1"/>
  <c r="HJ73" i="1"/>
  <c r="BK73" i="1" s="1"/>
  <c r="HK73" i="1"/>
  <c r="BL73" i="1" s="1"/>
  <c r="HL73" i="1"/>
  <c r="BM73" i="1" s="1"/>
  <c r="HM73" i="1"/>
  <c r="BN73" i="1" s="1"/>
  <c r="HN73" i="1"/>
  <c r="BO73" i="1" s="1"/>
  <c r="HO73" i="1"/>
  <c r="BP73" i="1" s="1"/>
  <c r="HP73" i="1"/>
  <c r="BQ73" i="1" s="1"/>
  <c r="HQ73" i="1"/>
  <c r="HR73" i="1"/>
  <c r="HS73" i="1"/>
  <c r="F73" i="1" s="1"/>
  <c r="HT73" i="1"/>
  <c r="HU73" i="1"/>
  <c r="HV73" i="1"/>
  <c r="IV73" i="1" s="1"/>
  <c r="HW73" i="1"/>
  <c r="HX73" i="1"/>
  <c r="HY73" i="1"/>
  <c r="HZ73" i="1"/>
  <c r="IU73" i="1" s="1"/>
  <c r="IA73" i="1"/>
  <c r="IH73" i="1" s="1"/>
  <c r="IB73" i="1"/>
  <c r="IC73" i="1"/>
  <c r="IO73" i="1" s="1"/>
  <c r="IE73" i="1"/>
  <c r="IF73" i="1"/>
  <c r="IG73" i="1"/>
  <c r="HF92" i="1"/>
  <c r="HG92" i="1"/>
  <c r="BH92" i="1" s="1"/>
  <c r="HH92" i="1"/>
  <c r="BI92" i="1" s="1"/>
  <c r="HI92" i="1"/>
  <c r="BJ92" i="1" s="1"/>
  <c r="HJ92" i="1"/>
  <c r="BK92" i="1" s="1"/>
  <c r="HK92" i="1"/>
  <c r="BL92" i="1" s="1"/>
  <c r="HL92" i="1"/>
  <c r="BM92" i="1" s="1"/>
  <c r="HM92" i="1"/>
  <c r="BN92" i="1" s="1"/>
  <c r="HN92" i="1"/>
  <c r="BO92" i="1" s="1"/>
  <c r="HO92" i="1"/>
  <c r="BP92" i="1" s="1"/>
  <c r="HP92" i="1"/>
  <c r="BQ92" i="1" s="1"/>
  <c r="HQ92" i="1"/>
  <c r="HR92" i="1"/>
  <c r="HS92" i="1"/>
  <c r="F92" i="1" s="1"/>
  <c r="HT92" i="1"/>
  <c r="HU92" i="1"/>
  <c r="HV92" i="1"/>
  <c r="IV92" i="1" s="1"/>
  <c r="HW92" i="1"/>
  <c r="HX92" i="1"/>
  <c r="HY92" i="1"/>
  <c r="HZ92" i="1"/>
  <c r="IU92" i="1" s="1"/>
  <c r="IA92" i="1"/>
  <c r="IH92" i="1" s="1"/>
  <c r="IB92" i="1"/>
  <c r="IC92" i="1"/>
  <c r="IO92" i="1" s="1"/>
  <c r="IE92" i="1"/>
  <c r="IF92" i="1"/>
  <c r="IG92" i="1"/>
  <c r="HF97" i="1"/>
  <c r="HG97" i="1"/>
  <c r="BH97" i="1" s="1"/>
  <c r="HH97" i="1"/>
  <c r="BI97" i="1" s="1"/>
  <c r="HI97" i="1"/>
  <c r="BJ97" i="1" s="1"/>
  <c r="HJ97" i="1"/>
  <c r="BK97" i="1" s="1"/>
  <c r="HK97" i="1"/>
  <c r="BL97" i="1" s="1"/>
  <c r="HL97" i="1"/>
  <c r="BM97" i="1" s="1"/>
  <c r="HM97" i="1"/>
  <c r="BN97" i="1" s="1"/>
  <c r="HN97" i="1"/>
  <c r="BO97" i="1" s="1"/>
  <c r="HO97" i="1"/>
  <c r="BP97" i="1" s="1"/>
  <c r="HP97" i="1"/>
  <c r="BQ97" i="1" s="1"/>
  <c r="HQ97" i="1"/>
  <c r="HR97" i="1"/>
  <c r="HS97" i="1"/>
  <c r="F97" i="1" s="1"/>
  <c r="HT97" i="1"/>
  <c r="HU97" i="1"/>
  <c r="HV97" i="1"/>
  <c r="IV97" i="1" s="1"/>
  <c r="HW97" i="1"/>
  <c r="HX97" i="1"/>
  <c r="HY97" i="1"/>
  <c r="HZ97" i="1"/>
  <c r="IU97" i="1" s="1"/>
  <c r="IA97" i="1"/>
  <c r="IH97" i="1" s="1"/>
  <c r="IB97" i="1"/>
  <c r="IC97" i="1"/>
  <c r="IO97" i="1" s="1"/>
  <c r="IE97" i="1"/>
  <c r="IF97" i="1"/>
  <c r="IG97" i="1"/>
  <c r="HF98" i="1"/>
  <c r="HG98" i="1"/>
  <c r="BH98" i="1" s="1"/>
  <c r="HH98" i="1"/>
  <c r="BI98" i="1" s="1"/>
  <c r="HI98" i="1"/>
  <c r="BJ98" i="1" s="1"/>
  <c r="HJ98" i="1"/>
  <c r="BK98" i="1" s="1"/>
  <c r="HK98" i="1"/>
  <c r="BL98" i="1" s="1"/>
  <c r="HL98" i="1"/>
  <c r="BM98" i="1" s="1"/>
  <c r="HM98" i="1"/>
  <c r="BN98" i="1" s="1"/>
  <c r="HN98" i="1"/>
  <c r="BO98" i="1" s="1"/>
  <c r="HO98" i="1"/>
  <c r="BP98" i="1" s="1"/>
  <c r="HP98" i="1"/>
  <c r="BQ98" i="1" s="1"/>
  <c r="HQ98" i="1"/>
  <c r="HR98" i="1"/>
  <c r="HS98" i="1"/>
  <c r="F98" i="1" s="1"/>
  <c r="HT98" i="1"/>
  <c r="HU98" i="1"/>
  <c r="HV98" i="1"/>
  <c r="IV98" i="1" s="1"/>
  <c r="HW98" i="1"/>
  <c r="HX98" i="1"/>
  <c r="HY98" i="1"/>
  <c r="HZ98" i="1"/>
  <c r="IU98" i="1" s="1"/>
  <c r="IA98" i="1"/>
  <c r="IH98" i="1" s="1"/>
  <c r="IB98" i="1"/>
  <c r="IC98" i="1"/>
  <c r="IO98" i="1" s="1"/>
  <c r="IE98" i="1"/>
  <c r="IF98" i="1"/>
  <c r="IG98" i="1"/>
  <c r="HF99" i="1"/>
  <c r="HG99" i="1"/>
  <c r="BH99" i="1" s="1"/>
  <c r="HH99" i="1"/>
  <c r="BI99" i="1" s="1"/>
  <c r="HI99" i="1"/>
  <c r="BJ99" i="1" s="1"/>
  <c r="HJ99" i="1"/>
  <c r="BK99" i="1" s="1"/>
  <c r="HK99" i="1"/>
  <c r="BL99" i="1" s="1"/>
  <c r="HL99" i="1"/>
  <c r="BM99" i="1" s="1"/>
  <c r="HM99" i="1"/>
  <c r="BN99" i="1" s="1"/>
  <c r="HN99" i="1"/>
  <c r="BO99" i="1" s="1"/>
  <c r="HO99" i="1"/>
  <c r="BP99" i="1" s="1"/>
  <c r="HP99" i="1"/>
  <c r="BQ99" i="1" s="1"/>
  <c r="HQ99" i="1"/>
  <c r="HR99" i="1"/>
  <c r="HS99" i="1"/>
  <c r="F99" i="1" s="1"/>
  <c r="HT99" i="1"/>
  <c r="HU99" i="1"/>
  <c r="HV99" i="1"/>
  <c r="IV99" i="1" s="1"/>
  <c r="HW99" i="1"/>
  <c r="HX99" i="1"/>
  <c r="HY99" i="1"/>
  <c r="HZ99" i="1"/>
  <c r="IU99" i="1" s="1"/>
  <c r="IA99" i="1"/>
  <c r="IH99" i="1" s="1"/>
  <c r="IB99" i="1"/>
  <c r="IC99" i="1"/>
  <c r="IO99" i="1" s="1"/>
  <c r="IE99" i="1"/>
  <c r="IF99" i="1"/>
  <c r="IG99" i="1"/>
  <c r="HF100" i="1"/>
  <c r="HG100" i="1"/>
  <c r="BH100" i="1" s="1"/>
  <c r="HH100" i="1"/>
  <c r="BI100" i="1" s="1"/>
  <c r="HI100" i="1"/>
  <c r="BJ100" i="1" s="1"/>
  <c r="HJ100" i="1"/>
  <c r="BK100" i="1" s="1"/>
  <c r="HK100" i="1"/>
  <c r="BL100" i="1" s="1"/>
  <c r="HL100" i="1"/>
  <c r="BM100" i="1" s="1"/>
  <c r="HM100" i="1"/>
  <c r="BN100" i="1" s="1"/>
  <c r="HN100" i="1"/>
  <c r="BO100" i="1" s="1"/>
  <c r="HO100" i="1"/>
  <c r="BP100" i="1" s="1"/>
  <c r="HP100" i="1"/>
  <c r="BQ100" i="1" s="1"/>
  <c r="HQ100" i="1"/>
  <c r="HR100" i="1"/>
  <c r="HS100" i="1"/>
  <c r="F100" i="1" s="1"/>
  <c r="HT100" i="1"/>
  <c r="HU100" i="1"/>
  <c r="HV100" i="1"/>
  <c r="IV100" i="1" s="1"/>
  <c r="HW100" i="1"/>
  <c r="HX100" i="1"/>
  <c r="HY100" i="1"/>
  <c r="HZ100" i="1"/>
  <c r="IU100" i="1" s="1"/>
  <c r="IA100" i="1"/>
  <c r="IH100" i="1" s="1"/>
  <c r="IB100" i="1"/>
  <c r="IC100" i="1"/>
  <c r="IO100" i="1" s="1"/>
  <c r="IE100" i="1"/>
  <c r="IF100" i="1"/>
  <c r="IG100" i="1"/>
  <c r="HF113" i="1"/>
  <c r="HG113" i="1"/>
  <c r="BH113" i="1" s="1"/>
  <c r="HH113" i="1"/>
  <c r="BI113" i="1" s="1"/>
  <c r="HI113" i="1"/>
  <c r="BJ113" i="1" s="1"/>
  <c r="HJ113" i="1"/>
  <c r="BK113" i="1" s="1"/>
  <c r="HK113" i="1"/>
  <c r="BL113" i="1" s="1"/>
  <c r="HL113" i="1"/>
  <c r="BM113" i="1" s="1"/>
  <c r="HM113" i="1"/>
  <c r="BN113" i="1" s="1"/>
  <c r="HN113" i="1"/>
  <c r="BO113" i="1" s="1"/>
  <c r="HO113" i="1"/>
  <c r="BP113" i="1" s="1"/>
  <c r="HP113" i="1"/>
  <c r="BQ113" i="1" s="1"/>
  <c r="HQ113" i="1"/>
  <c r="HR113" i="1"/>
  <c r="HS113" i="1"/>
  <c r="F113" i="1" s="1"/>
  <c r="HT113" i="1"/>
  <c r="HU113" i="1"/>
  <c r="HV113" i="1"/>
  <c r="IV113" i="1" s="1"/>
  <c r="HW113" i="1"/>
  <c r="HX113" i="1"/>
  <c r="HY113" i="1"/>
  <c r="HZ113" i="1"/>
  <c r="IU113" i="1" s="1"/>
  <c r="IA113" i="1"/>
  <c r="IH113" i="1" s="1"/>
  <c r="IB113" i="1"/>
  <c r="IC113" i="1"/>
  <c r="IO113" i="1" s="1"/>
  <c r="IE113" i="1"/>
  <c r="IF113" i="1"/>
  <c r="IG113" i="1"/>
  <c r="HF118" i="1"/>
  <c r="HG118" i="1"/>
  <c r="BH118" i="1" s="1"/>
  <c r="HH118" i="1"/>
  <c r="BI118" i="1" s="1"/>
  <c r="HI118" i="1"/>
  <c r="BJ118" i="1" s="1"/>
  <c r="HJ118" i="1"/>
  <c r="BK118" i="1" s="1"/>
  <c r="HK118" i="1"/>
  <c r="BL118" i="1" s="1"/>
  <c r="HL118" i="1"/>
  <c r="BM118" i="1" s="1"/>
  <c r="HM118" i="1"/>
  <c r="BN118" i="1" s="1"/>
  <c r="HN118" i="1"/>
  <c r="BO118" i="1" s="1"/>
  <c r="HO118" i="1"/>
  <c r="BP118" i="1" s="1"/>
  <c r="HP118" i="1"/>
  <c r="BQ118" i="1" s="1"/>
  <c r="HQ118" i="1"/>
  <c r="HR118" i="1"/>
  <c r="HS118" i="1"/>
  <c r="F118" i="1" s="1"/>
  <c r="HT118" i="1"/>
  <c r="HU118" i="1"/>
  <c r="HV118" i="1"/>
  <c r="IV118" i="1" s="1"/>
  <c r="HW118" i="1"/>
  <c r="HX118" i="1"/>
  <c r="HY118" i="1"/>
  <c r="HZ118" i="1"/>
  <c r="IU118" i="1" s="1"/>
  <c r="IA118" i="1"/>
  <c r="IH118" i="1" s="1"/>
  <c r="IB118" i="1"/>
  <c r="IC118" i="1"/>
  <c r="IO118" i="1" s="1"/>
  <c r="IE118" i="1"/>
  <c r="IF118" i="1"/>
  <c r="IG118" i="1"/>
  <c r="HF123" i="1"/>
  <c r="HG123" i="1"/>
  <c r="BH123" i="1" s="1"/>
  <c r="HH123" i="1"/>
  <c r="BI123" i="1" s="1"/>
  <c r="HI123" i="1"/>
  <c r="BJ123" i="1" s="1"/>
  <c r="HJ123" i="1"/>
  <c r="BK123" i="1" s="1"/>
  <c r="HK123" i="1"/>
  <c r="BL123" i="1" s="1"/>
  <c r="HL123" i="1"/>
  <c r="BM123" i="1" s="1"/>
  <c r="HM123" i="1"/>
  <c r="BN123" i="1" s="1"/>
  <c r="HN123" i="1"/>
  <c r="BO123" i="1" s="1"/>
  <c r="HO123" i="1"/>
  <c r="BP123" i="1" s="1"/>
  <c r="HP123" i="1"/>
  <c r="BQ123" i="1" s="1"/>
  <c r="HQ123" i="1"/>
  <c r="HR123" i="1"/>
  <c r="HS123" i="1"/>
  <c r="F123" i="1" s="1"/>
  <c r="HT123" i="1"/>
  <c r="HU123" i="1"/>
  <c r="HV123" i="1"/>
  <c r="IV123" i="1" s="1"/>
  <c r="HW123" i="1"/>
  <c r="HX123" i="1"/>
  <c r="HY123" i="1"/>
  <c r="HZ123" i="1"/>
  <c r="IU123" i="1" s="1"/>
  <c r="IA123" i="1"/>
  <c r="IH123" i="1" s="1"/>
  <c r="IB123" i="1"/>
  <c r="IC123" i="1"/>
  <c r="IO123" i="1" s="1"/>
  <c r="IE123" i="1"/>
  <c r="IF123" i="1"/>
  <c r="IG123" i="1"/>
  <c r="HF129" i="1"/>
  <c r="HG129" i="1"/>
  <c r="BH129" i="1" s="1"/>
  <c r="HH129" i="1"/>
  <c r="BI129" i="1" s="1"/>
  <c r="HI129" i="1"/>
  <c r="BJ129" i="1" s="1"/>
  <c r="HJ129" i="1"/>
  <c r="BK129" i="1" s="1"/>
  <c r="HK129" i="1"/>
  <c r="BL129" i="1" s="1"/>
  <c r="HL129" i="1"/>
  <c r="BM129" i="1" s="1"/>
  <c r="HM129" i="1"/>
  <c r="BN129" i="1" s="1"/>
  <c r="HN129" i="1"/>
  <c r="BO129" i="1" s="1"/>
  <c r="HO129" i="1"/>
  <c r="BP129" i="1" s="1"/>
  <c r="HP129" i="1"/>
  <c r="BQ129" i="1" s="1"/>
  <c r="HQ129" i="1"/>
  <c r="HR129" i="1"/>
  <c r="HS129" i="1"/>
  <c r="F129" i="1" s="1"/>
  <c r="HT129" i="1"/>
  <c r="HU129" i="1"/>
  <c r="HV129" i="1"/>
  <c r="IV129" i="1" s="1"/>
  <c r="HW129" i="1"/>
  <c r="HX129" i="1"/>
  <c r="HY129" i="1"/>
  <c r="HZ129" i="1"/>
  <c r="IU129" i="1" s="1"/>
  <c r="IA129" i="1"/>
  <c r="IH129" i="1" s="1"/>
  <c r="IB129" i="1"/>
  <c r="IC129" i="1"/>
  <c r="IO129" i="1" s="1"/>
  <c r="IE129" i="1"/>
  <c r="IF129" i="1"/>
  <c r="IG129" i="1"/>
  <c r="HF130" i="1"/>
  <c r="HG130" i="1"/>
  <c r="BH130" i="1" s="1"/>
  <c r="HH130" i="1"/>
  <c r="BI130" i="1" s="1"/>
  <c r="HI130" i="1"/>
  <c r="BJ130" i="1" s="1"/>
  <c r="HJ130" i="1"/>
  <c r="BK130" i="1" s="1"/>
  <c r="HK130" i="1"/>
  <c r="BL130" i="1" s="1"/>
  <c r="HL130" i="1"/>
  <c r="BM130" i="1" s="1"/>
  <c r="HM130" i="1"/>
  <c r="BN130" i="1" s="1"/>
  <c r="HN130" i="1"/>
  <c r="BO130" i="1" s="1"/>
  <c r="HO130" i="1"/>
  <c r="BP130" i="1" s="1"/>
  <c r="HP130" i="1"/>
  <c r="BQ130" i="1" s="1"/>
  <c r="HQ130" i="1"/>
  <c r="HR130" i="1"/>
  <c r="HS130" i="1"/>
  <c r="F130" i="1" s="1"/>
  <c r="HT130" i="1"/>
  <c r="HU130" i="1"/>
  <c r="HV130" i="1"/>
  <c r="IV130" i="1" s="1"/>
  <c r="HW130" i="1"/>
  <c r="HX130" i="1"/>
  <c r="HY130" i="1"/>
  <c r="HZ130" i="1"/>
  <c r="IU130" i="1" s="1"/>
  <c r="IA130" i="1"/>
  <c r="IH130" i="1" s="1"/>
  <c r="IB130" i="1"/>
  <c r="IC130" i="1"/>
  <c r="IO130" i="1" s="1"/>
  <c r="IE130" i="1"/>
  <c r="IF130" i="1"/>
  <c r="IG130" i="1"/>
  <c r="HF131" i="1"/>
  <c r="HG131" i="1"/>
  <c r="BH131" i="1" s="1"/>
  <c r="HH131" i="1"/>
  <c r="BI131" i="1" s="1"/>
  <c r="HI131" i="1"/>
  <c r="BJ131" i="1" s="1"/>
  <c r="HJ131" i="1"/>
  <c r="BK131" i="1" s="1"/>
  <c r="HK131" i="1"/>
  <c r="BL131" i="1" s="1"/>
  <c r="HL131" i="1"/>
  <c r="BM131" i="1" s="1"/>
  <c r="HM131" i="1"/>
  <c r="BN131" i="1" s="1"/>
  <c r="HN131" i="1"/>
  <c r="BO131" i="1" s="1"/>
  <c r="HO131" i="1"/>
  <c r="BP131" i="1" s="1"/>
  <c r="HP131" i="1"/>
  <c r="BQ131" i="1" s="1"/>
  <c r="HQ131" i="1"/>
  <c r="HR131" i="1"/>
  <c r="HS131" i="1"/>
  <c r="F131" i="1" s="1"/>
  <c r="HT131" i="1"/>
  <c r="HU131" i="1"/>
  <c r="HV131" i="1"/>
  <c r="IV131" i="1" s="1"/>
  <c r="HW131" i="1"/>
  <c r="HX131" i="1"/>
  <c r="HY131" i="1"/>
  <c r="HZ131" i="1"/>
  <c r="IU131" i="1" s="1"/>
  <c r="IA131" i="1"/>
  <c r="IH131" i="1" s="1"/>
  <c r="IB131" i="1"/>
  <c r="IC131" i="1"/>
  <c r="IO131" i="1" s="1"/>
  <c r="IE131" i="1"/>
  <c r="IF131" i="1"/>
  <c r="IG131" i="1"/>
  <c r="HF132" i="1"/>
  <c r="HG132" i="1"/>
  <c r="BH132" i="1" s="1"/>
  <c r="HH132" i="1"/>
  <c r="BI132" i="1" s="1"/>
  <c r="HI132" i="1"/>
  <c r="BJ132" i="1" s="1"/>
  <c r="HJ132" i="1"/>
  <c r="BK132" i="1" s="1"/>
  <c r="HK132" i="1"/>
  <c r="BL132" i="1" s="1"/>
  <c r="HL132" i="1"/>
  <c r="BM132" i="1" s="1"/>
  <c r="HM132" i="1"/>
  <c r="BN132" i="1" s="1"/>
  <c r="HN132" i="1"/>
  <c r="BO132" i="1" s="1"/>
  <c r="HO132" i="1"/>
  <c r="BP132" i="1" s="1"/>
  <c r="HP132" i="1"/>
  <c r="BQ132" i="1" s="1"/>
  <c r="HQ132" i="1"/>
  <c r="HR132" i="1"/>
  <c r="HS132" i="1"/>
  <c r="F132" i="1" s="1"/>
  <c r="HT132" i="1"/>
  <c r="HU132" i="1"/>
  <c r="HV132" i="1"/>
  <c r="IV132" i="1" s="1"/>
  <c r="HW132" i="1"/>
  <c r="HX132" i="1"/>
  <c r="HY132" i="1"/>
  <c r="HZ132" i="1"/>
  <c r="IU132" i="1" s="1"/>
  <c r="IA132" i="1"/>
  <c r="IH132" i="1" s="1"/>
  <c r="IB132" i="1"/>
  <c r="IC132" i="1"/>
  <c r="IO132" i="1" s="1"/>
  <c r="IE132" i="1"/>
  <c r="IF132" i="1"/>
  <c r="IG132" i="1"/>
  <c r="HF133" i="1"/>
  <c r="HG133" i="1"/>
  <c r="BH133" i="1" s="1"/>
  <c r="HH133" i="1"/>
  <c r="BI133" i="1" s="1"/>
  <c r="HI133" i="1"/>
  <c r="BJ133" i="1" s="1"/>
  <c r="HJ133" i="1"/>
  <c r="BK133" i="1" s="1"/>
  <c r="HK133" i="1"/>
  <c r="BL133" i="1" s="1"/>
  <c r="HL133" i="1"/>
  <c r="BM133" i="1" s="1"/>
  <c r="HM133" i="1"/>
  <c r="BN133" i="1" s="1"/>
  <c r="HN133" i="1"/>
  <c r="BO133" i="1" s="1"/>
  <c r="HO133" i="1"/>
  <c r="BP133" i="1" s="1"/>
  <c r="HP133" i="1"/>
  <c r="BQ133" i="1" s="1"/>
  <c r="HQ133" i="1"/>
  <c r="HR133" i="1"/>
  <c r="HS133" i="1"/>
  <c r="F133" i="1" s="1"/>
  <c r="HT133" i="1"/>
  <c r="HU133" i="1"/>
  <c r="HV133" i="1"/>
  <c r="IV133" i="1" s="1"/>
  <c r="HW133" i="1"/>
  <c r="HX133" i="1"/>
  <c r="HY133" i="1"/>
  <c r="HZ133" i="1"/>
  <c r="IU133" i="1" s="1"/>
  <c r="IA133" i="1"/>
  <c r="IH133" i="1" s="1"/>
  <c r="IB133" i="1"/>
  <c r="IC133" i="1"/>
  <c r="IO133" i="1" s="1"/>
  <c r="IE133" i="1"/>
  <c r="IF133" i="1"/>
  <c r="IG133" i="1"/>
  <c r="HF134" i="1"/>
  <c r="HG134" i="1"/>
  <c r="BH134" i="1" s="1"/>
  <c r="HH134" i="1"/>
  <c r="BI134" i="1" s="1"/>
  <c r="HI134" i="1"/>
  <c r="BJ134" i="1" s="1"/>
  <c r="HJ134" i="1"/>
  <c r="BK134" i="1" s="1"/>
  <c r="HK134" i="1"/>
  <c r="BL134" i="1" s="1"/>
  <c r="HL134" i="1"/>
  <c r="BM134" i="1" s="1"/>
  <c r="HM134" i="1"/>
  <c r="BN134" i="1" s="1"/>
  <c r="HN134" i="1"/>
  <c r="BO134" i="1" s="1"/>
  <c r="HO134" i="1"/>
  <c r="BP134" i="1" s="1"/>
  <c r="HP134" i="1"/>
  <c r="BQ134" i="1" s="1"/>
  <c r="HQ134" i="1"/>
  <c r="HR134" i="1"/>
  <c r="HS134" i="1"/>
  <c r="F134" i="1" s="1"/>
  <c r="HT134" i="1"/>
  <c r="HU134" i="1"/>
  <c r="HV134" i="1"/>
  <c r="IV134" i="1" s="1"/>
  <c r="HW134" i="1"/>
  <c r="HX134" i="1"/>
  <c r="HY134" i="1"/>
  <c r="HZ134" i="1"/>
  <c r="IU134" i="1" s="1"/>
  <c r="IA134" i="1"/>
  <c r="IH134" i="1" s="1"/>
  <c r="IB134" i="1"/>
  <c r="IC134" i="1"/>
  <c r="IO134" i="1" s="1"/>
  <c r="IE134" i="1"/>
  <c r="IF134" i="1"/>
  <c r="IG134" i="1"/>
  <c r="HF135" i="1"/>
  <c r="HG135" i="1"/>
  <c r="BH135" i="1" s="1"/>
  <c r="HH135" i="1"/>
  <c r="BI135" i="1" s="1"/>
  <c r="HI135" i="1"/>
  <c r="BJ135" i="1" s="1"/>
  <c r="HJ135" i="1"/>
  <c r="BK135" i="1" s="1"/>
  <c r="HK135" i="1"/>
  <c r="BL135" i="1" s="1"/>
  <c r="HL135" i="1"/>
  <c r="BM135" i="1" s="1"/>
  <c r="HM135" i="1"/>
  <c r="BN135" i="1" s="1"/>
  <c r="HN135" i="1"/>
  <c r="BO135" i="1" s="1"/>
  <c r="HO135" i="1"/>
  <c r="BP135" i="1" s="1"/>
  <c r="HP135" i="1"/>
  <c r="BQ135" i="1" s="1"/>
  <c r="HQ135" i="1"/>
  <c r="HR135" i="1"/>
  <c r="HS135" i="1"/>
  <c r="F135" i="1" s="1"/>
  <c r="HT135" i="1"/>
  <c r="HU135" i="1"/>
  <c r="HV135" i="1"/>
  <c r="IV135" i="1" s="1"/>
  <c r="HW135" i="1"/>
  <c r="HX135" i="1"/>
  <c r="HY135" i="1"/>
  <c r="HZ135" i="1"/>
  <c r="IU135" i="1" s="1"/>
  <c r="IA135" i="1"/>
  <c r="IH135" i="1" s="1"/>
  <c r="IB135" i="1"/>
  <c r="IC135" i="1"/>
  <c r="IO135" i="1" s="1"/>
  <c r="IE135" i="1"/>
  <c r="IF135" i="1"/>
  <c r="IG135" i="1"/>
  <c r="HF136" i="1"/>
  <c r="HG136" i="1"/>
  <c r="BH136" i="1" s="1"/>
  <c r="HH136" i="1"/>
  <c r="BI136" i="1" s="1"/>
  <c r="HI136" i="1"/>
  <c r="BJ136" i="1" s="1"/>
  <c r="HJ136" i="1"/>
  <c r="BK136" i="1" s="1"/>
  <c r="HK136" i="1"/>
  <c r="BL136" i="1" s="1"/>
  <c r="HL136" i="1"/>
  <c r="BM136" i="1" s="1"/>
  <c r="HM136" i="1"/>
  <c r="BN136" i="1" s="1"/>
  <c r="HN136" i="1"/>
  <c r="BO136" i="1" s="1"/>
  <c r="HO136" i="1"/>
  <c r="BP136" i="1" s="1"/>
  <c r="HP136" i="1"/>
  <c r="BQ136" i="1" s="1"/>
  <c r="HQ136" i="1"/>
  <c r="HR136" i="1"/>
  <c r="HS136" i="1"/>
  <c r="F136" i="1" s="1"/>
  <c r="HT136" i="1"/>
  <c r="HU136" i="1"/>
  <c r="HV136" i="1"/>
  <c r="IV136" i="1" s="1"/>
  <c r="HW136" i="1"/>
  <c r="HX136" i="1"/>
  <c r="HY136" i="1"/>
  <c r="HZ136" i="1"/>
  <c r="IU136" i="1" s="1"/>
  <c r="IA136" i="1"/>
  <c r="IH136" i="1" s="1"/>
  <c r="IB136" i="1"/>
  <c r="IC136" i="1"/>
  <c r="IO136" i="1" s="1"/>
  <c r="IE136" i="1"/>
  <c r="IF136" i="1"/>
  <c r="IG136" i="1"/>
  <c r="HF141" i="1"/>
  <c r="HG141" i="1"/>
  <c r="BH141" i="1" s="1"/>
  <c r="HH141" i="1"/>
  <c r="BI141" i="1" s="1"/>
  <c r="HI141" i="1"/>
  <c r="BJ141" i="1" s="1"/>
  <c r="HJ141" i="1"/>
  <c r="BK141" i="1" s="1"/>
  <c r="HK141" i="1"/>
  <c r="BL141" i="1" s="1"/>
  <c r="HL141" i="1"/>
  <c r="BM141" i="1" s="1"/>
  <c r="HM141" i="1"/>
  <c r="BN141" i="1" s="1"/>
  <c r="HN141" i="1"/>
  <c r="BO141" i="1" s="1"/>
  <c r="HO141" i="1"/>
  <c r="BP141" i="1" s="1"/>
  <c r="HP141" i="1"/>
  <c r="BQ141" i="1" s="1"/>
  <c r="HQ141" i="1"/>
  <c r="HR141" i="1"/>
  <c r="HS141" i="1"/>
  <c r="F141" i="1" s="1"/>
  <c r="HT141" i="1"/>
  <c r="HU141" i="1"/>
  <c r="HV141" i="1"/>
  <c r="IV141" i="1" s="1"/>
  <c r="HW141" i="1"/>
  <c r="HX141" i="1"/>
  <c r="HY141" i="1"/>
  <c r="HZ141" i="1"/>
  <c r="IU141" i="1" s="1"/>
  <c r="IA141" i="1"/>
  <c r="IH141" i="1" s="1"/>
  <c r="IB141" i="1"/>
  <c r="IC141" i="1"/>
  <c r="IO141" i="1" s="1"/>
  <c r="IE141" i="1"/>
  <c r="IF141" i="1"/>
  <c r="IG141" i="1"/>
  <c r="HF142" i="1"/>
  <c r="HG142" i="1"/>
  <c r="BH142" i="1" s="1"/>
  <c r="HH142" i="1"/>
  <c r="BI142" i="1" s="1"/>
  <c r="HI142" i="1"/>
  <c r="BJ142" i="1" s="1"/>
  <c r="HJ142" i="1"/>
  <c r="BK142" i="1" s="1"/>
  <c r="HK142" i="1"/>
  <c r="BL142" i="1" s="1"/>
  <c r="HL142" i="1"/>
  <c r="BM142" i="1" s="1"/>
  <c r="HM142" i="1"/>
  <c r="BN142" i="1" s="1"/>
  <c r="HN142" i="1"/>
  <c r="BO142" i="1" s="1"/>
  <c r="HO142" i="1"/>
  <c r="BP142" i="1" s="1"/>
  <c r="HP142" i="1"/>
  <c r="BQ142" i="1" s="1"/>
  <c r="HQ142" i="1"/>
  <c r="HR142" i="1"/>
  <c r="HS142" i="1"/>
  <c r="F142" i="1" s="1"/>
  <c r="HT142" i="1"/>
  <c r="HU142" i="1"/>
  <c r="HV142" i="1"/>
  <c r="IV142" i="1" s="1"/>
  <c r="HW142" i="1"/>
  <c r="HX142" i="1"/>
  <c r="HY142" i="1"/>
  <c r="HZ142" i="1"/>
  <c r="IU142" i="1" s="1"/>
  <c r="IA142" i="1"/>
  <c r="IH142" i="1" s="1"/>
  <c r="IB142" i="1"/>
  <c r="IC142" i="1"/>
  <c r="IO142" i="1" s="1"/>
  <c r="IE142" i="1"/>
  <c r="IF142" i="1"/>
  <c r="IG142" i="1"/>
  <c r="HF143" i="1"/>
  <c r="HG143" i="1"/>
  <c r="BH143" i="1" s="1"/>
  <c r="HH143" i="1"/>
  <c r="BI143" i="1" s="1"/>
  <c r="HI143" i="1"/>
  <c r="BJ143" i="1" s="1"/>
  <c r="HJ143" i="1"/>
  <c r="BK143" i="1" s="1"/>
  <c r="HK143" i="1"/>
  <c r="BL143" i="1" s="1"/>
  <c r="HL143" i="1"/>
  <c r="BM143" i="1" s="1"/>
  <c r="HM143" i="1"/>
  <c r="BN143" i="1" s="1"/>
  <c r="HN143" i="1"/>
  <c r="BO143" i="1" s="1"/>
  <c r="HO143" i="1"/>
  <c r="BP143" i="1" s="1"/>
  <c r="HP143" i="1"/>
  <c r="BQ143" i="1" s="1"/>
  <c r="HQ143" i="1"/>
  <c r="HR143" i="1"/>
  <c r="HS143" i="1"/>
  <c r="F143" i="1" s="1"/>
  <c r="HT143" i="1"/>
  <c r="HU143" i="1"/>
  <c r="HV143" i="1"/>
  <c r="IV143" i="1" s="1"/>
  <c r="HW143" i="1"/>
  <c r="HX143" i="1"/>
  <c r="HY143" i="1"/>
  <c r="HZ143" i="1"/>
  <c r="IU143" i="1" s="1"/>
  <c r="IA143" i="1"/>
  <c r="IH143" i="1" s="1"/>
  <c r="IB143" i="1"/>
  <c r="IC143" i="1"/>
  <c r="IO143" i="1" s="1"/>
  <c r="IE143" i="1"/>
  <c r="IF143" i="1"/>
  <c r="IG143" i="1"/>
  <c r="HF144" i="1"/>
  <c r="HG144" i="1"/>
  <c r="BH144" i="1" s="1"/>
  <c r="HH144" i="1"/>
  <c r="BI144" i="1" s="1"/>
  <c r="HI144" i="1"/>
  <c r="BJ144" i="1" s="1"/>
  <c r="HJ144" i="1"/>
  <c r="BK144" i="1" s="1"/>
  <c r="HK144" i="1"/>
  <c r="BL144" i="1" s="1"/>
  <c r="HL144" i="1"/>
  <c r="BM144" i="1" s="1"/>
  <c r="HM144" i="1"/>
  <c r="BN144" i="1" s="1"/>
  <c r="HN144" i="1"/>
  <c r="BO144" i="1" s="1"/>
  <c r="HO144" i="1"/>
  <c r="BP144" i="1" s="1"/>
  <c r="HP144" i="1"/>
  <c r="BQ144" i="1" s="1"/>
  <c r="HQ144" i="1"/>
  <c r="HR144" i="1"/>
  <c r="HS144" i="1"/>
  <c r="F144" i="1" s="1"/>
  <c r="HT144" i="1"/>
  <c r="HU144" i="1"/>
  <c r="HV144" i="1"/>
  <c r="IV144" i="1" s="1"/>
  <c r="HW144" i="1"/>
  <c r="HX144" i="1"/>
  <c r="HY144" i="1"/>
  <c r="IT144" i="1" s="1"/>
  <c r="HZ144" i="1"/>
  <c r="IU144" i="1" s="1"/>
  <c r="IA144" i="1"/>
  <c r="IH144" i="1" s="1"/>
  <c r="IB144" i="1"/>
  <c r="IC144" i="1"/>
  <c r="IO144" i="1" s="1"/>
  <c r="IE144" i="1"/>
  <c r="IF144" i="1"/>
  <c r="IG144" i="1"/>
  <c r="HF145" i="1"/>
  <c r="HG145" i="1"/>
  <c r="BH145" i="1" s="1"/>
  <c r="HH145" i="1"/>
  <c r="BI145" i="1" s="1"/>
  <c r="HI145" i="1"/>
  <c r="BJ145" i="1" s="1"/>
  <c r="HJ145" i="1"/>
  <c r="BK145" i="1" s="1"/>
  <c r="HK145" i="1"/>
  <c r="BL145" i="1" s="1"/>
  <c r="HL145" i="1"/>
  <c r="BM145" i="1" s="1"/>
  <c r="HM145" i="1"/>
  <c r="BN145" i="1" s="1"/>
  <c r="HN145" i="1"/>
  <c r="BO145" i="1" s="1"/>
  <c r="HO145" i="1"/>
  <c r="BP145" i="1" s="1"/>
  <c r="HP145" i="1"/>
  <c r="BQ145" i="1" s="1"/>
  <c r="HQ145" i="1"/>
  <c r="HR145" i="1"/>
  <c r="HS145" i="1"/>
  <c r="F145" i="1" s="1"/>
  <c r="HT145" i="1"/>
  <c r="HU145" i="1"/>
  <c r="HV145" i="1"/>
  <c r="IV145" i="1" s="1"/>
  <c r="HW145" i="1"/>
  <c r="HX145" i="1"/>
  <c r="HY145" i="1"/>
  <c r="HZ145" i="1"/>
  <c r="IU145" i="1" s="1"/>
  <c r="IA145" i="1"/>
  <c r="IH145" i="1" s="1"/>
  <c r="IB145" i="1"/>
  <c r="IC145" i="1"/>
  <c r="IO145" i="1" s="1"/>
  <c r="IE145" i="1"/>
  <c r="IF145" i="1"/>
  <c r="IG145" i="1"/>
  <c r="HF146" i="1"/>
  <c r="HG146" i="1"/>
  <c r="BH146" i="1" s="1"/>
  <c r="HH146" i="1"/>
  <c r="BI146" i="1" s="1"/>
  <c r="HI146" i="1"/>
  <c r="BJ146" i="1" s="1"/>
  <c r="HJ146" i="1"/>
  <c r="BK146" i="1" s="1"/>
  <c r="HK146" i="1"/>
  <c r="BL146" i="1" s="1"/>
  <c r="HL146" i="1"/>
  <c r="BM146" i="1" s="1"/>
  <c r="HM146" i="1"/>
  <c r="BN146" i="1" s="1"/>
  <c r="HN146" i="1"/>
  <c r="BO146" i="1" s="1"/>
  <c r="HO146" i="1"/>
  <c r="BP146" i="1" s="1"/>
  <c r="HP146" i="1"/>
  <c r="BQ146" i="1" s="1"/>
  <c r="HQ146" i="1"/>
  <c r="HR146" i="1"/>
  <c r="HS146" i="1"/>
  <c r="F146" i="1" s="1"/>
  <c r="HT146" i="1"/>
  <c r="HU146" i="1"/>
  <c r="HV146" i="1"/>
  <c r="IV146" i="1" s="1"/>
  <c r="HW146" i="1"/>
  <c r="HX146" i="1"/>
  <c r="HY146" i="1"/>
  <c r="HZ146" i="1"/>
  <c r="IU146" i="1" s="1"/>
  <c r="IA146" i="1"/>
  <c r="IH146" i="1" s="1"/>
  <c r="IB146" i="1"/>
  <c r="IC146" i="1"/>
  <c r="IO146" i="1" s="1"/>
  <c r="IE146" i="1"/>
  <c r="IF146" i="1"/>
  <c r="IG146" i="1"/>
  <c r="HF147" i="1"/>
  <c r="HG147" i="1"/>
  <c r="BH147" i="1" s="1"/>
  <c r="HH147" i="1"/>
  <c r="BI147" i="1" s="1"/>
  <c r="HI147" i="1"/>
  <c r="BJ147" i="1" s="1"/>
  <c r="HJ147" i="1"/>
  <c r="BK147" i="1" s="1"/>
  <c r="HK147" i="1"/>
  <c r="BL147" i="1" s="1"/>
  <c r="HL147" i="1"/>
  <c r="BM147" i="1" s="1"/>
  <c r="HM147" i="1"/>
  <c r="BN147" i="1" s="1"/>
  <c r="HN147" i="1"/>
  <c r="BO147" i="1" s="1"/>
  <c r="HO147" i="1"/>
  <c r="BP147" i="1" s="1"/>
  <c r="HP147" i="1"/>
  <c r="BQ147" i="1" s="1"/>
  <c r="HQ147" i="1"/>
  <c r="HR147" i="1"/>
  <c r="HS147" i="1"/>
  <c r="F147" i="1" s="1"/>
  <c r="HT147" i="1"/>
  <c r="HU147" i="1"/>
  <c r="HV147" i="1"/>
  <c r="IV147" i="1" s="1"/>
  <c r="HW147" i="1"/>
  <c r="HX147" i="1"/>
  <c r="HY147" i="1"/>
  <c r="HZ147" i="1"/>
  <c r="IU147" i="1" s="1"/>
  <c r="IA147" i="1"/>
  <c r="IH147" i="1" s="1"/>
  <c r="IB147" i="1"/>
  <c r="IC147" i="1"/>
  <c r="IO147" i="1" s="1"/>
  <c r="IE147" i="1"/>
  <c r="IF147" i="1"/>
  <c r="IG147" i="1"/>
  <c r="HF150" i="1"/>
  <c r="HG150" i="1"/>
  <c r="BH150" i="1" s="1"/>
  <c r="HH150" i="1"/>
  <c r="BI150" i="1" s="1"/>
  <c r="HI150" i="1"/>
  <c r="BJ150" i="1" s="1"/>
  <c r="HJ150" i="1"/>
  <c r="BK150" i="1" s="1"/>
  <c r="HK150" i="1"/>
  <c r="BL150" i="1" s="1"/>
  <c r="HL150" i="1"/>
  <c r="BM150" i="1" s="1"/>
  <c r="HM150" i="1"/>
  <c r="BN150" i="1" s="1"/>
  <c r="HN150" i="1"/>
  <c r="BO150" i="1" s="1"/>
  <c r="HO150" i="1"/>
  <c r="BP150" i="1" s="1"/>
  <c r="HP150" i="1"/>
  <c r="BQ150" i="1" s="1"/>
  <c r="HQ150" i="1"/>
  <c r="HR150" i="1"/>
  <c r="HS150" i="1"/>
  <c r="F150" i="1" s="1"/>
  <c r="HT150" i="1"/>
  <c r="HU150" i="1"/>
  <c r="HV150" i="1"/>
  <c r="IV150" i="1" s="1"/>
  <c r="HW150" i="1"/>
  <c r="HX150" i="1"/>
  <c r="HY150" i="1"/>
  <c r="HZ150" i="1"/>
  <c r="IU150" i="1" s="1"/>
  <c r="IA150" i="1"/>
  <c r="IH150" i="1" s="1"/>
  <c r="IB150" i="1"/>
  <c r="IC150" i="1"/>
  <c r="IO150" i="1" s="1"/>
  <c r="IE150" i="1"/>
  <c r="IF150" i="1"/>
  <c r="IG150" i="1"/>
  <c r="E4" i="16"/>
  <c r="BD149" i="1" l="1"/>
  <c r="CP148" i="1"/>
  <c r="CN148" i="1" s="1"/>
  <c r="CQ148" i="1"/>
  <c r="CO148" i="1" s="1"/>
  <c r="BX124" i="1"/>
  <c r="DD124" i="1"/>
  <c r="L124" i="1" s="1"/>
  <c r="BY124" i="1"/>
  <c r="DE124" i="1"/>
  <c r="CM126" i="1"/>
  <c r="CK126" i="1" s="1"/>
  <c r="CL126" i="1"/>
  <c r="CJ126" i="1" s="1"/>
  <c r="BC127" i="1"/>
  <c r="CP127" i="1"/>
  <c r="CN127" i="1" s="1"/>
  <c r="CQ127" i="1"/>
  <c r="CO127" i="1" s="1"/>
  <c r="BD128" i="1"/>
  <c r="CH125" i="1"/>
  <c r="CF125" i="1" s="1"/>
  <c r="CI125" i="1"/>
  <c r="CG125" i="1" s="1"/>
  <c r="BB126" i="1"/>
  <c r="M47" i="1"/>
  <c r="O47" i="1" s="1"/>
  <c r="BD32" i="1"/>
  <c r="CP31" i="1"/>
  <c r="CN31" i="1" s="1"/>
  <c r="CQ31" i="1"/>
  <c r="CO31" i="1" s="1"/>
  <c r="CD29" i="1"/>
  <c r="CE29" i="1"/>
  <c r="CH30" i="1"/>
  <c r="CF30" i="1" s="1"/>
  <c r="CI30" i="1"/>
  <c r="CG30" i="1" s="1"/>
  <c r="BB31" i="1"/>
  <c r="CL28" i="1"/>
  <c r="CJ28" i="1" s="1"/>
  <c r="CM28" i="1"/>
  <c r="CK28" i="1" s="1"/>
  <c r="BC29" i="1"/>
  <c r="CQ24" i="1"/>
  <c r="CO24" i="1" s="1"/>
  <c r="CP24" i="1"/>
  <c r="CN24" i="1" s="1"/>
  <c r="BD25" i="1"/>
  <c r="M51" i="1"/>
  <c r="O51" i="1" s="1"/>
  <c r="N51" i="1"/>
  <c r="M50" i="1"/>
  <c r="O50" i="1" s="1"/>
  <c r="N50" i="1"/>
  <c r="M49" i="1"/>
  <c r="O49" i="1" s="1"/>
  <c r="N49" i="1"/>
  <c r="M45" i="1"/>
  <c r="O45" i="1" s="1"/>
  <c r="N45" i="1"/>
  <c r="M43" i="1"/>
  <c r="O43" i="1" s="1"/>
  <c r="N43" i="1"/>
  <c r="M42" i="1"/>
  <c r="O42" i="1" s="1"/>
  <c r="N42" i="1"/>
  <c r="M41" i="1"/>
  <c r="O41" i="1" s="1"/>
  <c r="N41" i="1"/>
  <c r="M39" i="1"/>
  <c r="O39" i="1" s="1"/>
  <c r="N39" i="1"/>
  <c r="M37" i="1"/>
  <c r="O37" i="1" s="1"/>
  <c r="N37" i="1"/>
  <c r="M35" i="1"/>
  <c r="O35" i="1" s="1"/>
  <c r="N35" i="1"/>
  <c r="M33" i="1"/>
  <c r="O33" i="1" s="1"/>
  <c r="N33" i="1"/>
  <c r="M25" i="1"/>
  <c r="O25" i="1" s="1"/>
  <c r="N25" i="1"/>
  <c r="CH23" i="1"/>
  <c r="CF23" i="1" s="1"/>
  <c r="CI23" i="1"/>
  <c r="CG23" i="1" s="1"/>
  <c r="M22" i="1"/>
  <c r="O22" i="1" s="1"/>
  <c r="N22" i="1"/>
  <c r="M21" i="1"/>
  <c r="O21" i="1" s="1"/>
  <c r="N21" i="1"/>
  <c r="M53" i="1"/>
  <c r="O53" i="1" s="1"/>
  <c r="N53" i="1"/>
  <c r="BY46" i="1"/>
  <c r="DE46" i="1"/>
  <c r="BX46" i="1"/>
  <c r="DD46" i="1"/>
  <c r="L46" i="1" s="1"/>
  <c r="BY34" i="1"/>
  <c r="DE34" i="1"/>
  <c r="BX34" i="1"/>
  <c r="DD34" i="1"/>
  <c r="L34" i="1" s="1"/>
  <c r="BX26" i="1"/>
  <c r="DD26" i="1"/>
  <c r="L26" i="1" s="1"/>
  <c r="BY26" i="1"/>
  <c r="DE26" i="1"/>
  <c r="CH44" i="1"/>
  <c r="CF44" i="1" s="1"/>
  <c r="CI44" i="1"/>
  <c r="CG44" i="1" s="1"/>
  <c r="BB45" i="1"/>
  <c r="BZ38" i="1"/>
  <c r="CA38" i="1"/>
  <c r="CP40" i="1"/>
  <c r="CN40" i="1" s="1"/>
  <c r="CQ40" i="1"/>
  <c r="CO40" i="1" s="1"/>
  <c r="BD41" i="1"/>
  <c r="CL32" i="1"/>
  <c r="CJ32" i="1" s="1"/>
  <c r="CM32" i="1"/>
  <c r="CK32" i="1" s="1"/>
  <c r="BC33" i="1"/>
  <c r="CL52" i="1"/>
  <c r="CJ52" i="1" s="1"/>
  <c r="CM52" i="1"/>
  <c r="CK52" i="1" s="1"/>
  <c r="BC53" i="1"/>
  <c r="CL48" i="1"/>
  <c r="CJ48" i="1" s="1"/>
  <c r="CM48" i="1"/>
  <c r="CK48" i="1" s="1"/>
  <c r="BC49" i="1"/>
  <c r="CP20" i="1"/>
  <c r="CN20" i="1" s="1"/>
  <c r="CQ20" i="1"/>
  <c r="CO20" i="1" s="1"/>
  <c r="BD21" i="1"/>
  <c r="CL36" i="1"/>
  <c r="CJ36" i="1" s="1"/>
  <c r="CM36" i="1"/>
  <c r="CK36" i="1" s="1"/>
  <c r="BC37" i="1"/>
  <c r="CL70" i="1"/>
  <c r="CJ70" i="1" s="1"/>
  <c r="CM70" i="1"/>
  <c r="CK70" i="1" s="1"/>
  <c r="CQ64" i="1"/>
  <c r="CO64" i="1" s="1"/>
  <c r="CP64" i="1"/>
  <c r="CN64" i="1" s="1"/>
  <c r="BD65" i="1"/>
  <c r="CP61" i="1"/>
  <c r="CN61" i="1" s="1"/>
  <c r="CQ61" i="1"/>
  <c r="CO61" i="1" s="1"/>
  <c r="BD62" i="1"/>
  <c r="CM60" i="1"/>
  <c r="CK60" i="1" s="1"/>
  <c r="CL60" i="1"/>
  <c r="CJ60" i="1" s="1"/>
  <c r="BC61" i="1"/>
  <c r="CQ58" i="1"/>
  <c r="CO58" i="1" s="1"/>
  <c r="CP58" i="1"/>
  <c r="CN58" i="1" s="1"/>
  <c r="BD59" i="1"/>
  <c r="CI63" i="1"/>
  <c r="CG63" i="1" s="1"/>
  <c r="CH63" i="1"/>
  <c r="CF63" i="1" s="1"/>
  <c r="BB64" i="1"/>
  <c r="BB71" i="1"/>
  <c r="CQ56" i="1"/>
  <c r="CO56" i="1" s="1"/>
  <c r="CP56" i="1"/>
  <c r="CN56" i="1" s="1"/>
  <c r="BD57" i="1"/>
  <c r="CL68" i="1"/>
  <c r="CJ68" i="1" s="1"/>
  <c r="CM68" i="1"/>
  <c r="CK68" i="1" s="1"/>
  <c r="BC69" i="1"/>
  <c r="CP65" i="1"/>
  <c r="CN65" i="1" s="1"/>
  <c r="CQ65" i="1"/>
  <c r="CO65" i="1" s="1"/>
  <c r="BD66" i="1"/>
  <c r="CM62" i="1"/>
  <c r="CK62" i="1" s="1"/>
  <c r="CL62" i="1"/>
  <c r="CJ62" i="1" s="1"/>
  <c r="BC63" i="1"/>
  <c r="CP69" i="1"/>
  <c r="CN69" i="1" s="1"/>
  <c r="CQ69" i="1"/>
  <c r="CO69" i="1" s="1"/>
  <c r="BD70" i="1"/>
  <c r="CQ71" i="1"/>
  <c r="CO71" i="1" s="1"/>
  <c r="CP71" i="1"/>
  <c r="CN71" i="1" s="1"/>
  <c r="BD72" i="1"/>
  <c r="CQ66" i="1"/>
  <c r="CO66" i="1" s="1"/>
  <c r="CP66" i="1"/>
  <c r="CN66" i="1" s="1"/>
  <c r="BD67" i="1"/>
  <c r="CL57" i="1"/>
  <c r="CJ57" i="1" s="1"/>
  <c r="CM57" i="1"/>
  <c r="CK57" i="1" s="1"/>
  <c r="BC58" i="1"/>
  <c r="CL67" i="1"/>
  <c r="CJ67" i="1" s="1"/>
  <c r="CM67" i="1"/>
  <c r="CK67" i="1" s="1"/>
  <c r="BC68" i="1"/>
  <c r="CM59" i="1"/>
  <c r="CK59" i="1" s="1"/>
  <c r="CL59" i="1"/>
  <c r="CJ59" i="1" s="1"/>
  <c r="BC60" i="1"/>
  <c r="CQ90" i="1"/>
  <c r="CO90" i="1" s="1"/>
  <c r="CP90" i="1"/>
  <c r="CN90" i="1" s="1"/>
  <c r="BD91" i="1"/>
  <c r="CH89" i="1"/>
  <c r="CF89" i="1" s="1"/>
  <c r="CI89" i="1"/>
  <c r="CG89" i="1" s="1"/>
  <c r="CM81" i="1"/>
  <c r="CK81" i="1" s="1"/>
  <c r="CL81" i="1"/>
  <c r="CJ81" i="1" s="1"/>
  <c r="BC82" i="1"/>
  <c r="CP83" i="1"/>
  <c r="CN83" i="1" s="1"/>
  <c r="CQ83" i="1"/>
  <c r="CO83" i="1" s="1"/>
  <c r="BD84" i="1"/>
  <c r="CL87" i="1"/>
  <c r="CJ87" i="1" s="1"/>
  <c r="CM87" i="1"/>
  <c r="CK87" i="1" s="1"/>
  <c r="BC88" i="1"/>
  <c r="CQ82" i="1"/>
  <c r="CO82" i="1" s="1"/>
  <c r="CP82" i="1"/>
  <c r="CN82" i="1" s="1"/>
  <c r="BD83" i="1"/>
  <c r="CM86" i="1"/>
  <c r="CK86" i="1" s="1"/>
  <c r="CL86" i="1"/>
  <c r="CJ86" i="1" s="1"/>
  <c r="BC87" i="1"/>
  <c r="CQ74" i="1"/>
  <c r="CO74" i="1" s="1"/>
  <c r="CP74" i="1"/>
  <c r="CN74" i="1" s="1"/>
  <c r="BD75" i="1"/>
  <c r="CM77" i="1"/>
  <c r="CK77" i="1" s="1"/>
  <c r="CL77" i="1"/>
  <c r="CJ77" i="1" s="1"/>
  <c r="BC78" i="1"/>
  <c r="CM85" i="1"/>
  <c r="CK85" i="1" s="1"/>
  <c r="CL85" i="1"/>
  <c r="CJ85" i="1" s="1"/>
  <c r="BC86" i="1"/>
  <c r="CL75" i="1"/>
  <c r="CJ75" i="1" s="1"/>
  <c r="CM75" i="1"/>
  <c r="CK75" i="1" s="1"/>
  <c r="BC76" i="1"/>
  <c r="CL84" i="1"/>
  <c r="CJ84" i="1" s="1"/>
  <c r="CM84" i="1"/>
  <c r="CK84" i="1" s="1"/>
  <c r="BC85" i="1"/>
  <c r="CH88" i="1"/>
  <c r="CF88" i="1" s="1"/>
  <c r="CI88" i="1"/>
  <c r="CG88" i="1" s="1"/>
  <c r="BB89" i="1"/>
  <c r="CL76" i="1"/>
  <c r="CJ76" i="1" s="1"/>
  <c r="CM76" i="1"/>
  <c r="CK76" i="1" s="1"/>
  <c r="BC77" i="1"/>
  <c r="CM78" i="1"/>
  <c r="CK78" i="1" s="1"/>
  <c r="CL78" i="1"/>
  <c r="CJ78" i="1" s="1"/>
  <c r="BC79" i="1"/>
  <c r="CL80" i="1"/>
  <c r="CJ80" i="1" s="1"/>
  <c r="CM80" i="1"/>
  <c r="CK80" i="1" s="1"/>
  <c r="BC81" i="1"/>
  <c r="CP79" i="1"/>
  <c r="CN79" i="1" s="1"/>
  <c r="CQ79" i="1"/>
  <c r="CO79" i="1" s="1"/>
  <c r="BD80" i="1"/>
  <c r="CM106" i="1"/>
  <c r="CK106" i="1" s="1"/>
  <c r="CL106" i="1"/>
  <c r="CJ106" i="1" s="1"/>
  <c r="BC107" i="1"/>
  <c r="CL109" i="1"/>
  <c r="CJ109" i="1" s="1"/>
  <c r="CM109" i="1"/>
  <c r="CK109" i="1" s="1"/>
  <c r="BC110" i="1"/>
  <c r="CL101" i="1"/>
  <c r="CJ101" i="1" s="1"/>
  <c r="CM101" i="1"/>
  <c r="CK101" i="1" s="1"/>
  <c r="BC102" i="1"/>
  <c r="CH108" i="1"/>
  <c r="CF108" i="1" s="1"/>
  <c r="CI108" i="1"/>
  <c r="CG108" i="1" s="1"/>
  <c r="BB109" i="1"/>
  <c r="CQ102" i="1"/>
  <c r="CO102" i="1" s="1"/>
  <c r="CP102" i="1"/>
  <c r="CN102" i="1" s="1"/>
  <c r="BD103" i="1"/>
  <c r="CL104" i="1"/>
  <c r="CJ104" i="1" s="1"/>
  <c r="CM104" i="1"/>
  <c r="CK104" i="1" s="1"/>
  <c r="BC105" i="1"/>
  <c r="CL105" i="1"/>
  <c r="CJ105" i="1" s="1"/>
  <c r="CM105" i="1"/>
  <c r="CK105" i="1" s="1"/>
  <c r="BC106" i="1"/>
  <c r="CQ103" i="1"/>
  <c r="CO103" i="1" s="1"/>
  <c r="CP103" i="1"/>
  <c r="CN103" i="1" s="1"/>
  <c r="BD104" i="1"/>
  <c r="CM111" i="1"/>
  <c r="CK111" i="1" s="1"/>
  <c r="CL111" i="1"/>
  <c r="CJ111" i="1" s="1"/>
  <c r="BC112" i="1"/>
  <c r="CQ107" i="1"/>
  <c r="CO107" i="1" s="1"/>
  <c r="CP107" i="1"/>
  <c r="CN107" i="1" s="1"/>
  <c r="BD108" i="1"/>
  <c r="CQ110" i="1"/>
  <c r="CO110" i="1" s="1"/>
  <c r="CP110" i="1"/>
  <c r="CN110" i="1" s="1"/>
  <c r="BD111" i="1"/>
  <c r="CQ114" i="1"/>
  <c r="CO114" i="1" s="1"/>
  <c r="CP114" i="1"/>
  <c r="CN114" i="1" s="1"/>
  <c r="BD115" i="1"/>
  <c r="CP115" i="1"/>
  <c r="CN115" i="1" s="1"/>
  <c r="CQ115" i="1"/>
  <c r="CO115" i="1" s="1"/>
  <c r="BD116" i="1"/>
  <c r="CL116" i="1"/>
  <c r="CJ116" i="1" s="1"/>
  <c r="CM116" i="1"/>
  <c r="CK116" i="1" s="1"/>
  <c r="BC117" i="1"/>
  <c r="CP94" i="1"/>
  <c r="CN94" i="1" s="1"/>
  <c r="CQ94" i="1"/>
  <c r="CO94" i="1" s="1"/>
  <c r="BD95" i="1"/>
  <c r="CP93" i="1"/>
  <c r="CN93" i="1" s="1"/>
  <c r="CQ93" i="1"/>
  <c r="CO93" i="1" s="1"/>
  <c r="BD94" i="1"/>
  <c r="CD95" i="1"/>
  <c r="CB95" i="1" s="1"/>
  <c r="CE95" i="1"/>
  <c r="CC95" i="1" s="1"/>
  <c r="BA96" i="1"/>
  <c r="CQ121" i="1"/>
  <c r="CO121" i="1" s="1"/>
  <c r="CP121" i="1"/>
  <c r="CN121" i="1" s="1"/>
  <c r="CL119" i="1"/>
  <c r="CJ119" i="1" s="1"/>
  <c r="CM119" i="1"/>
  <c r="CK119" i="1" s="1"/>
  <c r="BC120" i="1"/>
  <c r="CQ120" i="1"/>
  <c r="CO120" i="1" s="1"/>
  <c r="CP120" i="1"/>
  <c r="CN120" i="1" s="1"/>
  <c r="BD122" i="1"/>
  <c r="CQ137" i="1"/>
  <c r="CO137" i="1" s="1"/>
  <c r="CP137" i="1"/>
  <c r="CN137" i="1" s="1"/>
  <c r="BD138" i="1"/>
  <c r="CM138" i="1"/>
  <c r="CK138" i="1" s="1"/>
  <c r="CL138" i="1"/>
  <c r="CJ138" i="1" s="1"/>
  <c r="BC139" i="1"/>
  <c r="E6" i="12"/>
  <c r="K78" i="12"/>
  <c r="K79" i="12" s="1"/>
  <c r="K80" i="12" s="1"/>
  <c r="K81" i="12" s="1"/>
  <c r="K82" i="12" s="1"/>
  <c r="K84" i="12" s="1"/>
  <c r="E84" i="12" s="1"/>
  <c r="K76" i="12"/>
  <c r="E76" i="12" s="1"/>
  <c r="D6" i="12"/>
  <c r="D37" i="12"/>
  <c r="E75" i="12"/>
  <c r="E71" i="12"/>
  <c r="E67" i="12"/>
  <c r="E63" i="12"/>
  <c r="E59" i="12"/>
  <c r="E55" i="12"/>
  <c r="E51" i="12"/>
  <c r="E43" i="12"/>
  <c r="E39" i="12"/>
  <c r="E35" i="12"/>
  <c r="D38" i="12"/>
  <c r="E72" i="12"/>
  <c r="E68" i="12"/>
  <c r="E64" i="12"/>
  <c r="E60" i="12"/>
  <c r="E56" i="12"/>
  <c r="E48" i="12"/>
  <c r="E44" i="12"/>
  <c r="E36" i="12"/>
  <c r="D39" i="12"/>
  <c r="D35" i="12"/>
  <c r="E73" i="12"/>
  <c r="E69" i="12"/>
  <c r="E65" i="12"/>
  <c r="E61" i="12"/>
  <c r="E57" i="12"/>
  <c r="E53" i="12"/>
  <c r="E49" i="12"/>
  <c r="E45" i="12"/>
  <c r="E41" i="12"/>
  <c r="E37" i="12"/>
  <c r="D36" i="12"/>
  <c r="E74" i="12"/>
  <c r="E66" i="12"/>
  <c r="E62" i="12"/>
  <c r="E58" i="12"/>
  <c r="E54" i="12"/>
  <c r="E50" i="12"/>
  <c r="E46" i="12"/>
  <c r="E42" i="12"/>
  <c r="E38" i="12"/>
  <c r="GT143" i="1"/>
  <c r="K8" i="12"/>
  <c r="E8" i="12" s="1"/>
  <c r="J7" i="12"/>
  <c r="D7" i="12" s="1"/>
  <c r="O38" i="12"/>
  <c r="B38" i="12" s="1"/>
  <c r="O37" i="12"/>
  <c r="B37" i="12" s="1"/>
  <c r="O35" i="12"/>
  <c r="B35" i="12" s="1"/>
  <c r="O36" i="12"/>
  <c r="B36" i="12" s="1"/>
  <c r="J42" i="12"/>
  <c r="D42" i="12" s="1"/>
  <c r="O41" i="12"/>
  <c r="B41" i="12" s="1"/>
  <c r="O40" i="12"/>
  <c r="B40" i="12" s="1"/>
  <c r="GS146" i="1"/>
  <c r="GK146" i="1"/>
  <c r="GN150" i="1"/>
  <c r="GR150" i="1"/>
  <c r="GT146" i="1"/>
  <c r="GK129" i="1"/>
  <c r="GK99" i="1"/>
  <c r="GM130" i="1"/>
  <c r="GL113" i="1"/>
  <c r="GL19" i="1"/>
  <c r="GT150" i="1"/>
  <c r="GL150" i="1"/>
  <c r="GS150" i="1"/>
  <c r="GK150" i="1"/>
  <c r="GO146" i="1"/>
  <c r="GP143" i="1"/>
  <c r="GS130" i="1"/>
  <c r="GR146" i="1"/>
  <c r="GN147" i="1"/>
  <c r="GM146" i="1"/>
  <c r="GM134" i="1"/>
  <c r="GP133" i="1"/>
  <c r="GK132" i="1"/>
  <c r="GP113" i="1"/>
  <c r="GP97" i="1"/>
  <c r="GP19" i="1"/>
  <c r="GL143" i="1"/>
  <c r="GP135" i="1"/>
  <c r="GS134" i="1"/>
  <c r="GK134" i="1"/>
  <c r="GN133" i="1"/>
  <c r="GP118" i="1"/>
  <c r="GN113" i="1"/>
  <c r="GP98" i="1"/>
  <c r="GN97" i="1"/>
  <c r="GN19" i="1"/>
  <c r="GO55" i="1"/>
  <c r="GM19" i="1"/>
  <c r="GM147" i="1"/>
  <c r="GK133" i="1"/>
  <c r="GK113" i="1"/>
  <c r="GM98" i="1"/>
  <c r="GK97" i="1"/>
  <c r="GK19" i="1"/>
  <c r="GK142" i="1"/>
  <c r="GN141" i="1"/>
  <c r="GT135" i="1"/>
  <c r="GL135" i="1"/>
  <c r="GO134" i="1"/>
  <c r="GR133" i="1"/>
  <c r="GM132" i="1"/>
  <c r="GP131" i="1"/>
  <c r="GK130" i="1"/>
  <c r="GN129" i="1"/>
  <c r="GT118" i="1"/>
  <c r="GL118" i="1"/>
  <c r="GR113" i="1"/>
  <c r="GP100" i="1"/>
  <c r="GN99" i="1"/>
  <c r="GT98" i="1"/>
  <c r="GL98" i="1"/>
  <c r="GR97" i="1"/>
  <c r="GP92" i="1"/>
  <c r="GN73" i="1"/>
  <c r="GT55" i="1"/>
  <c r="GL55" i="1"/>
  <c r="GR19" i="1"/>
  <c r="GO150" i="1"/>
  <c r="GN146" i="1"/>
  <c r="GL145" i="1"/>
  <c r="GK98" i="1"/>
  <c r="GM150" i="1"/>
  <c r="GO147" i="1"/>
  <c r="GP150" i="1"/>
  <c r="GS147" i="1"/>
  <c r="GK147" i="1"/>
  <c r="GT144" i="1"/>
  <c r="GL144" i="1"/>
  <c r="GO143" i="1"/>
  <c r="GR142" i="1"/>
  <c r="GM141" i="1"/>
  <c r="GP136" i="1"/>
  <c r="GS135" i="1"/>
  <c r="GK135" i="1"/>
  <c r="GN134" i="1"/>
  <c r="GO131" i="1"/>
  <c r="GK118" i="1"/>
  <c r="GO100" i="1"/>
  <c r="GM99" i="1"/>
  <c r="GO92" i="1"/>
  <c r="GM73" i="1"/>
  <c r="GS144" i="1"/>
  <c r="GK144" i="1"/>
  <c r="GN143" i="1"/>
  <c r="GN131" i="1"/>
  <c r="GN100" i="1"/>
  <c r="GN92" i="1"/>
  <c r="GL146" i="1"/>
  <c r="GM143" i="1"/>
  <c r="GT134" i="1"/>
  <c r="GL134" i="1"/>
  <c r="GO133" i="1"/>
  <c r="GM131" i="1"/>
  <c r="GP130" i="1"/>
  <c r="GO113" i="1"/>
  <c r="GM100" i="1"/>
  <c r="GO97" i="1"/>
  <c r="GM92" i="1"/>
  <c r="GK55" i="1"/>
  <c r="GO19" i="1"/>
  <c r="GQ132" i="1"/>
  <c r="GT131" i="1"/>
  <c r="GL131" i="1"/>
  <c r="GO130" i="1"/>
  <c r="GT100" i="1"/>
  <c r="GL100" i="1"/>
  <c r="GT92" i="1"/>
  <c r="GL92" i="1"/>
  <c r="GP144" i="1"/>
  <c r="GS143" i="1"/>
  <c r="GK143" i="1"/>
  <c r="GL136" i="1"/>
  <c r="GO135" i="1"/>
  <c r="GR134" i="1"/>
  <c r="GM133" i="1"/>
  <c r="GP132" i="1"/>
  <c r="GS131" i="1"/>
  <c r="GK131" i="1"/>
  <c r="GN130" i="1"/>
  <c r="GO118" i="1"/>
  <c r="GM113" i="1"/>
  <c r="GS100" i="1"/>
  <c r="GK100" i="1"/>
  <c r="GO98" i="1"/>
  <c r="GM97" i="1"/>
  <c r="GS92" i="1"/>
  <c r="GK92" i="1"/>
  <c r="GL133" i="1"/>
  <c r="GL97" i="1"/>
  <c r="GM144" i="1"/>
  <c r="GQ147" i="1"/>
  <c r="GN98" i="1"/>
  <c r="GN55" i="1"/>
  <c r="GP147" i="1"/>
  <c r="GK145" i="1"/>
  <c r="GR145" i="1"/>
  <c r="GS142" i="1"/>
  <c r="GQ136" i="1"/>
  <c r="GQ123" i="1"/>
  <c r="GQ145" i="1"/>
  <c r="GP145" i="1"/>
  <c r="GQ142" i="1"/>
  <c r="GQ150" i="1"/>
  <c r="GT147" i="1"/>
  <c r="GL147" i="1"/>
  <c r="GO145" i="1"/>
  <c r="GR144" i="1"/>
  <c r="GP142" i="1"/>
  <c r="GS141" i="1"/>
  <c r="GK141" i="1"/>
  <c r="GN136" i="1"/>
  <c r="GQ135" i="1"/>
  <c r="GR132" i="1"/>
  <c r="GS129" i="1"/>
  <c r="GN123" i="1"/>
  <c r="GQ118" i="1"/>
  <c r="GS99" i="1"/>
  <c r="GQ98" i="1"/>
  <c r="GS73" i="1"/>
  <c r="GK73" i="1"/>
  <c r="GQ55" i="1"/>
  <c r="GN145" i="1"/>
  <c r="GQ144" i="1"/>
  <c r="GO142" i="1"/>
  <c r="GR141" i="1"/>
  <c r="GM136" i="1"/>
  <c r="GR129" i="1"/>
  <c r="GM123" i="1"/>
  <c r="GR99" i="1"/>
  <c r="GR73" i="1"/>
  <c r="GP55" i="1"/>
  <c r="GR147" i="1"/>
  <c r="GM145" i="1"/>
  <c r="GN142" i="1"/>
  <c r="GQ141" i="1"/>
  <c r="GT136" i="1"/>
  <c r="GQ129" i="1"/>
  <c r="GT123" i="1"/>
  <c r="GL123" i="1"/>
  <c r="DB118" i="1"/>
  <c r="CZ118" i="1" s="1"/>
  <c r="GQ99" i="1"/>
  <c r="GQ73" i="1"/>
  <c r="GQ133" i="1"/>
  <c r="GT132" i="1"/>
  <c r="GL132" i="1"/>
  <c r="GR130" i="1"/>
  <c r="GM129" i="1"/>
  <c r="GP123" i="1"/>
  <c r="GS118" i="1"/>
  <c r="GQ113" i="1"/>
  <c r="GS98" i="1"/>
  <c r="GQ97" i="1"/>
  <c r="GS55" i="1"/>
  <c r="GQ19" i="1"/>
  <c r="GT141" i="1"/>
  <c r="GL141" i="1"/>
  <c r="GO136" i="1"/>
  <c r="GR135" i="1"/>
  <c r="GS132" i="1"/>
  <c r="GQ130" i="1"/>
  <c r="GT129" i="1"/>
  <c r="GL129" i="1"/>
  <c r="GO123" i="1"/>
  <c r="GR118" i="1"/>
  <c r="GT99" i="1"/>
  <c r="GL99" i="1"/>
  <c r="GR98" i="1"/>
  <c r="GT73" i="1"/>
  <c r="GL73" i="1"/>
  <c r="GR55" i="1"/>
  <c r="GQ146" i="1"/>
  <c r="GT145" i="1"/>
  <c r="GO144" i="1"/>
  <c r="GR143" i="1"/>
  <c r="GM142" i="1"/>
  <c r="GP141" i="1"/>
  <c r="GS136" i="1"/>
  <c r="GK136" i="1"/>
  <c r="GN135" i="1"/>
  <c r="GQ134" i="1"/>
  <c r="GT133" i="1"/>
  <c r="GO132" i="1"/>
  <c r="GR131" i="1"/>
  <c r="GP129" i="1"/>
  <c r="GS123" i="1"/>
  <c r="GK123" i="1"/>
  <c r="GN118" i="1"/>
  <c r="GT113" i="1"/>
  <c r="GR100" i="1"/>
  <c r="GP99" i="1"/>
  <c r="GT97" i="1"/>
  <c r="GR92" i="1"/>
  <c r="GP73" i="1"/>
  <c r="GT19" i="1"/>
  <c r="GP146" i="1"/>
  <c r="GS145" i="1"/>
  <c r="GN144" i="1"/>
  <c r="GQ143" i="1"/>
  <c r="GT142" i="1"/>
  <c r="GL142" i="1"/>
  <c r="GO141" i="1"/>
  <c r="GR136" i="1"/>
  <c r="GM135" i="1"/>
  <c r="GP134" i="1"/>
  <c r="GS133" i="1"/>
  <c r="GN132" i="1"/>
  <c r="GQ131" i="1"/>
  <c r="GT130" i="1"/>
  <c r="GL130" i="1"/>
  <c r="GO129" i="1"/>
  <c r="GR123" i="1"/>
  <c r="GM118" i="1"/>
  <c r="GS113" i="1"/>
  <c r="GQ100" i="1"/>
  <c r="GO99" i="1"/>
  <c r="GS97" i="1"/>
  <c r="GQ92" i="1"/>
  <c r="GO73" i="1"/>
  <c r="GM55" i="1"/>
  <c r="GS19" i="1"/>
  <c r="DM144" i="1"/>
  <c r="DI100" i="1"/>
  <c r="DO73" i="1"/>
  <c r="DO143" i="1"/>
  <c r="DI123" i="1"/>
  <c r="DF133" i="1"/>
  <c r="DK55" i="1"/>
  <c r="DJ142" i="1"/>
  <c r="DO118" i="1"/>
  <c r="DN98" i="1"/>
  <c r="DO135" i="1"/>
  <c r="DJ97" i="1"/>
  <c r="DH132" i="1"/>
  <c r="DN145" i="1"/>
  <c r="DN143" i="1"/>
  <c r="DL135" i="1"/>
  <c r="DJ131" i="1"/>
  <c r="DG118" i="1"/>
  <c r="DM145" i="1"/>
  <c r="DF135" i="1"/>
  <c r="DN133" i="1"/>
  <c r="DI98" i="1"/>
  <c r="DO130" i="1"/>
  <c r="DN130" i="1"/>
  <c r="DN100" i="1"/>
  <c r="DF100" i="1"/>
  <c r="DK145" i="1"/>
  <c r="DM136" i="1"/>
  <c r="DB133" i="1"/>
  <c r="CZ133" i="1" s="1"/>
  <c r="DJ133" i="1"/>
  <c r="DM100" i="1"/>
  <c r="DM98" i="1"/>
  <c r="DI144" i="1"/>
  <c r="DB142" i="1"/>
  <c r="CZ142" i="1" s="1"/>
  <c r="DM118" i="1"/>
  <c r="DL98" i="1"/>
  <c r="DN92" i="1"/>
  <c r="DL55" i="1"/>
  <c r="DB144" i="1"/>
  <c r="CZ144" i="1" s="1"/>
  <c r="DH144" i="1"/>
  <c r="DK136" i="1"/>
  <c r="DJ130" i="1"/>
  <c r="DM92" i="1"/>
  <c r="DI147" i="1"/>
  <c r="DL150" i="1"/>
  <c r="DH136" i="1"/>
  <c r="DG130" i="1"/>
  <c r="DC134" i="1"/>
  <c r="DA134" i="1" s="1"/>
  <c r="DI118" i="1"/>
  <c r="DI19" i="1"/>
  <c r="DF143" i="1"/>
  <c r="DL133" i="1"/>
  <c r="DF129" i="1"/>
  <c r="DH118" i="1"/>
  <c r="DG92" i="1"/>
  <c r="DO136" i="1"/>
  <c r="DF136" i="1"/>
  <c r="DI133" i="1"/>
  <c r="DI132" i="1"/>
  <c r="DL92" i="1"/>
  <c r="DL136" i="1"/>
  <c r="BG134" i="1"/>
  <c r="CY133" i="1" s="1"/>
  <c r="CW133" i="1" s="1"/>
  <c r="DK92" i="1"/>
  <c r="DM73" i="1"/>
  <c r="DN147" i="1"/>
  <c r="DF147" i="1"/>
  <c r="DJ147" i="1"/>
  <c r="BG141" i="1"/>
  <c r="DO141" i="1"/>
  <c r="DB141" i="1"/>
  <c r="CZ141" i="1" s="1"/>
  <c r="DG141" i="1"/>
  <c r="IS133" i="1"/>
  <c r="IT133" i="1"/>
  <c r="IT134" i="1"/>
  <c r="IS134" i="1"/>
  <c r="DK147" i="1"/>
  <c r="DI141" i="1"/>
  <c r="IS150" i="1"/>
  <c r="IT150" i="1"/>
  <c r="IS147" i="1"/>
  <c r="IT147" i="1"/>
  <c r="DK131" i="1"/>
  <c r="DH131" i="1"/>
  <c r="DC144" i="1"/>
  <c r="DA144" i="1" s="1"/>
  <c r="IS143" i="1"/>
  <c r="IT143" i="1"/>
  <c r="IS142" i="1"/>
  <c r="IT142" i="1"/>
  <c r="IS99" i="1"/>
  <c r="IT99" i="1"/>
  <c r="DO55" i="1"/>
  <c r="IS100" i="1"/>
  <c r="IT100" i="1"/>
  <c r="IS92" i="1"/>
  <c r="IT92" i="1"/>
  <c r="IS146" i="1"/>
  <c r="IT146" i="1"/>
  <c r="DC143" i="1"/>
  <c r="DA143" i="1" s="1"/>
  <c r="IS97" i="1"/>
  <c r="IT97" i="1"/>
  <c r="IS145" i="1"/>
  <c r="IT145" i="1"/>
  <c r="DK134" i="1"/>
  <c r="DC118" i="1"/>
  <c r="DA118" i="1" s="1"/>
  <c r="IS113" i="1"/>
  <c r="IT113" i="1"/>
  <c r="DH146" i="1"/>
  <c r="DG113" i="1"/>
  <c r="IS55" i="1"/>
  <c r="IT55" i="1"/>
  <c r="IS141" i="1"/>
  <c r="IT141" i="1"/>
  <c r="DL123" i="1"/>
  <c r="DK143" i="1"/>
  <c r="IS73" i="1"/>
  <c r="IT73" i="1"/>
  <c r="IS19" i="1"/>
  <c r="IT19" i="1"/>
  <c r="IS135" i="1"/>
  <c r="IT135" i="1"/>
  <c r="IS131" i="1"/>
  <c r="IT131" i="1"/>
  <c r="IS129" i="1"/>
  <c r="IT129" i="1"/>
  <c r="DH129" i="1"/>
  <c r="DL99" i="1"/>
  <c r="DL145" i="1"/>
  <c r="IT136" i="1"/>
  <c r="IS136" i="1"/>
  <c r="IS132" i="1"/>
  <c r="IT132" i="1"/>
  <c r="IS130" i="1"/>
  <c r="IT130" i="1"/>
  <c r="IS123" i="1"/>
  <c r="IT123" i="1"/>
  <c r="IS118" i="1"/>
  <c r="IT118" i="1"/>
  <c r="IS98" i="1"/>
  <c r="IT98" i="1"/>
  <c r="IS144" i="1"/>
  <c r="DM150" i="1"/>
  <c r="DK150" i="1"/>
  <c r="DJ150" i="1"/>
  <c r="DI150" i="1"/>
  <c r="DO150" i="1"/>
  <c r="BG150" i="1"/>
  <c r="DB150" i="1"/>
  <c r="CZ150" i="1" s="1"/>
  <c r="DC150" i="1"/>
  <c r="DA150" i="1" s="1"/>
  <c r="DG150" i="1"/>
  <c r="DN150" i="1"/>
  <c r="DF150" i="1"/>
  <c r="DH147" i="1"/>
  <c r="DM147" i="1"/>
  <c r="DH150" i="1"/>
  <c r="DB147" i="1"/>
  <c r="CZ147" i="1" s="1"/>
  <c r="BG147" i="1"/>
  <c r="DC147" i="1"/>
  <c r="DA147" i="1" s="1"/>
  <c r="DO147" i="1"/>
  <c r="DL147" i="1"/>
  <c r="DG147" i="1"/>
  <c r="DF145" i="1"/>
  <c r="DK146" i="1"/>
  <c r="DJ144" i="1"/>
  <c r="DK142" i="1"/>
  <c r="DB113" i="1"/>
  <c r="CZ113" i="1" s="1"/>
  <c r="DC113" i="1"/>
  <c r="DA113" i="1" s="1"/>
  <c r="BG113" i="1"/>
  <c r="DO113" i="1"/>
  <c r="DH123" i="1"/>
  <c r="DH141" i="1"/>
  <c r="DG144" i="1"/>
  <c r="DJ143" i="1"/>
  <c r="DO146" i="1"/>
  <c r="DM143" i="1"/>
  <c r="DJ134" i="1"/>
  <c r="DK133" i="1"/>
  <c r="DN141" i="1"/>
  <c r="DF131" i="1"/>
  <c r="DI145" i="1"/>
  <c r="DJ145" i="1"/>
  <c r="DO144" i="1"/>
  <c r="BG144" i="1"/>
  <c r="DJ132" i="1"/>
  <c r="DL146" i="1"/>
  <c r="DH145" i="1"/>
  <c r="DG145" i="1"/>
  <c r="DF141" i="1"/>
  <c r="DM135" i="1"/>
  <c r="DM146" i="1"/>
  <c r="DN146" i="1"/>
  <c r="DB135" i="1"/>
  <c r="CZ135" i="1" s="1"/>
  <c r="BG135" i="1"/>
  <c r="BF135" i="1" s="1"/>
  <c r="DC135" i="1"/>
  <c r="DA135" i="1" s="1"/>
  <c r="DG134" i="1"/>
  <c r="DK129" i="1"/>
  <c r="DL143" i="1"/>
  <c r="DL142" i="1"/>
  <c r="DM142" i="1"/>
  <c r="DN142" i="1"/>
  <c r="DF142" i="1"/>
  <c r="DJ141" i="1"/>
  <c r="DH134" i="1"/>
  <c r="DK144" i="1"/>
  <c r="DH143" i="1"/>
  <c r="DN136" i="1"/>
  <c r="DJ135" i="1"/>
  <c r="DI129" i="1"/>
  <c r="DL118" i="1"/>
  <c r="DB146" i="1"/>
  <c r="CZ146" i="1" s="1"/>
  <c r="DC146" i="1"/>
  <c r="DA146" i="1" s="1"/>
  <c r="BG146" i="1"/>
  <c r="BF146" i="1" s="1"/>
  <c r="DG146" i="1"/>
  <c r="DB145" i="1"/>
  <c r="CZ145" i="1" s="1"/>
  <c r="BG145" i="1"/>
  <c r="BF145" i="1" s="1"/>
  <c r="BE145" i="1" s="1"/>
  <c r="DC145" i="1"/>
  <c r="DA145" i="1" s="1"/>
  <c r="DO145" i="1"/>
  <c r="DG142" i="1"/>
  <c r="DK141" i="1"/>
  <c r="DB131" i="1"/>
  <c r="CZ131" i="1" s="1"/>
  <c r="DC131" i="1"/>
  <c r="DA131" i="1" s="1"/>
  <c r="DO131" i="1"/>
  <c r="BG131" i="1"/>
  <c r="DG131" i="1"/>
  <c r="DI136" i="1"/>
  <c r="DG136" i="1"/>
  <c r="DG129" i="1"/>
  <c r="DK118" i="1"/>
  <c r="DM113" i="1"/>
  <c r="DI146" i="1"/>
  <c r="DI143" i="1"/>
  <c r="DI142" i="1"/>
  <c r="DB136" i="1"/>
  <c r="CZ136" i="1" s="1"/>
  <c r="BG136" i="1"/>
  <c r="DC136" i="1"/>
  <c r="DA136" i="1" s="1"/>
  <c r="DI134" i="1"/>
  <c r="DN131" i="1"/>
  <c r="DM129" i="1"/>
  <c r="DJ146" i="1"/>
  <c r="DB143" i="1"/>
  <c r="CZ143" i="1" s="1"/>
  <c r="BG143" i="1"/>
  <c r="DN135" i="1"/>
  <c r="BG133" i="1"/>
  <c r="BF133" i="1" s="1"/>
  <c r="DC133" i="1"/>
  <c r="DA133" i="1" s="1"/>
  <c r="DO133" i="1"/>
  <c r="DG133" i="1"/>
  <c r="DG132" i="1"/>
  <c r="DF130" i="1"/>
  <c r="DJ118" i="1"/>
  <c r="DN144" i="1"/>
  <c r="DF144" i="1"/>
  <c r="DL144" i="1"/>
  <c r="DC142" i="1"/>
  <c r="DA142" i="1" s="1"/>
  <c r="DO142" i="1"/>
  <c r="BG142" i="1"/>
  <c r="BF142" i="1" s="1"/>
  <c r="DL141" i="1"/>
  <c r="DG143" i="1"/>
  <c r="DF146" i="1"/>
  <c r="DH135" i="1"/>
  <c r="DH142" i="1"/>
  <c r="DM141" i="1"/>
  <c r="DG135" i="1"/>
  <c r="DF134" i="1"/>
  <c r="DO134" i="1"/>
  <c r="DB134" i="1"/>
  <c r="CZ134" i="1" s="1"/>
  <c r="DM133" i="1"/>
  <c r="DB132" i="1"/>
  <c r="CZ132" i="1" s="1"/>
  <c r="DC132" i="1"/>
  <c r="DA132" i="1" s="1"/>
  <c r="DO132" i="1"/>
  <c r="BG132" i="1"/>
  <c r="BF132" i="1" s="1"/>
  <c r="BE132" i="1" s="1"/>
  <c r="DL131" i="1"/>
  <c r="DM131" i="1"/>
  <c r="DO123" i="1"/>
  <c r="DB123" i="1"/>
  <c r="CZ123" i="1" s="1"/>
  <c r="DC123" i="1"/>
  <c r="DA123" i="1" s="1"/>
  <c r="BG123" i="1"/>
  <c r="DG123" i="1"/>
  <c r="DJ136" i="1"/>
  <c r="DN134" i="1"/>
  <c r="DH133" i="1"/>
  <c r="DN132" i="1"/>
  <c r="DL130" i="1"/>
  <c r="DN123" i="1"/>
  <c r="DF123" i="1"/>
  <c r="DK113" i="1"/>
  <c r="DJ113" i="1"/>
  <c r="DN113" i="1"/>
  <c r="DJ100" i="1"/>
  <c r="DC141" i="1"/>
  <c r="DA141" i="1" s="1"/>
  <c r="DK130" i="1"/>
  <c r="DL129" i="1"/>
  <c r="DH99" i="1"/>
  <c r="DJ99" i="1"/>
  <c r="DM99" i="1"/>
  <c r="DN99" i="1"/>
  <c r="DO99" i="1"/>
  <c r="DB99" i="1"/>
  <c r="CZ99" i="1" s="1"/>
  <c r="DC99" i="1"/>
  <c r="DA99" i="1" s="1"/>
  <c r="BG99" i="1"/>
  <c r="BF99" i="1" s="1"/>
  <c r="DI135" i="1"/>
  <c r="DM134" i="1"/>
  <c r="DM132" i="1"/>
  <c r="DI130" i="1"/>
  <c r="DM123" i="1"/>
  <c r="DF113" i="1"/>
  <c r="BG98" i="1"/>
  <c r="DO98" i="1"/>
  <c r="DC98" i="1"/>
  <c r="DA98" i="1" s="1"/>
  <c r="DB98" i="1"/>
  <c r="CZ98" i="1" s="1"/>
  <c r="DL134" i="1"/>
  <c r="DL132" i="1"/>
  <c r="DI131" i="1"/>
  <c r="DH130" i="1"/>
  <c r="BG129" i="1"/>
  <c r="DB129" i="1"/>
  <c r="CZ129" i="1" s="1"/>
  <c r="DC129" i="1"/>
  <c r="DA129" i="1" s="1"/>
  <c r="DO129" i="1"/>
  <c r="DJ123" i="1"/>
  <c r="DB100" i="1"/>
  <c r="CZ100" i="1" s="1"/>
  <c r="BG100" i="1"/>
  <c r="BF100" i="1" s="1"/>
  <c r="DC100" i="1"/>
  <c r="DA100" i="1" s="1"/>
  <c r="DO100" i="1"/>
  <c r="DG100" i="1"/>
  <c r="DK135" i="1"/>
  <c r="DK132" i="1"/>
  <c r="DM130" i="1"/>
  <c r="DN129" i="1"/>
  <c r="DK99" i="1"/>
  <c r="DF132" i="1"/>
  <c r="BG130" i="1"/>
  <c r="DC130" i="1"/>
  <c r="DA130" i="1" s="1"/>
  <c r="DB130" i="1"/>
  <c r="CZ130" i="1" s="1"/>
  <c r="BG118" i="1"/>
  <c r="DF97" i="1"/>
  <c r="DK123" i="1"/>
  <c r="DH100" i="1"/>
  <c r="DI113" i="1"/>
  <c r="DK100" i="1"/>
  <c r="DF98" i="1"/>
  <c r="DC97" i="1"/>
  <c r="DA97" i="1" s="1"/>
  <c r="BG97" i="1"/>
  <c r="DB97" i="1"/>
  <c r="CZ97" i="1" s="1"/>
  <c r="DO97" i="1"/>
  <c r="DJ92" i="1"/>
  <c r="DJ129" i="1"/>
  <c r="DN118" i="1"/>
  <c r="DF118" i="1"/>
  <c r="DM97" i="1"/>
  <c r="DH113" i="1"/>
  <c r="DH55" i="1"/>
  <c r="DK98" i="1"/>
  <c r="DH92" i="1"/>
  <c r="DL113" i="1"/>
  <c r="DJ98" i="1"/>
  <c r="DL100" i="1"/>
  <c r="DG99" i="1"/>
  <c r="DI99" i="1"/>
  <c r="DF99" i="1"/>
  <c r="DH97" i="1"/>
  <c r="DJ55" i="1"/>
  <c r="DK97" i="1"/>
  <c r="DG98" i="1"/>
  <c r="DI97" i="1"/>
  <c r="DL97" i="1"/>
  <c r="DN97" i="1"/>
  <c r="DO92" i="1"/>
  <c r="DC92" i="1"/>
  <c r="DA92" i="1" s="1"/>
  <c r="BG92" i="1"/>
  <c r="DB92" i="1"/>
  <c r="CZ92" i="1" s="1"/>
  <c r="DK73" i="1"/>
  <c r="DH98" i="1"/>
  <c r="DN19" i="1"/>
  <c r="DF19" i="1"/>
  <c r="DM19" i="1"/>
  <c r="DG97" i="1"/>
  <c r="DF92" i="1"/>
  <c r="DL73" i="1"/>
  <c r="DI92" i="1"/>
  <c r="DH73" i="1"/>
  <c r="DM55" i="1"/>
  <c r="DN73" i="1"/>
  <c r="DF73" i="1"/>
  <c r="DF55" i="1"/>
  <c r="DG73" i="1"/>
  <c r="DJ73" i="1"/>
  <c r="DB55" i="1"/>
  <c r="CZ55" i="1" s="1"/>
  <c r="DC55" i="1"/>
  <c r="DA55" i="1" s="1"/>
  <c r="DG55" i="1"/>
  <c r="DK19" i="1"/>
  <c r="DI73" i="1"/>
  <c r="DN55" i="1"/>
  <c r="DJ19" i="1"/>
  <c r="DH19" i="1"/>
  <c r="BG55" i="1"/>
  <c r="DG19" i="1"/>
  <c r="BG73" i="1"/>
  <c r="DC73" i="1"/>
  <c r="DA73" i="1" s="1"/>
  <c r="DB73" i="1"/>
  <c r="CZ73" i="1" s="1"/>
  <c r="DI55" i="1"/>
  <c r="DL19" i="1"/>
  <c r="DB19" i="1"/>
  <c r="CZ19" i="1" s="1"/>
  <c r="BG19" i="1"/>
  <c r="BF19" i="1" s="1"/>
  <c r="BE19" i="1" s="1"/>
  <c r="BD19" i="1" s="1"/>
  <c r="BC19" i="1" s="1"/>
  <c r="BB19" i="1" s="1"/>
  <c r="BA19" i="1" s="1"/>
  <c r="AZ19" i="1" s="1"/>
  <c r="AZ20" i="1" s="1"/>
  <c r="DC19" i="1"/>
  <c r="DA19" i="1" s="1"/>
  <c r="DO19" i="1"/>
  <c r="B143" i="1"/>
  <c r="P143" i="1"/>
  <c r="G143" i="1"/>
  <c r="H143" i="1"/>
  <c r="S143" i="1"/>
  <c r="T143" i="1"/>
  <c r="K143" i="1"/>
  <c r="W143" i="1"/>
  <c r="J143" i="1"/>
  <c r="NH143" i="1"/>
  <c r="NI143" i="1"/>
  <c r="NJ143" i="1"/>
  <c r="B132" i="1"/>
  <c r="P132" i="1"/>
  <c r="G132" i="1"/>
  <c r="H132" i="1"/>
  <c r="R132" i="1"/>
  <c r="S132" i="1"/>
  <c r="T132" i="1"/>
  <c r="K132" i="1"/>
  <c r="W132" i="1"/>
  <c r="J132" i="1"/>
  <c r="NH132" i="1"/>
  <c r="NI132" i="1"/>
  <c r="NJ132" i="1"/>
  <c r="B147" i="1"/>
  <c r="B150" i="1"/>
  <c r="P147" i="1"/>
  <c r="P150" i="1"/>
  <c r="G147" i="1"/>
  <c r="G150" i="1"/>
  <c r="H147" i="1"/>
  <c r="H150" i="1"/>
  <c r="R147" i="1"/>
  <c r="R150" i="1"/>
  <c r="S147" i="1"/>
  <c r="S150" i="1"/>
  <c r="T147" i="1"/>
  <c r="T150" i="1"/>
  <c r="K147" i="1"/>
  <c r="K150" i="1"/>
  <c r="W147" i="1"/>
  <c r="W150" i="1"/>
  <c r="J147" i="1"/>
  <c r="J150" i="1"/>
  <c r="NH147" i="1"/>
  <c r="NH150" i="1"/>
  <c r="NI147" i="1"/>
  <c r="NI150" i="1"/>
  <c r="NJ147" i="1"/>
  <c r="NJ150" i="1"/>
  <c r="E81" i="12" l="1"/>
  <c r="E79" i="12"/>
  <c r="E82" i="12"/>
  <c r="BC149" i="1"/>
  <c r="CL148" i="1"/>
  <c r="CJ148" i="1" s="1"/>
  <c r="CM148" i="1"/>
  <c r="CK148" i="1" s="1"/>
  <c r="CX149" i="1"/>
  <c r="CV149" i="1" s="1"/>
  <c r="CY149" i="1"/>
  <c r="CW149" i="1" s="1"/>
  <c r="M124" i="1"/>
  <c r="O124" i="1" s="1"/>
  <c r="N124" i="1"/>
  <c r="CY128" i="1"/>
  <c r="CW128" i="1" s="1"/>
  <c r="CX128" i="1"/>
  <c r="CV128" i="1" s="1"/>
  <c r="BF129" i="1"/>
  <c r="CL127" i="1"/>
  <c r="CJ127" i="1" s="1"/>
  <c r="CM127" i="1"/>
  <c r="CK127" i="1" s="1"/>
  <c r="BC128" i="1"/>
  <c r="CI126" i="1"/>
  <c r="CG126" i="1" s="1"/>
  <c r="CH126" i="1"/>
  <c r="CF126" i="1" s="1"/>
  <c r="BB127" i="1"/>
  <c r="CD125" i="1"/>
  <c r="CB125" i="1" s="1"/>
  <c r="CE125" i="1"/>
  <c r="CC125" i="1" s="1"/>
  <c r="BA126" i="1"/>
  <c r="CC29" i="1"/>
  <c r="DE29" i="1"/>
  <c r="CB29" i="1"/>
  <c r="DD29" i="1"/>
  <c r="L29" i="1" s="1"/>
  <c r="CH28" i="1"/>
  <c r="CF28" i="1" s="1"/>
  <c r="CI28" i="1"/>
  <c r="CG28" i="1" s="1"/>
  <c r="BB29" i="1"/>
  <c r="CD30" i="1"/>
  <c r="CE30" i="1"/>
  <c r="BC32" i="1"/>
  <c r="CL31" i="1"/>
  <c r="CJ31" i="1" s="1"/>
  <c r="CM31" i="1"/>
  <c r="CK31" i="1" s="1"/>
  <c r="CM23" i="1"/>
  <c r="CK23" i="1" s="1"/>
  <c r="CM24" i="1"/>
  <c r="CK24" i="1" s="1"/>
  <c r="CL24" i="1"/>
  <c r="CJ24" i="1" s="1"/>
  <c r="BC25" i="1"/>
  <c r="M46" i="1"/>
  <c r="O46" i="1" s="1"/>
  <c r="N46" i="1"/>
  <c r="M34" i="1"/>
  <c r="O34" i="1" s="1"/>
  <c r="N34" i="1"/>
  <c r="M26" i="1"/>
  <c r="O26" i="1" s="1"/>
  <c r="N26" i="1"/>
  <c r="CD23" i="1"/>
  <c r="CB23" i="1" s="1"/>
  <c r="CE23" i="1"/>
  <c r="CC23" i="1" s="1"/>
  <c r="CX54" i="1"/>
  <c r="CV54" i="1" s="1"/>
  <c r="CY54" i="1"/>
  <c r="CW54" i="1" s="1"/>
  <c r="BX38" i="1"/>
  <c r="DD38" i="1"/>
  <c r="L38" i="1" s="1"/>
  <c r="BY38" i="1"/>
  <c r="DE38" i="1"/>
  <c r="CH48" i="1"/>
  <c r="CF48" i="1" s="1"/>
  <c r="CI48" i="1"/>
  <c r="CG48" i="1" s="1"/>
  <c r="BB49" i="1"/>
  <c r="BF55" i="1"/>
  <c r="BE55" i="1" s="1"/>
  <c r="CH36" i="1"/>
  <c r="CF36" i="1" s="1"/>
  <c r="CI36" i="1"/>
  <c r="CG36" i="1" s="1"/>
  <c r="BB37" i="1"/>
  <c r="CH52" i="1"/>
  <c r="CF52" i="1" s="1"/>
  <c r="CI52" i="1"/>
  <c r="CG52" i="1" s="1"/>
  <c r="BB53" i="1"/>
  <c r="CL40" i="1"/>
  <c r="CJ40" i="1" s="1"/>
  <c r="CM40" i="1"/>
  <c r="CK40" i="1" s="1"/>
  <c r="BC41" i="1"/>
  <c r="CD44" i="1"/>
  <c r="CB44" i="1" s="1"/>
  <c r="CE44" i="1"/>
  <c r="CC44" i="1" s="1"/>
  <c r="BA45" i="1"/>
  <c r="CH32" i="1"/>
  <c r="CF32" i="1" s="1"/>
  <c r="CI32" i="1"/>
  <c r="CG32" i="1" s="1"/>
  <c r="BB33" i="1"/>
  <c r="CL20" i="1"/>
  <c r="CJ20" i="1" s="1"/>
  <c r="CM20" i="1"/>
  <c r="CK20" i="1" s="1"/>
  <c r="BC21" i="1"/>
  <c r="CX72" i="1"/>
  <c r="CV72" i="1" s="1"/>
  <c r="CY72" i="1"/>
  <c r="CW72" i="1" s="1"/>
  <c r="BF73" i="1"/>
  <c r="CI67" i="1"/>
  <c r="CG67" i="1" s="1"/>
  <c r="CH67" i="1"/>
  <c r="CF67" i="1" s="1"/>
  <c r="BB68" i="1"/>
  <c r="CL69" i="1"/>
  <c r="CJ69" i="1" s="1"/>
  <c r="CM69" i="1"/>
  <c r="CK69" i="1" s="1"/>
  <c r="BC70" i="1"/>
  <c r="CM58" i="1"/>
  <c r="CK58" i="1" s="1"/>
  <c r="CL58" i="1"/>
  <c r="CJ58" i="1" s="1"/>
  <c r="BC59" i="1"/>
  <c r="CH57" i="1"/>
  <c r="CF57" i="1" s="1"/>
  <c r="CI57" i="1"/>
  <c r="CG57" i="1" s="1"/>
  <c r="BB58" i="1"/>
  <c r="CI62" i="1"/>
  <c r="CG62" i="1" s="1"/>
  <c r="CH62" i="1"/>
  <c r="CF62" i="1" s="1"/>
  <c r="BB63" i="1"/>
  <c r="CI68" i="1"/>
  <c r="CG68" i="1" s="1"/>
  <c r="CH68" i="1"/>
  <c r="CF68" i="1" s="1"/>
  <c r="BB69" i="1"/>
  <c r="BA71" i="1"/>
  <c r="CI60" i="1"/>
  <c r="CG60" i="1" s="1"/>
  <c r="CH60" i="1"/>
  <c r="CF60" i="1" s="1"/>
  <c r="BB61" i="1"/>
  <c r="CL66" i="1"/>
  <c r="CJ66" i="1" s="1"/>
  <c r="CM66" i="1"/>
  <c r="CK66" i="1" s="1"/>
  <c r="BC67" i="1"/>
  <c r="CL61" i="1"/>
  <c r="CJ61" i="1" s="1"/>
  <c r="CM61" i="1"/>
  <c r="CK61" i="1" s="1"/>
  <c r="BC62" i="1"/>
  <c r="CM64" i="1"/>
  <c r="CK64" i="1" s="1"/>
  <c r="CL64" i="1"/>
  <c r="CJ64" i="1" s="1"/>
  <c r="BC65" i="1"/>
  <c r="CI59" i="1"/>
  <c r="CG59" i="1" s="1"/>
  <c r="CH59" i="1"/>
  <c r="CF59" i="1" s="1"/>
  <c r="BB60" i="1"/>
  <c r="CL71" i="1"/>
  <c r="CJ71" i="1" s="1"/>
  <c r="CM71" i="1"/>
  <c r="CK71" i="1" s="1"/>
  <c r="BC72" i="1"/>
  <c r="CL65" i="1"/>
  <c r="CJ65" i="1" s="1"/>
  <c r="CM65" i="1"/>
  <c r="CK65" i="1" s="1"/>
  <c r="BC66" i="1"/>
  <c r="CM56" i="1"/>
  <c r="CK56" i="1" s="1"/>
  <c r="CL56" i="1"/>
  <c r="CJ56" i="1" s="1"/>
  <c r="BC57" i="1"/>
  <c r="CE63" i="1"/>
  <c r="CC63" i="1" s="1"/>
  <c r="CD63" i="1"/>
  <c r="CB63" i="1" s="1"/>
  <c r="BA64" i="1"/>
  <c r="CI70" i="1"/>
  <c r="CG70" i="1" s="1"/>
  <c r="CH70" i="1"/>
  <c r="CF70" i="1" s="1"/>
  <c r="CM90" i="1"/>
  <c r="CK90" i="1" s="1"/>
  <c r="CL90" i="1"/>
  <c r="CJ90" i="1" s="1"/>
  <c r="BC91" i="1"/>
  <c r="CY91" i="1"/>
  <c r="CW91" i="1" s="1"/>
  <c r="CX91" i="1"/>
  <c r="CV91" i="1" s="1"/>
  <c r="CL79" i="1"/>
  <c r="CJ79" i="1" s="1"/>
  <c r="CM79" i="1"/>
  <c r="CK79" i="1" s="1"/>
  <c r="BC80" i="1"/>
  <c r="CE88" i="1"/>
  <c r="CC88" i="1" s="1"/>
  <c r="CD88" i="1"/>
  <c r="CB88" i="1" s="1"/>
  <c r="BA89" i="1"/>
  <c r="CI75" i="1"/>
  <c r="CG75" i="1" s="1"/>
  <c r="CH75" i="1"/>
  <c r="CF75" i="1" s="1"/>
  <c r="BB76" i="1"/>
  <c r="CH77" i="1"/>
  <c r="CF77" i="1" s="1"/>
  <c r="CI77" i="1"/>
  <c r="CG77" i="1" s="1"/>
  <c r="BB78" i="1"/>
  <c r="CH86" i="1"/>
  <c r="CF86" i="1" s="1"/>
  <c r="CI86" i="1"/>
  <c r="CG86" i="1" s="1"/>
  <c r="BB87" i="1"/>
  <c r="CH81" i="1"/>
  <c r="CF81" i="1" s="1"/>
  <c r="CI81" i="1"/>
  <c r="CG81" i="1" s="1"/>
  <c r="BB82" i="1"/>
  <c r="CH80" i="1"/>
  <c r="CF80" i="1" s="1"/>
  <c r="CI80" i="1"/>
  <c r="CG80" i="1" s="1"/>
  <c r="BB81" i="1"/>
  <c r="CI87" i="1"/>
  <c r="CG87" i="1" s="1"/>
  <c r="CH87" i="1"/>
  <c r="CF87" i="1" s="1"/>
  <c r="BB88" i="1"/>
  <c r="CH78" i="1"/>
  <c r="CF78" i="1" s="1"/>
  <c r="CI78" i="1"/>
  <c r="CG78" i="1" s="1"/>
  <c r="BB79" i="1"/>
  <c r="CI76" i="1"/>
  <c r="CG76" i="1" s="1"/>
  <c r="CH76" i="1"/>
  <c r="CF76" i="1" s="1"/>
  <c r="BB77" i="1"/>
  <c r="CH84" i="1"/>
  <c r="CF84" i="1" s="1"/>
  <c r="CI84" i="1"/>
  <c r="CG84" i="1" s="1"/>
  <c r="BB85" i="1"/>
  <c r="CH85" i="1"/>
  <c r="CF85" i="1" s="1"/>
  <c r="CI85" i="1"/>
  <c r="CG85" i="1" s="1"/>
  <c r="BB86" i="1"/>
  <c r="CM74" i="1"/>
  <c r="CK74" i="1" s="1"/>
  <c r="CL74" i="1"/>
  <c r="CJ74" i="1" s="1"/>
  <c r="BC75" i="1"/>
  <c r="CM82" i="1"/>
  <c r="CK82" i="1" s="1"/>
  <c r="CL82" i="1"/>
  <c r="CJ82" i="1" s="1"/>
  <c r="BC83" i="1"/>
  <c r="CL83" i="1"/>
  <c r="CJ83" i="1" s="1"/>
  <c r="CM83" i="1"/>
  <c r="CK83" i="1" s="1"/>
  <c r="BC84" i="1"/>
  <c r="CD89" i="1"/>
  <c r="CB89" i="1" s="1"/>
  <c r="CE89" i="1"/>
  <c r="CC89" i="1" s="1"/>
  <c r="CX112" i="1"/>
  <c r="CV112" i="1" s="1"/>
  <c r="CY112" i="1"/>
  <c r="CW112" i="1" s="1"/>
  <c r="BF113" i="1"/>
  <c r="BE113" i="1" s="1"/>
  <c r="CI111" i="1"/>
  <c r="CG111" i="1" s="1"/>
  <c r="CH111" i="1"/>
  <c r="CF111" i="1" s="1"/>
  <c r="BB112" i="1"/>
  <c r="CH101" i="1"/>
  <c r="CF101" i="1" s="1"/>
  <c r="CI101" i="1"/>
  <c r="CG101" i="1" s="1"/>
  <c r="BB102" i="1"/>
  <c r="CM110" i="1"/>
  <c r="CK110" i="1" s="1"/>
  <c r="CL110" i="1"/>
  <c r="CJ110" i="1" s="1"/>
  <c r="BC111" i="1"/>
  <c r="CM103" i="1"/>
  <c r="CK103" i="1" s="1"/>
  <c r="CL103" i="1"/>
  <c r="CJ103" i="1" s="1"/>
  <c r="BC104" i="1"/>
  <c r="CM102" i="1"/>
  <c r="CK102" i="1" s="1"/>
  <c r="CL102" i="1"/>
  <c r="CJ102" i="1" s="1"/>
  <c r="BC103" i="1"/>
  <c r="CH109" i="1"/>
  <c r="CF109" i="1" s="1"/>
  <c r="CI109" i="1"/>
  <c r="CG109" i="1" s="1"/>
  <c r="BB110" i="1"/>
  <c r="CM107" i="1"/>
  <c r="CK107" i="1" s="1"/>
  <c r="CL107" i="1"/>
  <c r="CJ107" i="1" s="1"/>
  <c r="BC108" i="1"/>
  <c r="CH105" i="1"/>
  <c r="CF105" i="1" s="1"/>
  <c r="CI105" i="1"/>
  <c r="CG105" i="1" s="1"/>
  <c r="BB106" i="1"/>
  <c r="CD108" i="1"/>
  <c r="CB108" i="1" s="1"/>
  <c r="CE108" i="1"/>
  <c r="CC108" i="1" s="1"/>
  <c r="BA109" i="1"/>
  <c r="CH104" i="1"/>
  <c r="CF104" i="1" s="1"/>
  <c r="CI104" i="1"/>
  <c r="CG104" i="1" s="1"/>
  <c r="BB105" i="1"/>
  <c r="CI106" i="1"/>
  <c r="CG106" i="1" s="1"/>
  <c r="CH106" i="1"/>
  <c r="CF106" i="1" s="1"/>
  <c r="BB107" i="1"/>
  <c r="CX117" i="1"/>
  <c r="CV117" i="1" s="1"/>
  <c r="CY117" i="1"/>
  <c r="CW117" i="1" s="1"/>
  <c r="CI116" i="1"/>
  <c r="CG116" i="1" s="1"/>
  <c r="CH116" i="1"/>
  <c r="CF116" i="1" s="1"/>
  <c r="BB117" i="1"/>
  <c r="CM115" i="1"/>
  <c r="CK115" i="1" s="1"/>
  <c r="CL115" i="1"/>
  <c r="CJ115" i="1" s="1"/>
  <c r="BC116" i="1"/>
  <c r="CM114" i="1"/>
  <c r="CK114" i="1" s="1"/>
  <c r="CL114" i="1"/>
  <c r="CJ114" i="1" s="1"/>
  <c r="BC115" i="1"/>
  <c r="BZ95" i="1"/>
  <c r="CA95" i="1"/>
  <c r="CM93" i="1"/>
  <c r="CK93" i="1" s="1"/>
  <c r="CL93" i="1"/>
  <c r="CJ93" i="1" s="1"/>
  <c r="BC94" i="1"/>
  <c r="BF97" i="1"/>
  <c r="CX96" i="1"/>
  <c r="CV96" i="1" s="1"/>
  <c r="CY96" i="1"/>
  <c r="CW96" i="1" s="1"/>
  <c r="CM94" i="1"/>
  <c r="CK94" i="1" s="1"/>
  <c r="CL94" i="1"/>
  <c r="CJ94" i="1" s="1"/>
  <c r="BC95" i="1"/>
  <c r="CM121" i="1"/>
  <c r="CK121" i="1" s="1"/>
  <c r="CL121" i="1"/>
  <c r="CJ121" i="1" s="1"/>
  <c r="BF123" i="1"/>
  <c r="BE123" i="1" s="1"/>
  <c r="CX122" i="1"/>
  <c r="CV122" i="1" s="1"/>
  <c r="CY122" i="1"/>
  <c r="CW122" i="1" s="1"/>
  <c r="CI119" i="1"/>
  <c r="CG119" i="1" s="1"/>
  <c r="CH119" i="1"/>
  <c r="CF119" i="1" s="1"/>
  <c r="BB120" i="1"/>
  <c r="CL120" i="1"/>
  <c r="CJ120" i="1" s="1"/>
  <c r="CM120" i="1"/>
  <c r="CK120" i="1" s="1"/>
  <c r="BC122" i="1"/>
  <c r="CY55" i="1"/>
  <c r="CW55" i="1" s="1"/>
  <c r="CY19" i="1"/>
  <c r="CW19" i="1" s="1"/>
  <c r="CY140" i="1"/>
  <c r="CW140" i="1" s="1"/>
  <c r="CX140" i="1"/>
  <c r="CV140" i="1" s="1"/>
  <c r="CY136" i="1"/>
  <c r="CW136" i="1" s="1"/>
  <c r="CY139" i="1"/>
  <c r="CW139" i="1" s="1"/>
  <c r="CX139" i="1"/>
  <c r="CV139" i="1" s="1"/>
  <c r="CI138" i="1"/>
  <c r="CG138" i="1" s="1"/>
  <c r="CH138" i="1"/>
  <c r="CF138" i="1" s="1"/>
  <c r="BB139" i="1"/>
  <c r="CM137" i="1"/>
  <c r="CK137" i="1" s="1"/>
  <c r="CL137" i="1"/>
  <c r="CJ137" i="1" s="1"/>
  <c r="BC138" i="1"/>
  <c r="E78" i="12"/>
  <c r="E80" i="12"/>
  <c r="J8" i="12"/>
  <c r="D8" i="12" s="1"/>
  <c r="O7" i="12"/>
  <c r="B7" i="12" s="1"/>
  <c r="K9" i="12"/>
  <c r="E9" i="12" s="1"/>
  <c r="O42" i="12"/>
  <c r="B42" i="12" s="1"/>
  <c r="J43" i="12"/>
  <c r="D43" i="12" s="1"/>
  <c r="CY146" i="1"/>
  <c r="CW146" i="1" s="1"/>
  <c r="CU19" i="1"/>
  <c r="CS19" i="1" s="1"/>
  <c r="CX19" i="1"/>
  <c r="CV19" i="1" s="1"/>
  <c r="CX146" i="1"/>
  <c r="CV146" i="1" s="1"/>
  <c r="CP55" i="1"/>
  <c r="CN55" i="1" s="1"/>
  <c r="CX55" i="1"/>
  <c r="CV55" i="1" s="1"/>
  <c r="CY100" i="1"/>
  <c r="CW100" i="1" s="1"/>
  <c r="CX100" i="1"/>
  <c r="CV100" i="1" s="1"/>
  <c r="BF141" i="1"/>
  <c r="BF134" i="1"/>
  <c r="CU133" i="1" s="1"/>
  <c r="CS133" i="1" s="1"/>
  <c r="CX133" i="1"/>
  <c r="CV133" i="1" s="1"/>
  <c r="CX136" i="1"/>
  <c r="CV136" i="1" s="1"/>
  <c r="CU123" i="1"/>
  <c r="CS123" i="1" s="1"/>
  <c r="CT123" i="1"/>
  <c r="CR123" i="1" s="1"/>
  <c r="CX142" i="1"/>
  <c r="CV142" i="1" s="1"/>
  <c r="CY142" i="1"/>
  <c r="CW142" i="1" s="1"/>
  <c r="CQ92" i="1"/>
  <c r="CO92" i="1" s="1"/>
  <c r="CP92" i="1"/>
  <c r="CN92" i="1" s="1"/>
  <c r="BF143" i="1"/>
  <c r="BE100" i="1"/>
  <c r="CX97" i="1"/>
  <c r="CV97" i="1" s="1"/>
  <c r="CY97" i="1"/>
  <c r="CW97" i="1" s="1"/>
  <c r="BF118" i="1"/>
  <c r="CX123" i="1"/>
  <c r="CV123" i="1" s="1"/>
  <c r="CY123" i="1"/>
  <c r="CW123" i="1" s="1"/>
  <c r="CU134" i="1"/>
  <c r="CS134" i="1" s="1"/>
  <c r="CT134" i="1"/>
  <c r="CR134" i="1" s="1"/>
  <c r="CP144" i="1"/>
  <c r="CN144" i="1" s="1"/>
  <c r="CQ144" i="1"/>
  <c r="CO144" i="1" s="1"/>
  <c r="BD145" i="1"/>
  <c r="CY130" i="1"/>
  <c r="CW130" i="1" s="1"/>
  <c r="CX130" i="1"/>
  <c r="CV130" i="1" s="1"/>
  <c r="BF131" i="1"/>
  <c r="CX99" i="1"/>
  <c r="CV99" i="1" s="1"/>
  <c r="CY99" i="1"/>
  <c r="CW99" i="1" s="1"/>
  <c r="BE135" i="1"/>
  <c r="CY143" i="1"/>
  <c r="CW143" i="1" s="1"/>
  <c r="CX143" i="1"/>
  <c r="CV143" i="1" s="1"/>
  <c r="BF144" i="1"/>
  <c r="CT150" i="1"/>
  <c r="CR150" i="1" s="1"/>
  <c r="CU150" i="1"/>
  <c r="CS150" i="1" s="1"/>
  <c r="CX150" i="1"/>
  <c r="CV150" i="1" s="1"/>
  <c r="CY150" i="1"/>
  <c r="CW150" i="1" s="1"/>
  <c r="CP131" i="1"/>
  <c r="CN131" i="1" s="1"/>
  <c r="CQ131" i="1"/>
  <c r="CO131" i="1" s="1"/>
  <c r="BD132" i="1"/>
  <c r="CU141" i="1"/>
  <c r="CS141" i="1" s="1"/>
  <c r="CT141" i="1"/>
  <c r="CR141" i="1" s="1"/>
  <c r="CU98" i="1"/>
  <c r="CS98" i="1" s="1"/>
  <c r="CT98" i="1"/>
  <c r="CR98" i="1" s="1"/>
  <c r="BF98" i="1"/>
  <c r="CU118" i="1"/>
  <c r="CS118" i="1" s="1"/>
  <c r="CT118" i="1"/>
  <c r="CR118" i="1" s="1"/>
  <c r="BE142" i="1"/>
  <c r="CX144" i="1"/>
  <c r="CV144" i="1" s="1"/>
  <c r="CY144" i="1"/>
  <c r="CW144" i="1" s="1"/>
  <c r="CY147" i="1"/>
  <c r="CW147" i="1" s="1"/>
  <c r="CX147" i="1"/>
  <c r="CV147" i="1" s="1"/>
  <c r="BF150" i="1"/>
  <c r="CT92" i="1"/>
  <c r="CR92" i="1" s="1"/>
  <c r="CU92" i="1"/>
  <c r="CS92" i="1" s="1"/>
  <c r="BE99" i="1"/>
  <c r="CP98" i="1" s="1"/>
  <c r="CN98" i="1" s="1"/>
  <c r="CT144" i="1"/>
  <c r="CR144" i="1" s="1"/>
  <c r="CU144" i="1"/>
  <c r="CS144" i="1" s="1"/>
  <c r="CT145" i="1"/>
  <c r="CR145" i="1" s="1"/>
  <c r="CU145" i="1"/>
  <c r="CS145" i="1" s="1"/>
  <c r="BE146" i="1"/>
  <c r="CX141" i="1"/>
  <c r="CV141" i="1" s="1"/>
  <c r="CY141" i="1"/>
  <c r="CW141" i="1" s="1"/>
  <c r="BF147" i="1"/>
  <c r="CT146" i="1" s="1"/>
  <c r="CR146" i="1" s="1"/>
  <c r="CT131" i="1"/>
  <c r="CR131" i="1" s="1"/>
  <c r="CU131" i="1"/>
  <c r="CS131" i="1" s="1"/>
  <c r="CX131" i="1"/>
  <c r="CV131" i="1" s="1"/>
  <c r="CY131" i="1"/>
  <c r="CW131" i="1" s="1"/>
  <c r="CX98" i="1"/>
  <c r="CV98" i="1" s="1"/>
  <c r="CY98" i="1"/>
  <c r="CW98" i="1" s="1"/>
  <c r="CY73" i="1"/>
  <c r="CW73" i="1" s="1"/>
  <c r="CX73" i="1"/>
  <c r="CV73" i="1" s="1"/>
  <c r="BF92" i="1"/>
  <c r="CX113" i="1"/>
  <c r="CV113" i="1" s="1"/>
  <c r="CY113" i="1"/>
  <c r="CW113" i="1" s="1"/>
  <c r="CX118" i="1"/>
  <c r="CV118" i="1" s="1"/>
  <c r="CY118" i="1"/>
  <c r="CW118" i="1" s="1"/>
  <c r="CX132" i="1"/>
  <c r="CV132" i="1" s="1"/>
  <c r="CY132" i="1"/>
  <c r="CW132" i="1" s="1"/>
  <c r="CY92" i="1"/>
  <c r="CW92" i="1" s="1"/>
  <c r="CX92" i="1"/>
  <c r="CV92" i="1" s="1"/>
  <c r="CT100" i="1"/>
  <c r="CR100" i="1" s="1"/>
  <c r="CU100" i="1"/>
  <c r="CS100" i="1" s="1"/>
  <c r="CX135" i="1"/>
  <c r="CV135" i="1" s="1"/>
  <c r="CY135" i="1"/>
  <c r="CW135" i="1" s="1"/>
  <c r="CY145" i="1"/>
  <c r="CW145" i="1" s="1"/>
  <c r="CX145" i="1"/>
  <c r="CV145" i="1" s="1"/>
  <c r="BF136" i="1"/>
  <c r="CX134" i="1"/>
  <c r="CV134" i="1" s="1"/>
  <c r="CY134" i="1"/>
  <c r="CW134" i="1" s="1"/>
  <c r="CX129" i="1"/>
  <c r="CV129" i="1" s="1"/>
  <c r="CY129" i="1"/>
  <c r="CW129" i="1" s="1"/>
  <c r="BF130" i="1"/>
  <c r="CT132" i="1"/>
  <c r="CR132" i="1" s="1"/>
  <c r="CU132" i="1"/>
  <c r="CS132" i="1" s="1"/>
  <c r="BE133" i="1"/>
  <c r="D143" i="1"/>
  <c r="R143" i="1"/>
  <c r="C143" i="1"/>
  <c r="D132" i="1"/>
  <c r="D147" i="1"/>
  <c r="D150" i="1"/>
  <c r="BB149" i="1" l="1"/>
  <c r="CH148" i="1"/>
  <c r="CF148" i="1" s="1"/>
  <c r="CI148" i="1"/>
  <c r="CG148" i="1" s="1"/>
  <c r="CT149" i="1"/>
  <c r="CR149" i="1" s="1"/>
  <c r="CU149" i="1"/>
  <c r="CS149" i="1" s="1"/>
  <c r="BE129" i="1"/>
  <c r="CT128" i="1"/>
  <c r="CR128" i="1" s="1"/>
  <c r="CU128" i="1"/>
  <c r="CS128" i="1" s="1"/>
  <c r="BZ125" i="1"/>
  <c r="CA125" i="1"/>
  <c r="CE126" i="1"/>
  <c r="CC126" i="1" s="1"/>
  <c r="CD126" i="1"/>
  <c r="CB126" i="1" s="1"/>
  <c r="BA127" i="1"/>
  <c r="CH127" i="1"/>
  <c r="CF127" i="1" s="1"/>
  <c r="CI127" i="1"/>
  <c r="CG127" i="1" s="1"/>
  <c r="BB128" i="1"/>
  <c r="M29" i="1"/>
  <c r="O29" i="1" s="1"/>
  <c r="N29" i="1"/>
  <c r="CB30" i="1"/>
  <c r="DD30" i="1"/>
  <c r="L30" i="1" s="1"/>
  <c r="CC30" i="1"/>
  <c r="DE30" i="1"/>
  <c r="BB32" i="1"/>
  <c r="CH31" i="1"/>
  <c r="CF31" i="1" s="1"/>
  <c r="CI31" i="1"/>
  <c r="CG31" i="1" s="1"/>
  <c r="CD28" i="1"/>
  <c r="CE28" i="1"/>
  <c r="BA29" i="1"/>
  <c r="BA30" i="1" s="1"/>
  <c r="BA31" i="1" s="1"/>
  <c r="CI24" i="1"/>
  <c r="CG24" i="1" s="1"/>
  <c r="CH24" i="1"/>
  <c r="CF24" i="1" s="1"/>
  <c r="BB25" i="1"/>
  <c r="M38" i="1"/>
  <c r="O38" i="1" s="1"/>
  <c r="N38" i="1"/>
  <c r="BZ23" i="1"/>
  <c r="CA23" i="1"/>
  <c r="CP54" i="1"/>
  <c r="CN54" i="1" s="1"/>
  <c r="CQ54" i="1"/>
  <c r="CO54" i="1" s="1"/>
  <c r="CT54" i="1"/>
  <c r="CR54" i="1" s="1"/>
  <c r="CU54" i="1"/>
  <c r="CS54" i="1" s="1"/>
  <c r="CH40" i="1"/>
  <c r="CF40" i="1" s="1"/>
  <c r="CI40" i="1"/>
  <c r="CG40" i="1" s="1"/>
  <c r="BB41" i="1"/>
  <c r="CH20" i="1"/>
  <c r="CF20" i="1" s="1"/>
  <c r="CI20" i="1"/>
  <c r="CG20" i="1" s="1"/>
  <c r="BB21" i="1"/>
  <c r="BZ44" i="1"/>
  <c r="CA44" i="1"/>
  <c r="CD36" i="1"/>
  <c r="CB36" i="1" s="1"/>
  <c r="CE36" i="1"/>
  <c r="CC36" i="1" s="1"/>
  <c r="BA37" i="1"/>
  <c r="CD48" i="1"/>
  <c r="CB48" i="1" s="1"/>
  <c r="CE48" i="1"/>
  <c r="CC48" i="1" s="1"/>
  <c r="BA49" i="1"/>
  <c r="CD32" i="1"/>
  <c r="CB32" i="1" s="1"/>
  <c r="CE32" i="1"/>
  <c r="CC32" i="1" s="1"/>
  <c r="BA33" i="1"/>
  <c r="CD52" i="1"/>
  <c r="CB52" i="1" s="1"/>
  <c r="CE52" i="1"/>
  <c r="CC52" i="1" s="1"/>
  <c r="BA53" i="1"/>
  <c r="CT72" i="1"/>
  <c r="CR72" i="1" s="1"/>
  <c r="CU72" i="1"/>
  <c r="CS72" i="1" s="1"/>
  <c r="CI56" i="1"/>
  <c r="CG56" i="1" s="1"/>
  <c r="CH56" i="1"/>
  <c r="CF56" i="1" s="1"/>
  <c r="BB57" i="1"/>
  <c r="CI64" i="1"/>
  <c r="CG64" i="1" s="1"/>
  <c r="CH64" i="1"/>
  <c r="CF64" i="1" s="1"/>
  <c r="BB65" i="1"/>
  <c r="CE70" i="1"/>
  <c r="CC70" i="1" s="1"/>
  <c r="CD70" i="1"/>
  <c r="CB70" i="1" s="1"/>
  <c r="CH65" i="1"/>
  <c r="CF65" i="1" s="1"/>
  <c r="CI65" i="1"/>
  <c r="CG65" i="1" s="1"/>
  <c r="BB66" i="1"/>
  <c r="CH61" i="1"/>
  <c r="CF61" i="1" s="1"/>
  <c r="CI61" i="1"/>
  <c r="CG61" i="1" s="1"/>
  <c r="BB62" i="1"/>
  <c r="CI66" i="1"/>
  <c r="CG66" i="1" s="1"/>
  <c r="CH66" i="1"/>
  <c r="CF66" i="1" s="1"/>
  <c r="BB67" i="1"/>
  <c r="CE68" i="1"/>
  <c r="CC68" i="1" s="1"/>
  <c r="CD68" i="1"/>
  <c r="CB68" i="1" s="1"/>
  <c r="BA69" i="1"/>
  <c r="CH69" i="1"/>
  <c r="CF69" i="1" s="1"/>
  <c r="CI69" i="1"/>
  <c r="CG69" i="1" s="1"/>
  <c r="BB70" i="1"/>
  <c r="CI71" i="1"/>
  <c r="CG71" i="1" s="1"/>
  <c r="CH71" i="1"/>
  <c r="CF71" i="1" s="1"/>
  <c r="BB72" i="1"/>
  <c r="CE62" i="1"/>
  <c r="CC62" i="1" s="1"/>
  <c r="CD62" i="1"/>
  <c r="CB62" i="1" s="1"/>
  <c r="BA63" i="1"/>
  <c r="CI58" i="1"/>
  <c r="CG58" i="1" s="1"/>
  <c r="CH58" i="1"/>
  <c r="CF58" i="1" s="1"/>
  <c r="BB59" i="1"/>
  <c r="CE67" i="1"/>
  <c r="CC67" i="1" s="1"/>
  <c r="CD67" i="1"/>
  <c r="CB67" i="1" s="1"/>
  <c r="BA68" i="1"/>
  <c r="CA63" i="1"/>
  <c r="BZ63" i="1"/>
  <c r="CE59" i="1"/>
  <c r="CC59" i="1" s="1"/>
  <c r="CD59" i="1"/>
  <c r="CB59" i="1" s="1"/>
  <c r="BA60" i="1"/>
  <c r="CE60" i="1"/>
  <c r="CC60" i="1" s="1"/>
  <c r="CD60" i="1"/>
  <c r="CB60" i="1" s="1"/>
  <c r="BA61" i="1"/>
  <c r="CD57" i="1"/>
  <c r="CB57" i="1" s="1"/>
  <c r="CE57" i="1"/>
  <c r="CC57" i="1" s="1"/>
  <c r="BA58" i="1"/>
  <c r="BE73" i="1"/>
  <c r="CI90" i="1"/>
  <c r="CG90" i="1" s="1"/>
  <c r="CH90" i="1"/>
  <c r="CF90" i="1" s="1"/>
  <c r="BB91" i="1"/>
  <c r="CT91" i="1"/>
  <c r="CR91" i="1" s="1"/>
  <c r="CU91" i="1"/>
  <c r="CS91" i="1" s="1"/>
  <c r="CH83" i="1"/>
  <c r="CF83" i="1" s="1"/>
  <c r="CI83" i="1"/>
  <c r="CG83" i="1" s="1"/>
  <c r="BB84" i="1"/>
  <c r="CE84" i="1"/>
  <c r="CC84" i="1" s="1"/>
  <c r="CD84" i="1"/>
  <c r="CB84" i="1" s="1"/>
  <c r="BA85" i="1"/>
  <c r="CE87" i="1"/>
  <c r="CC87" i="1" s="1"/>
  <c r="CD87" i="1"/>
  <c r="CB87" i="1" s="1"/>
  <c r="BA88" i="1"/>
  <c r="CH82" i="1"/>
  <c r="CF82" i="1" s="1"/>
  <c r="CI82" i="1"/>
  <c r="CG82" i="1" s="1"/>
  <c r="BB83" i="1"/>
  <c r="CE76" i="1"/>
  <c r="CC76" i="1" s="1"/>
  <c r="CD76" i="1"/>
  <c r="CB76" i="1" s="1"/>
  <c r="BA77" i="1"/>
  <c r="CD86" i="1"/>
  <c r="CB86" i="1" s="1"/>
  <c r="CE86" i="1"/>
  <c r="CC86" i="1" s="1"/>
  <c r="BA87" i="1"/>
  <c r="CA88" i="1"/>
  <c r="BZ88" i="1"/>
  <c r="CU73" i="1"/>
  <c r="CS73" i="1" s="1"/>
  <c r="CH74" i="1"/>
  <c r="CF74" i="1" s="1"/>
  <c r="CI74" i="1"/>
  <c r="CG74" i="1" s="1"/>
  <c r="BB75" i="1"/>
  <c r="CD78" i="1"/>
  <c r="CB78" i="1" s="1"/>
  <c r="CE78" i="1"/>
  <c r="CC78" i="1" s="1"/>
  <c r="BA79" i="1"/>
  <c r="CE80" i="1"/>
  <c r="CC80" i="1" s="1"/>
  <c r="CD80" i="1"/>
  <c r="CB80" i="1" s="1"/>
  <c r="BA81" i="1"/>
  <c r="CD77" i="1"/>
  <c r="CB77" i="1" s="1"/>
  <c r="CE77" i="1"/>
  <c r="CC77" i="1" s="1"/>
  <c r="BA78" i="1"/>
  <c r="BZ89" i="1"/>
  <c r="CA89" i="1"/>
  <c r="CD85" i="1"/>
  <c r="CB85" i="1" s="1"/>
  <c r="CE85" i="1"/>
  <c r="CC85" i="1" s="1"/>
  <c r="BA86" i="1"/>
  <c r="CD81" i="1"/>
  <c r="CB81" i="1" s="1"/>
  <c r="CE81" i="1"/>
  <c r="CC81" i="1" s="1"/>
  <c r="BA82" i="1"/>
  <c r="CE75" i="1"/>
  <c r="CC75" i="1" s="1"/>
  <c r="CD75" i="1"/>
  <c r="CB75" i="1" s="1"/>
  <c r="BA76" i="1"/>
  <c r="CI79" i="1"/>
  <c r="CG79" i="1" s="1"/>
  <c r="CH79" i="1"/>
  <c r="CF79" i="1" s="1"/>
  <c r="BB80" i="1"/>
  <c r="CU112" i="1"/>
  <c r="CS112" i="1" s="1"/>
  <c r="CT112" i="1"/>
  <c r="CR112" i="1" s="1"/>
  <c r="CP112" i="1"/>
  <c r="CN112" i="1" s="1"/>
  <c r="CQ112" i="1"/>
  <c r="CO112" i="1" s="1"/>
  <c r="CD104" i="1"/>
  <c r="CB104" i="1" s="1"/>
  <c r="CE104" i="1"/>
  <c r="CC104" i="1" s="1"/>
  <c r="BA105" i="1"/>
  <c r="CD105" i="1"/>
  <c r="CB105" i="1" s="1"/>
  <c r="CE105" i="1"/>
  <c r="CC105" i="1" s="1"/>
  <c r="BA106" i="1"/>
  <c r="CI103" i="1"/>
  <c r="CG103" i="1" s="1"/>
  <c r="CH103" i="1"/>
  <c r="CF103" i="1" s="1"/>
  <c r="BB104" i="1"/>
  <c r="CI107" i="1"/>
  <c r="CG107" i="1" s="1"/>
  <c r="CH107" i="1"/>
  <c r="CF107" i="1" s="1"/>
  <c r="BB108" i="1"/>
  <c r="CI110" i="1"/>
  <c r="CG110" i="1" s="1"/>
  <c r="CH110" i="1"/>
  <c r="CF110" i="1" s="1"/>
  <c r="BB111" i="1"/>
  <c r="CE111" i="1"/>
  <c r="CC111" i="1" s="1"/>
  <c r="CD111" i="1"/>
  <c r="CB111" i="1" s="1"/>
  <c r="BA112" i="1"/>
  <c r="CE106" i="1"/>
  <c r="CC106" i="1" s="1"/>
  <c r="CD106" i="1"/>
  <c r="CB106" i="1" s="1"/>
  <c r="BA107" i="1"/>
  <c r="CD109" i="1"/>
  <c r="CB109" i="1" s="1"/>
  <c r="CE109" i="1"/>
  <c r="CC109" i="1" s="1"/>
  <c r="BA110" i="1"/>
  <c r="CD101" i="1"/>
  <c r="CB101" i="1" s="1"/>
  <c r="CE101" i="1"/>
  <c r="CC101" i="1" s="1"/>
  <c r="BA102" i="1"/>
  <c r="CQ100" i="1"/>
  <c r="CO100" i="1" s="1"/>
  <c r="BZ108" i="1"/>
  <c r="CA108" i="1"/>
  <c r="CI102" i="1"/>
  <c r="CG102" i="1" s="1"/>
  <c r="CH102" i="1"/>
  <c r="CF102" i="1" s="1"/>
  <c r="BB103" i="1"/>
  <c r="CT117" i="1"/>
  <c r="CR117" i="1" s="1"/>
  <c r="CU117" i="1"/>
  <c r="CS117" i="1" s="1"/>
  <c r="CI114" i="1"/>
  <c r="CG114" i="1" s="1"/>
  <c r="CH114" i="1"/>
  <c r="CF114" i="1" s="1"/>
  <c r="BB115" i="1"/>
  <c r="CI115" i="1"/>
  <c r="CG115" i="1" s="1"/>
  <c r="CH115" i="1"/>
  <c r="CF115" i="1" s="1"/>
  <c r="BB116" i="1"/>
  <c r="CU113" i="1"/>
  <c r="CS113" i="1" s="1"/>
  <c r="CE116" i="1"/>
  <c r="CC116" i="1" s="1"/>
  <c r="CD116" i="1"/>
  <c r="CB116" i="1" s="1"/>
  <c r="BA117" i="1"/>
  <c r="BY95" i="1"/>
  <c r="DE95" i="1"/>
  <c r="BX95" i="1"/>
  <c r="DD95" i="1"/>
  <c r="L95" i="1" s="1"/>
  <c r="CI94" i="1"/>
  <c r="CG94" i="1" s="1"/>
  <c r="CH94" i="1"/>
  <c r="CF94" i="1" s="1"/>
  <c r="BB95" i="1"/>
  <c r="BE97" i="1"/>
  <c r="CT96" i="1"/>
  <c r="CR96" i="1" s="1"/>
  <c r="CU96" i="1"/>
  <c r="CS96" i="1" s="1"/>
  <c r="CI93" i="1"/>
  <c r="CG93" i="1" s="1"/>
  <c r="CH93" i="1"/>
  <c r="CF93" i="1" s="1"/>
  <c r="BB94" i="1"/>
  <c r="CI121" i="1"/>
  <c r="CG121" i="1" s="1"/>
  <c r="CH121" i="1"/>
  <c r="CF121" i="1" s="1"/>
  <c r="CP100" i="1"/>
  <c r="CN100" i="1" s="1"/>
  <c r="CP122" i="1"/>
  <c r="CN122" i="1" s="1"/>
  <c r="CQ122" i="1"/>
  <c r="CO122" i="1" s="1"/>
  <c r="CH120" i="1"/>
  <c r="CF120" i="1" s="1"/>
  <c r="CI120" i="1"/>
  <c r="CG120" i="1" s="1"/>
  <c r="BB122" i="1"/>
  <c r="CE119" i="1"/>
  <c r="CC119" i="1" s="1"/>
  <c r="CD119" i="1"/>
  <c r="CB119" i="1" s="1"/>
  <c r="BA120" i="1"/>
  <c r="CT122" i="1"/>
  <c r="CR122" i="1" s="1"/>
  <c r="CU122" i="1"/>
  <c r="CS122" i="1" s="1"/>
  <c r="CU146" i="1"/>
  <c r="CS146" i="1" s="1"/>
  <c r="CT113" i="1"/>
  <c r="CR113" i="1" s="1"/>
  <c r="CQ98" i="1"/>
  <c r="CO98" i="1" s="1"/>
  <c r="CT73" i="1"/>
  <c r="CR73" i="1" s="1"/>
  <c r="CU140" i="1"/>
  <c r="CS140" i="1" s="1"/>
  <c r="CT140" i="1"/>
  <c r="CR140" i="1" s="1"/>
  <c r="CI137" i="1"/>
  <c r="CG137" i="1" s="1"/>
  <c r="CH137" i="1"/>
  <c r="CF137" i="1" s="1"/>
  <c r="BB138" i="1"/>
  <c r="CU136" i="1"/>
  <c r="CS136" i="1" s="1"/>
  <c r="CU139" i="1"/>
  <c r="CS139" i="1" s="1"/>
  <c r="CT139" i="1"/>
  <c r="CR139" i="1" s="1"/>
  <c r="CE138" i="1"/>
  <c r="CC138" i="1" s="1"/>
  <c r="CD138" i="1"/>
  <c r="CB138" i="1" s="1"/>
  <c r="BA139" i="1"/>
  <c r="K10" i="12"/>
  <c r="E10" i="12" s="1"/>
  <c r="J9" i="12"/>
  <c r="D9" i="12" s="1"/>
  <c r="O8" i="12"/>
  <c r="B8" i="12" s="1"/>
  <c r="CT19" i="1"/>
  <c r="CR19" i="1" s="1"/>
  <c r="J44" i="12"/>
  <c r="D44" i="12" s="1"/>
  <c r="O43" i="12"/>
  <c r="B43" i="12" s="1"/>
  <c r="CP19" i="1"/>
  <c r="CN19" i="1" s="1"/>
  <c r="CT55" i="1"/>
  <c r="CR55" i="1" s="1"/>
  <c r="CM55" i="1"/>
  <c r="CK55" i="1" s="1"/>
  <c r="CU55" i="1"/>
  <c r="CS55" i="1" s="1"/>
  <c r="CQ55" i="1"/>
  <c r="CO55" i="1" s="1"/>
  <c r="BE134" i="1"/>
  <c r="CQ133" i="1" s="1"/>
  <c r="CO133" i="1" s="1"/>
  <c r="CT133" i="1"/>
  <c r="CR133" i="1" s="1"/>
  <c r="CT136" i="1"/>
  <c r="CR136" i="1" s="1"/>
  <c r="BE141" i="1"/>
  <c r="CQ145" i="1"/>
  <c r="CO145" i="1" s="1"/>
  <c r="CP145" i="1"/>
  <c r="CN145" i="1" s="1"/>
  <c r="BD146" i="1"/>
  <c r="CL144" i="1"/>
  <c r="CJ144" i="1" s="1"/>
  <c r="CM144" i="1"/>
  <c r="CK144" i="1" s="1"/>
  <c r="BC145" i="1"/>
  <c r="BE92" i="1"/>
  <c r="CU129" i="1"/>
  <c r="CS129" i="1" s="1"/>
  <c r="CT129" i="1"/>
  <c r="CR129" i="1" s="1"/>
  <c r="BE130" i="1"/>
  <c r="BE147" i="1"/>
  <c r="CP141" i="1"/>
  <c r="CN141" i="1" s="1"/>
  <c r="CQ141" i="1"/>
  <c r="CO141" i="1" s="1"/>
  <c r="BD142" i="1"/>
  <c r="CL131" i="1"/>
  <c r="CJ131" i="1" s="1"/>
  <c r="CM131" i="1"/>
  <c r="CK131" i="1" s="1"/>
  <c r="BC132" i="1"/>
  <c r="BD99" i="1"/>
  <c r="CM98" i="1" s="1"/>
  <c r="CK98" i="1" s="1"/>
  <c r="CT147" i="1"/>
  <c r="CR147" i="1" s="1"/>
  <c r="CU147" i="1"/>
  <c r="CS147" i="1" s="1"/>
  <c r="BE150" i="1"/>
  <c r="CP118" i="1"/>
  <c r="CN118" i="1" s="1"/>
  <c r="CQ118" i="1"/>
  <c r="CO118" i="1" s="1"/>
  <c r="BD123" i="1"/>
  <c r="BD100" i="1"/>
  <c r="CU130" i="1"/>
  <c r="CS130" i="1" s="1"/>
  <c r="CT130" i="1"/>
  <c r="CR130" i="1" s="1"/>
  <c r="BE131" i="1"/>
  <c r="BD113" i="1"/>
  <c r="CT135" i="1"/>
  <c r="CR135" i="1" s="1"/>
  <c r="CU135" i="1"/>
  <c r="CS135" i="1" s="1"/>
  <c r="BE136" i="1"/>
  <c r="BD55" i="1"/>
  <c r="CP132" i="1"/>
  <c r="CN132" i="1" s="1"/>
  <c r="CQ132" i="1"/>
  <c r="CO132" i="1" s="1"/>
  <c r="BD133" i="1"/>
  <c r="BE98" i="1"/>
  <c r="CT143" i="1"/>
  <c r="CR143" i="1" s="1"/>
  <c r="CU143" i="1"/>
  <c r="CS143" i="1" s="1"/>
  <c r="BE144" i="1"/>
  <c r="CP134" i="1"/>
  <c r="CN134" i="1" s="1"/>
  <c r="CQ134" i="1"/>
  <c r="CO134" i="1" s="1"/>
  <c r="BD135" i="1"/>
  <c r="BE118" i="1"/>
  <c r="CP150" i="1"/>
  <c r="CN150" i="1" s="1"/>
  <c r="CQ150" i="1"/>
  <c r="CO150" i="1" s="1"/>
  <c r="CU99" i="1"/>
  <c r="CS99" i="1" s="1"/>
  <c r="CT99" i="1"/>
  <c r="CR99" i="1" s="1"/>
  <c r="CT97" i="1"/>
  <c r="CR97" i="1" s="1"/>
  <c r="CU97" i="1"/>
  <c r="CS97" i="1" s="1"/>
  <c r="CL92" i="1"/>
  <c r="CJ92" i="1" s="1"/>
  <c r="CM92" i="1"/>
  <c r="CK92" i="1" s="1"/>
  <c r="CP123" i="1"/>
  <c r="CN123" i="1" s="1"/>
  <c r="CQ123" i="1"/>
  <c r="CO123" i="1" s="1"/>
  <c r="BD129" i="1"/>
  <c r="CT142" i="1"/>
  <c r="CR142" i="1" s="1"/>
  <c r="CU142" i="1"/>
  <c r="CS142" i="1" s="1"/>
  <c r="BE143" i="1"/>
  <c r="C132" i="1"/>
  <c r="C150" i="1"/>
  <c r="C147" i="1"/>
  <c r="BA149" i="1" l="1"/>
  <c r="CD148" i="1"/>
  <c r="CB148" i="1" s="1"/>
  <c r="CE148" i="1"/>
  <c r="CC148" i="1" s="1"/>
  <c r="CP149" i="1"/>
  <c r="CN149" i="1" s="1"/>
  <c r="CQ149" i="1"/>
  <c r="CO149" i="1" s="1"/>
  <c r="CL128" i="1"/>
  <c r="CJ128" i="1" s="1"/>
  <c r="CM128" i="1"/>
  <c r="CK128" i="1" s="1"/>
  <c r="CP128" i="1"/>
  <c r="CN128" i="1" s="1"/>
  <c r="CQ128" i="1"/>
  <c r="CO128" i="1" s="1"/>
  <c r="BY125" i="1"/>
  <c r="DE125" i="1"/>
  <c r="BX125" i="1"/>
  <c r="DD125" i="1"/>
  <c r="L125" i="1" s="1"/>
  <c r="CD127" i="1"/>
  <c r="CB127" i="1" s="1"/>
  <c r="CE127" i="1"/>
  <c r="CC127" i="1" s="1"/>
  <c r="BA128" i="1"/>
  <c r="CA126" i="1"/>
  <c r="BZ126" i="1"/>
  <c r="M30" i="1"/>
  <c r="O30" i="1" s="1"/>
  <c r="N30" i="1"/>
  <c r="CC28" i="1"/>
  <c r="DE28" i="1"/>
  <c r="CB28" i="1"/>
  <c r="DD28" i="1"/>
  <c r="L28" i="1" s="1"/>
  <c r="BA32" i="1"/>
  <c r="CD31" i="1"/>
  <c r="CE31" i="1"/>
  <c r="CE24" i="1"/>
  <c r="CC24" i="1" s="1"/>
  <c r="CD24" i="1"/>
  <c r="CB24" i="1" s="1"/>
  <c r="BA25" i="1"/>
  <c r="BY23" i="1"/>
  <c r="DE23" i="1"/>
  <c r="BX23" i="1"/>
  <c r="DD23" i="1"/>
  <c r="L23" i="1" s="1"/>
  <c r="CL54" i="1"/>
  <c r="CJ54" i="1" s="1"/>
  <c r="CM54" i="1"/>
  <c r="CK54" i="1" s="1"/>
  <c r="BY44" i="1"/>
  <c r="DE44" i="1"/>
  <c r="BX44" i="1"/>
  <c r="DD44" i="1"/>
  <c r="L44" i="1" s="1"/>
  <c r="BZ32" i="1"/>
  <c r="CA32" i="1"/>
  <c r="CD40" i="1"/>
  <c r="CB40" i="1" s="1"/>
  <c r="CE40" i="1"/>
  <c r="CC40" i="1" s="1"/>
  <c r="BA41" i="1"/>
  <c r="BZ52" i="1"/>
  <c r="CA52" i="1"/>
  <c r="BZ48" i="1"/>
  <c r="CA48" i="1"/>
  <c r="BZ36" i="1"/>
  <c r="CA36" i="1"/>
  <c r="CD20" i="1"/>
  <c r="CB20" i="1" s="1"/>
  <c r="CE20" i="1"/>
  <c r="CC20" i="1" s="1"/>
  <c r="BA21" i="1"/>
  <c r="CP72" i="1"/>
  <c r="CN72" i="1" s="1"/>
  <c r="CQ72" i="1"/>
  <c r="CO72" i="1" s="1"/>
  <c r="BX63" i="1"/>
  <c r="DD63" i="1"/>
  <c r="L63" i="1" s="1"/>
  <c r="CL98" i="1"/>
  <c r="CJ98" i="1" s="1"/>
  <c r="BY63" i="1"/>
  <c r="DE63" i="1"/>
  <c r="CA60" i="1"/>
  <c r="BZ60" i="1"/>
  <c r="CA67" i="1"/>
  <c r="BZ67" i="1"/>
  <c r="CD65" i="1"/>
  <c r="CB65" i="1" s="1"/>
  <c r="CE65" i="1"/>
  <c r="CC65" i="1" s="1"/>
  <c r="BA66" i="1"/>
  <c r="BD73" i="1"/>
  <c r="CE58" i="1"/>
  <c r="CC58" i="1" s="1"/>
  <c r="CD58" i="1"/>
  <c r="CB58" i="1" s="1"/>
  <c r="BA59" i="1"/>
  <c r="CE71" i="1"/>
  <c r="CC71" i="1" s="1"/>
  <c r="CD71" i="1"/>
  <c r="CB71" i="1" s="1"/>
  <c r="BA72" i="1"/>
  <c r="CA68" i="1"/>
  <c r="BZ68" i="1"/>
  <c r="CA70" i="1"/>
  <c r="BZ70" i="1"/>
  <c r="CA59" i="1"/>
  <c r="BZ59" i="1"/>
  <c r="CA62" i="1"/>
  <c r="BZ62" i="1"/>
  <c r="CE66" i="1"/>
  <c r="CC66" i="1" s="1"/>
  <c r="CD66" i="1"/>
  <c r="CB66" i="1" s="1"/>
  <c r="BA67" i="1"/>
  <c r="CE64" i="1"/>
  <c r="CC64" i="1" s="1"/>
  <c r="CD64" i="1"/>
  <c r="CB64" i="1" s="1"/>
  <c r="BA65" i="1"/>
  <c r="BZ57" i="1"/>
  <c r="CA57" i="1"/>
  <c r="CD69" i="1"/>
  <c r="CB69" i="1" s="1"/>
  <c r="CE69" i="1"/>
  <c r="CC69" i="1" s="1"/>
  <c r="BA70" i="1"/>
  <c r="CD61" i="1"/>
  <c r="CB61" i="1" s="1"/>
  <c r="CE61" i="1"/>
  <c r="CC61" i="1" s="1"/>
  <c r="BA62" i="1"/>
  <c r="CE56" i="1"/>
  <c r="CC56" i="1" s="1"/>
  <c r="CD56" i="1"/>
  <c r="CB56" i="1" s="1"/>
  <c r="BA57" i="1"/>
  <c r="CE90" i="1"/>
  <c r="CC90" i="1" s="1"/>
  <c r="CD90" i="1"/>
  <c r="CB90" i="1" s="1"/>
  <c r="BA91" i="1"/>
  <c r="CQ91" i="1"/>
  <c r="CO91" i="1" s="1"/>
  <c r="CP91" i="1"/>
  <c r="CN91" i="1" s="1"/>
  <c r="BX89" i="1"/>
  <c r="DD89" i="1"/>
  <c r="L89" i="1" s="1"/>
  <c r="BY89" i="1"/>
  <c r="DE89" i="1"/>
  <c r="BY88" i="1"/>
  <c r="DE88" i="1"/>
  <c r="BX88" i="1"/>
  <c r="DD88" i="1"/>
  <c r="L88" i="1" s="1"/>
  <c r="BZ81" i="1"/>
  <c r="CA81" i="1"/>
  <c r="BZ77" i="1"/>
  <c r="CA77" i="1"/>
  <c r="BZ85" i="1"/>
  <c r="CA85" i="1"/>
  <c r="BZ78" i="1"/>
  <c r="CA78" i="1"/>
  <c r="BZ86" i="1"/>
  <c r="CA86" i="1"/>
  <c r="CA87" i="1"/>
  <c r="BZ87" i="1"/>
  <c r="CE79" i="1"/>
  <c r="CC79" i="1" s="1"/>
  <c r="CD79" i="1"/>
  <c r="CB79" i="1" s="1"/>
  <c r="BA80" i="1"/>
  <c r="CD74" i="1"/>
  <c r="CB74" i="1" s="1"/>
  <c r="CE74" i="1"/>
  <c r="CC74" i="1" s="1"/>
  <c r="BA75" i="1"/>
  <c r="CA76" i="1"/>
  <c r="BZ76" i="1"/>
  <c r="CA84" i="1"/>
  <c r="BZ84" i="1"/>
  <c r="CA75" i="1"/>
  <c r="BZ75" i="1"/>
  <c r="CA80" i="1"/>
  <c r="BZ80" i="1"/>
  <c r="CD82" i="1"/>
  <c r="CB82" i="1" s="1"/>
  <c r="CE82" i="1"/>
  <c r="CC82" i="1" s="1"/>
  <c r="BA83" i="1"/>
  <c r="CE83" i="1"/>
  <c r="CC83" i="1" s="1"/>
  <c r="CD83" i="1"/>
  <c r="CB83" i="1" s="1"/>
  <c r="BA84" i="1"/>
  <c r="CL112" i="1"/>
  <c r="CJ112" i="1" s="1"/>
  <c r="CM112" i="1"/>
  <c r="CK112" i="1" s="1"/>
  <c r="BY108" i="1"/>
  <c r="DE108" i="1"/>
  <c r="BX108" i="1"/>
  <c r="DD108" i="1"/>
  <c r="L108" i="1" s="1"/>
  <c r="BZ101" i="1"/>
  <c r="CA101" i="1"/>
  <c r="CA111" i="1"/>
  <c r="BZ111" i="1"/>
  <c r="BZ109" i="1"/>
  <c r="CA109" i="1"/>
  <c r="CE110" i="1"/>
  <c r="CC110" i="1" s="1"/>
  <c r="CD110" i="1"/>
  <c r="CB110" i="1" s="1"/>
  <c r="BA111" i="1"/>
  <c r="CE103" i="1"/>
  <c r="CC103" i="1" s="1"/>
  <c r="CD103" i="1"/>
  <c r="CB103" i="1" s="1"/>
  <c r="BA104" i="1"/>
  <c r="CE107" i="1"/>
  <c r="CC107" i="1" s="1"/>
  <c r="CD107" i="1"/>
  <c r="CB107" i="1" s="1"/>
  <c r="BA108" i="1"/>
  <c r="BZ105" i="1"/>
  <c r="CA105" i="1"/>
  <c r="CL100" i="1"/>
  <c r="CJ100" i="1" s="1"/>
  <c r="CE102" i="1"/>
  <c r="CC102" i="1" s="1"/>
  <c r="CD102" i="1"/>
  <c r="CB102" i="1" s="1"/>
  <c r="BA103" i="1"/>
  <c r="CA106" i="1"/>
  <c r="BZ106" i="1"/>
  <c r="BZ104" i="1"/>
  <c r="CA104" i="1"/>
  <c r="CP117" i="1"/>
  <c r="CN117" i="1" s="1"/>
  <c r="CQ117" i="1"/>
  <c r="CO117" i="1" s="1"/>
  <c r="CD115" i="1"/>
  <c r="CB115" i="1" s="1"/>
  <c r="CE115" i="1"/>
  <c r="CC115" i="1" s="1"/>
  <c r="BA116" i="1"/>
  <c r="BZ116" i="1"/>
  <c r="CA116" i="1"/>
  <c r="CE114" i="1"/>
  <c r="CC114" i="1" s="1"/>
  <c r="CD114" i="1"/>
  <c r="CB114" i="1" s="1"/>
  <c r="BA115" i="1"/>
  <c r="CQ113" i="1"/>
  <c r="CO113" i="1" s="1"/>
  <c r="M95" i="1"/>
  <c r="O95" i="1" s="1"/>
  <c r="N95" i="1"/>
  <c r="CE93" i="1"/>
  <c r="CC93" i="1" s="1"/>
  <c r="CD93" i="1"/>
  <c r="CB93" i="1" s="1"/>
  <c r="BA94" i="1"/>
  <c r="BD97" i="1"/>
  <c r="CP96" i="1"/>
  <c r="CN96" i="1" s="1"/>
  <c r="CQ96" i="1"/>
  <c r="CO96" i="1" s="1"/>
  <c r="CE94" i="1"/>
  <c r="CC94" i="1" s="1"/>
  <c r="CD94" i="1"/>
  <c r="CB94" i="1" s="1"/>
  <c r="BA95" i="1"/>
  <c r="CE121" i="1"/>
  <c r="CC121" i="1" s="1"/>
  <c r="CD121" i="1"/>
  <c r="CB121" i="1" s="1"/>
  <c r="CL122" i="1"/>
  <c r="CJ122" i="1" s="1"/>
  <c r="CM122" i="1"/>
  <c r="CK122" i="1" s="1"/>
  <c r="BZ119" i="1"/>
  <c r="CA119" i="1"/>
  <c r="CE120" i="1"/>
  <c r="CC120" i="1" s="1"/>
  <c r="CD120" i="1"/>
  <c r="CB120" i="1" s="1"/>
  <c r="BA122" i="1"/>
  <c r="CP146" i="1"/>
  <c r="CN146" i="1" s="1"/>
  <c r="CQ146" i="1"/>
  <c r="CO146" i="1" s="1"/>
  <c r="CP113" i="1"/>
  <c r="CN113" i="1" s="1"/>
  <c r="CQ73" i="1"/>
  <c r="CO73" i="1" s="1"/>
  <c r="CP73" i="1"/>
  <c r="CN73" i="1" s="1"/>
  <c r="CM100" i="1"/>
  <c r="CK100" i="1" s="1"/>
  <c r="CQ140" i="1"/>
  <c r="CO140" i="1" s="1"/>
  <c r="CP140" i="1"/>
  <c r="CN140" i="1" s="1"/>
  <c r="CA138" i="1"/>
  <c r="BY138" i="1" s="1"/>
  <c r="BZ138" i="1"/>
  <c r="BX138" i="1" s="1"/>
  <c r="AZ139" i="1"/>
  <c r="CQ136" i="1"/>
  <c r="CO136" i="1" s="1"/>
  <c r="CQ139" i="1"/>
  <c r="CO139" i="1" s="1"/>
  <c r="CP139" i="1"/>
  <c r="CN139" i="1" s="1"/>
  <c r="CE137" i="1"/>
  <c r="CC137" i="1" s="1"/>
  <c r="CD137" i="1"/>
  <c r="CB137" i="1" s="1"/>
  <c r="BA138" i="1"/>
  <c r="J10" i="12"/>
  <c r="D10" i="12" s="1"/>
  <c r="O9" i="12"/>
  <c r="B9" i="12" s="1"/>
  <c r="K11" i="12"/>
  <c r="E11" i="12" s="1"/>
  <c r="O44" i="12"/>
  <c r="B44" i="12" s="1"/>
  <c r="J45" i="12"/>
  <c r="D45" i="12" s="1"/>
  <c r="CM19" i="1"/>
  <c r="CK19" i="1" s="1"/>
  <c r="CQ19" i="1"/>
  <c r="CO19" i="1" s="1"/>
  <c r="CL55" i="1"/>
  <c r="CJ55" i="1" s="1"/>
  <c r="CI55" i="1"/>
  <c r="CG55" i="1" s="1"/>
  <c r="BD134" i="1"/>
  <c r="CL133" i="1" s="1"/>
  <c r="CJ133" i="1" s="1"/>
  <c r="CP133" i="1"/>
  <c r="CN133" i="1" s="1"/>
  <c r="CP136" i="1"/>
  <c r="CN136" i="1" s="1"/>
  <c r="BD141" i="1"/>
  <c r="CP97" i="1"/>
  <c r="CN97" i="1" s="1"/>
  <c r="CQ97" i="1"/>
  <c r="CO97" i="1" s="1"/>
  <c r="CQ135" i="1"/>
  <c r="CO135" i="1" s="1"/>
  <c r="CP135" i="1"/>
  <c r="CN135" i="1" s="1"/>
  <c r="BD136" i="1"/>
  <c r="CL145" i="1"/>
  <c r="CJ145" i="1" s="1"/>
  <c r="CM145" i="1"/>
  <c r="CK145" i="1" s="1"/>
  <c r="BC146" i="1"/>
  <c r="CP142" i="1"/>
  <c r="CN142" i="1" s="1"/>
  <c r="CQ142" i="1"/>
  <c r="CO142" i="1" s="1"/>
  <c r="BD143" i="1"/>
  <c r="CM123" i="1"/>
  <c r="CK123" i="1" s="1"/>
  <c r="CL123" i="1"/>
  <c r="CJ123" i="1" s="1"/>
  <c r="BC129" i="1"/>
  <c r="CL150" i="1"/>
  <c r="CJ150" i="1" s="1"/>
  <c r="CM150" i="1"/>
  <c r="CK150" i="1" s="1"/>
  <c r="BD98" i="1"/>
  <c r="BC113" i="1"/>
  <c r="BC100" i="1"/>
  <c r="BC99" i="1"/>
  <c r="CI98" i="1" s="1"/>
  <c r="CG98" i="1" s="1"/>
  <c r="CH144" i="1"/>
  <c r="CF144" i="1" s="1"/>
  <c r="CI144" i="1"/>
  <c r="CG144" i="1" s="1"/>
  <c r="BB145" i="1"/>
  <c r="CM141" i="1"/>
  <c r="CK141" i="1" s="1"/>
  <c r="CL141" i="1"/>
  <c r="CJ141" i="1" s="1"/>
  <c r="BC142" i="1"/>
  <c r="CL134" i="1"/>
  <c r="CJ134" i="1" s="1"/>
  <c r="CM134" i="1"/>
  <c r="CK134" i="1" s="1"/>
  <c r="BC135" i="1"/>
  <c r="BC55" i="1"/>
  <c r="CP147" i="1"/>
  <c r="CN147" i="1" s="1"/>
  <c r="CQ147" i="1"/>
  <c r="CO147" i="1" s="1"/>
  <c r="BD150" i="1"/>
  <c r="BD118" i="1"/>
  <c r="CP143" i="1"/>
  <c r="CN143" i="1" s="1"/>
  <c r="CQ143" i="1"/>
  <c r="CO143" i="1" s="1"/>
  <c r="BD144" i="1"/>
  <c r="BD147" i="1"/>
  <c r="CP99" i="1"/>
  <c r="CN99" i="1" s="1"/>
  <c r="CQ99" i="1"/>
  <c r="CO99" i="1" s="1"/>
  <c r="CI92" i="1"/>
  <c r="CG92" i="1" s="1"/>
  <c r="CH92" i="1"/>
  <c r="CF92" i="1" s="1"/>
  <c r="CL132" i="1"/>
  <c r="CJ132" i="1" s="1"/>
  <c r="CM132" i="1"/>
  <c r="CK132" i="1" s="1"/>
  <c r="BC133" i="1"/>
  <c r="CP130" i="1"/>
  <c r="CN130" i="1" s="1"/>
  <c r="CQ130" i="1"/>
  <c r="CO130" i="1" s="1"/>
  <c r="BD131" i="1"/>
  <c r="CM118" i="1"/>
  <c r="CK118" i="1" s="1"/>
  <c r="CL118" i="1"/>
  <c r="CJ118" i="1" s="1"/>
  <c r="BC123" i="1"/>
  <c r="BD92" i="1"/>
  <c r="CH131" i="1"/>
  <c r="CF131" i="1" s="1"/>
  <c r="CI131" i="1"/>
  <c r="CG131" i="1" s="1"/>
  <c r="BB132" i="1"/>
  <c r="CQ129" i="1"/>
  <c r="CO129" i="1" s="1"/>
  <c r="CP129" i="1"/>
  <c r="CN129" i="1" s="1"/>
  <c r="BD130" i="1"/>
  <c r="AZ149" i="1" l="1"/>
  <c r="BZ148" i="1"/>
  <c r="BX148" i="1" s="1"/>
  <c r="CA148" i="1"/>
  <c r="BY148" i="1" s="1"/>
  <c r="CL149" i="1"/>
  <c r="CJ149" i="1" s="1"/>
  <c r="CM149" i="1"/>
  <c r="CK149" i="1" s="1"/>
  <c r="M125" i="1"/>
  <c r="O125" i="1" s="1"/>
  <c r="N125" i="1"/>
  <c r="CH128" i="1"/>
  <c r="CF128" i="1" s="1"/>
  <c r="CI128" i="1"/>
  <c r="CG128" i="1" s="1"/>
  <c r="BX126" i="1"/>
  <c r="DD126" i="1"/>
  <c r="L126" i="1" s="1"/>
  <c r="BY126" i="1"/>
  <c r="DE126" i="1"/>
  <c r="BZ127" i="1"/>
  <c r="CA127" i="1"/>
  <c r="M28" i="1"/>
  <c r="O28" i="1" s="1"/>
  <c r="N28" i="1"/>
  <c r="CC31" i="1"/>
  <c r="DE31" i="1"/>
  <c r="CB31" i="1"/>
  <c r="DD31" i="1"/>
  <c r="L31" i="1" s="1"/>
  <c r="BZ31" i="1"/>
  <c r="BX31" i="1" s="1"/>
  <c r="CA31" i="1"/>
  <c r="BY31" i="1" s="1"/>
  <c r="CA24" i="1"/>
  <c r="BZ24" i="1"/>
  <c r="M44" i="1"/>
  <c r="O44" i="1" s="1"/>
  <c r="N44" i="1"/>
  <c r="M23" i="1"/>
  <c r="O23" i="1" s="1"/>
  <c r="N23" i="1"/>
  <c r="CH54" i="1"/>
  <c r="CF54" i="1" s="1"/>
  <c r="CI54" i="1"/>
  <c r="CG54" i="1" s="1"/>
  <c r="BX52" i="1"/>
  <c r="DD52" i="1"/>
  <c r="L52" i="1" s="1"/>
  <c r="BY52" i="1"/>
  <c r="DE52" i="1"/>
  <c r="BX48" i="1"/>
  <c r="DD48" i="1"/>
  <c r="L48" i="1" s="1"/>
  <c r="BY48" i="1"/>
  <c r="DE48" i="1"/>
  <c r="BY36" i="1"/>
  <c r="DE36" i="1"/>
  <c r="BX36" i="1"/>
  <c r="DD36" i="1"/>
  <c r="L36" i="1" s="1"/>
  <c r="BX32" i="1"/>
  <c r="DD32" i="1"/>
  <c r="L32" i="1" s="1"/>
  <c r="BY32" i="1"/>
  <c r="DE32" i="1"/>
  <c r="BZ40" i="1"/>
  <c r="CA40" i="1"/>
  <c r="BZ20" i="1"/>
  <c r="CA20" i="1"/>
  <c r="AZ21" i="1"/>
  <c r="AZ22" i="1" s="1"/>
  <c r="AZ23" i="1" s="1"/>
  <c r="M63" i="1"/>
  <c r="O63" i="1" s="1"/>
  <c r="N63" i="1"/>
  <c r="CL72" i="1"/>
  <c r="CJ72" i="1" s="1"/>
  <c r="CM72" i="1"/>
  <c r="CK72" i="1" s="1"/>
  <c r="BY70" i="1"/>
  <c r="DE70" i="1"/>
  <c r="BX62" i="1"/>
  <c r="DD62" i="1"/>
  <c r="L62" i="1" s="1"/>
  <c r="BY59" i="1"/>
  <c r="DE59" i="1"/>
  <c r="BX70" i="1"/>
  <c r="DD70" i="1"/>
  <c r="L70" i="1" s="1"/>
  <c r="BY68" i="1"/>
  <c r="DE68" i="1"/>
  <c r="BY57" i="1"/>
  <c r="DE57" i="1"/>
  <c r="BX57" i="1"/>
  <c r="DD57" i="1"/>
  <c r="L57" i="1" s="1"/>
  <c r="BX67" i="1"/>
  <c r="DD67" i="1"/>
  <c r="L67" i="1" s="1"/>
  <c r="BY60" i="1"/>
  <c r="DE60" i="1"/>
  <c r="BY62" i="1"/>
  <c r="DE62" i="1"/>
  <c r="BX60" i="1"/>
  <c r="DD60" i="1"/>
  <c r="L60" i="1" s="1"/>
  <c r="BX59" i="1"/>
  <c r="DD59" i="1"/>
  <c r="L59" i="1" s="1"/>
  <c r="BX68" i="1"/>
  <c r="DD68" i="1"/>
  <c r="L68" i="1" s="1"/>
  <c r="BY67" i="1"/>
  <c r="DE67" i="1"/>
  <c r="BZ69" i="1"/>
  <c r="CA69" i="1"/>
  <c r="CA64" i="1"/>
  <c r="BZ64" i="1"/>
  <c r="CA56" i="1"/>
  <c r="BZ56" i="1"/>
  <c r="BC73" i="1"/>
  <c r="CA66" i="1"/>
  <c r="BZ66" i="1"/>
  <c r="CA71" i="1"/>
  <c r="BZ71" i="1"/>
  <c r="BZ61" i="1"/>
  <c r="CA61" i="1"/>
  <c r="CA58" i="1"/>
  <c r="BZ58" i="1"/>
  <c r="BZ65" i="1"/>
  <c r="CA65" i="1"/>
  <c r="CA90" i="1"/>
  <c r="BZ90" i="1"/>
  <c r="M89" i="1"/>
  <c r="O89" i="1" s="1"/>
  <c r="N89" i="1"/>
  <c r="M88" i="1"/>
  <c r="O88" i="1" s="1"/>
  <c r="N88" i="1"/>
  <c r="CM91" i="1"/>
  <c r="CK91" i="1" s="1"/>
  <c r="CL91" i="1"/>
  <c r="CJ91" i="1" s="1"/>
  <c r="BY87" i="1"/>
  <c r="DE87" i="1"/>
  <c r="BX87" i="1"/>
  <c r="DD87" i="1"/>
  <c r="L87" i="1" s="1"/>
  <c r="BX86" i="1"/>
  <c r="DD86" i="1"/>
  <c r="L86" i="1" s="1"/>
  <c r="BY86" i="1"/>
  <c r="DE86" i="1"/>
  <c r="BX85" i="1"/>
  <c r="DD85" i="1"/>
  <c r="L85" i="1" s="1"/>
  <c r="BY85" i="1"/>
  <c r="DE85" i="1"/>
  <c r="BX84" i="1"/>
  <c r="DD84" i="1"/>
  <c r="L84" i="1" s="1"/>
  <c r="BY84" i="1"/>
  <c r="DE84" i="1"/>
  <c r="BY81" i="1"/>
  <c r="DE81" i="1"/>
  <c r="BX81" i="1"/>
  <c r="DD81" i="1"/>
  <c r="L81" i="1" s="1"/>
  <c r="BX80" i="1"/>
  <c r="DD80" i="1"/>
  <c r="L80" i="1" s="1"/>
  <c r="BY80" i="1"/>
  <c r="DE80" i="1"/>
  <c r="BX78" i="1"/>
  <c r="DD78" i="1"/>
  <c r="L78" i="1" s="1"/>
  <c r="BY78" i="1"/>
  <c r="DE78" i="1"/>
  <c r="BY77" i="1"/>
  <c r="DE77" i="1"/>
  <c r="BX77" i="1"/>
  <c r="DD77" i="1"/>
  <c r="L77" i="1" s="1"/>
  <c r="BX76" i="1"/>
  <c r="DD76" i="1"/>
  <c r="L76" i="1" s="1"/>
  <c r="BY76" i="1"/>
  <c r="DE76" i="1"/>
  <c r="BX75" i="1"/>
  <c r="DD75" i="1"/>
  <c r="L75" i="1" s="1"/>
  <c r="BY75" i="1"/>
  <c r="DE75" i="1"/>
  <c r="BZ82" i="1"/>
  <c r="CA82" i="1"/>
  <c r="CA83" i="1"/>
  <c r="BZ83" i="1"/>
  <c r="BZ74" i="1"/>
  <c r="CA74" i="1"/>
  <c r="CA79" i="1"/>
  <c r="BZ79" i="1"/>
  <c r="M108" i="1"/>
  <c r="O108" i="1" s="1"/>
  <c r="N108" i="1"/>
  <c r="CH112" i="1"/>
  <c r="CF112" i="1" s="1"/>
  <c r="CI112" i="1"/>
  <c r="CG112" i="1" s="1"/>
  <c r="BX111" i="1"/>
  <c r="DD111" i="1"/>
  <c r="L111" i="1" s="1"/>
  <c r="BY111" i="1"/>
  <c r="DE111" i="1"/>
  <c r="BY109" i="1"/>
  <c r="DE109" i="1"/>
  <c r="BX109" i="1"/>
  <c r="DD109" i="1"/>
  <c r="L109" i="1" s="1"/>
  <c r="BX106" i="1"/>
  <c r="DD106" i="1"/>
  <c r="L106" i="1" s="1"/>
  <c r="BY106" i="1"/>
  <c r="DE106" i="1"/>
  <c r="BY105" i="1"/>
  <c r="DE105" i="1"/>
  <c r="BX105" i="1"/>
  <c r="DD105" i="1"/>
  <c r="L105" i="1" s="1"/>
  <c r="BX104" i="1"/>
  <c r="DD104" i="1"/>
  <c r="L104" i="1" s="1"/>
  <c r="BY104" i="1"/>
  <c r="DE104" i="1"/>
  <c r="BX101" i="1"/>
  <c r="DD101" i="1"/>
  <c r="L101" i="1" s="1"/>
  <c r="BY101" i="1"/>
  <c r="DE101" i="1"/>
  <c r="CI100" i="1"/>
  <c r="CG100" i="1" s="1"/>
  <c r="CA103" i="1"/>
  <c r="BZ103" i="1"/>
  <c r="CA107" i="1"/>
  <c r="BZ107" i="1"/>
  <c r="CA110" i="1"/>
  <c r="BZ110" i="1"/>
  <c r="CA102" i="1"/>
  <c r="BZ102" i="1"/>
  <c r="CL117" i="1"/>
  <c r="CJ117" i="1" s="1"/>
  <c r="CM117" i="1"/>
  <c r="CK117" i="1" s="1"/>
  <c r="BX116" i="1"/>
  <c r="DD116" i="1"/>
  <c r="L116" i="1" s="1"/>
  <c r="BY116" i="1"/>
  <c r="DE116" i="1"/>
  <c r="CM113" i="1"/>
  <c r="CK113" i="1" s="1"/>
  <c r="CA114" i="1"/>
  <c r="BZ114" i="1"/>
  <c r="BZ115" i="1"/>
  <c r="CA115" i="1"/>
  <c r="CA94" i="1"/>
  <c r="BZ94" i="1"/>
  <c r="CL96" i="1"/>
  <c r="CJ96" i="1" s="1"/>
  <c r="CM96" i="1"/>
  <c r="CK96" i="1" s="1"/>
  <c r="BC97" i="1"/>
  <c r="CA93" i="1"/>
  <c r="BZ93" i="1"/>
  <c r="CA121" i="1"/>
  <c r="BZ121" i="1"/>
  <c r="BY119" i="1"/>
  <c r="DE119" i="1"/>
  <c r="BX119" i="1"/>
  <c r="DD119" i="1"/>
  <c r="L119" i="1" s="1"/>
  <c r="CH122" i="1"/>
  <c r="CF122" i="1" s="1"/>
  <c r="CI122" i="1"/>
  <c r="CG122" i="1" s="1"/>
  <c r="BZ120" i="1"/>
  <c r="CA120" i="1"/>
  <c r="CM146" i="1"/>
  <c r="CK146" i="1" s="1"/>
  <c r="CL146" i="1"/>
  <c r="CJ146" i="1" s="1"/>
  <c r="CL113" i="1"/>
  <c r="CJ113" i="1" s="1"/>
  <c r="CH98" i="1"/>
  <c r="CF98" i="1" s="1"/>
  <c r="CH100" i="1"/>
  <c r="CF100" i="1" s="1"/>
  <c r="CM73" i="1"/>
  <c r="CK73" i="1" s="1"/>
  <c r="CL73" i="1"/>
  <c r="CJ73" i="1" s="1"/>
  <c r="CM140" i="1"/>
  <c r="CK140" i="1" s="1"/>
  <c r="CL140" i="1"/>
  <c r="CJ140" i="1" s="1"/>
  <c r="CL136" i="1"/>
  <c r="CJ136" i="1" s="1"/>
  <c r="CM139" i="1"/>
  <c r="CK139" i="1" s="1"/>
  <c r="CL139" i="1"/>
  <c r="CJ139" i="1" s="1"/>
  <c r="CA137" i="1"/>
  <c r="BY137" i="1" s="1"/>
  <c r="BZ137" i="1"/>
  <c r="BX137" i="1" s="1"/>
  <c r="AZ138" i="1"/>
  <c r="BW138" i="1"/>
  <c r="BV138" i="1"/>
  <c r="K12" i="12"/>
  <c r="E12" i="12" s="1"/>
  <c r="J11" i="12"/>
  <c r="D11" i="12" s="1"/>
  <c r="O10" i="12"/>
  <c r="B10" i="12" s="1"/>
  <c r="J46" i="12"/>
  <c r="D46" i="12" s="1"/>
  <c r="O45" i="12"/>
  <c r="B45" i="12" s="1"/>
  <c r="CL19" i="1"/>
  <c r="CJ19" i="1" s="1"/>
  <c r="CH55" i="1"/>
  <c r="CF55" i="1" s="1"/>
  <c r="CD55" i="1"/>
  <c r="CB55" i="1" s="1"/>
  <c r="CM133" i="1"/>
  <c r="CK133" i="1" s="1"/>
  <c r="BC134" i="1"/>
  <c r="CH133" i="1" s="1"/>
  <c r="CF133" i="1" s="1"/>
  <c r="BC141" i="1"/>
  <c r="CM136" i="1"/>
  <c r="CK136" i="1" s="1"/>
  <c r="BC92" i="1"/>
  <c r="BB99" i="1"/>
  <c r="CD98" i="1" s="1"/>
  <c r="CB98" i="1" s="1"/>
  <c r="BC98" i="1"/>
  <c r="CM142" i="1"/>
  <c r="CK142" i="1" s="1"/>
  <c r="CL142" i="1"/>
  <c r="CJ142" i="1" s="1"/>
  <c r="BC143" i="1"/>
  <c r="CL129" i="1"/>
  <c r="CJ129" i="1" s="1"/>
  <c r="CM129" i="1"/>
  <c r="CK129" i="1" s="1"/>
  <c r="BC130" i="1"/>
  <c r="CM99" i="1"/>
  <c r="CK99" i="1" s="1"/>
  <c r="CL99" i="1"/>
  <c r="CJ99" i="1" s="1"/>
  <c r="BB55" i="1"/>
  <c r="CL97" i="1"/>
  <c r="CJ97" i="1" s="1"/>
  <c r="CM97" i="1"/>
  <c r="CK97" i="1" s="1"/>
  <c r="CD144" i="1"/>
  <c r="CB144" i="1" s="1"/>
  <c r="CE144" i="1"/>
  <c r="CC144" i="1" s="1"/>
  <c r="BA145" i="1"/>
  <c r="CH134" i="1"/>
  <c r="CF134" i="1" s="1"/>
  <c r="CI134" i="1"/>
  <c r="CG134" i="1" s="1"/>
  <c r="BB135" i="1"/>
  <c r="BB100" i="1"/>
  <c r="CD92" i="1"/>
  <c r="CB92" i="1" s="1"/>
  <c r="CE92" i="1"/>
  <c r="CC92" i="1" s="1"/>
  <c r="CL143" i="1"/>
  <c r="CJ143" i="1" s="1"/>
  <c r="CM143" i="1"/>
  <c r="CK143" i="1" s="1"/>
  <c r="BC144" i="1"/>
  <c r="CH132" i="1"/>
  <c r="CF132" i="1" s="1"/>
  <c r="CI132" i="1"/>
  <c r="CG132" i="1" s="1"/>
  <c r="BB133" i="1"/>
  <c r="CI123" i="1"/>
  <c r="CG123" i="1" s="1"/>
  <c r="CH123" i="1"/>
  <c r="CF123" i="1" s="1"/>
  <c r="BB129" i="1"/>
  <c r="CH118" i="1"/>
  <c r="CF118" i="1" s="1"/>
  <c r="CI118" i="1"/>
  <c r="CG118" i="1" s="1"/>
  <c r="BB123" i="1"/>
  <c r="BC118" i="1"/>
  <c r="CL135" i="1"/>
  <c r="CJ135" i="1" s="1"/>
  <c r="CM135" i="1"/>
  <c r="CK135" i="1" s="1"/>
  <c r="BC136" i="1"/>
  <c r="CL147" i="1"/>
  <c r="CJ147" i="1" s="1"/>
  <c r="CM147" i="1"/>
  <c r="CK147" i="1" s="1"/>
  <c r="BC150" i="1"/>
  <c r="BB113" i="1"/>
  <c r="CH150" i="1"/>
  <c r="CF150" i="1" s="1"/>
  <c r="CI150" i="1"/>
  <c r="CG150" i="1" s="1"/>
  <c r="CI145" i="1"/>
  <c r="CG145" i="1" s="1"/>
  <c r="CH145" i="1"/>
  <c r="CF145" i="1" s="1"/>
  <c r="BB146" i="1"/>
  <c r="CH141" i="1"/>
  <c r="CF141" i="1" s="1"/>
  <c r="CI141" i="1"/>
  <c r="CG141" i="1" s="1"/>
  <c r="BB142" i="1"/>
  <c r="CE131" i="1"/>
  <c r="CC131" i="1" s="1"/>
  <c r="BA132" i="1"/>
  <c r="CD131" i="1"/>
  <c r="CB131" i="1" s="1"/>
  <c r="CM130" i="1"/>
  <c r="CK130" i="1" s="1"/>
  <c r="CL130" i="1"/>
  <c r="CJ130" i="1" s="1"/>
  <c r="BC131" i="1"/>
  <c r="BC147" i="1"/>
  <c r="BV148" i="1" l="1"/>
  <c r="BW148" i="1"/>
  <c r="CH149" i="1"/>
  <c r="CF149" i="1" s="1"/>
  <c r="CI149" i="1"/>
  <c r="CG149" i="1" s="1"/>
  <c r="M126" i="1"/>
  <c r="O126" i="1" s="1"/>
  <c r="N126" i="1"/>
  <c r="CD128" i="1"/>
  <c r="CB128" i="1" s="1"/>
  <c r="CE128" i="1"/>
  <c r="CC128" i="1" s="1"/>
  <c r="BY127" i="1"/>
  <c r="DE127" i="1"/>
  <c r="BX127" i="1"/>
  <c r="DD127" i="1"/>
  <c r="L127" i="1" s="1"/>
  <c r="M31" i="1"/>
  <c r="O31" i="1" s="1"/>
  <c r="N31" i="1"/>
  <c r="BX24" i="1"/>
  <c r="DD24" i="1"/>
  <c r="L24" i="1" s="1"/>
  <c r="AZ24" i="1"/>
  <c r="AZ25" i="1" s="1"/>
  <c r="AZ26" i="1" s="1"/>
  <c r="AZ27" i="1" s="1"/>
  <c r="BY24" i="1"/>
  <c r="DE24" i="1"/>
  <c r="M48" i="1"/>
  <c r="O48" i="1" s="1"/>
  <c r="N48" i="1"/>
  <c r="M36" i="1"/>
  <c r="O36" i="1" s="1"/>
  <c r="N36" i="1"/>
  <c r="M32" i="1"/>
  <c r="O32" i="1" s="1"/>
  <c r="N32" i="1"/>
  <c r="M52" i="1"/>
  <c r="O52" i="1" s="1"/>
  <c r="N52" i="1"/>
  <c r="CD54" i="1"/>
  <c r="CB54" i="1" s="1"/>
  <c r="CE54" i="1"/>
  <c r="CC54" i="1" s="1"/>
  <c r="BX40" i="1"/>
  <c r="DD40" i="1"/>
  <c r="L40" i="1" s="1"/>
  <c r="BY40" i="1"/>
  <c r="DE40" i="1"/>
  <c r="BY20" i="1"/>
  <c r="DE20" i="1"/>
  <c r="BX20" i="1"/>
  <c r="DD20" i="1"/>
  <c r="L20" i="1" s="1"/>
  <c r="M70" i="1"/>
  <c r="O70" i="1" s="1"/>
  <c r="N70" i="1"/>
  <c r="M68" i="1"/>
  <c r="O68" i="1" s="1"/>
  <c r="N68" i="1"/>
  <c r="M67" i="1"/>
  <c r="O67" i="1" s="1"/>
  <c r="N67" i="1"/>
  <c r="M62" i="1"/>
  <c r="O62" i="1" s="1"/>
  <c r="N62" i="1"/>
  <c r="M60" i="1"/>
  <c r="O60" i="1" s="1"/>
  <c r="N60" i="1"/>
  <c r="M59" i="1"/>
  <c r="O59" i="1" s="1"/>
  <c r="N59" i="1"/>
  <c r="M57" i="1"/>
  <c r="O57" i="1" s="1"/>
  <c r="N57" i="1"/>
  <c r="CH72" i="1"/>
  <c r="CF72" i="1" s="1"/>
  <c r="CI72" i="1"/>
  <c r="CG72" i="1" s="1"/>
  <c r="BX65" i="1"/>
  <c r="DD65" i="1"/>
  <c r="L65" i="1" s="1"/>
  <c r="BY71" i="1"/>
  <c r="DE71" i="1"/>
  <c r="BX56" i="1"/>
  <c r="DD56" i="1"/>
  <c r="L56" i="1" s="1"/>
  <c r="BY64" i="1"/>
  <c r="DE64" i="1"/>
  <c r="BX66" i="1"/>
  <c r="DD66" i="1"/>
  <c r="L66" i="1" s="1"/>
  <c r="BX58" i="1"/>
  <c r="DD58" i="1"/>
  <c r="L58" i="1" s="1"/>
  <c r="BY61" i="1"/>
  <c r="DE61" i="1"/>
  <c r="BY66" i="1"/>
  <c r="DE66" i="1"/>
  <c r="BY69" i="1"/>
  <c r="DE69" i="1"/>
  <c r="BY56" i="1"/>
  <c r="DE56" i="1"/>
  <c r="BY65" i="1"/>
  <c r="DE65" i="1"/>
  <c r="BY58" i="1"/>
  <c r="DE58" i="1"/>
  <c r="BX61" i="1"/>
  <c r="DD61" i="1"/>
  <c r="L61" i="1" s="1"/>
  <c r="BX71" i="1"/>
  <c r="DD71" i="1"/>
  <c r="L71" i="1" s="1"/>
  <c r="BX64" i="1"/>
  <c r="DD64" i="1"/>
  <c r="L64" i="1" s="1"/>
  <c r="BX69" i="1"/>
  <c r="DD69" i="1"/>
  <c r="L69" i="1" s="1"/>
  <c r="BB73" i="1"/>
  <c r="BX90" i="1"/>
  <c r="DD90" i="1"/>
  <c r="L90" i="1" s="1"/>
  <c r="BY90" i="1"/>
  <c r="DE90" i="1"/>
  <c r="M87" i="1"/>
  <c r="O87" i="1" s="1"/>
  <c r="N87" i="1"/>
  <c r="M86" i="1"/>
  <c r="O86" i="1" s="1"/>
  <c r="N86" i="1"/>
  <c r="M85" i="1"/>
  <c r="O85" i="1" s="1"/>
  <c r="N85" i="1"/>
  <c r="M84" i="1"/>
  <c r="O84" i="1" s="1"/>
  <c r="N84" i="1"/>
  <c r="M81" i="1"/>
  <c r="O81" i="1" s="1"/>
  <c r="N81" i="1"/>
  <c r="M80" i="1"/>
  <c r="O80" i="1" s="1"/>
  <c r="N80" i="1"/>
  <c r="M78" i="1"/>
  <c r="O78" i="1" s="1"/>
  <c r="N78" i="1"/>
  <c r="M77" i="1"/>
  <c r="O77" i="1" s="1"/>
  <c r="N77" i="1"/>
  <c r="M76" i="1"/>
  <c r="O76" i="1" s="1"/>
  <c r="N76" i="1"/>
  <c r="M75" i="1"/>
  <c r="O75" i="1" s="1"/>
  <c r="N75" i="1"/>
  <c r="CI91" i="1"/>
  <c r="CG91" i="1" s="1"/>
  <c r="CH91" i="1"/>
  <c r="CF91" i="1" s="1"/>
  <c r="BX83" i="1"/>
  <c r="DD83" i="1"/>
  <c r="L83" i="1" s="1"/>
  <c r="BY83" i="1"/>
  <c r="DE83" i="1"/>
  <c r="BX82" i="1"/>
  <c r="DD82" i="1"/>
  <c r="L82" i="1" s="1"/>
  <c r="BY82" i="1"/>
  <c r="DE82" i="1"/>
  <c r="BX79" i="1"/>
  <c r="DD79" i="1"/>
  <c r="L79" i="1" s="1"/>
  <c r="BY79" i="1"/>
  <c r="DE79" i="1"/>
  <c r="BX74" i="1"/>
  <c r="DD74" i="1"/>
  <c r="L74" i="1" s="1"/>
  <c r="BY74" i="1"/>
  <c r="DE74" i="1"/>
  <c r="M111" i="1"/>
  <c r="O111" i="1" s="1"/>
  <c r="N111" i="1"/>
  <c r="M109" i="1"/>
  <c r="O109" i="1" s="1"/>
  <c r="N109" i="1"/>
  <c r="M106" i="1"/>
  <c r="O106" i="1" s="1"/>
  <c r="N106" i="1"/>
  <c r="M105" i="1"/>
  <c r="O105" i="1" s="1"/>
  <c r="N105" i="1"/>
  <c r="M104" i="1"/>
  <c r="O104" i="1" s="1"/>
  <c r="N104" i="1"/>
  <c r="M101" i="1"/>
  <c r="O101" i="1" s="1"/>
  <c r="N101" i="1"/>
  <c r="CD112" i="1"/>
  <c r="CB112" i="1" s="1"/>
  <c r="CE112" i="1"/>
  <c r="CC112" i="1" s="1"/>
  <c r="BX110" i="1"/>
  <c r="DD110" i="1"/>
  <c r="L110" i="1" s="1"/>
  <c r="BY110" i="1"/>
  <c r="DE110" i="1"/>
  <c r="BX107" i="1"/>
  <c r="DD107" i="1"/>
  <c r="L107" i="1" s="1"/>
  <c r="BY107" i="1"/>
  <c r="DE107" i="1"/>
  <c r="BX103" i="1"/>
  <c r="DD103" i="1"/>
  <c r="L103" i="1" s="1"/>
  <c r="BY103" i="1"/>
  <c r="DE103" i="1"/>
  <c r="BX102" i="1"/>
  <c r="DD102" i="1"/>
  <c r="L102" i="1" s="1"/>
  <c r="BY102" i="1"/>
  <c r="DE102" i="1"/>
  <c r="CD100" i="1"/>
  <c r="CB100" i="1" s="1"/>
  <c r="M116" i="1"/>
  <c r="O116" i="1" s="1"/>
  <c r="N116" i="1"/>
  <c r="CI117" i="1"/>
  <c r="CG117" i="1" s="1"/>
  <c r="CH117" i="1"/>
  <c r="CF117" i="1" s="1"/>
  <c r="BX115" i="1"/>
  <c r="DD115" i="1"/>
  <c r="L115" i="1" s="1"/>
  <c r="BY115" i="1"/>
  <c r="DE115" i="1"/>
  <c r="BY114" i="1"/>
  <c r="DE114" i="1"/>
  <c r="BX114" i="1"/>
  <c r="DD114" i="1"/>
  <c r="L114" i="1" s="1"/>
  <c r="CH113" i="1"/>
  <c r="CF113" i="1" s="1"/>
  <c r="BX94" i="1"/>
  <c r="DD94" i="1"/>
  <c r="L94" i="1" s="1"/>
  <c r="BY94" i="1"/>
  <c r="DE94" i="1"/>
  <c r="BY93" i="1"/>
  <c r="DE93" i="1"/>
  <c r="BX93" i="1"/>
  <c r="DD93" i="1"/>
  <c r="L93" i="1" s="1"/>
  <c r="CH96" i="1"/>
  <c r="CF96" i="1" s="1"/>
  <c r="CI96" i="1"/>
  <c r="CG96" i="1" s="1"/>
  <c r="BB97" i="1"/>
  <c r="BX121" i="1"/>
  <c r="DD121" i="1"/>
  <c r="L121" i="1" s="1"/>
  <c r="BY121" i="1"/>
  <c r="DE121" i="1"/>
  <c r="M119" i="1"/>
  <c r="O119" i="1" s="1"/>
  <c r="N119" i="1"/>
  <c r="BY120" i="1"/>
  <c r="DE120" i="1"/>
  <c r="BX120" i="1"/>
  <c r="DD120" i="1"/>
  <c r="L120" i="1" s="1"/>
  <c r="CD122" i="1"/>
  <c r="CB122" i="1" s="1"/>
  <c r="CE122" i="1"/>
  <c r="CC122" i="1" s="1"/>
  <c r="CH146" i="1"/>
  <c r="CF146" i="1" s="1"/>
  <c r="CI146" i="1"/>
  <c r="CG146" i="1" s="1"/>
  <c r="CE98" i="1"/>
  <c r="CC98" i="1" s="1"/>
  <c r="CI113" i="1"/>
  <c r="CG113" i="1" s="1"/>
  <c r="CI73" i="1"/>
  <c r="CG73" i="1" s="1"/>
  <c r="CH73" i="1"/>
  <c r="CF73" i="1" s="1"/>
  <c r="CE100" i="1"/>
  <c r="CC100" i="1" s="1"/>
  <c r="CI140" i="1"/>
  <c r="CG140" i="1" s="1"/>
  <c r="CH140" i="1"/>
  <c r="CF140" i="1" s="1"/>
  <c r="BT138" i="1"/>
  <c r="DD138" i="1"/>
  <c r="L138" i="1" s="1"/>
  <c r="BU138" i="1"/>
  <c r="DE138" i="1"/>
  <c r="BB141" i="1"/>
  <c r="BA141" i="1" s="1"/>
  <c r="CI139" i="1"/>
  <c r="CG139" i="1" s="1"/>
  <c r="CH139" i="1"/>
  <c r="CF139" i="1" s="1"/>
  <c r="BW137" i="1"/>
  <c r="BV137" i="1"/>
  <c r="J12" i="12"/>
  <c r="D12" i="12" s="1"/>
  <c r="O11" i="12"/>
  <c r="B11" i="12" s="1"/>
  <c r="K13" i="12"/>
  <c r="E13" i="12" s="1"/>
  <c r="O46" i="12"/>
  <c r="B46" i="12" s="1"/>
  <c r="CI19" i="1"/>
  <c r="CG19" i="1" s="1"/>
  <c r="CH19" i="1"/>
  <c r="CF19" i="1" s="1"/>
  <c r="BZ55" i="1"/>
  <c r="CE55" i="1"/>
  <c r="CC55" i="1" s="1"/>
  <c r="BB134" i="1"/>
  <c r="BA134" i="1" s="1"/>
  <c r="CI133" i="1"/>
  <c r="CG133" i="1" s="1"/>
  <c r="CI136" i="1"/>
  <c r="CG136" i="1" s="1"/>
  <c r="CH136" i="1"/>
  <c r="CF136" i="1" s="1"/>
  <c r="BZ131" i="1"/>
  <c r="CA131" i="1"/>
  <c r="CD123" i="1"/>
  <c r="CB123" i="1" s="1"/>
  <c r="CE123" i="1"/>
  <c r="CC123" i="1" s="1"/>
  <c r="BA129" i="1"/>
  <c r="CE132" i="1"/>
  <c r="CC132" i="1" s="1"/>
  <c r="CD132" i="1"/>
  <c r="CB132" i="1" s="1"/>
  <c r="BA133" i="1"/>
  <c r="CA92" i="1"/>
  <c r="BZ92" i="1"/>
  <c r="CH99" i="1"/>
  <c r="CF99" i="1" s="1"/>
  <c r="CI99" i="1"/>
  <c r="CG99" i="1" s="1"/>
  <c r="BB98" i="1"/>
  <c r="BB147" i="1"/>
  <c r="CD145" i="1"/>
  <c r="CB145" i="1" s="1"/>
  <c r="CE145" i="1"/>
  <c r="CC145" i="1" s="1"/>
  <c r="BA146" i="1"/>
  <c r="CD118" i="1"/>
  <c r="CB118" i="1" s="1"/>
  <c r="CE118" i="1"/>
  <c r="CC118" i="1" s="1"/>
  <c r="BA123" i="1"/>
  <c r="CH97" i="1"/>
  <c r="CF97" i="1" s="1"/>
  <c r="CI97" i="1"/>
  <c r="CG97" i="1" s="1"/>
  <c r="CH142" i="1"/>
  <c r="CF142" i="1" s="1"/>
  <c r="CI142" i="1"/>
  <c r="CG142" i="1" s="1"/>
  <c r="BB143" i="1"/>
  <c r="CH143" i="1"/>
  <c r="CF143" i="1" s="1"/>
  <c r="CI143" i="1"/>
  <c r="CG143" i="1" s="1"/>
  <c r="BB144" i="1"/>
  <c r="BA135" i="1"/>
  <c r="CE134" i="1"/>
  <c r="CC134" i="1" s="1"/>
  <c r="CD134" i="1"/>
  <c r="CB134" i="1" s="1"/>
  <c r="CD150" i="1"/>
  <c r="CB150" i="1" s="1"/>
  <c r="CE150" i="1"/>
  <c r="CC150" i="1" s="1"/>
  <c r="BA113" i="1"/>
  <c r="BA55" i="1"/>
  <c r="BA99" i="1"/>
  <c r="BZ98" i="1" s="1"/>
  <c r="BX98" i="1" s="1"/>
  <c r="BB92" i="1"/>
  <c r="BB118" i="1"/>
  <c r="BZ144" i="1"/>
  <c r="BX144" i="1" s="1"/>
  <c r="CA144" i="1"/>
  <c r="BY144" i="1" s="1"/>
  <c r="AZ145" i="1"/>
  <c r="CD136" i="1"/>
  <c r="CB136" i="1" s="1"/>
  <c r="CE136" i="1"/>
  <c r="CC136" i="1" s="1"/>
  <c r="CH129" i="1"/>
  <c r="CF129" i="1" s="1"/>
  <c r="CI129" i="1"/>
  <c r="CG129" i="1" s="1"/>
  <c r="BB130" i="1"/>
  <c r="CE141" i="1"/>
  <c r="CC141" i="1" s="1"/>
  <c r="CD141" i="1"/>
  <c r="CB141" i="1" s="1"/>
  <c r="BA142" i="1"/>
  <c r="CH135" i="1"/>
  <c r="CF135" i="1" s="1"/>
  <c r="CI135" i="1"/>
  <c r="CG135" i="1" s="1"/>
  <c r="BB136" i="1"/>
  <c r="CD19" i="1"/>
  <c r="CB19" i="1" s="1"/>
  <c r="CE19" i="1"/>
  <c r="CC19" i="1" s="1"/>
  <c r="BA100" i="1"/>
  <c r="CI147" i="1"/>
  <c r="CG147" i="1" s="1"/>
  <c r="CH147" i="1"/>
  <c r="CF147" i="1" s="1"/>
  <c r="BB150" i="1"/>
  <c r="CI130" i="1"/>
  <c r="CG130" i="1" s="1"/>
  <c r="CH130" i="1"/>
  <c r="CF130" i="1" s="1"/>
  <c r="BB131" i="1"/>
  <c r="BT148" i="1" l="1"/>
  <c r="DD148" i="1"/>
  <c r="L148" i="1" s="1"/>
  <c r="BU148" i="1"/>
  <c r="DE148" i="1"/>
  <c r="CD149" i="1"/>
  <c r="CB149" i="1" s="1"/>
  <c r="CE149" i="1"/>
  <c r="CC149" i="1" s="1"/>
  <c r="M127" i="1"/>
  <c r="O127" i="1" s="1"/>
  <c r="N127" i="1"/>
  <c r="BZ128" i="1"/>
  <c r="CA128" i="1"/>
  <c r="AZ28" i="1"/>
  <c r="AZ29" i="1" s="1"/>
  <c r="AZ30" i="1" s="1"/>
  <c r="AZ31" i="1" s="1"/>
  <c r="M24" i="1"/>
  <c r="O24" i="1" s="1"/>
  <c r="N24" i="1"/>
  <c r="M40" i="1"/>
  <c r="O40" i="1" s="1"/>
  <c r="N40" i="1"/>
  <c r="M20" i="1"/>
  <c r="O20" i="1" s="1"/>
  <c r="N20" i="1"/>
  <c r="BZ54" i="1"/>
  <c r="CA54" i="1"/>
  <c r="M71" i="1"/>
  <c r="O71" i="1" s="1"/>
  <c r="N71" i="1"/>
  <c r="M69" i="1"/>
  <c r="O69" i="1" s="1"/>
  <c r="N69" i="1"/>
  <c r="M66" i="1"/>
  <c r="O66" i="1" s="1"/>
  <c r="N66" i="1"/>
  <c r="M65" i="1"/>
  <c r="O65" i="1" s="1"/>
  <c r="N65" i="1"/>
  <c r="M64" i="1"/>
  <c r="O64" i="1" s="1"/>
  <c r="N64" i="1"/>
  <c r="M61" i="1"/>
  <c r="O61" i="1" s="1"/>
  <c r="N61" i="1"/>
  <c r="M58" i="1"/>
  <c r="O58" i="1" s="1"/>
  <c r="N58" i="1"/>
  <c r="M56" i="1"/>
  <c r="O56" i="1" s="1"/>
  <c r="N56" i="1"/>
  <c r="CD72" i="1"/>
  <c r="CB72" i="1" s="1"/>
  <c r="CE72" i="1"/>
  <c r="CC72" i="1" s="1"/>
  <c r="BA73" i="1"/>
  <c r="M90" i="1"/>
  <c r="O90" i="1" s="1"/>
  <c r="N90" i="1"/>
  <c r="M83" i="1"/>
  <c r="O83" i="1" s="1"/>
  <c r="N83" i="1"/>
  <c r="M82" i="1"/>
  <c r="O82" i="1" s="1"/>
  <c r="N82" i="1"/>
  <c r="M79" i="1"/>
  <c r="O79" i="1" s="1"/>
  <c r="N79" i="1"/>
  <c r="M74" i="1"/>
  <c r="O74" i="1" s="1"/>
  <c r="N74" i="1"/>
  <c r="CD91" i="1"/>
  <c r="CB91" i="1" s="1"/>
  <c r="CE91" i="1"/>
  <c r="CC91" i="1" s="1"/>
  <c r="M110" i="1"/>
  <c r="O110" i="1" s="1"/>
  <c r="N110" i="1"/>
  <c r="M107" i="1"/>
  <c r="O107" i="1" s="1"/>
  <c r="N107" i="1"/>
  <c r="M103" i="1"/>
  <c r="O103" i="1" s="1"/>
  <c r="N103" i="1"/>
  <c r="M102" i="1"/>
  <c r="O102" i="1" s="1"/>
  <c r="N102" i="1"/>
  <c r="BZ112" i="1"/>
  <c r="CA112" i="1"/>
  <c r="BZ100" i="1"/>
  <c r="BX100" i="1" s="1"/>
  <c r="M115" i="1"/>
  <c r="O115" i="1" s="1"/>
  <c r="N115" i="1"/>
  <c r="M114" i="1"/>
  <c r="O114" i="1" s="1"/>
  <c r="N114" i="1"/>
  <c r="CD117" i="1"/>
  <c r="CB117" i="1" s="1"/>
  <c r="CE117" i="1"/>
  <c r="CC117" i="1" s="1"/>
  <c r="CD113" i="1"/>
  <c r="CB113" i="1" s="1"/>
  <c r="M94" i="1"/>
  <c r="O94" i="1" s="1"/>
  <c r="N94" i="1"/>
  <c r="M93" i="1"/>
  <c r="O93" i="1" s="1"/>
  <c r="N93" i="1"/>
  <c r="CD96" i="1"/>
  <c r="CB96" i="1" s="1"/>
  <c r="CE96" i="1"/>
  <c r="CC96" i="1" s="1"/>
  <c r="BA97" i="1"/>
  <c r="M121" i="1"/>
  <c r="O121" i="1" s="1"/>
  <c r="N121" i="1"/>
  <c r="M120" i="1"/>
  <c r="O120" i="1" s="1"/>
  <c r="N120" i="1"/>
  <c r="BZ122" i="1"/>
  <c r="CA122" i="1"/>
  <c r="CD146" i="1"/>
  <c r="CB146" i="1" s="1"/>
  <c r="CE146" i="1"/>
  <c r="CC146" i="1" s="1"/>
  <c r="M138" i="1"/>
  <c r="O138" i="1" s="1"/>
  <c r="N138" i="1"/>
  <c r="CA98" i="1"/>
  <c r="BY98" i="1" s="1"/>
  <c r="CE113" i="1"/>
  <c r="CC113" i="1" s="1"/>
  <c r="CA100" i="1"/>
  <c r="BY100" i="1" s="1"/>
  <c r="CE73" i="1"/>
  <c r="CC73" i="1" s="1"/>
  <c r="CD73" i="1"/>
  <c r="CB73" i="1" s="1"/>
  <c r="CA140" i="1"/>
  <c r="BY140" i="1" s="1"/>
  <c r="BZ140" i="1"/>
  <c r="BX140" i="1" s="1"/>
  <c r="CE140" i="1"/>
  <c r="CC140" i="1" s="1"/>
  <c r="CD140" i="1"/>
  <c r="CB140" i="1" s="1"/>
  <c r="BT137" i="1"/>
  <c r="DD137" i="1"/>
  <c r="L137" i="1" s="1"/>
  <c r="BU137" i="1"/>
  <c r="DE137" i="1"/>
  <c r="CE139" i="1"/>
  <c r="CC139" i="1" s="1"/>
  <c r="CD139" i="1"/>
  <c r="CB139" i="1" s="1"/>
  <c r="CA139" i="1"/>
  <c r="BY139" i="1" s="1"/>
  <c r="BZ139" i="1"/>
  <c r="BX139" i="1" s="1"/>
  <c r="K14" i="12"/>
  <c r="E14" i="12" s="1"/>
  <c r="J13" i="12"/>
  <c r="D13" i="12" s="1"/>
  <c r="O12" i="12"/>
  <c r="B12" i="12" s="1"/>
  <c r="J48" i="12"/>
  <c r="D48" i="12" s="1"/>
  <c r="O47" i="12"/>
  <c r="B47" i="12" s="1"/>
  <c r="CA55" i="1"/>
  <c r="CE133" i="1"/>
  <c r="CC133" i="1" s="1"/>
  <c r="CD133" i="1"/>
  <c r="CB133" i="1" s="1"/>
  <c r="CA136" i="1"/>
  <c r="BZ136" i="1"/>
  <c r="AZ113" i="1"/>
  <c r="CA123" i="1"/>
  <c r="BZ123" i="1"/>
  <c r="BA147" i="1"/>
  <c r="BZ132" i="1"/>
  <c r="CA132" i="1"/>
  <c r="CA145" i="1"/>
  <c r="BY145" i="1" s="1"/>
  <c r="BZ145" i="1"/>
  <c r="BX145" i="1" s="1"/>
  <c r="BY131" i="1"/>
  <c r="BZ150" i="1"/>
  <c r="CA150" i="1"/>
  <c r="BZ118" i="1"/>
  <c r="CA118" i="1"/>
  <c r="CD99" i="1"/>
  <c r="CB99" i="1" s="1"/>
  <c r="CE99" i="1"/>
  <c r="CC99" i="1" s="1"/>
  <c r="CD143" i="1"/>
  <c r="CB143" i="1" s="1"/>
  <c r="CE143" i="1"/>
  <c r="CC143" i="1" s="1"/>
  <c r="BA144" i="1"/>
  <c r="BZ141" i="1"/>
  <c r="CA141" i="1"/>
  <c r="BA92" i="1"/>
  <c r="BX92" i="1"/>
  <c r="BX131" i="1"/>
  <c r="CD147" i="1"/>
  <c r="CB147" i="1" s="1"/>
  <c r="CE147" i="1"/>
  <c r="CC147" i="1" s="1"/>
  <c r="BA150" i="1"/>
  <c r="CA19" i="1"/>
  <c r="BY19" i="1" s="1"/>
  <c r="BZ19" i="1"/>
  <c r="BX19" i="1" s="1"/>
  <c r="CD135" i="1"/>
  <c r="CB135" i="1" s="1"/>
  <c r="CE135" i="1"/>
  <c r="CC135" i="1" s="1"/>
  <c r="BA136" i="1"/>
  <c r="BV144" i="1"/>
  <c r="BT144" i="1" s="1"/>
  <c r="BW144" i="1"/>
  <c r="BU144" i="1" s="1"/>
  <c r="AZ146" i="1"/>
  <c r="CD142" i="1"/>
  <c r="CB142" i="1" s="1"/>
  <c r="CE142" i="1"/>
  <c r="CC142" i="1" s="1"/>
  <c r="BA143" i="1"/>
  <c r="CE97" i="1"/>
  <c r="CC97" i="1" s="1"/>
  <c r="CD97" i="1"/>
  <c r="CB97" i="1" s="1"/>
  <c r="BX55" i="1"/>
  <c r="BY92" i="1"/>
  <c r="CA133" i="1"/>
  <c r="BZ133" i="1"/>
  <c r="AZ134" i="1"/>
  <c r="BA118" i="1"/>
  <c r="CE130" i="1"/>
  <c r="CC130" i="1" s="1"/>
  <c r="CD130" i="1"/>
  <c r="CB130" i="1" s="1"/>
  <c r="BA131" i="1"/>
  <c r="AZ99" i="1"/>
  <c r="CD129" i="1"/>
  <c r="CB129" i="1" s="1"/>
  <c r="CE129" i="1"/>
  <c r="CC129" i="1" s="1"/>
  <c r="BA130" i="1"/>
  <c r="BZ134" i="1"/>
  <c r="BX134" i="1" s="1"/>
  <c r="CA134" i="1"/>
  <c r="BY134" i="1" s="1"/>
  <c r="BA98" i="1"/>
  <c r="M148" i="1" l="1"/>
  <c r="O148" i="1" s="1"/>
  <c r="N148" i="1"/>
  <c r="BZ149" i="1"/>
  <c r="BX149" i="1" s="1"/>
  <c r="CA149" i="1"/>
  <c r="BY149" i="1" s="1"/>
  <c r="BY128" i="1"/>
  <c r="DE128" i="1"/>
  <c r="BX128" i="1"/>
  <c r="DD128" i="1"/>
  <c r="L128" i="1" s="1"/>
  <c r="AZ32" i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BY54" i="1"/>
  <c r="DE54" i="1"/>
  <c r="BX54" i="1"/>
  <c r="DD54" i="1"/>
  <c r="L54" i="1" s="1"/>
  <c r="CA72" i="1"/>
  <c r="BZ72" i="1"/>
  <c r="BZ91" i="1"/>
  <c r="CA91" i="1"/>
  <c r="BW112" i="1"/>
  <c r="BU112" i="1" s="1"/>
  <c r="BV112" i="1"/>
  <c r="BT112" i="1" s="1"/>
  <c r="BY112" i="1"/>
  <c r="DE112" i="1"/>
  <c r="BX112" i="1"/>
  <c r="DD112" i="1"/>
  <c r="L112" i="1" s="1"/>
  <c r="AZ114" i="1"/>
  <c r="AZ115" i="1" s="1"/>
  <c r="AZ116" i="1" s="1"/>
  <c r="AZ117" i="1" s="1"/>
  <c r="CA117" i="1"/>
  <c r="BZ117" i="1"/>
  <c r="CA113" i="1"/>
  <c r="BY113" i="1" s="1"/>
  <c r="BZ96" i="1"/>
  <c r="CA96" i="1"/>
  <c r="AZ97" i="1"/>
  <c r="BY122" i="1"/>
  <c r="DE122" i="1"/>
  <c r="BX122" i="1"/>
  <c r="DD122" i="1"/>
  <c r="L122" i="1" s="1"/>
  <c r="M137" i="1"/>
  <c r="O137" i="1" s="1"/>
  <c r="N137" i="1"/>
  <c r="BZ113" i="1"/>
  <c r="BX113" i="1" s="1"/>
  <c r="CA73" i="1"/>
  <c r="BY73" i="1" s="1"/>
  <c r="BZ73" i="1"/>
  <c r="BX73" i="1" s="1"/>
  <c r="J14" i="12"/>
  <c r="D14" i="12" s="1"/>
  <c r="O13" i="12"/>
  <c r="B13" i="12" s="1"/>
  <c r="K15" i="12"/>
  <c r="E15" i="12" s="1"/>
  <c r="J49" i="12"/>
  <c r="D49" i="12" s="1"/>
  <c r="O48" i="12"/>
  <c r="B48" i="12" s="1"/>
  <c r="BY55" i="1"/>
  <c r="CA130" i="1"/>
  <c r="BY130" i="1" s="1"/>
  <c r="BZ130" i="1"/>
  <c r="BX130" i="1" s="1"/>
  <c r="BY132" i="1"/>
  <c r="BY136" i="1"/>
  <c r="BZ142" i="1"/>
  <c r="CA142" i="1"/>
  <c r="AZ143" i="1"/>
  <c r="BZ135" i="1"/>
  <c r="CA135" i="1"/>
  <c r="BV150" i="1"/>
  <c r="BT150" i="1" s="1"/>
  <c r="BW150" i="1"/>
  <c r="BU150" i="1" s="1"/>
  <c r="BX132" i="1"/>
  <c r="BY123" i="1"/>
  <c r="AZ55" i="1"/>
  <c r="BY141" i="1"/>
  <c r="BZ99" i="1"/>
  <c r="CA99" i="1"/>
  <c r="BY118" i="1"/>
  <c r="BX150" i="1"/>
  <c r="BZ97" i="1"/>
  <c r="BX97" i="1" s="1"/>
  <c r="CA97" i="1"/>
  <c r="BY97" i="1" s="1"/>
  <c r="CA143" i="1"/>
  <c r="BY143" i="1" s="1"/>
  <c r="BZ143" i="1"/>
  <c r="BX143" i="1" s="1"/>
  <c r="AZ144" i="1"/>
  <c r="AZ98" i="1"/>
  <c r="BX133" i="1"/>
  <c r="BZ147" i="1"/>
  <c r="CA147" i="1"/>
  <c r="BZ129" i="1"/>
  <c r="CA129" i="1"/>
  <c r="AZ130" i="1"/>
  <c r="BY150" i="1"/>
  <c r="BV133" i="1"/>
  <c r="BT133" i="1" s="1"/>
  <c r="BW133" i="1"/>
  <c r="BU133" i="1" s="1"/>
  <c r="AZ135" i="1"/>
  <c r="BY133" i="1"/>
  <c r="BX141" i="1"/>
  <c r="BX118" i="1"/>
  <c r="BX123" i="1"/>
  <c r="BX136" i="1"/>
  <c r="DE150" i="1" l="1"/>
  <c r="DD150" i="1"/>
  <c r="M128" i="1"/>
  <c r="O128" i="1" s="1"/>
  <c r="N128" i="1"/>
  <c r="M54" i="1"/>
  <c r="O54" i="1" s="1"/>
  <c r="N54" i="1"/>
  <c r="BV54" i="1"/>
  <c r="BT54" i="1" s="1"/>
  <c r="BW54" i="1"/>
  <c r="BU54" i="1" s="1"/>
  <c r="AZ56" i="1"/>
  <c r="AZ57" i="1" s="1"/>
  <c r="BX72" i="1"/>
  <c r="DD72" i="1"/>
  <c r="L72" i="1" s="1"/>
  <c r="BY72" i="1"/>
  <c r="DE72" i="1"/>
  <c r="BY91" i="1"/>
  <c r="DE91" i="1"/>
  <c r="BX91" i="1"/>
  <c r="DD91" i="1"/>
  <c r="L91" i="1" s="1"/>
  <c r="M112" i="1"/>
  <c r="O112" i="1" s="1"/>
  <c r="N112" i="1"/>
  <c r="BX117" i="1"/>
  <c r="DD117" i="1"/>
  <c r="L117" i="1" s="1"/>
  <c r="BY117" i="1"/>
  <c r="DE117" i="1"/>
  <c r="BX96" i="1"/>
  <c r="DD96" i="1"/>
  <c r="L96" i="1" s="1"/>
  <c r="BY96" i="1"/>
  <c r="DE96" i="1"/>
  <c r="BV96" i="1"/>
  <c r="BT96" i="1" s="1"/>
  <c r="BW96" i="1"/>
  <c r="BU96" i="1" s="1"/>
  <c r="M122" i="1"/>
  <c r="O122" i="1" s="1"/>
  <c r="N122" i="1"/>
  <c r="DE133" i="1"/>
  <c r="DD133" i="1"/>
  <c r="K16" i="12"/>
  <c r="E16" i="12" s="1"/>
  <c r="J15" i="12"/>
  <c r="D15" i="12" s="1"/>
  <c r="O14" i="12"/>
  <c r="B14" i="12" s="1"/>
  <c r="J50" i="12"/>
  <c r="D50" i="12" s="1"/>
  <c r="O49" i="12"/>
  <c r="B49" i="12" s="1"/>
  <c r="BV129" i="1"/>
  <c r="BT129" i="1" s="1"/>
  <c r="BW129" i="1"/>
  <c r="BU129" i="1" s="1"/>
  <c r="AZ131" i="1"/>
  <c r="BV143" i="1"/>
  <c r="BW143" i="1"/>
  <c r="BY135" i="1"/>
  <c r="AZ136" i="1"/>
  <c r="AZ118" i="1"/>
  <c r="BX135" i="1"/>
  <c r="BX142" i="1"/>
  <c r="AZ100" i="1"/>
  <c r="AZ101" i="1" s="1"/>
  <c r="AZ102" i="1" s="1"/>
  <c r="AZ103" i="1" s="1"/>
  <c r="AZ104" i="1" s="1"/>
  <c r="AZ105" i="1" s="1"/>
  <c r="AZ106" i="1" s="1"/>
  <c r="AZ107" i="1" s="1"/>
  <c r="AZ108" i="1" s="1"/>
  <c r="AZ109" i="1" s="1"/>
  <c r="AZ110" i="1" s="1"/>
  <c r="AZ111" i="1" s="1"/>
  <c r="AZ112" i="1" s="1"/>
  <c r="BY99" i="1"/>
  <c r="BY147" i="1"/>
  <c r="BX99" i="1"/>
  <c r="BW142" i="1"/>
  <c r="BU142" i="1" s="1"/>
  <c r="BV142" i="1"/>
  <c r="BT142" i="1" s="1"/>
  <c r="BX147" i="1"/>
  <c r="BY142" i="1"/>
  <c r="BY129" i="1"/>
  <c r="BX129" i="1"/>
  <c r="M72" i="1" l="1"/>
  <c r="O72" i="1" s="1"/>
  <c r="N72" i="1"/>
  <c r="AZ58" i="1"/>
  <c r="M91" i="1"/>
  <c r="O91" i="1" s="1"/>
  <c r="N91" i="1"/>
  <c r="M117" i="1"/>
  <c r="O117" i="1" s="1"/>
  <c r="N117" i="1"/>
  <c r="BV117" i="1"/>
  <c r="BT117" i="1" s="1"/>
  <c r="BW117" i="1"/>
  <c r="BU117" i="1" s="1"/>
  <c r="AZ119" i="1"/>
  <c r="AZ120" i="1" s="1"/>
  <c r="AZ121" i="1" s="1"/>
  <c r="M96" i="1"/>
  <c r="O96" i="1" s="1"/>
  <c r="N96" i="1"/>
  <c r="DE142" i="1"/>
  <c r="DD142" i="1"/>
  <c r="DD129" i="1"/>
  <c r="DE129" i="1"/>
  <c r="J16" i="12"/>
  <c r="D16" i="12" s="1"/>
  <c r="O15" i="12"/>
  <c r="B15" i="12" s="1"/>
  <c r="K17" i="12"/>
  <c r="E17" i="12" s="1"/>
  <c r="J51" i="12"/>
  <c r="D51" i="12" s="1"/>
  <c r="O50" i="12"/>
  <c r="B50" i="12" s="1"/>
  <c r="AZ132" i="1"/>
  <c r="AZ123" i="1"/>
  <c r="AZ124" i="1" s="1"/>
  <c r="AZ125" i="1" s="1"/>
  <c r="AZ126" i="1" s="1"/>
  <c r="AZ127" i="1" s="1"/>
  <c r="AZ128" i="1" s="1"/>
  <c r="AZ73" i="1"/>
  <c r="BU143" i="1"/>
  <c r="DE143" i="1"/>
  <c r="AZ141" i="1"/>
  <c r="BT143" i="1"/>
  <c r="DD143" i="1"/>
  <c r="L150" i="1"/>
  <c r="BV72" i="1" l="1"/>
  <c r="BT72" i="1" s="1"/>
  <c r="BW72" i="1"/>
  <c r="BU72" i="1" s="1"/>
  <c r="AZ59" i="1"/>
  <c r="AZ74" i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122" i="1"/>
  <c r="BV122" i="1"/>
  <c r="BT122" i="1" s="1"/>
  <c r="BW122" i="1"/>
  <c r="BU122" i="1" s="1"/>
  <c r="BW140" i="1"/>
  <c r="BV140" i="1"/>
  <c r="BW139" i="1"/>
  <c r="BV139" i="1"/>
  <c r="K18" i="12"/>
  <c r="E18" i="12" s="1"/>
  <c r="J17" i="12"/>
  <c r="D17" i="12" s="1"/>
  <c r="O16" i="12"/>
  <c r="B16" i="12" s="1"/>
  <c r="O51" i="12"/>
  <c r="B51" i="12" s="1"/>
  <c r="AZ133" i="1"/>
  <c r="AZ142" i="1"/>
  <c r="AZ129" i="1"/>
  <c r="N150" i="1"/>
  <c r="M150" i="1"/>
  <c r="O150" i="1" s="1"/>
  <c r="BV128" i="1" l="1"/>
  <c r="BT128" i="1" s="1"/>
  <c r="BW128" i="1"/>
  <c r="BU128" i="1" s="1"/>
  <c r="AZ60" i="1"/>
  <c r="AZ91" i="1"/>
  <c r="BT140" i="1"/>
  <c r="DD140" i="1"/>
  <c r="L140" i="1" s="1"/>
  <c r="BU140" i="1"/>
  <c r="DE140" i="1"/>
  <c r="BT139" i="1"/>
  <c r="DD139" i="1"/>
  <c r="L139" i="1" s="1"/>
  <c r="BU139" i="1"/>
  <c r="DE139" i="1"/>
  <c r="J18" i="12"/>
  <c r="D18" i="12" s="1"/>
  <c r="O17" i="12"/>
  <c r="B17" i="12" s="1"/>
  <c r="K19" i="12"/>
  <c r="E19" i="12" s="1"/>
  <c r="J53" i="12"/>
  <c r="D53" i="12" s="1"/>
  <c r="O52" i="12"/>
  <c r="B52" i="12" s="1"/>
  <c r="AZ92" i="1"/>
  <c r="AZ61" i="1" l="1"/>
  <c r="BV91" i="1"/>
  <c r="BT91" i="1" s="1"/>
  <c r="BW91" i="1"/>
  <c r="BU91" i="1" s="1"/>
  <c r="AZ93" i="1"/>
  <c r="AZ94" i="1" s="1"/>
  <c r="AZ95" i="1" s="1"/>
  <c r="AZ96" i="1" s="1"/>
  <c r="M139" i="1"/>
  <c r="O139" i="1" s="1"/>
  <c r="N139" i="1"/>
  <c r="M140" i="1"/>
  <c r="O140" i="1" s="1"/>
  <c r="N140" i="1"/>
  <c r="K20" i="12"/>
  <c r="E20" i="12" s="1"/>
  <c r="J19" i="12"/>
  <c r="D19" i="12" s="1"/>
  <c r="O18" i="12"/>
  <c r="B18" i="12" s="1"/>
  <c r="J54" i="12"/>
  <c r="D54" i="12" s="1"/>
  <c r="O53" i="12"/>
  <c r="B53" i="12" s="1"/>
  <c r="AZ62" i="1" l="1"/>
  <c r="J20" i="12"/>
  <c r="D20" i="12" s="1"/>
  <c r="O19" i="12"/>
  <c r="B19" i="12" s="1"/>
  <c r="K21" i="12"/>
  <c r="E21" i="12" s="1"/>
  <c r="J55" i="12"/>
  <c r="D55" i="12" s="1"/>
  <c r="O54" i="12"/>
  <c r="B54" i="12" s="1"/>
  <c r="P19" i="1"/>
  <c r="H55" i="1"/>
  <c r="S55" i="1"/>
  <c r="W55" i="1"/>
  <c r="J55" i="1"/>
  <c r="S73" i="1"/>
  <c r="J73" i="1"/>
  <c r="T92" i="1"/>
  <c r="K92" i="1"/>
  <c r="P97" i="1"/>
  <c r="K97" i="1"/>
  <c r="W97" i="1"/>
  <c r="H98" i="1"/>
  <c r="S98" i="1"/>
  <c r="W98" i="1"/>
  <c r="S99" i="1"/>
  <c r="J99" i="1"/>
  <c r="T100" i="1"/>
  <c r="K100" i="1"/>
  <c r="P113" i="1"/>
  <c r="K113" i="1"/>
  <c r="W113" i="1"/>
  <c r="G118" i="1"/>
  <c r="H118" i="1"/>
  <c r="S118" i="1"/>
  <c r="W118" i="1"/>
  <c r="J118" i="1"/>
  <c r="P123" i="1"/>
  <c r="G123" i="1"/>
  <c r="K123" i="1"/>
  <c r="S129" i="1"/>
  <c r="J129" i="1"/>
  <c r="G130" i="1"/>
  <c r="K130" i="1"/>
  <c r="W130" i="1"/>
  <c r="J130" i="1"/>
  <c r="T131" i="1"/>
  <c r="K131" i="1"/>
  <c r="B133" i="1"/>
  <c r="H133" i="1"/>
  <c r="S133" i="1"/>
  <c r="T133" i="1"/>
  <c r="W133" i="1"/>
  <c r="J133" i="1"/>
  <c r="P134" i="1"/>
  <c r="K134" i="1"/>
  <c r="W134" i="1"/>
  <c r="P135" i="1"/>
  <c r="S135" i="1"/>
  <c r="T135" i="1"/>
  <c r="J135" i="1"/>
  <c r="G136" i="1"/>
  <c r="H136" i="1"/>
  <c r="S136" i="1"/>
  <c r="W136" i="1"/>
  <c r="J136" i="1"/>
  <c r="P141" i="1"/>
  <c r="G141" i="1"/>
  <c r="B142" i="1"/>
  <c r="S142" i="1"/>
  <c r="J142" i="1"/>
  <c r="G144" i="1"/>
  <c r="K144" i="1"/>
  <c r="W144" i="1"/>
  <c r="J144" i="1"/>
  <c r="P145" i="1"/>
  <c r="T145" i="1"/>
  <c r="K145" i="1"/>
  <c r="B146" i="1"/>
  <c r="H146" i="1"/>
  <c r="T146" i="1"/>
  <c r="W146" i="1"/>
  <c r="W19" i="1"/>
  <c r="W73" i="1"/>
  <c r="W92" i="1"/>
  <c r="W99" i="1"/>
  <c r="W100" i="1"/>
  <c r="W123" i="1"/>
  <c r="W129" i="1"/>
  <c r="W131" i="1"/>
  <c r="W135" i="1"/>
  <c r="W141" i="1"/>
  <c r="W142" i="1"/>
  <c r="W145" i="1"/>
  <c r="T19" i="1"/>
  <c r="T55" i="1"/>
  <c r="T73" i="1"/>
  <c r="T97" i="1"/>
  <c r="T98" i="1"/>
  <c r="T99" i="1"/>
  <c r="T113" i="1"/>
  <c r="T118" i="1"/>
  <c r="T123" i="1"/>
  <c r="T129" i="1"/>
  <c r="T130" i="1"/>
  <c r="T134" i="1"/>
  <c r="T136" i="1"/>
  <c r="T141" i="1"/>
  <c r="T142" i="1"/>
  <c r="T144" i="1"/>
  <c r="S19" i="1"/>
  <c r="S92" i="1"/>
  <c r="S97" i="1"/>
  <c r="S100" i="1"/>
  <c r="S113" i="1"/>
  <c r="S123" i="1"/>
  <c r="S130" i="1"/>
  <c r="S131" i="1"/>
  <c r="S134" i="1"/>
  <c r="S141" i="1"/>
  <c r="S144" i="1"/>
  <c r="S145" i="1"/>
  <c r="S146" i="1"/>
  <c r="R19" i="1"/>
  <c r="R55" i="1"/>
  <c r="R92" i="1"/>
  <c r="R97" i="1"/>
  <c r="R98" i="1"/>
  <c r="R100" i="1"/>
  <c r="R113" i="1"/>
  <c r="R118" i="1"/>
  <c r="R123" i="1"/>
  <c r="R129" i="1"/>
  <c r="R131" i="1"/>
  <c r="R134" i="1"/>
  <c r="R135" i="1"/>
  <c r="R141" i="1"/>
  <c r="R145" i="1"/>
  <c r="P55" i="1"/>
  <c r="P73" i="1"/>
  <c r="P92" i="1"/>
  <c r="P98" i="1"/>
  <c r="P99" i="1"/>
  <c r="P100" i="1"/>
  <c r="P118" i="1"/>
  <c r="P129" i="1"/>
  <c r="P130" i="1"/>
  <c r="P131" i="1"/>
  <c r="P133" i="1"/>
  <c r="P136" i="1"/>
  <c r="P142" i="1"/>
  <c r="P144" i="1"/>
  <c r="P146" i="1"/>
  <c r="K19" i="1"/>
  <c r="K55" i="1"/>
  <c r="K73" i="1"/>
  <c r="K98" i="1"/>
  <c r="K99" i="1"/>
  <c r="K118" i="1"/>
  <c r="K129" i="1"/>
  <c r="K133" i="1"/>
  <c r="K135" i="1"/>
  <c r="K136" i="1"/>
  <c r="K141" i="1"/>
  <c r="K142" i="1"/>
  <c r="K146" i="1"/>
  <c r="J19" i="1"/>
  <c r="J92" i="1"/>
  <c r="J97" i="1"/>
  <c r="J98" i="1"/>
  <c r="J100" i="1"/>
  <c r="J113" i="1"/>
  <c r="J123" i="1"/>
  <c r="J131" i="1"/>
  <c r="J134" i="1"/>
  <c r="J141" i="1"/>
  <c r="J145" i="1"/>
  <c r="J146" i="1"/>
  <c r="H19" i="1"/>
  <c r="H73" i="1"/>
  <c r="H92" i="1"/>
  <c r="H97" i="1"/>
  <c r="H99" i="1"/>
  <c r="H100" i="1"/>
  <c r="H113" i="1"/>
  <c r="H123" i="1"/>
  <c r="H129" i="1"/>
  <c r="H130" i="1"/>
  <c r="H131" i="1"/>
  <c r="H134" i="1"/>
  <c r="H135" i="1"/>
  <c r="H141" i="1"/>
  <c r="H142" i="1"/>
  <c r="H144" i="1"/>
  <c r="H145" i="1"/>
  <c r="G19" i="1"/>
  <c r="G55" i="1"/>
  <c r="G73" i="1"/>
  <c r="G92" i="1"/>
  <c r="G97" i="1"/>
  <c r="G98" i="1"/>
  <c r="G99" i="1"/>
  <c r="G100" i="1"/>
  <c r="G113" i="1"/>
  <c r="G129" i="1"/>
  <c r="G131" i="1"/>
  <c r="G133" i="1"/>
  <c r="G134" i="1"/>
  <c r="G135" i="1"/>
  <c r="G142" i="1"/>
  <c r="G145" i="1"/>
  <c r="G146" i="1"/>
  <c r="D19" i="1"/>
  <c r="D97" i="1"/>
  <c r="D98" i="1"/>
  <c r="D113" i="1"/>
  <c r="D118" i="1"/>
  <c r="D123" i="1"/>
  <c r="D130" i="1"/>
  <c r="D134" i="1"/>
  <c r="D136" i="1"/>
  <c r="D141" i="1"/>
  <c r="D144" i="1"/>
  <c r="C19" i="1"/>
  <c r="C97" i="1"/>
  <c r="C98" i="1"/>
  <c r="C113" i="1"/>
  <c r="C118" i="1"/>
  <c r="C123" i="1"/>
  <c r="C134" i="1"/>
  <c r="C144" i="1"/>
  <c r="B19" i="1"/>
  <c r="B55" i="1"/>
  <c r="B73" i="1"/>
  <c r="B92" i="1"/>
  <c r="B97" i="1"/>
  <c r="B98" i="1"/>
  <c r="B99" i="1"/>
  <c r="B100" i="1"/>
  <c r="B113" i="1"/>
  <c r="B118" i="1"/>
  <c r="B123" i="1"/>
  <c r="B129" i="1"/>
  <c r="B130" i="1"/>
  <c r="B131" i="1"/>
  <c r="B134" i="1"/>
  <c r="B135" i="1"/>
  <c r="B136" i="1"/>
  <c r="B141" i="1"/>
  <c r="B144" i="1"/>
  <c r="B145" i="1"/>
  <c r="W7" i="13"/>
  <c r="AZ63" i="1" l="1"/>
  <c r="K22" i="12"/>
  <c r="E22" i="12" s="1"/>
  <c r="J21" i="12"/>
  <c r="D21" i="12" s="1"/>
  <c r="O20" i="12"/>
  <c r="B20" i="12" s="1"/>
  <c r="J56" i="12"/>
  <c r="D56" i="12" s="1"/>
  <c r="O55" i="12"/>
  <c r="B55" i="12" s="1"/>
  <c r="R136" i="1"/>
  <c r="D145" i="1"/>
  <c r="C100" i="1"/>
  <c r="C92" i="1"/>
  <c r="C142" i="1"/>
  <c r="C135" i="1"/>
  <c r="C145" i="1"/>
  <c r="C141" i="1"/>
  <c r="R142" i="1"/>
  <c r="D142" i="1"/>
  <c r="D135" i="1"/>
  <c r="D100" i="1"/>
  <c r="D92" i="1"/>
  <c r="R133" i="1"/>
  <c r="R73" i="1"/>
  <c r="R146" i="1"/>
  <c r="R99" i="1"/>
  <c r="C136" i="1"/>
  <c r="C133" i="1"/>
  <c r="C146" i="1"/>
  <c r="R144" i="1"/>
  <c r="R130" i="1"/>
  <c r="C129" i="1"/>
  <c r="D129" i="1"/>
  <c r="D99" i="1"/>
  <c r="C73" i="1"/>
  <c r="D73" i="1"/>
  <c r="D146" i="1"/>
  <c r="D133" i="1"/>
  <c r="C130" i="1"/>
  <c r="C131" i="1"/>
  <c r="D131" i="1"/>
  <c r="C55" i="1"/>
  <c r="D55" i="1"/>
  <c r="NH92" i="1"/>
  <c r="NI92" i="1"/>
  <c r="NJ92" i="1"/>
  <c r="AZ64" i="1" l="1"/>
  <c r="J22" i="12"/>
  <c r="D22" i="12" s="1"/>
  <c r="O21" i="12"/>
  <c r="B21" i="12" s="1"/>
  <c r="K23" i="12"/>
  <c r="E23" i="12" s="1"/>
  <c r="J57" i="12"/>
  <c r="D57" i="12" s="1"/>
  <c r="O56" i="12"/>
  <c r="B56" i="12" s="1"/>
  <c r="C99" i="1"/>
  <c r="NH55" i="1"/>
  <c r="NH73" i="1"/>
  <c r="NI55" i="1"/>
  <c r="NI73" i="1"/>
  <c r="NJ55" i="1"/>
  <c r="NJ73" i="1"/>
  <c r="AZ65" i="1" l="1"/>
  <c r="K24" i="12"/>
  <c r="E24" i="12" s="1"/>
  <c r="J23" i="12"/>
  <c r="D23" i="12" s="1"/>
  <c r="O22" i="12"/>
  <c r="B22" i="12" s="1"/>
  <c r="J58" i="12"/>
  <c r="D58" i="12" s="1"/>
  <c r="O57" i="12"/>
  <c r="B57" i="12" s="1"/>
  <c r="HQ17" i="1"/>
  <c r="HQ18" i="1"/>
  <c r="AZ66" i="1" l="1"/>
  <c r="J24" i="12"/>
  <c r="D24" i="12" s="1"/>
  <c r="O23" i="12"/>
  <c r="B23" i="12" s="1"/>
  <c r="K25" i="12"/>
  <c r="E25" i="12" s="1"/>
  <c r="J59" i="12"/>
  <c r="D59" i="12" s="1"/>
  <c r="O58" i="12"/>
  <c r="B58" i="12" s="1"/>
  <c r="AZ147" i="1"/>
  <c r="AZ67" i="1" l="1"/>
  <c r="K26" i="12"/>
  <c r="E26" i="12" s="1"/>
  <c r="J25" i="12"/>
  <c r="D25" i="12" s="1"/>
  <c r="O24" i="12"/>
  <c r="B24" i="12" s="1"/>
  <c r="J60" i="12"/>
  <c r="D60" i="12" s="1"/>
  <c r="O59" i="12"/>
  <c r="B59" i="12" s="1"/>
  <c r="AZ150" i="1"/>
  <c r="BV149" i="1" l="1"/>
  <c r="BW149" i="1"/>
  <c r="AZ68" i="1"/>
  <c r="J26" i="12"/>
  <c r="D26" i="12" s="1"/>
  <c r="O25" i="12"/>
  <c r="B25" i="12" s="1"/>
  <c r="K27" i="12"/>
  <c r="E27" i="12" s="1"/>
  <c r="J61" i="12"/>
  <c r="D61" i="12" s="1"/>
  <c r="O60" i="12"/>
  <c r="B60" i="12" s="1"/>
  <c r="L133" i="1"/>
  <c r="BU149" i="1" l="1"/>
  <c r="DE149" i="1"/>
  <c r="BT149" i="1"/>
  <c r="DD149" i="1"/>
  <c r="L149" i="1" s="1"/>
  <c r="AZ69" i="1"/>
  <c r="K28" i="12"/>
  <c r="E28" i="12" s="1"/>
  <c r="J27" i="12"/>
  <c r="D27" i="12" s="1"/>
  <c r="O26" i="12"/>
  <c r="B26" i="12" s="1"/>
  <c r="J62" i="12"/>
  <c r="D62" i="12" s="1"/>
  <c r="O61" i="12"/>
  <c r="B61" i="12" s="1"/>
  <c r="L142" i="1"/>
  <c r="L129" i="1"/>
  <c r="M133" i="1"/>
  <c r="O133" i="1" s="1"/>
  <c r="N133" i="1"/>
  <c r="M149" i="1" l="1"/>
  <c r="O149" i="1" s="1"/>
  <c r="N149" i="1"/>
  <c r="AZ70" i="1"/>
  <c r="J28" i="12"/>
  <c r="D28" i="12" s="1"/>
  <c r="O27" i="12"/>
  <c r="B27" i="12" s="1"/>
  <c r="K29" i="12"/>
  <c r="E29" i="12" s="1"/>
  <c r="J63" i="12"/>
  <c r="D63" i="12" s="1"/>
  <c r="O62" i="12"/>
  <c r="B62" i="12" s="1"/>
  <c r="L143" i="1"/>
  <c r="M129" i="1"/>
  <c r="O129" i="1" s="1"/>
  <c r="N129" i="1"/>
  <c r="M142" i="1"/>
  <c r="O142" i="1" s="1"/>
  <c r="N142" i="1"/>
  <c r="K30" i="12" l="1"/>
  <c r="E30" i="12" s="1"/>
  <c r="J29" i="12"/>
  <c r="D29" i="12" s="1"/>
  <c r="O28" i="12"/>
  <c r="B28" i="12" s="1"/>
  <c r="J64" i="12"/>
  <c r="D64" i="12" s="1"/>
  <c r="O63" i="12"/>
  <c r="B63" i="12" s="1"/>
  <c r="M143" i="1"/>
  <c r="O143" i="1" s="1"/>
  <c r="N143" i="1"/>
  <c r="AZ71" i="1" l="1"/>
  <c r="K31" i="12"/>
  <c r="E31" i="12" s="1"/>
  <c r="J30" i="12"/>
  <c r="D30" i="12" s="1"/>
  <c r="O29" i="12"/>
  <c r="B29" i="12" s="1"/>
  <c r="J65" i="12"/>
  <c r="D65" i="12" s="1"/>
  <c r="O64" i="12"/>
  <c r="B64" i="12" s="1"/>
  <c r="AZ72" i="1" l="1"/>
  <c r="J31" i="12"/>
  <c r="D31" i="12" s="1"/>
  <c r="O30" i="12"/>
  <c r="B30" i="12" s="1"/>
  <c r="K32" i="12"/>
  <c r="E32" i="12" s="1"/>
  <c r="J66" i="12"/>
  <c r="D66" i="12" s="1"/>
  <c r="O65" i="12"/>
  <c r="B65" i="12" s="1"/>
  <c r="J32" i="12" l="1"/>
  <c r="D32" i="12" s="1"/>
  <c r="O31" i="12"/>
  <c r="B31" i="12" s="1"/>
  <c r="K33" i="12"/>
  <c r="E33" i="12" s="1"/>
  <c r="J67" i="12"/>
  <c r="D67" i="12" s="1"/>
  <c r="O66" i="12"/>
  <c r="B66" i="12" s="1"/>
  <c r="NH133" i="1"/>
  <c r="NI133" i="1"/>
  <c r="NJ133" i="1"/>
  <c r="NH131" i="1"/>
  <c r="NI131" i="1"/>
  <c r="NJ131" i="1"/>
  <c r="J33" i="12" l="1"/>
  <c r="D33" i="12" s="1"/>
  <c r="O32" i="12"/>
  <c r="B32" i="12" s="1"/>
  <c r="J68" i="12"/>
  <c r="D68" i="12" s="1"/>
  <c r="O67" i="12"/>
  <c r="B67" i="12" s="1"/>
  <c r="NH130" i="1"/>
  <c r="NI130" i="1"/>
  <c r="NJ130" i="1"/>
  <c r="NH97" i="1"/>
  <c r="NI97" i="1"/>
  <c r="NJ97" i="1"/>
  <c r="O33" i="12" l="1"/>
  <c r="B33" i="12" s="1"/>
  <c r="J69" i="12"/>
  <c r="D69" i="12" s="1"/>
  <c r="O68" i="12"/>
  <c r="B68" i="12" s="1"/>
  <c r="O69" i="12" l="1"/>
  <c r="B69" i="12" s="1"/>
  <c r="NH113" i="1"/>
  <c r="NH118" i="1"/>
  <c r="NH123" i="1"/>
  <c r="NH129" i="1"/>
  <c r="NH134" i="1"/>
  <c r="NH135" i="1"/>
  <c r="NH136" i="1"/>
  <c r="NH141" i="1"/>
  <c r="NH142" i="1"/>
  <c r="NH144" i="1"/>
  <c r="NH145" i="1"/>
  <c r="NH146" i="1"/>
  <c r="NI113" i="1"/>
  <c r="NI118" i="1"/>
  <c r="NI123" i="1"/>
  <c r="NI129" i="1"/>
  <c r="NI134" i="1"/>
  <c r="NI135" i="1"/>
  <c r="NI136" i="1"/>
  <c r="NI141" i="1"/>
  <c r="NI142" i="1"/>
  <c r="NI144" i="1"/>
  <c r="NI145" i="1"/>
  <c r="NI146" i="1"/>
  <c r="NJ113" i="1"/>
  <c r="NJ118" i="1"/>
  <c r="NJ123" i="1"/>
  <c r="NJ129" i="1"/>
  <c r="NJ134" i="1"/>
  <c r="NJ135" i="1"/>
  <c r="NJ136" i="1"/>
  <c r="NJ141" i="1"/>
  <c r="NJ142" i="1"/>
  <c r="NJ144" i="1"/>
  <c r="NJ145" i="1"/>
  <c r="NJ146" i="1"/>
  <c r="J71" i="12" l="1"/>
  <c r="D71" i="12" s="1"/>
  <c r="O70" i="12"/>
  <c r="B70" i="12" s="1"/>
  <c r="NH98" i="1"/>
  <c r="NI98" i="1"/>
  <c r="NJ98" i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J72" i="12" l="1"/>
  <c r="D72" i="12" s="1"/>
  <c r="O71" i="12"/>
  <c r="B71" i="12" s="1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NH17" i="1"/>
  <c r="NH18" i="1"/>
  <c r="NH19" i="1"/>
  <c r="NH99" i="1"/>
  <c r="NH100" i="1"/>
  <c r="NJ17" i="1"/>
  <c r="NJ18" i="1"/>
  <c r="NJ19" i="1"/>
  <c r="NJ99" i="1"/>
  <c r="NJ100" i="1"/>
  <c r="NI17" i="1"/>
  <c r="NI18" i="1"/>
  <c r="NI19" i="1"/>
  <c r="NI99" i="1"/>
  <c r="NI100" i="1"/>
  <c r="J73" i="12" l="1"/>
  <c r="D73" i="12" s="1"/>
  <c r="O72" i="12"/>
  <c r="B72" i="12" s="1"/>
  <c r="JR6" i="1"/>
  <c r="JL6" i="1"/>
  <c r="JP6" i="1"/>
  <c r="JU6" i="1"/>
  <c r="JO6" i="1"/>
  <c r="JN6" i="1"/>
  <c r="KA6" i="1"/>
  <c r="JZ6" i="1"/>
  <c r="JM6" i="1"/>
  <c r="JQ6" i="1"/>
  <c r="JK6" i="1"/>
  <c r="JW6" i="1"/>
  <c r="JS6" i="1"/>
  <c r="JX6" i="1"/>
  <c r="JJ6" i="1"/>
  <c r="KD6" i="1"/>
  <c r="JV6" i="1"/>
  <c r="JY6" i="1"/>
  <c r="JI6" i="1"/>
  <c r="KC6" i="1"/>
  <c r="IZ6" i="1"/>
  <c r="JA6" i="1"/>
  <c r="JB6" i="1"/>
  <c r="JC6" i="1"/>
  <c r="JD6" i="1"/>
  <c r="JE6" i="1"/>
  <c r="JF6" i="1"/>
  <c r="JG6" i="1"/>
  <c r="JH6" i="1"/>
  <c r="IY6" i="1"/>
  <c r="KB6" i="1"/>
  <c r="JT6" i="1"/>
  <c r="BS11" i="1"/>
  <c r="IB17" i="1"/>
  <c r="IB18" i="1"/>
  <c r="J74" i="12" l="1"/>
  <c r="D74" i="12" s="1"/>
  <c r="O73" i="12"/>
  <c r="B73" i="12" s="1"/>
  <c r="HO17" i="1"/>
  <c r="HO18" i="1"/>
  <c r="HZ17" i="1"/>
  <c r="IU17" i="1" s="1"/>
  <c r="HZ18" i="1"/>
  <c r="IU18" i="1" s="1"/>
  <c r="HR17" i="1"/>
  <c r="HR18" i="1"/>
  <c r="P18" i="1" s="1"/>
  <c r="HP17" i="1"/>
  <c r="HP18" i="1"/>
  <c r="HN17" i="1"/>
  <c r="HN18" i="1"/>
  <c r="HM17" i="1"/>
  <c r="HM18" i="1"/>
  <c r="HL17" i="1"/>
  <c r="HL18" i="1"/>
  <c r="HK17" i="1"/>
  <c r="HK18" i="1"/>
  <c r="HJ17" i="1"/>
  <c r="HJ18" i="1"/>
  <c r="HI17" i="1"/>
  <c r="HI18" i="1"/>
  <c r="HH17" i="1"/>
  <c r="HH18" i="1"/>
  <c r="HG17" i="1"/>
  <c r="HG18" i="1"/>
  <c r="HF17" i="1"/>
  <c r="B17" i="1" s="1"/>
  <c r="HF18" i="1"/>
  <c r="IE17" i="1"/>
  <c r="J75" i="12" l="1"/>
  <c r="O74" i="12"/>
  <c r="B74" i="12" s="1"/>
  <c r="D18" i="1"/>
  <c r="D75" i="12" l="1"/>
  <c r="J76" i="12"/>
  <c r="O75" i="12"/>
  <c r="B75" i="12" s="1"/>
  <c r="B5" i="12"/>
  <c r="D76" i="12" l="1"/>
  <c r="O76" i="12"/>
  <c r="J78" i="12"/>
  <c r="D78" i="12" s="1"/>
  <c r="O77" i="12"/>
  <c r="B77" i="12" s="1"/>
  <c r="B76" i="12" l="1"/>
  <c r="J79" i="12"/>
  <c r="D79" i="12" s="1"/>
  <c r="O78" i="12"/>
  <c r="B78" i="12" s="1"/>
  <c r="D17" i="1"/>
  <c r="J80" i="12" l="1"/>
  <c r="D80" i="12" s="1"/>
  <c r="O79" i="12"/>
  <c r="B79" i="12" l="1"/>
  <c r="J81" i="12"/>
  <c r="D81" i="12" s="1"/>
  <c r="O80" i="12"/>
  <c r="B80" i="12" s="1"/>
  <c r="C5" i="12"/>
  <c r="B18" i="1"/>
  <c r="HW17" i="1"/>
  <c r="HW18" i="1"/>
  <c r="S18" i="1" s="1"/>
  <c r="HY17" i="1"/>
  <c r="HY18" i="1"/>
  <c r="J82" i="12" l="1"/>
  <c r="D82" i="12" s="1"/>
  <c r="O81" i="12"/>
  <c r="IT17" i="1"/>
  <c r="IS17" i="1"/>
  <c r="IS18" i="1"/>
  <c r="IT18" i="1"/>
  <c r="IG17" i="1"/>
  <c r="IG18" i="1"/>
  <c r="IA17" i="1"/>
  <c r="IH17" i="1" s="1"/>
  <c r="IA18" i="1"/>
  <c r="IH18" i="1" s="1"/>
  <c r="K18" i="1" s="1"/>
  <c r="IC17" i="1"/>
  <c r="IC18" i="1"/>
  <c r="IO18" i="1" s="1"/>
  <c r="W18" i="1" s="1"/>
  <c r="IE18" i="1"/>
  <c r="B81" i="12" l="1"/>
  <c r="O82" i="12"/>
  <c r="B82" i="12" s="1"/>
  <c r="IS14" i="1"/>
  <c r="IO17" i="1"/>
  <c r="W17" i="1" s="1"/>
  <c r="K17" i="1"/>
  <c r="J84" i="12" l="1"/>
  <c r="D84" i="12" s="1"/>
  <c r="O83" i="12"/>
  <c r="IF17" i="1"/>
  <c r="J17" i="1" s="1"/>
  <c r="IF18" i="1"/>
  <c r="J18" i="1" s="1"/>
  <c r="HS17" i="1"/>
  <c r="F17" i="1" s="1"/>
  <c r="B83" i="12" l="1"/>
  <c r="O84" i="12"/>
  <c r="I6" i="1"/>
  <c r="G6" i="15" s="1"/>
  <c r="B84" i="12" l="1"/>
  <c r="BM17" i="1"/>
  <c r="BM18" i="1"/>
  <c r="BL17" i="1"/>
  <c r="BL18" i="1"/>
  <c r="BK17" i="1"/>
  <c r="BK18" i="1"/>
  <c r="GN18" i="1" s="1"/>
  <c r="BN17" i="1"/>
  <c r="BN18" i="1"/>
  <c r="BO17" i="1"/>
  <c r="BO18" i="1"/>
  <c r="BP17" i="1"/>
  <c r="BP18" i="1"/>
  <c r="BQ17" i="1"/>
  <c r="GT17" i="1" s="1"/>
  <c r="BQ18" i="1"/>
  <c r="GT18" i="1" s="1"/>
  <c r="DN18" i="1" l="1"/>
  <c r="GS18" i="1"/>
  <c r="DJ18" i="1"/>
  <c r="GO18" i="1"/>
  <c r="DM18" i="1"/>
  <c r="GR18" i="1"/>
  <c r="DL17" i="1"/>
  <c r="GQ17" i="1"/>
  <c r="DJ17" i="1"/>
  <c r="GO17" i="1"/>
  <c r="DK18" i="1"/>
  <c r="GP18" i="1"/>
  <c r="DM17" i="1"/>
  <c r="GR17" i="1"/>
  <c r="DL18" i="1"/>
  <c r="GQ18" i="1"/>
  <c r="DN17" i="1"/>
  <c r="GS17" i="1"/>
  <c r="DK17" i="1"/>
  <c r="GP17" i="1"/>
  <c r="DI17" i="1"/>
  <c r="GN17" i="1"/>
  <c r="DB18" i="1"/>
  <c r="CZ18" i="1" s="1"/>
  <c r="DC18" i="1"/>
  <c r="DA18" i="1" s="1"/>
  <c r="DC17" i="1"/>
  <c r="DA17" i="1" s="1"/>
  <c r="DB17" i="1"/>
  <c r="CZ17" i="1" s="1"/>
  <c r="DO17" i="1"/>
  <c r="DO18" i="1"/>
  <c r="BG17" i="1"/>
  <c r="BF17" i="1" s="1"/>
  <c r="BE17" i="1" s="1"/>
  <c r="BD17" i="1" s="1"/>
  <c r="BC17" i="1" s="1"/>
  <c r="BB17" i="1" s="1"/>
  <c r="BA17" i="1" s="1"/>
  <c r="BG18" i="1" l="1"/>
  <c r="BF18" i="1" l="1"/>
  <c r="P17" i="1"/>
  <c r="BE18" i="1" l="1"/>
  <c r="BD18" i="1" l="1"/>
  <c r="BC18" i="1" l="1"/>
  <c r="BB18" i="1" l="1"/>
  <c r="BA18" i="1" l="1"/>
  <c r="BH17" i="1"/>
  <c r="GK17" i="1" s="1"/>
  <c r="BH18" i="1"/>
  <c r="GK18" i="1" s="1"/>
  <c r="BI17" i="1"/>
  <c r="BI18" i="1"/>
  <c r="GL18" i="1" s="1"/>
  <c r="BJ17" i="1"/>
  <c r="GM17" i="1" s="1"/>
  <c r="BJ18" i="1"/>
  <c r="GM18" i="1" s="1"/>
  <c r="HS18" i="1"/>
  <c r="F18" i="1" s="1"/>
  <c r="HT17" i="1"/>
  <c r="G17" i="1" s="1"/>
  <c r="HT18" i="1"/>
  <c r="G18" i="1" s="1"/>
  <c r="HU17" i="1"/>
  <c r="H17" i="1" s="1"/>
  <c r="HU18" i="1"/>
  <c r="H18" i="1" s="1"/>
  <c r="HX17" i="1"/>
  <c r="T17" i="1" s="1"/>
  <c r="HX18" i="1"/>
  <c r="T18" i="1" s="1"/>
  <c r="HV17" i="1"/>
  <c r="IV17" i="1" s="1"/>
  <c r="HV18" i="1"/>
  <c r="S17" i="1"/>
  <c r="DG17" i="1" l="1"/>
  <c r="GL17" i="1"/>
  <c r="IV18" i="1"/>
  <c r="R18" i="1"/>
  <c r="C18" i="1"/>
  <c r="R17" i="1"/>
  <c r="DF17" i="1"/>
  <c r="DH17" i="1"/>
  <c r="AZ17" i="1"/>
  <c r="AY17" i="1" s="1"/>
  <c r="AX17" i="1" s="1"/>
  <c r="C17" i="1"/>
  <c r="DH18" i="1"/>
  <c r="DG18" i="1"/>
  <c r="DF18" i="1"/>
  <c r="DI18" i="1"/>
  <c r="AZ18" i="1" l="1"/>
  <c r="AY18" i="1" s="1"/>
  <c r="AY19" i="1" s="1"/>
  <c r="AY20" i="1" s="1"/>
  <c r="AY21" i="1" s="1"/>
  <c r="AY22" i="1" s="1"/>
  <c r="AY23" i="1" s="1"/>
  <c r="AY24" i="1" l="1"/>
  <c r="AX18" i="1"/>
  <c r="BR7" i="1"/>
  <c r="BS7" i="1"/>
  <c r="BT7" i="1"/>
  <c r="BR8" i="1"/>
  <c r="BS8" i="1"/>
  <c r="BT8" i="1"/>
  <c r="BR9" i="1"/>
  <c r="BS9" i="1"/>
  <c r="BT9" i="1"/>
  <c r="BR10" i="1"/>
  <c r="BS10" i="1"/>
  <c r="BT10" i="1"/>
  <c r="AY25" i="1" l="1"/>
  <c r="AX19" i="1"/>
  <c r="AX20" i="1" s="1"/>
  <c r="AT8" i="1"/>
  <c r="AO8" i="1"/>
  <c r="AE8" i="1"/>
  <c r="AJ8" i="1"/>
  <c r="AJ14" i="1"/>
  <c r="AK14" i="1"/>
  <c r="AN14" i="1"/>
  <c r="AI14" i="1"/>
  <c r="AU14" i="1"/>
  <c r="AT14" i="1"/>
  <c r="AO14" i="1"/>
  <c r="AP14" i="1"/>
  <c r="AS14" i="1"/>
  <c r="AF13" i="1"/>
  <c r="AY26" i="1" l="1"/>
  <c r="AY27" i="1" s="1"/>
  <c r="AX21" i="1"/>
  <c r="CY17" i="1"/>
  <c r="CW17" i="1" s="1"/>
  <c r="CX17" i="1"/>
  <c r="CV17" i="1" s="1"/>
  <c r="CT17" i="1" s="1"/>
  <c r="CR17" i="1" s="1"/>
  <c r="CP17" i="1" s="1"/>
  <c r="CN17" i="1" s="1"/>
  <c r="AD14" i="1"/>
  <c r="AE14" i="1"/>
  <c r="AU13" i="1"/>
  <c r="AF14" i="1"/>
  <c r="AK13" i="1"/>
  <c r="AP13" i="1"/>
  <c r="AY28" i="1" l="1"/>
  <c r="AY29" i="1" s="1"/>
  <c r="AY30" i="1" s="1"/>
  <c r="AY31" i="1" s="1"/>
  <c r="AX22" i="1"/>
  <c r="CU17" i="1"/>
  <c r="CS17" i="1" s="1"/>
  <c r="CQ17" i="1"/>
  <c r="CO17" i="1" s="1"/>
  <c r="CL17" i="1"/>
  <c r="CJ17" i="1" s="1"/>
  <c r="CM17" i="1"/>
  <c r="CK17" i="1" s="1"/>
  <c r="CH17" i="1"/>
  <c r="CF17" i="1" s="1"/>
  <c r="CI17" i="1"/>
  <c r="CG17" i="1" s="1"/>
  <c r="CD17" i="1"/>
  <c r="CB17" i="1" s="1"/>
  <c r="CE17" i="1"/>
  <c r="CC17" i="1" s="1"/>
  <c r="D8" i="3"/>
  <c r="D7" i="3"/>
  <c r="D6" i="3"/>
  <c r="D5" i="3"/>
  <c r="AY32" i="1" l="1"/>
  <c r="AX23" i="1"/>
  <c r="AX24" i="1" s="1"/>
  <c r="CA17" i="1"/>
  <c r="BY17" i="1" s="1"/>
  <c r="AY33" i="1" l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CX18" i="1"/>
  <c r="CV18" i="1" s="1"/>
  <c r="CY18" i="1"/>
  <c r="CW18" i="1" s="1"/>
  <c r="BZ17" i="1"/>
  <c r="BX17" i="1" s="1"/>
  <c r="AX25" i="1" l="1"/>
  <c r="AY61" i="1"/>
  <c r="CU18" i="1"/>
  <c r="CS18" i="1" s="1"/>
  <c r="CT18" i="1"/>
  <c r="CR18" i="1" s="1"/>
  <c r="BW17" i="1"/>
  <c r="BU17" i="1" s="1"/>
  <c r="AX26" i="1" l="1"/>
  <c r="AY62" i="1"/>
  <c r="BV17" i="1"/>
  <c r="BT17" i="1" s="1"/>
  <c r="AX27" i="1" l="1"/>
  <c r="AY63" i="1"/>
  <c r="CP18" i="1"/>
  <c r="CN18" i="1" s="1"/>
  <c r="CQ18" i="1"/>
  <c r="CO18" i="1" s="1"/>
  <c r="AX28" i="1" l="1"/>
  <c r="AY64" i="1"/>
  <c r="CM18" i="1"/>
  <c r="CK18" i="1" s="1"/>
  <c r="CL18" i="1"/>
  <c r="CJ18" i="1" s="1"/>
  <c r="AX29" i="1" l="1"/>
  <c r="AY65" i="1"/>
  <c r="CI18" i="1"/>
  <c r="CG18" i="1" s="1"/>
  <c r="AX30" i="1" l="1"/>
  <c r="AY66" i="1"/>
  <c r="CH18" i="1"/>
  <c r="CF18" i="1" s="1"/>
  <c r="AX31" i="1" l="1"/>
  <c r="AY67" i="1"/>
  <c r="CD18" i="1"/>
  <c r="CB18" i="1" s="1"/>
  <c r="CE18" i="1"/>
  <c r="CC18" i="1" s="1"/>
  <c r="AX32" i="1" l="1"/>
  <c r="AX33" i="1" s="1"/>
  <c r="AX34" i="1" s="1"/>
  <c r="AX35" i="1" s="1"/>
  <c r="AX36" i="1" s="1"/>
  <c r="AY68" i="1"/>
  <c r="BZ18" i="1"/>
  <c r="BX18" i="1" s="1"/>
  <c r="CA18" i="1"/>
  <c r="BY18" i="1" s="1"/>
  <c r="AX37" i="1" l="1"/>
  <c r="AY69" i="1"/>
  <c r="BW18" i="1"/>
  <c r="BU18" i="1" s="1"/>
  <c r="BV18" i="1"/>
  <c r="AX38" i="1" l="1"/>
  <c r="AY70" i="1"/>
  <c r="BT18" i="1"/>
  <c r="AX39" i="1" l="1"/>
  <c r="BR17" i="1"/>
  <c r="DD17" i="1" s="1"/>
  <c r="L17" i="1" s="1"/>
  <c r="BS17" i="1"/>
  <c r="DE17" i="1" s="1"/>
  <c r="AX40" i="1" l="1"/>
  <c r="AY71" i="1"/>
  <c r="M17" i="1"/>
  <c r="O17" i="1" s="1"/>
  <c r="N17" i="1"/>
  <c r="AX41" i="1" l="1"/>
  <c r="AY72" i="1"/>
  <c r="AY73" i="1" s="1"/>
  <c r="AX42" i="1" l="1"/>
  <c r="AY74" i="1"/>
  <c r="AY75" i="1" s="1"/>
  <c r="AX43" i="1" l="1"/>
  <c r="AY76" i="1"/>
  <c r="AX44" i="1" l="1"/>
  <c r="AY77" i="1"/>
  <c r="AX45" i="1" l="1"/>
  <c r="AY78" i="1"/>
  <c r="AX46" i="1" l="1"/>
  <c r="AY79" i="1"/>
  <c r="AX47" i="1" l="1"/>
  <c r="AY80" i="1"/>
  <c r="AX48" i="1" l="1"/>
  <c r="AY81" i="1"/>
  <c r="AX49" i="1" l="1"/>
  <c r="AY82" i="1"/>
  <c r="AX50" i="1" l="1"/>
  <c r="AY83" i="1"/>
  <c r="AX51" i="1" l="1"/>
  <c r="AY84" i="1"/>
  <c r="AX52" i="1" l="1"/>
  <c r="AY85" i="1"/>
  <c r="AX53" i="1" l="1"/>
  <c r="AY86" i="1"/>
  <c r="AX54" i="1" l="1"/>
  <c r="AY87" i="1"/>
  <c r="AX55" i="1" l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Y88" i="1"/>
  <c r="AY89" i="1" l="1"/>
  <c r="AX88" i="1"/>
  <c r="AY90" i="1" l="1"/>
  <c r="AY91" i="1" s="1"/>
  <c r="AX89" i="1"/>
  <c r="AX90" i="1" l="1"/>
  <c r="AY92" i="1"/>
  <c r="AX91" i="1" l="1"/>
  <c r="AX92" i="1" s="1"/>
  <c r="AY93" i="1"/>
  <c r="AY94" i="1" l="1"/>
  <c r="AX93" i="1"/>
  <c r="AY95" i="1" l="1"/>
  <c r="AX94" i="1"/>
  <c r="AY96" i="1" l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X95" i="1"/>
  <c r="AX96" i="1" l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Y113" i="1"/>
  <c r="AY114" i="1" l="1"/>
  <c r="AY115" i="1" s="1"/>
  <c r="AY116" i="1" s="1"/>
  <c r="AY117" i="1" s="1"/>
  <c r="AY118" i="1" s="1"/>
  <c r="AY119" i="1" s="1"/>
  <c r="AY120" i="1" s="1"/>
  <c r="AY121" i="1" s="1"/>
  <c r="AY122" i="1" s="1"/>
  <c r="AY123" i="1" s="1"/>
  <c r="AX113" i="1"/>
  <c r="AY124" i="1" l="1"/>
  <c r="AY125" i="1" s="1"/>
  <c r="AY126" i="1" s="1"/>
  <c r="AY127" i="1" s="1"/>
  <c r="AY128" i="1" s="1"/>
  <c r="AY129" i="1" s="1"/>
  <c r="AX114" i="1"/>
  <c r="AX115" i="1" s="1"/>
  <c r="AX116" i="1" s="1"/>
  <c r="AX117" i="1" s="1"/>
  <c r="AX118" i="1" s="1"/>
  <c r="AX119" i="1" s="1"/>
  <c r="AX120" i="1" s="1"/>
  <c r="AX121" i="1" s="1"/>
  <c r="BV98" i="1"/>
  <c r="BT98" i="1" s="1"/>
  <c r="BW98" i="1"/>
  <c r="BU98" i="1" s="1"/>
  <c r="BW97" i="1"/>
  <c r="BV97" i="1"/>
  <c r="BW132" i="1"/>
  <c r="BW131" i="1"/>
  <c r="BW130" i="1"/>
  <c r="BV141" i="1"/>
  <c r="BW135" i="1"/>
  <c r="BV132" i="1"/>
  <c r="BV135" i="1"/>
  <c r="BV131" i="1"/>
  <c r="BW134" i="1"/>
  <c r="BW136" i="1"/>
  <c r="BV130" i="1"/>
  <c r="DD130" i="1" s="1"/>
  <c r="L130" i="1" s="1"/>
  <c r="BW141" i="1"/>
  <c r="BV136" i="1"/>
  <c r="BV134" i="1"/>
  <c r="BT134" i="1" s="1"/>
  <c r="BV99" i="1"/>
  <c r="BW99" i="1"/>
  <c r="AY130" i="1" l="1"/>
  <c r="AY131" i="1" s="1"/>
  <c r="AY132" i="1" s="1"/>
  <c r="AY133" i="1" s="1"/>
  <c r="AY134" i="1" s="1"/>
  <c r="AY135" i="1" s="1"/>
  <c r="AY136" i="1" s="1"/>
  <c r="AY137" i="1" s="1"/>
  <c r="AY138" i="1" s="1"/>
  <c r="AY139" i="1" s="1"/>
  <c r="AX122" i="1"/>
  <c r="BT136" i="1"/>
  <c r="DD136" i="1"/>
  <c r="L136" i="1" s="1"/>
  <c r="BU136" i="1"/>
  <c r="DE136" i="1"/>
  <c r="BT135" i="1"/>
  <c r="DD135" i="1"/>
  <c r="L135" i="1" s="1"/>
  <c r="BU135" i="1"/>
  <c r="DE135" i="1"/>
  <c r="BU141" i="1"/>
  <c r="DE141" i="1"/>
  <c r="BT141" i="1"/>
  <c r="DD141" i="1"/>
  <c r="L141" i="1" s="1"/>
  <c r="BU132" i="1"/>
  <c r="DE132" i="1"/>
  <c r="BT132" i="1"/>
  <c r="DD132" i="1"/>
  <c r="L132" i="1" s="1"/>
  <c r="BT131" i="1"/>
  <c r="DD131" i="1"/>
  <c r="L131" i="1" s="1"/>
  <c r="BU131" i="1"/>
  <c r="DE131" i="1"/>
  <c r="BU99" i="1"/>
  <c r="DE99" i="1"/>
  <c r="BT99" i="1"/>
  <c r="DD99" i="1"/>
  <c r="L99" i="1" s="1"/>
  <c r="BT97" i="1"/>
  <c r="DD97" i="1"/>
  <c r="L97" i="1" s="1"/>
  <c r="BU97" i="1"/>
  <c r="DE97" i="1"/>
  <c r="BW147" i="1"/>
  <c r="BV147" i="1"/>
  <c r="DD134" i="1"/>
  <c r="L134" i="1" s="1"/>
  <c r="M134" i="1" s="1"/>
  <c r="O134" i="1" s="1"/>
  <c r="BT130" i="1"/>
  <c r="DE130" i="1"/>
  <c r="BU130" i="1"/>
  <c r="DE134" i="1"/>
  <c r="BU134" i="1"/>
  <c r="M130" i="1"/>
  <c r="O130" i="1" s="1"/>
  <c r="N130" i="1"/>
  <c r="BU147" i="1" l="1"/>
  <c r="DE147" i="1"/>
  <c r="BT147" i="1"/>
  <c r="DD147" i="1"/>
  <c r="L147" i="1" s="1"/>
  <c r="AX123" i="1"/>
  <c r="AY140" i="1"/>
  <c r="M99" i="1"/>
  <c r="O99" i="1" s="1"/>
  <c r="N99" i="1"/>
  <c r="M132" i="1"/>
  <c r="O132" i="1" s="1"/>
  <c r="N132" i="1"/>
  <c r="M141" i="1"/>
  <c r="O141" i="1" s="1"/>
  <c r="N141" i="1"/>
  <c r="M97" i="1"/>
  <c r="O97" i="1" s="1"/>
  <c r="N97" i="1"/>
  <c r="M131" i="1"/>
  <c r="O131" i="1" s="1"/>
  <c r="N131" i="1"/>
  <c r="M135" i="1"/>
  <c r="O135" i="1" s="1"/>
  <c r="N135" i="1"/>
  <c r="M136" i="1"/>
  <c r="O136" i="1" s="1"/>
  <c r="N136" i="1"/>
  <c r="N134" i="1"/>
  <c r="BZ146" i="1"/>
  <c r="CA146" i="1"/>
  <c r="M147" i="1" l="1"/>
  <c r="O147" i="1" s="1"/>
  <c r="N147" i="1"/>
  <c r="AX124" i="1"/>
  <c r="AY141" i="1"/>
  <c r="AY142" i="1" s="1"/>
  <c r="AY143" i="1" s="1"/>
  <c r="AY144" i="1" s="1"/>
  <c r="AY145" i="1" s="1"/>
  <c r="AY146" i="1" s="1"/>
  <c r="AY147" i="1" s="1"/>
  <c r="AY148" i="1" s="1"/>
  <c r="AY149" i="1" s="1"/>
  <c r="AY150" i="1" s="1"/>
  <c r="ID18" i="1"/>
  <c r="E18" i="1"/>
  <c r="I18" i="1"/>
  <c r="ID118" i="1"/>
  <c r="E118" i="1"/>
  <c r="A102" i="14" s="1"/>
  <c r="DD98" i="1"/>
  <c r="L98" i="1" s="1"/>
  <c r="BY146" i="1"/>
  <c r="BX146" i="1"/>
  <c r="E102" i="14" l="1"/>
  <c r="I102" i="14"/>
  <c r="D102" i="14"/>
  <c r="H102" i="14"/>
  <c r="C102" i="14"/>
  <c r="G102" i="14"/>
  <c r="K102" i="14"/>
  <c r="B102" i="14"/>
  <c r="F102" i="14"/>
  <c r="J102" i="14"/>
  <c r="AX125" i="1"/>
  <c r="IM18" i="1"/>
  <c r="IL18" i="1" s="1"/>
  <c r="A2" i="14"/>
  <c r="IM118" i="1"/>
  <c r="IL118" i="1" s="1"/>
  <c r="IP118" i="1" s="1"/>
  <c r="Z118" i="1" s="1"/>
  <c r="BV146" i="1"/>
  <c r="BV145" i="1"/>
  <c r="N98" i="1"/>
  <c r="M98" i="1"/>
  <c r="O98" i="1" s="1"/>
  <c r="BW146" i="1"/>
  <c r="BW145" i="1"/>
  <c r="BU146" i="1" l="1"/>
  <c r="DE146" i="1"/>
  <c r="BT146" i="1"/>
  <c r="DD146" i="1"/>
  <c r="L146" i="1" s="1"/>
  <c r="AX126" i="1"/>
  <c r="ID92" i="1"/>
  <c r="I92" i="1"/>
  <c r="E92" i="1"/>
  <c r="A76" i="14" s="1"/>
  <c r="I73" i="1"/>
  <c r="ID73" i="1"/>
  <c r="E73" i="1"/>
  <c r="A57" i="14" s="1"/>
  <c r="E55" i="1"/>
  <c r="A39" i="14" s="1"/>
  <c r="I55" i="1"/>
  <c r="ID55" i="1"/>
  <c r="IN18" i="1"/>
  <c r="II18" i="1"/>
  <c r="IP18" i="1"/>
  <c r="Z18" i="1" s="1"/>
  <c r="I2" i="14"/>
  <c r="F2" i="14"/>
  <c r="C2" i="14"/>
  <c r="E2" i="14"/>
  <c r="B2" i="14"/>
  <c r="J2" i="14"/>
  <c r="D2" i="14"/>
  <c r="II118" i="1"/>
  <c r="U118" i="1" s="1"/>
  <c r="IN118" i="1"/>
  <c r="X118" i="1" s="1"/>
  <c r="Y118" i="1" s="1"/>
  <c r="DE145" i="1"/>
  <c r="BU145" i="1"/>
  <c r="BT145" i="1"/>
  <c r="DD145" i="1"/>
  <c r="L145" i="1" s="1"/>
  <c r="B57" i="14" l="1"/>
  <c r="F57" i="14"/>
  <c r="J57" i="14"/>
  <c r="E57" i="14"/>
  <c r="I57" i="14"/>
  <c r="D57" i="14"/>
  <c r="H57" i="14"/>
  <c r="C57" i="14"/>
  <c r="G57" i="14"/>
  <c r="K57" i="14"/>
  <c r="D39" i="14"/>
  <c r="H39" i="14"/>
  <c r="C39" i="14"/>
  <c r="G39" i="14"/>
  <c r="K39" i="14"/>
  <c r="B39" i="14"/>
  <c r="F39" i="14"/>
  <c r="J39" i="14"/>
  <c r="E39" i="14"/>
  <c r="I39" i="14"/>
  <c r="D76" i="14"/>
  <c r="H76" i="14"/>
  <c r="B76" i="14"/>
  <c r="F76" i="14"/>
  <c r="J76" i="14"/>
  <c r="I76" i="14"/>
  <c r="G76" i="14"/>
  <c r="E76" i="14"/>
  <c r="C76" i="14"/>
  <c r="K76" i="14"/>
  <c r="M146" i="1"/>
  <c r="O146" i="1" s="1"/>
  <c r="N146" i="1"/>
  <c r="AX127" i="1"/>
  <c r="IM73" i="1"/>
  <c r="IL73" i="1" s="1"/>
  <c r="IM55" i="1"/>
  <c r="IL55" i="1" s="1"/>
  <c r="IM92" i="1"/>
  <c r="IL92" i="1" s="1"/>
  <c r="IQ118" i="1"/>
  <c r="EJ118" i="1" s="1"/>
  <c r="IJ118" i="1"/>
  <c r="IK118" i="1" s="1"/>
  <c r="FT118" i="1" s="1"/>
  <c r="K2" i="14"/>
  <c r="U18" i="1"/>
  <c r="IJ18" i="1"/>
  <c r="IK18" i="1" s="1"/>
  <c r="IQ18" i="1"/>
  <c r="X18" i="1"/>
  <c r="Y18" i="1" s="1"/>
  <c r="N145" i="1"/>
  <c r="M145" i="1"/>
  <c r="O145" i="1" s="1"/>
  <c r="AX128" i="1" l="1"/>
  <c r="E100" i="1"/>
  <c r="A84" i="14" s="1"/>
  <c r="ID100" i="1"/>
  <c r="I100" i="1"/>
  <c r="II73" i="1"/>
  <c r="IN73" i="1"/>
  <c r="IP73" i="1"/>
  <c r="Z73" i="1" s="1"/>
  <c r="IP92" i="1"/>
  <c r="Z92" i="1" s="1"/>
  <c r="II92" i="1"/>
  <c r="IN92" i="1"/>
  <c r="IN55" i="1"/>
  <c r="IP55" i="1"/>
  <c r="Z55" i="1" s="1"/>
  <c r="II55" i="1"/>
  <c r="I118" i="1"/>
  <c r="FY118" i="1"/>
  <c r="ES118" i="1"/>
  <c r="EQ118" i="1" s="1"/>
  <c r="EN118" i="1"/>
  <c r="EL118" i="1" s="1"/>
  <c r="FI118" i="1"/>
  <c r="FG118" i="1" s="1"/>
  <c r="FE118" i="1"/>
  <c r="FC118" i="1" s="1"/>
  <c r="FL118" i="1"/>
  <c r="FJ118" i="1" s="1"/>
  <c r="EZ118" i="1"/>
  <c r="EX118" i="1" s="1"/>
  <c r="EO118" i="1"/>
  <c r="EM118" i="1" s="1"/>
  <c r="ER118" i="1"/>
  <c r="EP118" i="1" s="1"/>
  <c r="FH118" i="1"/>
  <c r="FF118" i="1" s="1"/>
  <c r="EW118" i="1"/>
  <c r="EU118" i="1" s="1"/>
  <c r="EK118" i="1"/>
  <c r="EI118" i="1" s="1"/>
  <c r="FD118" i="1"/>
  <c r="FB118" i="1" s="1"/>
  <c r="FM118" i="1"/>
  <c r="FK118" i="1" s="1"/>
  <c r="FA118" i="1"/>
  <c r="EY118" i="1" s="1"/>
  <c r="EV118" i="1"/>
  <c r="ET118" i="1" s="1"/>
  <c r="FW118" i="1"/>
  <c r="I113" i="1"/>
  <c r="ID113" i="1"/>
  <c r="E113" i="1"/>
  <c r="A97" i="14" s="1"/>
  <c r="FV118" i="1"/>
  <c r="V118" i="1"/>
  <c r="FR118" i="1"/>
  <c r="FP118" i="1"/>
  <c r="FX118" i="1"/>
  <c r="FQ118" i="1"/>
  <c r="FS118" i="1"/>
  <c r="FU118" i="1"/>
  <c r="FL18" i="1"/>
  <c r="FJ18" i="1" s="1"/>
  <c r="FM18" i="1"/>
  <c r="FK18" i="1" s="1"/>
  <c r="FH18" i="1"/>
  <c r="FF18" i="1" s="1"/>
  <c r="FD18" i="1" s="1"/>
  <c r="FB18" i="1" s="1"/>
  <c r="EZ18" i="1" s="1"/>
  <c r="EX18" i="1" s="1"/>
  <c r="EV18" i="1" s="1"/>
  <c r="ET18" i="1" s="1"/>
  <c r="ER18" i="1" s="1"/>
  <c r="EP18" i="1" s="1"/>
  <c r="EN18" i="1" s="1"/>
  <c r="EL18" i="1" s="1"/>
  <c r="EJ18" i="1" s="1"/>
  <c r="EH18" i="1" s="1"/>
  <c r="EF18" i="1" s="1"/>
  <c r="ED18" i="1" s="1"/>
  <c r="FI18" i="1"/>
  <c r="FG18" i="1" s="1"/>
  <c r="FE18" i="1" s="1"/>
  <c r="FC18" i="1" s="1"/>
  <c r="FA18" i="1" s="1"/>
  <c r="EY18" i="1" s="1"/>
  <c r="EW18" i="1" s="1"/>
  <c r="EU18" i="1" s="1"/>
  <c r="ES18" i="1" s="1"/>
  <c r="EQ18" i="1" s="1"/>
  <c r="EO18" i="1" s="1"/>
  <c r="EM18" i="1" s="1"/>
  <c r="EK18" i="1" s="1"/>
  <c r="EI18" i="1" s="1"/>
  <c r="EG18" i="1" s="1"/>
  <c r="EE18" i="1" s="1"/>
  <c r="FX18" i="1"/>
  <c r="FW18" i="1"/>
  <c r="FS18" i="1"/>
  <c r="FR18" i="1"/>
  <c r="FU18" i="1"/>
  <c r="FV18" i="1"/>
  <c r="FT18" i="1"/>
  <c r="FP18" i="1"/>
  <c r="V18" i="1"/>
  <c r="FQ18" i="1"/>
  <c r="FY18" i="1"/>
  <c r="BR150" i="1"/>
  <c r="BS150" i="1"/>
  <c r="EH118" i="1"/>
  <c r="D97" i="14" l="1"/>
  <c r="H97" i="14"/>
  <c r="C97" i="14"/>
  <c r="G97" i="14"/>
  <c r="K97" i="14"/>
  <c r="B97" i="14"/>
  <c r="F97" i="14"/>
  <c r="J97" i="14"/>
  <c r="E97" i="14"/>
  <c r="I97" i="14"/>
  <c r="D84" i="14"/>
  <c r="H84" i="14"/>
  <c r="B84" i="14"/>
  <c r="F84" i="14"/>
  <c r="J84" i="14"/>
  <c r="I84" i="14"/>
  <c r="G84" i="14"/>
  <c r="E84" i="14"/>
  <c r="C84" i="14"/>
  <c r="K84" i="14"/>
  <c r="ID149" i="1"/>
  <c r="E149" i="1"/>
  <c r="A133" i="14" s="1"/>
  <c r="I149" i="1"/>
  <c r="AX129" i="1"/>
  <c r="AX130" i="1" s="1"/>
  <c r="AX131" i="1" s="1"/>
  <c r="AX132" i="1" s="1"/>
  <c r="AX133" i="1" s="1"/>
  <c r="AX134" i="1" s="1"/>
  <c r="I19" i="1"/>
  <c r="ID19" i="1"/>
  <c r="E19" i="1"/>
  <c r="A3" i="14" s="1"/>
  <c r="IM100" i="1"/>
  <c r="IL100" i="1" s="1"/>
  <c r="X92" i="1"/>
  <c r="Y92" i="1" s="1"/>
  <c r="IQ92" i="1"/>
  <c r="X73" i="1"/>
  <c r="Y73" i="1" s="1"/>
  <c r="IQ73" i="1"/>
  <c r="U55" i="1"/>
  <c r="IJ55" i="1"/>
  <c r="IK55" i="1" s="1"/>
  <c r="U92" i="1"/>
  <c r="IJ92" i="1"/>
  <c r="IK92" i="1" s="1"/>
  <c r="IJ73" i="1"/>
  <c r="IK73" i="1" s="1"/>
  <c r="U73" i="1"/>
  <c r="X55" i="1"/>
  <c r="Y55" i="1" s="1"/>
  <c r="IQ55" i="1"/>
  <c r="IM113" i="1"/>
  <c r="IL113" i="1" s="1"/>
  <c r="DD144" i="1"/>
  <c r="L144" i="1" s="1"/>
  <c r="ID150" i="1"/>
  <c r="E150" i="1"/>
  <c r="A134" i="14" s="1"/>
  <c r="I150" i="1"/>
  <c r="D133" i="14" l="1"/>
  <c r="C133" i="14"/>
  <c r="B133" i="14"/>
  <c r="F133" i="14"/>
  <c r="J133" i="14"/>
  <c r="E133" i="14"/>
  <c r="D3" i="14"/>
  <c r="H3" i="14"/>
  <c r="C3" i="14"/>
  <c r="G3" i="14"/>
  <c r="K3" i="14"/>
  <c r="B3" i="14"/>
  <c r="F3" i="14"/>
  <c r="J3" i="14"/>
  <c r="E3" i="14"/>
  <c r="I3" i="14"/>
  <c r="E134" i="14"/>
  <c r="D134" i="14"/>
  <c r="C134" i="14"/>
  <c r="B134" i="14"/>
  <c r="F134" i="14"/>
  <c r="J134" i="14"/>
  <c r="IM149" i="1"/>
  <c r="IL149" i="1" s="1"/>
  <c r="IN149" i="1" s="1"/>
  <c r="AX135" i="1"/>
  <c r="IM19" i="1"/>
  <c r="IL19" i="1" s="1"/>
  <c r="II100" i="1"/>
  <c r="IN100" i="1"/>
  <c r="IP100" i="1"/>
  <c r="Z100" i="1" s="1"/>
  <c r="FT55" i="1"/>
  <c r="FQ55" i="1"/>
  <c r="FR55" i="1"/>
  <c r="V55" i="1"/>
  <c r="FV55" i="1"/>
  <c r="FY55" i="1"/>
  <c r="FU55" i="1"/>
  <c r="FW55" i="1"/>
  <c r="FX55" i="1"/>
  <c r="FS55" i="1"/>
  <c r="FP55" i="1"/>
  <c r="FM73" i="1"/>
  <c r="FK73" i="1" s="1"/>
  <c r="FI73" i="1"/>
  <c r="FG73" i="1" s="1"/>
  <c r="EJ73" i="1"/>
  <c r="EH73" i="1" s="1"/>
  <c r="EO73" i="1"/>
  <c r="EM73" i="1" s="1"/>
  <c r="FL73" i="1"/>
  <c r="FJ73" i="1" s="1"/>
  <c r="ER73" i="1"/>
  <c r="EP73" i="1" s="1"/>
  <c r="FA73" i="1"/>
  <c r="EY73" i="1" s="1"/>
  <c r="FH73" i="1"/>
  <c r="FF73" i="1" s="1"/>
  <c r="EW73" i="1"/>
  <c r="EU73" i="1" s="1"/>
  <c r="EK73" i="1"/>
  <c r="EI73" i="1" s="1"/>
  <c r="FE73" i="1"/>
  <c r="FC73" i="1" s="1"/>
  <c r="FD73" i="1"/>
  <c r="FB73" i="1" s="1"/>
  <c r="EZ73" i="1"/>
  <c r="EX73" i="1" s="1"/>
  <c r="ES73" i="1"/>
  <c r="EQ73" i="1" s="1"/>
  <c r="EN73" i="1"/>
  <c r="EL73" i="1" s="1"/>
  <c r="EV73" i="1"/>
  <c r="ET73" i="1" s="1"/>
  <c r="V73" i="1"/>
  <c r="FY73" i="1"/>
  <c r="FW73" i="1"/>
  <c r="FQ73" i="1"/>
  <c r="FV73" i="1"/>
  <c r="FT73" i="1"/>
  <c r="FP73" i="1"/>
  <c r="FX73" i="1"/>
  <c r="FS73" i="1"/>
  <c r="FR73" i="1"/>
  <c r="FU73" i="1"/>
  <c r="EK55" i="1"/>
  <c r="EI55" i="1" s="1"/>
  <c r="FL55" i="1"/>
  <c r="FJ55" i="1" s="1"/>
  <c r="FI55" i="1"/>
  <c r="FG55" i="1" s="1"/>
  <c r="FD55" i="1"/>
  <c r="FB55" i="1" s="1"/>
  <c r="FM55" i="1"/>
  <c r="FK55" i="1" s="1"/>
  <c r="FE55" i="1"/>
  <c r="FC55" i="1" s="1"/>
  <c r="ES55" i="1"/>
  <c r="EQ55" i="1" s="1"/>
  <c r="EZ55" i="1"/>
  <c r="EX55" i="1" s="1"/>
  <c r="FA55" i="1"/>
  <c r="EY55" i="1" s="1"/>
  <c r="EJ55" i="1"/>
  <c r="EH55" i="1" s="1"/>
  <c r="ER55" i="1"/>
  <c r="EP55" i="1" s="1"/>
  <c r="EO55" i="1"/>
  <c r="EM55" i="1" s="1"/>
  <c r="EV55" i="1"/>
  <c r="ET55" i="1" s="1"/>
  <c r="FH55" i="1"/>
  <c r="FF55" i="1" s="1"/>
  <c r="EW55" i="1"/>
  <c r="EU55" i="1" s="1"/>
  <c r="EN55" i="1"/>
  <c r="EL55" i="1" s="1"/>
  <c r="V92" i="1"/>
  <c r="FS92" i="1"/>
  <c r="FY92" i="1"/>
  <c r="FU92" i="1"/>
  <c r="FT92" i="1"/>
  <c r="FX92" i="1"/>
  <c r="FR92" i="1"/>
  <c r="FQ92" i="1"/>
  <c r="FV92" i="1"/>
  <c r="FW92" i="1"/>
  <c r="FP92" i="1"/>
  <c r="ER92" i="1"/>
  <c r="EP92" i="1" s="1"/>
  <c r="FH92" i="1"/>
  <c r="FF92" i="1" s="1"/>
  <c r="EW92" i="1"/>
  <c r="EU92" i="1" s="1"/>
  <c r="FE92" i="1"/>
  <c r="FC92" i="1" s="1"/>
  <c r="EK92" i="1"/>
  <c r="EI92" i="1" s="1"/>
  <c r="EN92" i="1"/>
  <c r="EL92" i="1" s="1"/>
  <c r="FL92" i="1"/>
  <c r="FJ92" i="1" s="1"/>
  <c r="FA92" i="1"/>
  <c r="EY92" i="1" s="1"/>
  <c r="EJ92" i="1"/>
  <c r="EH92" i="1" s="1"/>
  <c r="ES92" i="1"/>
  <c r="EQ92" i="1" s="1"/>
  <c r="FM92" i="1"/>
  <c r="FK92" i="1" s="1"/>
  <c r="EZ92" i="1"/>
  <c r="EX92" i="1" s="1"/>
  <c r="FD92" i="1"/>
  <c r="FB92" i="1" s="1"/>
  <c r="EO92" i="1"/>
  <c r="EM92" i="1" s="1"/>
  <c r="EV92" i="1"/>
  <c r="ET92" i="1" s="1"/>
  <c r="FI92" i="1"/>
  <c r="FG92" i="1" s="1"/>
  <c r="IN113" i="1"/>
  <c r="IP113" i="1"/>
  <c r="Z113" i="1" s="1"/>
  <c r="II113" i="1"/>
  <c r="IM150" i="1"/>
  <c r="IL150" i="1" s="1"/>
  <c r="N144" i="1"/>
  <c r="M144" i="1"/>
  <c r="O144" i="1" s="1"/>
  <c r="IP149" i="1" l="1"/>
  <c r="Z149" i="1" s="1"/>
  <c r="II149" i="1"/>
  <c r="IJ149" i="1" s="1"/>
  <c r="IK149" i="1" s="1"/>
  <c r="X149" i="1"/>
  <c r="Y149" i="1" s="1"/>
  <c r="AX136" i="1"/>
  <c r="IN19" i="1"/>
  <c r="IP19" i="1"/>
  <c r="Z19" i="1" s="1"/>
  <c r="II19" i="1"/>
  <c r="U100" i="1"/>
  <c r="IJ100" i="1"/>
  <c r="IK100" i="1" s="1"/>
  <c r="X100" i="1"/>
  <c r="Y100" i="1" s="1"/>
  <c r="IQ100" i="1"/>
  <c r="IJ113" i="1"/>
  <c r="IK113" i="1" s="1"/>
  <c r="U113" i="1"/>
  <c r="IQ113" i="1"/>
  <c r="X113" i="1"/>
  <c r="Y113" i="1" s="1"/>
  <c r="IP150" i="1"/>
  <c r="Z150" i="1" s="1"/>
  <c r="II150" i="1"/>
  <c r="IN150" i="1"/>
  <c r="IQ149" i="1" l="1"/>
  <c r="FH149" i="1" s="1"/>
  <c r="FF149" i="1" s="1"/>
  <c r="U149" i="1"/>
  <c r="V149" i="1"/>
  <c r="FW149" i="1"/>
  <c r="FS149" i="1"/>
  <c r="FU149" i="1"/>
  <c r="FQ149" i="1"/>
  <c r="FV149" i="1"/>
  <c r="FR149" i="1"/>
  <c r="FX149" i="1"/>
  <c r="FT149" i="1"/>
  <c r="FY149" i="1"/>
  <c r="FP149" i="1"/>
  <c r="AX137" i="1"/>
  <c r="X19" i="1"/>
  <c r="Y19" i="1" s="1"/>
  <c r="IQ19" i="1"/>
  <c r="IJ19" i="1"/>
  <c r="IK19" i="1" s="1"/>
  <c r="U19" i="1"/>
  <c r="FD100" i="1"/>
  <c r="FB100" i="1" s="1"/>
  <c r="EK100" i="1"/>
  <c r="EI100" i="1" s="1"/>
  <c r="EO100" i="1"/>
  <c r="EM100" i="1" s="1"/>
  <c r="FA100" i="1"/>
  <c r="EY100" i="1" s="1"/>
  <c r="FL100" i="1"/>
  <c r="FJ100" i="1" s="1"/>
  <c r="FI100" i="1"/>
  <c r="FG100" i="1" s="1"/>
  <c r="FE100" i="1"/>
  <c r="FC100" i="1" s="1"/>
  <c r="ER100" i="1"/>
  <c r="EP100" i="1" s="1"/>
  <c r="EN100" i="1"/>
  <c r="EL100" i="1" s="1"/>
  <c r="FM100" i="1"/>
  <c r="FK100" i="1" s="1"/>
  <c r="FH100" i="1"/>
  <c r="FF100" i="1" s="1"/>
  <c r="EW100" i="1"/>
  <c r="EU100" i="1" s="1"/>
  <c r="EJ100" i="1"/>
  <c r="EH100" i="1" s="1"/>
  <c r="ES100" i="1"/>
  <c r="EQ100" i="1" s="1"/>
  <c r="EV100" i="1"/>
  <c r="ET100" i="1" s="1"/>
  <c r="EZ100" i="1"/>
  <c r="EX100" i="1" s="1"/>
  <c r="FV100" i="1"/>
  <c r="FU100" i="1"/>
  <c r="FY100" i="1"/>
  <c r="FR100" i="1"/>
  <c r="FX100" i="1"/>
  <c r="FW100" i="1"/>
  <c r="FT100" i="1"/>
  <c r="FP100" i="1"/>
  <c r="FQ100" i="1"/>
  <c r="V100" i="1"/>
  <c r="FS100" i="1"/>
  <c r="FE113" i="1"/>
  <c r="FC113" i="1" s="1"/>
  <c r="FH113" i="1"/>
  <c r="FF113" i="1" s="1"/>
  <c r="ES113" i="1"/>
  <c r="EQ113" i="1" s="1"/>
  <c r="FA113" i="1"/>
  <c r="EY113" i="1" s="1"/>
  <c r="ER113" i="1"/>
  <c r="EP113" i="1" s="1"/>
  <c r="EJ113" i="1"/>
  <c r="EH113" i="1" s="1"/>
  <c r="FM113" i="1"/>
  <c r="FK113" i="1" s="1"/>
  <c r="FD113" i="1"/>
  <c r="FB113" i="1" s="1"/>
  <c r="EO113" i="1"/>
  <c r="EM113" i="1" s="1"/>
  <c r="EK113" i="1"/>
  <c r="EI113" i="1" s="1"/>
  <c r="FL113" i="1"/>
  <c r="FJ113" i="1" s="1"/>
  <c r="EW113" i="1"/>
  <c r="EU113" i="1" s="1"/>
  <c r="EV113" i="1"/>
  <c r="ET113" i="1" s="1"/>
  <c r="EN113" i="1"/>
  <c r="EL113" i="1" s="1"/>
  <c r="FI113" i="1"/>
  <c r="FG113" i="1" s="1"/>
  <c r="EZ113" i="1"/>
  <c r="EX113" i="1" s="1"/>
  <c r="FP113" i="1"/>
  <c r="FQ113" i="1"/>
  <c r="FU113" i="1"/>
  <c r="FX113" i="1"/>
  <c r="FV113" i="1"/>
  <c r="V113" i="1"/>
  <c r="FS113" i="1"/>
  <c r="FW113" i="1"/>
  <c r="FY113" i="1"/>
  <c r="FT113" i="1"/>
  <c r="FR113" i="1"/>
  <c r="X150" i="1"/>
  <c r="Y150" i="1" s="1"/>
  <c r="IQ150" i="1"/>
  <c r="U150" i="1"/>
  <c r="IJ150" i="1"/>
  <c r="IK150" i="1" s="1"/>
  <c r="FL149" i="1" l="1"/>
  <c r="FJ149" i="1" s="1"/>
  <c r="EF149" i="1"/>
  <c r="ED149" i="1" s="1"/>
  <c r="EJ149" i="1"/>
  <c r="EH149" i="1" s="1"/>
  <c r="EK149" i="1"/>
  <c r="EI149" i="1" s="1"/>
  <c r="ES149" i="1"/>
  <c r="EQ149" i="1" s="1"/>
  <c r="EG149" i="1"/>
  <c r="EE149" i="1" s="1"/>
  <c r="EN149" i="1"/>
  <c r="EL149" i="1" s="1"/>
  <c r="EO149" i="1"/>
  <c r="EM149" i="1" s="1"/>
  <c r="EW149" i="1"/>
  <c r="EU149" i="1" s="1"/>
  <c r="ER149" i="1"/>
  <c r="EP149" i="1" s="1"/>
  <c r="FA149" i="1"/>
  <c r="EY149" i="1" s="1"/>
  <c r="EV149" i="1"/>
  <c r="ET149" i="1" s="1"/>
  <c r="FI149" i="1"/>
  <c r="FG149" i="1" s="1"/>
  <c r="FD149" i="1"/>
  <c r="FB149" i="1" s="1"/>
  <c r="FE149" i="1"/>
  <c r="FC149" i="1" s="1"/>
  <c r="FM149" i="1"/>
  <c r="FK149" i="1" s="1"/>
  <c r="EZ149" i="1"/>
  <c r="EX149" i="1" s="1"/>
  <c r="FO149" i="1"/>
  <c r="AX138" i="1"/>
  <c r="ER19" i="1"/>
  <c r="EP19" i="1" s="1"/>
  <c r="FI19" i="1"/>
  <c r="FG19" i="1" s="1"/>
  <c r="EV19" i="1"/>
  <c r="ET19" i="1" s="1"/>
  <c r="FA19" i="1"/>
  <c r="EY19" i="1" s="1"/>
  <c r="FL19" i="1"/>
  <c r="FJ19" i="1" s="1"/>
  <c r="ES19" i="1"/>
  <c r="EQ19" i="1" s="1"/>
  <c r="FH19" i="1"/>
  <c r="FF19" i="1" s="1"/>
  <c r="FD19" i="1"/>
  <c r="FB19" i="1" s="1"/>
  <c r="FE19" i="1"/>
  <c r="FC19" i="1" s="1"/>
  <c r="EJ19" i="1"/>
  <c r="EH19" i="1" s="1"/>
  <c r="FM19" i="1"/>
  <c r="FK19" i="1" s="1"/>
  <c r="EK19" i="1"/>
  <c r="EI19" i="1" s="1"/>
  <c r="EO19" i="1"/>
  <c r="EM19" i="1" s="1"/>
  <c r="EN19" i="1"/>
  <c r="EL19" i="1" s="1"/>
  <c r="EW19" i="1"/>
  <c r="EU19" i="1" s="1"/>
  <c r="EZ19" i="1"/>
  <c r="EX19" i="1" s="1"/>
  <c r="FR19" i="1"/>
  <c r="FQ19" i="1"/>
  <c r="FY19" i="1"/>
  <c r="FV19" i="1"/>
  <c r="FW19" i="1"/>
  <c r="FU19" i="1"/>
  <c r="FP19" i="1"/>
  <c r="V19" i="1"/>
  <c r="FX19" i="1"/>
  <c r="FS19" i="1"/>
  <c r="FT19" i="1"/>
  <c r="FV150" i="1"/>
  <c r="FY150" i="1"/>
  <c r="FW150" i="1"/>
  <c r="V150" i="1"/>
  <c r="FR150" i="1"/>
  <c r="FT150" i="1"/>
  <c r="FU150" i="1"/>
  <c r="FQ150" i="1"/>
  <c r="FX150" i="1"/>
  <c r="FS150" i="1"/>
  <c r="FP150" i="1"/>
  <c r="ES150" i="1"/>
  <c r="EQ150" i="1" s="1"/>
  <c r="FA150" i="1"/>
  <c r="EY150" i="1" s="1"/>
  <c r="EF150" i="1"/>
  <c r="ED150" i="1" s="1"/>
  <c r="EV150" i="1"/>
  <c r="ET150" i="1" s="1"/>
  <c r="FD150" i="1"/>
  <c r="FB150" i="1" s="1"/>
  <c r="FL150" i="1"/>
  <c r="FJ150" i="1" s="1"/>
  <c r="FM150" i="1"/>
  <c r="FK150" i="1" s="1"/>
  <c r="FH150" i="1"/>
  <c r="FF150" i="1" s="1"/>
  <c r="EN150" i="1"/>
  <c r="EL150" i="1" s="1"/>
  <c r="EG150" i="1"/>
  <c r="EE150" i="1" s="1"/>
  <c r="EW150" i="1"/>
  <c r="EU150" i="1" s="1"/>
  <c r="FI150" i="1"/>
  <c r="FG150" i="1" s="1"/>
  <c r="EJ150" i="1"/>
  <c r="ER150" i="1"/>
  <c r="EP150" i="1" s="1"/>
  <c r="EK150" i="1"/>
  <c r="EZ150" i="1"/>
  <c r="EX150" i="1" s="1"/>
  <c r="EO150" i="1"/>
  <c r="EM150" i="1" s="1"/>
  <c r="FE150" i="1"/>
  <c r="FC150" i="1" s="1"/>
  <c r="FN149" i="1" l="1"/>
  <c r="AX139" i="1"/>
  <c r="FO150" i="1"/>
  <c r="EI150" i="1"/>
  <c r="EH150" i="1"/>
  <c r="FN150" i="1"/>
  <c r="AX140" i="1" l="1"/>
  <c r="AX141" i="1" l="1"/>
  <c r="AX142" i="1" l="1"/>
  <c r="AX143" i="1" l="1"/>
  <c r="AX144" i="1" l="1"/>
  <c r="AX145" i="1" l="1"/>
  <c r="AX146" i="1" l="1"/>
  <c r="I27" i="1"/>
  <c r="E27" i="1"/>
  <c r="A11" i="14" s="1"/>
  <c r="ID27" i="1"/>
  <c r="D11" i="14" l="1"/>
  <c r="H11" i="14"/>
  <c r="C11" i="14"/>
  <c r="G11" i="14"/>
  <c r="K11" i="14"/>
  <c r="B11" i="14"/>
  <c r="F11" i="14"/>
  <c r="J11" i="14"/>
  <c r="E11" i="14"/>
  <c r="I11" i="14"/>
  <c r="IM27" i="1"/>
  <c r="IL27" i="1" s="1"/>
  <c r="IN27" i="1" s="1"/>
  <c r="AX147" i="1"/>
  <c r="IP27" i="1" l="1"/>
  <c r="Z27" i="1" s="1"/>
  <c r="II27" i="1"/>
  <c r="AX148" i="1"/>
  <c r="I123" i="1"/>
  <c r="E123" i="1"/>
  <c r="A107" i="14" s="1"/>
  <c r="ID123" i="1"/>
  <c r="IJ27" i="1"/>
  <c r="U27" i="1"/>
  <c r="IQ27" i="1"/>
  <c r="X27" i="1"/>
  <c r="Y27" i="1" s="1"/>
  <c r="EB150" i="1"/>
  <c r="EC150" i="1"/>
  <c r="IK27" i="1" l="1"/>
  <c r="FV27" i="1" s="1"/>
  <c r="B107" i="14"/>
  <c r="F107" i="14"/>
  <c r="J107" i="14"/>
  <c r="E107" i="14"/>
  <c r="I107" i="14"/>
  <c r="D107" i="14"/>
  <c r="H107" i="14"/>
  <c r="C107" i="14"/>
  <c r="G107" i="14"/>
  <c r="K107" i="14"/>
  <c r="AX149" i="1"/>
  <c r="IM123" i="1"/>
  <c r="IL123" i="1" s="1"/>
  <c r="EO27" i="1"/>
  <c r="ES27" i="1"/>
  <c r="FH27" i="1"/>
  <c r="FD27" i="1"/>
  <c r="FB27" i="1" s="1"/>
  <c r="EW27" i="1"/>
  <c r="EU27" i="1" s="1"/>
  <c r="FM27" i="1"/>
  <c r="EZ27" i="1"/>
  <c r="FI27" i="1"/>
  <c r="FG27" i="1" s="1"/>
  <c r="EV27" i="1"/>
  <c r="ET27" i="1" s="1"/>
  <c r="FE27" i="1"/>
  <c r="FL27" i="1"/>
  <c r="FA27" i="1"/>
  <c r="EY27" i="1" s="1"/>
  <c r="EN27" i="1"/>
  <c r="EL27" i="1" s="1"/>
  <c r="ER27" i="1"/>
  <c r="V27" i="1"/>
  <c r="G2" i="14"/>
  <c r="FT27" i="1" l="1"/>
  <c r="FY27" i="1"/>
  <c r="FR27" i="1"/>
  <c r="FQ27" i="1"/>
  <c r="FW27" i="1"/>
  <c r="EM27" i="1"/>
  <c r="FP27" i="1"/>
  <c r="FU27" i="1"/>
  <c r="FX27" i="1"/>
  <c r="FJ27" i="1"/>
  <c r="EX27" i="1"/>
  <c r="FF27" i="1"/>
  <c r="FS27" i="1"/>
  <c r="EP27" i="1"/>
  <c r="FC27" i="1"/>
  <c r="FK27" i="1"/>
  <c r="EQ27" i="1"/>
  <c r="AX150" i="1"/>
  <c r="GF27" i="1" s="1"/>
  <c r="GW128" i="1"/>
  <c r="DU104" i="1"/>
  <c r="DX94" i="1"/>
  <c r="DX105" i="1"/>
  <c r="DS63" i="1"/>
  <c r="DY134" i="1"/>
  <c r="HA58" i="1"/>
  <c r="DW100" i="1"/>
  <c r="DW105" i="1"/>
  <c r="DU66" i="1"/>
  <c r="HA142" i="1"/>
  <c r="GY111" i="1"/>
  <c r="DP18" i="1"/>
  <c r="GZ121" i="1"/>
  <c r="HA98" i="1"/>
  <c r="GU106" i="1"/>
  <c r="HC131" i="1"/>
  <c r="BV77" i="1"/>
  <c r="BT77" i="1" s="1"/>
  <c r="DS148" i="1"/>
  <c r="HD149" i="1"/>
  <c r="DX149" i="1"/>
  <c r="DQ94" i="1"/>
  <c r="HD88" i="1"/>
  <c r="DQ65" i="1"/>
  <c r="GX117" i="1"/>
  <c r="DQ84" i="1"/>
  <c r="DV145" i="1"/>
  <c r="DT120" i="1"/>
  <c r="HA129" i="1"/>
  <c r="DT110" i="1"/>
  <c r="GU76" i="1"/>
  <c r="GV66" i="1"/>
  <c r="DT101" i="1"/>
  <c r="DW107" i="1"/>
  <c r="HB124" i="1"/>
  <c r="GU68" i="1"/>
  <c r="DR131" i="1"/>
  <c r="DT150" i="1"/>
  <c r="GV90" i="1"/>
  <c r="DR111" i="1"/>
  <c r="BV55" i="1"/>
  <c r="DV34" i="1"/>
  <c r="DS90" i="1"/>
  <c r="GX63" i="1"/>
  <c r="DS130" i="1"/>
  <c r="DW94" i="1"/>
  <c r="DR60" i="1"/>
  <c r="DY121" i="1"/>
  <c r="HC115" i="1"/>
  <c r="GY86" i="1"/>
  <c r="HB136" i="1"/>
  <c r="GX90" i="1"/>
  <c r="DV138" i="1"/>
  <c r="DW60" i="1"/>
  <c r="DV62" i="1"/>
  <c r="DV56" i="1"/>
  <c r="DT128" i="1"/>
  <c r="DR64" i="1"/>
  <c r="GV28" i="1"/>
  <c r="DP58" i="1"/>
  <c r="DT127" i="1"/>
  <c r="DV144" i="1"/>
  <c r="DY83" i="1"/>
  <c r="BV88" i="1"/>
  <c r="BT88" i="1" s="1"/>
  <c r="DW129" i="1"/>
  <c r="DX62" i="1"/>
  <c r="DW76" i="1"/>
  <c r="GX55" i="1"/>
  <c r="DU123" i="1"/>
  <c r="DU105" i="1"/>
  <c r="DT131" i="1"/>
  <c r="DW104" i="1"/>
  <c r="DR88" i="1"/>
  <c r="DU115" i="1"/>
  <c r="GU136" i="1"/>
  <c r="DQ63" i="1"/>
  <c r="GU113" i="1"/>
  <c r="DW84" i="1"/>
  <c r="GX58" i="1"/>
  <c r="DQ90" i="1"/>
  <c r="HD120" i="1"/>
  <c r="GU86" i="1"/>
  <c r="HA68" i="1"/>
  <c r="DX108" i="1"/>
  <c r="GU81" i="1"/>
  <c r="HD92" i="1"/>
  <c r="DX69" i="1"/>
  <c r="DV140" i="1"/>
  <c r="DV80" i="1"/>
  <c r="DU150" i="1"/>
  <c r="DY82" i="1"/>
  <c r="GZ91" i="1"/>
  <c r="HB59" i="1"/>
  <c r="GV63" i="1"/>
  <c r="HB132" i="1"/>
  <c r="GY119" i="1"/>
  <c r="HA92" i="1"/>
  <c r="HB105" i="1"/>
  <c r="DW115" i="1"/>
  <c r="HB97" i="1"/>
  <c r="BV66" i="1"/>
  <c r="BT66" i="1" s="1"/>
  <c r="DR130" i="1"/>
  <c r="GW127" i="1"/>
  <c r="HB62" i="1"/>
  <c r="DU127" i="1"/>
  <c r="DT31" i="1"/>
  <c r="GW76" i="1"/>
  <c r="DS140" i="1"/>
  <c r="BV125" i="1"/>
  <c r="BT125" i="1" s="1"/>
  <c r="DU57" i="1"/>
  <c r="DX89" i="1"/>
  <c r="DX129" i="1"/>
  <c r="DW97" i="1"/>
  <c r="DU140" i="1"/>
  <c r="GV91" i="1"/>
  <c r="DY69" i="1"/>
  <c r="GW80" i="1"/>
  <c r="DR100" i="1"/>
  <c r="DY91" i="1"/>
  <c r="DR115" i="1"/>
  <c r="DU146" i="1"/>
  <c r="DV65" i="1"/>
  <c r="GZ61" i="1"/>
  <c r="HB100" i="1"/>
  <c r="HC105" i="1"/>
  <c r="HD101" i="1"/>
  <c r="DW117" i="1"/>
  <c r="GU115" i="1"/>
  <c r="DR19" i="1"/>
  <c r="DX17" i="1"/>
  <c r="DP105" i="1"/>
  <c r="GX109" i="1"/>
  <c r="DW71" i="1"/>
  <c r="BW100" i="1"/>
  <c r="HD93" i="1"/>
  <c r="DY65" i="1"/>
  <c r="HB86" i="1"/>
  <c r="GX64" i="1"/>
  <c r="DP148" i="1"/>
  <c r="GZ148" i="1"/>
  <c r="HC148" i="1"/>
  <c r="GX148" i="1"/>
  <c r="DP125" i="1"/>
  <c r="GU149" i="1"/>
  <c r="DR149" i="1"/>
  <c r="DU149" i="1"/>
  <c r="DP149" i="1"/>
  <c r="DW149" i="1"/>
  <c r="GW149" i="1"/>
  <c r="HC149" i="1"/>
  <c r="DY98" i="1"/>
  <c r="DT64" i="1"/>
  <c r="DT134" i="1"/>
  <c r="GW136" i="1"/>
  <c r="HA136" i="1"/>
  <c r="HA111" i="1"/>
  <c r="DT144" i="1"/>
  <c r="DR98" i="1"/>
  <c r="GU57" i="1"/>
  <c r="DQ80" i="1"/>
  <c r="BV116" i="1"/>
  <c r="BT116" i="1" s="1"/>
  <c r="GU114" i="1"/>
  <c r="DU71" i="1"/>
  <c r="GW132" i="1"/>
  <c r="DX132" i="1"/>
  <c r="GV100" i="1"/>
  <c r="GV68" i="1"/>
  <c r="DX78" i="1"/>
  <c r="DW66" i="1"/>
  <c r="GZ56" i="1"/>
  <c r="GW65" i="1"/>
  <c r="HB69" i="1"/>
  <c r="DS60" i="1"/>
  <c r="GU92" i="1"/>
  <c r="DT123" i="1"/>
  <c r="BW82" i="1"/>
  <c r="BU82" i="1" s="1"/>
  <c r="GW119" i="1"/>
  <c r="GX75" i="1"/>
  <c r="DU147" i="1"/>
  <c r="HB75" i="1"/>
  <c r="GV77" i="1"/>
  <c r="HB106" i="1"/>
  <c r="HA89" i="1"/>
  <c r="DU92" i="1"/>
  <c r="GX72" i="1"/>
  <c r="DU65" i="1"/>
  <c r="HB93" i="1"/>
  <c r="DV93" i="1"/>
  <c r="HB81" i="1"/>
  <c r="DT136" i="1"/>
  <c r="GW18" i="1"/>
  <c r="HA130" i="1"/>
  <c r="GU82" i="1"/>
  <c r="DR62" i="1"/>
  <c r="DQ76" i="1"/>
  <c r="DS59" i="1"/>
  <c r="HD138" i="1"/>
  <c r="DY110" i="1"/>
  <c r="DV73" i="1"/>
  <c r="HD107" i="1"/>
  <c r="DR107" i="1"/>
  <c r="DU114" i="1"/>
  <c r="DX19" i="1"/>
  <c r="GZ110" i="1"/>
  <c r="DX115" i="1"/>
  <c r="GX81" i="1"/>
  <c r="DY64" i="1"/>
  <c r="DP57" i="1"/>
  <c r="GY61" i="1"/>
  <c r="HA67" i="1"/>
  <c r="HB79" i="1"/>
  <c r="GX17" i="1"/>
  <c r="DR119" i="1"/>
  <c r="HA104" i="1"/>
  <c r="DV101" i="1"/>
  <c r="GX121" i="1"/>
  <c r="HB80" i="1"/>
  <c r="GY87" i="1"/>
  <c r="DQ136" i="1"/>
  <c r="GV136" i="1"/>
  <c r="GU60" i="1"/>
  <c r="GZ108" i="1"/>
  <c r="DR110" i="1"/>
  <c r="DU143" i="1"/>
  <c r="HB58" i="1"/>
  <c r="DS72" i="1"/>
  <c r="DS48" i="1"/>
  <c r="DW101" i="1"/>
  <c r="GZ93" i="1"/>
  <c r="GZ24" i="1"/>
  <c r="GU126" i="1"/>
  <c r="GZ126" i="1"/>
  <c r="DV133" i="1"/>
  <c r="DR75" i="1"/>
  <c r="DX64" i="1"/>
  <c r="DR113" i="1"/>
  <c r="DV88" i="1"/>
  <c r="HA87" i="1"/>
  <c r="HD79" i="1"/>
  <c r="DX136" i="1"/>
  <c r="GZ77" i="1"/>
  <c r="HD142" i="1"/>
  <c r="HD72" i="1"/>
  <c r="HA145" i="1"/>
  <c r="DS75" i="1"/>
  <c r="DS134" i="1"/>
  <c r="GY105" i="1"/>
  <c r="DQ71" i="1"/>
  <c r="HC132" i="1"/>
  <c r="DT138" i="1"/>
  <c r="DV58" i="1"/>
  <c r="DR121" i="1"/>
  <c r="DV146" i="1"/>
  <c r="HD145" i="1"/>
  <c r="DS108" i="1"/>
  <c r="DW57" i="1"/>
  <c r="HD132" i="1"/>
  <c r="GX94" i="1"/>
  <c r="GX118" i="1"/>
  <c r="DX147" i="1"/>
  <c r="DR150" i="1"/>
  <c r="DQ85" i="1"/>
  <c r="HB67" i="1"/>
  <c r="DS107" i="1"/>
  <c r="BV120" i="1"/>
  <c r="BT120" i="1" s="1"/>
  <c r="GX76" i="1"/>
  <c r="GX60" i="1"/>
  <c r="DR122" i="1"/>
  <c r="GX97" i="1"/>
  <c r="HA69" i="1"/>
  <c r="HC144" i="1"/>
  <c r="DS78" i="1"/>
  <c r="GY90" i="1"/>
  <c r="BW66" i="1"/>
  <c r="BU66" i="1" s="1"/>
  <c r="DP136" i="1"/>
  <c r="GV121" i="1"/>
  <c r="DS112" i="1"/>
  <c r="DV60" i="1"/>
  <c r="HC79" i="1"/>
  <c r="HA71" i="1"/>
  <c r="DY85" i="1"/>
  <c r="HC57" i="1"/>
  <c r="DR101" i="1"/>
  <c r="DR114" i="1"/>
  <c r="DV67" i="1"/>
  <c r="DP129" i="1"/>
  <c r="HC119" i="1"/>
  <c r="DW121" i="1"/>
  <c r="DT88" i="1"/>
  <c r="HA121" i="1"/>
  <c r="DY112" i="1"/>
  <c r="HB118" i="1"/>
  <c r="DS126" i="1"/>
  <c r="HC139" i="1"/>
  <c r="DS138" i="1"/>
  <c r="DY31" i="1"/>
  <c r="DP134" i="1"/>
  <c r="GU30" i="1"/>
  <c r="HB68" i="1"/>
  <c r="GX80" i="1"/>
  <c r="GU88" i="1"/>
  <c r="GZ133" i="1"/>
  <c r="GW98" i="1"/>
  <c r="HB129" i="1"/>
  <c r="GY66" i="1"/>
  <c r="BV108" i="1"/>
  <c r="BT108" i="1" s="1"/>
  <c r="HC90" i="1"/>
  <c r="GV144" i="1"/>
  <c r="GU147" i="1"/>
  <c r="BV63" i="1"/>
  <c r="BT63" i="1" s="1"/>
  <c r="DS56" i="1"/>
  <c r="GV84" i="1"/>
  <c r="HD112" i="1"/>
  <c r="DP113" i="1"/>
  <c r="HC69" i="1"/>
  <c r="GZ83" i="1"/>
  <c r="GW113" i="1"/>
  <c r="DV75" i="1"/>
  <c r="DW89" i="1"/>
  <c r="HA62" i="1"/>
  <c r="GW77" i="1"/>
  <c r="GX111" i="1"/>
  <c r="GU18" i="1"/>
  <c r="DS57" i="1"/>
  <c r="DU81" i="1"/>
  <c r="HD106" i="1"/>
  <c r="DR116" i="1"/>
  <c r="GX134" i="1"/>
  <c r="DR91" i="1"/>
  <c r="DP63" i="1"/>
  <c r="DQ83" i="1"/>
  <c r="DY99" i="1"/>
  <c r="DQ58" i="1"/>
  <c r="DW64" i="1"/>
  <c r="GY109" i="1"/>
  <c r="DY89" i="1"/>
  <c r="HB119" i="1"/>
  <c r="GV122" i="1"/>
  <c r="GV138" i="1"/>
  <c r="DW70" i="1"/>
  <c r="GU146" i="1"/>
  <c r="DT83" i="1"/>
  <c r="GZ67" i="1"/>
  <c r="DX130" i="1"/>
  <c r="DT70" i="1"/>
  <c r="DP111" i="1"/>
  <c r="DV112" i="1"/>
  <c r="DQ122" i="1"/>
  <c r="DQ121" i="1"/>
  <c r="HA117" i="1"/>
  <c r="DQ113" i="1"/>
  <c r="DQ111" i="1"/>
  <c r="GY123" i="1"/>
  <c r="DR90" i="1"/>
  <c r="DU72" i="1"/>
  <c r="HC147" i="1"/>
  <c r="HC140" i="1"/>
  <c r="DX126" i="1"/>
  <c r="DR147" i="1"/>
  <c r="HD26" i="1"/>
  <c r="GU134" i="1"/>
  <c r="DU136" i="1"/>
  <c r="GW105" i="1"/>
  <c r="HD78" i="1"/>
  <c r="GW138" i="1"/>
  <c r="DT84" i="1"/>
  <c r="DP67" i="1"/>
  <c r="DX91" i="1"/>
  <c r="GY97" i="1"/>
  <c r="DU91" i="1"/>
  <c r="DT94" i="1"/>
  <c r="HC102" i="1"/>
  <c r="GW19" i="1"/>
  <c r="DY55" i="1"/>
  <c r="HD87" i="1"/>
  <c r="DQ103" i="1"/>
  <c r="DR59" i="1"/>
  <c r="BV80" i="1"/>
  <c r="BT80" i="1" s="1"/>
  <c r="DQ64" i="1"/>
  <c r="GY63" i="1"/>
  <c r="DP103" i="1"/>
  <c r="GV72" i="1"/>
  <c r="GU77" i="1"/>
  <c r="DX80" i="1"/>
  <c r="DR105" i="1"/>
  <c r="GY101" i="1"/>
  <c r="HD81" i="1"/>
  <c r="HA91" i="1"/>
  <c r="HB143" i="1"/>
  <c r="GV18" i="1"/>
  <c r="GW111" i="1"/>
  <c r="DY102" i="1"/>
  <c r="GV113" i="1"/>
  <c r="DR148" i="1"/>
  <c r="DX148" i="1"/>
  <c r="DW148" i="1"/>
  <c r="HA148" i="1"/>
  <c r="GI149" i="1"/>
  <c r="GZ149" i="1"/>
  <c r="DY149" i="1"/>
  <c r="DQ149" i="1"/>
  <c r="DV149" i="1"/>
  <c r="GF149" i="1"/>
  <c r="DU62" i="1"/>
  <c r="DT91" i="1"/>
  <c r="DV95" i="1"/>
  <c r="BW118" i="1"/>
  <c r="DR66" i="1"/>
  <c r="GV140" i="1"/>
  <c r="DU83" i="1"/>
  <c r="DX143" i="1"/>
  <c r="DP140" i="1"/>
  <c r="DY90" i="1"/>
  <c r="DW86" i="1"/>
  <c r="DV61" i="1"/>
  <c r="GU112" i="1"/>
  <c r="DU68" i="1"/>
  <c r="DP60" i="1"/>
  <c r="GX123" i="1"/>
  <c r="GV97" i="1"/>
  <c r="GW67" i="1"/>
  <c r="GX147" i="1"/>
  <c r="GU138" i="1"/>
  <c r="GU17" i="1"/>
  <c r="DX102" i="1"/>
  <c r="HD150" i="1"/>
  <c r="GV76" i="1"/>
  <c r="GY145" i="1"/>
  <c r="DR82" i="1"/>
  <c r="DU96" i="1"/>
  <c r="DV143" i="1"/>
  <c r="HA85" i="1"/>
  <c r="GY134" i="1"/>
  <c r="GW78" i="1"/>
  <c r="GZ100" i="1"/>
  <c r="DR145" i="1"/>
  <c r="GX74" i="1"/>
  <c r="DQ95" i="1"/>
  <c r="DT117" i="1"/>
  <c r="DU130" i="1"/>
  <c r="GU65" i="1"/>
  <c r="DU134" i="1"/>
  <c r="BW85" i="1"/>
  <c r="BU85" i="1" s="1"/>
  <c r="BV115" i="1"/>
  <c r="BT115" i="1" s="1"/>
  <c r="GW107" i="1"/>
  <c r="HB109" i="1"/>
  <c r="DP119" i="1"/>
  <c r="DY92" i="1"/>
  <c r="GU61" i="1"/>
  <c r="GX120" i="1"/>
  <c r="GU96" i="1"/>
  <c r="GV58" i="1"/>
  <c r="HA120" i="1"/>
  <c r="DX150" i="1"/>
  <c r="DY147" i="1"/>
  <c r="HD89" i="1"/>
  <c r="DP98" i="1"/>
  <c r="DW99" i="1"/>
  <c r="HB140" i="1"/>
  <c r="GY55" i="1"/>
  <c r="DT56" i="1"/>
  <c r="GZ119" i="1"/>
  <c r="DX71" i="1"/>
  <c r="DS105" i="1"/>
  <c r="DS85" i="1"/>
  <c r="GW59" i="1"/>
  <c r="GX104" i="1"/>
  <c r="DW122" i="1"/>
  <c r="DY106" i="1"/>
  <c r="DQ97" i="1"/>
  <c r="DS132" i="1"/>
  <c r="HD109" i="1"/>
  <c r="DS92" i="1"/>
  <c r="DT113" i="1"/>
  <c r="GY147" i="1"/>
  <c r="HC19" i="1"/>
  <c r="DV100" i="1"/>
  <c r="DQ82" i="1"/>
  <c r="DP99" i="1"/>
  <c r="DW119" i="1"/>
  <c r="HB145" i="1"/>
  <c r="DU102" i="1"/>
  <c r="GV141" i="1"/>
  <c r="GY25" i="1"/>
  <c r="GZ144" i="1"/>
  <c r="GW69" i="1"/>
  <c r="GZ78" i="1"/>
  <c r="DW75" i="1"/>
  <c r="GZ29" i="1"/>
  <c r="HA101" i="1"/>
  <c r="HC64" i="1"/>
  <c r="HD18" i="1"/>
  <c r="BV126" i="1"/>
  <c r="BT126" i="1" s="1"/>
  <c r="DY116" i="1"/>
  <c r="HB77" i="1"/>
  <c r="HA144" i="1"/>
  <c r="GZ106" i="1"/>
  <c r="BW115" i="1"/>
  <c r="BU115" i="1" s="1"/>
  <c r="GW134" i="1"/>
  <c r="DX82" i="1"/>
  <c r="DU119" i="1"/>
  <c r="DY130" i="1"/>
  <c r="GY116" i="1"/>
  <c r="GW17" i="1"/>
  <c r="DQ81" i="1"/>
  <c r="GW60" i="1"/>
  <c r="DT75" i="1"/>
  <c r="DP73" i="1"/>
  <c r="DP106" i="1"/>
  <c r="BV113" i="1"/>
  <c r="GZ88" i="1"/>
  <c r="DP107" i="1"/>
  <c r="DT111" i="1"/>
  <c r="GY99" i="1"/>
  <c r="DV90" i="1"/>
  <c r="BV104" i="1"/>
  <c r="BT104" i="1" s="1"/>
  <c r="HB74" i="1"/>
  <c r="GY67" i="1"/>
  <c r="GY56" i="1"/>
  <c r="GY77" i="1"/>
  <c r="DS97" i="1"/>
  <c r="GW74" i="1"/>
  <c r="DS99" i="1"/>
  <c r="GU98" i="1"/>
  <c r="HC87" i="1"/>
  <c r="DP97" i="1"/>
  <c r="GV57" i="1"/>
  <c r="GX100" i="1"/>
  <c r="HD74" i="1"/>
  <c r="DS83" i="1"/>
  <c r="HA94" i="1"/>
  <c r="BW73" i="1"/>
  <c r="GZ94" i="1"/>
  <c r="DY97" i="1"/>
  <c r="DS100" i="1"/>
  <c r="DX121" i="1"/>
  <c r="GY124" i="1"/>
  <c r="GY146" i="1"/>
  <c r="BV62" i="1"/>
  <c r="BT62" i="1" s="1"/>
  <c r="HD143" i="1"/>
  <c r="HD17" i="1"/>
  <c r="BV87" i="1"/>
  <c r="BT87" i="1" s="1"/>
  <c r="DP91" i="1"/>
  <c r="GU119" i="1"/>
  <c r="DV72" i="1"/>
  <c r="DS64" i="1"/>
  <c r="HD95" i="1"/>
  <c r="DV31" i="1"/>
  <c r="DV24" i="1"/>
  <c r="GW108" i="1"/>
  <c r="GZ76" i="1"/>
  <c r="DU128" i="1"/>
  <c r="DU94" i="1"/>
  <c r="DX70" i="1"/>
  <c r="GU80" i="1"/>
  <c r="DX98" i="1"/>
  <c r="DP102" i="1"/>
  <c r="DR87" i="1"/>
  <c r="GX93" i="1"/>
  <c r="DY129" i="1"/>
  <c r="DQ66" i="1"/>
  <c r="HD113" i="1"/>
  <c r="BW103" i="1"/>
  <c r="BU103" i="1" s="1"/>
  <c r="DS111" i="1"/>
  <c r="HA88" i="1"/>
  <c r="GX78" i="1"/>
  <c r="DP84" i="1"/>
  <c r="GY131" i="1"/>
  <c r="DQ141" i="1"/>
  <c r="DR63" i="1"/>
  <c r="DW114" i="1"/>
  <c r="GV67" i="1"/>
  <c r="GZ80" i="1"/>
  <c r="DP64" i="1"/>
  <c r="DW150" i="1"/>
  <c r="DS86" i="1"/>
  <c r="DR71" i="1"/>
  <c r="DT77" i="1"/>
  <c r="GZ64" i="1"/>
  <c r="DS87" i="1"/>
  <c r="DY75" i="1"/>
  <c r="HD71" i="1"/>
  <c r="HB76" i="1"/>
  <c r="GZ75" i="1"/>
  <c r="GX92" i="1"/>
  <c r="DP94" i="1"/>
  <c r="GY80" i="1"/>
  <c r="DS19" i="1"/>
  <c r="BW70" i="1"/>
  <c r="BU70" i="1" s="1"/>
  <c r="GY78" i="1"/>
  <c r="DU106" i="1"/>
  <c r="DT67" i="1"/>
  <c r="DY144" i="1"/>
  <c r="GZ134" i="1"/>
  <c r="DW96" i="1"/>
  <c r="HD100" i="1"/>
  <c r="HD130" i="1"/>
  <c r="HC108" i="1"/>
  <c r="DY150" i="1"/>
  <c r="DX74" i="1"/>
  <c r="DU82" i="1"/>
  <c r="DT66" i="1"/>
  <c r="HC18" i="1"/>
  <c r="HC78" i="1"/>
  <c r="DR69" i="1"/>
  <c r="DV59" i="1"/>
  <c r="GW61" i="1"/>
  <c r="HA76" i="1"/>
  <c r="GY115" i="1"/>
  <c r="DX87" i="1"/>
  <c r="DX145" i="1"/>
  <c r="DP31" i="1"/>
  <c r="GZ28" i="1"/>
  <c r="DQ126" i="1"/>
  <c r="GU144" i="1"/>
  <c r="DW109" i="1"/>
  <c r="DR83" i="1"/>
  <c r="DU117" i="1"/>
  <c r="HC65" i="1"/>
  <c r="BW102" i="1"/>
  <c r="BU102" i="1" s="1"/>
  <c r="GW106" i="1"/>
  <c r="DS120" i="1"/>
  <c r="GV111" i="1"/>
  <c r="GY82" i="1"/>
  <c r="GV78" i="1"/>
  <c r="GU85" i="1"/>
  <c r="DQ102" i="1"/>
  <c r="GW147" i="1"/>
  <c r="HB90" i="1"/>
  <c r="GV74" i="1"/>
  <c r="DV120" i="1"/>
  <c r="GV59" i="1"/>
  <c r="DV19" i="1"/>
  <c r="GZ123" i="1"/>
  <c r="DY61" i="1"/>
  <c r="DY66" i="1"/>
  <c r="DP96" i="1"/>
  <c r="DP147" i="1"/>
  <c r="HB94" i="1"/>
  <c r="DW136" i="1"/>
  <c r="HD115" i="1"/>
  <c r="DW98" i="1"/>
  <c r="DU101" i="1"/>
  <c r="GX129" i="1"/>
  <c r="DQ150" i="1"/>
  <c r="HC95" i="1"/>
  <c r="BW104" i="1"/>
  <c r="BU104" i="1" s="1"/>
  <c r="DW72" i="1"/>
  <c r="DQ118" i="1"/>
  <c r="BW69" i="1"/>
  <c r="BU69" i="1" s="1"/>
  <c r="DV78" i="1"/>
  <c r="GY57" i="1"/>
  <c r="DQ117" i="1"/>
  <c r="DP55" i="1"/>
  <c r="DX61" i="1"/>
  <c r="DT78" i="1"/>
  <c r="DY117" i="1"/>
  <c r="GU90" i="1"/>
  <c r="HB17" i="1"/>
  <c r="GU58" i="1"/>
  <c r="BV95" i="1"/>
  <c r="BT95" i="1" s="1"/>
  <c r="GW82" i="1"/>
  <c r="DX103" i="1"/>
  <c r="GY94" i="1"/>
  <c r="DY119" i="1"/>
  <c r="DP72" i="1"/>
  <c r="BW77" i="1"/>
  <c r="BU77" i="1" s="1"/>
  <c r="HA109" i="1"/>
  <c r="GU59" i="1"/>
  <c r="DV118" i="1"/>
  <c r="DV57" i="1"/>
  <c r="GV79" i="1"/>
  <c r="HD98" i="1"/>
  <c r="GY103" i="1"/>
  <c r="GX113" i="1"/>
  <c r="BW58" i="1"/>
  <c r="BU58" i="1" s="1"/>
  <c r="DU145" i="1"/>
  <c r="DP76" i="1"/>
  <c r="GY108" i="1"/>
  <c r="HB110" i="1"/>
  <c r="GW150" i="1"/>
  <c r="GX126" i="1"/>
  <c r="DT24" i="1"/>
  <c r="DS76" i="1"/>
  <c r="HA110" i="1"/>
  <c r="GX140" i="1"/>
  <c r="DV79" i="1"/>
  <c r="DY136" i="1"/>
  <c r="GY117" i="1"/>
  <c r="DS69" i="1"/>
  <c r="DR80" i="1"/>
  <c r="GW29" i="1"/>
  <c r="BV100" i="1"/>
  <c r="HD82" i="1"/>
  <c r="GX99" i="1"/>
  <c r="DV134" i="1"/>
  <c r="DR86" i="1"/>
  <c r="DW126" i="1"/>
  <c r="DW134" i="1"/>
  <c r="DV92" i="1"/>
  <c r="GX56" i="1"/>
  <c r="HB60" i="1"/>
  <c r="DR61" i="1"/>
  <c r="DX110" i="1"/>
  <c r="GV17" i="1"/>
  <c r="DT73" i="1"/>
  <c r="DT129" i="1"/>
  <c r="DT65" i="1"/>
  <c r="DS28" i="1"/>
  <c r="GY136" i="1"/>
  <c r="GU117" i="1"/>
  <c r="GW88" i="1"/>
  <c r="BW75" i="1"/>
  <c r="BU75" i="1" s="1"/>
  <c r="BV102" i="1"/>
  <c r="BT102" i="1" s="1"/>
  <c r="GX85" i="1"/>
  <c r="GU120" i="1"/>
  <c r="GX91" i="1"/>
  <c r="BV94" i="1"/>
  <c r="BT94" i="1" s="1"/>
  <c r="DY146" i="1"/>
  <c r="DV40" i="1"/>
  <c r="DX104" i="1"/>
  <c r="DY103" i="1"/>
  <c r="GX71" i="1"/>
  <c r="DR133" i="1"/>
  <c r="DY133" i="1"/>
  <c r="DP87" i="1"/>
  <c r="GV69" i="1"/>
  <c r="HC31" i="1"/>
  <c r="GY93" i="1"/>
  <c r="GY53" i="1"/>
  <c r="DW77" i="1"/>
  <c r="DR126" i="1"/>
  <c r="DP124" i="1"/>
  <c r="HC27" i="1"/>
  <c r="GU29" i="1"/>
  <c r="DT147" i="1"/>
  <c r="HC30" i="1"/>
  <c r="DR27" i="1"/>
  <c r="HB31" i="1"/>
  <c r="DW142" i="1"/>
  <c r="DQ127" i="1"/>
  <c r="GX95" i="1"/>
  <c r="DP29" i="1"/>
  <c r="DY142" i="1"/>
  <c r="DT57" i="1"/>
  <c r="DW143" i="1"/>
  <c r="DY114" i="1"/>
  <c r="DW65" i="1"/>
  <c r="BW86" i="1"/>
  <c r="BU86" i="1" s="1"/>
  <c r="DW69" i="1"/>
  <c r="DY57" i="1"/>
  <c r="HB146" i="1"/>
  <c r="GW140" i="1"/>
  <c r="BV60" i="1"/>
  <c r="BT60" i="1" s="1"/>
  <c r="DS71" i="1"/>
  <c r="DP142" i="1"/>
  <c r="HC107" i="1"/>
  <c r="DQ120" i="1"/>
  <c r="DR102" i="1"/>
  <c r="DP121" i="1"/>
  <c r="DX79" i="1"/>
  <c r="BW81" i="1"/>
  <c r="BU81" i="1" s="1"/>
  <c r="HC49" i="1"/>
  <c r="HD73" i="1"/>
  <c r="DS121" i="1"/>
  <c r="HD70" i="1"/>
  <c r="BW88" i="1"/>
  <c r="BU88" i="1" s="1"/>
  <c r="GY120" i="1"/>
  <c r="HC121" i="1"/>
  <c r="GW110" i="1"/>
  <c r="DW82" i="1"/>
  <c r="HA24" i="1"/>
  <c r="DQ130" i="1"/>
  <c r="DQ101" i="1"/>
  <c r="DX68" i="1"/>
  <c r="DV142" i="1"/>
  <c r="GV142" i="1"/>
  <c r="BV107" i="1"/>
  <c r="BT107" i="1" s="1"/>
  <c r="GY24" i="1"/>
  <c r="GV124" i="1"/>
  <c r="HC48" i="1"/>
  <c r="HB30" i="1"/>
  <c r="DX84" i="1"/>
  <c r="GU128" i="1"/>
  <c r="GX125" i="1"/>
  <c r="DY48" i="1"/>
  <c r="GX29" i="1"/>
  <c r="HC124" i="1"/>
  <c r="DU116" i="1"/>
  <c r="CA27" i="1"/>
  <c r="DY28" i="1"/>
  <c r="BZ30" i="1"/>
  <c r="BX30" i="1" s="1"/>
  <c r="GV98" i="1"/>
  <c r="BW67" i="1"/>
  <c r="BU67" i="1" s="1"/>
  <c r="DT143" i="1"/>
  <c r="GV105" i="1"/>
  <c r="DP86" i="1"/>
  <c r="DP116" i="1"/>
  <c r="BW60" i="1"/>
  <c r="BU60" i="1" s="1"/>
  <c r="DU121" i="1"/>
  <c r="BW59" i="1"/>
  <c r="BU59" i="1" s="1"/>
  <c r="DR58" i="1"/>
  <c r="DV102" i="1"/>
  <c r="GU116" i="1"/>
  <c r="HA100" i="1"/>
  <c r="BW106" i="1"/>
  <c r="BU106" i="1" s="1"/>
  <c r="BV71" i="1"/>
  <c r="BT71" i="1" s="1"/>
  <c r="GZ62" i="1"/>
  <c r="HA103" i="1"/>
  <c r="BW87" i="1"/>
  <c r="BU87" i="1" s="1"/>
  <c r="HA141" i="1"/>
  <c r="GU131" i="1"/>
  <c r="DP141" i="1"/>
  <c r="DW113" i="1"/>
  <c r="GW24" i="1"/>
  <c r="HA73" i="1"/>
  <c r="DV69" i="1"/>
  <c r="DU60" i="1"/>
  <c r="DT125" i="1"/>
  <c r="DT18" i="1"/>
  <c r="BV111" i="1"/>
  <c r="BT111" i="1" s="1"/>
  <c r="HA146" i="1"/>
  <c r="DV125" i="1"/>
  <c r="GW125" i="1"/>
  <c r="HA143" i="1"/>
  <c r="DW31" i="1"/>
  <c r="HC97" i="1"/>
  <c r="DX124" i="1"/>
  <c r="HB141" i="1"/>
  <c r="HA99" i="1"/>
  <c r="DS142" i="1"/>
  <c r="GZ125" i="1"/>
  <c r="DV126" i="1"/>
  <c r="DS31" i="1"/>
  <c r="DS144" i="1"/>
  <c r="GU28" i="1"/>
  <c r="DU141" i="1"/>
  <c r="DU31" i="1"/>
  <c r="HB28" i="1"/>
  <c r="DX125" i="1"/>
  <c r="GZ32" i="1"/>
  <c r="GY142" i="1"/>
  <c r="HA124" i="1"/>
  <c r="DY45" i="1"/>
  <c r="DW49" i="1"/>
  <c r="HA26" i="1"/>
  <c r="DV27" i="1"/>
  <c r="GV47" i="1"/>
  <c r="DS26" i="1"/>
  <c r="GX21" i="1"/>
  <c r="DY141" i="1"/>
  <c r="DW19" i="1"/>
  <c r="DW47" i="1"/>
  <c r="GV44" i="1"/>
  <c r="GX141" i="1"/>
  <c r="HB46" i="1"/>
  <c r="DU32" i="1"/>
  <c r="DR45" i="1"/>
  <c r="HB51" i="1"/>
  <c r="DQ22" i="1"/>
  <c r="DQ54" i="1"/>
  <c r="HC46" i="1"/>
  <c r="DV44" i="1"/>
  <c r="GW49" i="1"/>
  <c r="DQ51" i="1"/>
  <c r="GU20" i="1"/>
  <c r="HA52" i="1"/>
  <c r="DS23" i="1"/>
  <c r="DT45" i="1"/>
  <c r="GY39" i="1"/>
  <c r="HA46" i="1"/>
  <c r="GZ22" i="1"/>
  <c r="DR47" i="1"/>
  <c r="DW133" i="1"/>
  <c r="DX47" i="1"/>
  <c r="GY23" i="1"/>
  <c r="DU139" i="1"/>
  <c r="DS20" i="1"/>
  <c r="GX39" i="1"/>
  <c r="HC42" i="1"/>
  <c r="GZ44" i="1"/>
  <c r="GZ52" i="1"/>
  <c r="GV42" i="1"/>
  <c r="DV47" i="1"/>
  <c r="HC52" i="1"/>
  <c r="HB139" i="1"/>
  <c r="HB53" i="1"/>
  <c r="GZ139" i="1"/>
  <c r="DR49" i="1"/>
  <c r="DS22" i="1"/>
  <c r="GV20" i="1"/>
  <c r="DP26" i="1"/>
  <c r="DT133" i="1"/>
  <c r="DS36" i="1"/>
  <c r="DY21" i="1"/>
  <c r="DX39" i="1"/>
  <c r="HB37" i="1"/>
  <c r="DS38" i="1"/>
  <c r="HD38" i="1"/>
  <c r="GU32" i="1"/>
  <c r="HB22" i="1"/>
  <c r="GZ130" i="1"/>
  <c r="HC116" i="1"/>
  <c r="GZ55" i="1"/>
  <c r="GZ115" i="1"/>
  <c r="GW116" i="1"/>
  <c r="DS17" i="1"/>
  <c r="DU86" i="1"/>
  <c r="HC96" i="1"/>
  <c r="HD62" i="1"/>
  <c r="DV132" i="1"/>
  <c r="DR68" i="1"/>
  <c r="DV77" i="1"/>
  <c r="DT71" i="1"/>
  <c r="DY96" i="1"/>
  <c r="HB131" i="1"/>
  <c r="DW67" i="1"/>
  <c r="DS67" i="1"/>
  <c r="DU129" i="1"/>
  <c r="HB116" i="1"/>
  <c r="DW112" i="1"/>
  <c r="DP85" i="1"/>
  <c r="DP112" i="1"/>
  <c r="HA119" i="1"/>
  <c r="DY19" i="1"/>
  <c r="GX96" i="1"/>
  <c r="DW87" i="1"/>
  <c r="DU77" i="1"/>
  <c r="DX119" i="1"/>
  <c r="HA147" i="1"/>
  <c r="DU90" i="1"/>
  <c r="DY108" i="1"/>
  <c r="HB98" i="1"/>
  <c r="DU58" i="1"/>
  <c r="DX56" i="1"/>
  <c r="GX128" i="1"/>
  <c r="DV131" i="1"/>
  <c r="DW124" i="1"/>
  <c r="BW116" i="1"/>
  <c r="BU116" i="1" s="1"/>
  <c r="GY130" i="1"/>
  <c r="DU107" i="1"/>
  <c r="HA74" i="1"/>
  <c r="DX85" i="1"/>
  <c r="DX111" i="1"/>
  <c r="GY85" i="1"/>
  <c r="HD31" i="1"/>
  <c r="HD75" i="1"/>
  <c r="DP65" i="1"/>
  <c r="DY67" i="1"/>
  <c r="DU110" i="1"/>
  <c r="BV65" i="1"/>
  <c r="BT65" i="1" s="1"/>
  <c r="BW71" i="1"/>
  <c r="BU71" i="1" s="1"/>
  <c r="GV65" i="1"/>
  <c r="BV85" i="1"/>
  <c r="BT85" i="1" s="1"/>
  <c r="GX145" i="1"/>
  <c r="HA105" i="1"/>
  <c r="HB55" i="1"/>
  <c r="GU130" i="1"/>
  <c r="DV115" i="1"/>
  <c r="DV64" i="1"/>
  <c r="HB96" i="1"/>
  <c r="HB92" i="1"/>
  <c r="GV87" i="1"/>
  <c r="DW85" i="1"/>
  <c r="HA118" i="1"/>
  <c r="DX146" i="1"/>
  <c r="GW86" i="1"/>
  <c r="DT80" i="1"/>
  <c r="DU126" i="1"/>
  <c r="BV106" i="1"/>
  <c r="BT106" i="1" s="1"/>
  <c r="HA18" i="1"/>
  <c r="GZ95" i="1"/>
  <c r="HC126" i="1"/>
  <c r="DP127" i="1"/>
  <c r="DY101" i="1"/>
  <c r="GX70" i="1"/>
  <c r="HA125" i="1"/>
  <c r="GY76" i="1"/>
  <c r="HB125" i="1"/>
  <c r="GW68" i="1"/>
  <c r="DR28" i="1"/>
  <c r="GW84" i="1"/>
  <c r="BW89" i="1"/>
  <c r="BU89" i="1" s="1"/>
  <c r="DV107" i="1"/>
  <c r="GV127" i="1"/>
  <c r="HA140" i="1"/>
  <c r="DR137" i="1"/>
  <c r="GZ30" i="1"/>
  <c r="GX87" i="1"/>
  <c r="DT124" i="1"/>
  <c r="HB66" i="1"/>
  <c r="GW30" i="1"/>
  <c r="DY24" i="1"/>
  <c r="GY126" i="1"/>
  <c r="HB128" i="1"/>
  <c r="GZ129" i="1"/>
  <c r="DR142" i="1"/>
  <c r="GZ124" i="1"/>
  <c r="GU124" i="1"/>
  <c r="HD119" i="1"/>
  <c r="BV89" i="1"/>
  <c r="BT89" i="1" s="1"/>
  <c r="HC104" i="1"/>
  <c r="GU132" i="1"/>
  <c r="DR30" i="1"/>
  <c r="DY59" i="1"/>
  <c r="GY114" i="1"/>
  <c r="HB115" i="1"/>
  <c r="GU69" i="1"/>
  <c r="GY74" i="1"/>
  <c r="BW101" i="1"/>
  <c r="BU101" i="1" s="1"/>
  <c r="DQ147" i="1"/>
  <c r="HD99" i="1"/>
  <c r="GU93" i="1"/>
  <c r="DQ62" i="1"/>
  <c r="DV141" i="1"/>
  <c r="GZ73" i="1"/>
  <c r="DU73" i="1"/>
  <c r="GX112" i="1"/>
  <c r="DY109" i="1"/>
  <c r="HC59" i="1"/>
  <c r="GX30" i="1"/>
  <c r="HC86" i="1"/>
  <c r="GX150" i="1"/>
  <c r="DT86" i="1"/>
  <c r="BZ28" i="1"/>
  <c r="BX28" i="1" s="1"/>
  <c r="BZ27" i="1"/>
  <c r="DP89" i="1"/>
  <c r="GV126" i="1"/>
  <c r="DU28" i="1"/>
  <c r="GW131" i="1"/>
  <c r="GW28" i="1"/>
  <c r="HC93" i="1"/>
  <c r="DV127" i="1"/>
  <c r="DR127" i="1"/>
  <c r="BZ29" i="1"/>
  <c r="BX29" i="1" s="1"/>
  <c r="DX24" i="1"/>
  <c r="BW124" i="1"/>
  <c r="BU124" i="1" s="1"/>
  <c r="GU142" i="1"/>
  <c r="DX141" i="1"/>
  <c r="HA30" i="1"/>
  <c r="DW138" i="1"/>
  <c r="DS124" i="1"/>
  <c r="HD105" i="1"/>
  <c r="GX28" i="1"/>
  <c r="GU83" i="1"/>
  <c r="GY128" i="1"/>
  <c r="DY100" i="1"/>
  <c r="DQ144" i="1"/>
  <c r="HC92" i="1"/>
  <c r="HA59" i="1"/>
  <c r="HC98" i="1"/>
  <c r="DP88" i="1"/>
  <c r="HD69" i="1"/>
  <c r="HA80" i="1"/>
  <c r="DY94" i="1"/>
  <c r="GU71" i="1"/>
  <c r="DR29" i="1"/>
  <c r="HA132" i="1"/>
  <c r="DU18" i="1"/>
  <c r="GX84" i="1"/>
  <c r="DP92" i="1"/>
  <c r="GV94" i="1"/>
  <c r="HB113" i="1"/>
  <c r="DX30" i="1"/>
  <c r="DW120" i="1"/>
  <c r="DR76" i="1"/>
  <c r="GV30" i="1"/>
  <c r="DQ124" i="1"/>
  <c r="GU108" i="1"/>
  <c r="DY76" i="1"/>
  <c r="DS104" i="1"/>
  <c r="DV117" i="1"/>
  <c r="BW84" i="1"/>
  <c r="BU84" i="1" s="1"/>
  <c r="GZ132" i="1"/>
  <c r="DP80" i="1"/>
  <c r="HA126" i="1"/>
  <c r="GX115" i="1"/>
  <c r="DS127" i="1"/>
  <c r="GU121" i="1"/>
  <c r="DS145" i="1"/>
  <c r="HB127" i="1"/>
  <c r="DQ139" i="1"/>
  <c r="GY31" i="1"/>
  <c r="HA123" i="1"/>
  <c r="DW128" i="1"/>
  <c r="DR124" i="1"/>
  <c r="GY141" i="1"/>
  <c r="HA29" i="1"/>
  <c r="BW126" i="1"/>
  <c r="BU126" i="1" s="1"/>
  <c r="GU102" i="1"/>
  <c r="DT28" i="1"/>
  <c r="DS24" i="1"/>
  <c r="GU31" i="1"/>
  <c r="GW124" i="1"/>
  <c r="DQ31" i="1"/>
  <c r="BW123" i="1"/>
  <c r="DP126" i="1"/>
  <c r="DW34" i="1"/>
  <c r="HB25" i="1"/>
  <c r="DV135" i="1"/>
  <c r="DR51" i="1"/>
  <c r="GU137" i="1"/>
  <c r="DU133" i="1"/>
  <c r="DS37" i="1"/>
  <c r="HB20" i="1"/>
  <c r="GX42" i="1"/>
  <c r="DU25" i="1"/>
  <c r="DR38" i="1"/>
  <c r="DV37" i="1"/>
  <c r="GY41" i="1"/>
  <c r="DQ35" i="1"/>
  <c r="HA23" i="1"/>
  <c r="GZ35" i="1"/>
  <c r="DV51" i="1"/>
  <c r="DS35" i="1"/>
  <c r="HC32" i="1"/>
  <c r="DR32" i="1"/>
  <c r="DX42" i="1"/>
  <c r="GV50" i="1"/>
  <c r="DV123" i="1"/>
  <c r="HB33" i="1"/>
  <c r="HB32" i="1"/>
  <c r="DT55" i="1"/>
  <c r="GU46" i="1"/>
  <c r="HA32" i="1"/>
  <c r="DR54" i="1"/>
  <c r="DQ52" i="1"/>
  <c r="DV139" i="1"/>
  <c r="GV130" i="1"/>
  <c r="DQ27" i="1"/>
  <c r="GV35" i="1"/>
  <c r="DP33" i="1"/>
  <c r="DQ44" i="1"/>
  <c r="HB23" i="1"/>
  <c r="GW46" i="1"/>
  <c r="DW26" i="1"/>
  <c r="GX38" i="1"/>
  <c r="GV38" i="1"/>
  <c r="GU25" i="1"/>
  <c r="BV119" i="1"/>
  <c r="BT119" i="1" s="1"/>
  <c r="DT40" i="1"/>
  <c r="GZ43" i="1"/>
  <c r="DT20" i="1"/>
  <c r="GW144" i="1"/>
  <c r="HB43" i="1"/>
  <c r="DP52" i="1"/>
  <c r="DT35" i="1"/>
  <c r="DQ42" i="1"/>
  <c r="DP23" i="1"/>
  <c r="HD33" i="1"/>
  <c r="HA97" i="1"/>
  <c r="DY135" i="1"/>
  <c r="GZ21" i="1"/>
  <c r="DV52" i="1"/>
  <c r="HD20" i="1"/>
  <c r="DV33" i="1"/>
  <c r="DY139" i="1"/>
  <c r="GV101" i="1"/>
  <c r="HC58" i="1"/>
  <c r="GW90" i="1"/>
  <c r="DV121" i="1"/>
  <c r="HB107" i="1"/>
  <c r="DW88" i="1"/>
  <c r="DV122" i="1"/>
  <c r="DS116" i="1"/>
  <c r="DR144" i="1"/>
  <c r="GV108" i="1"/>
  <c r="DQ140" i="1"/>
  <c r="HA70" i="1"/>
  <c r="DV66" i="1"/>
  <c r="BV82" i="1"/>
  <c r="BT82" i="1" s="1"/>
  <c r="DQ106" i="1"/>
  <c r="HA113" i="1"/>
  <c r="GX143" i="1"/>
  <c r="DQ74" i="1"/>
  <c r="GV95" i="1"/>
  <c r="DX122" i="1"/>
  <c r="GU105" i="1"/>
  <c r="DP77" i="1"/>
  <c r="GW145" i="1"/>
  <c r="BV64" i="1"/>
  <c r="BT64" i="1" s="1"/>
  <c r="GX138" i="1"/>
  <c r="DY123" i="1"/>
  <c r="HC112" i="1"/>
  <c r="DU74" i="1"/>
  <c r="DV105" i="1"/>
  <c r="DY74" i="1"/>
  <c r="DY58" i="1"/>
  <c r="BV118" i="1"/>
  <c r="GZ114" i="1"/>
  <c r="DQ98" i="1"/>
  <c r="DT142" i="1"/>
  <c r="DY93" i="1"/>
  <c r="BW107" i="1"/>
  <c r="BU107" i="1" s="1"/>
  <c r="DX95" i="1"/>
  <c r="HC77" i="1"/>
  <c r="GY71" i="1"/>
  <c r="GW117" i="1"/>
  <c r="GY102" i="1"/>
  <c r="DP122" i="1"/>
  <c r="DT130" i="1"/>
  <c r="DP28" i="1"/>
  <c r="GZ71" i="1"/>
  <c r="BW68" i="1"/>
  <c r="BU68" i="1" s="1"/>
  <c r="HB150" i="1"/>
  <c r="GX103" i="1"/>
  <c r="GW94" i="1"/>
  <c r="DV108" i="1"/>
  <c r="DS109" i="1"/>
  <c r="BV70" i="1"/>
  <c r="BT70" i="1" s="1"/>
  <c r="DX135" i="1"/>
  <c r="HC110" i="1"/>
  <c r="GU67" i="1"/>
  <c r="GX24" i="1"/>
  <c r="GX114" i="1"/>
  <c r="DV110" i="1"/>
  <c r="DX117" i="1"/>
  <c r="GV145" i="1"/>
  <c r="GV73" i="1"/>
  <c r="GZ117" i="1"/>
  <c r="DS68" i="1"/>
  <c r="DS106" i="1"/>
  <c r="HB85" i="1"/>
  <c r="HB18" i="1"/>
  <c r="DR136" i="1"/>
  <c r="DS82" i="1"/>
  <c r="BW94" i="1"/>
  <c r="BU94" i="1" s="1"/>
  <c r="DS128" i="1"/>
  <c r="DX96" i="1"/>
  <c r="BW127" i="1"/>
  <c r="BU127" i="1" s="1"/>
  <c r="GU110" i="1"/>
  <c r="DX54" i="1"/>
  <c r="GW123" i="1"/>
  <c r="DR17" i="1"/>
  <c r="GZ140" i="1"/>
  <c r="HC72" i="1"/>
  <c r="DS80" i="1"/>
  <c r="GW93" i="1"/>
  <c r="DY118" i="1"/>
  <c r="HC67" i="1"/>
  <c r="DX77" i="1"/>
  <c r="HC99" i="1"/>
  <c r="GW31" i="1"/>
  <c r="DX142" i="1"/>
  <c r="DX128" i="1"/>
  <c r="HD21" i="1"/>
  <c r="GV75" i="1"/>
  <c r="DW24" i="1"/>
  <c r="BV123" i="1"/>
  <c r="HD126" i="1"/>
  <c r="DW40" i="1"/>
  <c r="GV112" i="1"/>
  <c r="DV128" i="1"/>
  <c r="DY128" i="1"/>
  <c r="GW139" i="1"/>
  <c r="HC70" i="1"/>
  <c r="DU138" i="1"/>
  <c r="GX107" i="1"/>
  <c r="GW120" i="1"/>
  <c r="GW126" i="1"/>
  <c r="DV111" i="1"/>
  <c r="DQ92" i="1"/>
  <c r="DY56" i="1"/>
  <c r="DT115" i="1"/>
  <c r="BV109" i="1"/>
  <c r="BT109" i="1" s="1"/>
  <c r="GV147" i="1"/>
  <c r="HB111" i="1"/>
  <c r="DQ18" i="1"/>
  <c r="HC17" i="1"/>
  <c r="DP143" i="1"/>
  <c r="HA95" i="1"/>
  <c r="GV71" i="1"/>
  <c r="HD84" i="1"/>
  <c r="DQ131" i="1"/>
  <c r="DQ59" i="1"/>
  <c r="DS141" i="1"/>
  <c r="DW141" i="1"/>
  <c r="GZ79" i="1"/>
  <c r="GX73" i="1"/>
  <c r="GW33" i="1"/>
  <c r="GV82" i="1"/>
  <c r="GW129" i="1"/>
  <c r="DV83" i="1"/>
  <c r="GY17" i="1"/>
  <c r="HC85" i="1"/>
  <c r="DY72" i="1"/>
  <c r="GW112" i="1"/>
  <c r="GU99" i="1"/>
  <c r="HA61" i="1"/>
  <c r="HC141" i="1"/>
  <c r="DP30" i="1"/>
  <c r="HA108" i="1"/>
  <c r="GZ127" i="1"/>
  <c r="DT63" i="1"/>
  <c r="DT30" i="1"/>
  <c r="HC142" i="1"/>
  <c r="DW127" i="1"/>
  <c r="DQ38" i="1"/>
  <c r="GU75" i="1"/>
  <c r="DS143" i="1"/>
  <c r="DS125" i="1"/>
  <c r="GY26" i="1"/>
  <c r="DT82" i="1"/>
  <c r="DP71" i="1"/>
  <c r="DU69" i="1"/>
  <c r="GW72" i="1"/>
  <c r="GZ136" i="1"/>
  <c r="GV129" i="1"/>
  <c r="HC122" i="1"/>
  <c r="GW115" i="1"/>
  <c r="GU66" i="1"/>
  <c r="DX118" i="1"/>
  <c r="DW30" i="1"/>
  <c r="HA84" i="1"/>
  <c r="DY63" i="1"/>
  <c r="GZ98" i="1"/>
  <c r="DP120" i="1"/>
  <c r="HB56" i="1"/>
  <c r="DT29" i="1"/>
  <c r="GU56" i="1"/>
  <c r="GZ89" i="1"/>
  <c r="DY78" i="1"/>
  <c r="HB70" i="1"/>
  <c r="DQ142" i="1"/>
  <c r="GV109" i="1"/>
  <c r="GZ101" i="1"/>
  <c r="DW62" i="1"/>
  <c r="HA31" i="1"/>
  <c r="DX31" i="1"/>
  <c r="HB78" i="1"/>
  <c r="BW90" i="1"/>
  <c r="BU90" i="1" s="1"/>
  <c r="HA64" i="1"/>
  <c r="DS95" i="1"/>
  <c r="HB142" i="1"/>
  <c r="DU59" i="1"/>
  <c r="CA30" i="1"/>
  <c r="BY30" i="1" s="1"/>
  <c r="GV33" i="1"/>
  <c r="GY28" i="1"/>
  <c r="GU24" i="1"/>
  <c r="HD124" i="1"/>
  <c r="DS147" i="1"/>
  <c r="DR141" i="1"/>
  <c r="DY30" i="1"/>
  <c r="DY88" i="1"/>
  <c r="DR128" i="1"/>
  <c r="DS129" i="1"/>
  <c r="DS29" i="1"/>
  <c r="BW125" i="1"/>
  <c r="BU125" i="1" s="1"/>
  <c r="DU125" i="1"/>
  <c r="DU46" i="1"/>
  <c r="DU24" i="1"/>
  <c r="DY124" i="1"/>
  <c r="HD37" i="1"/>
  <c r="DW43" i="1"/>
  <c r="GV139" i="1"/>
  <c r="DU43" i="1"/>
  <c r="DW35" i="1"/>
  <c r="HA131" i="1"/>
  <c r="DY51" i="1"/>
  <c r="GZ40" i="1"/>
  <c r="HD46" i="1"/>
  <c r="HD52" i="1"/>
  <c r="GW47" i="1"/>
  <c r="DY20" i="1"/>
  <c r="GW44" i="1"/>
  <c r="GX20" i="1"/>
  <c r="HC41" i="1"/>
  <c r="DS113" i="1"/>
  <c r="DV41" i="1"/>
  <c r="GW52" i="1"/>
  <c r="HC23" i="1"/>
  <c r="DT48" i="1"/>
  <c r="HA44" i="1"/>
  <c r="DT38" i="1"/>
  <c r="DY44" i="1"/>
  <c r="DS50" i="1"/>
  <c r="DR26" i="1"/>
  <c r="GU23" i="1"/>
  <c r="DT44" i="1"/>
  <c r="DT34" i="1"/>
  <c r="GV32" i="1"/>
  <c r="GU55" i="1"/>
  <c r="HC39" i="1"/>
  <c r="DR21" i="1"/>
  <c r="GZ19" i="1"/>
  <c r="DS135" i="1"/>
  <c r="HD137" i="1"/>
  <c r="DS32" i="1"/>
  <c r="GY38" i="1"/>
  <c r="GX44" i="1"/>
  <c r="DX46" i="1"/>
  <c r="DS25" i="1"/>
  <c r="GU27" i="1"/>
  <c r="GV52" i="1"/>
  <c r="DP38" i="1"/>
  <c r="DT47" i="1"/>
  <c r="DU135" i="1"/>
  <c r="DX53" i="1"/>
  <c r="DP47" i="1"/>
  <c r="DR44" i="1"/>
  <c r="DU53" i="1"/>
  <c r="DP46" i="1"/>
  <c r="DS42" i="1"/>
  <c r="DS49" i="1"/>
  <c r="DS40" i="1"/>
  <c r="DU41" i="1"/>
  <c r="GW20" i="1"/>
  <c r="GX27" i="1"/>
  <c r="HD141" i="1"/>
  <c r="DQ40" i="1"/>
  <c r="GX25" i="1"/>
  <c r="GX146" i="1"/>
  <c r="DX138" i="1"/>
  <c r="GU111" i="1"/>
  <c r="DQ132" i="1"/>
  <c r="GY132" i="1"/>
  <c r="DS70" i="1"/>
  <c r="DP145" i="1"/>
  <c r="HD111" i="1"/>
  <c r="HC145" i="1"/>
  <c r="GZ92" i="1"/>
  <c r="BW74" i="1"/>
  <c r="BU74" i="1" s="1"/>
  <c r="GZ150" i="1"/>
  <c r="HB95" i="1"/>
  <c r="GW63" i="1"/>
  <c r="GV89" i="1"/>
  <c r="GU63" i="1"/>
  <c r="DW108" i="1"/>
  <c r="DR118" i="1"/>
  <c r="GY104" i="1"/>
  <c r="GY65" i="1"/>
  <c r="GW146" i="1"/>
  <c r="GW87" i="1"/>
  <c r="DW123" i="1"/>
  <c r="DS77" i="1"/>
  <c r="DR112" i="1"/>
  <c r="HC89" i="1"/>
  <c r="DX18" i="1"/>
  <c r="GZ82" i="1"/>
  <c r="DP56" i="1"/>
  <c r="DW93" i="1"/>
  <c r="GU94" i="1"/>
  <c r="DU75" i="1"/>
  <c r="HD96" i="1"/>
  <c r="DQ134" i="1"/>
  <c r="GW51" i="1"/>
  <c r="GZ142" i="1"/>
  <c r="HA86" i="1"/>
  <c r="BW55" i="1"/>
  <c r="GU122" i="1"/>
  <c r="GV80" i="1"/>
  <c r="GY107" i="1"/>
  <c r="DS79" i="1"/>
  <c r="DU79" i="1"/>
  <c r="GZ122" i="1"/>
  <c r="DU108" i="1"/>
  <c r="BV57" i="1"/>
  <c r="BT57" i="1" s="1"/>
  <c r="GW66" i="1"/>
  <c r="DR57" i="1"/>
  <c r="DX109" i="1"/>
  <c r="GZ81" i="1"/>
  <c r="GW101" i="1"/>
  <c r="HA56" i="1"/>
  <c r="HC125" i="1"/>
  <c r="GU141" i="1"/>
  <c r="DP83" i="1"/>
  <c r="DQ24" i="1"/>
  <c r="DP61" i="1"/>
  <c r="DS146" i="1"/>
  <c r="DP82" i="1"/>
  <c r="HC150" i="1"/>
  <c r="DW29" i="1"/>
  <c r="DW125" i="1"/>
  <c r="GY150" i="1"/>
  <c r="HD56" i="1"/>
  <c r="DS123" i="1"/>
  <c r="DY140" i="1"/>
  <c r="GX127" i="1"/>
  <c r="DU100" i="1"/>
  <c r="DY127" i="1"/>
  <c r="GV24" i="1"/>
  <c r="DP115" i="1"/>
  <c r="HB29" i="1"/>
  <c r="BV58" i="1"/>
  <c r="BT58" i="1" s="1"/>
  <c r="HC60" i="1"/>
  <c r="DY105" i="1"/>
  <c r="GZ72" i="1"/>
  <c r="GW73" i="1"/>
  <c r="GV31" i="1"/>
  <c r="GZ66" i="1"/>
  <c r="BV103" i="1"/>
  <c r="BT103" i="1" s="1"/>
  <c r="DS118" i="1"/>
  <c r="DQ28" i="1"/>
  <c r="HD29" i="1"/>
  <c r="GV115" i="1"/>
  <c r="GW142" i="1"/>
  <c r="HA127" i="1"/>
  <c r="GZ128" i="1"/>
  <c r="DQ29" i="1"/>
  <c r="GW122" i="1"/>
  <c r="HB101" i="1"/>
  <c r="GY127" i="1"/>
  <c r="DX99" i="1"/>
  <c r="DW28" i="1"/>
  <c r="HD102" i="1"/>
  <c r="DS101" i="1"/>
  <c r="DW37" i="1"/>
  <c r="DU30" i="1"/>
  <c r="HD47" i="1"/>
  <c r="HA112" i="1"/>
  <c r="GX122" i="1"/>
  <c r="HD146" i="1"/>
  <c r="GX66" i="1"/>
  <c r="DU29" i="1"/>
  <c r="GV107" i="1"/>
  <c r="GZ90" i="1"/>
  <c r="DS62" i="1"/>
  <c r="HB84" i="1"/>
  <c r="DV147" i="1"/>
  <c r="GZ86" i="1"/>
  <c r="DX57" i="1"/>
  <c r="DQ112" i="1"/>
  <c r="HB104" i="1"/>
  <c r="BV67" i="1"/>
  <c r="BT67" i="1" s="1"/>
  <c r="GU72" i="1"/>
  <c r="HC63" i="1"/>
  <c r="HB138" i="1"/>
  <c r="GV125" i="1"/>
  <c r="HB147" i="1"/>
  <c r="GU125" i="1"/>
  <c r="DY143" i="1"/>
  <c r="HD28" i="1"/>
  <c r="DP114" i="1"/>
  <c r="GZ96" i="1"/>
  <c r="DP20" i="1"/>
  <c r="DQ125" i="1"/>
  <c r="GU87" i="1"/>
  <c r="DR106" i="1"/>
  <c r="HC94" i="1"/>
  <c r="DX127" i="1"/>
  <c r="HD125" i="1"/>
  <c r="HB102" i="1"/>
  <c r="DV30" i="1"/>
  <c r="DT140" i="1"/>
  <c r="HC128" i="1"/>
  <c r="DX52" i="1"/>
  <c r="GV104" i="1"/>
  <c r="GX142" i="1"/>
  <c r="GV128" i="1"/>
  <c r="HA128" i="1"/>
  <c r="CA28" i="1"/>
  <c r="BY28" i="1" s="1"/>
  <c r="DV84" i="1"/>
  <c r="DT37" i="1"/>
  <c r="HA137" i="1"/>
  <c r="HA28" i="1"/>
  <c r="DY60" i="1"/>
  <c r="BV56" i="1"/>
  <c r="BT56" i="1" s="1"/>
  <c r="GZ87" i="1"/>
  <c r="BW109" i="1"/>
  <c r="BU109" i="1" s="1"/>
  <c r="DU142" i="1"/>
  <c r="DT126" i="1"/>
  <c r="DQ61" i="1"/>
  <c r="DS94" i="1"/>
  <c r="DY138" i="1"/>
  <c r="DY18" i="1"/>
  <c r="HC91" i="1"/>
  <c r="DQ104" i="1"/>
  <c r="DY84" i="1"/>
  <c r="DW146" i="1"/>
  <c r="GY62" i="1"/>
  <c r="GU64" i="1"/>
  <c r="HC76" i="1"/>
  <c r="DV109" i="1"/>
  <c r="HC82" i="1"/>
  <c r="GY112" i="1"/>
  <c r="HD30" i="1"/>
  <c r="HC29" i="1"/>
  <c r="GY122" i="1"/>
  <c r="GZ141" i="1"/>
  <c r="GZ31" i="1"/>
  <c r="DR103" i="1"/>
  <c r="CA29" i="1"/>
  <c r="BY29" i="1" s="1"/>
  <c r="DQ114" i="1"/>
  <c r="DW61" i="1"/>
  <c r="BW108" i="1"/>
  <c r="BU108" i="1" s="1"/>
  <c r="GU74" i="1"/>
  <c r="DY120" i="1"/>
  <c r="DV29" i="1"/>
  <c r="DS74" i="1"/>
  <c r="DX28" i="1"/>
  <c r="GY29" i="1"/>
  <c r="BV127" i="1"/>
  <c r="BT127" i="1" s="1"/>
  <c r="HC127" i="1"/>
  <c r="HC80" i="1"/>
  <c r="GX31" i="1"/>
  <c r="DR24" i="1"/>
  <c r="DV124" i="1"/>
  <c r="DT141" i="1"/>
  <c r="DT69" i="1"/>
  <c r="GY58" i="1"/>
  <c r="HB126" i="1"/>
  <c r="DQ47" i="1"/>
  <c r="DR31" i="1"/>
  <c r="HD121" i="1"/>
  <c r="GU127" i="1"/>
  <c r="HC28" i="1"/>
  <c r="DP128" i="1"/>
  <c r="HA133" i="1"/>
  <c r="HC36" i="1"/>
  <c r="HD41" i="1"/>
  <c r="GZ34" i="1"/>
  <c r="DW54" i="1"/>
  <c r="GZ27" i="1"/>
  <c r="HB41" i="1"/>
  <c r="GZ50" i="1"/>
  <c r="GV135" i="1"/>
  <c r="HD34" i="1"/>
  <c r="DU23" i="1"/>
  <c r="DP27" i="1"/>
  <c r="DS137" i="1"/>
  <c r="DW51" i="1"/>
  <c r="GZ26" i="1"/>
  <c r="DW44" i="1"/>
  <c r="DQ20" i="1"/>
  <c r="DW52" i="1"/>
  <c r="DP118" i="1"/>
  <c r="GU41" i="1"/>
  <c r="GW50" i="1"/>
  <c r="GY45" i="1"/>
  <c r="HD40" i="1"/>
  <c r="HC43" i="1"/>
  <c r="GY42" i="1"/>
  <c r="GX46" i="1"/>
  <c r="DW135" i="1"/>
  <c r="DR143" i="1"/>
  <c r="DP36" i="1"/>
  <c r="DT51" i="1"/>
  <c r="GV22" i="1"/>
  <c r="HC53" i="1"/>
  <c r="GZ46" i="1"/>
  <c r="HB26" i="1"/>
  <c r="DW38" i="1"/>
  <c r="HC137" i="1"/>
  <c r="DT139" i="1"/>
  <c r="DY46" i="1"/>
  <c r="DX21" i="1"/>
  <c r="DY41" i="1"/>
  <c r="GW133" i="1"/>
  <c r="GZ118" i="1"/>
  <c r="GY46" i="1"/>
  <c r="GZ45" i="1"/>
  <c r="DS18" i="1"/>
  <c r="GW141" i="1"/>
  <c r="DU144" i="1"/>
  <c r="GW25" i="1"/>
  <c r="DV22" i="1"/>
  <c r="GX133" i="1"/>
  <c r="DT25" i="1"/>
  <c r="DR135" i="1"/>
  <c r="DR36" i="1"/>
  <c r="DV32" i="1"/>
  <c r="DP44" i="1"/>
  <c r="GX51" i="1"/>
  <c r="GV49" i="1"/>
  <c r="HC133" i="1"/>
  <c r="GW21" i="1"/>
  <c r="DU137" i="1"/>
  <c r="DP53" i="1"/>
  <c r="GV39" i="1"/>
  <c r="DY40" i="1"/>
  <c r="DX38" i="1"/>
  <c r="GY20" i="1"/>
  <c r="HA43" i="1"/>
  <c r="DX25" i="1"/>
  <c r="DP22" i="1"/>
  <c r="GV123" i="1"/>
  <c r="DS133" i="1"/>
  <c r="GZ25" i="1"/>
  <c r="DX139" i="1"/>
  <c r="HA135" i="1"/>
  <c r="HD36" i="1"/>
  <c r="DQ135" i="1"/>
  <c r="DX48" i="1"/>
  <c r="HC135" i="1"/>
  <c r="DV26" i="1"/>
  <c r="DW41" i="1"/>
  <c r="GU49" i="1"/>
  <c r="DW139" i="1"/>
  <c r="GY21" i="1"/>
  <c r="GU43" i="1"/>
  <c r="GW27" i="1"/>
  <c r="DQ46" i="1"/>
  <c r="DX37" i="1"/>
  <c r="DS39" i="1"/>
  <c r="DY49" i="1"/>
  <c r="GX43" i="1"/>
  <c r="DX32" i="1"/>
  <c r="GY137" i="1"/>
  <c r="DX33" i="1"/>
  <c r="DR34" i="1"/>
  <c r="GV34" i="1"/>
  <c r="HD49" i="1"/>
  <c r="DQ53" i="1"/>
  <c r="HA49" i="1"/>
  <c r="HB39" i="1"/>
  <c r="DX133" i="1"/>
  <c r="DW48" i="1"/>
  <c r="DX41" i="1"/>
  <c r="GW39" i="1"/>
  <c r="DQ39" i="1"/>
  <c r="GZ23" i="1"/>
  <c r="GU21" i="1"/>
  <c r="GW36" i="1"/>
  <c r="DW36" i="1"/>
  <c r="DR53" i="1"/>
  <c r="DX97" i="1"/>
  <c r="GV23" i="1"/>
  <c r="DS43" i="1"/>
  <c r="HC21" i="1"/>
  <c r="BW121" i="1"/>
  <c r="BU121" i="1" s="1"/>
  <c r="HC47" i="1"/>
  <c r="GY54" i="1"/>
  <c r="DW53" i="1"/>
  <c r="HB48" i="1"/>
  <c r="DU21" i="1"/>
  <c r="DS46" i="1"/>
  <c r="DW45" i="1"/>
  <c r="GV51" i="1"/>
  <c r="DT137" i="1"/>
  <c r="GZ20" i="1"/>
  <c r="HA27" i="1"/>
  <c r="GV46" i="1"/>
  <c r="HD32" i="1"/>
  <c r="DW39" i="1"/>
  <c r="HA39" i="1"/>
  <c r="HC45" i="1"/>
  <c r="GW38" i="1"/>
  <c r="GV40" i="1"/>
  <c r="GV143" i="1"/>
  <c r="GV43" i="1"/>
  <c r="DX36" i="1"/>
  <c r="DT52" i="1"/>
  <c r="DT27" i="1"/>
  <c r="HB45" i="1"/>
  <c r="DR42" i="1"/>
  <c r="DY37" i="1"/>
  <c r="GW41" i="1"/>
  <c r="DY26" i="1"/>
  <c r="DT53" i="1"/>
  <c r="GX139" i="1"/>
  <c r="GW54" i="1"/>
  <c r="GV55" i="1"/>
  <c r="HA20" i="1"/>
  <c r="GW45" i="1"/>
  <c r="GX36" i="1"/>
  <c r="GY22" i="1"/>
  <c r="DQ48" i="1"/>
  <c r="DR25" i="1"/>
  <c r="DP40" i="1"/>
  <c r="DS33" i="1"/>
  <c r="DT42" i="1"/>
  <c r="GV118" i="1"/>
  <c r="HB35" i="1"/>
  <c r="HA40" i="1"/>
  <c r="GX23" i="1"/>
  <c r="DV21" i="1"/>
  <c r="DU48" i="1"/>
  <c r="DY23" i="1"/>
  <c r="HD50" i="1"/>
  <c r="DX43" i="1"/>
  <c r="DU36" i="1"/>
  <c r="GU47" i="1"/>
  <c r="GY34" i="1"/>
  <c r="GY49" i="1"/>
  <c r="GZ48" i="1"/>
  <c r="GW40" i="1"/>
  <c r="HB40" i="1"/>
  <c r="DS34" i="1"/>
  <c r="DR50" i="1"/>
  <c r="HA35" i="1"/>
  <c r="DU51" i="1"/>
  <c r="HB21" i="1"/>
  <c r="GZ37" i="1"/>
  <c r="DS41" i="1"/>
  <c r="GY36" i="1"/>
  <c r="GY47" i="1"/>
  <c r="GX98" i="1"/>
  <c r="GY139" i="1"/>
  <c r="GX34" i="1"/>
  <c r="GX22" i="1"/>
  <c r="DR35" i="1"/>
  <c r="GX52" i="1"/>
  <c r="DT26" i="1"/>
  <c r="DW18" i="1"/>
  <c r="GZ42" i="1"/>
  <c r="HD51" i="1"/>
  <c r="HD139" i="1"/>
  <c r="DW137" i="1"/>
  <c r="DX22" i="1"/>
  <c r="DP45" i="1"/>
  <c r="HA38" i="1"/>
  <c r="HB50" i="1"/>
  <c r="HB133" i="1"/>
  <c r="HA42" i="1"/>
  <c r="GU35" i="1"/>
  <c r="HC51" i="1"/>
  <c r="GV48" i="1"/>
  <c r="DX51" i="1"/>
  <c r="HC22" i="1"/>
  <c r="GZ53" i="1"/>
  <c r="HB27" i="1"/>
  <c r="GY43" i="1"/>
  <c r="GV21" i="1"/>
  <c r="DX23" i="1"/>
  <c r="DX45" i="1"/>
  <c r="DQ99" i="1"/>
  <c r="DQ26" i="1"/>
  <c r="DT46" i="1"/>
  <c r="HC50" i="1"/>
  <c r="BV90" i="1"/>
  <c r="BT90" i="1" s="1"/>
  <c r="GZ135" i="1"/>
  <c r="GY44" i="1"/>
  <c r="DY53" i="1"/>
  <c r="HA37" i="1"/>
  <c r="DS21" i="1"/>
  <c r="GW135" i="1"/>
  <c r="HC37" i="1"/>
  <c r="GY133" i="1"/>
  <c r="HA45" i="1"/>
  <c r="DP37" i="1"/>
  <c r="HD53" i="1"/>
  <c r="DQ137" i="1"/>
  <c r="DY32" i="1"/>
  <c r="DV45" i="1"/>
  <c r="GU48" i="1"/>
  <c r="DP51" i="1"/>
  <c r="DT135" i="1"/>
  <c r="GX37" i="1"/>
  <c r="DP49" i="1"/>
  <c r="GY32" i="1"/>
  <c r="DP39" i="1"/>
  <c r="GY35" i="1"/>
  <c r="HC38" i="1"/>
  <c r="DY25" i="1"/>
  <c r="HD44" i="1"/>
  <c r="GW32" i="1"/>
  <c r="GX33" i="1"/>
  <c r="DP41" i="1"/>
  <c r="DR20" i="1"/>
  <c r="GV53" i="1"/>
  <c r="DW27" i="1"/>
  <c r="DU37" i="1"/>
  <c r="DR40" i="1"/>
  <c r="GU135" i="1"/>
  <c r="GX32" i="1"/>
  <c r="DU26" i="1"/>
  <c r="DR48" i="1"/>
  <c r="DT22" i="1"/>
  <c r="DQ21" i="1"/>
  <c r="DY35" i="1"/>
  <c r="DS27" i="1"/>
  <c r="DV25" i="1"/>
  <c r="DV36" i="1"/>
  <c r="DR22" i="1"/>
  <c r="DQ45" i="1"/>
  <c r="DT36" i="1"/>
  <c r="DV48" i="1"/>
  <c r="DS45" i="1"/>
  <c r="DV54" i="1"/>
  <c r="HA53" i="1"/>
  <c r="GX47" i="1"/>
  <c r="HD45" i="1"/>
  <c r="DV35" i="1"/>
  <c r="DQ41" i="1"/>
  <c r="DV49" i="1"/>
  <c r="GW48" i="1"/>
  <c r="GU133" i="1"/>
  <c r="GX135" i="1"/>
  <c r="GU26" i="1"/>
  <c r="HC25" i="1"/>
  <c r="HB49" i="1"/>
  <c r="GX53" i="1"/>
  <c r="GV26" i="1"/>
  <c r="DT39" i="1"/>
  <c r="DW21" i="1"/>
  <c r="DW46" i="1"/>
  <c r="GZ49" i="1"/>
  <c r="DV20" i="1"/>
  <c r="GX49" i="1"/>
  <c r="HA21" i="1"/>
  <c r="DR41" i="1"/>
  <c r="DS47" i="1"/>
  <c r="HC35" i="1"/>
  <c r="DV50" i="1"/>
  <c r="DT98" i="1"/>
  <c r="DY33" i="1"/>
  <c r="GU51" i="1"/>
  <c r="DR146" i="1"/>
  <c r="DU49" i="1"/>
  <c r="DW33" i="1"/>
  <c r="GZ33" i="1"/>
  <c r="GU50" i="1"/>
  <c r="DV23" i="1"/>
  <c r="DX50" i="1"/>
  <c r="DY132" i="1"/>
  <c r="DU50" i="1"/>
  <c r="DP21" i="1"/>
  <c r="HD39" i="1"/>
  <c r="DQ49" i="1"/>
  <c r="HD43" i="1"/>
  <c r="HB42" i="1"/>
  <c r="DX73" i="1"/>
  <c r="DU45" i="1"/>
  <c r="GW35" i="1"/>
  <c r="HB44" i="1"/>
  <c r="GV54" i="1"/>
  <c r="DU52" i="1"/>
  <c r="DV46" i="1"/>
  <c r="DV39" i="1"/>
  <c r="DP54" i="1"/>
  <c r="GZ137" i="1"/>
  <c r="GV27" i="1"/>
  <c r="DX49" i="1"/>
  <c r="GW53" i="1"/>
  <c r="DV43" i="1"/>
  <c r="GU44" i="1"/>
  <c r="DS54" i="1"/>
  <c r="GU45" i="1"/>
  <c r="HB54" i="1"/>
  <c r="DP42" i="1"/>
  <c r="DU42" i="1"/>
  <c r="DU118" i="1"/>
  <c r="DX34" i="1"/>
  <c r="DQ34" i="1"/>
  <c r="HA139" i="1"/>
  <c r="HA41" i="1"/>
  <c r="HA48" i="1"/>
  <c r="BV92" i="1"/>
  <c r="DP139" i="1"/>
  <c r="DQ25" i="1"/>
  <c r="HB135" i="1"/>
  <c r="HA51" i="1"/>
  <c r="DR39" i="1"/>
  <c r="BV121" i="1"/>
  <c r="BT121" i="1" s="1"/>
  <c r="DQ23" i="1"/>
  <c r="GY37" i="1"/>
  <c r="GZ47" i="1"/>
  <c r="DX26" i="1"/>
  <c r="GU34" i="1"/>
  <c r="DV42" i="1"/>
  <c r="DX44" i="1"/>
  <c r="GU139" i="1"/>
  <c r="DW25" i="1"/>
  <c r="DT43" i="1"/>
  <c r="HA33" i="1"/>
  <c r="GY143" i="1"/>
  <c r="DT50" i="1"/>
  <c r="GX50" i="1"/>
  <c r="DY54" i="1"/>
  <c r="HB137" i="1"/>
  <c r="DU34" i="1"/>
  <c r="DY34" i="1"/>
  <c r="DP130" i="1"/>
  <c r="GX48" i="1"/>
  <c r="HD133" i="1"/>
  <c r="DR23" i="1"/>
  <c r="GU33" i="1"/>
  <c r="DW50" i="1"/>
  <c r="DU54" i="1"/>
  <c r="GU36" i="1"/>
  <c r="DP43" i="1"/>
  <c r="HC26" i="1"/>
  <c r="DY52" i="1"/>
  <c r="DT122" i="1"/>
  <c r="DQ50" i="1"/>
  <c r="GZ41" i="1"/>
  <c r="DT97" i="1"/>
  <c r="DU35" i="1"/>
  <c r="DY137" i="1"/>
  <c r="DR97" i="1"/>
  <c r="HA34" i="1"/>
  <c r="GY51" i="1"/>
  <c r="DP50" i="1"/>
  <c r="DR37" i="1"/>
  <c r="DW23" i="1"/>
  <c r="HC20" i="1"/>
  <c r="DU47" i="1"/>
  <c r="DS52" i="1"/>
  <c r="GW23" i="1"/>
  <c r="HD48" i="1"/>
  <c r="DP35" i="1"/>
  <c r="DX20" i="1"/>
  <c r="DU27" i="1"/>
  <c r="DU39" i="1"/>
  <c r="DU33" i="1"/>
  <c r="GY50" i="1"/>
  <c r="GU54" i="1"/>
  <c r="GU42" i="1"/>
  <c r="GZ51" i="1"/>
  <c r="GX45" i="1"/>
  <c r="DX92" i="1"/>
  <c r="GY40" i="1"/>
  <c r="DS51" i="1"/>
  <c r="DQ133" i="1"/>
  <c r="GV133" i="1"/>
  <c r="DX137" i="1"/>
  <c r="DY38" i="1"/>
  <c r="GY135" i="1"/>
  <c r="DY39" i="1"/>
  <c r="DY43" i="1"/>
  <c r="DY145" i="1"/>
  <c r="GV137" i="1"/>
  <c r="DY22" i="1"/>
  <c r="GV41" i="1"/>
  <c r="GU52" i="1"/>
  <c r="DP48" i="1"/>
  <c r="HA47" i="1"/>
  <c r="DU44" i="1"/>
  <c r="DT32" i="1"/>
  <c r="DQ33" i="1"/>
  <c r="DR33" i="1"/>
  <c r="DU22" i="1"/>
  <c r="DQ43" i="1"/>
  <c r="DX35" i="1"/>
  <c r="DQ32" i="1"/>
  <c r="GW26" i="1"/>
  <c r="DR52" i="1"/>
  <c r="DT145" i="1"/>
  <c r="HD25" i="1"/>
  <c r="DS139" i="1"/>
  <c r="HD54" i="1"/>
  <c r="GX137" i="1"/>
  <c r="GU37" i="1"/>
  <c r="DS53" i="1"/>
  <c r="HD35" i="1"/>
  <c r="DW32" i="1"/>
  <c r="DU38" i="1"/>
  <c r="GW137" i="1"/>
  <c r="DX27" i="1"/>
  <c r="HD27" i="1"/>
  <c r="DU40" i="1"/>
  <c r="GV36" i="1"/>
  <c r="HB47" i="1"/>
  <c r="DT49" i="1"/>
  <c r="DY47" i="1"/>
  <c r="GW42" i="1"/>
  <c r="DT54" i="1"/>
  <c r="DQ37" i="1"/>
  <c r="GX41" i="1"/>
  <c r="DP135" i="1"/>
  <c r="DR43" i="1"/>
  <c r="DR46" i="1"/>
  <c r="HB38" i="1"/>
  <c r="GX35" i="1"/>
  <c r="GZ54" i="1"/>
  <c r="HA36" i="1"/>
  <c r="GZ39" i="1"/>
  <c r="GV25" i="1"/>
  <c r="HA22" i="1"/>
  <c r="HA54" i="1"/>
  <c r="GU22" i="1"/>
  <c r="GX26" i="1"/>
  <c r="GZ38" i="1"/>
  <c r="GU40" i="1"/>
  <c r="HD22" i="1"/>
  <c r="HC54" i="1"/>
  <c r="HB34" i="1"/>
  <c r="HD23" i="1"/>
  <c r="HC34" i="1"/>
  <c r="HA50" i="1"/>
  <c r="DP32" i="1"/>
  <c r="GW34" i="1"/>
  <c r="HB36" i="1"/>
  <c r="DT21" i="1"/>
  <c r="HD42" i="1"/>
  <c r="GY19" i="1"/>
  <c r="DS44" i="1"/>
  <c r="GU53" i="1"/>
  <c r="DX40" i="1"/>
  <c r="HD135" i="1"/>
  <c r="GV45" i="1"/>
  <c r="DY42" i="1"/>
  <c r="DP34" i="1"/>
  <c r="DT23" i="1"/>
  <c r="GZ36" i="1"/>
  <c r="GX54" i="1"/>
  <c r="HC44" i="1"/>
  <c r="GW22" i="1"/>
  <c r="GW37" i="1"/>
  <c r="HB52" i="1"/>
  <c r="DW42" i="1"/>
  <c r="GV37" i="1"/>
  <c r="DV53" i="1"/>
  <c r="GY27" i="1"/>
  <c r="GW43" i="1"/>
  <c r="DY27" i="1"/>
  <c r="GX40" i="1"/>
  <c r="HC40" i="1"/>
  <c r="DT41" i="1"/>
  <c r="GY48" i="1"/>
  <c r="DQ36" i="1"/>
  <c r="DY50" i="1"/>
  <c r="GU38" i="1"/>
  <c r="DP25" i="1"/>
  <c r="DV38" i="1"/>
  <c r="GY52" i="1"/>
  <c r="DV137" i="1"/>
  <c r="DW22" i="1"/>
  <c r="DT100" i="1"/>
  <c r="HC33" i="1"/>
  <c r="DU20" i="1"/>
  <c r="GY33" i="1"/>
  <c r="DT33" i="1"/>
  <c r="HA25" i="1"/>
  <c r="DW20" i="1"/>
  <c r="IN123" i="1"/>
  <c r="II123" i="1"/>
  <c r="IP123" i="1"/>
  <c r="Z123" i="1" s="1"/>
  <c r="DP74" i="1" l="1"/>
  <c r="DW58" i="1"/>
  <c r="DR92" i="1"/>
  <c r="DU97" i="1"/>
  <c r="DT108" i="1"/>
  <c r="DR96" i="1"/>
  <c r="BW111" i="1"/>
  <c r="BU111" i="1" s="1"/>
  <c r="HA114" i="1"/>
  <c r="GV132" i="1"/>
  <c r="GY125" i="1"/>
  <c r="DY111" i="1"/>
  <c r="DQ119" i="1"/>
  <c r="GW91" i="1"/>
  <c r="DX55" i="1"/>
  <c r="DU64" i="1"/>
  <c r="GY106" i="1"/>
  <c r="HB61" i="1"/>
  <c r="GU143" i="1"/>
  <c r="HA75" i="1"/>
  <c r="BV101" i="1"/>
  <c r="BT101" i="1" s="1"/>
  <c r="DV91" i="1"/>
  <c r="DW102" i="1"/>
  <c r="GZ107" i="1"/>
  <c r="DY77" i="1"/>
  <c r="DP133" i="1"/>
  <c r="DU124" i="1"/>
  <c r="DY62" i="1"/>
  <c r="HD136" i="1"/>
  <c r="HB87" i="1"/>
  <c r="HC130" i="1"/>
  <c r="DQ145" i="1"/>
  <c r="DT109" i="1"/>
  <c r="BW110" i="1"/>
  <c r="BU110" i="1" s="1"/>
  <c r="GY140" i="1"/>
  <c r="HD108" i="1"/>
  <c r="GZ109" i="1"/>
  <c r="DR70" i="1"/>
  <c r="DQ56" i="1"/>
  <c r="HA19" i="1"/>
  <c r="HB63" i="1"/>
  <c r="HA82" i="1"/>
  <c r="GX68" i="1"/>
  <c r="DX144" i="1"/>
  <c r="DV114" i="1"/>
  <c r="BV114" i="1"/>
  <c r="BT114" i="1" s="1"/>
  <c r="GY149" i="1"/>
  <c r="GE149" i="1"/>
  <c r="GX124" i="1"/>
  <c r="DW78" i="1"/>
  <c r="HA63" i="1"/>
  <c r="GV56" i="1"/>
  <c r="GX106" i="1"/>
  <c r="DX106" i="1"/>
  <c r="HD147" i="1"/>
  <c r="BV124" i="1"/>
  <c r="BT124" i="1" s="1"/>
  <c r="GY30" i="1"/>
  <c r="DW56" i="1"/>
  <c r="HD144" i="1"/>
  <c r="GV131" i="1"/>
  <c r="HB114" i="1"/>
  <c r="HA77" i="1"/>
  <c r="DR74" i="1"/>
  <c r="HD83" i="1"/>
  <c r="DS88" i="1"/>
  <c r="BV93" i="1"/>
  <c r="BT93" i="1" s="1"/>
  <c r="DY95" i="1"/>
  <c r="DS136" i="1"/>
  <c r="DV86" i="1"/>
  <c r="DR99" i="1"/>
  <c r="GV103" i="1"/>
  <c r="DR117" i="1"/>
  <c r="DW116" i="1"/>
  <c r="BW113" i="1"/>
  <c r="HD66" i="1"/>
  <c r="HC66" i="1"/>
  <c r="GZ99" i="1"/>
  <c r="DV98" i="1"/>
  <c r="DQ77" i="1"/>
  <c r="GV60" i="1"/>
  <c r="DY68" i="1"/>
  <c r="DS73" i="1"/>
  <c r="GW103" i="1"/>
  <c r="DP117" i="1"/>
  <c r="HC113" i="1"/>
  <c r="DW79" i="1"/>
  <c r="GW85" i="1"/>
  <c r="DX123" i="1"/>
  <c r="DS30" i="1"/>
  <c r="HD128" i="1"/>
  <c r="DY36" i="1"/>
  <c r="DS61" i="1"/>
  <c r="DQ146" i="1"/>
  <c r="DT87" i="1"/>
  <c r="GW114" i="1"/>
  <c r="DQ110" i="1"/>
  <c r="HD118" i="1"/>
  <c r="GW81" i="1"/>
  <c r="HD57" i="1"/>
  <c r="HC146" i="1"/>
  <c r="DQ67" i="1"/>
  <c r="DS66" i="1"/>
  <c r="HC103" i="1"/>
  <c r="GZ120" i="1"/>
  <c r="DY87" i="1"/>
  <c r="HC88" i="1"/>
  <c r="HB57" i="1"/>
  <c r="GU73" i="1"/>
  <c r="DT62" i="1"/>
  <c r="GX61" i="1"/>
  <c r="HA149" i="1"/>
  <c r="GC149" i="1"/>
  <c r="GX59" i="1"/>
  <c r="GX136" i="1"/>
  <c r="GV85" i="1"/>
  <c r="DT107" i="1"/>
  <c r="GX131" i="1"/>
  <c r="HC24" i="1"/>
  <c r="GZ147" i="1"/>
  <c r="GV29" i="1"/>
  <c r="GX101" i="1"/>
  <c r="GY138" i="1"/>
  <c r="HC101" i="1"/>
  <c r="GZ145" i="1"/>
  <c r="DP69" i="1"/>
  <c r="DQ30" i="1"/>
  <c r="BW114" i="1"/>
  <c r="BU114" i="1" s="1"/>
  <c r="GV114" i="1"/>
  <c r="HD110" i="1"/>
  <c r="DX120" i="1"/>
  <c r="GY118" i="1"/>
  <c r="DQ128" i="1"/>
  <c r="DP81" i="1"/>
  <c r="HB144" i="1"/>
  <c r="GY60" i="1"/>
  <c r="GW97" i="1"/>
  <c r="GU100" i="1"/>
  <c r="DP17" i="1"/>
  <c r="DQ57" i="1"/>
  <c r="DW110" i="1"/>
  <c r="GZ85" i="1"/>
  <c r="DP146" i="1"/>
  <c r="DP100" i="1"/>
  <c r="GU95" i="1"/>
  <c r="HD59" i="1"/>
  <c r="DU56" i="1"/>
  <c r="DV55" i="1"/>
  <c r="GW95" i="1"/>
  <c r="DY125" i="1"/>
  <c r="BW78" i="1"/>
  <c r="BU78" i="1" s="1"/>
  <c r="HC136" i="1"/>
  <c r="DU67" i="1"/>
  <c r="DW147" i="1"/>
  <c r="DR108" i="1"/>
  <c r="GY113" i="1"/>
  <c r="DP109" i="1"/>
  <c r="DV104" i="1"/>
  <c r="DP59" i="1"/>
  <c r="DW80" i="1"/>
  <c r="GX86" i="1"/>
  <c r="GZ143" i="1"/>
  <c r="DU87" i="1"/>
  <c r="DX60" i="1"/>
  <c r="HC106" i="1"/>
  <c r="BW65" i="1"/>
  <c r="BU65" i="1" s="1"/>
  <c r="GV134" i="1"/>
  <c r="GZ59" i="1"/>
  <c r="DT60" i="1"/>
  <c r="GG149" i="1"/>
  <c r="DT149" i="1"/>
  <c r="DV103" i="1"/>
  <c r="DV119" i="1"/>
  <c r="HC61" i="1"/>
  <c r="DT59" i="1"/>
  <c r="DW92" i="1"/>
  <c r="GY92" i="1"/>
  <c r="DR139" i="1"/>
  <c r="DX134" i="1"/>
  <c r="DW68" i="1"/>
  <c r="DQ79" i="1"/>
  <c r="DR109" i="1"/>
  <c r="DV74" i="1"/>
  <c r="DS89" i="1"/>
  <c r="HD127" i="1"/>
  <c r="DY70" i="1"/>
  <c r="DX58" i="1"/>
  <c r="DX72" i="1"/>
  <c r="DQ108" i="1"/>
  <c r="GY68" i="1"/>
  <c r="GU97" i="1"/>
  <c r="DV17" i="1"/>
  <c r="GW100" i="1"/>
  <c r="DQ96" i="1"/>
  <c r="GV19" i="1"/>
  <c r="GV96" i="1"/>
  <c r="HD63" i="1"/>
  <c r="DQ105" i="1"/>
  <c r="DV96" i="1"/>
  <c r="GY72" i="1"/>
  <c r="HC117" i="1"/>
  <c r="DP131" i="1"/>
  <c r="GU39" i="1"/>
  <c r="DY29" i="1"/>
  <c r="HD97" i="1"/>
  <c r="DS55" i="1"/>
  <c r="HD90" i="1"/>
  <c r="GX116" i="1"/>
  <c r="DT89" i="1"/>
  <c r="GX57" i="1"/>
  <c r="DX90" i="1"/>
  <c r="DQ91" i="1"/>
  <c r="BW95" i="1"/>
  <c r="BU95" i="1" s="1"/>
  <c r="GV88" i="1"/>
  <c r="DT19" i="1"/>
  <c r="HA72" i="1"/>
  <c r="DU63" i="1"/>
  <c r="BV81" i="1"/>
  <c r="BT81" i="1" s="1"/>
  <c r="DY126" i="1"/>
  <c r="HB24" i="1"/>
  <c r="DT85" i="1"/>
  <c r="GU101" i="1"/>
  <c r="HD67" i="1"/>
  <c r="DU78" i="1"/>
  <c r="HD86" i="1"/>
  <c r="DQ129" i="1"/>
  <c r="HC143" i="1"/>
  <c r="DU76" i="1"/>
  <c r="GE27" i="1"/>
  <c r="DP24" i="1"/>
  <c r="GX83" i="1"/>
  <c r="DU132" i="1"/>
  <c r="DY81" i="1"/>
  <c r="DV89" i="1"/>
  <c r="DT58" i="1"/>
  <c r="BW92" i="1"/>
  <c r="GZ97" i="1"/>
  <c r="GX19" i="1"/>
  <c r="GY75" i="1"/>
  <c r="BW57" i="1"/>
  <c r="BU57" i="1" s="1"/>
  <c r="GY121" i="1"/>
  <c r="GW99" i="1"/>
  <c r="BW79" i="1"/>
  <c r="BU79" i="1" s="1"/>
  <c r="DW111" i="1"/>
  <c r="DU103" i="1"/>
  <c r="DR125" i="1"/>
  <c r="GX110" i="1"/>
  <c r="DT90" i="1"/>
  <c r="DS81" i="1"/>
  <c r="GX119" i="1"/>
  <c r="DT146" i="1"/>
  <c r="GU89" i="1"/>
  <c r="DU17" i="1"/>
  <c r="HC73" i="1"/>
  <c r="DP78" i="1"/>
  <c r="GU123" i="1"/>
  <c r="DT17" i="1"/>
  <c r="GU84" i="1"/>
  <c r="BW62" i="1"/>
  <c r="BU62" i="1" s="1"/>
  <c r="HB117" i="1"/>
  <c r="GZ60" i="1"/>
  <c r="DV28" i="1"/>
  <c r="DX67" i="1"/>
  <c r="HC120" i="1"/>
  <c r="DQ86" i="1"/>
  <c r="DW73" i="1"/>
  <c r="DT79" i="1"/>
  <c r="DY122" i="1"/>
  <c r="HD60" i="1"/>
  <c r="GH149" i="1"/>
  <c r="HC134" i="1"/>
  <c r="GX130" i="1"/>
  <c r="HD117" i="1"/>
  <c r="DQ123" i="1"/>
  <c r="GZ104" i="1"/>
  <c r="GW56" i="1"/>
  <c r="GU79" i="1"/>
  <c r="DX65" i="1"/>
  <c r="DR81" i="1"/>
  <c r="DU85" i="1"/>
  <c r="GU129" i="1"/>
  <c r="DR94" i="1"/>
  <c r="BV61" i="1"/>
  <c r="BT61" i="1" s="1"/>
  <c r="DQ69" i="1"/>
  <c r="HD24" i="1"/>
  <c r="DQ143" i="1"/>
  <c r="DW145" i="1"/>
  <c r="GV92" i="1"/>
  <c r="GV117" i="1"/>
  <c r="GV81" i="1"/>
  <c r="HD123" i="1"/>
  <c r="DP68" i="1"/>
  <c r="DQ55" i="1"/>
  <c r="DU95" i="1"/>
  <c r="DP75" i="1"/>
  <c r="DP110" i="1"/>
  <c r="DR65" i="1"/>
  <c r="DV82" i="1"/>
  <c r="DZ82" i="1" s="1"/>
  <c r="HD19" i="1"/>
  <c r="DW55" i="1"/>
  <c r="GW104" i="1"/>
  <c r="DX29" i="1"/>
  <c r="GY98" i="1"/>
  <c r="GY100" i="1"/>
  <c r="DU98" i="1"/>
  <c r="HB65" i="1"/>
  <c r="DT118" i="1"/>
  <c r="DT96" i="1"/>
  <c r="DQ78" i="1"/>
  <c r="GV149" i="1"/>
  <c r="DZ135" i="1"/>
  <c r="EA135" i="1" s="1"/>
  <c r="HE38" i="1"/>
  <c r="AB38" i="1" s="1"/>
  <c r="BV84" i="1"/>
  <c r="BT84" i="1" s="1"/>
  <c r="GY88" i="1"/>
  <c r="GW96" i="1"/>
  <c r="DR55" i="1"/>
  <c r="BV110" i="1"/>
  <c r="BT110" i="1" s="1"/>
  <c r="GX89" i="1"/>
  <c r="GU107" i="1"/>
  <c r="BV68" i="1"/>
  <c r="BT68" i="1" s="1"/>
  <c r="HA79" i="1"/>
  <c r="DQ100" i="1"/>
  <c r="DW91" i="1"/>
  <c r="HD122" i="1"/>
  <c r="DY79" i="1"/>
  <c r="DT132" i="1"/>
  <c r="BW80" i="1"/>
  <c r="BU80" i="1" s="1"/>
  <c r="DY80" i="1"/>
  <c r="GX149" i="1"/>
  <c r="HB149" i="1"/>
  <c r="GH27" i="1"/>
  <c r="GG27" i="1"/>
  <c r="HB130" i="1"/>
  <c r="DT103" i="1"/>
  <c r="DX59" i="1"/>
  <c r="DX140" i="1"/>
  <c r="GX69" i="1"/>
  <c r="GY83" i="1"/>
  <c r="HB64" i="1"/>
  <c r="DX114" i="1"/>
  <c r="BW63" i="1"/>
  <c r="BU63" i="1" s="1"/>
  <c r="DU19" i="1"/>
  <c r="DU84" i="1"/>
  <c r="HD129" i="1"/>
  <c r="GW79" i="1"/>
  <c r="DW90" i="1"/>
  <c r="DQ115" i="1"/>
  <c r="DU89" i="1"/>
  <c r="DS149" i="1"/>
  <c r="GA149" i="1"/>
  <c r="GD27" i="1"/>
  <c r="GC27" i="1"/>
  <c r="GZ65" i="1"/>
  <c r="DW95" i="1"/>
  <c r="GY70" i="1"/>
  <c r="DU122" i="1"/>
  <c r="HC100" i="1"/>
  <c r="HB72" i="1"/>
  <c r="DR77" i="1"/>
  <c r="HA106" i="1"/>
  <c r="DR95" i="1"/>
  <c r="BW61" i="1"/>
  <c r="BU61" i="1" s="1"/>
  <c r="GZ131" i="1"/>
  <c r="GW71" i="1"/>
  <c r="DX101" i="1"/>
  <c r="DP93" i="1"/>
  <c r="DQ60" i="1"/>
  <c r="GX108" i="1"/>
  <c r="GB149" i="1"/>
  <c r="GD149" i="1"/>
  <c r="GI27" i="1"/>
  <c r="DZ25" i="1"/>
  <c r="DZ128" i="1"/>
  <c r="DZ48" i="1"/>
  <c r="Q48" i="1" s="1"/>
  <c r="DT148" i="1"/>
  <c r="DS103" i="1"/>
  <c r="HA66" i="1"/>
  <c r="DQ75" i="1"/>
  <c r="HB134" i="1"/>
  <c r="HB19" i="1"/>
  <c r="DX66" i="1"/>
  <c r="DP79" i="1"/>
  <c r="BV75" i="1"/>
  <c r="BT75" i="1" s="1"/>
  <c r="HC75" i="1"/>
  <c r="HA102" i="1"/>
  <c r="HC81" i="1"/>
  <c r="DQ73" i="1"/>
  <c r="GV61" i="1"/>
  <c r="GW62" i="1"/>
  <c r="HB120" i="1"/>
  <c r="GW92" i="1"/>
  <c r="HE92" i="1" s="1"/>
  <c r="AB92" i="1" s="1"/>
  <c r="GX144" i="1"/>
  <c r="DP104" i="1"/>
  <c r="DW103" i="1"/>
  <c r="DQ88" i="1"/>
  <c r="DT102" i="1"/>
  <c r="GI113" i="1"/>
  <c r="GC18" i="1"/>
  <c r="GF73" i="1"/>
  <c r="GG18" i="1"/>
  <c r="HD58" i="1"/>
  <c r="DR140" i="1"/>
  <c r="GW57" i="1"/>
  <c r="DV113" i="1"/>
  <c r="GU109" i="1"/>
  <c r="HD114" i="1"/>
  <c r="DR72" i="1"/>
  <c r="DP137" i="1"/>
  <c r="HC68" i="1"/>
  <c r="DU80" i="1"/>
  <c r="DR18" i="1"/>
  <c r="DU113" i="1"/>
  <c r="DS58" i="1"/>
  <c r="HC129" i="1"/>
  <c r="HC109" i="1"/>
  <c r="GW143" i="1"/>
  <c r="GU140" i="1"/>
  <c r="GY69" i="1"/>
  <c r="DV129" i="1"/>
  <c r="HC71" i="1"/>
  <c r="DY131" i="1"/>
  <c r="GY84" i="1"/>
  <c r="GI92" i="1"/>
  <c r="GC118" i="1"/>
  <c r="GF92" i="1"/>
  <c r="GG73" i="1"/>
  <c r="DQ107" i="1"/>
  <c r="GZ58" i="1"/>
  <c r="HD134" i="1"/>
  <c r="GV64" i="1"/>
  <c r="HC114" i="1"/>
  <c r="BW83" i="1"/>
  <c r="BU83" i="1" s="1"/>
  <c r="DR56" i="1"/>
  <c r="BV73" i="1"/>
  <c r="DX75" i="1"/>
  <c r="DV94" i="1"/>
  <c r="DR93" i="1"/>
  <c r="DW132" i="1"/>
  <c r="DR89" i="1"/>
  <c r="HC138" i="1"/>
  <c r="DS91" i="1"/>
  <c r="DY71" i="1"/>
  <c r="DV68" i="1"/>
  <c r="DY104" i="1"/>
  <c r="HD140" i="1"/>
  <c r="HB83" i="1"/>
  <c r="GZ105" i="1"/>
  <c r="GB73" i="1"/>
  <c r="GE55" i="1"/>
  <c r="GH113" i="1"/>
  <c r="GD18" i="1"/>
  <c r="DQ68" i="1"/>
  <c r="GZ113" i="1"/>
  <c r="HD91" i="1"/>
  <c r="DU99" i="1"/>
  <c r="HC84" i="1"/>
  <c r="DY73" i="1"/>
  <c r="HC55" i="1"/>
  <c r="DU61" i="1"/>
  <c r="DV85" i="1"/>
  <c r="GZ103" i="1"/>
  <c r="DP90" i="1"/>
  <c r="DZ90" i="1" s="1"/>
  <c r="GX132" i="1"/>
  <c r="HE132" i="1" s="1"/>
  <c r="AB132" i="1" s="1"/>
  <c r="DY113" i="1"/>
  <c r="HD94" i="1"/>
  <c r="DX76" i="1"/>
  <c r="DR73" i="1"/>
  <c r="HA122" i="1"/>
  <c r="DV71" i="1"/>
  <c r="DS110" i="1"/>
  <c r="DP70" i="1"/>
  <c r="DV116" i="1"/>
  <c r="GI18" i="1"/>
  <c r="GC55" i="1"/>
  <c r="GF113" i="1"/>
  <c r="GG19" i="1"/>
  <c r="GY148" i="1"/>
  <c r="GV148" i="1"/>
  <c r="DY148" i="1"/>
  <c r="GZ111" i="1"/>
  <c r="GZ18" i="1"/>
  <c r="DP101" i="1"/>
  <c r="DZ101" i="1" s="1"/>
  <c r="DW131" i="1"/>
  <c r="DW118" i="1"/>
  <c r="GV106" i="1"/>
  <c r="HD85" i="1"/>
  <c r="GZ112" i="1"/>
  <c r="DR134" i="1"/>
  <c r="DW83" i="1"/>
  <c r="DR79" i="1"/>
  <c r="DP132" i="1"/>
  <c r="HD76" i="1"/>
  <c r="GY79" i="1"/>
  <c r="BW64" i="1"/>
  <c r="BU64" i="1" s="1"/>
  <c r="DT112" i="1"/>
  <c r="GY129" i="1"/>
  <c r="DX107" i="1"/>
  <c r="GW75" i="1"/>
  <c r="HE75" i="1" s="1"/>
  <c r="AB75" i="1" s="1"/>
  <c r="DT93" i="1"/>
  <c r="GY18" i="1"/>
  <c r="GB92" i="1"/>
  <c r="GE19" i="1"/>
  <c r="GH18" i="1"/>
  <c r="GD19" i="1"/>
  <c r="GG55" i="1"/>
  <c r="DS102" i="1"/>
  <c r="GU62" i="1"/>
  <c r="DQ89" i="1"/>
  <c r="GY110" i="1"/>
  <c r="GZ138" i="1"/>
  <c r="DX131" i="1"/>
  <c r="DW140" i="1"/>
  <c r="GY144" i="1"/>
  <c r="GW70" i="1"/>
  <c r="DS93" i="1"/>
  <c r="DT76" i="1"/>
  <c r="GU19" i="1"/>
  <c r="BW56" i="1"/>
  <c r="BU56" i="1" s="1"/>
  <c r="DX83" i="1"/>
  <c r="HB121" i="1"/>
  <c r="DY86" i="1"/>
  <c r="GV70" i="1"/>
  <c r="DT104" i="1"/>
  <c r="BV69" i="1"/>
  <c r="BT69" i="1" s="1"/>
  <c r="DQ70" i="1"/>
  <c r="HD55" i="1"/>
  <c r="GB19" i="1"/>
  <c r="GE73" i="1"/>
  <c r="GH118" i="1"/>
  <c r="GD55" i="1"/>
  <c r="DS114" i="1"/>
  <c r="GW55" i="1"/>
  <c r="DR123" i="1"/>
  <c r="DV70" i="1"/>
  <c r="DQ109" i="1"/>
  <c r="GX88" i="1"/>
  <c r="DV97" i="1"/>
  <c r="DP144" i="1"/>
  <c r="DX100" i="1"/>
  <c r="DT95" i="1"/>
  <c r="GZ74" i="1"/>
  <c r="DU131" i="1"/>
  <c r="DX88" i="1"/>
  <c r="GW83" i="1"/>
  <c r="GY64" i="1"/>
  <c r="HA78" i="1"/>
  <c r="HA134" i="1"/>
  <c r="DQ19" i="1"/>
  <c r="BW105" i="1"/>
  <c r="BU105" i="1" s="1"/>
  <c r="HA81" i="1"/>
  <c r="HC111" i="1"/>
  <c r="HE111" i="1" s="1"/>
  <c r="AB111" i="1" s="1"/>
  <c r="BW93" i="1"/>
  <c r="BU93" i="1" s="1"/>
  <c r="GI100" i="1"/>
  <c r="GC92" i="1"/>
  <c r="GF100" i="1"/>
  <c r="GX102" i="1"/>
  <c r="DQ116" i="1"/>
  <c r="HA83" i="1"/>
  <c r="GU118" i="1"/>
  <c r="DP66" i="1"/>
  <c r="GU104" i="1"/>
  <c r="GW58" i="1"/>
  <c r="HE58" i="1" s="1"/>
  <c r="AB58" i="1" s="1"/>
  <c r="HD68" i="1"/>
  <c r="DW17" i="1"/>
  <c r="DV76" i="1"/>
  <c r="DP19" i="1"/>
  <c r="DZ19" i="1" s="1"/>
  <c r="Q19" i="1" s="1"/>
  <c r="DR84" i="1"/>
  <c r="GX62" i="1"/>
  <c r="HC118" i="1"/>
  <c r="DT105" i="1"/>
  <c r="DZ105" i="1" s="1"/>
  <c r="HB112" i="1"/>
  <c r="HA90" i="1"/>
  <c r="BV76" i="1"/>
  <c r="BT76" i="1" s="1"/>
  <c r="HA65" i="1"/>
  <c r="GW118" i="1"/>
  <c r="HA107" i="1"/>
  <c r="GB100" i="1"/>
  <c r="GE18" i="1"/>
  <c r="GH19" i="1"/>
  <c r="GD73" i="1"/>
  <c r="HB148" i="1"/>
  <c r="DT114" i="1"/>
  <c r="HB89" i="1"/>
  <c r="GW130" i="1"/>
  <c r="HD80" i="1"/>
  <c r="HE80" i="1" s="1"/>
  <c r="AB80" i="1" s="1"/>
  <c r="DY107" i="1"/>
  <c r="DS122" i="1"/>
  <c r="DZ122" i="1" s="1"/>
  <c r="DT121" i="1"/>
  <c r="GZ68" i="1"/>
  <c r="HC56" i="1"/>
  <c r="HE56" i="1" s="1"/>
  <c r="AB56" i="1" s="1"/>
  <c r="GU70" i="1"/>
  <c r="HA115" i="1"/>
  <c r="DQ17" i="1"/>
  <c r="DU70" i="1"/>
  <c r="GU78" i="1"/>
  <c r="BV79" i="1"/>
  <c r="BT79" i="1" s="1"/>
  <c r="HA57" i="1"/>
  <c r="HA138" i="1"/>
  <c r="HE138" i="1" s="1"/>
  <c r="AB138" i="1" s="1"/>
  <c r="DT99" i="1"/>
  <c r="DT68" i="1"/>
  <c r="DT92" i="1"/>
  <c r="DZ92" i="1" s="1"/>
  <c r="Q92" i="1" s="1"/>
  <c r="DW106" i="1"/>
  <c r="GB18" i="1"/>
  <c r="GE92" i="1"/>
  <c r="GH73" i="1"/>
  <c r="GD92" i="1"/>
  <c r="GD100" i="1"/>
  <c r="HB108" i="1"/>
  <c r="BW76" i="1"/>
  <c r="BU76" i="1" s="1"/>
  <c r="GZ69" i="1"/>
  <c r="HE69" i="1" s="1"/>
  <c r="AB69" i="1" s="1"/>
  <c r="GY91" i="1"/>
  <c r="DR104" i="1"/>
  <c r="GW102" i="1"/>
  <c r="HC74" i="1"/>
  <c r="GU145" i="1"/>
  <c r="HE145" i="1" s="1"/>
  <c r="AB145" i="1" s="1"/>
  <c r="DX113" i="1"/>
  <c r="GV146" i="1"/>
  <c r="GX82" i="1"/>
  <c r="DX81" i="1"/>
  <c r="GZ146" i="1"/>
  <c r="DU109" i="1"/>
  <c r="DV99" i="1"/>
  <c r="DV63" i="1"/>
  <c r="GX67" i="1"/>
  <c r="DW59" i="1"/>
  <c r="DZ59" i="1" s="1"/>
  <c r="DQ72" i="1"/>
  <c r="GZ102" i="1"/>
  <c r="GW109" i="1"/>
  <c r="GB118" i="1"/>
  <c r="GE100" i="1"/>
  <c r="GH55" i="1"/>
  <c r="GD118" i="1"/>
  <c r="GG118" i="1"/>
  <c r="DW74" i="1"/>
  <c r="DT116" i="1"/>
  <c r="DS150" i="1"/>
  <c r="HD104" i="1"/>
  <c r="HE104" i="1" s="1"/>
  <c r="AB104" i="1" s="1"/>
  <c r="HB122" i="1"/>
  <c r="DT61" i="1"/>
  <c r="DZ61" i="1" s="1"/>
  <c r="GY59" i="1"/>
  <c r="GZ57" i="1"/>
  <c r="HA96" i="1"/>
  <c r="GV119" i="1"/>
  <c r="GV102" i="1"/>
  <c r="HD103" i="1"/>
  <c r="BW119" i="1"/>
  <c r="BU119" i="1" s="1"/>
  <c r="GX79" i="1"/>
  <c r="DX116" i="1"/>
  <c r="HC123" i="1"/>
  <c r="BV83" i="1"/>
  <c r="BT83" i="1" s="1"/>
  <c r="GY96" i="1"/>
  <c r="HA55" i="1"/>
  <c r="GV62" i="1"/>
  <c r="GZ63" i="1"/>
  <c r="HE63" i="1" s="1"/>
  <c r="AB63" i="1" s="1"/>
  <c r="GI19" i="1"/>
  <c r="GC113" i="1"/>
  <c r="GF18" i="1"/>
  <c r="DR78" i="1"/>
  <c r="DZ78" i="1" s="1"/>
  <c r="GV150" i="1"/>
  <c r="DR129" i="1"/>
  <c r="GX77" i="1"/>
  <c r="BV74" i="1"/>
  <c r="BT74" i="1" s="1"/>
  <c r="GV93" i="1"/>
  <c r="DS119" i="1"/>
  <c r="DQ138" i="1"/>
  <c r="GW89" i="1"/>
  <c r="DV150" i="1"/>
  <c r="DU93" i="1"/>
  <c r="HA93" i="1"/>
  <c r="GU103" i="1"/>
  <c r="GY89" i="1"/>
  <c r="DR67" i="1"/>
  <c r="HB123" i="1"/>
  <c r="DT81" i="1"/>
  <c r="DU111" i="1"/>
  <c r="DZ111" i="1" s="1"/>
  <c r="GX105" i="1"/>
  <c r="GZ17" i="1"/>
  <c r="HB103" i="1"/>
  <c r="GB55" i="1"/>
  <c r="GE113" i="1"/>
  <c r="GH100" i="1"/>
  <c r="GD113" i="1"/>
  <c r="HD148" i="1"/>
  <c r="DQ148" i="1"/>
  <c r="DV148" i="1"/>
  <c r="DY17" i="1"/>
  <c r="HD116" i="1"/>
  <c r="BV78" i="1"/>
  <c r="BT78" i="1" s="1"/>
  <c r="DP62" i="1"/>
  <c r="BW120" i="1"/>
  <c r="BU120" i="1" s="1"/>
  <c r="HB88" i="1"/>
  <c r="DT119" i="1"/>
  <c r="DU112" i="1"/>
  <c r="GX18" i="1"/>
  <c r="DV87" i="1"/>
  <c r="DR138" i="1"/>
  <c r="DU120" i="1"/>
  <c r="GV86" i="1"/>
  <c r="HE86" i="1" s="1"/>
  <c r="AB86" i="1" s="1"/>
  <c r="GV99" i="1"/>
  <c r="GZ116" i="1"/>
  <c r="HA116" i="1"/>
  <c r="DV106" i="1"/>
  <c r="HC83" i="1"/>
  <c r="DQ93" i="1"/>
  <c r="DX93" i="1"/>
  <c r="DV81" i="1"/>
  <c r="GI118" i="1"/>
  <c r="GC100" i="1"/>
  <c r="GF19" i="1"/>
  <c r="GG92" i="1"/>
  <c r="DP123" i="1"/>
  <c r="HB73" i="1"/>
  <c r="GX65" i="1"/>
  <c r="DW63" i="1"/>
  <c r="DT72" i="1"/>
  <c r="GV116" i="1"/>
  <c r="HB82" i="1"/>
  <c r="DU55" i="1"/>
  <c r="DR120" i="1"/>
  <c r="HA17" i="1"/>
  <c r="DX112" i="1"/>
  <c r="GY81" i="1"/>
  <c r="HE81" i="1" s="1"/>
  <c r="AB81" i="1" s="1"/>
  <c r="DX63" i="1"/>
  <c r="GV120" i="1"/>
  <c r="HD61" i="1"/>
  <c r="DW144" i="1"/>
  <c r="DZ144" i="1" s="1"/>
  <c r="Q144" i="1" s="1"/>
  <c r="HB99" i="1"/>
  <c r="GV83" i="1"/>
  <c r="GV110" i="1"/>
  <c r="DV18" i="1"/>
  <c r="HA150" i="1"/>
  <c r="GA18" i="1"/>
  <c r="GI55" i="1"/>
  <c r="GC73" i="1"/>
  <c r="GF55" i="1"/>
  <c r="GG100" i="1"/>
  <c r="GY95" i="1"/>
  <c r="HE95" i="1" s="1"/>
  <c r="AB95" i="1" s="1"/>
  <c r="GZ84" i="1"/>
  <c r="HE84" i="1" s="1"/>
  <c r="AB84" i="1" s="1"/>
  <c r="HD131" i="1"/>
  <c r="HE131" i="1" s="1"/>
  <c r="AB131" i="1" s="1"/>
  <c r="DS96" i="1"/>
  <c r="DZ96" i="1" s="1"/>
  <c r="HB91" i="1"/>
  <c r="DS115" i="1"/>
  <c r="DP150" i="1"/>
  <c r="DZ150" i="1" s="1"/>
  <c r="DU88" i="1"/>
  <c r="GW121" i="1"/>
  <c r="HE121" i="1" s="1"/>
  <c r="AB121" i="1" s="1"/>
  <c r="BV105" i="1"/>
  <c r="BT105" i="1" s="1"/>
  <c r="DW81" i="1"/>
  <c r="BV59" i="1"/>
  <c r="BT59" i="1" s="1"/>
  <c r="DS65" i="1"/>
  <c r="DP95" i="1"/>
  <c r="DZ95" i="1" s="1"/>
  <c r="DV130" i="1"/>
  <c r="HD65" i="1"/>
  <c r="GU150" i="1"/>
  <c r="DP108" i="1"/>
  <c r="DZ108" i="1" s="1"/>
  <c r="EA108" i="1" s="1"/>
  <c r="HD64" i="1"/>
  <c r="DP138" i="1"/>
  <c r="DS84" i="1"/>
  <c r="GB113" i="1"/>
  <c r="GE118" i="1"/>
  <c r="GH92" i="1"/>
  <c r="GG113" i="1"/>
  <c r="DQ87" i="1"/>
  <c r="DS131" i="1"/>
  <c r="HD77" i="1"/>
  <c r="DS117" i="1"/>
  <c r="HA60" i="1"/>
  <c r="HE60" i="1" s="1"/>
  <c r="AB60" i="1" s="1"/>
  <c r="DT106" i="1"/>
  <c r="DX86" i="1"/>
  <c r="HB71" i="1"/>
  <c r="DR132" i="1"/>
  <c r="BV86" i="1"/>
  <c r="BT86" i="1" s="1"/>
  <c r="GZ70" i="1"/>
  <c r="DT74" i="1"/>
  <c r="DS98" i="1"/>
  <c r="DZ98" i="1" s="1"/>
  <c r="Q98" i="1" s="1"/>
  <c r="GW64" i="1"/>
  <c r="HC62" i="1"/>
  <c r="DW130" i="1"/>
  <c r="DV136" i="1"/>
  <c r="DZ136" i="1" s="1"/>
  <c r="DR85" i="1"/>
  <c r="DZ85" i="1" s="1"/>
  <c r="DY115" i="1"/>
  <c r="GU91" i="1"/>
  <c r="GY73" i="1"/>
  <c r="GI73" i="1"/>
  <c r="GC19" i="1"/>
  <c r="GF118" i="1"/>
  <c r="GU148" i="1"/>
  <c r="GW148" i="1"/>
  <c r="DU148" i="1"/>
  <c r="DZ117" i="1"/>
  <c r="EA117" i="1" s="1"/>
  <c r="EA48" i="1"/>
  <c r="HE53" i="1"/>
  <c r="AB53" i="1" s="1"/>
  <c r="HE44" i="1"/>
  <c r="AB44" i="1" s="1"/>
  <c r="DZ37" i="1"/>
  <c r="HE74" i="1"/>
  <c r="AB74" i="1" s="1"/>
  <c r="HE125" i="1"/>
  <c r="AB125" i="1" s="1"/>
  <c r="HE94" i="1"/>
  <c r="AB94" i="1" s="1"/>
  <c r="HE130" i="1"/>
  <c r="AB130" i="1" s="1"/>
  <c r="DZ32" i="1"/>
  <c r="DZ56" i="1"/>
  <c r="Q56" i="1" s="1"/>
  <c r="BU118" i="1"/>
  <c r="DE118" i="1"/>
  <c r="DE92" i="1"/>
  <c r="BU92" i="1"/>
  <c r="DZ34" i="1"/>
  <c r="HE52" i="1"/>
  <c r="AB52" i="1" s="1"/>
  <c r="DZ35" i="1"/>
  <c r="DZ50" i="1"/>
  <c r="DZ43" i="1"/>
  <c r="HE33" i="1"/>
  <c r="AB33" i="1" s="1"/>
  <c r="DZ139" i="1"/>
  <c r="DZ21" i="1"/>
  <c r="HE26" i="1"/>
  <c r="AB26" i="1" s="1"/>
  <c r="DZ49" i="1"/>
  <c r="HE48" i="1"/>
  <c r="AB48" i="1" s="1"/>
  <c r="DZ40" i="1"/>
  <c r="HE49" i="1"/>
  <c r="AB49" i="1" s="1"/>
  <c r="DZ22" i="1"/>
  <c r="HE41" i="1"/>
  <c r="AB41" i="1" s="1"/>
  <c r="DZ27" i="1"/>
  <c r="Q27" i="1" s="1"/>
  <c r="DZ20" i="1"/>
  <c r="DZ47" i="1"/>
  <c r="DZ38" i="1"/>
  <c r="HE24" i="1"/>
  <c r="AB24" i="1" s="1"/>
  <c r="HE66" i="1"/>
  <c r="AB66" i="1" s="1"/>
  <c r="DZ30" i="1"/>
  <c r="DZ77" i="1"/>
  <c r="HE25" i="1"/>
  <c r="AB25" i="1" s="1"/>
  <c r="HE124" i="1"/>
  <c r="AB124" i="1" s="1"/>
  <c r="DZ29" i="1"/>
  <c r="HE29" i="1"/>
  <c r="AB29" i="1" s="1"/>
  <c r="HE117" i="1"/>
  <c r="AB117" i="1" s="1"/>
  <c r="HE144" i="1"/>
  <c r="AB144" i="1" s="1"/>
  <c r="DZ91" i="1"/>
  <c r="DZ119" i="1"/>
  <c r="HE147" i="1"/>
  <c r="AB147" i="1" s="1"/>
  <c r="DZ134" i="1"/>
  <c r="HE113" i="1"/>
  <c r="AB113" i="1" s="1"/>
  <c r="HE100" i="1"/>
  <c r="AB100" i="1" s="1"/>
  <c r="DZ146" i="1"/>
  <c r="DZ24" i="1"/>
  <c r="DE123" i="1"/>
  <c r="BU123" i="1"/>
  <c r="BU73" i="1"/>
  <c r="DE73" i="1"/>
  <c r="DE100" i="1"/>
  <c r="BU100" i="1"/>
  <c r="DE113" i="1"/>
  <c r="BU113" i="1"/>
  <c r="HE40" i="1"/>
  <c r="AB40" i="1" s="1"/>
  <c r="HE139" i="1"/>
  <c r="AB139" i="1" s="1"/>
  <c r="HE45" i="1"/>
  <c r="AB45" i="1" s="1"/>
  <c r="DZ54" i="1"/>
  <c r="DZ41" i="1"/>
  <c r="DZ51" i="1"/>
  <c r="DZ137" i="1"/>
  <c r="DZ45" i="1"/>
  <c r="HE47" i="1"/>
  <c r="AB47" i="1" s="1"/>
  <c r="HE21" i="1"/>
  <c r="AB21" i="1" s="1"/>
  <c r="DZ53" i="1"/>
  <c r="DZ36" i="1"/>
  <c r="DZ33" i="1"/>
  <c r="HE46" i="1"/>
  <c r="AB46" i="1" s="1"/>
  <c r="HE32" i="1"/>
  <c r="AB32" i="1" s="1"/>
  <c r="DZ26" i="1"/>
  <c r="HE28" i="1"/>
  <c r="AB28" i="1" s="1"/>
  <c r="HE128" i="1"/>
  <c r="AB128" i="1" s="1"/>
  <c r="DZ121" i="1"/>
  <c r="DZ142" i="1"/>
  <c r="DZ31" i="1"/>
  <c r="HE98" i="1"/>
  <c r="AB98" i="1" s="1"/>
  <c r="DZ113" i="1"/>
  <c r="Q113" i="1" s="1"/>
  <c r="HE30" i="1"/>
  <c r="AB30" i="1" s="1"/>
  <c r="HE136" i="1"/>
  <c r="AB136" i="1" s="1"/>
  <c r="DZ110" i="1"/>
  <c r="BT92" i="1"/>
  <c r="DD92" i="1"/>
  <c r="L92" i="1" s="1"/>
  <c r="BU55" i="1"/>
  <c r="DE55" i="1"/>
  <c r="BT123" i="1"/>
  <c r="DD123" i="1"/>
  <c r="L123" i="1" s="1"/>
  <c r="DD118" i="1"/>
  <c r="L118" i="1" s="1"/>
  <c r="BT118" i="1"/>
  <c r="BT100" i="1"/>
  <c r="DD100" i="1"/>
  <c r="L100" i="1" s="1"/>
  <c r="HE42" i="1"/>
  <c r="AB42" i="1" s="1"/>
  <c r="HE36" i="1"/>
  <c r="AB36" i="1" s="1"/>
  <c r="HE50" i="1"/>
  <c r="AB50" i="1" s="1"/>
  <c r="Q135" i="1"/>
  <c r="HE22" i="1"/>
  <c r="AB22" i="1" s="1"/>
  <c r="HE37" i="1"/>
  <c r="AB37" i="1" s="1"/>
  <c r="HE54" i="1"/>
  <c r="AB54" i="1" s="1"/>
  <c r="HE34" i="1"/>
  <c r="AB34" i="1" s="1"/>
  <c r="HE51" i="1"/>
  <c r="AB51" i="1" s="1"/>
  <c r="HE133" i="1"/>
  <c r="AB133" i="1" s="1"/>
  <c r="DZ39" i="1"/>
  <c r="HE35" i="1"/>
  <c r="AB35" i="1" s="1"/>
  <c r="HE127" i="1"/>
  <c r="AB127" i="1" s="1"/>
  <c r="HE87" i="1"/>
  <c r="AB87" i="1" s="1"/>
  <c r="HE72" i="1"/>
  <c r="AB72" i="1" s="1"/>
  <c r="HE141" i="1"/>
  <c r="AB141" i="1" s="1"/>
  <c r="HE27" i="1"/>
  <c r="AB27" i="1" s="1"/>
  <c r="HE67" i="1"/>
  <c r="AB67" i="1" s="1"/>
  <c r="DZ23" i="1"/>
  <c r="DZ126" i="1"/>
  <c r="HE31" i="1"/>
  <c r="AB31" i="1" s="1"/>
  <c r="DZ141" i="1"/>
  <c r="DZ124" i="1"/>
  <c r="HE59" i="1"/>
  <c r="AB59" i="1" s="1"/>
  <c r="DZ66" i="1"/>
  <c r="DZ102" i="1"/>
  <c r="HE140" i="1"/>
  <c r="AB140" i="1" s="1"/>
  <c r="DZ67" i="1"/>
  <c r="HE126" i="1"/>
  <c r="AB126" i="1" s="1"/>
  <c r="DZ149" i="1"/>
  <c r="DZ125" i="1"/>
  <c r="HE143" i="1"/>
  <c r="AB143" i="1" s="1"/>
  <c r="DZ133" i="1"/>
  <c r="DZ79" i="1"/>
  <c r="DZ69" i="1"/>
  <c r="HE97" i="1"/>
  <c r="AB97" i="1" s="1"/>
  <c r="BX27" i="1"/>
  <c r="DD27" i="1"/>
  <c r="L27" i="1" s="1"/>
  <c r="DE27" i="1"/>
  <c r="BY27" i="1"/>
  <c r="BT113" i="1"/>
  <c r="DD113" i="1"/>
  <c r="L113" i="1" s="1"/>
  <c r="DD55" i="1"/>
  <c r="L55" i="1" s="1"/>
  <c r="BT55" i="1"/>
  <c r="DZ42" i="1"/>
  <c r="HE135" i="1"/>
  <c r="AB135" i="1" s="1"/>
  <c r="HE43" i="1"/>
  <c r="AB43" i="1" s="1"/>
  <c r="DZ44" i="1"/>
  <c r="DZ118" i="1"/>
  <c r="Q118" i="1" s="1"/>
  <c r="DZ145" i="1"/>
  <c r="DZ46" i="1"/>
  <c r="HE23" i="1"/>
  <c r="AB23" i="1" s="1"/>
  <c r="DZ143" i="1"/>
  <c r="DZ28" i="1"/>
  <c r="DZ52" i="1"/>
  <c r="HE137" i="1"/>
  <c r="AB137" i="1" s="1"/>
  <c r="HE142" i="1"/>
  <c r="AB142" i="1" s="1"/>
  <c r="DZ127" i="1"/>
  <c r="HE20" i="1"/>
  <c r="AB20" i="1" s="1"/>
  <c r="DZ76" i="1"/>
  <c r="HE90" i="1"/>
  <c r="AB90" i="1" s="1"/>
  <c r="DZ147" i="1"/>
  <c r="DZ94" i="1"/>
  <c r="DZ64" i="1"/>
  <c r="DZ97" i="1"/>
  <c r="DZ60" i="1"/>
  <c r="DZ57" i="1"/>
  <c r="HE149" i="1"/>
  <c r="AB149" i="1" s="1"/>
  <c r="AD149" i="1" s="1"/>
  <c r="HE115" i="1"/>
  <c r="AB115" i="1" s="1"/>
  <c r="DZ58" i="1"/>
  <c r="HE76" i="1"/>
  <c r="AB76" i="1" s="1"/>
  <c r="HE19" i="1"/>
  <c r="AB19" i="1" s="1"/>
  <c r="HE39" i="1"/>
  <c r="AB39" i="1" s="1"/>
  <c r="HE101" i="1"/>
  <c r="AB101" i="1" s="1"/>
  <c r="HE107" i="1"/>
  <c r="AB107" i="1" s="1"/>
  <c r="IJ123" i="1"/>
  <c r="IK123" i="1" s="1"/>
  <c r="U123" i="1"/>
  <c r="IQ123" i="1"/>
  <c r="X123" i="1"/>
  <c r="Y123" i="1" s="1"/>
  <c r="HE55" i="1" l="1"/>
  <c r="AB55" i="1" s="1"/>
  <c r="DZ71" i="1"/>
  <c r="EA71" i="1" s="1"/>
  <c r="DZ103" i="1"/>
  <c r="HE85" i="1"/>
  <c r="AB85" i="1" s="1"/>
  <c r="DZ65" i="1"/>
  <c r="Q65" i="1" s="1"/>
  <c r="HE110" i="1"/>
  <c r="AB110" i="1" s="1"/>
  <c r="HE61" i="1"/>
  <c r="AB61" i="1" s="1"/>
  <c r="DZ62" i="1"/>
  <c r="HE120" i="1"/>
  <c r="AB120" i="1" s="1"/>
  <c r="HE88" i="1"/>
  <c r="AB88" i="1" s="1"/>
  <c r="HE119" i="1"/>
  <c r="AB119" i="1" s="1"/>
  <c r="DZ100" i="1"/>
  <c r="Q100" i="1" s="1"/>
  <c r="HE18" i="1"/>
  <c r="AB18" i="1" s="1"/>
  <c r="DZ86" i="1"/>
  <c r="HE64" i="1"/>
  <c r="AB64" i="1" s="1"/>
  <c r="HE73" i="1"/>
  <c r="AB73" i="1" s="1"/>
  <c r="DZ80" i="1"/>
  <c r="DZ129" i="1"/>
  <c r="HE108" i="1"/>
  <c r="AB108" i="1" s="1"/>
  <c r="HE106" i="1"/>
  <c r="AB106" i="1" s="1"/>
  <c r="HE129" i="1"/>
  <c r="AB129" i="1" s="1"/>
  <c r="DZ140" i="1"/>
  <c r="DZ55" i="1"/>
  <c r="Q55" i="1" s="1"/>
  <c r="HE71" i="1"/>
  <c r="AB71" i="1" s="1"/>
  <c r="HE112" i="1"/>
  <c r="AB112" i="1" s="1"/>
  <c r="HE123" i="1"/>
  <c r="AB123" i="1" s="1"/>
  <c r="DZ112" i="1"/>
  <c r="Q112" i="1" s="1"/>
  <c r="DZ83" i="1"/>
  <c r="EA83" i="1" s="1"/>
  <c r="HE114" i="1"/>
  <c r="AB114" i="1" s="1"/>
  <c r="DZ114" i="1"/>
  <c r="Q114" i="1" s="1"/>
  <c r="HE105" i="1"/>
  <c r="AB105" i="1" s="1"/>
  <c r="HE57" i="1"/>
  <c r="AB57" i="1" s="1"/>
  <c r="HE17" i="1"/>
  <c r="AB17" i="1" s="1"/>
  <c r="HE77" i="1"/>
  <c r="AB77" i="1" s="1"/>
  <c r="HE146" i="1"/>
  <c r="AB146" i="1" s="1"/>
  <c r="DZ17" i="1"/>
  <c r="Q17" i="1" s="1"/>
  <c r="AG17" i="1" s="1"/>
  <c r="DZ120" i="1"/>
  <c r="Q120" i="1" s="1"/>
  <c r="DZ123" i="1"/>
  <c r="Q123" i="1" s="1"/>
  <c r="HE79" i="1"/>
  <c r="AB79" i="1" s="1"/>
  <c r="HE134" i="1"/>
  <c r="AB134" i="1" s="1"/>
  <c r="DZ73" i="1"/>
  <c r="Q73" i="1" s="1"/>
  <c r="DZ138" i="1"/>
  <c r="Q138" i="1" s="1"/>
  <c r="HE116" i="1"/>
  <c r="AB116" i="1" s="1"/>
  <c r="HE150" i="1"/>
  <c r="AB150" i="1" s="1"/>
  <c r="AD150" i="1" s="1"/>
  <c r="AI150" i="1" s="1"/>
  <c r="HE102" i="1"/>
  <c r="AB102" i="1" s="1"/>
  <c r="HE91" i="1"/>
  <c r="AB91" i="1" s="1"/>
  <c r="DZ84" i="1"/>
  <c r="Q84" i="1" s="1"/>
  <c r="HE118" i="1"/>
  <c r="AB118" i="1" s="1"/>
  <c r="DZ109" i="1"/>
  <c r="Q109" i="1" s="1"/>
  <c r="DZ104" i="1"/>
  <c r="EA104" i="1" s="1"/>
  <c r="DZ93" i="1"/>
  <c r="EA93" i="1" s="1"/>
  <c r="DZ70" i="1"/>
  <c r="DZ68" i="1"/>
  <c r="Q68" i="1" s="1"/>
  <c r="DZ89" i="1"/>
  <c r="Q89" i="1" s="1"/>
  <c r="DZ107" i="1"/>
  <c r="EA107" i="1" s="1"/>
  <c r="HE109" i="1"/>
  <c r="AB109" i="1" s="1"/>
  <c r="DZ132" i="1"/>
  <c r="Q132" i="1" s="1"/>
  <c r="DZ18" i="1"/>
  <c r="Q18" i="1" s="1"/>
  <c r="HE122" i="1"/>
  <c r="AB122" i="1" s="1"/>
  <c r="DZ99" i="1"/>
  <c r="EA99" i="1" s="1"/>
  <c r="EA56" i="1"/>
  <c r="DZ148" i="1"/>
  <c r="Q148" i="1" s="1"/>
  <c r="HE62" i="1"/>
  <c r="AB62" i="1" s="1"/>
  <c r="HE70" i="1"/>
  <c r="AB70" i="1" s="1"/>
  <c r="DZ88" i="1"/>
  <c r="Q88" i="1" s="1"/>
  <c r="HE96" i="1"/>
  <c r="AB96" i="1" s="1"/>
  <c r="HE83" i="1"/>
  <c r="AB83" i="1" s="1"/>
  <c r="HE99" i="1"/>
  <c r="AB99" i="1" s="1"/>
  <c r="DZ87" i="1"/>
  <c r="Q87" i="1" s="1"/>
  <c r="HE93" i="1"/>
  <c r="AB93" i="1" s="1"/>
  <c r="DZ116" i="1"/>
  <c r="EA116" i="1" s="1"/>
  <c r="DZ63" i="1"/>
  <c r="EA63" i="1" s="1"/>
  <c r="HE103" i="1"/>
  <c r="AB103" i="1" s="1"/>
  <c r="HE89" i="1"/>
  <c r="AB89" i="1" s="1"/>
  <c r="DZ74" i="1"/>
  <c r="Q74" i="1" s="1"/>
  <c r="DZ72" i="1"/>
  <c r="EA72" i="1" s="1"/>
  <c r="HE82" i="1"/>
  <c r="AB82" i="1" s="1"/>
  <c r="DZ115" i="1"/>
  <c r="EA115" i="1" s="1"/>
  <c r="HE65" i="1"/>
  <c r="AB65" i="1" s="1"/>
  <c r="DZ106" i="1"/>
  <c r="Q106" i="1" s="1"/>
  <c r="DZ131" i="1"/>
  <c r="EA131" i="1" s="1"/>
  <c r="DZ81" i="1"/>
  <c r="Q81" i="1" s="1"/>
  <c r="HE78" i="1"/>
  <c r="AB78" i="1" s="1"/>
  <c r="Q71" i="1"/>
  <c r="Q25" i="1"/>
  <c r="EA25" i="1"/>
  <c r="Q117" i="1"/>
  <c r="HE148" i="1"/>
  <c r="AB148" i="1" s="1"/>
  <c r="EA128" i="1"/>
  <c r="Q128" i="1"/>
  <c r="EA74" i="1"/>
  <c r="DZ130" i="1"/>
  <c r="EA130" i="1" s="1"/>
  <c r="EA85" i="1"/>
  <c r="Q85" i="1"/>
  <c r="EA150" i="1"/>
  <c r="Q150" i="1"/>
  <c r="I134" i="14" s="1"/>
  <c r="K134" i="14" s="1"/>
  <c r="EA65" i="1"/>
  <c r="Q108" i="1"/>
  <c r="HE68" i="1"/>
  <c r="AB68" i="1" s="1"/>
  <c r="EA100" i="1"/>
  <c r="Q86" i="1"/>
  <c r="EA86" i="1"/>
  <c r="Q96" i="1"/>
  <c r="EA96" i="1"/>
  <c r="EA27" i="1"/>
  <c r="EA82" i="1"/>
  <c r="Q82" i="1"/>
  <c r="AS150" i="1"/>
  <c r="Q32" i="1"/>
  <c r="EA32" i="1"/>
  <c r="EA37" i="1"/>
  <c r="Q37" i="1"/>
  <c r="BT73" i="1"/>
  <c r="DD73" i="1"/>
  <c r="L73" i="1" s="1"/>
  <c r="DZ75" i="1"/>
  <c r="EA95" i="1"/>
  <c r="Q95" i="1"/>
  <c r="EA143" i="1"/>
  <c r="Q143" i="1"/>
  <c r="EA145" i="1"/>
  <c r="Q145" i="1"/>
  <c r="M55" i="1"/>
  <c r="O55" i="1" s="1"/>
  <c r="N55" i="1"/>
  <c r="BV48" i="1"/>
  <c r="BT48" i="1" s="1"/>
  <c r="BV47" i="1"/>
  <c r="BT47" i="1" s="1"/>
  <c r="BV26" i="1"/>
  <c r="BT26" i="1" s="1"/>
  <c r="BV30" i="1"/>
  <c r="BT30" i="1" s="1"/>
  <c r="BV28" i="1"/>
  <c r="BT28" i="1" s="1"/>
  <c r="BV38" i="1"/>
  <c r="BT38" i="1" s="1"/>
  <c r="BV50" i="1"/>
  <c r="BT50" i="1" s="1"/>
  <c r="BV44" i="1"/>
  <c r="BT44" i="1" s="1"/>
  <c r="BV42" i="1"/>
  <c r="BT42" i="1" s="1"/>
  <c r="BV46" i="1"/>
  <c r="BT46" i="1" s="1"/>
  <c r="BV34" i="1"/>
  <c r="BT34" i="1" s="1"/>
  <c r="BV53" i="1"/>
  <c r="BT53" i="1" s="1"/>
  <c r="BV23" i="1"/>
  <c r="BT23" i="1" s="1"/>
  <c r="BV45" i="1"/>
  <c r="BT45" i="1" s="1"/>
  <c r="BV29" i="1"/>
  <c r="BT29" i="1" s="1"/>
  <c r="BV37" i="1"/>
  <c r="BT37" i="1" s="1"/>
  <c r="BV33" i="1"/>
  <c r="BT33" i="1" s="1"/>
  <c r="BV49" i="1"/>
  <c r="BT49" i="1" s="1"/>
  <c r="BV41" i="1"/>
  <c r="BT41" i="1" s="1"/>
  <c r="BV31" i="1"/>
  <c r="BT31" i="1" s="1"/>
  <c r="BV21" i="1"/>
  <c r="BT21" i="1" s="1"/>
  <c r="BV52" i="1"/>
  <c r="BT52" i="1" s="1"/>
  <c r="BV39" i="1"/>
  <c r="BT39" i="1" s="1"/>
  <c r="BV19" i="1"/>
  <c r="BV27" i="1"/>
  <c r="BT27" i="1" s="1"/>
  <c r="BV22" i="1"/>
  <c r="BT22" i="1" s="1"/>
  <c r="BV24" i="1"/>
  <c r="BT24" i="1" s="1"/>
  <c r="BV35" i="1"/>
  <c r="BT35" i="1" s="1"/>
  <c r="BV32" i="1"/>
  <c r="BT32" i="1" s="1"/>
  <c r="BV43" i="1"/>
  <c r="BT43" i="1" s="1"/>
  <c r="BV36" i="1"/>
  <c r="BT36" i="1" s="1"/>
  <c r="BV40" i="1"/>
  <c r="BT40" i="1" s="1"/>
  <c r="BV20" i="1"/>
  <c r="BT20" i="1" s="1"/>
  <c r="BV51" i="1"/>
  <c r="BT51" i="1" s="1"/>
  <c r="BV25" i="1"/>
  <c r="BT25" i="1" s="1"/>
  <c r="EA105" i="1"/>
  <c r="Q105" i="1"/>
  <c r="EA67" i="1"/>
  <c r="Q67" i="1"/>
  <c r="Q124" i="1"/>
  <c r="EA124" i="1"/>
  <c r="N100" i="1"/>
  <c r="M100" i="1"/>
  <c r="O100" i="1" s="1"/>
  <c r="N123" i="1"/>
  <c r="M123" i="1"/>
  <c r="O123" i="1" s="1"/>
  <c r="M92" i="1"/>
  <c r="O92" i="1" s="1"/>
  <c r="N92" i="1"/>
  <c r="Q142" i="1"/>
  <c r="EA142" i="1"/>
  <c r="EA33" i="1"/>
  <c r="Q33" i="1"/>
  <c r="EA61" i="1"/>
  <c r="Q61" i="1"/>
  <c r="Q41" i="1"/>
  <c r="EA41" i="1"/>
  <c r="Q24" i="1"/>
  <c r="EA24" i="1"/>
  <c r="EA119" i="1"/>
  <c r="Q119" i="1"/>
  <c r="EA29" i="1"/>
  <c r="Q29" i="1"/>
  <c r="EA80" i="1"/>
  <c r="Q80" i="1"/>
  <c r="Q139" i="1"/>
  <c r="EA139" i="1"/>
  <c r="Q35" i="1"/>
  <c r="EA35" i="1"/>
  <c r="EA92" i="1"/>
  <c r="Q90" i="1"/>
  <c r="EA90" i="1"/>
  <c r="EA60" i="1"/>
  <c r="Q60" i="1"/>
  <c r="Q94" i="1"/>
  <c r="EA94" i="1"/>
  <c r="Q116" i="1"/>
  <c r="Q28" i="1"/>
  <c r="EA28" i="1"/>
  <c r="Q46" i="1"/>
  <c r="EA46" i="1"/>
  <c r="Q44" i="1"/>
  <c r="EA44" i="1"/>
  <c r="M27" i="1"/>
  <c r="O27" i="1" s="1"/>
  <c r="N27" i="1"/>
  <c r="EA79" i="1"/>
  <c r="Q79" i="1"/>
  <c r="EA23" i="1"/>
  <c r="Q23" i="1"/>
  <c r="N118" i="1"/>
  <c r="M118" i="1"/>
  <c r="O118" i="1" s="1"/>
  <c r="EA110" i="1"/>
  <c r="Q110" i="1"/>
  <c r="Q51" i="1"/>
  <c r="EA51" i="1"/>
  <c r="Q91" i="1"/>
  <c r="EA91" i="1"/>
  <c r="Q30" i="1"/>
  <c r="EA30" i="1"/>
  <c r="Q47" i="1"/>
  <c r="EA47" i="1"/>
  <c r="Q40" i="1"/>
  <c r="EA40" i="1"/>
  <c r="EA21" i="1"/>
  <c r="Q21" i="1"/>
  <c r="Q50" i="1"/>
  <c r="EA50" i="1"/>
  <c r="EA58" i="1"/>
  <c r="Q58" i="1"/>
  <c r="Q57" i="1"/>
  <c r="EA57" i="1"/>
  <c r="EA64" i="1"/>
  <c r="Q64" i="1"/>
  <c r="EA101" i="1"/>
  <c r="Q101" i="1"/>
  <c r="EA62" i="1"/>
  <c r="Q62" i="1"/>
  <c r="EA52" i="1"/>
  <c r="Q52" i="1"/>
  <c r="EA42" i="1"/>
  <c r="Q42" i="1"/>
  <c r="Q69" i="1"/>
  <c r="EA69" i="1"/>
  <c r="EA133" i="1"/>
  <c r="Q133" i="1"/>
  <c r="EA149" i="1"/>
  <c r="Q149" i="1"/>
  <c r="I133" i="14" s="1"/>
  <c r="K133" i="14" s="1"/>
  <c r="Q66" i="1"/>
  <c r="EA66" i="1"/>
  <c r="Q126" i="1"/>
  <c r="EA126" i="1"/>
  <c r="Q93" i="1"/>
  <c r="EA140" i="1"/>
  <c r="Q140" i="1"/>
  <c r="Q107" i="1"/>
  <c r="EA26" i="1"/>
  <c r="Q26" i="1"/>
  <c r="Q53" i="1"/>
  <c r="EA53" i="1"/>
  <c r="Q137" i="1"/>
  <c r="EA137" i="1"/>
  <c r="Q78" i="1"/>
  <c r="EA78" i="1"/>
  <c r="EA103" i="1"/>
  <c r="Q103" i="1"/>
  <c r="Q77" i="1"/>
  <c r="EA77" i="1"/>
  <c r="EA38" i="1"/>
  <c r="Q38" i="1"/>
  <c r="EA43" i="1"/>
  <c r="Q43" i="1"/>
  <c r="Q34" i="1"/>
  <c r="EA34" i="1"/>
  <c r="EA55" i="1"/>
  <c r="EA113" i="1"/>
  <c r="AI149" i="1"/>
  <c r="AS149" i="1"/>
  <c r="AN149" i="1"/>
  <c r="EA97" i="1"/>
  <c r="Q97" i="1"/>
  <c r="EA147" i="1"/>
  <c r="Q147" i="1"/>
  <c r="EA76" i="1"/>
  <c r="Q76" i="1"/>
  <c r="Q127" i="1"/>
  <c r="EA127" i="1"/>
  <c r="N113" i="1"/>
  <c r="M113" i="1"/>
  <c r="O113" i="1" s="1"/>
  <c r="BW27" i="1"/>
  <c r="BU27" i="1" s="1"/>
  <c r="BW53" i="1"/>
  <c r="BU53" i="1" s="1"/>
  <c r="BW47" i="1"/>
  <c r="BU47" i="1" s="1"/>
  <c r="BW35" i="1"/>
  <c r="BU35" i="1" s="1"/>
  <c r="BW44" i="1"/>
  <c r="BU44" i="1" s="1"/>
  <c r="BW51" i="1"/>
  <c r="BU51" i="1" s="1"/>
  <c r="BW36" i="1"/>
  <c r="BU36" i="1" s="1"/>
  <c r="BW40" i="1"/>
  <c r="BU40" i="1" s="1"/>
  <c r="BW28" i="1"/>
  <c r="BU28" i="1" s="1"/>
  <c r="BW19" i="1"/>
  <c r="BW31" i="1"/>
  <c r="BU31" i="1" s="1"/>
  <c r="BW30" i="1"/>
  <c r="BU30" i="1" s="1"/>
  <c r="BW49" i="1"/>
  <c r="BU49" i="1" s="1"/>
  <c r="BW23" i="1"/>
  <c r="BU23" i="1" s="1"/>
  <c r="BW38" i="1"/>
  <c r="BU38" i="1" s="1"/>
  <c r="BW37" i="1"/>
  <c r="BU37" i="1" s="1"/>
  <c r="BW45" i="1"/>
  <c r="BU45" i="1" s="1"/>
  <c r="BW25" i="1"/>
  <c r="BU25" i="1" s="1"/>
  <c r="BW34" i="1"/>
  <c r="BU34" i="1" s="1"/>
  <c r="BW20" i="1"/>
  <c r="BU20" i="1" s="1"/>
  <c r="BW26" i="1"/>
  <c r="BU26" i="1" s="1"/>
  <c r="BW32" i="1"/>
  <c r="BU32" i="1" s="1"/>
  <c r="BW48" i="1"/>
  <c r="BU48" i="1" s="1"/>
  <c r="BW24" i="1"/>
  <c r="BU24" i="1" s="1"/>
  <c r="BW33" i="1"/>
  <c r="BU33" i="1" s="1"/>
  <c r="BW52" i="1"/>
  <c r="BU52" i="1" s="1"/>
  <c r="BW43" i="1"/>
  <c r="BU43" i="1" s="1"/>
  <c r="BW46" i="1"/>
  <c r="BU46" i="1" s="1"/>
  <c r="BW21" i="1"/>
  <c r="BU21" i="1" s="1"/>
  <c r="BW39" i="1"/>
  <c r="BU39" i="1" s="1"/>
  <c r="BW41" i="1"/>
  <c r="BU41" i="1" s="1"/>
  <c r="BW42" i="1"/>
  <c r="BU42" i="1" s="1"/>
  <c r="BW22" i="1"/>
  <c r="BU22" i="1" s="1"/>
  <c r="BW50" i="1"/>
  <c r="BU50" i="1" s="1"/>
  <c r="BW29" i="1"/>
  <c r="BU29" i="1" s="1"/>
  <c r="Q70" i="1"/>
  <c r="EA70" i="1"/>
  <c r="Q125" i="1"/>
  <c r="EA125" i="1"/>
  <c r="EA136" i="1"/>
  <c r="Q136" i="1"/>
  <c r="EA102" i="1"/>
  <c r="Q102" i="1"/>
  <c r="Q141" i="1"/>
  <c r="EA141" i="1"/>
  <c r="EA114" i="1"/>
  <c r="EA39" i="1"/>
  <c r="Q39" i="1"/>
  <c r="Q129" i="1"/>
  <c r="EA129" i="1"/>
  <c r="EA111" i="1"/>
  <c r="Q111" i="1"/>
  <c r="EA31" i="1"/>
  <c r="Q31" i="1"/>
  <c r="EA121" i="1"/>
  <c r="Q121" i="1"/>
  <c r="EA122" i="1"/>
  <c r="Q122" i="1"/>
  <c r="EA36" i="1"/>
  <c r="Q36" i="1"/>
  <c r="Q45" i="1"/>
  <c r="EA45" i="1"/>
  <c r="EA54" i="1"/>
  <c r="Q54" i="1"/>
  <c r="Q59" i="1"/>
  <c r="EA59" i="1"/>
  <c r="EA146" i="1"/>
  <c r="Q146" i="1"/>
  <c r="EA134" i="1"/>
  <c r="Q134" i="1"/>
  <c r="Q20" i="1"/>
  <c r="EA20" i="1"/>
  <c r="EA22" i="1"/>
  <c r="Q22" i="1"/>
  <c r="Q49" i="1"/>
  <c r="EA49" i="1"/>
  <c r="EA118" i="1"/>
  <c r="GA150" i="1"/>
  <c r="GG150" i="1"/>
  <c r="GD150" i="1"/>
  <c r="GE150" i="1"/>
  <c r="GB150" i="1"/>
  <c r="GF150" i="1"/>
  <c r="GI150" i="1"/>
  <c r="GH150" i="1"/>
  <c r="GC150" i="1"/>
  <c r="EV123" i="1"/>
  <c r="ET123" i="1" s="1"/>
  <c r="FM123" i="1"/>
  <c r="FK123" i="1" s="1"/>
  <c r="EK123" i="1"/>
  <c r="EI123" i="1" s="1"/>
  <c r="FE123" i="1"/>
  <c r="FC123" i="1" s="1"/>
  <c r="FL123" i="1"/>
  <c r="FJ123" i="1" s="1"/>
  <c r="ER123" i="1"/>
  <c r="EP123" i="1" s="1"/>
  <c r="FH123" i="1"/>
  <c r="FF123" i="1" s="1"/>
  <c r="FD123" i="1"/>
  <c r="FB123" i="1" s="1"/>
  <c r="EO123" i="1"/>
  <c r="EM123" i="1" s="1"/>
  <c r="EW123" i="1"/>
  <c r="EU123" i="1" s="1"/>
  <c r="EZ123" i="1"/>
  <c r="EX123" i="1" s="1"/>
  <c r="EN123" i="1"/>
  <c r="EL123" i="1" s="1"/>
  <c r="ES123" i="1"/>
  <c r="EQ123" i="1" s="1"/>
  <c r="EJ123" i="1"/>
  <c r="EH123" i="1" s="1"/>
  <c r="FI123" i="1"/>
  <c r="FG123" i="1" s="1"/>
  <c r="FA123" i="1"/>
  <c r="EY123" i="1" s="1"/>
  <c r="FQ123" i="1"/>
  <c r="FV123" i="1"/>
  <c r="GF123" i="1" s="1"/>
  <c r="FP123" i="1"/>
  <c r="FW123" i="1"/>
  <c r="GG123" i="1" s="1"/>
  <c r="FT123" i="1"/>
  <c r="GD123" i="1" s="1"/>
  <c r="FY123" i="1"/>
  <c r="GI123" i="1" s="1"/>
  <c r="V123" i="1"/>
  <c r="FX123" i="1"/>
  <c r="GH123" i="1" s="1"/>
  <c r="FR123" i="1"/>
  <c r="GB123" i="1" s="1"/>
  <c r="FS123" i="1"/>
  <c r="GC123" i="1" s="1"/>
  <c r="FU123" i="1"/>
  <c r="GE123" i="1" s="1"/>
  <c r="Q99" i="1" l="1"/>
  <c r="EA112" i="1"/>
  <c r="EA73" i="1"/>
  <c r="EA120" i="1"/>
  <c r="EA106" i="1"/>
  <c r="EA17" i="1"/>
  <c r="Q83" i="1"/>
  <c r="EA138" i="1"/>
  <c r="Q115" i="1"/>
  <c r="EA123" i="1"/>
  <c r="Q104" i="1"/>
  <c r="Q63" i="1"/>
  <c r="AN150" i="1"/>
  <c r="Q131" i="1"/>
  <c r="EA148" i="1"/>
  <c r="EA89" i="1"/>
  <c r="EA84" i="1"/>
  <c r="EA109" i="1"/>
  <c r="EA88" i="1"/>
  <c r="EA68" i="1"/>
  <c r="EA132" i="1"/>
  <c r="EA87" i="1"/>
  <c r="Q72" i="1"/>
  <c r="EA81" i="1"/>
  <c r="Q130" i="1"/>
  <c r="EA75" i="1"/>
  <c r="Q75" i="1"/>
  <c r="M73" i="1"/>
  <c r="O73" i="1" s="1"/>
  <c r="N73" i="1"/>
  <c r="DE19" i="1"/>
  <c r="EA19" i="1" s="1"/>
  <c r="BU19" i="1"/>
  <c r="BS149" i="1" s="1"/>
  <c r="DD19" i="1"/>
  <c r="L19" i="1" s="1"/>
  <c r="BT19" i="1"/>
  <c r="BR149" i="1" s="1"/>
  <c r="AV17" i="1"/>
  <c r="AL17" i="1"/>
  <c r="AQ17" i="1"/>
  <c r="I148" i="1" l="1"/>
  <c r="E148" i="1"/>
  <c r="A132" i="14" s="1"/>
  <c r="ID148" i="1"/>
  <c r="N19" i="1"/>
  <c r="M19" i="1"/>
  <c r="O19" i="1" s="1"/>
  <c r="BS148" i="1"/>
  <c r="BS147" i="1"/>
  <c r="BS144" i="1"/>
  <c r="DE144" i="1" s="1"/>
  <c r="EA144" i="1" s="1"/>
  <c r="BS96" i="1"/>
  <c r="BS111" i="1"/>
  <c r="BS67" i="1"/>
  <c r="BS104" i="1"/>
  <c r="BS87" i="1"/>
  <c r="BS113" i="1"/>
  <c r="BS140" i="1"/>
  <c r="BS141" i="1"/>
  <c r="BS48" i="1"/>
  <c r="BS134" i="1"/>
  <c r="BS128" i="1"/>
  <c r="BS107" i="1"/>
  <c r="BS22" i="1"/>
  <c r="BS46" i="1"/>
  <c r="BS25" i="1"/>
  <c r="BS136" i="1"/>
  <c r="BS31" i="1"/>
  <c r="BS73" i="1"/>
  <c r="BS120" i="1"/>
  <c r="BS115" i="1"/>
  <c r="BS72" i="1"/>
  <c r="BS65" i="1"/>
  <c r="BS112" i="1"/>
  <c r="BS130" i="1"/>
  <c r="BS86" i="1"/>
  <c r="BS139" i="1"/>
  <c r="BS101" i="1"/>
  <c r="BS94" i="1"/>
  <c r="BS41" i="1"/>
  <c r="BS21" i="1"/>
  <c r="BS49" i="1"/>
  <c r="BS146" i="1"/>
  <c r="BS63" i="1"/>
  <c r="BS121" i="1"/>
  <c r="BS125" i="1"/>
  <c r="BS98" i="1"/>
  <c r="DE98" i="1" s="1"/>
  <c r="EA98" i="1" s="1"/>
  <c r="BS78" i="1"/>
  <c r="BS90" i="1"/>
  <c r="BS102" i="1"/>
  <c r="BS84" i="1"/>
  <c r="BS92" i="1"/>
  <c r="BS20" i="1"/>
  <c r="BS68" i="1"/>
  <c r="BS131" i="1"/>
  <c r="BS52" i="1"/>
  <c r="BS57" i="1"/>
  <c r="BS100" i="1"/>
  <c r="BS59" i="1"/>
  <c r="BS34" i="1"/>
  <c r="BS32" i="1"/>
  <c r="BS27" i="1"/>
  <c r="BS88" i="1"/>
  <c r="BS26" i="1"/>
  <c r="BS58" i="1"/>
  <c r="BS85" i="1"/>
  <c r="BS76" i="1"/>
  <c r="BS44" i="1"/>
  <c r="BS109" i="1"/>
  <c r="BS60" i="1"/>
  <c r="BS37" i="1"/>
  <c r="BS55" i="1"/>
  <c r="BS53" i="1"/>
  <c r="BS66" i="1"/>
  <c r="BS33" i="1"/>
  <c r="BS143" i="1"/>
  <c r="BS35" i="1"/>
  <c r="BS19" i="1"/>
  <c r="BS50" i="1"/>
  <c r="BS23" i="1"/>
  <c r="BS71" i="1"/>
  <c r="BS126" i="1"/>
  <c r="BS77" i="1"/>
  <c r="BS110" i="1"/>
  <c r="BS105" i="1"/>
  <c r="BS79" i="1"/>
  <c r="BS51" i="1"/>
  <c r="BS97" i="1"/>
  <c r="BS95" i="1"/>
  <c r="BS62" i="1"/>
  <c r="BS47" i="1"/>
  <c r="BS138" i="1"/>
  <c r="BS61" i="1"/>
  <c r="BS81" i="1"/>
  <c r="BS108" i="1"/>
  <c r="BS82" i="1"/>
  <c r="BS124" i="1"/>
  <c r="BS64" i="1"/>
  <c r="BS142" i="1"/>
  <c r="BS91" i="1"/>
  <c r="BS30" i="1"/>
  <c r="BS116" i="1"/>
  <c r="BS119" i="1"/>
  <c r="BS45" i="1"/>
  <c r="BS38" i="1"/>
  <c r="BS39" i="1"/>
  <c r="BS106" i="1"/>
  <c r="BS145" i="1"/>
  <c r="BS93" i="1"/>
  <c r="BS54" i="1"/>
  <c r="BS103" i="1"/>
  <c r="BS83" i="1"/>
  <c r="BS133" i="1"/>
  <c r="BS40" i="1"/>
  <c r="BS74" i="1"/>
  <c r="BS18" i="1"/>
  <c r="DE18" i="1" s="1"/>
  <c r="EA18" i="1" s="1"/>
  <c r="BS42" i="1"/>
  <c r="BS69" i="1"/>
  <c r="BS132" i="1"/>
  <c r="BS129" i="1"/>
  <c r="BS56" i="1"/>
  <c r="BS122" i="1"/>
  <c r="BS117" i="1"/>
  <c r="BS43" i="1"/>
  <c r="BS137" i="1"/>
  <c r="BS114" i="1"/>
  <c r="BS118" i="1"/>
  <c r="BS99" i="1"/>
  <c r="BS123" i="1"/>
  <c r="BS70" i="1"/>
  <c r="BS28" i="1"/>
  <c r="BS80" i="1"/>
  <c r="BS29" i="1"/>
  <c r="BS36" i="1"/>
  <c r="BS24" i="1"/>
  <c r="BS135" i="1"/>
  <c r="BS127" i="1"/>
  <c r="BS75" i="1"/>
  <c r="BS89" i="1"/>
  <c r="BR148" i="1"/>
  <c r="BR144" i="1"/>
  <c r="BR81" i="1"/>
  <c r="BR75" i="1"/>
  <c r="BR80" i="1"/>
  <c r="BR26" i="1"/>
  <c r="BR61" i="1"/>
  <c r="BR68" i="1"/>
  <c r="BR91" i="1"/>
  <c r="BR87" i="1"/>
  <c r="BR120" i="1"/>
  <c r="BR32" i="1"/>
  <c r="BR92" i="1"/>
  <c r="BR115" i="1"/>
  <c r="BR53" i="1"/>
  <c r="BR86" i="1"/>
  <c r="BR60" i="1"/>
  <c r="BR96" i="1"/>
  <c r="BR79" i="1"/>
  <c r="BR103" i="1"/>
  <c r="BR43" i="1"/>
  <c r="BR136" i="1"/>
  <c r="BR27" i="1"/>
  <c r="BR73" i="1"/>
  <c r="BR20" i="1"/>
  <c r="BR74" i="1"/>
  <c r="BR128" i="1"/>
  <c r="BR56" i="1"/>
  <c r="BR18" i="1"/>
  <c r="BR139" i="1"/>
  <c r="BR21" i="1"/>
  <c r="BR19" i="1"/>
  <c r="BR50" i="1"/>
  <c r="BR83" i="1"/>
  <c r="BR41" i="1"/>
  <c r="BR143" i="1"/>
  <c r="BR104" i="1"/>
  <c r="BR39" i="1"/>
  <c r="BR58" i="1"/>
  <c r="BR114" i="1"/>
  <c r="BR99" i="1"/>
  <c r="BR77" i="1"/>
  <c r="BR121" i="1"/>
  <c r="BR129" i="1"/>
  <c r="BR63" i="1"/>
  <c r="BR90" i="1"/>
  <c r="BR95" i="1"/>
  <c r="BR100" i="1"/>
  <c r="BR132" i="1"/>
  <c r="BR118" i="1"/>
  <c r="BR54" i="1"/>
  <c r="BR117" i="1"/>
  <c r="BR94" i="1"/>
  <c r="BR65" i="1"/>
  <c r="BR48" i="1"/>
  <c r="BR93" i="1"/>
  <c r="BR44" i="1"/>
  <c r="BR33" i="1"/>
  <c r="BR108" i="1"/>
  <c r="BR119" i="1"/>
  <c r="BR55" i="1"/>
  <c r="BR35" i="1"/>
  <c r="BR110" i="1"/>
  <c r="BR67" i="1"/>
  <c r="BR85" i="1"/>
  <c r="BR123" i="1"/>
  <c r="BR31" i="1"/>
  <c r="BR135" i="1"/>
  <c r="BR37" i="1"/>
  <c r="BR133" i="1"/>
  <c r="BR147" i="1"/>
  <c r="BR47" i="1"/>
  <c r="BR130" i="1"/>
  <c r="BR131" i="1"/>
  <c r="BR78" i="1"/>
  <c r="BR107" i="1"/>
  <c r="BR84" i="1"/>
  <c r="BR134" i="1"/>
  <c r="BR72" i="1"/>
  <c r="BR105" i="1"/>
  <c r="BR46" i="1"/>
  <c r="BR106" i="1"/>
  <c r="BR113" i="1"/>
  <c r="BR30" i="1"/>
  <c r="BR42" i="1"/>
  <c r="BR124" i="1"/>
  <c r="BR52" i="1"/>
  <c r="BR125" i="1"/>
  <c r="BR34" i="1"/>
  <c r="BR82" i="1"/>
  <c r="BR70" i="1"/>
  <c r="BR62" i="1"/>
  <c r="BR140" i="1"/>
  <c r="BR112" i="1"/>
  <c r="BR116" i="1"/>
  <c r="BR138" i="1"/>
  <c r="BR69" i="1"/>
  <c r="BR36" i="1"/>
  <c r="BR49" i="1"/>
  <c r="BR51" i="1"/>
  <c r="BR146" i="1"/>
  <c r="BR145" i="1"/>
  <c r="BR98" i="1"/>
  <c r="BR126" i="1"/>
  <c r="BR40" i="1"/>
  <c r="BR127" i="1"/>
  <c r="BR57" i="1"/>
  <c r="BR142" i="1"/>
  <c r="BR59" i="1"/>
  <c r="BR88" i="1"/>
  <c r="BR25" i="1"/>
  <c r="BR109" i="1"/>
  <c r="BR141" i="1"/>
  <c r="BR24" i="1"/>
  <c r="BR64" i="1"/>
  <c r="BR22" i="1"/>
  <c r="BR76" i="1"/>
  <c r="BR28" i="1"/>
  <c r="BR101" i="1"/>
  <c r="BR29" i="1"/>
  <c r="BR71" i="1"/>
  <c r="BR66" i="1"/>
  <c r="BR38" i="1"/>
  <c r="BR111" i="1"/>
  <c r="BR122" i="1"/>
  <c r="BR137" i="1"/>
  <c r="BR89" i="1"/>
  <c r="BR102" i="1"/>
  <c r="BR45" i="1"/>
  <c r="BR97" i="1"/>
  <c r="BR23" i="1"/>
  <c r="C132" i="14" l="1"/>
  <c r="B132" i="14"/>
  <c r="F132" i="14"/>
  <c r="J132" i="14"/>
  <c r="E132" i="14"/>
  <c r="I132" i="14"/>
  <c r="D132" i="14"/>
  <c r="IM148" i="1"/>
  <c r="IL148" i="1" s="1"/>
  <c r="IN148" i="1" s="1"/>
  <c r="ID101" i="1"/>
  <c r="I101" i="1"/>
  <c r="E101" i="1"/>
  <c r="A85" i="14" s="1"/>
  <c r="E110" i="1"/>
  <c r="A94" i="14" s="1"/>
  <c r="ID110" i="1"/>
  <c r="I110" i="1"/>
  <c r="E28" i="1"/>
  <c r="A12" i="14" s="1"/>
  <c r="I28" i="1"/>
  <c r="ID28" i="1"/>
  <c r="I21" i="1"/>
  <c r="ID21" i="1"/>
  <c r="E21" i="1"/>
  <c r="A5" i="14" s="1"/>
  <c r="E108" i="1"/>
  <c r="A92" i="14" s="1"/>
  <c r="I108" i="1"/>
  <c r="ID108" i="1"/>
  <c r="E141" i="1"/>
  <c r="A125" i="14" s="1"/>
  <c r="ID141" i="1"/>
  <c r="I141" i="1"/>
  <c r="ID125" i="1"/>
  <c r="E125" i="1"/>
  <c r="A109" i="14" s="1"/>
  <c r="I125" i="1"/>
  <c r="ID50" i="1"/>
  <c r="I50" i="1"/>
  <c r="E50" i="1"/>
  <c r="A34" i="14" s="1"/>
  <c r="I137" i="1"/>
  <c r="E137" i="1"/>
  <c r="A121" i="14" s="1"/>
  <c r="ID137" i="1"/>
  <c r="E61" i="1"/>
  <c r="A45" i="14" s="1"/>
  <c r="I61" i="1"/>
  <c r="ID61" i="1"/>
  <c r="ID124" i="1"/>
  <c r="I124" i="1"/>
  <c r="E124" i="1"/>
  <c r="A108" i="14" s="1"/>
  <c r="E29" i="1"/>
  <c r="A13" i="14" s="1"/>
  <c r="I29" i="1"/>
  <c r="ID29" i="1"/>
  <c r="ID104" i="1"/>
  <c r="I104" i="1"/>
  <c r="E104" i="1"/>
  <c r="A88" i="14" s="1"/>
  <c r="I106" i="1"/>
  <c r="ID106" i="1"/>
  <c r="E106" i="1"/>
  <c r="A90" i="14" s="1"/>
  <c r="ID46" i="1"/>
  <c r="E46" i="1"/>
  <c r="A30" i="14" s="1"/>
  <c r="I46" i="1"/>
  <c r="I134" i="1"/>
  <c r="ID134" i="1"/>
  <c r="E134" i="1"/>
  <c r="A118" i="14" s="1"/>
  <c r="E66" i="1"/>
  <c r="A50" i="14" s="1"/>
  <c r="I66" i="1"/>
  <c r="ID66" i="1"/>
  <c r="E116" i="1"/>
  <c r="A100" i="14" s="1"/>
  <c r="I116" i="1"/>
  <c r="ID116" i="1"/>
  <c r="I99" i="1"/>
  <c r="E99" i="1"/>
  <c r="A83" i="14" s="1"/>
  <c r="ID99" i="1"/>
  <c r="I128" i="1"/>
  <c r="ID128" i="1"/>
  <c r="E128" i="1"/>
  <c r="A112" i="14" s="1"/>
  <c r="E142" i="1"/>
  <c r="A126" i="14" s="1"/>
  <c r="I142" i="1"/>
  <c r="ID142" i="1"/>
  <c r="I72" i="1"/>
  <c r="ID72" i="1"/>
  <c r="E72" i="1"/>
  <c r="A56" i="14" s="1"/>
  <c r="I102" i="1"/>
  <c r="E102" i="1"/>
  <c r="A86" i="14" s="1"/>
  <c r="ID102" i="1"/>
  <c r="I85" i="1"/>
  <c r="E85" i="1"/>
  <c r="A69" i="14" s="1"/>
  <c r="ID85" i="1"/>
  <c r="I31" i="1"/>
  <c r="E31" i="1"/>
  <c r="A15" i="14" s="1"/>
  <c r="ID31" i="1"/>
  <c r="ID67" i="1"/>
  <c r="E67" i="1"/>
  <c r="A51" i="14" s="1"/>
  <c r="I67" i="1"/>
  <c r="I74" i="1"/>
  <c r="E74" i="1"/>
  <c r="A58" i="14" s="1"/>
  <c r="ID74" i="1"/>
  <c r="I44" i="1"/>
  <c r="ID44" i="1"/>
  <c r="E44" i="1"/>
  <c r="A28" i="14" s="1"/>
  <c r="I121" i="1"/>
  <c r="E121" i="1"/>
  <c r="A105" i="14" s="1"/>
  <c r="ID121" i="1"/>
  <c r="E70" i="1"/>
  <c r="A54" i="14" s="1"/>
  <c r="I70" i="1"/>
  <c r="ID70" i="1"/>
  <c r="ID75" i="1"/>
  <c r="I75" i="1"/>
  <c r="E75" i="1"/>
  <c r="A59" i="14" s="1"/>
  <c r="ID140" i="1"/>
  <c r="I140" i="1"/>
  <c r="E140" i="1"/>
  <c r="A124" i="14" s="1"/>
  <c r="I58" i="1"/>
  <c r="ID58" i="1"/>
  <c r="E58" i="1"/>
  <c r="A42" i="14" s="1"/>
  <c r="E39" i="1"/>
  <c r="A23" i="14" s="1"/>
  <c r="I39" i="1"/>
  <c r="ID39" i="1"/>
  <c r="ID145" i="1"/>
  <c r="I145" i="1"/>
  <c r="E145" i="1"/>
  <c r="A129" i="14" s="1"/>
  <c r="ID68" i="1"/>
  <c r="E68" i="1"/>
  <c r="A52" i="14" s="1"/>
  <c r="I68" i="1"/>
  <c r="ID139" i="1"/>
  <c r="E139" i="1"/>
  <c r="A123" i="14" s="1"/>
  <c r="I139" i="1"/>
  <c r="E33" i="1"/>
  <c r="A17" i="14" s="1"/>
  <c r="I33" i="1"/>
  <c r="ID33" i="1"/>
  <c r="ID41" i="1"/>
  <c r="E41" i="1"/>
  <c r="A25" i="14" s="1"/>
  <c r="I41" i="1"/>
  <c r="ID45" i="1"/>
  <c r="I45" i="1"/>
  <c r="E45" i="1"/>
  <c r="A29" i="14" s="1"/>
  <c r="ID83" i="1"/>
  <c r="I83" i="1"/>
  <c r="E83" i="1"/>
  <c r="A67" i="14" s="1"/>
  <c r="ID129" i="1"/>
  <c r="E129" i="1"/>
  <c r="A113" i="14" s="1"/>
  <c r="I129" i="1"/>
  <c r="I36" i="1"/>
  <c r="E36" i="1"/>
  <c r="A20" i="14" s="1"/>
  <c r="ID36" i="1"/>
  <c r="I84" i="1"/>
  <c r="E84" i="1"/>
  <c r="A68" i="14" s="1"/>
  <c r="ID84" i="1"/>
  <c r="I54" i="1"/>
  <c r="ID54" i="1"/>
  <c r="E54" i="1"/>
  <c r="A38" i="14" s="1"/>
  <c r="ID43" i="1"/>
  <c r="I43" i="1"/>
  <c r="E43" i="1"/>
  <c r="A27" i="14" s="1"/>
  <c r="ID93" i="1"/>
  <c r="I93" i="1"/>
  <c r="E93" i="1"/>
  <c r="A77" i="14" s="1"/>
  <c r="I131" i="1"/>
  <c r="ID131" i="1"/>
  <c r="E131" i="1"/>
  <c r="A115" i="14" s="1"/>
  <c r="ID62" i="1"/>
  <c r="I62" i="1"/>
  <c r="E62" i="1"/>
  <c r="A46" i="14" s="1"/>
  <c r="E98" i="1"/>
  <c r="A82" i="14" s="1"/>
  <c r="I98" i="1"/>
  <c r="ID98" i="1"/>
  <c r="E103" i="1"/>
  <c r="A87" i="14" s="1"/>
  <c r="I103" i="1"/>
  <c r="ID103" i="1"/>
  <c r="ID49" i="1"/>
  <c r="I49" i="1"/>
  <c r="E49" i="1"/>
  <c r="A33" i="14" s="1"/>
  <c r="DD18" i="1"/>
  <c r="L18" i="1" s="1"/>
  <c r="I17" i="1"/>
  <c r="ID17" i="1"/>
  <c r="E17" i="1"/>
  <c r="IM17" i="1" s="1"/>
  <c r="IL17" i="1" s="1"/>
  <c r="E42" i="1"/>
  <c r="A26" i="14" s="1"/>
  <c r="I42" i="1"/>
  <c r="ID42" i="1"/>
  <c r="E59" i="1"/>
  <c r="A43" i="14" s="1"/>
  <c r="ID59" i="1"/>
  <c r="I59" i="1"/>
  <c r="I91" i="1"/>
  <c r="E91" i="1"/>
  <c r="A75" i="14" s="1"/>
  <c r="ID91" i="1"/>
  <c r="I90" i="1"/>
  <c r="ID90" i="1"/>
  <c r="E90" i="1"/>
  <c r="A74" i="14" s="1"/>
  <c r="E79" i="1"/>
  <c r="A63" i="14" s="1"/>
  <c r="ID79" i="1"/>
  <c r="I79" i="1"/>
  <c r="ID147" i="1"/>
  <c r="E147" i="1"/>
  <c r="A131" i="14" s="1"/>
  <c r="I147" i="1"/>
  <c r="E96" i="1"/>
  <c r="A80" i="14" s="1"/>
  <c r="I96" i="1"/>
  <c r="ID96" i="1"/>
  <c r="I136" i="1"/>
  <c r="E136" i="1"/>
  <c r="A120" i="14" s="1"/>
  <c r="ID136" i="1"/>
  <c r="ID65" i="1"/>
  <c r="I65" i="1"/>
  <c r="E65" i="1"/>
  <c r="A49" i="14" s="1"/>
  <c r="E23" i="1"/>
  <c r="A7" i="14" s="1"/>
  <c r="ID23" i="1"/>
  <c r="I23" i="1"/>
  <c r="E87" i="1"/>
  <c r="A71" i="14" s="1"/>
  <c r="ID87" i="1"/>
  <c r="I87" i="1"/>
  <c r="I126" i="1"/>
  <c r="E126" i="1"/>
  <c r="A110" i="14" s="1"/>
  <c r="ID126" i="1"/>
  <c r="E144" i="1"/>
  <c r="A128" i="14" s="1"/>
  <c r="ID144" i="1"/>
  <c r="I144" i="1"/>
  <c r="E35" i="1"/>
  <c r="A19" i="14" s="1"/>
  <c r="I35" i="1"/>
  <c r="ID35" i="1"/>
  <c r="E111" i="1"/>
  <c r="A95" i="14" s="1"/>
  <c r="ID111" i="1"/>
  <c r="I111" i="1"/>
  <c r="E81" i="1"/>
  <c r="A65" i="14" s="1"/>
  <c r="I81" i="1"/>
  <c r="ID81" i="1"/>
  <c r="ID105" i="1"/>
  <c r="E105" i="1"/>
  <c r="A89" i="14" s="1"/>
  <c r="I105" i="1"/>
  <c r="I133" i="1"/>
  <c r="ID133" i="1"/>
  <c r="E133" i="1"/>
  <c r="A117" i="14" s="1"/>
  <c r="I130" i="1"/>
  <c r="ID130" i="1"/>
  <c r="E130" i="1"/>
  <c r="A114" i="14" s="1"/>
  <c r="I132" i="1"/>
  <c r="ID132" i="1"/>
  <c r="E132" i="1"/>
  <c r="A116" i="14" s="1"/>
  <c r="E122" i="1"/>
  <c r="A106" i="14" s="1"/>
  <c r="I122" i="1"/>
  <c r="ID122" i="1"/>
  <c r="I34" i="1"/>
  <c r="ID34" i="1"/>
  <c r="E34" i="1"/>
  <c r="A18" i="14" s="1"/>
  <c r="E32" i="1"/>
  <c r="A16" i="14" s="1"/>
  <c r="I32" i="1"/>
  <c r="ID32" i="1"/>
  <c r="I64" i="1"/>
  <c r="E64" i="1"/>
  <c r="A48" i="14" s="1"/>
  <c r="ID64" i="1"/>
  <c r="E117" i="1"/>
  <c r="A101" i="14" s="1"/>
  <c r="I117" i="1"/>
  <c r="ID117" i="1"/>
  <c r="I89" i="1"/>
  <c r="ID89" i="1"/>
  <c r="E89" i="1"/>
  <c r="A73" i="14" s="1"/>
  <c r="ID76" i="1"/>
  <c r="I76" i="1"/>
  <c r="E76" i="1"/>
  <c r="A60" i="14" s="1"/>
  <c r="I38" i="1"/>
  <c r="E38" i="1"/>
  <c r="A22" i="14" s="1"/>
  <c r="ID38" i="1"/>
  <c r="I82" i="1"/>
  <c r="E82" i="1"/>
  <c r="A66" i="14" s="1"/>
  <c r="ID82" i="1"/>
  <c r="ID138" i="1"/>
  <c r="I138" i="1"/>
  <c r="E138" i="1"/>
  <c r="A122" i="14" s="1"/>
  <c r="ID135" i="1"/>
  <c r="I135" i="1"/>
  <c r="E135" i="1"/>
  <c r="A119" i="14" s="1"/>
  <c r="I95" i="1"/>
  <c r="E95" i="1"/>
  <c r="A79" i="14" s="1"/>
  <c r="ID95" i="1"/>
  <c r="I114" i="1"/>
  <c r="E114" i="1"/>
  <c r="A98" i="14" s="1"/>
  <c r="ID114" i="1"/>
  <c r="E86" i="1"/>
  <c r="A70" i="14" s="1"/>
  <c r="I86" i="1"/>
  <c r="ID86" i="1"/>
  <c r="I25" i="1"/>
  <c r="E25" i="1"/>
  <c r="A9" i="14" s="1"/>
  <c r="ID25" i="1"/>
  <c r="ID143" i="1"/>
  <c r="E143" i="1"/>
  <c r="A127" i="14" s="1"/>
  <c r="I143" i="1"/>
  <c r="E22" i="1"/>
  <c r="A6" i="14" s="1"/>
  <c r="ID22" i="1"/>
  <c r="I22" i="1"/>
  <c r="I88" i="1"/>
  <c r="E88" i="1"/>
  <c r="A72" i="14" s="1"/>
  <c r="ID88" i="1"/>
  <c r="I37" i="1"/>
  <c r="E37" i="1"/>
  <c r="A21" i="14" s="1"/>
  <c r="ID37" i="1"/>
  <c r="ID63" i="1"/>
  <c r="I63" i="1"/>
  <c r="E63" i="1"/>
  <c r="A47" i="14" s="1"/>
  <c r="ID24" i="1"/>
  <c r="I24" i="1"/>
  <c r="E24" i="1"/>
  <c r="A8" i="14" s="1"/>
  <c r="I56" i="1"/>
  <c r="E56" i="1"/>
  <c r="A40" i="14" s="1"/>
  <c r="ID56" i="1"/>
  <c r="ID97" i="1"/>
  <c r="I97" i="1"/>
  <c r="E97" i="1"/>
  <c r="A81" i="14" s="1"/>
  <c r="I48" i="1"/>
  <c r="ID48" i="1"/>
  <c r="E48" i="1"/>
  <c r="A32" i="14" s="1"/>
  <c r="E115" i="1"/>
  <c r="A99" i="14" s="1"/>
  <c r="I115" i="1"/>
  <c r="ID115" i="1"/>
  <c r="E69" i="1"/>
  <c r="A53" i="14" s="1"/>
  <c r="I69" i="1"/>
  <c r="ID69" i="1"/>
  <c r="ID51" i="1"/>
  <c r="E51" i="1"/>
  <c r="A35" i="14" s="1"/>
  <c r="I51" i="1"/>
  <c r="I112" i="1"/>
  <c r="E112" i="1"/>
  <c r="A96" i="14" s="1"/>
  <c r="ID112" i="1"/>
  <c r="E71" i="1"/>
  <c r="A55" i="14" s="1"/>
  <c r="I71" i="1"/>
  <c r="ID71" i="1"/>
  <c r="E77" i="1"/>
  <c r="A61" i="14" s="1"/>
  <c r="ID77" i="1"/>
  <c r="I77" i="1"/>
  <c r="ID146" i="1"/>
  <c r="I146" i="1"/>
  <c r="E146" i="1"/>
  <c r="A130" i="14" s="1"/>
  <c r="ID30" i="1"/>
  <c r="I30" i="1"/>
  <c r="E30" i="1"/>
  <c r="A14" i="14" s="1"/>
  <c r="ID109" i="1"/>
  <c r="I109" i="1"/>
  <c r="E109" i="1"/>
  <c r="A93" i="14" s="1"/>
  <c r="I107" i="1"/>
  <c r="E107" i="1"/>
  <c r="A91" i="14" s="1"/>
  <c r="ID107" i="1"/>
  <c r="I47" i="1"/>
  <c r="E47" i="1"/>
  <c r="A31" i="14" s="1"/>
  <c r="ID47" i="1"/>
  <c r="I53" i="1"/>
  <c r="ID53" i="1"/>
  <c r="E53" i="1"/>
  <c r="A37" i="14" s="1"/>
  <c r="E94" i="1"/>
  <c r="A78" i="14" s="1"/>
  <c r="ID94" i="1"/>
  <c r="I94" i="1"/>
  <c r="E120" i="1"/>
  <c r="A104" i="14" s="1"/>
  <c r="ID120" i="1"/>
  <c r="I120" i="1"/>
  <c r="ID57" i="1"/>
  <c r="E57" i="1"/>
  <c r="A41" i="14" s="1"/>
  <c r="I57" i="1"/>
  <c r="E40" i="1"/>
  <c r="A24" i="14" s="1"/>
  <c r="ID40" i="1"/>
  <c r="I40" i="1"/>
  <c r="I20" i="1"/>
  <c r="E20" i="1"/>
  <c r="A4" i="14" s="1"/>
  <c r="ID20" i="1"/>
  <c r="E127" i="1"/>
  <c r="A111" i="14" s="1"/>
  <c r="ID127" i="1"/>
  <c r="I127" i="1"/>
  <c r="E26" i="1"/>
  <c r="A10" i="14" s="1"/>
  <c r="ID26" i="1"/>
  <c r="I26" i="1"/>
  <c r="E78" i="1"/>
  <c r="A62" i="14" s="1"/>
  <c r="I78" i="1"/>
  <c r="ID78" i="1"/>
  <c r="I52" i="1"/>
  <c r="E52" i="1"/>
  <c r="A36" i="14" s="1"/>
  <c r="ID52" i="1"/>
  <c r="ID119" i="1"/>
  <c r="E119" i="1"/>
  <c r="A103" i="14" s="1"/>
  <c r="I119" i="1"/>
  <c r="ID60" i="1"/>
  <c r="I60" i="1"/>
  <c r="E60" i="1"/>
  <c r="A44" i="14" s="1"/>
  <c r="E80" i="1"/>
  <c r="A64" i="14" s="1"/>
  <c r="I80" i="1"/>
  <c r="ID80" i="1"/>
  <c r="K132" i="14" l="1"/>
  <c r="C104" i="14"/>
  <c r="B104" i="14"/>
  <c r="F104" i="14"/>
  <c r="J104" i="14"/>
  <c r="E104" i="14"/>
  <c r="I104" i="14"/>
  <c r="D104" i="14"/>
  <c r="B103" i="14"/>
  <c r="F103" i="14"/>
  <c r="J103" i="14"/>
  <c r="E103" i="14"/>
  <c r="I103" i="14"/>
  <c r="D103" i="14"/>
  <c r="C103" i="14"/>
  <c r="E64" i="14"/>
  <c r="I64" i="14"/>
  <c r="D64" i="14"/>
  <c r="C64" i="14"/>
  <c r="B64" i="14"/>
  <c r="F64" i="14"/>
  <c r="J64" i="14"/>
  <c r="E36" i="14"/>
  <c r="I36" i="14"/>
  <c r="D36" i="14"/>
  <c r="C36" i="14"/>
  <c r="B36" i="14"/>
  <c r="F36" i="14"/>
  <c r="J36" i="14"/>
  <c r="C62" i="14"/>
  <c r="B62" i="14"/>
  <c r="F62" i="14"/>
  <c r="J62" i="14"/>
  <c r="E62" i="14"/>
  <c r="I62" i="14"/>
  <c r="D62" i="14"/>
  <c r="E4" i="14"/>
  <c r="I4" i="14"/>
  <c r="D4" i="14"/>
  <c r="C4" i="14"/>
  <c r="B4" i="14"/>
  <c r="F4" i="14"/>
  <c r="J4" i="14"/>
  <c r="E24" i="14"/>
  <c r="I24" i="14"/>
  <c r="D24" i="14"/>
  <c r="C24" i="14"/>
  <c r="B24" i="14"/>
  <c r="F24" i="14"/>
  <c r="J24" i="14"/>
  <c r="E98" i="14"/>
  <c r="I98" i="14"/>
  <c r="D98" i="14"/>
  <c r="C98" i="14"/>
  <c r="B98" i="14"/>
  <c r="F98" i="14"/>
  <c r="J98" i="14"/>
  <c r="E122" i="14"/>
  <c r="I122" i="14"/>
  <c r="D122" i="14"/>
  <c r="C122" i="14"/>
  <c r="B122" i="14"/>
  <c r="F122" i="14"/>
  <c r="J122" i="14"/>
  <c r="C66" i="14"/>
  <c r="B66" i="14"/>
  <c r="F66" i="14"/>
  <c r="J66" i="14"/>
  <c r="D66" i="14"/>
  <c r="I66" i="14"/>
  <c r="E66" i="14"/>
  <c r="E73" i="14"/>
  <c r="I73" i="14"/>
  <c r="C73" i="14"/>
  <c r="B73" i="14"/>
  <c r="J73" i="14"/>
  <c r="F73" i="14"/>
  <c r="D73" i="14"/>
  <c r="C18" i="14"/>
  <c r="B18" i="14"/>
  <c r="F18" i="14"/>
  <c r="J18" i="14"/>
  <c r="E18" i="14"/>
  <c r="I18" i="14"/>
  <c r="D18" i="14"/>
  <c r="D117" i="14"/>
  <c r="C117" i="14"/>
  <c r="B117" i="14"/>
  <c r="F117" i="14"/>
  <c r="J117" i="14"/>
  <c r="E117" i="14"/>
  <c r="I117" i="14"/>
  <c r="E89" i="14"/>
  <c r="I89" i="14"/>
  <c r="C89" i="14"/>
  <c r="B89" i="14"/>
  <c r="J89" i="14"/>
  <c r="F89" i="14"/>
  <c r="D89" i="14"/>
  <c r="B65" i="14"/>
  <c r="F65" i="14"/>
  <c r="J65" i="14"/>
  <c r="E65" i="14"/>
  <c r="I65" i="14"/>
  <c r="D65" i="14"/>
  <c r="C65" i="14"/>
  <c r="D27" i="14"/>
  <c r="C27" i="14"/>
  <c r="B27" i="14"/>
  <c r="F27" i="14"/>
  <c r="J27" i="14"/>
  <c r="E27" i="14"/>
  <c r="I27" i="14"/>
  <c r="B123" i="14"/>
  <c r="F123" i="14"/>
  <c r="J123" i="14"/>
  <c r="E123" i="14"/>
  <c r="I123" i="14"/>
  <c r="D123" i="14"/>
  <c r="C123" i="14"/>
  <c r="D105" i="14"/>
  <c r="C105" i="14"/>
  <c r="B105" i="14"/>
  <c r="F105" i="14"/>
  <c r="J105" i="14"/>
  <c r="E105" i="14"/>
  <c r="I105" i="14"/>
  <c r="D15" i="14"/>
  <c r="C15" i="14"/>
  <c r="B15" i="14"/>
  <c r="F15" i="14"/>
  <c r="J15" i="14"/>
  <c r="E15" i="14"/>
  <c r="I15" i="14"/>
  <c r="E56" i="14"/>
  <c r="I56" i="14"/>
  <c r="D56" i="14"/>
  <c r="C56" i="14"/>
  <c r="B56" i="14"/>
  <c r="F56" i="14"/>
  <c r="J56" i="14"/>
  <c r="B90" i="14"/>
  <c r="F90" i="14"/>
  <c r="J90" i="14"/>
  <c r="D90" i="14"/>
  <c r="E90" i="14"/>
  <c r="C90" i="14"/>
  <c r="I90" i="14"/>
  <c r="K90" i="14" s="1"/>
  <c r="B13" i="14"/>
  <c r="F13" i="14"/>
  <c r="J13" i="14"/>
  <c r="E13" i="14"/>
  <c r="I13" i="14"/>
  <c r="D13" i="14"/>
  <c r="C13" i="14"/>
  <c r="D121" i="14"/>
  <c r="C121" i="14"/>
  <c r="B121" i="14"/>
  <c r="F121" i="14"/>
  <c r="J121" i="14"/>
  <c r="E121" i="14"/>
  <c r="I121" i="14"/>
  <c r="D31" i="14"/>
  <c r="C31" i="14"/>
  <c r="B31" i="14"/>
  <c r="F31" i="14"/>
  <c r="J31" i="14"/>
  <c r="E31" i="14"/>
  <c r="I31" i="14"/>
  <c r="C10" i="14"/>
  <c r="B10" i="14"/>
  <c r="F10" i="14"/>
  <c r="J10" i="14"/>
  <c r="E10" i="14"/>
  <c r="I10" i="14"/>
  <c r="D10" i="14"/>
  <c r="E93" i="14"/>
  <c r="I93" i="14"/>
  <c r="C93" i="14"/>
  <c r="F93" i="14"/>
  <c r="D93" i="14"/>
  <c r="B93" i="14"/>
  <c r="J93" i="14"/>
  <c r="C96" i="14"/>
  <c r="B96" i="14"/>
  <c r="F96" i="14"/>
  <c r="J96" i="14"/>
  <c r="E96" i="14"/>
  <c r="I96" i="14"/>
  <c r="D96" i="14"/>
  <c r="E8" i="14"/>
  <c r="I8" i="14"/>
  <c r="D8" i="14"/>
  <c r="C8" i="14"/>
  <c r="B8" i="14"/>
  <c r="F8" i="14"/>
  <c r="J8" i="14"/>
  <c r="B127" i="14"/>
  <c r="F127" i="14"/>
  <c r="J127" i="14"/>
  <c r="E127" i="14"/>
  <c r="I127" i="14"/>
  <c r="D127" i="14"/>
  <c r="C127" i="14"/>
  <c r="C79" i="14"/>
  <c r="E79" i="14"/>
  <c r="I79" i="14"/>
  <c r="F79" i="14"/>
  <c r="D79" i="14"/>
  <c r="B79" i="14"/>
  <c r="J79" i="14"/>
  <c r="K79" i="14" s="1"/>
  <c r="C22" i="14"/>
  <c r="B22" i="14"/>
  <c r="F22" i="14"/>
  <c r="J22" i="14"/>
  <c r="E22" i="14"/>
  <c r="I22" i="14"/>
  <c r="D22" i="14"/>
  <c r="E48" i="14"/>
  <c r="I48" i="14"/>
  <c r="D48" i="14"/>
  <c r="C48" i="14"/>
  <c r="B48" i="14"/>
  <c r="F48" i="14"/>
  <c r="J48" i="14"/>
  <c r="E16" i="14"/>
  <c r="I16" i="14"/>
  <c r="D16" i="14"/>
  <c r="C16" i="14"/>
  <c r="B16" i="14"/>
  <c r="F16" i="14"/>
  <c r="J16" i="14"/>
  <c r="C95" i="14"/>
  <c r="E95" i="14"/>
  <c r="I95" i="14"/>
  <c r="F95" i="14"/>
  <c r="D95" i="14"/>
  <c r="B95" i="14"/>
  <c r="J95" i="14"/>
  <c r="K95" i="14" s="1"/>
  <c r="E110" i="14"/>
  <c r="I110" i="14"/>
  <c r="D110" i="14"/>
  <c r="C110" i="14"/>
  <c r="B110" i="14"/>
  <c r="F110" i="14"/>
  <c r="J110" i="14"/>
  <c r="C71" i="14"/>
  <c r="E71" i="14"/>
  <c r="I71" i="14"/>
  <c r="F71" i="14"/>
  <c r="D71" i="14"/>
  <c r="B71" i="14"/>
  <c r="J71" i="14"/>
  <c r="B49" i="14"/>
  <c r="F49" i="14"/>
  <c r="J49" i="14"/>
  <c r="E49" i="14"/>
  <c r="I49" i="14"/>
  <c r="D49" i="14"/>
  <c r="C49" i="14"/>
  <c r="C120" i="14"/>
  <c r="B120" i="14"/>
  <c r="F120" i="14"/>
  <c r="J120" i="14"/>
  <c r="E120" i="14"/>
  <c r="I120" i="14"/>
  <c r="D120" i="14"/>
  <c r="D80" i="14"/>
  <c r="B80" i="14"/>
  <c r="F80" i="14"/>
  <c r="J80" i="14"/>
  <c r="E80" i="14"/>
  <c r="C80" i="14"/>
  <c r="I80" i="14"/>
  <c r="C87" i="14"/>
  <c r="E87" i="14"/>
  <c r="I87" i="14"/>
  <c r="F87" i="14"/>
  <c r="D87" i="14"/>
  <c r="B87" i="14"/>
  <c r="J87" i="14"/>
  <c r="C46" i="14"/>
  <c r="B46" i="14"/>
  <c r="F46" i="14"/>
  <c r="J46" i="14"/>
  <c r="E46" i="14"/>
  <c r="I46" i="14"/>
  <c r="D46" i="14"/>
  <c r="C38" i="14"/>
  <c r="B38" i="14"/>
  <c r="F38" i="14"/>
  <c r="J38" i="14"/>
  <c r="E38" i="14"/>
  <c r="I38" i="14"/>
  <c r="D38" i="14"/>
  <c r="D68" i="14"/>
  <c r="B68" i="14"/>
  <c r="F68" i="14"/>
  <c r="J68" i="14"/>
  <c r="I68" i="14"/>
  <c r="E68" i="14"/>
  <c r="C68" i="14"/>
  <c r="C67" i="14"/>
  <c r="E67" i="14"/>
  <c r="I67" i="14"/>
  <c r="D67" i="14"/>
  <c r="B67" i="14"/>
  <c r="J67" i="14"/>
  <c r="F67" i="14"/>
  <c r="E52" i="14"/>
  <c r="I52" i="14"/>
  <c r="D52" i="14"/>
  <c r="C52" i="14"/>
  <c r="B52" i="14"/>
  <c r="F52" i="14"/>
  <c r="J52" i="14"/>
  <c r="C42" i="14"/>
  <c r="B42" i="14"/>
  <c r="F42" i="14"/>
  <c r="J42" i="14"/>
  <c r="E42" i="14"/>
  <c r="I42" i="14"/>
  <c r="D42" i="14"/>
  <c r="E69" i="14"/>
  <c r="I69" i="14"/>
  <c r="C69" i="14"/>
  <c r="F69" i="14"/>
  <c r="D69" i="14"/>
  <c r="B69" i="14"/>
  <c r="J69" i="14"/>
  <c r="D88" i="14"/>
  <c r="B88" i="14"/>
  <c r="F88" i="14"/>
  <c r="J88" i="14"/>
  <c r="E88" i="14"/>
  <c r="C88" i="14"/>
  <c r="I88" i="14"/>
  <c r="E12" i="14"/>
  <c r="I12" i="14"/>
  <c r="D12" i="14"/>
  <c r="C12" i="14"/>
  <c r="B12" i="14"/>
  <c r="F12" i="14"/>
  <c r="J12" i="14"/>
  <c r="E85" i="14"/>
  <c r="I85" i="14"/>
  <c r="C85" i="14"/>
  <c r="F85" i="14"/>
  <c r="D85" i="14"/>
  <c r="B85" i="14"/>
  <c r="J85" i="14"/>
  <c r="B111" i="14"/>
  <c r="F111" i="14"/>
  <c r="J111" i="14"/>
  <c r="E111" i="14"/>
  <c r="I111" i="14"/>
  <c r="D111" i="14"/>
  <c r="C111" i="14"/>
  <c r="B37" i="14"/>
  <c r="F37" i="14"/>
  <c r="J37" i="14"/>
  <c r="E37" i="14"/>
  <c r="I37" i="14"/>
  <c r="D37" i="14"/>
  <c r="C37" i="14"/>
  <c r="C14" i="14"/>
  <c r="B14" i="14"/>
  <c r="F14" i="14"/>
  <c r="J14" i="14"/>
  <c r="E14" i="14"/>
  <c r="I14" i="14"/>
  <c r="D14" i="14"/>
  <c r="B61" i="14"/>
  <c r="F61" i="14"/>
  <c r="J61" i="14"/>
  <c r="E61" i="14"/>
  <c r="I61" i="14"/>
  <c r="D61" i="14"/>
  <c r="C61" i="14"/>
  <c r="D35" i="14"/>
  <c r="C35" i="14"/>
  <c r="B35" i="14"/>
  <c r="F35" i="14"/>
  <c r="J35" i="14"/>
  <c r="E35" i="14"/>
  <c r="I35" i="14"/>
  <c r="B53" i="14"/>
  <c r="F53" i="14"/>
  <c r="J53" i="14"/>
  <c r="E53" i="14"/>
  <c r="I53" i="14"/>
  <c r="D53" i="14"/>
  <c r="C53" i="14"/>
  <c r="E32" i="14"/>
  <c r="I32" i="14"/>
  <c r="D32" i="14"/>
  <c r="C32" i="14"/>
  <c r="B32" i="14"/>
  <c r="F32" i="14"/>
  <c r="J32" i="14"/>
  <c r="D47" i="14"/>
  <c r="C47" i="14"/>
  <c r="B47" i="14"/>
  <c r="F47" i="14"/>
  <c r="J47" i="14"/>
  <c r="E47" i="14"/>
  <c r="I47" i="14"/>
  <c r="B21" i="14"/>
  <c r="F21" i="14"/>
  <c r="J21" i="14"/>
  <c r="E21" i="14"/>
  <c r="I21" i="14"/>
  <c r="D21" i="14"/>
  <c r="C21" i="14"/>
  <c r="B9" i="14"/>
  <c r="F9" i="14"/>
  <c r="J9" i="14"/>
  <c r="E9" i="14"/>
  <c r="I9" i="14"/>
  <c r="D9" i="14"/>
  <c r="C9" i="14"/>
  <c r="B70" i="14"/>
  <c r="F70" i="14"/>
  <c r="J70" i="14"/>
  <c r="D70" i="14"/>
  <c r="C70" i="14"/>
  <c r="I70" i="14"/>
  <c r="E70" i="14"/>
  <c r="C116" i="14"/>
  <c r="B116" i="14"/>
  <c r="F116" i="14"/>
  <c r="J116" i="14"/>
  <c r="E116" i="14"/>
  <c r="I116" i="14"/>
  <c r="D116" i="14"/>
  <c r="D19" i="14"/>
  <c r="C19" i="14"/>
  <c r="B19" i="14"/>
  <c r="F19" i="14"/>
  <c r="J19" i="14"/>
  <c r="E19" i="14"/>
  <c r="I19" i="14"/>
  <c r="D7" i="14"/>
  <c r="C7" i="14"/>
  <c r="B7" i="14"/>
  <c r="F7" i="14"/>
  <c r="J7" i="14"/>
  <c r="E7" i="14"/>
  <c r="I7" i="14"/>
  <c r="B74" i="14"/>
  <c r="F74" i="14"/>
  <c r="J74" i="14"/>
  <c r="D74" i="14"/>
  <c r="E74" i="14"/>
  <c r="C74" i="14"/>
  <c r="I74" i="14"/>
  <c r="K74" i="14" s="1"/>
  <c r="C75" i="14"/>
  <c r="E75" i="14"/>
  <c r="I75" i="14"/>
  <c r="D75" i="14"/>
  <c r="B75" i="14"/>
  <c r="J75" i="14"/>
  <c r="F75" i="14"/>
  <c r="D43" i="14"/>
  <c r="C43" i="14"/>
  <c r="B43" i="14"/>
  <c r="F43" i="14"/>
  <c r="J43" i="14"/>
  <c r="E43" i="14"/>
  <c r="I43" i="14"/>
  <c r="B33" i="14"/>
  <c r="F33" i="14"/>
  <c r="J33" i="14"/>
  <c r="E33" i="14"/>
  <c r="I33" i="14"/>
  <c r="D33" i="14"/>
  <c r="C33" i="14"/>
  <c r="B82" i="14"/>
  <c r="F82" i="14"/>
  <c r="J82" i="14"/>
  <c r="D82" i="14"/>
  <c r="E82" i="14"/>
  <c r="C82" i="14"/>
  <c r="I82" i="14"/>
  <c r="B115" i="14"/>
  <c r="F115" i="14"/>
  <c r="J115" i="14"/>
  <c r="E115" i="14"/>
  <c r="I115" i="14"/>
  <c r="D115" i="14"/>
  <c r="C115" i="14"/>
  <c r="E20" i="14"/>
  <c r="I20" i="14"/>
  <c r="D20" i="14"/>
  <c r="C20" i="14"/>
  <c r="B20" i="14"/>
  <c r="F20" i="14"/>
  <c r="J20" i="14"/>
  <c r="B29" i="14"/>
  <c r="F29" i="14"/>
  <c r="J29" i="14"/>
  <c r="E29" i="14"/>
  <c r="I29" i="14"/>
  <c r="D29" i="14"/>
  <c r="C29" i="14"/>
  <c r="B25" i="14"/>
  <c r="F25" i="14"/>
  <c r="J25" i="14"/>
  <c r="E25" i="14"/>
  <c r="I25" i="14"/>
  <c r="D25" i="14"/>
  <c r="C25" i="14"/>
  <c r="B17" i="14"/>
  <c r="F17" i="14"/>
  <c r="J17" i="14"/>
  <c r="E17" i="14"/>
  <c r="I17" i="14"/>
  <c r="D17" i="14"/>
  <c r="C17" i="14"/>
  <c r="D23" i="14"/>
  <c r="C23" i="14"/>
  <c r="B23" i="14"/>
  <c r="F23" i="14"/>
  <c r="J23" i="14"/>
  <c r="E23" i="14"/>
  <c r="I23" i="14"/>
  <c r="C124" i="14"/>
  <c r="B124" i="14"/>
  <c r="F124" i="14"/>
  <c r="J124" i="14"/>
  <c r="E124" i="14"/>
  <c r="I124" i="14"/>
  <c r="D124" i="14"/>
  <c r="C54" i="14"/>
  <c r="B54" i="14"/>
  <c r="F54" i="14"/>
  <c r="J54" i="14"/>
  <c r="E54" i="14"/>
  <c r="I54" i="14"/>
  <c r="D54" i="14"/>
  <c r="E28" i="14"/>
  <c r="I28" i="14"/>
  <c r="D28" i="14"/>
  <c r="C28" i="14"/>
  <c r="B28" i="14"/>
  <c r="F28" i="14"/>
  <c r="J28" i="14"/>
  <c r="C58" i="14"/>
  <c r="B58" i="14"/>
  <c r="F58" i="14"/>
  <c r="J58" i="14"/>
  <c r="E58" i="14"/>
  <c r="I58" i="14"/>
  <c r="D58" i="14"/>
  <c r="B86" i="14"/>
  <c r="F86" i="14"/>
  <c r="J86" i="14"/>
  <c r="D86" i="14"/>
  <c r="C86" i="14"/>
  <c r="I86" i="14"/>
  <c r="E86" i="14"/>
  <c r="C112" i="14"/>
  <c r="B112" i="14"/>
  <c r="F112" i="14"/>
  <c r="J112" i="14"/>
  <c r="E112" i="14"/>
  <c r="I112" i="14"/>
  <c r="D112" i="14"/>
  <c r="C83" i="14"/>
  <c r="E83" i="14"/>
  <c r="I83" i="14"/>
  <c r="D83" i="14"/>
  <c r="B83" i="14"/>
  <c r="J83" i="14"/>
  <c r="F83" i="14"/>
  <c r="C100" i="14"/>
  <c r="B100" i="14"/>
  <c r="F100" i="14"/>
  <c r="J100" i="14"/>
  <c r="E100" i="14"/>
  <c r="I100" i="14"/>
  <c r="D100" i="14"/>
  <c r="E118" i="14"/>
  <c r="I118" i="14"/>
  <c r="D118" i="14"/>
  <c r="C118" i="14"/>
  <c r="B118" i="14"/>
  <c r="F118" i="14"/>
  <c r="J118" i="14"/>
  <c r="C30" i="14"/>
  <c r="B30" i="14"/>
  <c r="F30" i="14"/>
  <c r="J30" i="14"/>
  <c r="E30" i="14"/>
  <c r="I30" i="14"/>
  <c r="D30" i="14"/>
  <c r="B45" i="14"/>
  <c r="F45" i="14"/>
  <c r="J45" i="14"/>
  <c r="E45" i="14"/>
  <c r="I45" i="14"/>
  <c r="D45" i="14"/>
  <c r="C45" i="14"/>
  <c r="C34" i="14"/>
  <c r="B34" i="14"/>
  <c r="F34" i="14"/>
  <c r="J34" i="14"/>
  <c r="E34" i="14"/>
  <c r="I34" i="14"/>
  <c r="D34" i="14"/>
  <c r="D109" i="14"/>
  <c r="C109" i="14"/>
  <c r="B109" i="14"/>
  <c r="F109" i="14"/>
  <c r="J109" i="14"/>
  <c r="E109" i="14"/>
  <c r="I109" i="14"/>
  <c r="D125" i="14"/>
  <c r="C125" i="14"/>
  <c r="B125" i="14"/>
  <c r="F125" i="14"/>
  <c r="J125" i="14"/>
  <c r="E125" i="14"/>
  <c r="I125" i="14"/>
  <c r="B5" i="14"/>
  <c r="F5" i="14"/>
  <c r="J5" i="14"/>
  <c r="E5" i="14"/>
  <c r="I5" i="14"/>
  <c r="D5" i="14"/>
  <c r="C5" i="14"/>
  <c r="B94" i="14"/>
  <c r="F94" i="14"/>
  <c r="J94" i="14"/>
  <c r="D94" i="14"/>
  <c r="C94" i="14"/>
  <c r="I94" i="14"/>
  <c r="E94" i="14"/>
  <c r="B41" i="14"/>
  <c r="F41" i="14"/>
  <c r="J41" i="14"/>
  <c r="E41" i="14"/>
  <c r="I41" i="14"/>
  <c r="D41" i="14"/>
  <c r="C41" i="14"/>
  <c r="E44" i="14"/>
  <c r="I44" i="14"/>
  <c r="D44" i="14"/>
  <c r="C44" i="14"/>
  <c r="B44" i="14"/>
  <c r="F44" i="14"/>
  <c r="J44" i="14"/>
  <c r="B78" i="14"/>
  <c r="F78" i="14"/>
  <c r="J78" i="14"/>
  <c r="D78" i="14"/>
  <c r="C78" i="14"/>
  <c r="I78" i="14"/>
  <c r="E78" i="14"/>
  <c r="C91" i="14"/>
  <c r="E91" i="14"/>
  <c r="I91" i="14"/>
  <c r="D91" i="14"/>
  <c r="B91" i="14"/>
  <c r="J91" i="14"/>
  <c r="F91" i="14"/>
  <c r="E130" i="14"/>
  <c r="I130" i="14"/>
  <c r="D130" i="14"/>
  <c r="C130" i="14"/>
  <c r="B130" i="14"/>
  <c r="F130" i="14"/>
  <c r="J130" i="14"/>
  <c r="D55" i="14"/>
  <c r="C55" i="14"/>
  <c r="B55" i="14"/>
  <c r="F55" i="14"/>
  <c r="J55" i="14"/>
  <c r="E55" i="14"/>
  <c r="I55" i="14"/>
  <c r="B99" i="14"/>
  <c r="F99" i="14"/>
  <c r="J99" i="14"/>
  <c r="E99" i="14"/>
  <c r="I99" i="14"/>
  <c r="D99" i="14"/>
  <c r="C99" i="14"/>
  <c r="E81" i="14"/>
  <c r="I81" i="14"/>
  <c r="C81" i="14"/>
  <c r="B81" i="14"/>
  <c r="J81" i="14"/>
  <c r="F81" i="14"/>
  <c r="D81" i="14"/>
  <c r="E40" i="14"/>
  <c r="I40" i="14"/>
  <c r="D40" i="14"/>
  <c r="C40" i="14"/>
  <c r="B40" i="14"/>
  <c r="F40" i="14"/>
  <c r="J40" i="14"/>
  <c r="D72" i="14"/>
  <c r="B72" i="14"/>
  <c r="F72" i="14"/>
  <c r="J72" i="14"/>
  <c r="E72" i="14"/>
  <c r="C72" i="14"/>
  <c r="I72" i="14"/>
  <c r="C6" i="14"/>
  <c r="B6" i="14"/>
  <c r="F6" i="14"/>
  <c r="J6" i="14"/>
  <c r="E6" i="14"/>
  <c r="I6" i="14"/>
  <c r="D6" i="14"/>
  <c r="B119" i="14"/>
  <c r="F119" i="14"/>
  <c r="J119" i="14"/>
  <c r="E119" i="14"/>
  <c r="I119" i="14"/>
  <c r="D119" i="14"/>
  <c r="C119" i="14"/>
  <c r="E60" i="14"/>
  <c r="I60" i="14"/>
  <c r="D60" i="14"/>
  <c r="C60" i="14"/>
  <c r="B60" i="14"/>
  <c r="F60" i="14"/>
  <c r="J60" i="14"/>
  <c r="D101" i="14"/>
  <c r="C101" i="14"/>
  <c r="B101" i="14"/>
  <c r="F101" i="14"/>
  <c r="J101" i="14"/>
  <c r="E101" i="14"/>
  <c r="I101" i="14"/>
  <c r="E106" i="14"/>
  <c r="I106" i="14"/>
  <c r="D106" i="14"/>
  <c r="C106" i="14"/>
  <c r="B106" i="14"/>
  <c r="F106" i="14"/>
  <c r="J106" i="14"/>
  <c r="E114" i="14"/>
  <c r="I114" i="14"/>
  <c r="D114" i="14"/>
  <c r="C114" i="14"/>
  <c r="B114" i="14"/>
  <c r="F114" i="14"/>
  <c r="J114" i="14"/>
  <c r="C128" i="14"/>
  <c r="B128" i="14"/>
  <c r="F128" i="14"/>
  <c r="J128" i="14"/>
  <c r="E128" i="14"/>
  <c r="I128" i="14"/>
  <c r="D128" i="14"/>
  <c r="B131" i="14"/>
  <c r="F131" i="14"/>
  <c r="J131" i="14"/>
  <c r="E131" i="14"/>
  <c r="I131" i="14"/>
  <c r="D131" i="14"/>
  <c r="C131" i="14"/>
  <c r="D63" i="14"/>
  <c r="C63" i="14"/>
  <c r="B63" i="14"/>
  <c r="F63" i="14"/>
  <c r="J63" i="14"/>
  <c r="E63" i="14"/>
  <c r="I63" i="14"/>
  <c r="C26" i="14"/>
  <c r="B26" i="14"/>
  <c r="F26" i="14"/>
  <c r="J26" i="14"/>
  <c r="E26" i="14"/>
  <c r="I26" i="14"/>
  <c r="D26" i="14"/>
  <c r="E77" i="14"/>
  <c r="I77" i="14"/>
  <c r="C77" i="14"/>
  <c r="F77" i="14"/>
  <c r="D77" i="14"/>
  <c r="B77" i="14"/>
  <c r="J77" i="14"/>
  <c r="D113" i="14"/>
  <c r="C113" i="14"/>
  <c r="B113" i="14"/>
  <c r="F113" i="14"/>
  <c r="J113" i="14"/>
  <c r="E113" i="14"/>
  <c r="I113" i="14"/>
  <c r="D129" i="14"/>
  <c r="C129" i="14"/>
  <c r="B129" i="14"/>
  <c r="F129" i="14"/>
  <c r="J129" i="14"/>
  <c r="E129" i="14"/>
  <c r="I129" i="14"/>
  <c r="D59" i="14"/>
  <c r="C59" i="14"/>
  <c r="B59" i="14"/>
  <c r="F59" i="14"/>
  <c r="J59" i="14"/>
  <c r="E59" i="14"/>
  <c r="I59" i="14"/>
  <c r="D51" i="14"/>
  <c r="C51" i="14"/>
  <c r="B51" i="14"/>
  <c r="F51" i="14"/>
  <c r="J51" i="14"/>
  <c r="E51" i="14"/>
  <c r="I51" i="14"/>
  <c r="E126" i="14"/>
  <c r="I126" i="14"/>
  <c r="D126" i="14"/>
  <c r="C126" i="14"/>
  <c r="B126" i="14"/>
  <c r="F126" i="14"/>
  <c r="J126" i="14"/>
  <c r="C50" i="14"/>
  <c r="B50" i="14"/>
  <c r="F50" i="14"/>
  <c r="J50" i="14"/>
  <c r="E50" i="14"/>
  <c r="I50" i="14"/>
  <c r="D50" i="14"/>
  <c r="C108" i="14"/>
  <c r="B108" i="14"/>
  <c r="F108" i="14"/>
  <c r="J108" i="14"/>
  <c r="E108" i="14"/>
  <c r="I108" i="14"/>
  <c r="D108" i="14"/>
  <c r="D92" i="14"/>
  <c r="B92" i="14"/>
  <c r="F92" i="14"/>
  <c r="J92" i="14"/>
  <c r="I92" i="14"/>
  <c r="E92" i="14"/>
  <c r="C92" i="14"/>
  <c r="IM53" i="1"/>
  <c r="IL53" i="1" s="1"/>
  <c r="IP53" i="1" s="1"/>
  <c r="Z53" i="1" s="1"/>
  <c r="IM30" i="1"/>
  <c r="IL30" i="1" s="1"/>
  <c r="II30" i="1" s="1"/>
  <c r="IM51" i="1"/>
  <c r="IL51" i="1" s="1"/>
  <c r="IP51" i="1" s="1"/>
  <c r="Z51" i="1" s="1"/>
  <c r="IM37" i="1"/>
  <c r="IL37" i="1" s="1"/>
  <c r="IP37" i="1" s="1"/>
  <c r="Z37" i="1" s="1"/>
  <c r="IM25" i="1"/>
  <c r="IL25" i="1" s="1"/>
  <c r="II25" i="1" s="1"/>
  <c r="IM36" i="1"/>
  <c r="IL36" i="1" s="1"/>
  <c r="IN36" i="1" s="1"/>
  <c r="IM41" i="1"/>
  <c r="IL41" i="1" s="1"/>
  <c r="IP41" i="1" s="1"/>
  <c r="Z41" i="1" s="1"/>
  <c r="IM74" i="1"/>
  <c r="IL74" i="1" s="1"/>
  <c r="II74" i="1" s="1"/>
  <c r="IM102" i="1"/>
  <c r="IL102" i="1" s="1"/>
  <c r="IN102" i="1" s="1"/>
  <c r="IM128" i="1"/>
  <c r="IL128" i="1" s="1"/>
  <c r="IP128" i="1" s="1"/>
  <c r="Z128" i="1" s="1"/>
  <c r="IM116" i="1"/>
  <c r="IL116" i="1" s="1"/>
  <c r="IP116" i="1" s="1"/>
  <c r="Z116" i="1" s="1"/>
  <c r="IM46" i="1"/>
  <c r="IL46" i="1" s="1"/>
  <c r="IN46" i="1" s="1"/>
  <c r="IM50" i="1"/>
  <c r="IL50" i="1" s="1"/>
  <c r="IN50" i="1" s="1"/>
  <c r="IM60" i="1"/>
  <c r="IL60" i="1" s="1"/>
  <c r="II60" i="1" s="1"/>
  <c r="IM119" i="1"/>
  <c r="IL119" i="1" s="1"/>
  <c r="II119" i="1" s="1"/>
  <c r="IM94" i="1"/>
  <c r="IL94" i="1" s="1"/>
  <c r="II94" i="1" s="1"/>
  <c r="IM107" i="1"/>
  <c r="IL107" i="1" s="1"/>
  <c r="IP107" i="1" s="1"/>
  <c r="Z107" i="1" s="1"/>
  <c r="IM71" i="1"/>
  <c r="IL71" i="1" s="1"/>
  <c r="II71" i="1" s="1"/>
  <c r="IM115" i="1"/>
  <c r="IL115" i="1" s="1"/>
  <c r="IN115" i="1" s="1"/>
  <c r="IM56" i="1"/>
  <c r="IL56" i="1" s="1"/>
  <c r="IN56" i="1" s="1"/>
  <c r="IM88" i="1"/>
  <c r="IL88" i="1" s="1"/>
  <c r="II88" i="1" s="1"/>
  <c r="IM22" i="1"/>
  <c r="IL22" i="1" s="1"/>
  <c r="II22" i="1" s="1"/>
  <c r="IM76" i="1"/>
  <c r="IL76" i="1" s="1"/>
  <c r="IN76" i="1" s="1"/>
  <c r="IM117" i="1"/>
  <c r="IL117" i="1" s="1"/>
  <c r="IP117" i="1" s="1"/>
  <c r="Z117" i="1" s="1"/>
  <c r="IM122" i="1"/>
  <c r="IL122" i="1" s="1"/>
  <c r="II122" i="1" s="1"/>
  <c r="IM79" i="1"/>
  <c r="IL79" i="1" s="1"/>
  <c r="IN79" i="1" s="1"/>
  <c r="IM42" i="1"/>
  <c r="IL42" i="1" s="1"/>
  <c r="II42" i="1" s="1"/>
  <c r="IM93" i="1"/>
  <c r="IL93" i="1" s="1"/>
  <c r="II93" i="1" s="1"/>
  <c r="IM75" i="1"/>
  <c r="IL75" i="1" s="1"/>
  <c r="II75" i="1" s="1"/>
  <c r="IM67" i="1"/>
  <c r="IL67" i="1" s="1"/>
  <c r="IP67" i="1" s="1"/>
  <c r="Z67" i="1" s="1"/>
  <c r="IM66" i="1"/>
  <c r="IL66" i="1" s="1"/>
  <c r="IP66" i="1" s="1"/>
  <c r="Z66" i="1" s="1"/>
  <c r="IM124" i="1"/>
  <c r="IL124" i="1" s="1"/>
  <c r="II124" i="1" s="1"/>
  <c r="IM108" i="1"/>
  <c r="IL108" i="1" s="1"/>
  <c r="II108" i="1" s="1"/>
  <c r="IM127" i="1"/>
  <c r="IL127" i="1" s="1"/>
  <c r="II127" i="1" s="1"/>
  <c r="IM120" i="1"/>
  <c r="IL120" i="1" s="1"/>
  <c r="II120" i="1" s="1"/>
  <c r="IM47" i="1"/>
  <c r="IL47" i="1" s="1"/>
  <c r="IP47" i="1" s="1"/>
  <c r="Z47" i="1" s="1"/>
  <c r="IM48" i="1"/>
  <c r="IL48" i="1" s="1"/>
  <c r="II48" i="1" s="1"/>
  <c r="IM63" i="1"/>
  <c r="IL63" i="1" s="1"/>
  <c r="II63" i="1" s="1"/>
  <c r="IM35" i="1"/>
  <c r="IL35" i="1" s="1"/>
  <c r="IN35" i="1" s="1"/>
  <c r="IM91" i="1"/>
  <c r="IL91" i="1" s="1"/>
  <c r="IN91" i="1" s="1"/>
  <c r="IM49" i="1"/>
  <c r="IL49" i="1" s="1"/>
  <c r="IP49" i="1" s="1"/>
  <c r="Z49" i="1" s="1"/>
  <c r="IM33" i="1"/>
  <c r="IL33" i="1" s="1"/>
  <c r="II33" i="1" s="1"/>
  <c r="IM39" i="1"/>
  <c r="IL39" i="1" s="1"/>
  <c r="IN39" i="1" s="1"/>
  <c r="IM70" i="1"/>
  <c r="IL70" i="1" s="1"/>
  <c r="IN70" i="1" s="1"/>
  <c r="IM125" i="1"/>
  <c r="IL125" i="1" s="1"/>
  <c r="IP125" i="1" s="1"/>
  <c r="Z125" i="1" s="1"/>
  <c r="IM21" i="1"/>
  <c r="IL21" i="1" s="1"/>
  <c r="II21" i="1" s="1"/>
  <c r="IM110" i="1"/>
  <c r="IL110" i="1" s="1"/>
  <c r="IN110" i="1" s="1"/>
  <c r="IM80" i="1"/>
  <c r="IL80" i="1" s="1"/>
  <c r="IN80" i="1" s="1"/>
  <c r="IM52" i="1"/>
  <c r="IL52" i="1" s="1"/>
  <c r="IP52" i="1" s="1"/>
  <c r="Z52" i="1" s="1"/>
  <c r="IM78" i="1"/>
  <c r="IL78" i="1" s="1"/>
  <c r="II78" i="1" s="1"/>
  <c r="IM20" i="1"/>
  <c r="IL20" i="1" s="1"/>
  <c r="IN20" i="1" s="1"/>
  <c r="IM40" i="1"/>
  <c r="IL40" i="1" s="1"/>
  <c r="IN40" i="1" s="1"/>
  <c r="IM114" i="1"/>
  <c r="IL114" i="1" s="1"/>
  <c r="IP114" i="1" s="1"/>
  <c r="Z114" i="1" s="1"/>
  <c r="IM138" i="1"/>
  <c r="IL138" i="1" s="1"/>
  <c r="IN138" i="1" s="1"/>
  <c r="IM82" i="1"/>
  <c r="IL82" i="1" s="1"/>
  <c r="II82" i="1" s="1"/>
  <c r="IM89" i="1"/>
  <c r="IL89" i="1" s="1"/>
  <c r="II89" i="1" s="1"/>
  <c r="IM34" i="1"/>
  <c r="IL34" i="1" s="1"/>
  <c r="IP34" i="1" s="1"/>
  <c r="Z34" i="1" s="1"/>
  <c r="IM105" i="1"/>
  <c r="IL105" i="1" s="1"/>
  <c r="IP105" i="1" s="1"/>
  <c r="Z105" i="1" s="1"/>
  <c r="IM81" i="1"/>
  <c r="IL81" i="1" s="1"/>
  <c r="II81" i="1" s="1"/>
  <c r="IM43" i="1"/>
  <c r="IL43" i="1" s="1"/>
  <c r="IP43" i="1" s="1"/>
  <c r="Z43" i="1" s="1"/>
  <c r="IM139" i="1"/>
  <c r="IL139" i="1" s="1"/>
  <c r="IN139" i="1" s="1"/>
  <c r="IM121" i="1"/>
  <c r="IL121" i="1" s="1"/>
  <c r="IN121" i="1" s="1"/>
  <c r="IM31" i="1"/>
  <c r="IL31" i="1" s="1"/>
  <c r="IP31" i="1" s="1"/>
  <c r="Z31" i="1" s="1"/>
  <c r="IM72" i="1"/>
  <c r="IL72" i="1" s="1"/>
  <c r="IN72" i="1" s="1"/>
  <c r="IM106" i="1"/>
  <c r="IL106" i="1" s="1"/>
  <c r="IN106" i="1" s="1"/>
  <c r="IM29" i="1"/>
  <c r="IL29" i="1" s="1"/>
  <c r="IN29" i="1" s="1"/>
  <c r="IM137" i="1"/>
  <c r="IL137" i="1" s="1"/>
  <c r="II137" i="1" s="1"/>
  <c r="IP148" i="1"/>
  <c r="Z148" i="1" s="1"/>
  <c r="II148" i="1"/>
  <c r="IJ148" i="1" s="1"/>
  <c r="IK148" i="1" s="1"/>
  <c r="IM57" i="1"/>
  <c r="IL57" i="1" s="1"/>
  <c r="IP57" i="1" s="1"/>
  <c r="Z57" i="1" s="1"/>
  <c r="IM77" i="1"/>
  <c r="IL77" i="1" s="1"/>
  <c r="IN77" i="1" s="1"/>
  <c r="IM69" i="1"/>
  <c r="IL69" i="1" s="1"/>
  <c r="IP69" i="1" s="1"/>
  <c r="Z69" i="1" s="1"/>
  <c r="IM86" i="1"/>
  <c r="IL86" i="1" s="1"/>
  <c r="IN86" i="1" s="1"/>
  <c r="IM23" i="1"/>
  <c r="IL23" i="1" s="1"/>
  <c r="II23" i="1" s="1"/>
  <c r="IM90" i="1"/>
  <c r="IL90" i="1" s="1"/>
  <c r="IP90" i="1" s="1"/>
  <c r="Z90" i="1" s="1"/>
  <c r="IM59" i="1"/>
  <c r="IL59" i="1" s="1"/>
  <c r="II59" i="1" s="1"/>
  <c r="IM45" i="1"/>
  <c r="IL45" i="1" s="1"/>
  <c r="IP45" i="1" s="1"/>
  <c r="Z45" i="1" s="1"/>
  <c r="IM140" i="1"/>
  <c r="IL140" i="1" s="1"/>
  <c r="IN140" i="1" s="1"/>
  <c r="IM44" i="1"/>
  <c r="IL44" i="1" s="1"/>
  <c r="IP44" i="1" s="1"/>
  <c r="Z44" i="1" s="1"/>
  <c r="IM61" i="1"/>
  <c r="IL61" i="1" s="1"/>
  <c r="IN61" i="1" s="1"/>
  <c r="IM26" i="1"/>
  <c r="IL26" i="1" s="1"/>
  <c r="IP26" i="1" s="1"/>
  <c r="Z26" i="1" s="1"/>
  <c r="IM109" i="1"/>
  <c r="IL109" i="1" s="1"/>
  <c r="IN109" i="1" s="1"/>
  <c r="IM112" i="1"/>
  <c r="IL112" i="1" s="1"/>
  <c r="IP112" i="1" s="1"/>
  <c r="Z112" i="1" s="1"/>
  <c r="IM24" i="1"/>
  <c r="IL24" i="1" s="1"/>
  <c r="IN24" i="1" s="1"/>
  <c r="IM95" i="1"/>
  <c r="IL95" i="1" s="1"/>
  <c r="II95" i="1" s="1"/>
  <c r="IM38" i="1"/>
  <c r="IL38" i="1" s="1"/>
  <c r="II38" i="1" s="1"/>
  <c r="IM64" i="1"/>
  <c r="IL64" i="1" s="1"/>
  <c r="IP64" i="1" s="1"/>
  <c r="Z64" i="1" s="1"/>
  <c r="IM32" i="1"/>
  <c r="IL32" i="1" s="1"/>
  <c r="IP32" i="1" s="1"/>
  <c r="Z32" i="1" s="1"/>
  <c r="IM111" i="1"/>
  <c r="IL111" i="1" s="1"/>
  <c r="II111" i="1" s="1"/>
  <c r="IM126" i="1"/>
  <c r="IL126" i="1" s="1"/>
  <c r="IP126" i="1" s="1"/>
  <c r="Z126" i="1" s="1"/>
  <c r="IM87" i="1"/>
  <c r="IL87" i="1" s="1"/>
  <c r="II87" i="1" s="1"/>
  <c r="IM65" i="1"/>
  <c r="IL65" i="1" s="1"/>
  <c r="IP65" i="1" s="1"/>
  <c r="Z65" i="1" s="1"/>
  <c r="IM96" i="1"/>
  <c r="IL96" i="1" s="1"/>
  <c r="IN96" i="1" s="1"/>
  <c r="IM103" i="1"/>
  <c r="IL103" i="1" s="1"/>
  <c r="IN103" i="1" s="1"/>
  <c r="IM62" i="1"/>
  <c r="IL62" i="1" s="1"/>
  <c r="II62" i="1" s="1"/>
  <c r="IM54" i="1"/>
  <c r="IL54" i="1" s="1"/>
  <c r="II54" i="1" s="1"/>
  <c r="IM84" i="1"/>
  <c r="IL84" i="1" s="1"/>
  <c r="IN84" i="1" s="1"/>
  <c r="IM83" i="1"/>
  <c r="IL83" i="1" s="1"/>
  <c r="IN83" i="1" s="1"/>
  <c r="IM68" i="1"/>
  <c r="IL68" i="1" s="1"/>
  <c r="IN68" i="1" s="1"/>
  <c r="IM58" i="1"/>
  <c r="IL58" i="1" s="1"/>
  <c r="II58" i="1" s="1"/>
  <c r="IM85" i="1"/>
  <c r="IL85" i="1" s="1"/>
  <c r="II85" i="1" s="1"/>
  <c r="IM104" i="1"/>
  <c r="IL104" i="1" s="1"/>
  <c r="IP104" i="1" s="1"/>
  <c r="Z104" i="1" s="1"/>
  <c r="IM28" i="1"/>
  <c r="IL28" i="1" s="1"/>
  <c r="II28" i="1" s="1"/>
  <c r="IM101" i="1"/>
  <c r="IL101" i="1" s="1"/>
  <c r="IN101" i="1" s="1"/>
  <c r="X148" i="1"/>
  <c r="Y148" i="1" s="1"/>
  <c r="IM133" i="1"/>
  <c r="IL133" i="1" s="1"/>
  <c r="IM147" i="1"/>
  <c r="IL147" i="1" s="1"/>
  <c r="N18" i="1"/>
  <c r="N15" i="1" s="1"/>
  <c r="M18" i="1"/>
  <c r="O18" i="1" s="1"/>
  <c r="IM129" i="1"/>
  <c r="IL129" i="1" s="1"/>
  <c r="IM145" i="1"/>
  <c r="IL145" i="1" s="1"/>
  <c r="IM142" i="1"/>
  <c r="IL142" i="1" s="1"/>
  <c r="IM143" i="1"/>
  <c r="IL143" i="1" s="1"/>
  <c r="IM136" i="1"/>
  <c r="IL136" i="1" s="1"/>
  <c r="IN53" i="1"/>
  <c r="IM132" i="1"/>
  <c r="IL132" i="1" s="1"/>
  <c r="IM146" i="1"/>
  <c r="IL146" i="1" s="1"/>
  <c r="II115" i="1"/>
  <c r="IM97" i="1"/>
  <c r="IL97" i="1" s="1"/>
  <c r="IM135" i="1"/>
  <c r="IL135" i="1" s="1"/>
  <c r="IM130" i="1"/>
  <c r="IL130" i="1" s="1"/>
  <c r="IM144" i="1"/>
  <c r="IL144" i="1" s="1"/>
  <c r="II17" i="1"/>
  <c r="IN17" i="1"/>
  <c r="IP17" i="1"/>
  <c r="Z17" i="1" s="1"/>
  <c r="IM98" i="1"/>
  <c r="IL98" i="1" s="1"/>
  <c r="IM131" i="1"/>
  <c r="IL131" i="1" s="1"/>
  <c r="II39" i="1"/>
  <c r="IM99" i="1"/>
  <c r="IL99" i="1" s="1"/>
  <c r="IM134" i="1"/>
  <c r="IL134" i="1" s="1"/>
  <c r="IM141" i="1"/>
  <c r="IL141" i="1" s="1"/>
  <c r="IP50" i="1" l="1"/>
  <c r="Z50" i="1" s="1"/>
  <c r="IP25" i="1"/>
  <c r="Z25" i="1" s="1"/>
  <c r="K12" i="14"/>
  <c r="IN41" i="1"/>
  <c r="IQ41" i="1" s="1"/>
  <c r="IP77" i="1"/>
  <c r="Z77" i="1" s="1"/>
  <c r="IN116" i="1"/>
  <c r="X116" i="1" s="1"/>
  <c r="Y116" i="1" s="1"/>
  <c r="IN119" i="1"/>
  <c r="II66" i="1"/>
  <c r="IJ66" i="1" s="1"/>
  <c r="IK66" i="1" s="1"/>
  <c r="K43" i="14"/>
  <c r="II76" i="1"/>
  <c r="U76" i="1" s="1"/>
  <c r="IN120" i="1"/>
  <c r="IN37" i="1"/>
  <c r="X37" i="1" s="1"/>
  <c r="Y37" i="1" s="1"/>
  <c r="K65" i="14"/>
  <c r="K98" i="14"/>
  <c r="K62" i="14"/>
  <c r="K104" i="14"/>
  <c r="K89" i="14"/>
  <c r="II50" i="1"/>
  <c r="IJ50" i="1" s="1"/>
  <c r="IK50" i="1" s="1"/>
  <c r="IP102" i="1"/>
  <c r="Z102" i="1" s="1"/>
  <c r="IP36" i="1"/>
  <c r="Z36" i="1" s="1"/>
  <c r="K94" i="14"/>
  <c r="K80" i="14"/>
  <c r="IP22" i="1"/>
  <c r="Z22" i="1" s="1"/>
  <c r="IP122" i="1"/>
  <c r="Z122" i="1" s="1"/>
  <c r="IP88" i="1"/>
  <c r="Z88" i="1" s="1"/>
  <c r="II107" i="1"/>
  <c r="U107" i="1" s="1"/>
  <c r="IN25" i="1"/>
  <c r="II102" i="1"/>
  <c r="U102" i="1" s="1"/>
  <c r="IP56" i="1"/>
  <c r="Z56" i="1" s="1"/>
  <c r="IN47" i="1"/>
  <c r="X47" i="1" s="1"/>
  <c r="Y47" i="1" s="1"/>
  <c r="IN94" i="1"/>
  <c r="II61" i="1"/>
  <c r="U61" i="1" s="1"/>
  <c r="II128" i="1"/>
  <c r="IP140" i="1"/>
  <c r="Z140" i="1" s="1"/>
  <c r="II36" i="1"/>
  <c r="IN71" i="1"/>
  <c r="IN30" i="1"/>
  <c r="IN128" i="1"/>
  <c r="X128" i="1" s="1"/>
  <c r="Y128" i="1" s="1"/>
  <c r="IP60" i="1"/>
  <c r="Z60" i="1" s="1"/>
  <c r="IP30" i="1"/>
  <c r="Z30" i="1" s="1"/>
  <c r="II79" i="1"/>
  <c r="K112" i="14"/>
  <c r="K7" i="14"/>
  <c r="K61" i="14"/>
  <c r="K42" i="14"/>
  <c r="K38" i="14"/>
  <c r="K120" i="14"/>
  <c r="K49" i="14"/>
  <c r="K127" i="14"/>
  <c r="IN60" i="1"/>
  <c r="IP71" i="1"/>
  <c r="Z71" i="1" s="1"/>
  <c r="IP79" i="1"/>
  <c r="Z79" i="1" s="1"/>
  <c r="IP63" i="1"/>
  <c r="Z63" i="1" s="1"/>
  <c r="IP127" i="1"/>
  <c r="Z127" i="1" s="1"/>
  <c r="IN22" i="1"/>
  <c r="IN63" i="1"/>
  <c r="X63" i="1" s="1"/>
  <c r="Y63" i="1" s="1"/>
  <c r="II67" i="1"/>
  <c r="IN69" i="1"/>
  <c r="X69" i="1" s="1"/>
  <c r="Y69" i="1" s="1"/>
  <c r="IN74" i="1"/>
  <c r="II117" i="1"/>
  <c r="IJ117" i="1" s="1"/>
  <c r="IK117" i="1" s="1"/>
  <c r="IN93" i="1"/>
  <c r="II46" i="1"/>
  <c r="U46" i="1" s="1"/>
  <c r="IP74" i="1"/>
  <c r="Z74" i="1" s="1"/>
  <c r="IP91" i="1"/>
  <c r="Z91" i="1" s="1"/>
  <c r="IN117" i="1"/>
  <c r="X117" i="1" s="1"/>
  <c r="Y117" i="1" s="1"/>
  <c r="II56" i="1"/>
  <c r="U56" i="1" s="1"/>
  <c r="II37" i="1"/>
  <c r="K15" i="14"/>
  <c r="K52" i="14"/>
  <c r="K122" i="14"/>
  <c r="IP93" i="1"/>
  <c r="Z93" i="1" s="1"/>
  <c r="IP46" i="1"/>
  <c r="Z46" i="1" s="1"/>
  <c r="IP70" i="1"/>
  <c r="Z70" i="1" s="1"/>
  <c r="II91" i="1"/>
  <c r="U91" i="1" s="1"/>
  <c r="IP94" i="1"/>
  <c r="Z94" i="1" s="1"/>
  <c r="IP72" i="1"/>
  <c r="Z72" i="1" s="1"/>
  <c r="IP124" i="1"/>
  <c r="Z124" i="1" s="1"/>
  <c r="II72" i="1"/>
  <c r="IJ72" i="1" s="1"/>
  <c r="IK72" i="1" s="1"/>
  <c r="II70" i="1"/>
  <c r="II43" i="1"/>
  <c r="IJ43" i="1" s="1"/>
  <c r="IK43" i="1" s="1"/>
  <c r="IQ148" i="1"/>
  <c r="EN148" i="1" s="1"/>
  <c r="EL148" i="1" s="1"/>
  <c r="II47" i="1"/>
  <c r="IJ47" i="1" s="1"/>
  <c r="IK47" i="1" s="1"/>
  <c r="K60" i="14"/>
  <c r="K72" i="14"/>
  <c r="K20" i="14"/>
  <c r="K64" i="14"/>
  <c r="K36" i="14"/>
  <c r="K26" i="14"/>
  <c r="K44" i="14"/>
  <c r="K41" i="14"/>
  <c r="K125" i="14"/>
  <c r="K119" i="14"/>
  <c r="K6" i="14"/>
  <c r="K91" i="14"/>
  <c r="K34" i="14"/>
  <c r="K118" i="14"/>
  <c r="K113" i="14"/>
  <c r="K101" i="14"/>
  <c r="K5" i="14"/>
  <c r="K109" i="14"/>
  <c r="K28" i="14"/>
  <c r="IP33" i="1"/>
  <c r="Z33" i="1" s="1"/>
  <c r="IN122" i="1"/>
  <c r="IN107" i="1"/>
  <c r="X107" i="1" s="1"/>
  <c r="Y107" i="1" s="1"/>
  <c r="IP48" i="1"/>
  <c r="Z48" i="1" s="1"/>
  <c r="II53" i="1"/>
  <c r="IJ53" i="1" s="1"/>
  <c r="IK53" i="1" s="1"/>
  <c r="IN127" i="1"/>
  <c r="K114" i="14"/>
  <c r="K116" i="14"/>
  <c r="K21" i="14"/>
  <c r="K67" i="14"/>
  <c r="K22" i="14"/>
  <c r="K70" i="14"/>
  <c r="K32" i="14"/>
  <c r="K123" i="14"/>
  <c r="K4" i="14"/>
  <c r="IN67" i="1"/>
  <c r="K106" i="14"/>
  <c r="K40" i="14"/>
  <c r="K130" i="14"/>
  <c r="K30" i="14"/>
  <c r="K58" i="14"/>
  <c r="K23" i="14"/>
  <c r="K25" i="14"/>
  <c r="K33" i="14"/>
  <c r="K75" i="14"/>
  <c r="K46" i="14"/>
  <c r="K92" i="14"/>
  <c r="K63" i="14"/>
  <c r="K99" i="14"/>
  <c r="K100" i="14"/>
  <c r="K54" i="14"/>
  <c r="K29" i="14"/>
  <c r="K19" i="14"/>
  <c r="K35" i="14"/>
  <c r="K14" i="14"/>
  <c r="K37" i="14"/>
  <c r="K68" i="14"/>
  <c r="K48" i="14"/>
  <c r="K96" i="14"/>
  <c r="K31" i="14"/>
  <c r="K13" i="14"/>
  <c r="K103" i="14"/>
  <c r="II110" i="1"/>
  <c r="IJ110" i="1" s="1"/>
  <c r="IK110" i="1" s="1"/>
  <c r="II41" i="1"/>
  <c r="IN51" i="1"/>
  <c r="X51" i="1" s="1"/>
  <c r="Y51" i="1" s="1"/>
  <c r="IN66" i="1"/>
  <c r="IP42" i="1"/>
  <c r="Z42" i="1" s="1"/>
  <c r="K129" i="14"/>
  <c r="K77" i="14"/>
  <c r="K83" i="14"/>
  <c r="K86" i="14"/>
  <c r="K115" i="14"/>
  <c r="K111" i="14"/>
  <c r="K88" i="14"/>
  <c r="K69" i="14"/>
  <c r="K71" i="14"/>
  <c r="K110" i="14"/>
  <c r="K93" i="14"/>
  <c r="K121" i="14"/>
  <c r="K105" i="14"/>
  <c r="K73" i="14"/>
  <c r="K24" i="14"/>
  <c r="II116" i="1"/>
  <c r="U116" i="1" s="1"/>
  <c r="IP76" i="1"/>
  <c r="Z76" i="1" s="1"/>
  <c r="IP115" i="1"/>
  <c r="Z115" i="1" s="1"/>
  <c r="IP119" i="1"/>
  <c r="Z119" i="1" s="1"/>
  <c r="IP35" i="1"/>
  <c r="Z35" i="1" s="1"/>
  <c r="II51" i="1"/>
  <c r="K50" i="14"/>
  <c r="K59" i="14"/>
  <c r="K131" i="14"/>
  <c r="K128" i="14"/>
  <c r="K55" i="14"/>
  <c r="K45" i="14"/>
  <c r="K124" i="14"/>
  <c r="K17" i="14"/>
  <c r="K53" i="14"/>
  <c r="K10" i="14"/>
  <c r="K56" i="14"/>
  <c r="K27" i="14"/>
  <c r="IP110" i="1"/>
  <c r="Z110" i="1" s="1"/>
  <c r="IN45" i="1"/>
  <c r="IP120" i="1"/>
  <c r="Z120" i="1" s="1"/>
  <c r="K108" i="14"/>
  <c r="K126" i="14"/>
  <c r="K51" i="14"/>
  <c r="K81" i="14"/>
  <c r="K78" i="14"/>
  <c r="K9" i="14"/>
  <c r="K47" i="14"/>
  <c r="K85" i="14"/>
  <c r="K87" i="14"/>
  <c r="K16" i="14"/>
  <c r="K8" i="14"/>
  <c r="K82" i="14"/>
  <c r="K117" i="14"/>
  <c r="K18" i="14"/>
  <c r="K66" i="14"/>
  <c r="IP29" i="1"/>
  <c r="Z29" i="1" s="1"/>
  <c r="IP121" i="1"/>
  <c r="Z121" i="1" s="1"/>
  <c r="II57" i="1"/>
  <c r="IJ57" i="1" s="1"/>
  <c r="IK57" i="1" s="1"/>
  <c r="II29" i="1"/>
  <c r="II121" i="1"/>
  <c r="IJ121" i="1" s="1"/>
  <c r="IK121" i="1" s="1"/>
  <c r="IP109" i="1"/>
  <c r="Z109" i="1" s="1"/>
  <c r="IN105" i="1"/>
  <c r="X105" i="1" s="1"/>
  <c r="Y105" i="1" s="1"/>
  <c r="IP108" i="1"/>
  <c r="Z108" i="1" s="1"/>
  <c r="II125" i="1"/>
  <c r="IJ125" i="1" s="1"/>
  <c r="IK125" i="1" s="1"/>
  <c r="IN88" i="1"/>
  <c r="IN108" i="1"/>
  <c r="X108" i="1" s="1"/>
  <c r="Y108" i="1" s="1"/>
  <c r="IN114" i="1"/>
  <c r="IN75" i="1"/>
  <c r="X75" i="1" s="1"/>
  <c r="Y75" i="1" s="1"/>
  <c r="IN49" i="1"/>
  <c r="II109" i="1"/>
  <c r="U109" i="1" s="1"/>
  <c r="II69" i="1"/>
  <c r="II106" i="1"/>
  <c r="IJ106" i="1" s="1"/>
  <c r="IK106" i="1" s="1"/>
  <c r="II24" i="1"/>
  <c r="IN52" i="1"/>
  <c r="IQ52" i="1" s="1"/>
  <c r="II90" i="1"/>
  <c r="IN137" i="1"/>
  <c r="X137" i="1" s="1"/>
  <c r="Y137" i="1" s="1"/>
  <c r="IN81" i="1"/>
  <c r="II20" i="1"/>
  <c r="IJ20" i="1" s="1"/>
  <c r="IK20" i="1" s="1"/>
  <c r="IP54" i="1"/>
  <c r="Z54" i="1" s="1"/>
  <c r="II44" i="1"/>
  <c r="IJ44" i="1" s="1"/>
  <c r="IK44" i="1" s="1"/>
  <c r="II68" i="1"/>
  <c r="IJ68" i="1" s="1"/>
  <c r="IK68" i="1" s="1"/>
  <c r="IP86" i="1"/>
  <c r="Z86" i="1" s="1"/>
  <c r="II77" i="1"/>
  <c r="IN31" i="1"/>
  <c r="IQ31" i="1" s="1"/>
  <c r="IN43" i="1"/>
  <c r="IP81" i="1"/>
  <c r="Z81" i="1" s="1"/>
  <c r="IN82" i="1"/>
  <c r="IN85" i="1"/>
  <c r="IQ85" i="1" s="1"/>
  <c r="II139" i="1"/>
  <c r="IN95" i="1"/>
  <c r="X95" i="1" s="1"/>
  <c r="Y95" i="1" s="1"/>
  <c r="II34" i="1"/>
  <c r="IP111" i="1"/>
  <c r="Z111" i="1" s="1"/>
  <c r="IN38" i="1"/>
  <c r="IN87" i="1"/>
  <c r="IQ87" i="1" s="1"/>
  <c r="IP58" i="1"/>
  <c r="Z58" i="1" s="1"/>
  <c r="IP103" i="1"/>
  <c r="Z103" i="1" s="1"/>
  <c r="IP89" i="1"/>
  <c r="Z89" i="1" s="1"/>
  <c r="IP78" i="1"/>
  <c r="Z78" i="1" s="1"/>
  <c r="IN104" i="1"/>
  <c r="II112" i="1"/>
  <c r="U112" i="1" s="1"/>
  <c r="II83" i="1"/>
  <c r="IP80" i="1"/>
  <c r="Z80" i="1" s="1"/>
  <c r="IP23" i="1"/>
  <c r="Z23" i="1" s="1"/>
  <c r="IN111" i="1"/>
  <c r="X111" i="1" s="1"/>
  <c r="Y111" i="1" s="1"/>
  <c r="U148" i="1"/>
  <c r="II65" i="1"/>
  <c r="U65" i="1" s="1"/>
  <c r="IN64" i="1"/>
  <c r="IP101" i="1"/>
  <c r="Z101" i="1" s="1"/>
  <c r="II126" i="1"/>
  <c r="II64" i="1"/>
  <c r="IJ64" i="1" s="1"/>
  <c r="IK64" i="1" s="1"/>
  <c r="IP68" i="1"/>
  <c r="Z68" i="1" s="1"/>
  <c r="II84" i="1"/>
  <c r="U84" i="1" s="1"/>
  <c r="IN89" i="1"/>
  <c r="IP138" i="1"/>
  <c r="Z138" i="1" s="1"/>
  <c r="II80" i="1"/>
  <c r="IN21" i="1"/>
  <c r="IP39" i="1"/>
  <c r="Z39" i="1" s="1"/>
  <c r="IP59" i="1"/>
  <c r="Z59" i="1" s="1"/>
  <c r="IP28" i="1"/>
  <c r="Z28" i="1" s="1"/>
  <c r="IP84" i="1"/>
  <c r="Z84" i="1" s="1"/>
  <c r="IN62" i="1"/>
  <c r="X62" i="1" s="1"/>
  <c r="Y62" i="1" s="1"/>
  <c r="IP96" i="1"/>
  <c r="Z96" i="1" s="1"/>
  <c r="IP87" i="1"/>
  <c r="Z87" i="1" s="1"/>
  <c r="II32" i="1"/>
  <c r="IJ32" i="1" s="1"/>
  <c r="IK32" i="1" s="1"/>
  <c r="IP95" i="1"/>
  <c r="Z95" i="1" s="1"/>
  <c r="IP24" i="1"/>
  <c r="Z24" i="1" s="1"/>
  <c r="II26" i="1"/>
  <c r="II138" i="1"/>
  <c r="U138" i="1" s="1"/>
  <c r="IP40" i="1"/>
  <c r="Z40" i="1" s="1"/>
  <c r="IN28" i="1"/>
  <c r="X28" i="1" s="1"/>
  <c r="Y28" i="1" s="1"/>
  <c r="IP85" i="1"/>
  <c r="Z85" i="1" s="1"/>
  <c r="IP62" i="1"/>
  <c r="Z62" i="1" s="1"/>
  <c r="IN23" i="1"/>
  <c r="II40" i="1"/>
  <c r="IJ40" i="1" s="1"/>
  <c r="IK40" i="1" s="1"/>
  <c r="IN78" i="1"/>
  <c r="IP21" i="1"/>
  <c r="Z21" i="1" s="1"/>
  <c r="IN125" i="1"/>
  <c r="IP61" i="1"/>
  <c r="Z61" i="1" s="1"/>
  <c r="IN44" i="1"/>
  <c r="II140" i="1"/>
  <c r="IJ140" i="1" s="1"/>
  <c r="IK140" i="1" s="1"/>
  <c r="IN33" i="1"/>
  <c r="II45" i="1"/>
  <c r="IJ45" i="1" s="1"/>
  <c r="IK45" i="1" s="1"/>
  <c r="II49" i="1"/>
  <c r="IN59" i="1"/>
  <c r="X59" i="1" s="1"/>
  <c r="Y59" i="1" s="1"/>
  <c r="IN90" i="1"/>
  <c r="II101" i="1"/>
  <c r="U101" i="1" s="1"/>
  <c r="II104" i="1"/>
  <c r="IN58" i="1"/>
  <c r="IQ58" i="1" s="1"/>
  <c r="IP83" i="1"/>
  <c r="Z83" i="1" s="1"/>
  <c r="IN54" i="1"/>
  <c r="IQ54" i="1" s="1"/>
  <c r="II103" i="1"/>
  <c r="II35" i="1"/>
  <c r="U35" i="1" s="1"/>
  <c r="II86" i="1"/>
  <c r="U86" i="1" s="1"/>
  <c r="IN48" i="1"/>
  <c r="X48" i="1" s="1"/>
  <c r="Y48" i="1" s="1"/>
  <c r="IN57" i="1"/>
  <c r="IP137" i="1"/>
  <c r="Z137" i="1" s="1"/>
  <c r="IP106" i="1"/>
  <c r="Z106" i="1" s="1"/>
  <c r="II31" i="1"/>
  <c r="IJ31" i="1" s="1"/>
  <c r="IK31" i="1" s="1"/>
  <c r="IP139" i="1"/>
  <c r="Z139" i="1" s="1"/>
  <c r="II96" i="1"/>
  <c r="U96" i="1" s="1"/>
  <c r="IN65" i="1"/>
  <c r="IN126" i="1"/>
  <c r="IQ126" i="1" s="1"/>
  <c r="IN32" i="1"/>
  <c r="IP38" i="1"/>
  <c r="Z38" i="1" s="1"/>
  <c r="IN112" i="1"/>
  <c r="IN26" i="1"/>
  <c r="X26" i="1" s="1"/>
  <c r="Y26" i="1" s="1"/>
  <c r="IN124" i="1"/>
  <c r="IP75" i="1"/>
  <c r="Z75" i="1" s="1"/>
  <c r="IN42" i="1"/>
  <c r="II105" i="1"/>
  <c r="IJ105" i="1" s="1"/>
  <c r="IK105" i="1" s="1"/>
  <c r="IN34" i="1"/>
  <c r="IP82" i="1"/>
  <c r="Z82" i="1" s="1"/>
  <c r="II114" i="1"/>
  <c r="IP20" i="1"/>
  <c r="Z20" i="1" s="1"/>
  <c r="II52" i="1"/>
  <c r="FY148" i="1"/>
  <c r="GI148" i="1" s="1"/>
  <c r="FQ148" i="1"/>
  <c r="GA148" i="1" s="1"/>
  <c r="FS148" i="1"/>
  <c r="GC148" i="1" s="1"/>
  <c r="FU148" i="1"/>
  <c r="GE148" i="1" s="1"/>
  <c r="FP148" i="1"/>
  <c r="FW148" i="1"/>
  <c r="GG148" i="1" s="1"/>
  <c r="FT148" i="1"/>
  <c r="GD148" i="1" s="1"/>
  <c r="FR148" i="1"/>
  <c r="GB148" i="1" s="1"/>
  <c r="V148" i="1"/>
  <c r="FX148" i="1"/>
  <c r="GH148" i="1" s="1"/>
  <c r="FV148" i="1"/>
  <c r="GF148" i="1" s="1"/>
  <c r="FD148" i="1"/>
  <c r="FB148" i="1" s="1"/>
  <c r="EV148" i="1"/>
  <c r="ET148" i="1" s="1"/>
  <c r="FI148" i="1"/>
  <c r="FG148" i="1" s="1"/>
  <c r="FA148" i="1"/>
  <c r="EY148" i="1" s="1"/>
  <c r="FH148" i="1"/>
  <c r="FF148" i="1" s="1"/>
  <c r="EZ148" i="1"/>
  <c r="EX148" i="1" s="1"/>
  <c r="FM148" i="1"/>
  <c r="FK148" i="1" s="1"/>
  <c r="FE148" i="1"/>
  <c r="FC148" i="1" s="1"/>
  <c r="EG148" i="1"/>
  <c r="II141" i="1"/>
  <c r="IP141" i="1"/>
  <c r="Z141" i="1" s="1"/>
  <c r="IN141" i="1"/>
  <c r="X61" i="1"/>
  <c r="Y61" i="1" s="1"/>
  <c r="IP99" i="1"/>
  <c r="Z99" i="1" s="1"/>
  <c r="II99" i="1"/>
  <c r="IN99" i="1"/>
  <c r="X44" i="1"/>
  <c r="Y44" i="1" s="1"/>
  <c r="IQ44" i="1"/>
  <c r="IQ39" i="1"/>
  <c r="X39" i="1"/>
  <c r="Y39" i="1" s="1"/>
  <c r="U36" i="1"/>
  <c r="IJ36" i="1"/>
  <c r="IK36" i="1" s="1"/>
  <c r="IP98" i="1"/>
  <c r="Z98" i="1" s="1"/>
  <c r="II98" i="1"/>
  <c r="IN98" i="1"/>
  <c r="U59" i="1"/>
  <c r="IJ59" i="1"/>
  <c r="IK59" i="1" s="1"/>
  <c r="X91" i="1"/>
  <c r="Y91" i="1" s="1"/>
  <c r="IQ117" i="1"/>
  <c r="X76" i="1"/>
  <c r="Y76" i="1" s="1"/>
  <c r="IQ22" i="1"/>
  <c r="X22" i="1"/>
  <c r="Y22" i="1" s="1"/>
  <c r="U88" i="1"/>
  <c r="IJ88" i="1"/>
  <c r="IK88" i="1" s="1"/>
  <c r="X56" i="1"/>
  <c r="Y56" i="1" s="1"/>
  <c r="IQ56" i="1"/>
  <c r="X115" i="1"/>
  <c r="Y115" i="1" s="1"/>
  <c r="X71" i="1"/>
  <c r="Y71" i="1" s="1"/>
  <c r="U94" i="1"/>
  <c r="IJ94" i="1"/>
  <c r="IK94" i="1" s="1"/>
  <c r="IJ60" i="1"/>
  <c r="IK60" i="1" s="1"/>
  <c r="U60" i="1"/>
  <c r="IJ86" i="1"/>
  <c r="IK86" i="1" s="1"/>
  <c r="U25" i="1"/>
  <c r="IJ25" i="1"/>
  <c r="IK25" i="1" s="1"/>
  <c r="U37" i="1"/>
  <c r="IJ37" i="1"/>
  <c r="IK37" i="1" s="1"/>
  <c r="X30" i="1"/>
  <c r="Y30" i="1" s="1"/>
  <c r="X57" i="1"/>
  <c r="Y57" i="1" s="1"/>
  <c r="IQ57" i="1"/>
  <c r="IJ127" i="1"/>
  <c r="IK127" i="1" s="1"/>
  <c r="U127" i="1"/>
  <c r="X72" i="1"/>
  <c r="Y72" i="1" s="1"/>
  <c r="IP143" i="1"/>
  <c r="Z143" i="1" s="1"/>
  <c r="IN143" i="1"/>
  <c r="II143" i="1"/>
  <c r="X109" i="1"/>
  <c r="Y109" i="1" s="1"/>
  <c r="U124" i="1"/>
  <c r="IJ124" i="1"/>
  <c r="IK124" i="1" s="1"/>
  <c r="X66" i="1"/>
  <c r="Y66" i="1" s="1"/>
  <c r="IQ66" i="1"/>
  <c r="IJ93" i="1"/>
  <c r="IK93" i="1" s="1"/>
  <c r="U93" i="1"/>
  <c r="X79" i="1"/>
  <c r="Y79" i="1" s="1"/>
  <c r="U81" i="1"/>
  <c r="IJ81" i="1"/>
  <c r="IK81" i="1" s="1"/>
  <c r="U34" i="1"/>
  <c r="IJ34" i="1"/>
  <c r="IK34" i="1" s="1"/>
  <c r="X114" i="1"/>
  <c r="Y114" i="1" s="1"/>
  <c r="IQ114" i="1"/>
  <c r="X110" i="1"/>
  <c r="Y110" i="1" s="1"/>
  <c r="U21" i="1"/>
  <c r="IJ21" i="1"/>
  <c r="IK21" i="1" s="1"/>
  <c r="IQ50" i="1"/>
  <c r="X50" i="1"/>
  <c r="Y50" i="1" s="1"/>
  <c r="IN134" i="1"/>
  <c r="IP134" i="1"/>
  <c r="Z134" i="1" s="1"/>
  <c r="II134" i="1"/>
  <c r="IJ74" i="1"/>
  <c r="IK74" i="1" s="1"/>
  <c r="U74" i="1"/>
  <c r="IJ70" i="1"/>
  <c r="IK70" i="1" s="1"/>
  <c r="U70" i="1"/>
  <c r="X41" i="1"/>
  <c r="Y41" i="1" s="1"/>
  <c r="X49" i="1"/>
  <c r="Y49" i="1" s="1"/>
  <c r="IQ49" i="1"/>
  <c r="U17" i="1"/>
  <c r="IJ17" i="1"/>
  <c r="IK17" i="1" s="1"/>
  <c r="U90" i="1"/>
  <c r="IJ90" i="1"/>
  <c r="IK90" i="1" s="1"/>
  <c r="IN130" i="1"/>
  <c r="II130" i="1"/>
  <c r="IP130" i="1"/>
  <c r="Z130" i="1" s="1"/>
  <c r="U122" i="1"/>
  <c r="IJ122" i="1"/>
  <c r="IK122" i="1" s="1"/>
  <c r="IJ76" i="1"/>
  <c r="IK76" i="1" s="1"/>
  <c r="II135" i="1"/>
  <c r="IN135" i="1"/>
  <c r="IP135" i="1"/>
  <c r="Z135" i="1" s="1"/>
  <c r="IJ56" i="1"/>
  <c r="IK56" i="1" s="1"/>
  <c r="U115" i="1"/>
  <c r="IJ115" i="1"/>
  <c r="IK115" i="1" s="1"/>
  <c r="IJ71" i="1"/>
  <c r="IK71" i="1" s="1"/>
  <c r="U71" i="1"/>
  <c r="IJ28" i="1"/>
  <c r="IK28" i="1" s="1"/>
  <c r="U28" i="1"/>
  <c r="IJ104" i="1"/>
  <c r="IK104" i="1" s="1"/>
  <c r="U104" i="1"/>
  <c r="X68" i="1"/>
  <c r="Y68" i="1" s="1"/>
  <c r="IQ68" i="1"/>
  <c r="IJ62" i="1"/>
  <c r="IK62" i="1" s="1"/>
  <c r="U62" i="1"/>
  <c r="IJ103" i="1"/>
  <c r="IK103" i="1" s="1"/>
  <c r="U103" i="1"/>
  <c r="IP132" i="1"/>
  <c r="Z132" i="1" s="1"/>
  <c r="IN132" i="1"/>
  <c r="II132" i="1"/>
  <c r="IQ37" i="1"/>
  <c r="IQ69" i="1"/>
  <c r="U51" i="1"/>
  <c r="IJ51" i="1"/>
  <c r="IK51" i="1" s="1"/>
  <c r="IJ77" i="1"/>
  <c r="IK77" i="1" s="1"/>
  <c r="U77" i="1"/>
  <c r="IQ53" i="1"/>
  <c r="X53" i="1"/>
  <c r="Y53" i="1" s="1"/>
  <c r="IJ29" i="1"/>
  <c r="IK29" i="1" s="1"/>
  <c r="U29" i="1"/>
  <c r="U72" i="1"/>
  <c r="IJ87" i="1"/>
  <c r="IK87" i="1" s="1"/>
  <c r="U87" i="1"/>
  <c r="IJ38" i="1"/>
  <c r="IK38" i="1" s="1"/>
  <c r="U38" i="1"/>
  <c r="U26" i="1"/>
  <c r="IJ26" i="1"/>
  <c r="IK26" i="1" s="1"/>
  <c r="IP145" i="1"/>
  <c r="Z145" i="1" s="1"/>
  <c r="II145" i="1"/>
  <c r="IN145" i="1"/>
  <c r="IJ42" i="1"/>
  <c r="IK42" i="1" s="1"/>
  <c r="U42" i="1"/>
  <c r="X34" i="1"/>
  <c r="Y34" i="1" s="1"/>
  <c r="IQ34" i="1"/>
  <c r="IJ89" i="1"/>
  <c r="IK89" i="1" s="1"/>
  <c r="U89" i="1"/>
  <c r="IJ114" i="1"/>
  <c r="IK114" i="1" s="1"/>
  <c r="U114" i="1"/>
  <c r="IQ40" i="1"/>
  <c r="X40" i="1"/>
  <c r="Y40" i="1" s="1"/>
  <c r="U52" i="1"/>
  <c r="IJ52" i="1"/>
  <c r="IK52" i="1" s="1"/>
  <c r="X80" i="1"/>
  <c r="Y80" i="1" s="1"/>
  <c r="IQ125" i="1"/>
  <c r="X125" i="1"/>
  <c r="Y125" i="1" s="1"/>
  <c r="IQ102" i="1"/>
  <c r="X102" i="1"/>
  <c r="Y102" i="1" s="1"/>
  <c r="X70" i="1"/>
  <c r="Y70" i="1" s="1"/>
  <c r="IQ70" i="1"/>
  <c r="X140" i="1"/>
  <c r="Y140" i="1" s="1"/>
  <c r="U33" i="1"/>
  <c r="IJ33" i="1"/>
  <c r="IK33" i="1" s="1"/>
  <c r="IJ41" i="1"/>
  <c r="IK41" i="1" s="1"/>
  <c r="U41" i="1"/>
  <c r="IN131" i="1"/>
  <c r="II131" i="1"/>
  <c r="IP131" i="1"/>
  <c r="Z131" i="1" s="1"/>
  <c r="IJ49" i="1"/>
  <c r="IK49" i="1" s="1"/>
  <c r="U49" i="1"/>
  <c r="IQ17" i="1"/>
  <c r="X17" i="1"/>
  <c r="Y17" i="1" s="1"/>
  <c r="X90" i="1"/>
  <c r="Y90" i="1" s="1"/>
  <c r="IQ90" i="1"/>
  <c r="IP144" i="1"/>
  <c r="Z144" i="1" s="1"/>
  <c r="II144" i="1"/>
  <c r="IN144" i="1"/>
  <c r="X122" i="1"/>
  <c r="Y122" i="1" s="1"/>
  <c r="U22" i="1"/>
  <c r="IJ22" i="1"/>
  <c r="IK22" i="1" s="1"/>
  <c r="IP146" i="1"/>
  <c r="Z146" i="1" s="1"/>
  <c r="IN146" i="1"/>
  <c r="II146" i="1"/>
  <c r="IQ94" i="1"/>
  <c r="X94" i="1"/>
  <c r="Y94" i="1" s="1"/>
  <c r="IJ119" i="1"/>
  <c r="IK119" i="1" s="1"/>
  <c r="U119" i="1"/>
  <c r="IQ28" i="1"/>
  <c r="X104" i="1"/>
  <c r="Y104" i="1" s="1"/>
  <c r="IQ104" i="1"/>
  <c r="U83" i="1"/>
  <c r="IJ83" i="1"/>
  <c r="IK83" i="1" s="1"/>
  <c r="IQ23" i="1"/>
  <c r="X23" i="1"/>
  <c r="Y23" i="1" s="1"/>
  <c r="X86" i="1"/>
  <c r="Y86" i="1" s="1"/>
  <c r="U63" i="1"/>
  <c r="IJ63" i="1"/>
  <c r="IK63" i="1" s="1"/>
  <c r="U48" i="1"/>
  <c r="IJ48" i="1"/>
  <c r="IK48" i="1" s="1"/>
  <c r="X77" i="1"/>
  <c r="Y77" i="1" s="1"/>
  <c r="IQ77" i="1"/>
  <c r="IJ120" i="1"/>
  <c r="IK120" i="1" s="1"/>
  <c r="U120" i="1"/>
  <c r="U137" i="1"/>
  <c r="IJ137" i="1"/>
  <c r="IK137" i="1" s="1"/>
  <c r="X29" i="1"/>
  <c r="Y29" i="1" s="1"/>
  <c r="IQ106" i="1"/>
  <c r="X106" i="1"/>
  <c r="Y106" i="1" s="1"/>
  <c r="IQ121" i="1"/>
  <c r="X121" i="1"/>
  <c r="Y121" i="1" s="1"/>
  <c r="X139" i="1"/>
  <c r="Y139" i="1" s="1"/>
  <c r="IQ139" i="1"/>
  <c r="X96" i="1"/>
  <c r="Y96" i="1" s="1"/>
  <c r="IP136" i="1"/>
  <c r="Z136" i="1" s="1"/>
  <c r="IN136" i="1"/>
  <c r="II136" i="1"/>
  <c r="X87" i="1"/>
  <c r="Y87" i="1" s="1"/>
  <c r="IJ126" i="1"/>
  <c r="IK126" i="1" s="1"/>
  <c r="U126" i="1"/>
  <c r="IQ64" i="1"/>
  <c r="X64" i="1"/>
  <c r="Y64" i="1" s="1"/>
  <c r="X38" i="1"/>
  <c r="Y38" i="1" s="1"/>
  <c r="X24" i="1"/>
  <c r="Y24" i="1" s="1"/>
  <c r="IQ24" i="1"/>
  <c r="X112" i="1"/>
  <c r="Y112" i="1" s="1"/>
  <c r="IQ112" i="1"/>
  <c r="IJ108" i="1"/>
  <c r="IK108" i="1" s="1"/>
  <c r="U108" i="1"/>
  <c r="IQ124" i="1"/>
  <c r="X124" i="1"/>
  <c r="Y124" i="1" s="1"/>
  <c r="IN142" i="1"/>
  <c r="II142" i="1"/>
  <c r="IP142" i="1"/>
  <c r="Z142" i="1" s="1"/>
  <c r="IJ67" i="1"/>
  <c r="IK67" i="1" s="1"/>
  <c r="U67" i="1"/>
  <c r="X93" i="1"/>
  <c r="Y93" i="1" s="1"/>
  <c r="IQ93" i="1"/>
  <c r="D6" i="1"/>
  <c r="B6" i="15" s="1"/>
  <c r="O15" i="1"/>
  <c r="IJ79" i="1"/>
  <c r="IK79" i="1" s="1"/>
  <c r="U79" i="1"/>
  <c r="IP133" i="1"/>
  <c r="Z133" i="1" s="1"/>
  <c r="IN133" i="1"/>
  <c r="II133" i="1"/>
  <c r="IQ89" i="1"/>
  <c r="X89" i="1"/>
  <c r="Y89" i="1" s="1"/>
  <c r="X82" i="1"/>
  <c r="Y82" i="1" s="1"/>
  <c r="U40" i="1"/>
  <c r="X78" i="1"/>
  <c r="Y78" i="1" s="1"/>
  <c r="IJ80" i="1"/>
  <c r="IK80" i="1" s="1"/>
  <c r="U80" i="1"/>
  <c r="IJ61" i="1"/>
  <c r="IK61" i="1" s="1"/>
  <c r="X46" i="1"/>
  <c r="Y46" i="1" s="1"/>
  <c r="U128" i="1"/>
  <c r="IJ128" i="1"/>
  <c r="IK128" i="1" s="1"/>
  <c r="IJ102" i="1"/>
  <c r="IK102" i="1" s="1"/>
  <c r="IQ74" i="1"/>
  <c r="X74" i="1"/>
  <c r="Y74" i="1" s="1"/>
  <c r="U39" i="1"/>
  <c r="IJ39" i="1"/>
  <c r="IK39" i="1" s="1"/>
  <c r="X45" i="1"/>
  <c r="Y45" i="1" s="1"/>
  <c r="IQ45" i="1"/>
  <c r="IQ36" i="1"/>
  <c r="X36" i="1"/>
  <c r="Y36" i="1" s="1"/>
  <c r="U117" i="1"/>
  <c r="X88" i="1"/>
  <c r="Y88" i="1" s="1"/>
  <c r="IQ88" i="1"/>
  <c r="II97" i="1"/>
  <c r="IN97" i="1"/>
  <c r="IP97" i="1"/>
  <c r="Z97" i="1" s="1"/>
  <c r="IQ107" i="1"/>
  <c r="X119" i="1"/>
  <c r="Y119" i="1" s="1"/>
  <c r="IQ119" i="1"/>
  <c r="X101" i="1"/>
  <c r="Y101" i="1" s="1"/>
  <c r="U85" i="1"/>
  <c r="IJ85" i="1"/>
  <c r="IK85" i="1" s="1"/>
  <c r="IJ58" i="1"/>
  <c r="IK58" i="1" s="1"/>
  <c r="U58" i="1"/>
  <c r="IQ83" i="1"/>
  <c r="X83" i="1"/>
  <c r="Y83" i="1" s="1"/>
  <c r="X84" i="1"/>
  <c r="Y84" i="1" s="1"/>
  <c r="U54" i="1"/>
  <c r="IJ54" i="1"/>
  <c r="IK54" i="1" s="1"/>
  <c r="X103" i="1"/>
  <c r="Y103" i="1" s="1"/>
  <c r="IJ23" i="1"/>
  <c r="IK23" i="1" s="1"/>
  <c r="U23" i="1"/>
  <c r="X35" i="1"/>
  <c r="Y35" i="1" s="1"/>
  <c r="X25" i="1"/>
  <c r="Y25" i="1" s="1"/>
  <c r="IQ25" i="1"/>
  <c r="U69" i="1"/>
  <c r="IJ69" i="1"/>
  <c r="IK69" i="1" s="1"/>
  <c r="U30" i="1"/>
  <c r="IJ30" i="1"/>
  <c r="IK30" i="1" s="1"/>
  <c r="U47" i="1"/>
  <c r="X120" i="1"/>
  <c r="Y120" i="1" s="1"/>
  <c r="U57" i="1"/>
  <c r="X127" i="1"/>
  <c r="Y127" i="1" s="1"/>
  <c r="IJ139" i="1"/>
  <c r="IK139" i="1" s="1"/>
  <c r="U139" i="1"/>
  <c r="IQ43" i="1"/>
  <c r="X43" i="1"/>
  <c r="Y43" i="1" s="1"/>
  <c r="IQ65" i="1"/>
  <c r="X65" i="1"/>
  <c r="Y65" i="1" s="1"/>
  <c r="X126" i="1"/>
  <c r="Y126" i="1" s="1"/>
  <c r="U111" i="1"/>
  <c r="IJ111" i="1"/>
  <c r="IK111" i="1" s="1"/>
  <c r="X32" i="1"/>
  <c r="Y32" i="1" s="1"/>
  <c r="IQ32" i="1"/>
  <c r="IJ95" i="1"/>
  <c r="IK95" i="1" s="1"/>
  <c r="U95" i="1"/>
  <c r="U24" i="1"/>
  <c r="IJ24" i="1"/>
  <c r="IK24" i="1" s="1"/>
  <c r="IJ112" i="1"/>
  <c r="IK112" i="1" s="1"/>
  <c r="IJ109" i="1"/>
  <c r="IK109" i="1" s="1"/>
  <c r="U66" i="1"/>
  <c r="X67" i="1"/>
  <c r="Y67" i="1" s="1"/>
  <c r="IQ67" i="1"/>
  <c r="IJ75" i="1"/>
  <c r="IK75" i="1" s="1"/>
  <c r="U75" i="1"/>
  <c r="IN129" i="1"/>
  <c r="II129" i="1"/>
  <c r="IP129" i="1"/>
  <c r="Z129" i="1" s="1"/>
  <c r="X42" i="1"/>
  <c r="Y42" i="1" s="1"/>
  <c r="IQ42" i="1"/>
  <c r="IP147" i="1"/>
  <c r="Z147" i="1" s="1"/>
  <c r="IN147" i="1"/>
  <c r="II147" i="1"/>
  <c r="X81" i="1"/>
  <c r="Y81" i="1" s="1"/>
  <c r="U82" i="1"/>
  <c r="IJ82" i="1"/>
  <c r="IK82" i="1" s="1"/>
  <c r="X138" i="1"/>
  <c r="Y138" i="1" s="1"/>
  <c r="X20" i="1"/>
  <c r="Y20" i="1" s="1"/>
  <c r="U78" i="1"/>
  <c r="IJ78" i="1"/>
  <c r="IK78" i="1" s="1"/>
  <c r="IQ60" i="1" l="1"/>
  <c r="U106" i="1"/>
  <c r="IQ120" i="1"/>
  <c r="U105" i="1"/>
  <c r="IQ26" i="1"/>
  <c r="FH26" i="1" s="1"/>
  <c r="FF26" i="1" s="1"/>
  <c r="IQ29" i="1"/>
  <c r="IJ116" i="1"/>
  <c r="IK116" i="1" s="1"/>
  <c r="IQ63" i="1"/>
  <c r="IQ30" i="1"/>
  <c r="ER30" i="1" s="1"/>
  <c r="EP30" i="1" s="1"/>
  <c r="IQ101" i="1"/>
  <c r="IQ38" i="1"/>
  <c r="IQ111" i="1"/>
  <c r="U121" i="1"/>
  <c r="IQ35" i="1"/>
  <c r="IQ103" i="1"/>
  <c r="IQ84" i="1"/>
  <c r="IQ46" i="1"/>
  <c r="IJ84" i="1"/>
  <c r="IK84" i="1" s="1"/>
  <c r="IQ122" i="1"/>
  <c r="U20" i="1"/>
  <c r="IQ96" i="1"/>
  <c r="X60" i="1"/>
  <c r="Y60" i="1" s="1"/>
  <c r="U50" i="1"/>
  <c r="IQ105" i="1"/>
  <c r="IQ47" i="1"/>
  <c r="IJ91" i="1"/>
  <c r="IK91" i="1" s="1"/>
  <c r="IQ128" i="1"/>
  <c r="U64" i="1"/>
  <c r="IQ108" i="1"/>
  <c r="EO108" i="1" s="1"/>
  <c r="EM108" i="1" s="1"/>
  <c r="IQ127" i="1"/>
  <c r="IQ95" i="1"/>
  <c r="U53" i="1"/>
  <c r="IQ140" i="1"/>
  <c r="IQ80" i="1"/>
  <c r="IJ101" i="1"/>
  <c r="IK101" i="1" s="1"/>
  <c r="IJ46" i="1"/>
  <c r="IK46" i="1" s="1"/>
  <c r="U31" i="1"/>
  <c r="IQ48" i="1"/>
  <c r="U45" i="1"/>
  <c r="IQ116" i="1"/>
  <c r="IQ20" i="1"/>
  <c r="FH20" i="1" s="1"/>
  <c r="FF20" i="1" s="1"/>
  <c r="IQ138" i="1"/>
  <c r="IQ81" i="1"/>
  <c r="IQ78" i="1"/>
  <c r="IQ86" i="1"/>
  <c r="FE86" i="1" s="1"/>
  <c r="FC86" i="1" s="1"/>
  <c r="X54" i="1"/>
  <c r="Y54" i="1" s="1"/>
  <c r="X52" i="1"/>
  <c r="Y52" i="1" s="1"/>
  <c r="IQ51" i="1"/>
  <c r="IQ115" i="1"/>
  <c r="IQ33" i="1"/>
  <c r="IJ65" i="1"/>
  <c r="IK65" i="1" s="1"/>
  <c r="IJ107" i="1"/>
  <c r="IK107" i="1" s="1"/>
  <c r="IQ110" i="1"/>
  <c r="IQ61" i="1"/>
  <c r="X33" i="1"/>
  <c r="Y33" i="1" s="1"/>
  <c r="IQ109" i="1"/>
  <c r="U68" i="1"/>
  <c r="EO148" i="1"/>
  <c r="EM148" i="1" s="1"/>
  <c r="EJ148" i="1"/>
  <c r="EH148" i="1" s="1"/>
  <c r="EK148" i="1"/>
  <c r="EI148" i="1" s="1"/>
  <c r="EF148" i="1"/>
  <c r="ED148" i="1" s="1"/>
  <c r="FL148" i="1"/>
  <c r="FJ148" i="1" s="1"/>
  <c r="IQ76" i="1"/>
  <c r="EW148" i="1"/>
  <c r="EU148" i="1" s="1"/>
  <c r="ER148" i="1"/>
  <c r="EP148" i="1" s="1"/>
  <c r="ES148" i="1"/>
  <c r="EQ148" i="1" s="1"/>
  <c r="IQ21" i="1"/>
  <c r="IQ71" i="1"/>
  <c r="IQ137" i="1"/>
  <c r="FL137" i="1" s="1"/>
  <c r="FJ137" i="1" s="1"/>
  <c r="U44" i="1"/>
  <c r="IJ138" i="1"/>
  <c r="IK138" i="1" s="1"/>
  <c r="IQ62" i="1"/>
  <c r="X85" i="1"/>
  <c r="Y85" i="1" s="1"/>
  <c r="X58" i="1"/>
  <c r="Y58" i="1" s="1"/>
  <c r="IQ82" i="1"/>
  <c r="IQ59" i="1"/>
  <c r="U43" i="1"/>
  <c r="X31" i="1"/>
  <c r="Y31" i="1" s="1"/>
  <c r="U125" i="1"/>
  <c r="IQ75" i="1"/>
  <c r="U140" i="1"/>
  <c r="X21" i="1"/>
  <c r="Y21" i="1" s="1"/>
  <c r="IJ35" i="1"/>
  <c r="IK35" i="1" s="1"/>
  <c r="IQ79" i="1"/>
  <c r="U32" i="1"/>
  <c r="IJ96" i="1"/>
  <c r="IK96" i="1" s="1"/>
  <c r="IQ72" i="1"/>
  <c r="U110" i="1"/>
  <c r="IQ91" i="1"/>
  <c r="EE148" i="1"/>
  <c r="FO148" i="1"/>
  <c r="FN148" i="1"/>
  <c r="AD148" i="1" s="1"/>
  <c r="FU78" i="1"/>
  <c r="GE78" i="1" s="1"/>
  <c r="FQ78" i="1"/>
  <c r="FT78" i="1"/>
  <c r="GD78" i="1" s="1"/>
  <c r="FR78" i="1"/>
  <c r="GB78" i="1" s="1"/>
  <c r="FS78" i="1"/>
  <c r="GC78" i="1" s="1"/>
  <c r="V78" i="1"/>
  <c r="FY78" i="1"/>
  <c r="GI78" i="1" s="1"/>
  <c r="FV78" i="1"/>
  <c r="GF78" i="1" s="1"/>
  <c r="FP78" i="1"/>
  <c r="FX78" i="1"/>
  <c r="GH78" i="1" s="1"/>
  <c r="FW78" i="1"/>
  <c r="GG78" i="1" s="1"/>
  <c r="EK138" i="1"/>
  <c r="EI138" i="1" s="1"/>
  <c r="EF138" i="1"/>
  <c r="EJ138" i="1"/>
  <c r="EH138" i="1" s="1"/>
  <c r="EZ138" i="1"/>
  <c r="EX138" i="1" s="1"/>
  <c r="FM138" i="1"/>
  <c r="FK138" i="1" s="1"/>
  <c r="FA138" i="1"/>
  <c r="EY138" i="1" s="1"/>
  <c r="EO138" i="1"/>
  <c r="EM138" i="1" s="1"/>
  <c r="EV138" i="1"/>
  <c r="ET138" i="1" s="1"/>
  <c r="FL138" i="1"/>
  <c r="FJ138" i="1" s="1"/>
  <c r="FE138" i="1"/>
  <c r="FC138" i="1" s="1"/>
  <c r="ER138" i="1"/>
  <c r="EP138" i="1" s="1"/>
  <c r="FH138" i="1"/>
  <c r="FF138" i="1" s="1"/>
  <c r="EN138" i="1"/>
  <c r="EL138" i="1" s="1"/>
  <c r="EW138" i="1"/>
  <c r="EU138" i="1" s="1"/>
  <c r="FD138" i="1"/>
  <c r="FB138" i="1" s="1"/>
  <c r="FI138" i="1"/>
  <c r="FG138" i="1" s="1"/>
  <c r="EG138" i="1"/>
  <c r="ES138" i="1"/>
  <c r="EQ138" i="1" s="1"/>
  <c r="IJ129" i="1"/>
  <c r="IK129" i="1" s="1"/>
  <c r="U129" i="1"/>
  <c r="EN67" i="1"/>
  <c r="EL67" i="1" s="1"/>
  <c r="FM67" i="1"/>
  <c r="FK67" i="1" s="1"/>
  <c r="EV67" i="1"/>
  <c r="ET67" i="1" s="1"/>
  <c r="FD67" i="1"/>
  <c r="FB67" i="1" s="1"/>
  <c r="EZ67" i="1"/>
  <c r="EX67" i="1" s="1"/>
  <c r="ES67" i="1"/>
  <c r="EQ67" i="1" s="1"/>
  <c r="FE67" i="1"/>
  <c r="FC67" i="1" s="1"/>
  <c r="EK67" i="1"/>
  <c r="FI67" i="1"/>
  <c r="FG67" i="1" s="1"/>
  <c r="FA67" i="1"/>
  <c r="EY67" i="1" s="1"/>
  <c r="EJ67" i="1"/>
  <c r="ER67" i="1"/>
  <c r="EP67" i="1" s="1"/>
  <c r="FL67" i="1"/>
  <c r="FJ67" i="1" s="1"/>
  <c r="EW67" i="1"/>
  <c r="EU67" i="1" s="1"/>
  <c r="EO67" i="1"/>
  <c r="EM67" i="1" s="1"/>
  <c r="FH67" i="1"/>
  <c r="FF67" i="1" s="1"/>
  <c r="ES108" i="1"/>
  <c r="EQ108" i="1" s="1"/>
  <c r="FH108" i="1"/>
  <c r="FF108" i="1" s="1"/>
  <c r="ER108" i="1"/>
  <c r="EP108" i="1" s="1"/>
  <c r="FA108" i="1"/>
  <c r="EY108" i="1" s="1"/>
  <c r="FS112" i="1"/>
  <c r="GC112" i="1" s="1"/>
  <c r="FT112" i="1"/>
  <c r="GD112" i="1" s="1"/>
  <c r="FX112" i="1"/>
  <c r="GH112" i="1" s="1"/>
  <c r="FU112" i="1"/>
  <c r="GE112" i="1" s="1"/>
  <c r="FQ112" i="1"/>
  <c r="FP112" i="1"/>
  <c r="V112" i="1"/>
  <c r="FW112" i="1"/>
  <c r="GG112" i="1" s="1"/>
  <c r="FY112" i="1"/>
  <c r="GI112" i="1" s="1"/>
  <c r="FR112" i="1"/>
  <c r="GB112" i="1" s="1"/>
  <c r="FV112" i="1"/>
  <c r="GF112" i="1" s="1"/>
  <c r="FV111" i="1"/>
  <c r="GF111" i="1" s="1"/>
  <c r="FT111" i="1"/>
  <c r="GD111" i="1" s="1"/>
  <c r="FX111" i="1"/>
  <c r="GH111" i="1" s="1"/>
  <c r="FU111" i="1"/>
  <c r="GE111" i="1" s="1"/>
  <c r="FW111" i="1"/>
  <c r="GG111" i="1" s="1"/>
  <c r="FP111" i="1"/>
  <c r="FS111" i="1"/>
  <c r="GC111" i="1" s="1"/>
  <c r="FR111" i="1"/>
  <c r="GB111" i="1" s="1"/>
  <c r="V111" i="1"/>
  <c r="FQ111" i="1"/>
  <c r="FY111" i="1"/>
  <c r="GI111" i="1" s="1"/>
  <c r="EK127" i="1"/>
  <c r="FD127" i="1"/>
  <c r="FB127" i="1" s="1"/>
  <c r="EJ127" i="1"/>
  <c r="EN127" i="1"/>
  <c r="EL127" i="1" s="1"/>
  <c r="ES127" i="1"/>
  <c r="EQ127" i="1" s="1"/>
  <c r="FL127" i="1"/>
  <c r="FJ127" i="1" s="1"/>
  <c r="EZ127" i="1"/>
  <c r="EX127" i="1" s="1"/>
  <c r="EW127" i="1"/>
  <c r="EU127" i="1" s="1"/>
  <c r="EV127" i="1"/>
  <c r="ET127" i="1" s="1"/>
  <c r="EO127" i="1"/>
  <c r="EM127" i="1" s="1"/>
  <c r="FH127" i="1"/>
  <c r="FF127" i="1" s="1"/>
  <c r="FE127" i="1"/>
  <c r="FC127" i="1" s="1"/>
  <c r="FI127" i="1"/>
  <c r="FG127" i="1" s="1"/>
  <c r="FM127" i="1"/>
  <c r="FK127" i="1" s="1"/>
  <c r="FA127" i="1"/>
  <c r="EY127" i="1" s="1"/>
  <c r="ER127" i="1"/>
  <c r="EP127" i="1" s="1"/>
  <c r="FD120" i="1"/>
  <c r="FB120" i="1" s="1"/>
  <c r="EJ120" i="1"/>
  <c r="EV120" i="1"/>
  <c r="ET120" i="1" s="1"/>
  <c r="EO120" i="1"/>
  <c r="EM120" i="1" s="1"/>
  <c r="FL120" i="1"/>
  <c r="FJ120" i="1" s="1"/>
  <c r="ES120" i="1"/>
  <c r="EQ120" i="1" s="1"/>
  <c r="FH120" i="1"/>
  <c r="FF120" i="1" s="1"/>
  <c r="EW120" i="1"/>
  <c r="EU120" i="1" s="1"/>
  <c r="EN120" i="1"/>
  <c r="EL120" i="1" s="1"/>
  <c r="ER120" i="1"/>
  <c r="EP120" i="1" s="1"/>
  <c r="FA120" i="1"/>
  <c r="EY120" i="1" s="1"/>
  <c r="FM120" i="1"/>
  <c r="FK120" i="1" s="1"/>
  <c r="EK120" i="1"/>
  <c r="FE120" i="1"/>
  <c r="FC120" i="1" s="1"/>
  <c r="FI120" i="1"/>
  <c r="FG120" i="1" s="1"/>
  <c r="EZ120" i="1"/>
  <c r="EX120" i="1" s="1"/>
  <c r="FX30" i="1"/>
  <c r="GH30" i="1" s="1"/>
  <c r="FQ30" i="1"/>
  <c r="FU30" i="1"/>
  <c r="GE30" i="1" s="1"/>
  <c r="V30" i="1"/>
  <c r="FV30" i="1"/>
  <c r="GF30" i="1" s="1"/>
  <c r="FP30" i="1"/>
  <c r="FR30" i="1"/>
  <c r="FY30" i="1"/>
  <c r="GI30" i="1" s="1"/>
  <c r="FW30" i="1"/>
  <c r="GG30" i="1" s="1"/>
  <c r="FS30" i="1"/>
  <c r="GC30" i="1" s="1"/>
  <c r="FT30" i="1"/>
  <c r="GD30" i="1" s="1"/>
  <c r="FA25" i="1"/>
  <c r="EY25" i="1" s="1"/>
  <c r="FH25" i="1"/>
  <c r="FF25" i="1" s="1"/>
  <c r="EO25" i="1"/>
  <c r="EM25" i="1" s="1"/>
  <c r="FM25" i="1"/>
  <c r="FK25" i="1" s="1"/>
  <c r="EK25" i="1"/>
  <c r="FI25" i="1"/>
  <c r="FG25" i="1" s="1"/>
  <c r="FE25" i="1"/>
  <c r="FC25" i="1" s="1"/>
  <c r="ER25" i="1"/>
  <c r="EP25" i="1" s="1"/>
  <c r="EZ25" i="1"/>
  <c r="EX25" i="1" s="1"/>
  <c r="EV25" i="1"/>
  <c r="ET25" i="1" s="1"/>
  <c r="EW25" i="1"/>
  <c r="EU25" i="1" s="1"/>
  <c r="ES25" i="1"/>
  <c r="EQ25" i="1" s="1"/>
  <c r="EN25" i="1"/>
  <c r="EL25" i="1" s="1"/>
  <c r="EJ25" i="1"/>
  <c r="FL25" i="1"/>
  <c r="FJ25" i="1" s="1"/>
  <c r="FD25" i="1"/>
  <c r="FB25" i="1" s="1"/>
  <c r="FX54" i="1"/>
  <c r="GH54" i="1" s="1"/>
  <c r="FS54" i="1"/>
  <c r="GC54" i="1" s="1"/>
  <c r="FT54" i="1"/>
  <c r="GD54" i="1" s="1"/>
  <c r="FY54" i="1"/>
  <c r="GI54" i="1" s="1"/>
  <c r="FW54" i="1"/>
  <c r="GG54" i="1" s="1"/>
  <c r="FP54" i="1"/>
  <c r="FV54" i="1"/>
  <c r="GF54" i="1" s="1"/>
  <c r="FQ54" i="1"/>
  <c r="FR54" i="1"/>
  <c r="GB54" i="1" s="1"/>
  <c r="V54" i="1"/>
  <c r="FU54" i="1"/>
  <c r="GE54" i="1" s="1"/>
  <c r="FY85" i="1"/>
  <c r="GI85" i="1" s="1"/>
  <c r="FX85" i="1"/>
  <c r="GH85" i="1" s="1"/>
  <c r="FP85" i="1"/>
  <c r="V85" i="1"/>
  <c r="FW85" i="1"/>
  <c r="GG85" i="1" s="1"/>
  <c r="FV85" i="1"/>
  <c r="GF85" i="1" s="1"/>
  <c r="FU85" i="1"/>
  <c r="GE85" i="1" s="1"/>
  <c r="FT85" i="1"/>
  <c r="GD85" i="1" s="1"/>
  <c r="FQ85" i="1"/>
  <c r="FR85" i="1"/>
  <c r="GB85" i="1" s="1"/>
  <c r="FS85" i="1"/>
  <c r="GC85" i="1" s="1"/>
  <c r="FL119" i="1"/>
  <c r="FJ119" i="1" s="1"/>
  <c r="EV119" i="1"/>
  <c r="ET119" i="1" s="1"/>
  <c r="FE119" i="1"/>
  <c r="FC119" i="1" s="1"/>
  <c r="ES119" i="1"/>
  <c r="EQ119" i="1" s="1"/>
  <c r="EJ119" i="1"/>
  <c r="ER119" i="1"/>
  <c r="EP119" i="1" s="1"/>
  <c r="FH119" i="1"/>
  <c r="FF119" i="1" s="1"/>
  <c r="EW119" i="1"/>
  <c r="EU119" i="1" s="1"/>
  <c r="EO119" i="1"/>
  <c r="EM119" i="1" s="1"/>
  <c r="FA119" i="1"/>
  <c r="EY119" i="1" s="1"/>
  <c r="EK119" i="1"/>
  <c r="EN119" i="1"/>
  <c r="EL119" i="1" s="1"/>
  <c r="EZ119" i="1"/>
  <c r="EX119" i="1" s="1"/>
  <c r="FI119" i="1"/>
  <c r="FG119" i="1" s="1"/>
  <c r="FD119" i="1"/>
  <c r="FB119" i="1" s="1"/>
  <c r="FM119" i="1"/>
  <c r="FK119" i="1" s="1"/>
  <c r="IQ97" i="1"/>
  <c r="X97" i="1"/>
  <c r="Y97" i="1" s="1"/>
  <c r="FR117" i="1"/>
  <c r="GB117" i="1" s="1"/>
  <c r="V117" i="1"/>
  <c r="FW117" i="1"/>
  <c r="GG117" i="1" s="1"/>
  <c r="FQ117" i="1"/>
  <c r="FX117" i="1"/>
  <c r="GH117" i="1" s="1"/>
  <c r="FU117" i="1"/>
  <c r="GE117" i="1" s="1"/>
  <c r="FV117" i="1"/>
  <c r="GF117" i="1" s="1"/>
  <c r="FY117" i="1"/>
  <c r="GI117" i="1" s="1"/>
  <c r="FS117" i="1"/>
  <c r="GC117" i="1" s="1"/>
  <c r="FT117" i="1"/>
  <c r="GD117" i="1" s="1"/>
  <c r="FP117" i="1"/>
  <c r="FL74" i="1"/>
  <c r="FJ74" i="1" s="1"/>
  <c r="FM74" i="1"/>
  <c r="FK74" i="1" s="1"/>
  <c r="EK74" i="1"/>
  <c r="FH74" i="1"/>
  <c r="FF74" i="1" s="1"/>
  <c r="ES74" i="1"/>
  <c r="EQ74" i="1" s="1"/>
  <c r="ER74" i="1"/>
  <c r="EP74" i="1" s="1"/>
  <c r="EW74" i="1"/>
  <c r="EU74" i="1" s="1"/>
  <c r="EZ74" i="1"/>
  <c r="EX74" i="1" s="1"/>
  <c r="EN74" i="1"/>
  <c r="EL74" i="1" s="1"/>
  <c r="FA74" i="1"/>
  <c r="EY74" i="1" s="1"/>
  <c r="FD74" i="1"/>
  <c r="FB74" i="1" s="1"/>
  <c r="EJ74" i="1"/>
  <c r="EO74" i="1"/>
  <c r="EM74" i="1" s="1"/>
  <c r="EV74" i="1"/>
  <c r="ET74" i="1" s="1"/>
  <c r="FE74" i="1"/>
  <c r="FC74" i="1" s="1"/>
  <c r="FI74" i="1"/>
  <c r="FG74" i="1" s="1"/>
  <c r="FW61" i="1"/>
  <c r="GG61" i="1" s="1"/>
  <c r="FQ61" i="1"/>
  <c r="FS61" i="1"/>
  <c r="GC61" i="1" s="1"/>
  <c r="FT61" i="1"/>
  <c r="GD61" i="1" s="1"/>
  <c r="FY61" i="1"/>
  <c r="GI61" i="1" s="1"/>
  <c r="FU61" i="1"/>
  <c r="GE61" i="1" s="1"/>
  <c r="FP61" i="1"/>
  <c r="V61" i="1"/>
  <c r="FX61" i="1"/>
  <c r="GH61" i="1" s="1"/>
  <c r="FV61" i="1"/>
  <c r="GF61" i="1" s="1"/>
  <c r="FR61" i="1"/>
  <c r="GB61" i="1" s="1"/>
  <c r="EJ89" i="1"/>
  <c r="FI89" i="1"/>
  <c r="FG89" i="1" s="1"/>
  <c r="ES89" i="1"/>
  <c r="EQ89" i="1" s="1"/>
  <c r="EZ89" i="1"/>
  <c r="EX89" i="1" s="1"/>
  <c r="EV89" i="1"/>
  <c r="ET89" i="1" s="1"/>
  <c r="FD89" i="1"/>
  <c r="FB89" i="1" s="1"/>
  <c r="FH89" i="1"/>
  <c r="FF89" i="1" s="1"/>
  <c r="ER89" i="1"/>
  <c r="EP89" i="1" s="1"/>
  <c r="EO89" i="1"/>
  <c r="EM89" i="1" s="1"/>
  <c r="FM89" i="1"/>
  <c r="FK89" i="1" s="1"/>
  <c r="FA89" i="1"/>
  <c r="EY89" i="1" s="1"/>
  <c r="FL89" i="1"/>
  <c r="FJ89" i="1" s="1"/>
  <c r="EK89" i="1"/>
  <c r="FE89" i="1"/>
  <c r="FC89" i="1" s="1"/>
  <c r="EW89" i="1"/>
  <c r="EU89" i="1" s="1"/>
  <c r="EN89" i="1"/>
  <c r="EL89" i="1" s="1"/>
  <c r="FV105" i="1"/>
  <c r="GF105" i="1" s="1"/>
  <c r="FY105" i="1"/>
  <c r="GI105" i="1" s="1"/>
  <c r="FW105" i="1"/>
  <c r="GG105" i="1" s="1"/>
  <c r="FR105" i="1"/>
  <c r="GB105" i="1" s="1"/>
  <c r="FU105" i="1"/>
  <c r="GE105" i="1" s="1"/>
  <c r="V105" i="1"/>
  <c r="FQ105" i="1"/>
  <c r="FT105" i="1"/>
  <c r="GD105" i="1" s="1"/>
  <c r="FS105" i="1"/>
  <c r="GC105" i="1" s="1"/>
  <c r="FX105" i="1"/>
  <c r="GH105" i="1" s="1"/>
  <c r="FP105" i="1"/>
  <c r="FQ67" i="1"/>
  <c r="FP67" i="1"/>
  <c r="FR67" i="1"/>
  <c r="GB67" i="1" s="1"/>
  <c r="V67" i="1"/>
  <c r="FT67" i="1"/>
  <c r="GD67" i="1" s="1"/>
  <c r="FY67" i="1"/>
  <c r="GI67" i="1" s="1"/>
  <c r="FU67" i="1"/>
  <c r="GE67" i="1" s="1"/>
  <c r="FX67" i="1"/>
  <c r="GH67" i="1" s="1"/>
  <c r="FW67" i="1"/>
  <c r="GG67" i="1" s="1"/>
  <c r="FV67" i="1"/>
  <c r="GF67" i="1" s="1"/>
  <c r="FS67" i="1"/>
  <c r="GC67" i="1" s="1"/>
  <c r="FL26" i="1"/>
  <c r="FJ26" i="1" s="1"/>
  <c r="EO26" i="1"/>
  <c r="EM26" i="1" s="1"/>
  <c r="FI26" i="1"/>
  <c r="FG26" i="1" s="1"/>
  <c r="EW26" i="1"/>
  <c r="EU26" i="1" s="1"/>
  <c r="FL24" i="1"/>
  <c r="FJ24" i="1" s="1"/>
  <c r="EW24" i="1"/>
  <c r="EU24" i="1" s="1"/>
  <c r="FH24" i="1"/>
  <c r="FF24" i="1" s="1"/>
  <c r="EZ24" i="1"/>
  <c r="EX24" i="1" s="1"/>
  <c r="FA24" i="1"/>
  <c r="EY24" i="1" s="1"/>
  <c r="EO24" i="1"/>
  <c r="EM24" i="1" s="1"/>
  <c r="FD24" i="1"/>
  <c r="FB24" i="1" s="1"/>
  <c r="FM24" i="1"/>
  <c r="FK24" i="1" s="1"/>
  <c r="FI24" i="1"/>
  <c r="FG24" i="1" s="1"/>
  <c r="EJ24" i="1"/>
  <c r="EK24" i="1"/>
  <c r="EV24" i="1"/>
  <c r="ET24" i="1" s="1"/>
  <c r="EN24" i="1"/>
  <c r="EL24" i="1" s="1"/>
  <c r="ER24" i="1"/>
  <c r="EP24" i="1" s="1"/>
  <c r="ES24" i="1"/>
  <c r="EQ24" i="1" s="1"/>
  <c r="FE24" i="1"/>
  <c r="FC24" i="1" s="1"/>
  <c r="FE38" i="1"/>
  <c r="FC38" i="1" s="1"/>
  <c r="FL38" i="1"/>
  <c r="FJ38" i="1" s="1"/>
  <c r="EN38" i="1"/>
  <c r="EL38" i="1" s="1"/>
  <c r="EW38" i="1"/>
  <c r="EU38" i="1" s="1"/>
  <c r="EK38" i="1"/>
  <c r="EJ38" i="1"/>
  <c r="EV38" i="1"/>
  <c r="ET38" i="1" s="1"/>
  <c r="FD38" i="1"/>
  <c r="FB38" i="1" s="1"/>
  <c r="EZ38" i="1"/>
  <c r="EX38" i="1" s="1"/>
  <c r="FH38" i="1"/>
  <c r="FF38" i="1" s="1"/>
  <c r="FA38" i="1"/>
  <c r="EY38" i="1" s="1"/>
  <c r="EO38" i="1"/>
  <c r="EM38" i="1" s="1"/>
  <c r="FM38" i="1"/>
  <c r="FK38" i="1" s="1"/>
  <c r="ER38" i="1"/>
  <c r="EP38" i="1" s="1"/>
  <c r="ES38" i="1"/>
  <c r="EQ38" i="1" s="1"/>
  <c r="FI38" i="1"/>
  <c r="FG38" i="1" s="1"/>
  <c r="FE111" i="1"/>
  <c r="FC111" i="1" s="1"/>
  <c r="EW111" i="1"/>
  <c r="EU111" i="1" s="1"/>
  <c r="ES111" i="1"/>
  <c r="EQ111" i="1" s="1"/>
  <c r="ER111" i="1"/>
  <c r="EP111" i="1" s="1"/>
  <c r="EK111" i="1"/>
  <c r="FL111" i="1"/>
  <c r="FJ111" i="1" s="1"/>
  <c r="FI111" i="1"/>
  <c r="FG111" i="1" s="1"/>
  <c r="EO111" i="1"/>
  <c r="EM111" i="1" s="1"/>
  <c r="FM111" i="1"/>
  <c r="FK111" i="1" s="1"/>
  <c r="EZ111" i="1"/>
  <c r="EX111" i="1" s="1"/>
  <c r="FA111" i="1"/>
  <c r="EY111" i="1" s="1"/>
  <c r="EJ111" i="1"/>
  <c r="EN111" i="1"/>
  <c r="EL111" i="1" s="1"/>
  <c r="EV111" i="1"/>
  <c r="ET111" i="1" s="1"/>
  <c r="FH111" i="1"/>
  <c r="FF111" i="1" s="1"/>
  <c r="FD111" i="1"/>
  <c r="FB111" i="1" s="1"/>
  <c r="FL87" i="1"/>
  <c r="FJ87" i="1" s="1"/>
  <c r="FI87" i="1"/>
  <c r="FG87" i="1" s="1"/>
  <c r="EO87" i="1"/>
  <c r="EM87" i="1" s="1"/>
  <c r="FH87" i="1"/>
  <c r="FF87" i="1" s="1"/>
  <c r="FD87" i="1"/>
  <c r="FB87" i="1" s="1"/>
  <c r="EW87" i="1"/>
  <c r="EU87" i="1" s="1"/>
  <c r="ES87" i="1"/>
  <c r="EQ87" i="1" s="1"/>
  <c r="FM87" i="1"/>
  <c r="FK87" i="1" s="1"/>
  <c r="ER87" i="1"/>
  <c r="EP87" i="1" s="1"/>
  <c r="EZ87" i="1"/>
  <c r="EX87" i="1" s="1"/>
  <c r="EV87" i="1"/>
  <c r="ET87" i="1" s="1"/>
  <c r="EK87" i="1"/>
  <c r="FE87" i="1"/>
  <c r="FC87" i="1" s="1"/>
  <c r="FA87" i="1"/>
  <c r="EY87" i="1" s="1"/>
  <c r="EJ87" i="1"/>
  <c r="EN87" i="1"/>
  <c r="EL87" i="1" s="1"/>
  <c r="FM106" i="1"/>
  <c r="FK106" i="1" s="1"/>
  <c r="FH106" i="1"/>
  <c r="FF106" i="1" s="1"/>
  <c r="FE106" i="1"/>
  <c r="FC106" i="1" s="1"/>
  <c r="EK106" i="1"/>
  <c r="EN106" i="1"/>
  <c r="EL106" i="1" s="1"/>
  <c r="ES106" i="1"/>
  <c r="EQ106" i="1" s="1"/>
  <c r="ER106" i="1"/>
  <c r="EP106" i="1" s="1"/>
  <c r="FL106" i="1"/>
  <c r="FJ106" i="1" s="1"/>
  <c r="FI106" i="1"/>
  <c r="FG106" i="1" s="1"/>
  <c r="EW106" i="1"/>
  <c r="EU106" i="1" s="1"/>
  <c r="EJ106" i="1"/>
  <c r="FD106" i="1"/>
  <c r="FB106" i="1" s="1"/>
  <c r="FA106" i="1"/>
  <c r="EY106" i="1" s="1"/>
  <c r="EO106" i="1"/>
  <c r="EM106" i="1" s="1"/>
  <c r="EZ106" i="1"/>
  <c r="EX106" i="1" s="1"/>
  <c r="EV106" i="1"/>
  <c r="ET106" i="1" s="1"/>
  <c r="FS53" i="1"/>
  <c r="GC53" i="1" s="1"/>
  <c r="V53" i="1"/>
  <c r="FP53" i="1"/>
  <c r="FT53" i="1"/>
  <c r="GD53" i="1" s="1"/>
  <c r="FU53" i="1"/>
  <c r="GE53" i="1" s="1"/>
  <c r="FY53" i="1"/>
  <c r="GI53" i="1" s="1"/>
  <c r="FQ53" i="1"/>
  <c r="FX53" i="1"/>
  <c r="GH53" i="1" s="1"/>
  <c r="FV53" i="1"/>
  <c r="GF53" i="1" s="1"/>
  <c r="FR53" i="1"/>
  <c r="GB53" i="1" s="1"/>
  <c r="FW53" i="1"/>
  <c r="GG53" i="1" s="1"/>
  <c r="EW86" i="1"/>
  <c r="EU86" i="1" s="1"/>
  <c r="ER86" i="1"/>
  <c r="EP86" i="1" s="1"/>
  <c r="EV86" i="1"/>
  <c r="ET86" i="1" s="1"/>
  <c r="EJ86" i="1"/>
  <c r="FW84" i="1"/>
  <c r="GG84" i="1" s="1"/>
  <c r="FV84" i="1"/>
  <c r="GF84" i="1" s="1"/>
  <c r="FS84" i="1"/>
  <c r="GC84" i="1" s="1"/>
  <c r="FU84" i="1"/>
  <c r="GE84" i="1" s="1"/>
  <c r="V84" i="1"/>
  <c r="FQ84" i="1"/>
  <c r="FY84" i="1"/>
  <c r="GI84" i="1" s="1"/>
  <c r="FX84" i="1"/>
  <c r="GH84" i="1" s="1"/>
  <c r="FT84" i="1"/>
  <c r="GD84" i="1" s="1"/>
  <c r="FP84" i="1"/>
  <c r="FR84" i="1"/>
  <c r="GB84" i="1" s="1"/>
  <c r="EJ60" i="1"/>
  <c r="FI60" i="1"/>
  <c r="FG60" i="1" s="1"/>
  <c r="FD60" i="1"/>
  <c r="FB60" i="1" s="1"/>
  <c r="EV60" i="1"/>
  <c r="ET60" i="1" s="1"/>
  <c r="ER60" i="1"/>
  <c r="EP60" i="1" s="1"/>
  <c r="FA60" i="1"/>
  <c r="EY60" i="1" s="1"/>
  <c r="EO60" i="1"/>
  <c r="EM60" i="1" s="1"/>
  <c r="EK60" i="1"/>
  <c r="EW60" i="1"/>
  <c r="EU60" i="1" s="1"/>
  <c r="EN60" i="1"/>
  <c r="EL60" i="1" s="1"/>
  <c r="ES60" i="1"/>
  <c r="EQ60" i="1" s="1"/>
  <c r="FE60" i="1"/>
  <c r="FC60" i="1" s="1"/>
  <c r="FH60" i="1"/>
  <c r="FF60" i="1" s="1"/>
  <c r="FM60" i="1"/>
  <c r="FK60" i="1" s="1"/>
  <c r="EZ60" i="1"/>
  <c r="EX60" i="1" s="1"/>
  <c r="FL60" i="1"/>
  <c r="FJ60" i="1" s="1"/>
  <c r="FI94" i="1"/>
  <c r="FG94" i="1" s="1"/>
  <c r="FE94" i="1"/>
  <c r="FC94" i="1" s="1"/>
  <c r="FA94" i="1"/>
  <c r="EY94" i="1" s="1"/>
  <c r="FL94" i="1"/>
  <c r="FJ94" i="1" s="1"/>
  <c r="ES94" i="1"/>
  <c r="EQ94" i="1" s="1"/>
  <c r="FD94" i="1"/>
  <c r="FB94" i="1" s="1"/>
  <c r="EK94" i="1"/>
  <c r="EW94" i="1"/>
  <c r="EU94" i="1" s="1"/>
  <c r="EZ94" i="1"/>
  <c r="EX94" i="1" s="1"/>
  <c r="EV94" i="1"/>
  <c r="ET94" i="1" s="1"/>
  <c r="EN94" i="1"/>
  <c r="EL94" i="1" s="1"/>
  <c r="EO94" i="1"/>
  <c r="EM94" i="1" s="1"/>
  <c r="EJ94" i="1"/>
  <c r="FH94" i="1"/>
  <c r="FF94" i="1" s="1"/>
  <c r="ER94" i="1"/>
  <c r="EP94" i="1" s="1"/>
  <c r="FM94" i="1"/>
  <c r="FK94" i="1" s="1"/>
  <c r="FY22" i="1"/>
  <c r="GI22" i="1" s="1"/>
  <c r="FR22" i="1"/>
  <c r="GB22" i="1" s="1"/>
  <c r="FU22" i="1"/>
  <c r="GE22" i="1" s="1"/>
  <c r="FW22" i="1"/>
  <c r="GG22" i="1" s="1"/>
  <c r="FV22" i="1"/>
  <c r="GF22" i="1" s="1"/>
  <c r="FS22" i="1"/>
  <c r="GC22" i="1" s="1"/>
  <c r="FT22" i="1"/>
  <c r="GD22" i="1" s="1"/>
  <c r="FQ22" i="1"/>
  <c r="FX22" i="1"/>
  <c r="GH22" i="1" s="1"/>
  <c r="V22" i="1"/>
  <c r="FP22" i="1"/>
  <c r="X144" i="1"/>
  <c r="Y144" i="1" s="1"/>
  <c r="IQ144" i="1"/>
  <c r="EJ17" i="1"/>
  <c r="EH17" i="1" s="1"/>
  <c r="EZ17" i="1"/>
  <c r="EX17" i="1" s="1"/>
  <c r="ES17" i="1"/>
  <c r="EQ17" i="1" s="1"/>
  <c r="EV17" i="1"/>
  <c r="ET17" i="1" s="1"/>
  <c r="EO17" i="1"/>
  <c r="EM17" i="1" s="1"/>
  <c r="EK17" i="1"/>
  <c r="EI17" i="1" s="1"/>
  <c r="EF17" i="1"/>
  <c r="ED17" i="1" s="1"/>
  <c r="FL17" i="1"/>
  <c r="FJ17" i="1" s="1"/>
  <c r="EC17" i="1"/>
  <c r="FO17" i="1" s="1"/>
  <c r="EG17" i="1"/>
  <c r="EE17" i="1" s="1"/>
  <c r="FM17" i="1"/>
  <c r="FK17" i="1" s="1"/>
  <c r="FA17" i="1"/>
  <c r="EY17" i="1" s="1"/>
  <c r="FH17" i="1"/>
  <c r="FF17" i="1" s="1"/>
  <c r="FI17" i="1"/>
  <c r="FG17" i="1" s="1"/>
  <c r="FD17" i="1"/>
  <c r="FB17" i="1" s="1"/>
  <c r="EN17" i="1"/>
  <c r="EL17" i="1" s="1"/>
  <c r="FE17" i="1"/>
  <c r="FC17" i="1" s="1"/>
  <c r="EW17" i="1"/>
  <c r="EU17" i="1" s="1"/>
  <c r="ER17" i="1"/>
  <c r="EP17" i="1" s="1"/>
  <c r="EB17" i="1"/>
  <c r="FN17" i="1" s="1"/>
  <c r="AD17" i="1" s="1"/>
  <c r="IJ131" i="1"/>
  <c r="IK131" i="1" s="1"/>
  <c r="U131" i="1"/>
  <c r="FT33" i="1"/>
  <c r="GD33" i="1" s="1"/>
  <c r="FP33" i="1"/>
  <c r="FU33" i="1"/>
  <c r="GE33" i="1" s="1"/>
  <c r="FQ33" i="1"/>
  <c r="FY33" i="1"/>
  <c r="GI33" i="1" s="1"/>
  <c r="FW33" i="1"/>
  <c r="GG33" i="1" s="1"/>
  <c r="V33" i="1"/>
  <c r="FV33" i="1"/>
  <c r="GF33" i="1" s="1"/>
  <c r="FS33" i="1"/>
  <c r="GC33" i="1" s="1"/>
  <c r="FX33" i="1"/>
  <c r="GH33" i="1" s="1"/>
  <c r="FR33" i="1"/>
  <c r="GB33" i="1" s="1"/>
  <c r="FI70" i="1"/>
  <c r="FG70" i="1" s="1"/>
  <c r="FM70" i="1"/>
  <c r="FK70" i="1" s="1"/>
  <c r="FE70" i="1"/>
  <c r="FC70" i="1" s="1"/>
  <c r="ES70" i="1"/>
  <c r="EQ70" i="1" s="1"/>
  <c r="EO70" i="1"/>
  <c r="EM70" i="1" s="1"/>
  <c r="FD70" i="1"/>
  <c r="FB70" i="1" s="1"/>
  <c r="EZ70" i="1"/>
  <c r="EX70" i="1" s="1"/>
  <c r="ER70" i="1"/>
  <c r="EP70" i="1" s="1"/>
  <c r="EJ70" i="1"/>
  <c r="EK70" i="1"/>
  <c r="EW70" i="1"/>
  <c r="EU70" i="1" s="1"/>
  <c r="FA70" i="1"/>
  <c r="EY70" i="1" s="1"/>
  <c r="FL70" i="1"/>
  <c r="FJ70" i="1" s="1"/>
  <c r="EV70" i="1"/>
  <c r="ET70" i="1" s="1"/>
  <c r="FH70" i="1"/>
  <c r="FF70" i="1" s="1"/>
  <c r="EN70" i="1"/>
  <c r="EL70" i="1" s="1"/>
  <c r="FX116" i="1"/>
  <c r="GH116" i="1" s="1"/>
  <c r="FW116" i="1"/>
  <c r="GG116" i="1" s="1"/>
  <c r="FP116" i="1"/>
  <c r="FR116" i="1"/>
  <c r="GB116" i="1" s="1"/>
  <c r="FT116" i="1"/>
  <c r="GD116" i="1" s="1"/>
  <c r="V116" i="1"/>
  <c r="FS116" i="1"/>
  <c r="GC116" i="1" s="1"/>
  <c r="FY116" i="1"/>
  <c r="GI116" i="1" s="1"/>
  <c r="FV116" i="1"/>
  <c r="GF116" i="1" s="1"/>
  <c r="FU116" i="1"/>
  <c r="GE116" i="1" s="1"/>
  <c r="FQ116" i="1"/>
  <c r="EO105" i="1"/>
  <c r="EM105" i="1" s="1"/>
  <c r="EN105" i="1"/>
  <c r="EL105" i="1" s="1"/>
  <c r="ER105" i="1"/>
  <c r="EP105" i="1" s="1"/>
  <c r="EJ105" i="1"/>
  <c r="EK105" i="1"/>
  <c r="FI105" i="1"/>
  <c r="FG105" i="1" s="1"/>
  <c r="EW105" i="1"/>
  <c r="EU105" i="1" s="1"/>
  <c r="EV105" i="1"/>
  <c r="ET105" i="1" s="1"/>
  <c r="ES105" i="1"/>
  <c r="EQ105" i="1" s="1"/>
  <c r="FD105" i="1"/>
  <c r="FB105" i="1" s="1"/>
  <c r="EZ105" i="1"/>
  <c r="EX105" i="1" s="1"/>
  <c r="FH105" i="1"/>
  <c r="FF105" i="1" s="1"/>
  <c r="FL105" i="1"/>
  <c r="FJ105" i="1" s="1"/>
  <c r="FA105" i="1"/>
  <c r="EY105" i="1" s="1"/>
  <c r="FE105" i="1"/>
  <c r="FC105" i="1" s="1"/>
  <c r="FM105" i="1"/>
  <c r="FK105" i="1" s="1"/>
  <c r="X145" i="1"/>
  <c r="Y145" i="1" s="1"/>
  <c r="IQ145" i="1"/>
  <c r="V87" i="1"/>
  <c r="FQ87" i="1"/>
  <c r="FR87" i="1"/>
  <c r="GB87" i="1" s="1"/>
  <c r="FS87" i="1"/>
  <c r="GC87" i="1" s="1"/>
  <c r="FU87" i="1"/>
  <c r="GE87" i="1" s="1"/>
  <c r="FW87" i="1"/>
  <c r="GG87" i="1" s="1"/>
  <c r="FT87" i="1"/>
  <c r="GD87" i="1" s="1"/>
  <c r="FX87" i="1"/>
  <c r="GH87" i="1" s="1"/>
  <c r="FP87" i="1"/>
  <c r="FY87" i="1"/>
  <c r="GI87" i="1" s="1"/>
  <c r="FV87" i="1"/>
  <c r="GF87" i="1" s="1"/>
  <c r="EO137" i="1"/>
  <c r="EM137" i="1" s="1"/>
  <c r="ES137" i="1"/>
  <c r="EQ137" i="1" s="1"/>
  <c r="EN63" i="1"/>
  <c r="EL63" i="1" s="1"/>
  <c r="FL63" i="1"/>
  <c r="FJ63" i="1" s="1"/>
  <c r="EV63" i="1"/>
  <c r="ET63" i="1" s="1"/>
  <c r="FM63" i="1"/>
  <c r="FK63" i="1" s="1"/>
  <c r="FA63" i="1"/>
  <c r="EY63" i="1" s="1"/>
  <c r="FE63" i="1"/>
  <c r="FC63" i="1" s="1"/>
  <c r="EO63" i="1"/>
  <c r="EM63" i="1" s="1"/>
  <c r="ER63" i="1"/>
  <c r="EP63" i="1" s="1"/>
  <c r="FI63" i="1"/>
  <c r="FG63" i="1" s="1"/>
  <c r="FH63" i="1"/>
  <c r="FF63" i="1" s="1"/>
  <c r="EK63" i="1"/>
  <c r="ES63" i="1"/>
  <c r="EQ63" i="1" s="1"/>
  <c r="FD63" i="1"/>
  <c r="FB63" i="1" s="1"/>
  <c r="EZ63" i="1"/>
  <c r="EX63" i="1" s="1"/>
  <c r="EJ63" i="1"/>
  <c r="EW63" i="1"/>
  <c r="EU63" i="1" s="1"/>
  <c r="X132" i="1"/>
  <c r="Y132" i="1" s="1"/>
  <c r="IQ132" i="1"/>
  <c r="IJ135" i="1"/>
  <c r="IK135" i="1" s="1"/>
  <c r="U135" i="1"/>
  <c r="FW90" i="1"/>
  <c r="GG90" i="1" s="1"/>
  <c r="FP90" i="1"/>
  <c r="FT90" i="1"/>
  <c r="GD90" i="1" s="1"/>
  <c r="FS90" i="1"/>
  <c r="GC90" i="1" s="1"/>
  <c r="FU90" i="1"/>
  <c r="GE90" i="1" s="1"/>
  <c r="V90" i="1"/>
  <c r="FX90" i="1"/>
  <c r="GH90" i="1" s="1"/>
  <c r="FQ90" i="1"/>
  <c r="FV90" i="1"/>
  <c r="GF90" i="1" s="1"/>
  <c r="FY90" i="1"/>
  <c r="GI90" i="1" s="1"/>
  <c r="FR90" i="1"/>
  <c r="GB90" i="1" s="1"/>
  <c r="FX17" i="1"/>
  <c r="GH17" i="1" s="1"/>
  <c r="FU17" i="1"/>
  <c r="GE17" i="1" s="1"/>
  <c r="FT17" i="1"/>
  <c r="GD17" i="1" s="1"/>
  <c r="FS17" i="1"/>
  <c r="GC17" i="1" s="1"/>
  <c r="V17" i="1"/>
  <c r="FP17" i="1"/>
  <c r="FZ17" i="1" s="1"/>
  <c r="FV17" i="1"/>
  <c r="GF17" i="1" s="1"/>
  <c r="FR17" i="1"/>
  <c r="GB17" i="1" s="1"/>
  <c r="FY17" i="1"/>
  <c r="GI17" i="1" s="1"/>
  <c r="FW17" i="1"/>
  <c r="GG17" i="1" s="1"/>
  <c r="FQ17" i="1"/>
  <c r="GA17" i="1" s="1"/>
  <c r="FH41" i="1"/>
  <c r="FF41" i="1" s="1"/>
  <c r="EK41" i="1"/>
  <c r="EW41" i="1"/>
  <c r="EU41" i="1" s="1"/>
  <c r="FI41" i="1"/>
  <c r="FG41" i="1" s="1"/>
  <c r="EN41" i="1"/>
  <c r="EL41" i="1" s="1"/>
  <c r="FE41" i="1"/>
  <c r="FC41" i="1" s="1"/>
  <c r="EO41" i="1"/>
  <c r="EM41" i="1" s="1"/>
  <c r="FA41" i="1"/>
  <c r="EY41" i="1" s="1"/>
  <c r="FL41" i="1"/>
  <c r="FJ41" i="1" s="1"/>
  <c r="FD41" i="1"/>
  <c r="FB41" i="1" s="1"/>
  <c r="ER41" i="1"/>
  <c r="EP41" i="1" s="1"/>
  <c r="EV41" i="1"/>
  <c r="ET41" i="1" s="1"/>
  <c r="ES41" i="1"/>
  <c r="EQ41" i="1" s="1"/>
  <c r="FM41" i="1"/>
  <c r="FK41" i="1" s="1"/>
  <c r="EJ41" i="1"/>
  <c r="EZ41" i="1"/>
  <c r="EX41" i="1" s="1"/>
  <c r="FH128" i="1"/>
  <c r="FF128" i="1" s="1"/>
  <c r="EG128" i="1"/>
  <c r="EE128" i="1" s="1"/>
  <c r="EW128" i="1"/>
  <c r="EU128" i="1" s="1"/>
  <c r="FL128" i="1"/>
  <c r="FJ128" i="1" s="1"/>
  <c r="ES128" i="1"/>
  <c r="EQ128" i="1" s="1"/>
  <c r="FD128" i="1"/>
  <c r="FB128" i="1" s="1"/>
  <c r="EO128" i="1"/>
  <c r="EM128" i="1" s="1"/>
  <c r="EN128" i="1"/>
  <c r="EL128" i="1" s="1"/>
  <c r="FE128" i="1"/>
  <c r="FC128" i="1" s="1"/>
  <c r="EJ128" i="1"/>
  <c r="FA128" i="1"/>
  <c r="EY128" i="1" s="1"/>
  <c r="EZ128" i="1"/>
  <c r="EX128" i="1" s="1"/>
  <c r="ER128" i="1"/>
  <c r="EP128" i="1" s="1"/>
  <c r="EK128" i="1"/>
  <c r="FI128" i="1"/>
  <c r="FG128" i="1" s="1"/>
  <c r="EV128" i="1"/>
  <c r="ET128" i="1" s="1"/>
  <c r="FM128" i="1"/>
  <c r="FK128" i="1" s="1"/>
  <c r="EF128" i="1"/>
  <c r="ED128" i="1" s="1"/>
  <c r="IQ134" i="1"/>
  <c r="X134" i="1"/>
  <c r="Y134" i="1" s="1"/>
  <c r="FE50" i="1"/>
  <c r="FC50" i="1" s="1"/>
  <c r="FL50" i="1"/>
  <c r="FJ50" i="1" s="1"/>
  <c r="EW50" i="1"/>
  <c r="EU50" i="1" s="1"/>
  <c r="EK50" i="1"/>
  <c r="ER50" i="1"/>
  <c r="EP50" i="1" s="1"/>
  <c r="EV50" i="1"/>
  <c r="ET50" i="1" s="1"/>
  <c r="EZ50" i="1"/>
  <c r="EX50" i="1" s="1"/>
  <c r="FM50" i="1"/>
  <c r="FK50" i="1" s="1"/>
  <c r="EO50" i="1"/>
  <c r="EM50" i="1" s="1"/>
  <c r="FD50" i="1"/>
  <c r="FB50" i="1" s="1"/>
  <c r="EJ50" i="1"/>
  <c r="FI50" i="1"/>
  <c r="FG50" i="1" s="1"/>
  <c r="ES50" i="1"/>
  <c r="EQ50" i="1" s="1"/>
  <c r="FH50" i="1"/>
  <c r="FF50" i="1" s="1"/>
  <c r="EN50" i="1"/>
  <c r="EL50" i="1" s="1"/>
  <c r="FA50" i="1"/>
  <c r="EY50" i="1" s="1"/>
  <c r="FE52" i="1"/>
  <c r="FC52" i="1" s="1"/>
  <c r="EN52" i="1"/>
  <c r="EL52" i="1" s="1"/>
  <c r="FI52" i="1"/>
  <c r="FG52" i="1" s="1"/>
  <c r="FD52" i="1"/>
  <c r="FB52" i="1" s="1"/>
  <c r="FM52" i="1"/>
  <c r="FK52" i="1" s="1"/>
  <c r="EZ52" i="1"/>
  <c r="EX52" i="1" s="1"/>
  <c r="FL52" i="1"/>
  <c r="FJ52" i="1" s="1"/>
  <c r="EO52" i="1"/>
  <c r="EM52" i="1" s="1"/>
  <c r="FH52" i="1"/>
  <c r="FF52" i="1" s="1"/>
  <c r="ER52" i="1"/>
  <c r="EP52" i="1" s="1"/>
  <c r="EW52" i="1"/>
  <c r="EU52" i="1" s="1"/>
  <c r="EV52" i="1"/>
  <c r="ET52" i="1" s="1"/>
  <c r="FA52" i="1"/>
  <c r="EY52" i="1" s="1"/>
  <c r="ES52" i="1"/>
  <c r="EQ52" i="1" s="1"/>
  <c r="EJ52" i="1"/>
  <c r="EK52" i="1"/>
  <c r="V138" i="1"/>
  <c r="FR138" i="1"/>
  <c r="GB138" i="1" s="1"/>
  <c r="FQ138" i="1"/>
  <c r="GA138" i="1" s="1"/>
  <c r="FW138" i="1"/>
  <c r="GG138" i="1" s="1"/>
  <c r="FV138" i="1"/>
  <c r="GF138" i="1" s="1"/>
  <c r="FT138" i="1"/>
  <c r="GD138" i="1" s="1"/>
  <c r="FU138" i="1"/>
  <c r="GE138" i="1" s="1"/>
  <c r="FX138" i="1"/>
  <c r="GH138" i="1" s="1"/>
  <c r="FS138" i="1"/>
  <c r="GC138" i="1" s="1"/>
  <c r="FP138" i="1"/>
  <c r="FY138" i="1"/>
  <c r="GI138" i="1" s="1"/>
  <c r="FP93" i="1"/>
  <c r="FR93" i="1"/>
  <c r="GB93" i="1" s="1"/>
  <c r="FT93" i="1"/>
  <c r="GD93" i="1" s="1"/>
  <c r="FX93" i="1"/>
  <c r="GH93" i="1" s="1"/>
  <c r="FQ93" i="1"/>
  <c r="FW93" i="1"/>
  <c r="GG93" i="1" s="1"/>
  <c r="FU93" i="1"/>
  <c r="GE93" i="1" s="1"/>
  <c r="FV93" i="1"/>
  <c r="GF93" i="1" s="1"/>
  <c r="FY93" i="1"/>
  <c r="GI93" i="1" s="1"/>
  <c r="FS93" i="1"/>
  <c r="GC93" i="1" s="1"/>
  <c r="V93" i="1"/>
  <c r="ES109" i="1"/>
  <c r="EQ109" i="1" s="1"/>
  <c r="EJ109" i="1"/>
  <c r="EO109" i="1"/>
  <c r="EM109" i="1" s="1"/>
  <c r="FM109" i="1"/>
  <c r="FK109" i="1" s="1"/>
  <c r="EZ109" i="1"/>
  <c r="EX109" i="1" s="1"/>
  <c r="FH109" i="1"/>
  <c r="FF109" i="1" s="1"/>
  <c r="FI109" i="1"/>
  <c r="FG109" i="1" s="1"/>
  <c r="FA109" i="1"/>
  <c r="EY109" i="1" s="1"/>
  <c r="ER109" i="1"/>
  <c r="EP109" i="1" s="1"/>
  <c r="EW109" i="1"/>
  <c r="EU109" i="1" s="1"/>
  <c r="EN109" i="1"/>
  <c r="EL109" i="1" s="1"/>
  <c r="EV109" i="1"/>
  <c r="ET109" i="1" s="1"/>
  <c r="FE109" i="1"/>
  <c r="FC109" i="1" s="1"/>
  <c r="FL109" i="1"/>
  <c r="FJ109" i="1" s="1"/>
  <c r="EK109" i="1"/>
  <c r="FD109" i="1"/>
  <c r="FB109" i="1" s="1"/>
  <c r="FX65" i="1"/>
  <c r="GH65" i="1" s="1"/>
  <c r="FY65" i="1"/>
  <c r="GI65" i="1" s="1"/>
  <c r="FS65" i="1"/>
  <c r="GC65" i="1" s="1"/>
  <c r="FQ65" i="1"/>
  <c r="FR65" i="1"/>
  <c r="GB65" i="1" s="1"/>
  <c r="V65" i="1"/>
  <c r="FP65" i="1"/>
  <c r="FU65" i="1"/>
  <c r="GE65" i="1" s="1"/>
  <c r="FW65" i="1"/>
  <c r="GG65" i="1" s="1"/>
  <c r="FT65" i="1"/>
  <c r="GD65" i="1" s="1"/>
  <c r="FV65" i="1"/>
  <c r="GF65" i="1" s="1"/>
  <c r="EW30" i="1"/>
  <c r="EU30" i="1" s="1"/>
  <c r="EV30" i="1"/>
  <c r="ET30" i="1" s="1"/>
  <c r="FA30" i="1"/>
  <c r="EY30" i="1" s="1"/>
  <c r="EO30" i="1"/>
  <c r="ES30" i="1"/>
  <c r="EQ30" i="1" s="1"/>
  <c r="FE30" i="1"/>
  <c r="FC30" i="1" s="1"/>
  <c r="FI30" i="1"/>
  <c r="FG30" i="1" s="1"/>
  <c r="FP25" i="1"/>
  <c r="FX25" i="1"/>
  <c r="GH25" i="1" s="1"/>
  <c r="FV25" i="1"/>
  <c r="GF25" i="1" s="1"/>
  <c r="V25" i="1"/>
  <c r="FW25" i="1"/>
  <c r="GG25" i="1" s="1"/>
  <c r="FR25" i="1"/>
  <c r="GB25" i="1" s="1"/>
  <c r="FS25" i="1"/>
  <c r="GC25" i="1" s="1"/>
  <c r="FQ25" i="1"/>
  <c r="FY25" i="1"/>
  <c r="GI25" i="1" s="1"/>
  <c r="FU25" i="1"/>
  <c r="GE25" i="1" s="1"/>
  <c r="FT25" i="1"/>
  <c r="GD25" i="1" s="1"/>
  <c r="FM62" i="1"/>
  <c r="FK62" i="1" s="1"/>
  <c r="EV62" i="1"/>
  <c r="ET62" i="1" s="1"/>
  <c r="FD62" i="1"/>
  <c r="FB62" i="1" s="1"/>
  <c r="EJ62" i="1"/>
  <c r="EO62" i="1"/>
  <c r="EM62" i="1" s="1"/>
  <c r="FI62" i="1"/>
  <c r="FG62" i="1" s="1"/>
  <c r="ES62" i="1"/>
  <c r="EQ62" i="1" s="1"/>
  <c r="EK62" i="1"/>
  <c r="ER62" i="1"/>
  <c r="EP62" i="1" s="1"/>
  <c r="EW62" i="1"/>
  <c r="EU62" i="1" s="1"/>
  <c r="FH62" i="1"/>
  <c r="FF62" i="1" s="1"/>
  <c r="FL62" i="1"/>
  <c r="FJ62" i="1" s="1"/>
  <c r="FA62" i="1"/>
  <c r="EY62" i="1" s="1"/>
  <c r="EN62" i="1"/>
  <c r="EL62" i="1" s="1"/>
  <c r="EZ62" i="1"/>
  <c r="EX62" i="1" s="1"/>
  <c r="FE62" i="1"/>
  <c r="FC62" i="1" s="1"/>
  <c r="FW94" i="1"/>
  <c r="GG94" i="1" s="1"/>
  <c r="FQ94" i="1"/>
  <c r="FU94" i="1"/>
  <c r="GE94" i="1" s="1"/>
  <c r="FX94" i="1"/>
  <c r="GH94" i="1" s="1"/>
  <c r="V94" i="1"/>
  <c r="FS94" i="1"/>
  <c r="GC94" i="1" s="1"/>
  <c r="FY94" i="1"/>
  <c r="GI94" i="1" s="1"/>
  <c r="FT94" i="1"/>
  <c r="GD94" i="1" s="1"/>
  <c r="FR94" i="1"/>
  <c r="GB94" i="1" s="1"/>
  <c r="FV94" i="1"/>
  <c r="GF94" i="1" s="1"/>
  <c r="FP94" i="1"/>
  <c r="FI56" i="1"/>
  <c r="FG56" i="1" s="1"/>
  <c r="EO56" i="1"/>
  <c r="EM56" i="1" s="1"/>
  <c r="FH56" i="1"/>
  <c r="FF56" i="1" s="1"/>
  <c r="ES56" i="1"/>
  <c r="EQ56" i="1" s="1"/>
  <c r="FM56" i="1"/>
  <c r="FK56" i="1" s="1"/>
  <c r="EN56" i="1"/>
  <c r="EL56" i="1" s="1"/>
  <c r="FE56" i="1"/>
  <c r="FC56" i="1" s="1"/>
  <c r="EV56" i="1"/>
  <c r="ET56" i="1" s="1"/>
  <c r="EJ56" i="1"/>
  <c r="FA56" i="1"/>
  <c r="EY56" i="1" s="1"/>
  <c r="EZ56" i="1"/>
  <c r="EX56" i="1" s="1"/>
  <c r="ER56" i="1"/>
  <c r="EP56" i="1" s="1"/>
  <c r="EK56" i="1"/>
  <c r="FD56" i="1"/>
  <c r="FB56" i="1" s="1"/>
  <c r="FL56" i="1"/>
  <c r="FJ56" i="1" s="1"/>
  <c r="EW56" i="1"/>
  <c r="EU56" i="1" s="1"/>
  <c r="ES117" i="1"/>
  <c r="EQ117" i="1" s="1"/>
  <c r="FE117" i="1"/>
  <c r="FC117" i="1" s="1"/>
  <c r="EJ117" i="1"/>
  <c r="EZ117" i="1"/>
  <c r="EX117" i="1" s="1"/>
  <c r="EW117" i="1"/>
  <c r="EU117" i="1" s="1"/>
  <c r="EN117" i="1"/>
  <c r="EL117" i="1" s="1"/>
  <c r="EO117" i="1"/>
  <c r="EM117" i="1" s="1"/>
  <c r="FI117" i="1"/>
  <c r="FG117" i="1" s="1"/>
  <c r="FM117" i="1"/>
  <c r="FK117" i="1" s="1"/>
  <c r="ER117" i="1"/>
  <c r="EP117" i="1" s="1"/>
  <c r="EG117" i="1"/>
  <c r="EE117" i="1" s="1"/>
  <c r="FL117" i="1"/>
  <c r="FJ117" i="1" s="1"/>
  <c r="EK117" i="1"/>
  <c r="FH117" i="1"/>
  <c r="FF117" i="1" s="1"/>
  <c r="FA117" i="1"/>
  <c r="EY117" i="1" s="1"/>
  <c r="EV117" i="1"/>
  <c r="ET117" i="1" s="1"/>
  <c r="EF117" i="1"/>
  <c r="ED117" i="1" s="1"/>
  <c r="FD117" i="1"/>
  <c r="FB117" i="1" s="1"/>
  <c r="V59" i="1"/>
  <c r="FX59" i="1"/>
  <c r="GH59" i="1" s="1"/>
  <c r="FS59" i="1"/>
  <c r="GC59" i="1" s="1"/>
  <c r="FU59" i="1"/>
  <c r="GE59" i="1" s="1"/>
  <c r="FR59" i="1"/>
  <c r="GB59" i="1" s="1"/>
  <c r="FY59" i="1"/>
  <c r="GI59" i="1" s="1"/>
  <c r="FQ59" i="1"/>
  <c r="FV59" i="1"/>
  <c r="GF59" i="1" s="1"/>
  <c r="FT59" i="1"/>
  <c r="GD59" i="1" s="1"/>
  <c r="FP59" i="1"/>
  <c r="FW59" i="1"/>
  <c r="GG59" i="1" s="1"/>
  <c r="EV39" i="1"/>
  <c r="ET39" i="1" s="1"/>
  <c r="FE39" i="1"/>
  <c r="FC39" i="1" s="1"/>
  <c r="FA39" i="1"/>
  <c r="EY39" i="1" s="1"/>
  <c r="FM39" i="1"/>
  <c r="FK39" i="1" s="1"/>
  <c r="EZ39" i="1"/>
  <c r="EX39" i="1" s="1"/>
  <c r="EJ39" i="1"/>
  <c r="ES39" i="1"/>
  <c r="EQ39" i="1" s="1"/>
  <c r="FD39" i="1"/>
  <c r="FB39" i="1" s="1"/>
  <c r="FI39" i="1"/>
  <c r="FG39" i="1" s="1"/>
  <c r="EO39" i="1"/>
  <c r="EM39" i="1" s="1"/>
  <c r="EW39" i="1"/>
  <c r="EU39" i="1" s="1"/>
  <c r="FH39" i="1"/>
  <c r="FF39" i="1" s="1"/>
  <c r="ER39" i="1"/>
  <c r="EP39" i="1" s="1"/>
  <c r="FL39" i="1"/>
  <c r="FJ39" i="1" s="1"/>
  <c r="EK39" i="1"/>
  <c r="EN39" i="1"/>
  <c r="EL39" i="1" s="1"/>
  <c r="ER116" i="1"/>
  <c r="EP116" i="1" s="1"/>
  <c r="EO116" i="1"/>
  <c r="EM116" i="1" s="1"/>
  <c r="EK116" i="1"/>
  <c r="EW116" i="1"/>
  <c r="EU116" i="1" s="1"/>
  <c r="EZ116" i="1"/>
  <c r="EX116" i="1" s="1"/>
  <c r="EV116" i="1"/>
  <c r="ET116" i="1" s="1"/>
  <c r="FD116" i="1"/>
  <c r="FB116" i="1" s="1"/>
  <c r="EJ116" i="1"/>
  <c r="FH116" i="1"/>
  <c r="FF116" i="1" s="1"/>
  <c r="FA116" i="1"/>
  <c r="EY116" i="1" s="1"/>
  <c r="FE116" i="1"/>
  <c r="FC116" i="1" s="1"/>
  <c r="FI116" i="1"/>
  <c r="FG116" i="1" s="1"/>
  <c r="FM116" i="1"/>
  <c r="FK116" i="1" s="1"/>
  <c r="EN116" i="1"/>
  <c r="EL116" i="1" s="1"/>
  <c r="ES116" i="1"/>
  <c r="EQ116" i="1" s="1"/>
  <c r="FL116" i="1"/>
  <c r="FJ116" i="1" s="1"/>
  <c r="IQ141" i="1"/>
  <c r="X141" i="1"/>
  <c r="Y141" i="1" s="1"/>
  <c r="FV110" i="1"/>
  <c r="GF110" i="1" s="1"/>
  <c r="FY110" i="1"/>
  <c r="GI110" i="1" s="1"/>
  <c r="FS110" i="1"/>
  <c r="GC110" i="1" s="1"/>
  <c r="FP110" i="1"/>
  <c r="V110" i="1"/>
  <c r="FQ110" i="1"/>
  <c r="FR110" i="1"/>
  <c r="GB110" i="1" s="1"/>
  <c r="FU110" i="1"/>
  <c r="GE110" i="1" s="1"/>
  <c r="FW110" i="1"/>
  <c r="GG110" i="1" s="1"/>
  <c r="FT110" i="1"/>
  <c r="GD110" i="1" s="1"/>
  <c r="FX110" i="1"/>
  <c r="GH110" i="1" s="1"/>
  <c r="EV20" i="1"/>
  <c r="ET20" i="1" s="1"/>
  <c r="ES20" i="1"/>
  <c r="EQ20" i="1" s="1"/>
  <c r="EZ20" i="1"/>
  <c r="EX20" i="1" s="1"/>
  <c r="EJ20" i="1"/>
  <c r="EO20" i="1"/>
  <c r="EM20" i="1" s="1"/>
  <c r="ER20" i="1"/>
  <c r="EP20" i="1" s="1"/>
  <c r="FE20" i="1"/>
  <c r="FC20" i="1" s="1"/>
  <c r="FM20" i="1"/>
  <c r="FK20" i="1" s="1"/>
  <c r="FL20" i="1"/>
  <c r="FJ20" i="1" s="1"/>
  <c r="EN20" i="1"/>
  <c r="EL20" i="1" s="1"/>
  <c r="FA20" i="1"/>
  <c r="EY20" i="1" s="1"/>
  <c r="FD20" i="1"/>
  <c r="FB20" i="1" s="1"/>
  <c r="IQ147" i="1"/>
  <c r="X147" i="1"/>
  <c r="Y147" i="1" s="1"/>
  <c r="V75" i="1"/>
  <c r="FV75" i="1"/>
  <c r="GF75" i="1" s="1"/>
  <c r="FT75" i="1"/>
  <c r="GD75" i="1" s="1"/>
  <c r="FY75" i="1"/>
  <c r="GI75" i="1" s="1"/>
  <c r="FU75" i="1"/>
  <c r="GE75" i="1" s="1"/>
  <c r="FQ75" i="1"/>
  <c r="FR75" i="1"/>
  <c r="GB75" i="1" s="1"/>
  <c r="FW75" i="1"/>
  <c r="GG75" i="1" s="1"/>
  <c r="FS75" i="1"/>
  <c r="GC75" i="1" s="1"/>
  <c r="FX75" i="1"/>
  <c r="GH75" i="1" s="1"/>
  <c r="FP75" i="1"/>
  <c r="FH126" i="1"/>
  <c r="FF126" i="1" s="1"/>
  <c r="EW126" i="1"/>
  <c r="EU126" i="1" s="1"/>
  <c r="EV126" i="1"/>
  <c r="ET126" i="1" s="1"/>
  <c r="ES126" i="1"/>
  <c r="EQ126" i="1" s="1"/>
  <c r="ER126" i="1"/>
  <c r="EP126" i="1" s="1"/>
  <c r="EN126" i="1"/>
  <c r="EL126" i="1" s="1"/>
  <c r="FD126" i="1"/>
  <c r="FB126" i="1" s="1"/>
  <c r="FM126" i="1"/>
  <c r="FK126" i="1" s="1"/>
  <c r="EJ126" i="1"/>
  <c r="FE126" i="1"/>
  <c r="FC126" i="1" s="1"/>
  <c r="FI126" i="1"/>
  <c r="FG126" i="1" s="1"/>
  <c r="FA126" i="1"/>
  <c r="EY126" i="1" s="1"/>
  <c r="EZ126" i="1"/>
  <c r="EX126" i="1" s="1"/>
  <c r="EK126" i="1"/>
  <c r="EO126" i="1"/>
  <c r="EM126" i="1" s="1"/>
  <c r="FL126" i="1"/>
  <c r="FJ126" i="1" s="1"/>
  <c r="ES43" i="1"/>
  <c r="EQ43" i="1" s="1"/>
  <c r="FI43" i="1"/>
  <c r="FG43" i="1" s="1"/>
  <c r="ER43" i="1"/>
  <c r="EP43" i="1" s="1"/>
  <c r="FD43" i="1"/>
  <c r="FB43" i="1" s="1"/>
  <c r="EJ43" i="1"/>
  <c r="EK43" i="1"/>
  <c r="FL43" i="1"/>
  <c r="FJ43" i="1" s="1"/>
  <c r="FA43" i="1"/>
  <c r="EY43" i="1" s="1"/>
  <c r="FM43" i="1"/>
  <c r="FK43" i="1" s="1"/>
  <c r="EZ43" i="1"/>
  <c r="EX43" i="1" s="1"/>
  <c r="EN43" i="1"/>
  <c r="EL43" i="1" s="1"/>
  <c r="EW43" i="1"/>
  <c r="EU43" i="1" s="1"/>
  <c r="FE43" i="1"/>
  <c r="FC43" i="1" s="1"/>
  <c r="EO43" i="1"/>
  <c r="EM43" i="1" s="1"/>
  <c r="FH43" i="1"/>
  <c r="FF43" i="1" s="1"/>
  <c r="EV43" i="1"/>
  <c r="ET43" i="1" s="1"/>
  <c r="FT106" i="1"/>
  <c r="GD106" i="1" s="1"/>
  <c r="FY106" i="1"/>
  <c r="GI106" i="1" s="1"/>
  <c r="FV106" i="1"/>
  <c r="GF106" i="1" s="1"/>
  <c r="FX106" i="1"/>
  <c r="GH106" i="1" s="1"/>
  <c r="V106" i="1"/>
  <c r="FR106" i="1"/>
  <c r="GB106" i="1" s="1"/>
  <c r="FU106" i="1"/>
  <c r="GE106" i="1" s="1"/>
  <c r="FP106" i="1"/>
  <c r="FQ106" i="1"/>
  <c r="FS106" i="1"/>
  <c r="GC106" i="1" s="1"/>
  <c r="FW106" i="1"/>
  <c r="GG106" i="1" s="1"/>
  <c r="FQ57" i="1"/>
  <c r="FX57" i="1"/>
  <c r="GH57" i="1" s="1"/>
  <c r="FV57" i="1"/>
  <c r="GF57" i="1" s="1"/>
  <c r="FY57" i="1"/>
  <c r="GI57" i="1" s="1"/>
  <c r="FT57" i="1"/>
  <c r="GD57" i="1" s="1"/>
  <c r="FS57" i="1"/>
  <c r="GC57" i="1" s="1"/>
  <c r="V57" i="1"/>
  <c r="FP57" i="1"/>
  <c r="FU57" i="1"/>
  <c r="GE57" i="1" s="1"/>
  <c r="FW57" i="1"/>
  <c r="GG57" i="1" s="1"/>
  <c r="FR57" i="1"/>
  <c r="GB57" i="1" s="1"/>
  <c r="FR47" i="1"/>
  <c r="GB47" i="1" s="1"/>
  <c r="FY47" i="1"/>
  <c r="GI47" i="1" s="1"/>
  <c r="FP47" i="1"/>
  <c r="FU47" i="1"/>
  <c r="GE47" i="1" s="1"/>
  <c r="FT47" i="1"/>
  <c r="GD47" i="1" s="1"/>
  <c r="V47" i="1"/>
  <c r="FW47" i="1"/>
  <c r="GG47" i="1" s="1"/>
  <c r="FS47" i="1"/>
  <c r="GC47" i="1" s="1"/>
  <c r="FQ47" i="1"/>
  <c r="FX47" i="1"/>
  <c r="GH47" i="1" s="1"/>
  <c r="FV47" i="1"/>
  <c r="GF47" i="1" s="1"/>
  <c r="EJ35" i="1"/>
  <c r="EW35" i="1"/>
  <c r="EU35" i="1" s="1"/>
  <c r="EV35" i="1"/>
  <c r="ET35" i="1" s="1"/>
  <c r="EO35" i="1"/>
  <c r="EM35" i="1" s="1"/>
  <c r="FL35" i="1"/>
  <c r="FJ35" i="1" s="1"/>
  <c r="EN35" i="1"/>
  <c r="EL35" i="1" s="1"/>
  <c r="FI35" i="1"/>
  <c r="FG35" i="1" s="1"/>
  <c r="FM35" i="1"/>
  <c r="FK35" i="1" s="1"/>
  <c r="FE35" i="1"/>
  <c r="FC35" i="1" s="1"/>
  <c r="ER35" i="1"/>
  <c r="EP35" i="1" s="1"/>
  <c r="FA35" i="1"/>
  <c r="EY35" i="1" s="1"/>
  <c r="FD35" i="1"/>
  <c r="FB35" i="1" s="1"/>
  <c r="EZ35" i="1"/>
  <c r="EX35" i="1" s="1"/>
  <c r="EK35" i="1"/>
  <c r="ES35" i="1"/>
  <c r="EQ35" i="1" s="1"/>
  <c r="FH35" i="1"/>
  <c r="FF35" i="1" s="1"/>
  <c r="FA103" i="1"/>
  <c r="EY103" i="1" s="1"/>
  <c r="EN103" i="1"/>
  <c r="EL103" i="1" s="1"/>
  <c r="EZ103" i="1"/>
  <c r="EX103" i="1" s="1"/>
  <c r="ER103" i="1"/>
  <c r="EP103" i="1" s="1"/>
  <c r="EK103" i="1"/>
  <c r="FH103" i="1"/>
  <c r="FF103" i="1" s="1"/>
  <c r="ES103" i="1"/>
  <c r="EQ103" i="1" s="1"/>
  <c r="FL103" i="1"/>
  <c r="FJ103" i="1" s="1"/>
  <c r="FM103" i="1"/>
  <c r="FK103" i="1" s="1"/>
  <c r="EV103" i="1"/>
  <c r="ET103" i="1" s="1"/>
  <c r="EW103" i="1"/>
  <c r="EU103" i="1" s="1"/>
  <c r="FD103" i="1"/>
  <c r="FB103" i="1" s="1"/>
  <c r="FE103" i="1"/>
  <c r="FC103" i="1" s="1"/>
  <c r="EJ103" i="1"/>
  <c r="EO103" i="1"/>
  <c r="EM103" i="1" s="1"/>
  <c r="FI103" i="1"/>
  <c r="FG103" i="1" s="1"/>
  <c r="EJ84" i="1"/>
  <c r="ER84" i="1"/>
  <c r="EP84" i="1" s="1"/>
  <c r="FI84" i="1"/>
  <c r="FG84" i="1" s="1"/>
  <c r="EV84" i="1"/>
  <c r="ET84" i="1" s="1"/>
  <c r="FA84" i="1"/>
  <c r="EY84" i="1" s="1"/>
  <c r="FH84" i="1"/>
  <c r="FF84" i="1" s="1"/>
  <c r="EW84" i="1"/>
  <c r="EU84" i="1" s="1"/>
  <c r="ES84" i="1"/>
  <c r="EQ84" i="1" s="1"/>
  <c r="EZ84" i="1"/>
  <c r="EX84" i="1" s="1"/>
  <c r="EK84" i="1"/>
  <c r="EO84" i="1"/>
  <c r="EM84" i="1" s="1"/>
  <c r="EN84" i="1"/>
  <c r="EL84" i="1" s="1"/>
  <c r="FL84" i="1"/>
  <c r="FJ84" i="1" s="1"/>
  <c r="FM84" i="1"/>
  <c r="FK84" i="1" s="1"/>
  <c r="FD84" i="1"/>
  <c r="FB84" i="1" s="1"/>
  <c r="FE84" i="1"/>
  <c r="FC84" i="1" s="1"/>
  <c r="FQ58" i="1"/>
  <c r="FP58" i="1"/>
  <c r="FS58" i="1"/>
  <c r="GC58" i="1" s="1"/>
  <c r="FY58" i="1"/>
  <c r="GI58" i="1" s="1"/>
  <c r="FU58" i="1"/>
  <c r="GE58" i="1" s="1"/>
  <c r="FT58" i="1"/>
  <c r="GD58" i="1" s="1"/>
  <c r="FR58" i="1"/>
  <c r="GB58" i="1" s="1"/>
  <c r="FV58" i="1"/>
  <c r="GF58" i="1" s="1"/>
  <c r="FW58" i="1"/>
  <c r="GG58" i="1" s="1"/>
  <c r="V58" i="1"/>
  <c r="FX58" i="1"/>
  <c r="GH58" i="1" s="1"/>
  <c r="EO45" i="1"/>
  <c r="EM45" i="1" s="1"/>
  <c r="ER45" i="1"/>
  <c r="EP45" i="1" s="1"/>
  <c r="EZ45" i="1"/>
  <c r="EX45" i="1" s="1"/>
  <c r="EJ45" i="1"/>
  <c r="EV45" i="1"/>
  <c r="ET45" i="1" s="1"/>
  <c r="FM45" i="1"/>
  <c r="FK45" i="1" s="1"/>
  <c r="EW45" i="1"/>
  <c r="EU45" i="1" s="1"/>
  <c r="FD45" i="1"/>
  <c r="FB45" i="1" s="1"/>
  <c r="EK45" i="1"/>
  <c r="FL45" i="1"/>
  <c r="FJ45" i="1" s="1"/>
  <c r="FI45" i="1"/>
  <c r="FG45" i="1" s="1"/>
  <c r="ES45" i="1"/>
  <c r="EQ45" i="1" s="1"/>
  <c r="FA45" i="1"/>
  <c r="EY45" i="1" s="1"/>
  <c r="FE45" i="1"/>
  <c r="FC45" i="1" s="1"/>
  <c r="EN45" i="1"/>
  <c r="EL45" i="1" s="1"/>
  <c r="FH45" i="1"/>
  <c r="FF45" i="1" s="1"/>
  <c r="FY128" i="1"/>
  <c r="GI128" i="1" s="1"/>
  <c r="FX128" i="1"/>
  <c r="GH128" i="1" s="1"/>
  <c r="FW128" i="1"/>
  <c r="GG128" i="1" s="1"/>
  <c r="FS128" i="1"/>
  <c r="GC128" i="1" s="1"/>
  <c r="FT128" i="1"/>
  <c r="GD128" i="1" s="1"/>
  <c r="V128" i="1"/>
  <c r="FU128" i="1"/>
  <c r="GE128" i="1" s="1"/>
  <c r="FP128" i="1"/>
  <c r="FR128" i="1"/>
  <c r="GB128" i="1" s="1"/>
  <c r="FQ128" i="1"/>
  <c r="FV128" i="1"/>
  <c r="GF128" i="1" s="1"/>
  <c r="FI78" i="1"/>
  <c r="FG78" i="1" s="1"/>
  <c r="EN78" i="1"/>
  <c r="EL78" i="1" s="1"/>
  <c r="ES78" i="1"/>
  <c r="EQ78" i="1" s="1"/>
  <c r="EJ78" i="1"/>
  <c r="FM78" i="1"/>
  <c r="FK78" i="1" s="1"/>
  <c r="EO78" i="1"/>
  <c r="EM78" i="1" s="1"/>
  <c r="EZ78" i="1"/>
  <c r="EX78" i="1" s="1"/>
  <c r="FH78" i="1"/>
  <c r="FF78" i="1" s="1"/>
  <c r="EV78" i="1"/>
  <c r="ET78" i="1" s="1"/>
  <c r="FA78" i="1"/>
  <c r="EY78" i="1" s="1"/>
  <c r="ER78" i="1"/>
  <c r="EP78" i="1" s="1"/>
  <c r="EK78" i="1"/>
  <c r="EW78" i="1"/>
  <c r="EU78" i="1" s="1"/>
  <c r="FL78" i="1"/>
  <c r="FJ78" i="1" s="1"/>
  <c r="FD78" i="1"/>
  <c r="FB78" i="1" s="1"/>
  <c r="FE78" i="1"/>
  <c r="FC78" i="1" s="1"/>
  <c r="FV40" i="1"/>
  <c r="GF40" i="1" s="1"/>
  <c r="FX40" i="1"/>
  <c r="GH40" i="1" s="1"/>
  <c r="FU40" i="1"/>
  <c r="GE40" i="1" s="1"/>
  <c r="FT40" i="1"/>
  <c r="GD40" i="1" s="1"/>
  <c r="FR40" i="1"/>
  <c r="GB40" i="1" s="1"/>
  <c r="FY40" i="1"/>
  <c r="GI40" i="1" s="1"/>
  <c r="V40" i="1"/>
  <c r="FQ40" i="1"/>
  <c r="FP40" i="1"/>
  <c r="FW40" i="1"/>
  <c r="GG40" i="1" s="1"/>
  <c r="FS40" i="1"/>
  <c r="GC40" i="1" s="1"/>
  <c r="P15" i="1"/>
  <c r="F6" i="1"/>
  <c r="C6" i="15" s="1"/>
  <c r="X142" i="1"/>
  <c r="Y142" i="1" s="1"/>
  <c r="IQ142" i="1"/>
  <c r="FW108" i="1"/>
  <c r="GG108" i="1" s="1"/>
  <c r="FT108" i="1"/>
  <c r="GD108" i="1" s="1"/>
  <c r="FV108" i="1"/>
  <c r="GF108" i="1" s="1"/>
  <c r="FU108" i="1"/>
  <c r="GE108" i="1" s="1"/>
  <c r="FS108" i="1"/>
  <c r="GC108" i="1" s="1"/>
  <c r="V108" i="1"/>
  <c r="FR108" i="1"/>
  <c r="GB108" i="1" s="1"/>
  <c r="FP108" i="1"/>
  <c r="FX108" i="1"/>
  <c r="GH108" i="1" s="1"/>
  <c r="FQ108" i="1"/>
  <c r="FY108" i="1"/>
  <c r="GI108" i="1" s="1"/>
  <c r="FI64" i="1"/>
  <c r="FG64" i="1" s="1"/>
  <c r="ER64" i="1"/>
  <c r="EP64" i="1" s="1"/>
  <c r="FE64" i="1"/>
  <c r="FC64" i="1" s="1"/>
  <c r="EJ64" i="1"/>
  <c r="EN64" i="1"/>
  <c r="EL64" i="1" s="1"/>
  <c r="FL64" i="1"/>
  <c r="FJ64" i="1" s="1"/>
  <c r="EW64" i="1"/>
  <c r="EU64" i="1" s="1"/>
  <c r="EO64" i="1"/>
  <c r="EM64" i="1" s="1"/>
  <c r="FA64" i="1"/>
  <c r="EY64" i="1" s="1"/>
  <c r="FD64" i="1"/>
  <c r="FB64" i="1" s="1"/>
  <c r="EV64" i="1"/>
  <c r="ET64" i="1" s="1"/>
  <c r="ES64" i="1"/>
  <c r="EQ64" i="1" s="1"/>
  <c r="FH64" i="1"/>
  <c r="FF64" i="1" s="1"/>
  <c r="EK64" i="1"/>
  <c r="EZ64" i="1"/>
  <c r="EX64" i="1" s="1"/>
  <c r="FM64" i="1"/>
  <c r="FK64" i="1" s="1"/>
  <c r="FR126" i="1"/>
  <c r="GB126" i="1" s="1"/>
  <c r="FX126" i="1"/>
  <c r="GH126" i="1" s="1"/>
  <c r="FS126" i="1"/>
  <c r="GC126" i="1" s="1"/>
  <c r="FP126" i="1"/>
  <c r="FT126" i="1"/>
  <c r="GD126" i="1" s="1"/>
  <c r="FW126" i="1"/>
  <c r="GG126" i="1" s="1"/>
  <c r="FY126" i="1"/>
  <c r="GI126" i="1" s="1"/>
  <c r="FQ126" i="1"/>
  <c r="V126" i="1"/>
  <c r="FV126" i="1"/>
  <c r="GF126" i="1" s="1"/>
  <c r="FU126" i="1"/>
  <c r="GE126" i="1" s="1"/>
  <c r="X136" i="1"/>
  <c r="Y136" i="1" s="1"/>
  <c r="IQ136" i="1"/>
  <c r="EV139" i="1"/>
  <c r="ET139" i="1" s="1"/>
  <c r="EN139" i="1"/>
  <c r="EL139" i="1" s="1"/>
  <c r="ER139" i="1"/>
  <c r="EP139" i="1" s="1"/>
  <c r="EF139" i="1"/>
  <c r="FA139" i="1"/>
  <c r="EY139" i="1" s="1"/>
  <c r="ES139" i="1"/>
  <c r="EQ139" i="1" s="1"/>
  <c r="EJ139" i="1"/>
  <c r="EH139" i="1" s="1"/>
  <c r="EZ139" i="1"/>
  <c r="EX139" i="1" s="1"/>
  <c r="EG139" i="1"/>
  <c r="FM139" i="1"/>
  <c r="FK139" i="1" s="1"/>
  <c r="FD139" i="1"/>
  <c r="FB139" i="1" s="1"/>
  <c r="FI139" i="1"/>
  <c r="FG139" i="1" s="1"/>
  <c r="FE139" i="1"/>
  <c r="FC139" i="1" s="1"/>
  <c r="EW139" i="1"/>
  <c r="EU139" i="1" s="1"/>
  <c r="FH139" i="1"/>
  <c r="FF139" i="1" s="1"/>
  <c r="EK139" i="1"/>
  <c r="EI139" i="1" s="1"/>
  <c r="FL139" i="1"/>
  <c r="FJ139" i="1" s="1"/>
  <c r="EO139" i="1"/>
  <c r="EM139" i="1" s="1"/>
  <c r="FR137" i="1"/>
  <c r="GB137" i="1" s="1"/>
  <c r="FY137" i="1"/>
  <c r="GI137" i="1" s="1"/>
  <c r="FX137" i="1"/>
  <c r="GH137" i="1" s="1"/>
  <c r="FW137" i="1"/>
  <c r="GG137" i="1" s="1"/>
  <c r="FP137" i="1"/>
  <c r="FV137" i="1"/>
  <c r="GF137" i="1" s="1"/>
  <c r="FU137" i="1"/>
  <c r="GE137" i="1" s="1"/>
  <c r="FT137" i="1"/>
  <c r="GD137" i="1" s="1"/>
  <c r="FS137" i="1"/>
  <c r="GC137" i="1" s="1"/>
  <c r="V137" i="1"/>
  <c r="FQ137" i="1"/>
  <c r="GA137" i="1" s="1"/>
  <c r="FP48" i="1"/>
  <c r="FQ48" i="1"/>
  <c r="FX48" i="1"/>
  <c r="GH48" i="1" s="1"/>
  <c r="FY48" i="1"/>
  <c r="GI48" i="1" s="1"/>
  <c r="FV48" i="1"/>
  <c r="GF48" i="1" s="1"/>
  <c r="FW48" i="1"/>
  <c r="GG48" i="1" s="1"/>
  <c r="V48" i="1"/>
  <c r="FR48" i="1"/>
  <c r="GB48" i="1" s="1"/>
  <c r="FT48" i="1"/>
  <c r="GD48" i="1" s="1"/>
  <c r="FS48" i="1"/>
  <c r="GC48" i="1" s="1"/>
  <c r="FU48" i="1"/>
  <c r="GE48" i="1" s="1"/>
  <c r="FM104" i="1"/>
  <c r="FK104" i="1" s="1"/>
  <c r="EW104" i="1"/>
  <c r="EU104" i="1" s="1"/>
  <c r="FA104" i="1"/>
  <c r="EY104" i="1" s="1"/>
  <c r="FE104" i="1"/>
  <c r="FC104" i="1" s="1"/>
  <c r="ER104" i="1"/>
  <c r="EP104" i="1" s="1"/>
  <c r="EN104" i="1"/>
  <c r="EL104" i="1" s="1"/>
  <c r="FI104" i="1"/>
  <c r="FG104" i="1" s="1"/>
  <c r="EZ104" i="1"/>
  <c r="EX104" i="1" s="1"/>
  <c r="EJ104" i="1"/>
  <c r="EV104" i="1"/>
  <c r="ET104" i="1" s="1"/>
  <c r="ES104" i="1"/>
  <c r="EQ104" i="1" s="1"/>
  <c r="FL104" i="1"/>
  <c r="FJ104" i="1" s="1"/>
  <c r="FD104" i="1"/>
  <c r="FB104" i="1" s="1"/>
  <c r="EK104" i="1"/>
  <c r="EO104" i="1"/>
  <c r="EM104" i="1" s="1"/>
  <c r="FH104" i="1"/>
  <c r="FF104" i="1" s="1"/>
  <c r="ES122" i="1"/>
  <c r="EQ122" i="1" s="1"/>
  <c r="EV122" i="1"/>
  <c r="ET122" i="1" s="1"/>
  <c r="ER122" i="1"/>
  <c r="EP122" i="1" s="1"/>
  <c r="FA122" i="1"/>
  <c r="EY122" i="1" s="1"/>
  <c r="EK122" i="1"/>
  <c r="FM122" i="1"/>
  <c r="FK122" i="1" s="1"/>
  <c r="EZ122" i="1"/>
  <c r="EX122" i="1" s="1"/>
  <c r="EG122" i="1"/>
  <c r="EE122" i="1" s="1"/>
  <c r="FE122" i="1"/>
  <c r="FC122" i="1" s="1"/>
  <c r="FL122" i="1"/>
  <c r="FJ122" i="1" s="1"/>
  <c r="EO122" i="1"/>
  <c r="EM122" i="1" s="1"/>
  <c r="EN122" i="1"/>
  <c r="EL122" i="1" s="1"/>
  <c r="EW122" i="1"/>
  <c r="EU122" i="1" s="1"/>
  <c r="FD122" i="1"/>
  <c r="FB122" i="1" s="1"/>
  <c r="EJ122" i="1"/>
  <c r="FI122" i="1"/>
  <c r="FG122" i="1" s="1"/>
  <c r="FH122" i="1"/>
  <c r="FF122" i="1" s="1"/>
  <c r="EF122" i="1"/>
  <c r="ED122" i="1" s="1"/>
  <c r="FD90" i="1"/>
  <c r="FB90" i="1" s="1"/>
  <c r="FE90" i="1"/>
  <c r="FC90" i="1" s="1"/>
  <c r="ES90" i="1"/>
  <c r="EQ90" i="1" s="1"/>
  <c r="ER90" i="1"/>
  <c r="EP90" i="1" s="1"/>
  <c r="FL90" i="1"/>
  <c r="FJ90" i="1" s="1"/>
  <c r="FM90" i="1"/>
  <c r="FK90" i="1" s="1"/>
  <c r="FH90" i="1"/>
  <c r="FF90" i="1" s="1"/>
  <c r="FI90" i="1"/>
  <c r="FG90" i="1" s="1"/>
  <c r="EW90" i="1"/>
  <c r="EU90" i="1" s="1"/>
  <c r="FA90" i="1"/>
  <c r="EY90" i="1" s="1"/>
  <c r="EO90" i="1"/>
  <c r="EM90" i="1" s="1"/>
  <c r="EK90" i="1"/>
  <c r="EV90" i="1"/>
  <c r="ET90" i="1" s="1"/>
  <c r="EZ90" i="1"/>
  <c r="EX90" i="1" s="1"/>
  <c r="EJ90" i="1"/>
  <c r="EN90" i="1"/>
  <c r="EL90" i="1" s="1"/>
  <c r="FY41" i="1"/>
  <c r="GI41" i="1" s="1"/>
  <c r="FV41" i="1"/>
  <c r="GF41" i="1" s="1"/>
  <c r="FU41" i="1"/>
  <c r="GE41" i="1" s="1"/>
  <c r="FS41" i="1"/>
  <c r="GC41" i="1" s="1"/>
  <c r="FP41" i="1"/>
  <c r="FT41" i="1"/>
  <c r="GD41" i="1" s="1"/>
  <c r="V41" i="1"/>
  <c r="FQ41" i="1"/>
  <c r="FR41" i="1"/>
  <c r="GB41" i="1" s="1"/>
  <c r="FX41" i="1"/>
  <c r="GH41" i="1" s="1"/>
  <c r="FW41" i="1"/>
  <c r="GG41" i="1" s="1"/>
  <c r="EV102" i="1"/>
  <c r="ET102" i="1" s="1"/>
  <c r="EO102" i="1"/>
  <c r="EM102" i="1" s="1"/>
  <c r="EN102" i="1"/>
  <c r="EL102" i="1" s="1"/>
  <c r="ES102" i="1"/>
  <c r="EQ102" i="1" s="1"/>
  <c r="FH102" i="1"/>
  <c r="FF102" i="1" s="1"/>
  <c r="EW102" i="1"/>
  <c r="EU102" i="1" s="1"/>
  <c r="EJ102" i="1"/>
  <c r="FE102" i="1"/>
  <c r="FC102" i="1" s="1"/>
  <c r="FI102" i="1"/>
  <c r="FG102" i="1" s="1"/>
  <c r="FM102" i="1"/>
  <c r="FK102" i="1" s="1"/>
  <c r="EZ102" i="1"/>
  <c r="EX102" i="1" s="1"/>
  <c r="ER102" i="1"/>
  <c r="EP102" i="1" s="1"/>
  <c r="FD102" i="1"/>
  <c r="FB102" i="1" s="1"/>
  <c r="FL102" i="1"/>
  <c r="FJ102" i="1" s="1"/>
  <c r="EK102" i="1"/>
  <c r="FA102" i="1"/>
  <c r="EY102" i="1" s="1"/>
  <c r="FW50" i="1"/>
  <c r="GG50" i="1" s="1"/>
  <c r="FX50" i="1"/>
  <c r="GH50" i="1" s="1"/>
  <c r="FR50" i="1"/>
  <c r="GB50" i="1" s="1"/>
  <c r="FU50" i="1"/>
  <c r="GE50" i="1" s="1"/>
  <c r="FY50" i="1"/>
  <c r="GI50" i="1" s="1"/>
  <c r="FT50" i="1"/>
  <c r="GD50" i="1" s="1"/>
  <c r="V50" i="1"/>
  <c r="FV50" i="1"/>
  <c r="GF50" i="1" s="1"/>
  <c r="FP50" i="1"/>
  <c r="FQ50" i="1"/>
  <c r="FS50" i="1"/>
  <c r="GC50" i="1" s="1"/>
  <c r="EN21" i="1"/>
  <c r="EL21" i="1" s="1"/>
  <c r="EW21" i="1"/>
  <c r="EU21" i="1" s="1"/>
  <c r="ER21" i="1"/>
  <c r="EP21" i="1" s="1"/>
  <c r="FL21" i="1"/>
  <c r="FJ21" i="1" s="1"/>
  <c r="EO21" i="1"/>
  <c r="EM21" i="1" s="1"/>
  <c r="ES21" i="1"/>
  <c r="EQ21" i="1" s="1"/>
  <c r="FE21" i="1"/>
  <c r="FC21" i="1" s="1"/>
  <c r="FA21" i="1"/>
  <c r="EY21" i="1" s="1"/>
  <c r="EJ21" i="1"/>
  <c r="EV21" i="1"/>
  <c r="ET21" i="1" s="1"/>
  <c r="FD21" i="1"/>
  <c r="FB21" i="1" s="1"/>
  <c r="FI21" i="1"/>
  <c r="FG21" i="1" s="1"/>
  <c r="FH21" i="1"/>
  <c r="FF21" i="1" s="1"/>
  <c r="FM21" i="1"/>
  <c r="FK21" i="1" s="1"/>
  <c r="EZ21" i="1"/>
  <c r="EX21" i="1" s="1"/>
  <c r="EK21" i="1"/>
  <c r="FV114" i="1"/>
  <c r="GF114" i="1" s="1"/>
  <c r="FT114" i="1"/>
  <c r="GD114" i="1" s="1"/>
  <c r="FR114" i="1"/>
  <c r="GB114" i="1" s="1"/>
  <c r="FP114" i="1"/>
  <c r="FU114" i="1"/>
  <c r="GE114" i="1" s="1"/>
  <c r="FY114" i="1"/>
  <c r="GI114" i="1" s="1"/>
  <c r="V114" i="1"/>
  <c r="FX114" i="1"/>
  <c r="GH114" i="1" s="1"/>
  <c r="FQ114" i="1"/>
  <c r="FS114" i="1"/>
  <c r="GC114" i="1" s="1"/>
  <c r="FW114" i="1"/>
  <c r="GG114" i="1" s="1"/>
  <c r="FT42" i="1"/>
  <c r="GD42" i="1" s="1"/>
  <c r="FS42" i="1"/>
  <c r="GC42" i="1" s="1"/>
  <c r="FX42" i="1"/>
  <c r="GH42" i="1" s="1"/>
  <c r="FQ42" i="1"/>
  <c r="FU42" i="1"/>
  <c r="GE42" i="1" s="1"/>
  <c r="FP42" i="1"/>
  <c r="FY42" i="1"/>
  <c r="GI42" i="1" s="1"/>
  <c r="FV42" i="1"/>
  <c r="GF42" i="1" s="1"/>
  <c r="FW42" i="1"/>
  <c r="GG42" i="1" s="1"/>
  <c r="FR42" i="1"/>
  <c r="GB42" i="1" s="1"/>
  <c r="V42" i="1"/>
  <c r="FW26" i="1"/>
  <c r="GG26" i="1" s="1"/>
  <c r="FY26" i="1"/>
  <c r="GI26" i="1" s="1"/>
  <c r="FP26" i="1"/>
  <c r="FU26" i="1"/>
  <c r="GE26" i="1" s="1"/>
  <c r="FV26" i="1"/>
  <c r="GF26" i="1" s="1"/>
  <c r="FT26" i="1"/>
  <c r="GD26" i="1" s="1"/>
  <c r="FS26" i="1"/>
  <c r="GC26" i="1" s="1"/>
  <c r="V26" i="1"/>
  <c r="FR26" i="1"/>
  <c r="GB26" i="1" s="1"/>
  <c r="FX26" i="1"/>
  <c r="GH26" i="1" s="1"/>
  <c r="FQ26" i="1"/>
  <c r="FX121" i="1"/>
  <c r="GH121" i="1" s="1"/>
  <c r="FT121" i="1"/>
  <c r="GD121" i="1" s="1"/>
  <c r="FS121" i="1"/>
  <c r="GC121" i="1" s="1"/>
  <c r="V121" i="1"/>
  <c r="FV121" i="1"/>
  <c r="GF121" i="1" s="1"/>
  <c r="FQ121" i="1"/>
  <c r="FW121" i="1"/>
  <c r="GG121" i="1" s="1"/>
  <c r="FY121" i="1"/>
  <c r="GI121" i="1" s="1"/>
  <c r="FP121" i="1"/>
  <c r="FU121" i="1"/>
  <c r="GE121" i="1" s="1"/>
  <c r="FR121" i="1"/>
  <c r="GB121" i="1" s="1"/>
  <c r="FX72" i="1"/>
  <c r="GH72" i="1" s="1"/>
  <c r="FS72" i="1"/>
  <c r="GC72" i="1" s="1"/>
  <c r="FQ72" i="1"/>
  <c r="FY72" i="1"/>
  <c r="GI72" i="1" s="1"/>
  <c r="FV72" i="1"/>
  <c r="GF72" i="1" s="1"/>
  <c r="FP72" i="1"/>
  <c r="FU72" i="1"/>
  <c r="GE72" i="1" s="1"/>
  <c r="FW72" i="1"/>
  <c r="GG72" i="1" s="1"/>
  <c r="V72" i="1"/>
  <c r="FR72" i="1"/>
  <c r="GB72" i="1" s="1"/>
  <c r="FT72" i="1"/>
  <c r="GD72" i="1" s="1"/>
  <c r="FA47" i="1"/>
  <c r="EY47" i="1" s="1"/>
  <c r="FD47" i="1"/>
  <c r="FB47" i="1" s="1"/>
  <c r="FI47" i="1"/>
  <c r="FG47" i="1" s="1"/>
  <c r="EO47" i="1"/>
  <c r="EM47" i="1" s="1"/>
  <c r="ER47" i="1"/>
  <c r="EP47" i="1" s="1"/>
  <c r="FL47" i="1"/>
  <c r="FJ47" i="1" s="1"/>
  <c r="FM47" i="1"/>
  <c r="FK47" i="1" s="1"/>
  <c r="EZ47" i="1"/>
  <c r="EX47" i="1" s="1"/>
  <c r="FH47" i="1"/>
  <c r="FF47" i="1" s="1"/>
  <c r="FE47" i="1"/>
  <c r="FC47" i="1" s="1"/>
  <c r="EJ47" i="1"/>
  <c r="EW47" i="1"/>
  <c r="EU47" i="1" s="1"/>
  <c r="EK47" i="1"/>
  <c r="ES47" i="1"/>
  <c r="EQ47" i="1" s="1"/>
  <c r="EV47" i="1"/>
  <c r="ET47" i="1" s="1"/>
  <c r="EN47" i="1"/>
  <c r="EL47" i="1" s="1"/>
  <c r="FV51" i="1"/>
  <c r="GF51" i="1" s="1"/>
  <c r="FY51" i="1"/>
  <c r="GI51" i="1" s="1"/>
  <c r="FP51" i="1"/>
  <c r="FU51" i="1"/>
  <c r="GE51" i="1" s="1"/>
  <c r="V51" i="1"/>
  <c r="FS51" i="1"/>
  <c r="GC51" i="1" s="1"/>
  <c r="FR51" i="1"/>
  <c r="GB51" i="1" s="1"/>
  <c r="FW51" i="1"/>
  <c r="GG51" i="1" s="1"/>
  <c r="FX51" i="1"/>
  <c r="GH51" i="1" s="1"/>
  <c r="FQ51" i="1"/>
  <c r="FT51" i="1"/>
  <c r="GD51" i="1" s="1"/>
  <c r="IJ132" i="1"/>
  <c r="IK132" i="1" s="1"/>
  <c r="U132" i="1"/>
  <c r="FT62" i="1"/>
  <c r="GD62" i="1" s="1"/>
  <c r="FY62" i="1"/>
  <c r="GI62" i="1" s="1"/>
  <c r="FW62" i="1"/>
  <c r="GG62" i="1" s="1"/>
  <c r="FS62" i="1"/>
  <c r="GC62" i="1" s="1"/>
  <c r="V62" i="1"/>
  <c r="FU62" i="1"/>
  <c r="GE62" i="1" s="1"/>
  <c r="FV62" i="1"/>
  <c r="GF62" i="1" s="1"/>
  <c r="FP62" i="1"/>
  <c r="FQ62" i="1"/>
  <c r="FR62" i="1"/>
  <c r="GB62" i="1" s="1"/>
  <c r="FX62" i="1"/>
  <c r="GH62" i="1" s="1"/>
  <c r="FU104" i="1"/>
  <c r="GE104" i="1" s="1"/>
  <c r="FR104" i="1"/>
  <c r="GB104" i="1" s="1"/>
  <c r="FP104" i="1"/>
  <c r="FW104" i="1"/>
  <c r="GG104" i="1" s="1"/>
  <c r="FV104" i="1"/>
  <c r="GF104" i="1" s="1"/>
  <c r="V104" i="1"/>
  <c r="FY104" i="1"/>
  <c r="GI104" i="1" s="1"/>
  <c r="FQ104" i="1"/>
  <c r="FT104" i="1"/>
  <c r="GD104" i="1" s="1"/>
  <c r="FS104" i="1"/>
  <c r="GC104" i="1" s="1"/>
  <c r="FX104" i="1"/>
  <c r="GH104" i="1" s="1"/>
  <c r="X135" i="1"/>
  <c r="Y135" i="1" s="1"/>
  <c r="IQ135" i="1"/>
  <c r="FW122" i="1"/>
  <c r="GG122" i="1" s="1"/>
  <c r="FP122" i="1"/>
  <c r="FY122" i="1"/>
  <c r="GI122" i="1" s="1"/>
  <c r="FQ122" i="1"/>
  <c r="FT122" i="1"/>
  <c r="GD122" i="1" s="1"/>
  <c r="FX122" i="1"/>
  <c r="GH122" i="1" s="1"/>
  <c r="FV122" i="1"/>
  <c r="GF122" i="1" s="1"/>
  <c r="FR122" i="1"/>
  <c r="GB122" i="1" s="1"/>
  <c r="FS122" i="1"/>
  <c r="GC122" i="1" s="1"/>
  <c r="V122" i="1"/>
  <c r="FU122" i="1"/>
  <c r="GE122" i="1" s="1"/>
  <c r="IQ130" i="1"/>
  <c r="X130" i="1"/>
  <c r="Y130" i="1" s="1"/>
  <c r="FX70" i="1"/>
  <c r="GH70" i="1" s="1"/>
  <c r="FW70" i="1"/>
  <c r="GG70" i="1" s="1"/>
  <c r="FQ70" i="1"/>
  <c r="FV70" i="1"/>
  <c r="GF70" i="1" s="1"/>
  <c r="FR70" i="1"/>
  <c r="GB70" i="1" s="1"/>
  <c r="FT70" i="1"/>
  <c r="GD70" i="1" s="1"/>
  <c r="FS70" i="1"/>
  <c r="GC70" i="1" s="1"/>
  <c r="V70" i="1"/>
  <c r="FY70" i="1"/>
  <c r="GI70" i="1" s="1"/>
  <c r="FP70" i="1"/>
  <c r="FU70" i="1"/>
  <c r="GE70" i="1" s="1"/>
  <c r="FU74" i="1"/>
  <c r="GE74" i="1" s="1"/>
  <c r="FQ74" i="1"/>
  <c r="FR74" i="1"/>
  <c r="GB74" i="1" s="1"/>
  <c r="FT74" i="1"/>
  <c r="GD74" i="1" s="1"/>
  <c r="FY74" i="1"/>
  <c r="GI74" i="1" s="1"/>
  <c r="V74" i="1"/>
  <c r="FV74" i="1"/>
  <c r="GF74" i="1" s="1"/>
  <c r="FW74" i="1"/>
  <c r="GG74" i="1" s="1"/>
  <c r="FP74" i="1"/>
  <c r="FX74" i="1"/>
  <c r="GH74" i="1" s="1"/>
  <c r="FS74" i="1"/>
  <c r="GC74" i="1" s="1"/>
  <c r="FU21" i="1"/>
  <c r="GE21" i="1" s="1"/>
  <c r="FQ21" i="1"/>
  <c r="FX21" i="1"/>
  <c r="GH21" i="1" s="1"/>
  <c r="FT21" i="1"/>
  <c r="GD21" i="1" s="1"/>
  <c r="FY21" i="1"/>
  <c r="GI21" i="1" s="1"/>
  <c r="FW21" i="1"/>
  <c r="GG21" i="1" s="1"/>
  <c r="FR21" i="1"/>
  <c r="GB21" i="1" s="1"/>
  <c r="FS21" i="1"/>
  <c r="GC21" i="1" s="1"/>
  <c r="FV21" i="1"/>
  <c r="GF21" i="1" s="1"/>
  <c r="V21" i="1"/>
  <c r="FP21" i="1"/>
  <c r="FY81" i="1"/>
  <c r="GI81" i="1" s="1"/>
  <c r="FT81" i="1"/>
  <c r="GD81" i="1" s="1"/>
  <c r="FX81" i="1"/>
  <c r="GH81" i="1" s="1"/>
  <c r="FP81" i="1"/>
  <c r="FR81" i="1"/>
  <c r="GB81" i="1" s="1"/>
  <c r="FW81" i="1"/>
  <c r="GG81" i="1" s="1"/>
  <c r="FQ81" i="1"/>
  <c r="FU81" i="1"/>
  <c r="GE81" i="1" s="1"/>
  <c r="FS81" i="1"/>
  <c r="GC81" i="1" s="1"/>
  <c r="V81" i="1"/>
  <c r="FV81" i="1"/>
  <c r="GF81" i="1" s="1"/>
  <c r="FH66" i="1"/>
  <c r="FF66" i="1" s="1"/>
  <c r="FA66" i="1"/>
  <c r="EY66" i="1" s="1"/>
  <c r="EK66" i="1"/>
  <c r="ES66" i="1"/>
  <c r="EQ66" i="1" s="1"/>
  <c r="FM66" i="1"/>
  <c r="FK66" i="1" s="1"/>
  <c r="EV66" i="1"/>
  <c r="ET66" i="1" s="1"/>
  <c r="FD66" i="1"/>
  <c r="FB66" i="1" s="1"/>
  <c r="EO66" i="1"/>
  <c r="EM66" i="1" s="1"/>
  <c r="ER66" i="1"/>
  <c r="EP66" i="1" s="1"/>
  <c r="EJ66" i="1"/>
  <c r="EZ66" i="1"/>
  <c r="EX66" i="1" s="1"/>
  <c r="FI66" i="1"/>
  <c r="FG66" i="1" s="1"/>
  <c r="EN66" i="1"/>
  <c r="EL66" i="1" s="1"/>
  <c r="FE66" i="1"/>
  <c r="FC66" i="1" s="1"/>
  <c r="FL66" i="1"/>
  <c r="FJ66" i="1" s="1"/>
  <c r="EW66" i="1"/>
  <c r="EU66" i="1" s="1"/>
  <c r="FY32" i="1"/>
  <c r="GI32" i="1" s="1"/>
  <c r="FQ32" i="1"/>
  <c r="FS32" i="1"/>
  <c r="GC32" i="1" s="1"/>
  <c r="FV32" i="1"/>
  <c r="GF32" i="1" s="1"/>
  <c r="FU32" i="1"/>
  <c r="GE32" i="1" s="1"/>
  <c r="FP32" i="1"/>
  <c r="FW32" i="1"/>
  <c r="GG32" i="1" s="1"/>
  <c r="V32" i="1"/>
  <c r="FT32" i="1"/>
  <c r="GD32" i="1" s="1"/>
  <c r="FX32" i="1"/>
  <c r="GH32" i="1" s="1"/>
  <c r="FR32" i="1"/>
  <c r="GB32" i="1" s="1"/>
  <c r="FR86" i="1"/>
  <c r="GB86" i="1" s="1"/>
  <c r="FT86" i="1"/>
  <c r="GD86" i="1" s="1"/>
  <c r="FW86" i="1"/>
  <c r="GG86" i="1" s="1"/>
  <c r="FY86" i="1"/>
  <c r="GI86" i="1" s="1"/>
  <c r="FX86" i="1"/>
  <c r="GH86" i="1" s="1"/>
  <c r="FV86" i="1"/>
  <c r="GF86" i="1" s="1"/>
  <c r="FQ86" i="1"/>
  <c r="FU86" i="1"/>
  <c r="GE86" i="1" s="1"/>
  <c r="V86" i="1"/>
  <c r="FP86" i="1"/>
  <c r="FS86" i="1"/>
  <c r="GC86" i="1" s="1"/>
  <c r="FT68" i="1"/>
  <c r="GD68" i="1" s="1"/>
  <c r="FW68" i="1"/>
  <c r="GG68" i="1" s="1"/>
  <c r="V68" i="1"/>
  <c r="FQ68" i="1"/>
  <c r="FR68" i="1"/>
  <c r="GB68" i="1" s="1"/>
  <c r="FU68" i="1"/>
  <c r="GE68" i="1" s="1"/>
  <c r="FV68" i="1"/>
  <c r="GF68" i="1" s="1"/>
  <c r="FS68" i="1"/>
  <c r="GC68" i="1" s="1"/>
  <c r="FX68" i="1"/>
  <c r="GH68" i="1" s="1"/>
  <c r="FY68" i="1"/>
  <c r="GI68" i="1" s="1"/>
  <c r="FP68" i="1"/>
  <c r="FT60" i="1"/>
  <c r="GD60" i="1" s="1"/>
  <c r="FQ60" i="1"/>
  <c r="V60" i="1"/>
  <c r="FX60" i="1"/>
  <c r="GH60" i="1" s="1"/>
  <c r="FU60" i="1"/>
  <c r="GE60" i="1" s="1"/>
  <c r="FP60" i="1"/>
  <c r="FS60" i="1"/>
  <c r="GC60" i="1" s="1"/>
  <c r="FV60" i="1"/>
  <c r="GF60" i="1" s="1"/>
  <c r="FY60" i="1"/>
  <c r="GI60" i="1" s="1"/>
  <c r="FW60" i="1"/>
  <c r="GG60" i="1" s="1"/>
  <c r="FR60" i="1"/>
  <c r="GB60" i="1" s="1"/>
  <c r="EG91" i="1"/>
  <c r="EE91" i="1" s="1"/>
  <c r="EF91" i="1"/>
  <c r="ED91" i="1" s="1"/>
  <c r="FM91" i="1"/>
  <c r="FK91" i="1" s="1"/>
  <c r="ER91" i="1"/>
  <c r="EP91" i="1" s="1"/>
  <c r="EK91" i="1"/>
  <c r="FI91" i="1"/>
  <c r="FG91" i="1" s="1"/>
  <c r="FH91" i="1"/>
  <c r="FF91" i="1" s="1"/>
  <c r="FE91" i="1"/>
  <c r="FC91" i="1" s="1"/>
  <c r="EO91" i="1"/>
  <c r="EM91" i="1" s="1"/>
  <c r="ES91" i="1"/>
  <c r="EQ91" i="1" s="1"/>
  <c r="EN91" i="1"/>
  <c r="EL91" i="1" s="1"/>
  <c r="FL91" i="1"/>
  <c r="FJ91" i="1" s="1"/>
  <c r="EV91" i="1"/>
  <c r="ET91" i="1" s="1"/>
  <c r="EZ91" i="1"/>
  <c r="EX91" i="1" s="1"/>
  <c r="FA91" i="1"/>
  <c r="EY91" i="1" s="1"/>
  <c r="EJ91" i="1"/>
  <c r="FD91" i="1"/>
  <c r="FB91" i="1" s="1"/>
  <c r="EW91" i="1"/>
  <c r="EU91" i="1" s="1"/>
  <c r="U98" i="1"/>
  <c r="IJ98" i="1"/>
  <c r="IK98" i="1" s="1"/>
  <c r="FS45" i="1"/>
  <c r="GC45" i="1" s="1"/>
  <c r="FT45" i="1"/>
  <c r="GD45" i="1" s="1"/>
  <c r="FX45" i="1"/>
  <c r="GH45" i="1" s="1"/>
  <c r="FU45" i="1"/>
  <c r="GE45" i="1" s="1"/>
  <c r="FW45" i="1"/>
  <c r="GG45" i="1" s="1"/>
  <c r="V45" i="1"/>
  <c r="FQ45" i="1"/>
  <c r="FY45" i="1"/>
  <c r="GI45" i="1" s="1"/>
  <c r="FR45" i="1"/>
  <c r="GB45" i="1" s="1"/>
  <c r="FV45" i="1"/>
  <c r="GF45" i="1" s="1"/>
  <c r="FP45" i="1"/>
  <c r="ES44" i="1"/>
  <c r="EQ44" i="1" s="1"/>
  <c r="FE44" i="1"/>
  <c r="FC44" i="1" s="1"/>
  <c r="FL44" i="1"/>
  <c r="FJ44" i="1" s="1"/>
  <c r="EV44" i="1"/>
  <c r="ET44" i="1" s="1"/>
  <c r="EJ44" i="1"/>
  <c r="FD44" i="1"/>
  <c r="FB44" i="1" s="1"/>
  <c r="EZ44" i="1"/>
  <c r="EX44" i="1" s="1"/>
  <c r="EW44" i="1"/>
  <c r="EU44" i="1" s="1"/>
  <c r="FM44" i="1"/>
  <c r="FK44" i="1" s="1"/>
  <c r="FA44" i="1"/>
  <c r="EY44" i="1" s="1"/>
  <c r="EO44" i="1"/>
  <c r="EM44" i="1" s="1"/>
  <c r="EN44" i="1"/>
  <c r="EL44" i="1" s="1"/>
  <c r="EK44" i="1"/>
  <c r="FH44" i="1"/>
  <c r="FF44" i="1" s="1"/>
  <c r="ER44" i="1"/>
  <c r="EP44" i="1" s="1"/>
  <c r="FI44" i="1"/>
  <c r="FG44" i="1" s="1"/>
  <c r="FH61" i="1"/>
  <c r="FF61" i="1" s="1"/>
  <c r="EW61" i="1"/>
  <c r="EU61" i="1" s="1"/>
  <c r="FD61" i="1"/>
  <c r="FB61" i="1" s="1"/>
  <c r="FE61" i="1"/>
  <c r="FC61" i="1" s="1"/>
  <c r="FL61" i="1"/>
  <c r="FJ61" i="1" s="1"/>
  <c r="ES61" i="1"/>
  <c r="EQ61" i="1" s="1"/>
  <c r="EO61" i="1"/>
  <c r="EM61" i="1" s="1"/>
  <c r="EJ61" i="1"/>
  <c r="FA61" i="1"/>
  <c r="EY61" i="1" s="1"/>
  <c r="ER61" i="1"/>
  <c r="EP61" i="1" s="1"/>
  <c r="EZ61" i="1"/>
  <c r="EX61" i="1" s="1"/>
  <c r="EK61" i="1"/>
  <c r="FI61" i="1"/>
  <c r="FG61" i="1" s="1"/>
  <c r="FM61" i="1"/>
  <c r="FK61" i="1" s="1"/>
  <c r="EN61" i="1"/>
  <c r="EL61" i="1" s="1"/>
  <c r="EV61" i="1"/>
  <c r="ET61" i="1" s="1"/>
  <c r="FY82" i="1"/>
  <c r="GI82" i="1" s="1"/>
  <c r="FP82" i="1"/>
  <c r="FQ82" i="1"/>
  <c r="FX82" i="1"/>
  <c r="GH82" i="1" s="1"/>
  <c r="FT82" i="1"/>
  <c r="GD82" i="1" s="1"/>
  <c r="FU82" i="1"/>
  <c r="GE82" i="1" s="1"/>
  <c r="FV82" i="1"/>
  <c r="GF82" i="1" s="1"/>
  <c r="FS82" i="1"/>
  <c r="GC82" i="1" s="1"/>
  <c r="FR82" i="1"/>
  <c r="GB82" i="1" s="1"/>
  <c r="FW82" i="1"/>
  <c r="GG82" i="1" s="1"/>
  <c r="V82" i="1"/>
  <c r="U147" i="1"/>
  <c r="IJ147" i="1"/>
  <c r="IK147" i="1" s="1"/>
  <c r="FW66" i="1"/>
  <c r="GG66" i="1" s="1"/>
  <c r="V66" i="1"/>
  <c r="FV66" i="1"/>
  <c r="GF66" i="1" s="1"/>
  <c r="FQ66" i="1"/>
  <c r="FU66" i="1"/>
  <c r="GE66" i="1" s="1"/>
  <c r="FP66" i="1"/>
  <c r="FR66" i="1"/>
  <c r="GB66" i="1" s="1"/>
  <c r="FX66" i="1"/>
  <c r="GH66" i="1" s="1"/>
  <c r="FY66" i="1"/>
  <c r="GI66" i="1" s="1"/>
  <c r="FT66" i="1"/>
  <c r="GD66" i="1" s="1"/>
  <c r="FS66" i="1"/>
  <c r="GC66" i="1" s="1"/>
  <c r="FU109" i="1"/>
  <c r="GE109" i="1" s="1"/>
  <c r="FY109" i="1"/>
  <c r="GI109" i="1" s="1"/>
  <c r="FV109" i="1"/>
  <c r="GF109" i="1" s="1"/>
  <c r="FQ109" i="1"/>
  <c r="FX109" i="1"/>
  <c r="GH109" i="1" s="1"/>
  <c r="FT109" i="1"/>
  <c r="GD109" i="1" s="1"/>
  <c r="V109" i="1"/>
  <c r="FS109" i="1"/>
  <c r="GC109" i="1" s="1"/>
  <c r="FW109" i="1"/>
  <c r="GG109" i="1" s="1"/>
  <c r="FP109" i="1"/>
  <c r="FR109" i="1"/>
  <c r="GB109" i="1" s="1"/>
  <c r="FP24" i="1"/>
  <c r="FT24" i="1"/>
  <c r="GD24" i="1" s="1"/>
  <c r="FR24" i="1"/>
  <c r="GB24" i="1" s="1"/>
  <c r="FQ24" i="1"/>
  <c r="FW24" i="1"/>
  <c r="GG24" i="1" s="1"/>
  <c r="FV24" i="1"/>
  <c r="GF24" i="1" s="1"/>
  <c r="FU24" i="1"/>
  <c r="GE24" i="1" s="1"/>
  <c r="FY24" i="1"/>
  <c r="GI24" i="1" s="1"/>
  <c r="V24" i="1"/>
  <c r="FX24" i="1"/>
  <c r="GH24" i="1" s="1"/>
  <c r="FS24" i="1"/>
  <c r="GC24" i="1" s="1"/>
  <c r="EJ32" i="1"/>
  <c r="ER32" i="1"/>
  <c r="EP32" i="1" s="1"/>
  <c r="FH32" i="1"/>
  <c r="FF32" i="1" s="1"/>
  <c r="EV32" i="1"/>
  <c r="ET32" i="1" s="1"/>
  <c r="FM32" i="1"/>
  <c r="FK32" i="1" s="1"/>
  <c r="EN32" i="1"/>
  <c r="EL32" i="1" s="1"/>
  <c r="ES32" i="1"/>
  <c r="EQ32" i="1" s="1"/>
  <c r="EZ32" i="1"/>
  <c r="EX32" i="1" s="1"/>
  <c r="EK32" i="1"/>
  <c r="FI32" i="1"/>
  <c r="FG32" i="1" s="1"/>
  <c r="EW32" i="1"/>
  <c r="EU32" i="1" s="1"/>
  <c r="FE32" i="1"/>
  <c r="FC32" i="1" s="1"/>
  <c r="FL32" i="1"/>
  <c r="FJ32" i="1" s="1"/>
  <c r="FD32" i="1"/>
  <c r="FB32" i="1" s="1"/>
  <c r="FA32" i="1"/>
  <c r="EY32" i="1" s="1"/>
  <c r="EO32" i="1"/>
  <c r="EM32" i="1" s="1"/>
  <c r="FY69" i="1"/>
  <c r="GI69" i="1" s="1"/>
  <c r="FR69" i="1"/>
  <c r="GB69" i="1" s="1"/>
  <c r="FS69" i="1"/>
  <c r="GC69" i="1" s="1"/>
  <c r="FP69" i="1"/>
  <c r="FU69" i="1"/>
  <c r="GE69" i="1" s="1"/>
  <c r="FT69" i="1"/>
  <c r="GD69" i="1" s="1"/>
  <c r="FV69" i="1"/>
  <c r="GF69" i="1" s="1"/>
  <c r="V69" i="1"/>
  <c r="FW69" i="1"/>
  <c r="GG69" i="1" s="1"/>
  <c r="FX69" i="1"/>
  <c r="GH69" i="1" s="1"/>
  <c r="FQ69" i="1"/>
  <c r="ER101" i="1"/>
  <c r="EP101" i="1" s="1"/>
  <c r="EN101" i="1"/>
  <c r="EL101" i="1" s="1"/>
  <c r="EO101" i="1"/>
  <c r="EM101" i="1" s="1"/>
  <c r="FA101" i="1"/>
  <c r="EY101" i="1" s="1"/>
  <c r="EK101" i="1"/>
  <c r="EW101" i="1"/>
  <c r="EU101" i="1" s="1"/>
  <c r="FD101" i="1"/>
  <c r="FB101" i="1" s="1"/>
  <c r="EZ101" i="1"/>
  <c r="EX101" i="1" s="1"/>
  <c r="FE101" i="1"/>
  <c r="FC101" i="1" s="1"/>
  <c r="EV101" i="1"/>
  <c r="ET101" i="1" s="1"/>
  <c r="FH101" i="1"/>
  <c r="FF101" i="1" s="1"/>
  <c r="FI101" i="1"/>
  <c r="FG101" i="1" s="1"/>
  <c r="EJ101" i="1"/>
  <c r="FL101" i="1"/>
  <c r="FJ101" i="1" s="1"/>
  <c r="ES101" i="1"/>
  <c r="EQ101" i="1" s="1"/>
  <c r="FM101" i="1"/>
  <c r="FK101" i="1" s="1"/>
  <c r="EK107" i="1"/>
  <c r="ES107" i="1"/>
  <c r="EQ107" i="1" s="1"/>
  <c r="EN107" i="1"/>
  <c r="EL107" i="1" s="1"/>
  <c r="EW107" i="1"/>
  <c r="EU107" i="1" s="1"/>
  <c r="FA107" i="1"/>
  <c r="EY107" i="1" s="1"/>
  <c r="EJ107" i="1"/>
  <c r="FI107" i="1"/>
  <c r="FG107" i="1" s="1"/>
  <c r="FE107" i="1"/>
  <c r="FC107" i="1" s="1"/>
  <c r="EV107" i="1"/>
  <c r="ET107" i="1" s="1"/>
  <c r="FL107" i="1"/>
  <c r="FJ107" i="1" s="1"/>
  <c r="FD107" i="1"/>
  <c r="FB107" i="1" s="1"/>
  <c r="ER107" i="1"/>
  <c r="EP107" i="1" s="1"/>
  <c r="EO107" i="1"/>
  <c r="EM107" i="1" s="1"/>
  <c r="FH107" i="1"/>
  <c r="FF107" i="1" s="1"/>
  <c r="EZ107" i="1"/>
  <c r="EX107" i="1" s="1"/>
  <c r="FM107" i="1"/>
  <c r="FK107" i="1" s="1"/>
  <c r="ER88" i="1"/>
  <c r="EP88" i="1" s="1"/>
  <c r="EN88" i="1"/>
  <c r="EL88" i="1" s="1"/>
  <c r="FE88" i="1"/>
  <c r="FC88" i="1" s="1"/>
  <c r="EW88" i="1"/>
  <c r="EU88" i="1" s="1"/>
  <c r="FI88" i="1"/>
  <c r="FG88" i="1" s="1"/>
  <c r="FA88" i="1"/>
  <c r="EY88" i="1" s="1"/>
  <c r="FM88" i="1"/>
  <c r="FK88" i="1" s="1"/>
  <c r="EV88" i="1"/>
  <c r="ET88" i="1" s="1"/>
  <c r="FH88" i="1"/>
  <c r="FF88" i="1" s="1"/>
  <c r="EZ88" i="1"/>
  <c r="EX88" i="1" s="1"/>
  <c r="FL88" i="1"/>
  <c r="FJ88" i="1" s="1"/>
  <c r="ES88" i="1"/>
  <c r="EQ88" i="1" s="1"/>
  <c r="EK88" i="1"/>
  <c r="FD88" i="1"/>
  <c r="FB88" i="1" s="1"/>
  <c r="EJ88" i="1"/>
  <c r="EO88" i="1"/>
  <c r="EM88" i="1" s="1"/>
  <c r="EV36" i="1"/>
  <c r="ET36" i="1" s="1"/>
  <c r="FD36" i="1"/>
  <c r="FB36" i="1" s="1"/>
  <c r="FM36" i="1"/>
  <c r="FK36" i="1" s="1"/>
  <c r="EJ36" i="1"/>
  <c r="FI36" i="1"/>
  <c r="FG36" i="1" s="1"/>
  <c r="FH36" i="1"/>
  <c r="FF36" i="1" s="1"/>
  <c r="EZ36" i="1"/>
  <c r="EX36" i="1" s="1"/>
  <c r="EN36" i="1"/>
  <c r="EL36" i="1" s="1"/>
  <c r="ER36" i="1"/>
  <c r="EP36" i="1" s="1"/>
  <c r="FA36" i="1"/>
  <c r="EY36" i="1" s="1"/>
  <c r="ES36" i="1"/>
  <c r="EQ36" i="1" s="1"/>
  <c r="EK36" i="1"/>
  <c r="FL36" i="1"/>
  <c r="FJ36" i="1" s="1"/>
  <c r="FE36" i="1"/>
  <c r="FC36" i="1" s="1"/>
  <c r="EO36" i="1"/>
  <c r="EM36" i="1" s="1"/>
  <c r="EW36" i="1"/>
  <c r="EU36" i="1" s="1"/>
  <c r="FY102" i="1"/>
  <c r="GI102" i="1" s="1"/>
  <c r="FQ102" i="1"/>
  <c r="FU102" i="1"/>
  <c r="GE102" i="1" s="1"/>
  <c r="FV102" i="1"/>
  <c r="GF102" i="1" s="1"/>
  <c r="FX102" i="1"/>
  <c r="GH102" i="1" s="1"/>
  <c r="FS102" i="1"/>
  <c r="GC102" i="1" s="1"/>
  <c r="FW102" i="1"/>
  <c r="GG102" i="1" s="1"/>
  <c r="FT102" i="1"/>
  <c r="GD102" i="1" s="1"/>
  <c r="FR102" i="1"/>
  <c r="GB102" i="1" s="1"/>
  <c r="V102" i="1"/>
  <c r="FP102" i="1"/>
  <c r="V80" i="1"/>
  <c r="FS80" i="1"/>
  <c r="GC80" i="1" s="1"/>
  <c r="FV80" i="1"/>
  <c r="GF80" i="1" s="1"/>
  <c r="FT80" i="1"/>
  <c r="GD80" i="1" s="1"/>
  <c r="FX80" i="1"/>
  <c r="GH80" i="1" s="1"/>
  <c r="FY80" i="1"/>
  <c r="GI80" i="1" s="1"/>
  <c r="FR80" i="1"/>
  <c r="GB80" i="1" s="1"/>
  <c r="FP80" i="1"/>
  <c r="FU80" i="1"/>
  <c r="GE80" i="1" s="1"/>
  <c r="FW80" i="1"/>
  <c r="GG80" i="1" s="1"/>
  <c r="FQ80" i="1"/>
  <c r="FS20" i="1"/>
  <c r="GC20" i="1" s="1"/>
  <c r="FW20" i="1"/>
  <c r="GG20" i="1" s="1"/>
  <c r="FX20" i="1"/>
  <c r="GH20" i="1" s="1"/>
  <c r="FY20" i="1"/>
  <c r="GI20" i="1" s="1"/>
  <c r="FV20" i="1"/>
  <c r="GF20" i="1" s="1"/>
  <c r="FR20" i="1"/>
  <c r="GB20" i="1" s="1"/>
  <c r="V20" i="1"/>
  <c r="FP20" i="1"/>
  <c r="FQ20" i="1"/>
  <c r="FU20" i="1"/>
  <c r="GE20" i="1" s="1"/>
  <c r="FT20" i="1"/>
  <c r="GD20" i="1" s="1"/>
  <c r="FH82" i="1"/>
  <c r="FF82" i="1" s="1"/>
  <c r="FM82" i="1"/>
  <c r="FK82" i="1" s="1"/>
  <c r="FI82" i="1"/>
  <c r="FG82" i="1" s="1"/>
  <c r="FL82" i="1"/>
  <c r="FJ82" i="1" s="1"/>
  <c r="FE82" i="1"/>
  <c r="FC82" i="1" s="1"/>
  <c r="EN82" i="1"/>
  <c r="EL82" i="1" s="1"/>
  <c r="ES82" i="1"/>
  <c r="EQ82" i="1" s="1"/>
  <c r="EZ82" i="1"/>
  <c r="EX82" i="1" s="1"/>
  <c r="EV82" i="1"/>
  <c r="ET82" i="1" s="1"/>
  <c r="EK82" i="1"/>
  <c r="ER82" i="1"/>
  <c r="EP82" i="1" s="1"/>
  <c r="FA82" i="1"/>
  <c r="EY82" i="1" s="1"/>
  <c r="EW82" i="1"/>
  <c r="EU82" i="1" s="1"/>
  <c r="EJ82" i="1"/>
  <c r="EO82" i="1"/>
  <c r="EM82" i="1" s="1"/>
  <c r="FD82" i="1"/>
  <c r="FB82" i="1" s="1"/>
  <c r="IQ133" i="1"/>
  <c r="X133" i="1"/>
  <c r="Y133" i="1" s="1"/>
  <c r="FQ79" i="1"/>
  <c r="FW79" i="1"/>
  <c r="GG79" i="1" s="1"/>
  <c r="FV79" i="1"/>
  <c r="GF79" i="1" s="1"/>
  <c r="FX79" i="1"/>
  <c r="GH79" i="1" s="1"/>
  <c r="FP79" i="1"/>
  <c r="FR79" i="1"/>
  <c r="GB79" i="1" s="1"/>
  <c r="FT79" i="1"/>
  <c r="GD79" i="1" s="1"/>
  <c r="FY79" i="1"/>
  <c r="GI79" i="1" s="1"/>
  <c r="FU79" i="1"/>
  <c r="GE79" i="1" s="1"/>
  <c r="FS79" i="1"/>
  <c r="GC79" i="1" s="1"/>
  <c r="V79" i="1"/>
  <c r="U142" i="1"/>
  <c r="IJ142" i="1"/>
  <c r="IK142" i="1" s="1"/>
  <c r="EG112" i="1"/>
  <c r="EE112" i="1" s="1"/>
  <c r="ER112" i="1"/>
  <c r="EP112" i="1" s="1"/>
  <c r="EF112" i="1"/>
  <c r="ED112" i="1" s="1"/>
  <c r="FL112" i="1"/>
  <c r="FJ112" i="1" s="1"/>
  <c r="ES112" i="1"/>
  <c r="EQ112" i="1" s="1"/>
  <c r="FA112" i="1"/>
  <c r="EY112" i="1" s="1"/>
  <c r="FM112" i="1"/>
  <c r="FK112" i="1" s="1"/>
  <c r="EJ112" i="1"/>
  <c r="EN112" i="1"/>
  <c r="EL112" i="1" s="1"/>
  <c r="EO112" i="1"/>
  <c r="EM112" i="1" s="1"/>
  <c r="EW112" i="1"/>
  <c r="EU112" i="1" s="1"/>
  <c r="FE112" i="1"/>
  <c r="FC112" i="1" s="1"/>
  <c r="EV112" i="1"/>
  <c r="ET112" i="1" s="1"/>
  <c r="FH112" i="1"/>
  <c r="FF112" i="1" s="1"/>
  <c r="FD112" i="1"/>
  <c r="FB112" i="1" s="1"/>
  <c r="FI112" i="1"/>
  <c r="FG112" i="1" s="1"/>
  <c r="EZ112" i="1"/>
  <c r="EX112" i="1" s="1"/>
  <c r="EK112" i="1"/>
  <c r="FA95" i="1"/>
  <c r="EY95" i="1" s="1"/>
  <c r="EW95" i="1"/>
  <c r="EU95" i="1" s="1"/>
  <c r="FI95" i="1"/>
  <c r="FG95" i="1" s="1"/>
  <c r="FE95" i="1"/>
  <c r="FC95" i="1" s="1"/>
  <c r="FL95" i="1"/>
  <c r="FJ95" i="1" s="1"/>
  <c r="FM95" i="1"/>
  <c r="FK95" i="1" s="1"/>
  <c r="ER95" i="1"/>
  <c r="EP95" i="1" s="1"/>
  <c r="EJ95" i="1"/>
  <c r="EV95" i="1"/>
  <c r="ET95" i="1" s="1"/>
  <c r="EO95" i="1"/>
  <c r="EM95" i="1" s="1"/>
  <c r="FH95" i="1"/>
  <c r="FF95" i="1" s="1"/>
  <c r="EN95" i="1"/>
  <c r="EL95" i="1" s="1"/>
  <c r="EK95" i="1"/>
  <c r="ES95" i="1"/>
  <c r="EQ95" i="1" s="1"/>
  <c r="FD95" i="1"/>
  <c r="FB95" i="1" s="1"/>
  <c r="EZ95" i="1"/>
  <c r="EX95" i="1" s="1"/>
  <c r="U136" i="1"/>
  <c r="IJ136" i="1"/>
  <c r="IK136" i="1" s="1"/>
  <c r="EZ96" i="1"/>
  <c r="EX96" i="1" s="1"/>
  <c r="EF96" i="1"/>
  <c r="ED96" i="1" s="1"/>
  <c r="EJ96" i="1"/>
  <c r="EK96" i="1"/>
  <c r="EV96" i="1"/>
  <c r="ET96" i="1" s="1"/>
  <c r="FA96" i="1"/>
  <c r="EY96" i="1" s="1"/>
  <c r="FE96" i="1"/>
  <c r="FC96" i="1" s="1"/>
  <c r="ES96" i="1"/>
  <c r="EQ96" i="1" s="1"/>
  <c r="FH96" i="1"/>
  <c r="FF96" i="1" s="1"/>
  <c r="FI96" i="1"/>
  <c r="FG96" i="1" s="1"/>
  <c r="EG96" i="1"/>
  <c r="EE96" i="1" s="1"/>
  <c r="FD96" i="1"/>
  <c r="FB96" i="1" s="1"/>
  <c r="FM96" i="1"/>
  <c r="FK96" i="1" s="1"/>
  <c r="ER96" i="1"/>
  <c r="EP96" i="1" s="1"/>
  <c r="EN96" i="1"/>
  <c r="EL96" i="1" s="1"/>
  <c r="FL96" i="1"/>
  <c r="FJ96" i="1" s="1"/>
  <c r="EW96" i="1"/>
  <c r="EU96" i="1" s="1"/>
  <c r="EO96" i="1"/>
  <c r="EM96" i="1" s="1"/>
  <c r="EW121" i="1"/>
  <c r="EU121" i="1" s="1"/>
  <c r="EO121" i="1"/>
  <c r="EM121" i="1" s="1"/>
  <c r="FM121" i="1"/>
  <c r="FK121" i="1" s="1"/>
  <c r="FE121" i="1"/>
  <c r="FC121" i="1" s="1"/>
  <c r="ES121" i="1"/>
  <c r="EQ121" i="1" s="1"/>
  <c r="EN121" i="1"/>
  <c r="EL121" i="1" s="1"/>
  <c r="FL121" i="1"/>
  <c r="FJ121" i="1" s="1"/>
  <c r="FD121" i="1"/>
  <c r="FB121" i="1" s="1"/>
  <c r="EV121" i="1"/>
  <c r="ET121" i="1" s="1"/>
  <c r="EK121" i="1"/>
  <c r="FA121" i="1"/>
  <c r="EY121" i="1" s="1"/>
  <c r="FH121" i="1"/>
  <c r="FF121" i="1" s="1"/>
  <c r="EJ121" i="1"/>
  <c r="FI121" i="1"/>
  <c r="FG121" i="1" s="1"/>
  <c r="ER121" i="1"/>
  <c r="EP121" i="1" s="1"/>
  <c r="EZ121" i="1"/>
  <c r="EX121" i="1" s="1"/>
  <c r="EZ29" i="1"/>
  <c r="EX29" i="1" s="1"/>
  <c r="EO29" i="1"/>
  <c r="ES29" i="1"/>
  <c r="EQ29" i="1" s="1"/>
  <c r="EN29" i="1"/>
  <c r="FM29" i="1"/>
  <c r="FK29" i="1" s="1"/>
  <c r="FA29" i="1"/>
  <c r="EY29" i="1" s="1"/>
  <c r="FD29" i="1"/>
  <c r="FB29" i="1" s="1"/>
  <c r="EW29" i="1"/>
  <c r="EU29" i="1" s="1"/>
  <c r="FI29" i="1"/>
  <c r="FG29" i="1" s="1"/>
  <c r="FH29" i="1"/>
  <c r="FF29" i="1" s="1"/>
  <c r="ER29" i="1"/>
  <c r="EP29" i="1" s="1"/>
  <c r="EV29" i="1"/>
  <c r="ET29" i="1" s="1"/>
  <c r="FE29" i="1"/>
  <c r="FC29" i="1" s="1"/>
  <c r="FL29" i="1"/>
  <c r="FJ29" i="1" s="1"/>
  <c r="FU120" i="1"/>
  <c r="GE120" i="1" s="1"/>
  <c r="FS120" i="1"/>
  <c r="GC120" i="1" s="1"/>
  <c r="FQ120" i="1"/>
  <c r="FX120" i="1"/>
  <c r="GH120" i="1" s="1"/>
  <c r="FW120" i="1"/>
  <c r="GG120" i="1" s="1"/>
  <c r="V120" i="1"/>
  <c r="FT120" i="1"/>
  <c r="GD120" i="1" s="1"/>
  <c r="FP120" i="1"/>
  <c r="FV120" i="1"/>
  <c r="GF120" i="1" s="1"/>
  <c r="FR120" i="1"/>
  <c r="GB120" i="1" s="1"/>
  <c r="FY120" i="1"/>
  <c r="GI120" i="1" s="1"/>
  <c r="FH23" i="1"/>
  <c r="FF23" i="1" s="1"/>
  <c r="ER23" i="1"/>
  <c r="EP23" i="1" s="1"/>
  <c r="EZ23" i="1"/>
  <c r="EX23" i="1" s="1"/>
  <c r="EO23" i="1"/>
  <c r="EM23" i="1" s="1"/>
  <c r="FL23" i="1"/>
  <c r="FJ23" i="1" s="1"/>
  <c r="FD23" i="1"/>
  <c r="FB23" i="1" s="1"/>
  <c r="EJ23" i="1"/>
  <c r="EW23" i="1"/>
  <c r="EU23" i="1" s="1"/>
  <c r="FA23" i="1"/>
  <c r="EY23" i="1" s="1"/>
  <c r="EV23" i="1"/>
  <c r="ET23" i="1" s="1"/>
  <c r="FM23" i="1"/>
  <c r="FK23" i="1" s="1"/>
  <c r="EN23" i="1"/>
  <c r="EL23" i="1" s="1"/>
  <c r="FE23" i="1"/>
  <c r="FC23" i="1" s="1"/>
  <c r="EK23" i="1"/>
  <c r="ES23" i="1"/>
  <c r="EQ23" i="1" s="1"/>
  <c r="FI23" i="1"/>
  <c r="FG23" i="1" s="1"/>
  <c r="ES28" i="1"/>
  <c r="EQ28" i="1" s="1"/>
  <c r="EO28" i="1"/>
  <c r="FL28" i="1"/>
  <c r="FJ28" i="1" s="1"/>
  <c r="FA28" i="1"/>
  <c r="EY28" i="1" s="1"/>
  <c r="ER28" i="1"/>
  <c r="EP28" i="1" s="1"/>
  <c r="FH28" i="1"/>
  <c r="FF28" i="1" s="1"/>
  <c r="EN28" i="1"/>
  <c r="FI28" i="1"/>
  <c r="FG28" i="1" s="1"/>
  <c r="FD28" i="1"/>
  <c r="FB28" i="1" s="1"/>
  <c r="EW28" i="1"/>
  <c r="EU28" i="1" s="1"/>
  <c r="EZ28" i="1"/>
  <c r="EX28" i="1" s="1"/>
  <c r="FM28" i="1"/>
  <c r="FK28" i="1" s="1"/>
  <c r="EV28" i="1"/>
  <c r="ET28" i="1" s="1"/>
  <c r="FE28" i="1"/>
  <c r="FC28" i="1" s="1"/>
  <c r="FT119" i="1"/>
  <c r="GD119" i="1" s="1"/>
  <c r="FQ119" i="1"/>
  <c r="V119" i="1"/>
  <c r="FP119" i="1"/>
  <c r="FS119" i="1"/>
  <c r="GC119" i="1" s="1"/>
  <c r="FY119" i="1"/>
  <c r="GI119" i="1" s="1"/>
  <c r="FW119" i="1"/>
  <c r="GG119" i="1" s="1"/>
  <c r="FV119" i="1"/>
  <c r="GF119" i="1" s="1"/>
  <c r="FX119" i="1"/>
  <c r="GH119" i="1" s="1"/>
  <c r="FU119" i="1"/>
  <c r="GE119" i="1" s="1"/>
  <c r="FR119" i="1"/>
  <c r="GB119" i="1" s="1"/>
  <c r="IQ146" i="1"/>
  <c r="X146" i="1"/>
  <c r="Y146" i="1" s="1"/>
  <c r="FY49" i="1"/>
  <c r="GI49" i="1" s="1"/>
  <c r="FS49" i="1"/>
  <c r="GC49" i="1" s="1"/>
  <c r="FV49" i="1"/>
  <c r="GF49" i="1" s="1"/>
  <c r="FR49" i="1"/>
  <c r="GB49" i="1" s="1"/>
  <c r="FW49" i="1"/>
  <c r="GG49" i="1" s="1"/>
  <c r="FT49" i="1"/>
  <c r="GD49" i="1" s="1"/>
  <c r="V49" i="1"/>
  <c r="FX49" i="1"/>
  <c r="GH49" i="1" s="1"/>
  <c r="FU49" i="1"/>
  <c r="GE49" i="1" s="1"/>
  <c r="FQ49" i="1"/>
  <c r="FP49" i="1"/>
  <c r="EO140" i="1"/>
  <c r="EM140" i="1" s="1"/>
  <c r="EG140" i="1"/>
  <c r="FE140" i="1"/>
  <c r="FC140" i="1" s="1"/>
  <c r="EW140" i="1"/>
  <c r="EU140" i="1" s="1"/>
  <c r="EK140" i="1"/>
  <c r="EI140" i="1" s="1"/>
  <c r="ES140" i="1"/>
  <c r="EQ140" i="1" s="1"/>
  <c r="EF140" i="1"/>
  <c r="EJ140" i="1"/>
  <c r="EH140" i="1" s="1"/>
  <c r="FI140" i="1"/>
  <c r="FG140" i="1" s="1"/>
  <c r="FL140" i="1"/>
  <c r="FJ140" i="1" s="1"/>
  <c r="FM140" i="1"/>
  <c r="FK140" i="1" s="1"/>
  <c r="EN140" i="1"/>
  <c r="EL140" i="1" s="1"/>
  <c r="EV140" i="1"/>
  <c r="ET140" i="1" s="1"/>
  <c r="FH140" i="1"/>
  <c r="FF140" i="1" s="1"/>
  <c r="EZ140" i="1"/>
  <c r="EX140" i="1" s="1"/>
  <c r="FD140" i="1"/>
  <c r="FB140" i="1" s="1"/>
  <c r="FA140" i="1"/>
  <c r="EY140" i="1" s="1"/>
  <c r="ER140" i="1"/>
  <c r="EP140" i="1" s="1"/>
  <c r="FT52" i="1"/>
  <c r="GD52" i="1" s="1"/>
  <c r="FX52" i="1"/>
  <c r="GH52" i="1" s="1"/>
  <c r="FV52" i="1"/>
  <c r="GF52" i="1" s="1"/>
  <c r="FQ52" i="1"/>
  <c r="V52" i="1"/>
  <c r="FW52" i="1"/>
  <c r="GG52" i="1" s="1"/>
  <c r="FS52" i="1"/>
  <c r="GC52" i="1" s="1"/>
  <c r="FY52" i="1"/>
  <c r="GI52" i="1" s="1"/>
  <c r="FR52" i="1"/>
  <c r="GB52" i="1" s="1"/>
  <c r="FU52" i="1"/>
  <c r="GE52" i="1" s="1"/>
  <c r="FP52" i="1"/>
  <c r="ES34" i="1"/>
  <c r="EQ34" i="1" s="1"/>
  <c r="EZ34" i="1"/>
  <c r="EX34" i="1" s="1"/>
  <c r="EV34" i="1"/>
  <c r="ET34" i="1" s="1"/>
  <c r="FE34" i="1"/>
  <c r="FC34" i="1" s="1"/>
  <c r="EO34" i="1"/>
  <c r="EM34" i="1" s="1"/>
  <c r="EK34" i="1"/>
  <c r="EN34" i="1"/>
  <c r="EL34" i="1" s="1"/>
  <c r="EW34" i="1"/>
  <c r="EU34" i="1" s="1"/>
  <c r="FI34" i="1"/>
  <c r="FG34" i="1" s="1"/>
  <c r="FD34" i="1"/>
  <c r="FB34" i="1" s="1"/>
  <c r="ER34" i="1"/>
  <c r="EP34" i="1" s="1"/>
  <c r="FA34" i="1"/>
  <c r="EY34" i="1" s="1"/>
  <c r="FM34" i="1"/>
  <c r="FK34" i="1" s="1"/>
  <c r="EJ34" i="1"/>
  <c r="FL34" i="1"/>
  <c r="FJ34" i="1" s="1"/>
  <c r="FH34" i="1"/>
  <c r="FF34" i="1" s="1"/>
  <c r="FX38" i="1"/>
  <c r="GH38" i="1" s="1"/>
  <c r="FW38" i="1"/>
  <c r="GG38" i="1" s="1"/>
  <c r="FR38" i="1"/>
  <c r="GB38" i="1" s="1"/>
  <c r="FT38" i="1"/>
  <c r="GD38" i="1" s="1"/>
  <c r="FU38" i="1"/>
  <c r="GE38" i="1" s="1"/>
  <c r="FS38" i="1"/>
  <c r="GC38" i="1" s="1"/>
  <c r="FP38" i="1"/>
  <c r="V38" i="1"/>
  <c r="FV38" i="1"/>
  <c r="GF38" i="1" s="1"/>
  <c r="FY38" i="1"/>
  <c r="GI38" i="1" s="1"/>
  <c r="FQ38" i="1"/>
  <c r="FR43" i="1"/>
  <c r="GB43" i="1" s="1"/>
  <c r="FU43" i="1"/>
  <c r="GE43" i="1" s="1"/>
  <c r="FW43" i="1"/>
  <c r="GG43" i="1" s="1"/>
  <c r="V43" i="1"/>
  <c r="FX43" i="1"/>
  <c r="GH43" i="1" s="1"/>
  <c r="FY43" i="1"/>
  <c r="GI43" i="1" s="1"/>
  <c r="FQ43" i="1"/>
  <c r="FS43" i="1"/>
  <c r="GC43" i="1" s="1"/>
  <c r="FP43" i="1"/>
  <c r="FT43" i="1"/>
  <c r="GD43" i="1" s="1"/>
  <c r="FV43" i="1"/>
  <c r="GF43" i="1" s="1"/>
  <c r="FL31" i="1"/>
  <c r="FJ31" i="1" s="1"/>
  <c r="FM31" i="1"/>
  <c r="FK31" i="1" s="1"/>
  <c r="EZ31" i="1"/>
  <c r="EX31" i="1" s="1"/>
  <c r="EN31" i="1"/>
  <c r="EW31" i="1"/>
  <c r="EU31" i="1" s="1"/>
  <c r="EV31" i="1"/>
  <c r="ET31" i="1" s="1"/>
  <c r="ER31" i="1"/>
  <c r="EP31" i="1" s="1"/>
  <c r="FA31" i="1"/>
  <c r="EY31" i="1" s="1"/>
  <c r="FD31" i="1"/>
  <c r="FB31" i="1" s="1"/>
  <c r="FI31" i="1"/>
  <c r="FG31" i="1" s="1"/>
  <c r="EJ31" i="1"/>
  <c r="EH31" i="1" s="1"/>
  <c r="EK31" i="1"/>
  <c r="EI31" i="1" s="1"/>
  <c r="FE31" i="1"/>
  <c r="FC31" i="1" s="1"/>
  <c r="FH31" i="1"/>
  <c r="FF31" i="1" s="1"/>
  <c r="EO31" i="1"/>
  <c r="ES31" i="1"/>
  <c r="EQ31" i="1" s="1"/>
  <c r="V29" i="1"/>
  <c r="FY29" i="1"/>
  <c r="GI29" i="1" s="1"/>
  <c r="FT29" i="1"/>
  <c r="GD29" i="1" s="1"/>
  <c r="FV29" i="1"/>
  <c r="GF29" i="1" s="1"/>
  <c r="FP29" i="1"/>
  <c r="FU29" i="1"/>
  <c r="GE29" i="1" s="1"/>
  <c r="FS29" i="1"/>
  <c r="GC29" i="1" s="1"/>
  <c r="FR29" i="1"/>
  <c r="FQ29" i="1"/>
  <c r="FW29" i="1"/>
  <c r="GG29" i="1" s="1"/>
  <c r="FX29" i="1"/>
  <c r="GH29" i="1" s="1"/>
  <c r="EO53" i="1"/>
  <c r="EM53" i="1" s="1"/>
  <c r="EK53" i="1"/>
  <c r="FD53" i="1"/>
  <c r="FB53" i="1" s="1"/>
  <c r="EW53" i="1"/>
  <c r="EU53" i="1" s="1"/>
  <c r="FM53" i="1"/>
  <c r="FK53" i="1" s="1"/>
  <c r="FH53" i="1"/>
  <c r="FF53" i="1" s="1"/>
  <c r="FI53" i="1"/>
  <c r="FG53" i="1" s="1"/>
  <c r="EV53" i="1"/>
  <c r="ET53" i="1" s="1"/>
  <c r="EZ53" i="1"/>
  <c r="EX53" i="1" s="1"/>
  <c r="ES53" i="1"/>
  <c r="EQ53" i="1" s="1"/>
  <c r="FA53" i="1"/>
  <c r="EY53" i="1" s="1"/>
  <c r="EJ53" i="1"/>
  <c r="FE53" i="1"/>
  <c r="FC53" i="1" s="1"/>
  <c r="FL53" i="1"/>
  <c r="FJ53" i="1" s="1"/>
  <c r="EN53" i="1"/>
  <c r="EL53" i="1" s="1"/>
  <c r="ER53" i="1"/>
  <c r="EP53" i="1" s="1"/>
  <c r="FV77" i="1"/>
  <c r="GF77" i="1" s="1"/>
  <c r="FY77" i="1"/>
  <c r="GI77" i="1" s="1"/>
  <c r="FU77" i="1"/>
  <c r="GE77" i="1" s="1"/>
  <c r="FW77" i="1"/>
  <c r="GG77" i="1" s="1"/>
  <c r="FS77" i="1"/>
  <c r="GC77" i="1" s="1"/>
  <c r="FR77" i="1"/>
  <c r="GB77" i="1" s="1"/>
  <c r="FX77" i="1"/>
  <c r="GH77" i="1" s="1"/>
  <c r="V77" i="1"/>
  <c r="FQ77" i="1"/>
  <c r="FT77" i="1"/>
  <c r="GD77" i="1" s="1"/>
  <c r="FP77" i="1"/>
  <c r="FA69" i="1"/>
  <c r="EY69" i="1" s="1"/>
  <c r="ES69" i="1"/>
  <c r="EQ69" i="1" s="1"/>
  <c r="FL69" i="1"/>
  <c r="FJ69" i="1" s="1"/>
  <c r="EZ69" i="1"/>
  <c r="EX69" i="1" s="1"/>
  <c r="FE69" i="1"/>
  <c r="FC69" i="1" s="1"/>
  <c r="FM69" i="1"/>
  <c r="FK69" i="1" s="1"/>
  <c r="EO69" i="1"/>
  <c r="EM69" i="1" s="1"/>
  <c r="EK69" i="1"/>
  <c r="FD69" i="1"/>
  <c r="FB69" i="1" s="1"/>
  <c r="EW69" i="1"/>
  <c r="EU69" i="1" s="1"/>
  <c r="FH69" i="1"/>
  <c r="FF69" i="1" s="1"/>
  <c r="FI69" i="1"/>
  <c r="FG69" i="1" s="1"/>
  <c r="EV69" i="1"/>
  <c r="ET69" i="1" s="1"/>
  <c r="ER69" i="1"/>
  <c r="EP69" i="1" s="1"/>
  <c r="EJ69" i="1"/>
  <c r="EN69" i="1"/>
  <c r="EL69" i="1" s="1"/>
  <c r="FS35" i="1"/>
  <c r="GC35" i="1" s="1"/>
  <c r="FP35" i="1"/>
  <c r="FU35" i="1"/>
  <c r="GE35" i="1" s="1"/>
  <c r="FW35" i="1"/>
  <c r="GG35" i="1" s="1"/>
  <c r="FQ35" i="1"/>
  <c r="FV35" i="1"/>
  <c r="GF35" i="1" s="1"/>
  <c r="FT35" i="1"/>
  <c r="GD35" i="1" s="1"/>
  <c r="FX35" i="1"/>
  <c r="GH35" i="1" s="1"/>
  <c r="FY35" i="1"/>
  <c r="GI35" i="1" s="1"/>
  <c r="FR35" i="1"/>
  <c r="GB35" i="1" s="1"/>
  <c r="V35" i="1"/>
  <c r="EO68" i="1"/>
  <c r="EM68" i="1" s="1"/>
  <c r="FM68" i="1"/>
  <c r="FK68" i="1" s="1"/>
  <c r="EW68" i="1"/>
  <c r="EU68" i="1" s="1"/>
  <c r="FA68" i="1"/>
  <c r="EY68" i="1" s="1"/>
  <c r="FH68" i="1"/>
  <c r="FF68" i="1" s="1"/>
  <c r="EV68" i="1"/>
  <c r="ET68" i="1" s="1"/>
  <c r="ES68" i="1"/>
  <c r="EQ68" i="1" s="1"/>
  <c r="EJ68" i="1"/>
  <c r="ER68" i="1"/>
  <c r="EP68" i="1" s="1"/>
  <c r="EK68" i="1"/>
  <c r="EZ68" i="1"/>
  <c r="EX68" i="1" s="1"/>
  <c r="FI68" i="1"/>
  <c r="FG68" i="1" s="1"/>
  <c r="FD68" i="1"/>
  <c r="FB68" i="1" s="1"/>
  <c r="FE68" i="1"/>
  <c r="FC68" i="1" s="1"/>
  <c r="EN68" i="1"/>
  <c r="EL68" i="1" s="1"/>
  <c r="FL68" i="1"/>
  <c r="FJ68" i="1" s="1"/>
  <c r="FP101" i="1"/>
  <c r="FW101" i="1"/>
  <c r="GG101" i="1" s="1"/>
  <c r="FX101" i="1"/>
  <c r="GH101" i="1" s="1"/>
  <c r="V101" i="1"/>
  <c r="FY101" i="1"/>
  <c r="GI101" i="1" s="1"/>
  <c r="FR101" i="1"/>
  <c r="GB101" i="1" s="1"/>
  <c r="FV101" i="1"/>
  <c r="GF101" i="1" s="1"/>
  <c r="FQ101" i="1"/>
  <c r="FU101" i="1"/>
  <c r="GE101" i="1" s="1"/>
  <c r="FT101" i="1"/>
  <c r="GD101" i="1" s="1"/>
  <c r="FS101" i="1"/>
  <c r="GC101" i="1" s="1"/>
  <c r="V115" i="1"/>
  <c r="FS115" i="1"/>
  <c r="GC115" i="1" s="1"/>
  <c r="FV115" i="1"/>
  <c r="GF115" i="1" s="1"/>
  <c r="FY115" i="1"/>
  <c r="GI115" i="1" s="1"/>
  <c r="FU115" i="1"/>
  <c r="GE115" i="1" s="1"/>
  <c r="FW115" i="1"/>
  <c r="GG115" i="1" s="1"/>
  <c r="FP115" i="1"/>
  <c r="FX115" i="1"/>
  <c r="GH115" i="1" s="1"/>
  <c r="FR115" i="1"/>
  <c r="GB115" i="1" s="1"/>
  <c r="FT115" i="1"/>
  <c r="GD115" i="1" s="1"/>
  <c r="FQ115" i="1"/>
  <c r="IJ130" i="1"/>
  <c r="IK130" i="1" s="1"/>
  <c r="U130" i="1"/>
  <c r="FW91" i="1"/>
  <c r="GG91" i="1" s="1"/>
  <c r="FP91" i="1"/>
  <c r="FQ91" i="1"/>
  <c r="FR91" i="1"/>
  <c r="GB91" i="1" s="1"/>
  <c r="FU91" i="1"/>
  <c r="GE91" i="1" s="1"/>
  <c r="FX91" i="1"/>
  <c r="GH91" i="1" s="1"/>
  <c r="FT91" i="1"/>
  <c r="GD91" i="1" s="1"/>
  <c r="FS91" i="1"/>
  <c r="GC91" i="1" s="1"/>
  <c r="V91" i="1"/>
  <c r="FV91" i="1"/>
  <c r="GF91" i="1" s="1"/>
  <c r="FY91" i="1"/>
  <c r="GI91" i="1" s="1"/>
  <c r="FE49" i="1"/>
  <c r="FC49" i="1" s="1"/>
  <c r="FI49" i="1"/>
  <c r="FG49" i="1" s="1"/>
  <c r="FL49" i="1"/>
  <c r="FJ49" i="1" s="1"/>
  <c r="FM49" i="1"/>
  <c r="FK49" i="1" s="1"/>
  <c r="EO49" i="1"/>
  <c r="EM49" i="1" s="1"/>
  <c r="ES49" i="1"/>
  <c r="EQ49" i="1" s="1"/>
  <c r="EZ49" i="1"/>
  <c r="EX49" i="1" s="1"/>
  <c r="EV49" i="1"/>
  <c r="ET49" i="1" s="1"/>
  <c r="ER49" i="1"/>
  <c r="EP49" i="1" s="1"/>
  <c r="FA49" i="1"/>
  <c r="EY49" i="1" s="1"/>
  <c r="EN49" i="1"/>
  <c r="EL49" i="1" s="1"/>
  <c r="FH49" i="1"/>
  <c r="FF49" i="1" s="1"/>
  <c r="FD49" i="1"/>
  <c r="FB49" i="1" s="1"/>
  <c r="EW49" i="1"/>
  <c r="EU49" i="1" s="1"/>
  <c r="EJ49" i="1"/>
  <c r="EK49" i="1"/>
  <c r="IJ134" i="1"/>
  <c r="IK134" i="1" s="1"/>
  <c r="U134" i="1"/>
  <c r="FQ46" i="1"/>
  <c r="FW46" i="1"/>
  <c r="GG46" i="1" s="1"/>
  <c r="V46" i="1"/>
  <c r="FU46" i="1"/>
  <c r="GE46" i="1" s="1"/>
  <c r="FV46" i="1"/>
  <c r="GF46" i="1" s="1"/>
  <c r="FY46" i="1"/>
  <c r="GI46" i="1" s="1"/>
  <c r="FS46" i="1"/>
  <c r="GC46" i="1" s="1"/>
  <c r="FX46" i="1"/>
  <c r="GH46" i="1" s="1"/>
  <c r="FP46" i="1"/>
  <c r="FT46" i="1"/>
  <c r="GD46" i="1" s="1"/>
  <c r="FR46" i="1"/>
  <c r="GB46" i="1" s="1"/>
  <c r="FP125" i="1"/>
  <c r="FS125" i="1"/>
  <c r="GC125" i="1" s="1"/>
  <c r="FR125" i="1"/>
  <c r="GB125" i="1" s="1"/>
  <c r="FV125" i="1"/>
  <c r="GF125" i="1" s="1"/>
  <c r="FU125" i="1"/>
  <c r="GE125" i="1" s="1"/>
  <c r="V125" i="1"/>
  <c r="FQ125" i="1"/>
  <c r="FW125" i="1"/>
  <c r="GG125" i="1" s="1"/>
  <c r="FT125" i="1"/>
  <c r="GD125" i="1" s="1"/>
  <c r="FX125" i="1"/>
  <c r="GH125" i="1" s="1"/>
  <c r="FY125" i="1"/>
  <c r="GI125" i="1" s="1"/>
  <c r="EW79" i="1"/>
  <c r="EU79" i="1" s="1"/>
  <c r="FH79" i="1"/>
  <c r="FF79" i="1" s="1"/>
  <c r="EK79" i="1"/>
  <c r="FE79" i="1"/>
  <c r="FC79" i="1" s="1"/>
  <c r="FM79" i="1"/>
  <c r="FK79" i="1" s="1"/>
  <c r="ER79" i="1"/>
  <c r="EP79" i="1" s="1"/>
  <c r="EN79" i="1"/>
  <c r="EL79" i="1" s="1"/>
  <c r="FD79" i="1"/>
  <c r="FB79" i="1" s="1"/>
  <c r="FI79" i="1"/>
  <c r="FG79" i="1" s="1"/>
  <c r="EJ79" i="1"/>
  <c r="EO79" i="1"/>
  <c r="EM79" i="1" s="1"/>
  <c r="FL79" i="1"/>
  <c r="FJ79" i="1" s="1"/>
  <c r="EV79" i="1"/>
  <c r="ET79" i="1" s="1"/>
  <c r="FA79" i="1"/>
  <c r="EY79" i="1" s="1"/>
  <c r="ES79" i="1"/>
  <c r="EQ79" i="1" s="1"/>
  <c r="EZ79" i="1"/>
  <c r="EX79" i="1" s="1"/>
  <c r="IQ143" i="1"/>
  <c r="X143" i="1"/>
  <c r="Y143" i="1" s="1"/>
  <c r="FP96" i="1"/>
  <c r="FX96" i="1"/>
  <c r="GH96" i="1" s="1"/>
  <c r="FR96" i="1"/>
  <c r="GB96" i="1" s="1"/>
  <c r="FQ96" i="1"/>
  <c r="FV96" i="1"/>
  <c r="GF96" i="1" s="1"/>
  <c r="FU96" i="1"/>
  <c r="GE96" i="1" s="1"/>
  <c r="V96" i="1"/>
  <c r="FY96" i="1"/>
  <c r="GI96" i="1" s="1"/>
  <c r="FT96" i="1"/>
  <c r="GD96" i="1" s="1"/>
  <c r="FW96" i="1"/>
  <c r="GG96" i="1" s="1"/>
  <c r="FS96" i="1"/>
  <c r="GC96" i="1" s="1"/>
  <c r="FA72" i="1"/>
  <c r="EY72" i="1" s="1"/>
  <c r="EJ72" i="1"/>
  <c r="FM72" i="1"/>
  <c r="FK72" i="1" s="1"/>
  <c r="EN72" i="1"/>
  <c r="EL72" i="1" s="1"/>
  <c r="EK72" i="1"/>
  <c r="FH72" i="1"/>
  <c r="FF72" i="1" s="1"/>
  <c r="EZ72" i="1"/>
  <c r="EX72" i="1" s="1"/>
  <c r="ER72" i="1"/>
  <c r="EP72" i="1" s="1"/>
  <c r="EV72" i="1"/>
  <c r="ET72" i="1" s="1"/>
  <c r="EW72" i="1"/>
  <c r="EU72" i="1" s="1"/>
  <c r="FL72" i="1"/>
  <c r="FJ72" i="1" s="1"/>
  <c r="FE72" i="1"/>
  <c r="FC72" i="1" s="1"/>
  <c r="ES72" i="1"/>
  <c r="EQ72" i="1" s="1"/>
  <c r="FD72" i="1"/>
  <c r="FB72" i="1" s="1"/>
  <c r="EG72" i="1"/>
  <c r="EE72" i="1" s="1"/>
  <c r="FI72" i="1"/>
  <c r="FG72" i="1" s="1"/>
  <c r="EO72" i="1"/>
  <c r="EM72" i="1" s="1"/>
  <c r="EF72" i="1"/>
  <c r="ED72" i="1" s="1"/>
  <c r="EZ57" i="1"/>
  <c r="EX57" i="1" s="1"/>
  <c r="FL57" i="1"/>
  <c r="FJ57" i="1" s="1"/>
  <c r="EV57" i="1"/>
  <c r="ET57" i="1" s="1"/>
  <c r="EN57" i="1"/>
  <c r="EL57" i="1" s="1"/>
  <c r="FM57" i="1"/>
  <c r="FK57" i="1" s="1"/>
  <c r="FH57" i="1"/>
  <c r="FF57" i="1" s="1"/>
  <c r="EW57" i="1"/>
  <c r="EU57" i="1" s="1"/>
  <c r="FI57" i="1"/>
  <c r="FG57" i="1" s="1"/>
  <c r="FD57" i="1"/>
  <c r="FB57" i="1" s="1"/>
  <c r="FE57" i="1"/>
  <c r="FC57" i="1" s="1"/>
  <c r="ES57" i="1"/>
  <c r="EQ57" i="1" s="1"/>
  <c r="EK57" i="1"/>
  <c r="EO57" i="1"/>
  <c r="EM57" i="1" s="1"/>
  <c r="EJ57" i="1"/>
  <c r="FA57" i="1"/>
  <c r="EY57" i="1" s="1"/>
  <c r="ER57" i="1"/>
  <c r="EP57" i="1" s="1"/>
  <c r="FL51" i="1"/>
  <c r="FJ51" i="1" s="1"/>
  <c r="EK51" i="1"/>
  <c r="EJ51" i="1"/>
  <c r="ES51" i="1"/>
  <c r="EQ51" i="1" s="1"/>
  <c r="FE51" i="1"/>
  <c r="FC51" i="1" s="1"/>
  <c r="ER51" i="1"/>
  <c r="EP51" i="1" s="1"/>
  <c r="FH51" i="1"/>
  <c r="FF51" i="1" s="1"/>
  <c r="FM51" i="1"/>
  <c r="FK51" i="1" s="1"/>
  <c r="EO51" i="1"/>
  <c r="EM51" i="1" s="1"/>
  <c r="EN51" i="1"/>
  <c r="EL51" i="1" s="1"/>
  <c r="EV51" i="1"/>
  <c r="ET51" i="1" s="1"/>
  <c r="EW51" i="1"/>
  <c r="EU51" i="1" s="1"/>
  <c r="FD51" i="1"/>
  <c r="FB51" i="1" s="1"/>
  <c r="FI51" i="1"/>
  <c r="FG51" i="1" s="1"/>
  <c r="EZ51" i="1"/>
  <c r="EX51" i="1" s="1"/>
  <c r="FA51" i="1"/>
  <c r="EY51" i="1" s="1"/>
  <c r="V37" i="1"/>
  <c r="FY37" i="1"/>
  <c r="GI37" i="1" s="1"/>
  <c r="FT37" i="1"/>
  <c r="GD37" i="1" s="1"/>
  <c r="FU37" i="1"/>
  <c r="GE37" i="1" s="1"/>
  <c r="FQ37" i="1"/>
  <c r="FR37" i="1"/>
  <c r="GB37" i="1" s="1"/>
  <c r="FS37" i="1"/>
  <c r="GC37" i="1" s="1"/>
  <c r="FP37" i="1"/>
  <c r="FX37" i="1"/>
  <c r="GH37" i="1" s="1"/>
  <c r="FV37" i="1"/>
  <c r="GF37" i="1" s="1"/>
  <c r="FW37" i="1"/>
  <c r="GG37" i="1" s="1"/>
  <c r="FQ107" i="1"/>
  <c r="FY107" i="1"/>
  <c r="GI107" i="1" s="1"/>
  <c r="FW107" i="1"/>
  <c r="GG107" i="1" s="1"/>
  <c r="FR107" i="1"/>
  <c r="GB107" i="1" s="1"/>
  <c r="FU107" i="1"/>
  <c r="GE107" i="1" s="1"/>
  <c r="FP107" i="1"/>
  <c r="FX107" i="1"/>
  <c r="GH107" i="1" s="1"/>
  <c r="FT107" i="1"/>
  <c r="GD107" i="1" s="1"/>
  <c r="FS107" i="1"/>
  <c r="GC107" i="1" s="1"/>
  <c r="V107" i="1"/>
  <c r="FV107" i="1"/>
  <c r="GF107" i="1" s="1"/>
  <c r="FE115" i="1"/>
  <c r="FC115" i="1" s="1"/>
  <c r="FL115" i="1"/>
  <c r="FJ115" i="1" s="1"/>
  <c r="EV115" i="1"/>
  <c r="ET115" i="1" s="1"/>
  <c r="FH115" i="1"/>
  <c r="FF115" i="1" s="1"/>
  <c r="EO115" i="1"/>
  <c r="EM115" i="1" s="1"/>
  <c r="EJ115" i="1"/>
  <c r="FI115" i="1"/>
  <c r="FG115" i="1" s="1"/>
  <c r="EZ115" i="1"/>
  <c r="EX115" i="1" s="1"/>
  <c r="EK115" i="1"/>
  <c r="ER115" i="1"/>
  <c r="EP115" i="1" s="1"/>
  <c r="EW115" i="1"/>
  <c r="EU115" i="1" s="1"/>
  <c r="FD115" i="1"/>
  <c r="FB115" i="1" s="1"/>
  <c r="FM115" i="1"/>
  <c r="FK115" i="1" s="1"/>
  <c r="FA115" i="1"/>
  <c r="EY115" i="1" s="1"/>
  <c r="ES115" i="1"/>
  <c r="EQ115" i="1" s="1"/>
  <c r="EN115" i="1"/>
  <c r="EL115" i="1" s="1"/>
  <c r="FP88" i="1"/>
  <c r="FT88" i="1"/>
  <c r="GD88" i="1" s="1"/>
  <c r="FS88" i="1"/>
  <c r="GC88" i="1" s="1"/>
  <c r="FX88" i="1"/>
  <c r="GH88" i="1" s="1"/>
  <c r="FV88" i="1"/>
  <c r="GF88" i="1" s="1"/>
  <c r="FY88" i="1"/>
  <c r="GI88" i="1" s="1"/>
  <c r="FU88" i="1"/>
  <c r="GE88" i="1" s="1"/>
  <c r="FQ88" i="1"/>
  <c r="FR88" i="1"/>
  <c r="GB88" i="1" s="1"/>
  <c r="FW88" i="1"/>
  <c r="GG88" i="1" s="1"/>
  <c r="V88" i="1"/>
  <c r="ER76" i="1"/>
  <c r="EP76" i="1" s="1"/>
  <c r="EJ76" i="1"/>
  <c r="FM76" i="1"/>
  <c r="FK76" i="1" s="1"/>
  <c r="EK76" i="1"/>
  <c r="FI76" i="1"/>
  <c r="FG76" i="1" s="1"/>
  <c r="EW76" i="1"/>
  <c r="EU76" i="1" s="1"/>
  <c r="FE76" i="1"/>
  <c r="FC76" i="1" s="1"/>
  <c r="FH76" i="1"/>
  <c r="FF76" i="1" s="1"/>
  <c r="EO76" i="1"/>
  <c r="EM76" i="1" s="1"/>
  <c r="EZ76" i="1"/>
  <c r="EX76" i="1" s="1"/>
  <c r="EV76" i="1"/>
  <c r="ET76" i="1" s="1"/>
  <c r="EN76" i="1"/>
  <c r="EL76" i="1" s="1"/>
  <c r="FL76" i="1"/>
  <c r="FJ76" i="1" s="1"/>
  <c r="ES76" i="1"/>
  <c r="EQ76" i="1" s="1"/>
  <c r="FD76" i="1"/>
  <c r="FB76" i="1" s="1"/>
  <c r="FA76" i="1"/>
  <c r="EY76" i="1" s="1"/>
  <c r="X98" i="1"/>
  <c r="Y98" i="1" s="1"/>
  <c r="IQ98" i="1"/>
  <c r="ER33" i="1"/>
  <c r="EP33" i="1" s="1"/>
  <c r="FA33" i="1"/>
  <c r="EY33" i="1" s="1"/>
  <c r="EW33" i="1"/>
  <c r="EU33" i="1" s="1"/>
  <c r="FH33" i="1"/>
  <c r="FF33" i="1" s="1"/>
  <c r="FL33" i="1"/>
  <c r="FJ33" i="1" s="1"/>
  <c r="EO33" i="1"/>
  <c r="EM33" i="1" s="1"/>
  <c r="FD33" i="1"/>
  <c r="FB33" i="1" s="1"/>
  <c r="EJ33" i="1"/>
  <c r="FE33" i="1"/>
  <c r="FC33" i="1" s="1"/>
  <c r="FI33" i="1"/>
  <c r="FG33" i="1" s="1"/>
  <c r="EV33" i="1"/>
  <c r="ET33" i="1" s="1"/>
  <c r="EZ33" i="1"/>
  <c r="EX33" i="1" s="1"/>
  <c r="FM33" i="1"/>
  <c r="FK33" i="1" s="1"/>
  <c r="EK33" i="1"/>
  <c r="EN33" i="1"/>
  <c r="EL33" i="1" s="1"/>
  <c r="ES33" i="1"/>
  <c r="EQ33" i="1" s="1"/>
  <c r="FU140" i="1"/>
  <c r="GE140" i="1" s="1"/>
  <c r="FT140" i="1"/>
  <c r="GD140" i="1" s="1"/>
  <c r="FR140" i="1"/>
  <c r="GB140" i="1" s="1"/>
  <c r="FW140" i="1"/>
  <c r="GG140" i="1" s="1"/>
  <c r="FV140" i="1"/>
  <c r="GF140" i="1" s="1"/>
  <c r="V140" i="1"/>
  <c r="FX140" i="1"/>
  <c r="GH140" i="1" s="1"/>
  <c r="FY140" i="1"/>
  <c r="GI140" i="1" s="1"/>
  <c r="FS140" i="1"/>
  <c r="GC140" i="1" s="1"/>
  <c r="FP140" i="1"/>
  <c r="FQ140" i="1"/>
  <c r="GA140" i="1" s="1"/>
  <c r="U99" i="1"/>
  <c r="IJ99" i="1"/>
  <c r="IK99" i="1" s="1"/>
  <c r="IJ141" i="1"/>
  <c r="IK141" i="1" s="1"/>
  <c r="U141" i="1"/>
  <c r="FD81" i="1"/>
  <c r="FB81" i="1" s="1"/>
  <c r="FI81" i="1"/>
  <c r="FG81" i="1" s="1"/>
  <c r="ER81" i="1"/>
  <c r="EP81" i="1" s="1"/>
  <c r="EZ81" i="1"/>
  <c r="EX81" i="1" s="1"/>
  <c r="EK81" i="1"/>
  <c r="ES81" i="1"/>
  <c r="EQ81" i="1" s="1"/>
  <c r="EO81" i="1"/>
  <c r="EM81" i="1" s="1"/>
  <c r="FE81" i="1"/>
  <c r="FC81" i="1" s="1"/>
  <c r="FL81" i="1"/>
  <c r="FJ81" i="1" s="1"/>
  <c r="EJ81" i="1"/>
  <c r="FH81" i="1"/>
  <c r="FF81" i="1" s="1"/>
  <c r="EV81" i="1"/>
  <c r="ET81" i="1" s="1"/>
  <c r="EN81" i="1"/>
  <c r="EL81" i="1" s="1"/>
  <c r="FM81" i="1"/>
  <c r="FK81" i="1" s="1"/>
  <c r="FA81" i="1"/>
  <c r="EY81" i="1" s="1"/>
  <c r="EW81" i="1"/>
  <c r="EU81" i="1" s="1"/>
  <c r="ES42" i="1"/>
  <c r="EQ42" i="1" s="1"/>
  <c r="EO42" i="1"/>
  <c r="EM42" i="1" s="1"/>
  <c r="EK42" i="1"/>
  <c r="FI42" i="1"/>
  <c r="FG42" i="1" s="1"/>
  <c r="FA42" i="1"/>
  <c r="EY42" i="1" s="1"/>
  <c r="FE42" i="1"/>
  <c r="FC42" i="1" s="1"/>
  <c r="EW42" i="1"/>
  <c r="EU42" i="1" s="1"/>
  <c r="FL42" i="1"/>
  <c r="FJ42" i="1" s="1"/>
  <c r="EJ42" i="1"/>
  <c r="ER42" i="1"/>
  <c r="EP42" i="1" s="1"/>
  <c r="FM42" i="1"/>
  <c r="FK42" i="1" s="1"/>
  <c r="EV42" i="1"/>
  <c r="ET42" i="1" s="1"/>
  <c r="EZ42" i="1"/>
  <c r="EX42" i="1" s="1"/>
  <c r="FH42" i="1"/>
  <c r="FF42" i="1" s="1"/>
  <c r="FD42" i="1"/>
  <c r="FB42" i="1" s="1"/>
  <c r="EN42" i="1"/>
  <c r="EL42" i="1" s="1"/>
  <c r="IQ129" i="1"/>
  <c r="X129" i="1"/>
  <c r="Y129" i="1" s="1"/>
  <c r="FT95" i="1"/>
  <c r="GD95" i="1" s="1"/>
  <c r="FW95" i="1"/>
  <c r="GG95" i="1" s="1"/>
  <c r="FV95" i="1"/>
  <c r="GF95" i="1" s="1"/>
  <c r="FU95" i="1"/>
  <c r="GE95" i="1" s="1"/>
  <c r="FR95" i="1"/>
  <c r="GB95" i="1" s="1"/>
  <c r="FX95" i="1"/>
  <c r="GH95" i="1" s="1"/>
  <c r="FS95" i="1"/>
  <c r="GC95" i="1" s="1"/>
  <c r="FQ95" i="1"/>
  <c r="V95" i="1"/>
  <c r="FP95" i="1"/>
  <c r="FY95" i="1"/>
  <c r="GI95" i="1" s="1"/>
  <c r="EW65" i="1"/>
  <c r="EU65" i="1" s="1"/>
  <c r="EO65" i="1"/>
  <c r="EM65" i="1" s="1"/>
  <c r="FI65" i="1"/>
  <c r="FG65" i="1" s="1"/>
  <c r="FL65" i="1"/>
  <c r="FJ65" i="1" s="1"/>
  <c r="ER65" i="1"/>
  <c r="EP65" i="1" s="1"/>
  <c r="EV65" i="1"/>
  <c r="ET65" i="1" s="1"/>
  <c r="FH65" i="1"/>
  <c r="FF65" i="1" s="1"/>
  <c r="EZ65" i="1"/>
  <c r="EX65" i="1" s="1"/>
  <c r="ES65" i="1"/>
  <c r="EQ65" i="1" s="1"/>
  <c r="FD65" i="1"/>
  <c r="FB65" i="1" s="1"/>
  <c r="EJ65" i="1"/>
  <c r="FE65" i="1"/>
  <c r="FC65" i="1" s="1"/>
  <c r="FA65" i="1"/>
  <c r="EY65" i="1" s="1"/>
  <c r="EK65" i="1"/>
  <c r="EN65" i="1"/>
  <c r="EL65" i="1" s="1"/>
  <c r="FM65" i="1"/>
  <c r="FK65" i="1" s="1"/>
  <c r="FP139" i="1"/>
  <c r="FT139" i="1"/>
  <c r="GD139" i="1" s="1"/>
  <c r="FY139" i="1"/>
  <c r="GI139" i="1" s="1"/>
  <c r="FR139" i="1"/>
  <c r="GB139" i="1" s="1"/>
  <c r="FX139" i="1"/>
  <c r="GH139" i="1" s="1"/>
  <c r="FW139" i="1"/>
  <c r="GG139" i="1" s="1"/>
  <c r="FS139" i="1"/>
  <c r="GC139" i="1" s="1"/>
  <c r="FQ139" i="1"/>
  <c r="GA139" i="1" s="1"/>
  <c r="V139" i="1"/>
  <c r="FU139" i="1"/>
  <c r="GE139" i="1" s="1"/>
  <c r="FV139" i="1"/>
  <c r="GF139" i="1" s="1"/>
  <c r="V23" i="1"/>
  <c r="FQ23" i="1"/>
  <c r="FV23" i="1"/>
  <c r="GF23" i="1" s="1"/>
  <c r="FU23" i="1"/>
  <c r="GE23" i="1" s="1"/>
  <c r="FY23" i="1"/>
  <c r="GI23" i="1" s="1"/>
  <c r="FS23" i="1"/>
  <c r="GC23" i="1" s="1"/>
  <c r="FR23" i="1"/>
  <c r="GB23" i="1" s="1"/>
  <c r="FW23" i="1"/>
  <c r="GG23" i="1" s="1"/>
  <c r="FT23" i="1"/>
  <c r="GD23" i="1" s="1"/>
  <c r="FX23" i="1"/>
  <c r="GH23" i="1" s="1"/>
  <c r="FP23" i="1"/>
  <c r="EK83" i="1"/>
  <c r="EJ83" i="1"/>
  <c r="EN83" i="1"/>
  <c r="EL83" i="1" s="1"/>
  <c r="FL83" i="1"/>
  <c r="FJ83" i="1" s="1"/>
  <c r="FA83" i="1"/>
  <c r="EY83" i="1" s="1"/>
  <c r="FD83" i="1"/>
  <c r="FB83" i="1" s="1"/>
  <c r="FM83" i="1"/>
  <c r="FK83" i="1" s="1"/>
  <c r="EO83" i="1"/>
  <c r="EM83" i="1" s="1"/>
  <c r="ER83" i="1"/>
  <c r="EP83" i="1" s="1"/>
  <c r="FI83" i="1"/>
  <c r="FG83" i="1" s="1"/>
  <c r="FH83" i="1"/>
  <c r="FF83" i="1" s="1"/>
  <c r="FE83" i="1"/>
  <c r="FC83" i="1" s="1"/>
  <c r="EW83" i="1"/>
  <c r="EU83" i="1" s="1"/>
  <c r="EZ83" i="1"/>
  <c r="EX83" i="1" s="1"/>
  <c r="EV83" i="1"/>
  <c r="ET83" i="1" s="1"/>
  <c r="ES83" i="1"/>
  <c r="EQ83" i="1" s="1"/>
  <c r="U97" i="1"/>
  <c r="IJ97" i="1"/>
  <c r="IK97" i="1" s="1"/>
  <c r="FP39" i="1"/>
  <c r="FW39" i="1"/>
  <c r="GG39" i="1" s="1"/>
  <c r="FX39" i="1"/>
  <c r="GH39" i="1" s="1"/>
  <c r="V39" i="1"/>
  <c r="FR39" i="1"/>
  <c r="GB39" i="1" s="1"/>
  <c r="FU39" i="1"/>
  <c r="GE39" i="1" s="1"/>
  <c r="FV39" i="1"/>
  <c r="GF39" i="1" s="1"/>
  <c r="FS39" i="1"/>
  <c r="GC39" i="1" s="1"/>
  <c r="FY39" i="1"/>
  <c r="GI39" i="1" s="1"/>
  <c r="FT39" i="1"/>
  <c r="GD39" i="1" s="1"/>
  <c r="FQ39" i="1"/>
  <c r="EO46" i="1"/>
  <c r="EM46" i="1" s="1"/>
  <c r="EN46" i="1"/>
  <c r="EL46" i="1" s="1"/>
  <c r="FI46" i="1"/>
  <c r="FG46" i="1" s="1"/>
  <c r="ES46" i="1"/>
  <c r="EQ46" i="1" s="1"/>
  <c r="FE46" i="1"/>
  <c r="FC46" i="1" s="1"/>
  <c r="EJ46" i="1"/>
  <c r="FM46" i="1"/>
  <c r="FK46" i="1" s="1"/>
  <c r="EK46" i="1"/>
  <c r="FD46" i="1"/>
  <c r="FB46" i="1" s="1"/>
  <c r="FA46" i="1"/>
  <c r="EY46" i="1" s="1"/>
  <c r="EW46" i="1"/>
  <c r="EU46" i="1" s="1"/>
  <c r="FH46" i="1"/>
  <c r="FF46" i="1" s="1"/>
  <c r="EZ46" i="1"/>
  <c r="EX46" i="1" s="1"/>
  <c r="EV46" i="1"/>
  <c r="ET46" i="1" s="1"/>
  <c r="ER46" i="1"/>
  <c r="EP46" i="1" s="1"/>
  <c r="FL46" i="1"/>
  <c r="FJ46" i="1" s="1"/>
  <c r="IJ133" i="1"/>
  <c r="IK133" i="1" s="1"/>
  <c r="U133" i="1"/>
  <c r="ER93" i="1"/>
  <c r="EP93" i="1" s="1"/>
  <c r="EW93" i="1"/>
  <c r="EU93" i="1" s="1"/>
  <c r="ES93" i="1"/>
  <c r="EQ93" i="1" s="1"/>
  <c r="FD93" i="1"/>
  <c r="FB93" i="1" s="1"/>
  <c r="FE93" i="1"/>
  <c r="FC93" i="1" s="1"/>
  <c r="FI93" i="1"/>
  <c r="FG93" i="1" s="1"/>
  <c r="FM93" i="1"/>
  <c r="FK93" i="1" s="1"/>
  <c r="EZ93" i="1"/>
  <c r="EX93" i="1" s="1"/>
  <c r="EO93" i="1"/>
  <c r="EM93" i="1" s="1"/>
  <c r="FH93" i="1"/>
  <c r="FF93" i="1" s="1"/>
  <c r="EN93" i="1"/>
  <c r="EL93" i="1" s="1"/>
  <c r="EK93" i="1"/>
  <c r="EV93" i="1"/>
  <c r="ET93" i="1" s="1"/>
  <c r="FA93" i="1"/>
  <c r="EY93" i="1" s="1"/>
  <c r="EJ93" i="1"/>
  <c r="FL93" i="1"/>
  <c r="FJ93" i="1" s="1"/>
  <c r="ER124" i="1"/>
  <c r="EP124" i="1" s="1"/>
  <c r="FL124" i="1"/>
  <c r="FJ124" i="1" s="1"/>
  <c r="EO124" i="1"/>
  <c r="EM124" i="1" s="1"/>
  <c r="EK124" i="1"/>
  <c r="EJ124" i="1"/>
  <c r="FA124" i="1"/>
  <c r="EY124" i="1" s="1"/>
  <c r="FI124" i="1"/>
  <c r="FG124" i="1" s="1"/>
  <c r="FH124" i="1"/>
  <c r="FF124" i="1" s="1"/>
  <c r="EV124" i="1"/>
  <c r="ET124" i="1" s="1"/>
  <c r="FE124" i="1"/>
  <c r="FC124" i="1" s="1"/>
  <c r="EW124" i="1"/>
  <c r="EU124" i="1" s="1"/>
  <c r="EN124" i="1"/>
  <c r="EL124" i="1" s="1"/>
  <c r="ES124" i="1"/>
  <c r="EQ124" i="1" s="1"/>
  <c r="EZ124" i="1"/>
  <c r="EX124" i="1" s="1"/>
  <c r="FD124" i="1"/>
  <c r="FB124" i="1" s="1"/>
  <c r="FM124" i="1"/>
  <c r="FK124" i="1" s="1"/>
  <c r="FH77" i="1"/>
  <c r="FF77" i="1" s="1"/>
  <c r="EJ77" i="1"/>
  <c r="ER77" i="1"/>
  <c r="EP77" i="1" s="1"/>
  <c r="FM77" i="1"/>
  <c r="FK77" i="1" s="1"/>
  <c r="FD77" i="1"/>
  <c r="FB77" i="1" s="1"/>
  <c r="FI77" i="1"/>
  <c r="FG77" i="1" s="1"/>
  <c r="EN77" i="1"/>
  <c r="EL77" i="1" s="1"/>
  <c r="FA77" i="1"/>
  <c r="EY77" i="1" s="1"/>
  <c r="EZ77" i="1"/>
  <c r="EX77" i="1" s="1"/>
  <c r="FL77" i="1"/>
  <c r="FJ77" i="1" s="1"/>
  <c r="ES77" i="1"/>
  <c r="EQ77" i="1" s="1"/>
  <c r="FE77" i="1"/>
  <c r="FC77" i="1" s="1"/>
  <c r="EO77" i="1"/>
  <c r="EM77" i="1" s="1"/>
  <c r="EW77" i="1"/>
  <c r="EU77" i="1" s="1"/>
  <c r="EK77" i="1"/>
  <c r="EV77" i="1"/>
  <c r="ET77" i="1" s="1"/>
  <c r="FU63" i="1"/>
  <c r="GE63" i="1" s="1"/>
  <c r="FX63" i="1"/>
  <c r="GH63" i="1" s="1"/>
  <c r="FW63" i="1"/>
  <c r="GG63" i="1" s="1"/>
  <c r="FT63" i="1"/>
  <c r="GD63" i="1" s="1"/>
  <c r="FS63" i="1"/>
  <c r="GC63" i="1" s="1"/>
  <c r="V63" i="1"/>
  <c r="FP63" i="1"/>
  <c r="FY63" i="1"/>
  <c r="GI63" i="1" s="1"/>
  <c r="FR63" i="1"/>
  <c r="GB63" i="1" s="1"/>
  <c r="FV63" i="1"/>
  <c r="GF63" i="1" s="1"/>
  <c r="FQ63" i="1"/>
  <c r="FR83" i="1"/>
  <c r="GB83" i="1" s="1"/>
  <c r="FX83" i="1"/>
  <c r="GH83" i="1" s="1"/>
  <c r="FU83" i="1"/>
  <c r="GE83" i="1" s="1"/>
  <c r="FT83" i="1"/>
  <c r="GD83" i="1" s="1"/>
  <c r="FV83" i="1"/>
  <c r="GF83" i="1" s="1"/>
  <c r="FP83" i="1"/>
  <c r="FQ83" i="1"/>
  <c r="V83" i="1"/>
  <c r="FY83" i="1"/>
  <c r="GI83" i="1" s="1"/>
  <c r="FW83" i="1"/>
  <c r="GG83" i="1" s="1"/>
  <c r="FS83" i="1"/>
  <c r="GC83" i="1" s="1"/>
  <c r="U146" i="1"/>
  <c r="IJ146" i="1"/>
  <c r="IK146" i="1" s="1"/>
  <c r="IJ144" i="1"/>
  <c r="IK144" i="1" s="1"/>
  <c r="U144" i="1"/>
  <c r="FA59" i="1"/>
  <c r="EY59" i="1" s="1"/>
  <c r="ES59" i="1"/>
  <c r="EQ59" i="1" s="1"/>
  <c r="FL59" i="1"/>
  <c r="FJ59" i="1" s="1"/>
  <c r="EO59" i="1"/>
  <c r="EM59" i="1" s="1"/>
  <c r="FH59" i="1"/>
  <c r="FF59" i="1" s="1"/>
  <c r="EW59" i="1"/>
  <c r="EU59" i="1" s="1"/>
  <c r="FM59" i="1"/>
  <c r="FK59" i="1" s="1"/>
  <c r="EN59" i="1"/>
  <c r="EL59" i="1" s="1"/>
  <c r="FE59" i="1"/>
  <c r="FC59" i="1" s="1"/>
  <c r="EZ59" i="1"/>
  <c r="EX59" i="1" s="1"/>
  <c r="ER59" i="1"/>
  <c r="EP59" i="1" s="1"/>
  <c r="FI59" i="1"/>
  <c r="FG59" i="1" s="1"/>
  <c r="EK59" i="1"/>
  <c r="EV59" i="1"/>
  <c r="ET59" i="1" s="1"/>
  <c r="FD59" i="1"/>
  <c r="FB59" i="1" s="1"/>
  <c r="EJ59" i="1"/>
  <c r="IQ131" i="1"/>
  <c r="X131" i="1"/>
  <c r="Y131" i="1" s="1"/>
  <c r="ER125" i="1"/>
  <c r="EP125" i="1" s="1"/>
  <c r="EW125" i="1"/>
  <c r="EU125" i="1" s="1"/>
  <c r="EV125" i="1"/>
  <c r="ET125" i="1" s="1"/>
  <c r="ES125" i="1"/>
  <c r="EQ125" i="1" s="1"/>
  <c r="FI125" i="1"/>
  <c r="FG125" i="1" s="1"/>
  <c r="FE125" i="1"/>
  <c r="FC125" i="1" s="1"/>
  <c r="FA125" i="1"/>
  <c r="EY125" i="1" s="1"/>
  <c r="EZ125" i="1"/>
  <c r="EX125" i="1" s="1"/>
  <c r="FL125" i="1"/>
  <c r="FJ125" i="1" s="1"/>
  <c r="FM125" i="1"/>
  <c r="FK125" i="1" s="1"/>
  <c r="FD125" i="1"/>
  <c r="FB125" i="1" s="1"/>
  <c r="FH125" i="1"/>
  <c r="FF125" i="1" s="1"/>
  <c r="EJ125" i="1"/>
  <c r="EK125" i="1"/>
  <c r="EO125" i="1"/>
  <c r="EM125" i="1" s="1"/>
  <c r="EN125" i="1"/>
  <c r="EL125" i="1" s="1"/>
  <c r="ER80" i="1"/>
  <c r="EP80" i="1" s="1"/>
  <c r="EO80" i="1"/>
  <c r="EM80" i="1" s="1"/>
  <c r="EN80" i="1"/>
  <c r="EL80" i="1" s="1"/>
  <c r="FE80" i="1"/>
  <c r="FC80" i="1" s="1"/>
  <c r="EV80" i="1"/>
  <c r="ET80" i="1" s="1"/>
  <c r="ES80" i="1"/>
  <c r="EQ80" i="1" s="1"/>
  <c r="EJ80" i="1"/>
  <c r="EK80" i="1"/>
  <c r="FM80" i="1"/>
  <c r="FK80" i="1" s="1"/>
  <c r="FH80" i="1"/>
  <c r="FF80" i="1" s="1"/>
  <c r="FA80" i="1"/>
  <c r="EY80" i="1" s="1"/>
  <c r="FD80" i="1"/>
  <c r="FB80" i="1" s="1"/>
  <c r="FL80" i="1"/>
  <c r="FJ80" i="1" s="1"/>
  <c r="EW80" i="1"/>
  <c r="EU80" i="1" s="1"/>
  <c r="EZ80" i="1"/>
  <c r="EX80" i="1" s="1"/>
  <c r="FI80" i="1"/>
  <c r="FG80" i="1" s="1"/>
  <c r="FA40" i="1"/>
  <c r="EY40" i="1" s="1"/>
  <c r="EK40" i="1"/>
  <c r="FH40" i="1"/>
  <c r="FF40" i="1" s="1"/>
  <c r="FM40" i="1"/>
  <c r="FK40" i="1" s="1"/>
  <c r="FE40" i="1"/>
  <c r="FC40" i="1" s="1"/>
  <c r="EO40" i="1"/>
  <c r="EM40" i="1" s="1"/>
  <c r="ER40" i="1"/>
  <c r="EP40" i="1" s="1"/>
  <c r="ES40" i="1"/>
  <c r="EQ40" i="1" s="1"/>
  <c r="EN40" i="1"/>
  <c r="EL40" i="1" s="1"/>
  <c r="EW40" i="1"/>
  <c r="EU40" i="1" s="1"/>
  <c r="FD40" i="1"/>
  <c r="FB40" i="1" s="1"/>
  <c r="EJ40" i="1"/>
  <c r="EZ40" i="1"/>
  <c r="EX40" i="1" s="1"/>
  <c r="FL40" i="1"/>
  <c r="FJ40" i="1" s="1"/>
  <c r="EV40" i="1"/>
  <c r="ET40" i="1" s="1"/>
  <c r="FI40" i="1"/>
  <c r="FG40" i="1" s="1"/>
  <c r="FT89" i="1"/>
  <c r="GD89" i="1" s="1"/>
  <c r="FV89" i="1"/>
  <c r="GF89" i="1" s="1"/>
  <c r="FS89" i="1"/>
  <c r="GC89" i="1" s="1"/>
  <c r="FU89" i="1"/>
  <c r="GE89" i="1" s="1"/>
  <c r="FQ89" i="1"/>
  <c r="FW89" i="1"/>
  <c r="GG89" i="1" s="1"/>
  <c r="FR89" i="1"/>
  <c r="GB89" i="1" s="1"/>
  <c r="FX89" i="1"/>
  <c r="GH89" i="1" s="1"/>
  <c r="V89" i="1"/>
  <c r="FY89" i="1"/>
  <c r="GI89" i="1" s="1"/>
  <c r="FP89" i="1"/>
  <c r="IJ145" i="1"/>
  <c r="IK145" i="1" s="1"/>
  <c r="U145" i="1"/>
  <c r="ER37" i="1"/>
  <c r="EP37" i="1" s="1"/>
  <c r="FI37" i="1"/>
  <c r="FG37" i="1" s="1"/>
  <c r="FD37" i="1"/>
  <c r="FB37" i="1" s="1"/>
  <c r="FM37" i="1"/>
  <c r="FK37" i="1" s="1"/>
  <c r="EK37" i="1"/>
  <c r="FH37" i="1"/>
  <c r="FF37" i="1" s="1"/>
  <c r="FE37" i="1"/>
  <c r="FC37" i="1" s="1"/>
  <c r="EO37" i="1"/>
  <c r="EM37" i="1" s="1"/>
  <c r="EZ37" i="1"/>
  <c r="EX37" i="1" s="1"/>
  <c r="EJ37" i="1"/>
  <c r="EV37" i="1"/>
  <c r="ET37" i="1" s="1"/>
  <c r="FL37" i="1"/>
  <c r="FJ37" i="1" s="1"/>
  <c r="EW37" i="1"/>
  <c r="EU37" i="1" s="1"/>
  <c r="FA37" i="1"/>
  <c r="EY37" i="1" s="1"/>
  <c r="ES37" i="1"/>
  <c r="EQ37" i="1" s="1"/>
  <c r="EN37" i="1"/>
  <c r="EL37" i="1" s="1"/>
  <c r="FQ103" i="1"/>
  <c r="FV103" i="1"/>
  <c r="GF103" i="1" s="1"/>
  <c r="FR103" i="1"/>
  <c r="GB103" i="1" s="1"/>
  <c r="FY103" i="1"/>
  <c r="GI103" i="1" s="1"/>
  <c r="FT103" i="1"/>
  <c r="GD103" i="1" s="1"/>
  <c r="FS103" i="1"/>
  <c r="GC103" i="1" s="1"/>
  <c r="V103" i="1"/>
  <c r="FW103" i="1"/>
  <c r="GG103" i="1" s="1"/>
  <c r="FP103" i="1"/>
  <c r="FX103" i="1"/>
  <c r="GH103" i="1" s="1"/>
  <c r="FU103" i="1"/>
  <c r="GE103" i="1" s="1"/>
  <c r="EO54" i="1"/>
  <c r="EM54" i="1" s="1"/>
  <c r="FH54" i="1"/>
  <c r="FF54" i="1" s="1"/>
  <c r="EK54" i="1"/>
  <c r="EF54" i="1"/>
  <c r="ED54" i="1" s="1"/>
  <c r="EG54" i="1"/>
  <c r="EE54" i="1" s="1"/>
  <c r="ES54" i="1"/>
  <c r="EQ54" i="1" s="1"/>
  <c r="EW54" i="1"/>
  <c r="EU54" i="1" s="1"/>
  <c r="EZ54" i="1"/>
  <c r="EX54" i="1" s="1"/>
  <c r="ER54" i="1"/>
  <c r="EP54" i="1" s="1"/>
  <c r="FA54" i="1"/>
  <c r="EY54" i="1" s="1"/>
  <c r="FD54" i="1"/>
  <c r="FB54" i="1" s="1"/>
  <c r="FE54" i="1"/>
  <c r="FC54" i="1" s="1"/>
  <c r="FI54" i="1"/>
  <c r="FG54" i="1" s="1"/>
  <c r="EJ54" i="1"/>
  <c r="FL54" i="1"/>
  <c r="FJ54" i="1" s="1"/>
  <c r="EN54" i="1"/>
  <c r="EL54" i="1" s="1"/>
  <c r="EV54" i="1"/>
  <c r="ET54" i="1" s="1"/>
  <c r="FM54" i="1"/>
  <c r="FK54" i="1" s="1"/>
  <c r="FM58" i="1"/>
  <c r="FK58" i="1" s="1"/>
  <c r="EV58" i="1"/>
  <c r="ET58" i="1" s="1"/>
  <c r="FE58" i="1"/>
  <c r="FC58" i="1" s="1"/>
  <c r="EK58" i="1"/>
  <c r="FI58" i="1"/>
  <c r="FG58" i="1" s="1"/>
  <c r="FA58" i="1"/>
  <c r="EY58" i="1" s="1"/>
  <c r="EZ58" i="1"/>
  <c r="EX58" i="1" s="1"/>
  <c r="FH58" i="1"/>
  <c r="FF58" i="1" s="1"/>
  <c r="FD58" i="1"/>
  <c r="FB58" i="1" s="1"/>
  <c r="EN58" i="1"/>
  <c r="EL58" i="1" s="1"/>
  <c r="ER58" i="1"/>
  <c r="EP58" i="1" s="1"/>
  <c r="EW58" i="1"/>
  <c r="EU58" i="1" s="1"/>
  <c r="FL58" i="1"/>
  <c r="FJ58" i="1" s="1"/>
  <c r="ES58" i="1"/>
  <c r="EQ58" i="1" s="1"/>
  <c r="EO58" i="1"/>
  <c r="EM58" i="1" s="1"/>
  <c r="EJ58" i="1"/>
  <c r="FU28" i="1"/>
  <c r="GE28" i="1" s="1"/>
  <c r="V28" i="1"/>
  <c r="FQ28" i="1"/>
  <c r="FV28" i="1"/>
  <c r="GF28" i="1" s="1"/>
  <c r="FY28" i="1"/>
  <c r="GI28" i="1" s="1"/>
  <c r="FS28" i="1"/>
  <c r="GC28" i="1" s="1"/>
  <c r="FR28" i="1"/>
  <c r="FT28" i="1"/>
  <c r="GD28" i="1" s="1"/>
  <c r="FW28" i="1"/>
  <c r="GG28" i="1" s="1"/>
  <c r="FP28" i="1"/>
  <c r="FX28" i="1"/>
  <c r="GH28" i="1" s="1"/>
  <c r="V71" i="1"/>
  <c r="FT71" i="1"/>
  <c r="GD71" i="1" s="1"/>
  <c r="FP71" i="1"/>
  <c r="FW71" i="1"/>
  <c r="GG71" i="1" s="1"/>
  <c r="FR71" i="1"/>
  <c r="GB71" i="1" s="1"/>
  <c r="FY71" i="1"/>
  <c r="GI71" i="1" s="1"/>
  <c r="FS71" i="1"/>
  <c r="GC71" i="1" s="1"/>
  <c r="FQ71" i="1"/>
  <c r="FU71" i="1"/>
  <c r="GE71" i="1" s="1"/>
  <c r="FV71" i="1"/>
  <c r="GF71" i="1" s="1"/>
  <c r="FX71" i="1"/>
  <c r="GH71" i="1" s="1"/>
  <c r="FX56" i="1"/>
  <c r="GH56" i="1" s="1"/>
  <c r="FY56" i="1"/>
  <c r="GI56" i="1" s="1"/>
  <c r="FT56" i="1"/>
  <c r="GD56" i="1" s="1"/>
  <c r="FQ56" i="1"/>
  <c r="FV56" i="1"/>
  <c r="GF56" i="1" s="1"/>
  <c r="FR56" i="1"/>
  <c r="GB56" i="1" s="1"/>
  <c r="FP56" i="1"/>
  <c r="FS56" i="1"/>
  <c r="GC56" i="1" s="1"/>
  <c r="FU56" i="1"/>
  <c r="GE56" i="1" s="1"/>
  <c r="FW56" i="1"/>
  <c r="GG56" i="1" s="1"/>
  <c r="V56" i="1"/>
  <c r="FY76" i="1"/>
  <c r="GI76" i="1" s="1"/>
  <c r="FP76" i="1"/>
  <c r="FX76" i="1"/>
  <c r="GH76" i="1" s="1"/>
  <c r="FV76" i="1"/>
  <c r="GF76" i="1" s="1"/>
  <c r="FR76" i="1"/>
  <c r="GB76" i="1" s="1"/>
  <c r="V76" i="1"/>
  <c r="FT76" i="1"/>
  <c r="GD76" i="1" s="1"/>
  <c r="FS76" i="1"/>
  <c r="GC76" i="1" s="1"/>
  <c r="FU76" i="1"/>
  <c r="GE76" i="1" s="1"/>
  <c r="FQ76" i="1"/>
  <c r="FW76" i="1"/>
  <c r="GG76" i="1" s="1"/>
  <c r="FU44" i="1"/>
  <c r="GE44" i="1" s="1"/>
  <c r="FP44" i="1"/>
  <c r="V44" i="1"/>
  <c r="FS44" i="1"/>
  <c r="GC44" i="1" s="1"/>
  <c r="FX44" i="1"/>
  <c r="GH44" i="1" s="1"/>
  <c r="FR44" i="1"/>
  <c r="GB44" i="1" s="1"/>
  <c r="FV44" i="1"/>
  <c r="GF44" i="1" s="1"/>
  <c r="FQ44" i="1"/>
  <c r="FT44" i="1"/>
  <c r="GD44" i="1" s="1"/>
  <c r="FY44" i="1"/>
  <c r="GI44" i="1" s="1"/>
  <c r="FW44" i="1"/>
  <c r="GG44" i="1" s="1"/>
  <c r="FH110" i="1"/>
  <c r="FF110" i="1" s="1"/>
  <c r="EK110" i="1"/>
  <c r="FD110" i="1"/>
  <c r="FB110" i="1" s="1"/>
  <c r="FL110" i="1"/>
  <c r="FJ110" i="1" s="1"/>
  <c r="EO110" i="1"/>
  <c r="EM110" i="1" s="1"/>
  <c r="ER110" i="1"/>
  <c r="EP110" i="1" s="1"/>
  <c r="EN110" i="1"/>
  <c r="EL110" i="1" s="1"/>
  <c r="FA110" i="1"/>
  <c r="EY110" i="1" s="1"/>
  <c r="ES110" i="1"/>
  <c r="EQ110" i="1" s="1"/>
  <c r="FM110" i="1"/>
  <c r="FK110" i="1" s="1"/>
  <c r="EJ110" i="1"/>
  <c r="EZ110" i="1"/>
  <c r="EX110" i="1" s="1"/>
  <c r="FI110" i="1"/>
  <c r="FG110" i="1" s="1"/>
  <c r="EW110" i="1"/>
  <c r="EU110" i="1" s="1"/>
  <c r="EV110" i="1"/>
  <c r="ET110" i="1" s="1"/>
  <c r="FE110" i="1"/>
  <c r="FC110" i="1" s="1"/>
  <c r="EK114" i="1"/>
  <c r="EJ114" i="1"/>
  <c r="FD114" i="1"/>
  <c r="FB114" i="1" s="1"/>
  <c r="EO114" i="1"/>
  <c r="EM114" i="1" s="1"/>
  <c r="EW114" i="1"/>
  <c r="EU114" i="1" s="1"/>
  <c r="EV114" i="1"/>
  <c r="ET114" i="1" s="1"/>
  <c r="FE114" i="1"/>
  <c r="FC114" i="1" s="1"/>
  <c r="ES114" i="1"/>
  <c r="EQ114" i="1" s="1"/>
  <c r="ER114" i="1"/>
  <c r="EP114" i="1" s="1"/>
  <c r="FL114" i="1"/>
  <c r="FJ114" i="1" s="1"/>
  <c r="FH114" i="1"/>
  <c r="FF114" i="1" s="1"/>
  <c r="FI114" i="1"/>
  <c r="FG114" i="1" s="1"/>
  <c r="FA114" i="1"/>
  <c r="EY114" i="1" s="1"/>
  <c r="EN114" i="1"/>
  <c r="EL114" i="1" s="1"/>
  <c r="FM114" i="1"/>
  <c r="FK114" i="1" s="1"/>
  <c r="EZ114" i="1"/>
  <c r="EX114" i="1" s="1"/>
  <c r="FX34" i="1"/>
  <c r="GH34" i="1" s="1"/>
  <c r="FW34" i="1"/>
  <c r="GG34" i="1" s="1"/>
  <c r="FP34" i="1"/>
  <c r="FR34" i="1"/>
  <c r="GB34" i="1" s="1"/>
  <c r="V34" i="1"/>
  <c r="FU34" i="1"/>
  <c r="GE34" i="1" s="1"/>
  <c r="FQ34" i="1"/>
  <c r="FV34" i="1"/>
  <c r="GF34" i="1" s="1"/>
  <c r="FY34" i="1"/>
  <c r="GI34" i="1" s="1"/>
  <c r="FT34" i="1"/>
  <c r="GD34" i="1" s="1"/>
  <c r="FS34" i="1"/>
  <c r="GC34" i="1" s="1"/>
  <c r="FA75" i="1"/>
  <c r="EY75" i="1" s="1"/>
  <c r="EZ75" i="1"/>
  <c r="EX75" i="1" s="1"/>
  <c r="FI75" i="1"/>
  <c r="FG75" i="1" s="1"/>
  <c r="EW75" i="1"/>
  <c r="EU75" i="1" s="1"/>
  <c r="EJ75" i="1"/>
  <c r="EO75" i="1"/>
  <c r="EM75" i="1" s="1"/>
  <c r="EN75" i="1"/>
  <c r="EL75" i="1" s="1"/>
  <c r="EK75" i="1"/>
  <c r="ES75" i="1"/>
  <c r="EQ75" i="1" s="1"/>
  <c r="EV75" i="1"/>
  <c r="ET75" i="1" s="1"/>
  <c r="ER75" i="1"/>
  <c r="EP75" i="1" s="1"/>
  <c r="FM75" i="1"/>
  <c r="FK75" i="1" s="1"/>
  <c r="FD75" i="1"/>
  <c r="FB75" i="1" s="1"/>
  <c r="FL75" i="1"/>
  <c r="FJ75" i="1" s="1"/>
  <c r="FE75" i="1"/>
  <c r="FC75" i="1" s="1"/>
  <c r="FH75" i="1"/>
  <c r="FF75" i="1" s="1"/>
  <c r="FX124" i="1"/>
  <c r="GH124" i="1" s="1"/>
  <c r="FU124" i="1"/>
  <c r="GE124" i="1" s="1"/>
  <c r="FV124" i="1"/>
  <c r="GF124" i="1" s="1"/>
  <c r="FY124" i="1"/>
  <c r="GI124" i="1" s="1"/>
  <c r="FR124" i="1"/>
  <c r="GB124" i="1" s="1"/>
  <c r="FP124" i="1"/>
  <c r="FW124" i="1"/>
  <c r="GG124" i="1" s="1"/>
  <c r="FT124" i="1"/>
  <c r="GD124" i="1" s="1"/>
  <c r="V124" i="1"/>
  <c r="FQ124" i="1"/>
  <c r="FS124" i="1"/>
  <c r="GC124" i="1" s="1"/>
  <c r="IJ143" i="1"/>
  <c r="IK143" i="1" s="1"/>
  <c r="U143" i="1"/>
  <c r="FW64" i="1"/>
  <c r="GG64" i="1" s="1"/>
  <c r="FV64" i="1"/>
  <c r="GF64" i="1" s="1"/>
  <c r="FT64" i="1"/>
  <c r="GD64" i="1" s="1"/>
  <c r="FU64" i="1"/>
  <c r="GE64" i="1" s="1"/>
  <c r="FP64" i="1"/>
  <c r="V64" i="1"/>
  <c r="FX64" i="1"/>
  <c r="GH64" i="1" s="1"/>
  <c r="FR64" i="1"/>
  <c r="GB64" i="1" s="1"/>
  <c r="FS64" i="1"/>
  <c r="GC64" i="1" s="1"/>
  <c r="FY64" i="1"/>
  <c r="GI64" i="1" s="1"/>
  <c r="FQ64" i="1"/>
  <c r="FT31" i="1"/>
  <c r="GD31" i="1" s="1"/>
  <c r="FX31" i="1"/>
  <c r="GH31" i="1" s="1"/>
  <c r="FP31" i="1"/>
  <c r="V31" i="1"/>
  <c r="FR31" i="1"/>
  <c r="FQ31" i="1"/>
  <c r="FS31" i="1"/>
  <c r="GC31" i="1" s="1"/>
  <c r="FV31" i="1"/>
  <c r="GF31" i="1" s="1"/>
  <c r="FY31" i="1"/>
  <c r="GI31" i="1" s="1"/>
  <c r="FU31" i="1"/>
  <c r="GE31" i="1" s="1"/>
  <c r="FW31" i="1"/>
  <c r="GG31" i="1" s="1"/>
  <c r="FX127" i="1"/>
  <c r="GH127" i="1" s="1"/>
  <c r="FW127" i="1"/>
  <c r="GG127" i="1" s="1"/>
  <c r="FP127" i="1"/>
  <c r="FY127" i="1"/>
  <c r="GI127" i="1" s="1"/>
  <c r="V127" i="1"/>
  <c r="FR127" i="1"/>
  <c r="GB127" i="1" s="1"/>
  <c r="FV127" i="1"/>
  <c r="GF127" i="1" s="1"/>
  <c r="FU127" i="1"/>
  <c r="GE127" i="1" s="1"/>
  <c r="FQ127" i="1"/>
  <c r="FS127" i="1"/>
  <c r="GC127" i="1" s="1"/>
  <c r="FT127" i="1"/>
  <c r="GD127" i="1" s="1"/>
  <c r="ES48" i="1"/>
  <c r="EQ48" i="1" s="1"/>
  <c r="FM48" i="1"/>
  <c r="FK48" i="1" s="1"/>
  <c r="EZ48" i="1"/>
  <c r="EX48" i="1" s="1"/>
  <c r="FL48" i="1"/>
  <c r="FJ48" i="1" s="1"/>
  <c r="EK48" i="1"/>
  <c r="EV48" i="1"/>
  <c r="ET48" i="1" s="1"/>
  <c r="FD48" i="1"/>
  <c r="FB48" i="1" s="1"/>
  <c r="FA48" i="1"/>
  <c r="EY48" i="1" s="1"/>
  <c r="ER48" i="1"/>
  <c r="EP48" i="1" s="1"/>
  <c r="EO48" i="1"/>
  <c r="EM48" i="1" s="1"/>
  <c r="EN48" i="1"/>
  <c r="EL48" i="1" s="1"/>
  <c r="FH48" i="1"/>
  <c r="FF48" i="1" s="1"/>
  <c r="EJ48" i="1"/>
  <c r="FE48" i="1"/>
  <c r="FC48" i="1" s="1"/>
  <c r="EW48" i="1"/>
  <c r="EU48" i="1" s="1"/>
  <c r="FI48" i="1"/>
  <c r="FG48" i="1" s="1"/>
  <c r="EW85" i="1"/>
  <c r="EU85" i="1" s="1"/>
  <c r="ES85" i="1"/>
  <c r="EQ85" i="1" s="1"/>
  <c r="EV85" i="1"/>
  <c r="ET85" i="1" s="1"/>
  <c r="EN85" i="1"/>
  <c r="EL85" i="1" s="1"/>
  <c r="FD85" i="1"/>
  <c r="FB85" i="1" s="1"/>
  <c r="EZ85" i="1"/>
  <c r="EX85" i="1" s="1"/>
  <c r="FE85" i="1"/>
  <c r="FC85" i="1" s="1"/>
  <c r="FA85" i="1"/>
  <c r="EY85" i="1" s="1"/>
  <c r="FM85" i="1"/>
  <c r="FK85" i="1" s="1"/>
  <c r="FI85" i="1"/>
  <c r="FG85" i="1" s="1"/>
  <c r="FH85" i="1"/>
  <c r="FF85" i="1" s="1"/>
  <c r="ER85" i="1"/>
  <c r="EP85" i="1" s="1"/>
  <c r="EJ85" i="1"/>
  <c r="EK85" i="1"/>
  <c r="EO85" i="1"/>
  <c r="EM85" i="1" s="1"/>
  <c r="FL85" i="1"/>
  <c r="FJ85" i="1" s="1"/>
  <c r="FI71" i="1"/>
  <c r="FG71" i="1" s="1"/>
  <c r="FA71" i="1"/>
  <c r="EY71" i="1" s="1"/>
  <c r="ER71" i="1"/>
  <c r="EP71" i="1" s="1"/>
  <c r="EO71" i="1"/>
  <c r="EM71" i="1" s="1"/>
  <c r="ES71" i="1"/>
  <c r="EQ71" i="1" s="1"/>
  <c r="FH71" i="1"/>
  <c r="FF71" i="1" s="1"/>
  <c r="FE71" i="1"/>
  <c r="FC71" i="1" s="1"/>
  <c r="FM71" i="1"/>
  <c r="FK71" i="1" s="1"/>
  <c r="EZ71" i="1"/>
  <c r="EX71" i="1" s="1"/>
  <c r="EW71" i="1"/>
  <c r="EU71" i="1" s="1"/>
  <c r="EK71" i="1"/>
  <c r="EV71" i="1"/>
  <c r="ET71" i="1" s="1"/>
  <c r="EN71" i="1"/>
  <c r="EL71" i="1" s="1"/>
  <c r="EJ71" i="1"/>
  <c r="FD71" i="1"/>
  <c r="FB71" i="1" s="1"/>
  <c r="FL71" i="1"/>
  <c r="FJ71" i="1" s="1"/>
  <c r="EN22" i="1"/>
  <c r="EL22" i="1" s="1"/>
  <c r="EW22" i="1"/>
  <c r="EU22" i="1" s="1"/>
  <c r="FH22" i="1"/>
  <c r="FF22" i="1" s="1"/>
  <c r="FE22" i="1"/>
  <c r="FC22" i="1" s="1"/>
  <c r="FI22" i="1"/>
  <c r="FG22" i="1" s="1"/>
  <c r="FD22" i="1"/>
  <c r="FB22" i="1" s="1"/>
  <c r="ER22" i="1"/>
  <c r="EP22" i="1" s="1"/>
  <c r="FL22" i="1"/>
  <c r="FJ22" i="1" s="1"/>
  <c r="EZ22" i="1"/>
  <c r="EX22" i="1" s="1"/>
  <c r="FM22" i="1"/>
  <c r="FK22" i="1" s="1"/>
  <c r="ES22" i="1"/>
  <c r="EQ22" i="1" s="1"/>
  <c r="EO22" i="1"/>
  <c r="EM22" i="1" s="1"/>
  <c r="FA22" i="1"/>
  <c r="EY22" i="1" s="1"/>
  <c r="EK22" i="1"/>
  <c r="EV22" i="1"/>
  <c r="ET22" i="1" s="1"/>
  <c r="EJ22" i="1"/>
  <c r="FY36" i="1"/>
  <c r="GI36" i="1" s="1"/>
  <c r="FS36" i="1"/>
  <c r="GC36" i="1" s="1"/>
  <c r="V36" i="1"/>
  <c r="FW36" i="1"/>
  <c r="GG36" i="1" s="1"/>
  <c r="FP36" i="1"/>
  <c r="FV36" i="1"/>
  <c r="GF36" i="1" s="1"/>
  <c r="FQ36" i="1"/>
  <c r="FX36" i="1"/>
  <c r="GH36" i="1" s="1"/>
  <c r="FT36" i="1"/>
  <c r="GD36" i="1" s="1"/>
  <c r="FR36" i="1"/>
  <c r="GB36" i="1" s="1"/>
  <c r="FU36" i="1"/>
  <c r="GE36" i="1" s="1"/>
  <c r="X99" i="1"/>
  <c r="Y99" i="1" s="1"/>
  <c r="IQ99" i="1"/>
  <c r="FI20" i="1" l="1"/>
  <c r="FG20" i="1" s="1"/>
  <c r="EW20" i="1"/>
  <c r="EU20" i="1" s="1"/>
  <c r="EK20" i="1"/>
  <c r="FD30" i="1"/>
  <c r="FB30" i="1" s="1"/>
  <c r="EZ30" i="1"/>
  <c r="EX30" i="1" s="1"/>
  <c r="FL30" i="1"/>
  <c r="FJ30" i="1" s="1"/>
  <c r="FD137" i="1"/>
  <c r="FB137" i="1" s="1"/>
  <c r="ES86" i="1"/>
  <c r="EQ86" i="1" s="1"/>
  <c r="FH86" i="1"/>
  <c r="FF86" i="1" s="1"/>
  <c r="EO86" i="1"/>
  <c r="EM86" i="1" s="1"/>
  <c r="FD86" i="1"/>
  <c r="FB86" i="1" s="1"/>
  <c r="FM26" i="1"/>
  <c r="FK26" i="1" s="1"/>
  <c r="FA26" i="1"/>
  <c r="EY26" i="1" s="1"/>
  <c r="EZ26" i="1"/>
  <c r="EX26" i="1" s="1"/>
  <c r="FE26" i="1"/>
  <c r="FC26" i="1" s="1"/>
  <c r="EV108" i="1"/>
  <c r="ET108" i="1" s="1"/>
  <c r="FD108" i="1"/>
  <c r="FB108" i="1" s="1"/>
  <c r="EK108" i="1"/>
  <c r="FE108" i="1"/>
  <c r="FC108" i="1" s="1"/>
  <c r="EZ86" i="1"/>
  <c r="EX86" i="1" s="1"/>
  <c r="FL86" i="1"/>
  <c r="FJ86" i="1" s="1"/>
  <c r="FI86" i="1"/>
  <c r="FG86" i="1" s="1"/>
  <c r="FA86" i="1"/>
  <c r="EY86" i="1" s="1"/>
  <c r="EN26" i="1"/>
  <c r="EL26" i="1" s="1"/>
  <c r="EK26" i="1"/>
  <c r="ES26" i="1"/>
  <c r="EQ26" i="1" s="1"/>
  <c r="FD26" i="1"/>
  <c r="FB26" i="1" s="1"/>
  <c r="FM108" i="1"/>
  <c r="FK108" i="1" s="1"/>
  <c r="EW108" i="1"/>
  <c r="EU108" i="1" s="1"/>
  <c r="EN108" i="1"/>
  <c r="EL108" i="1" s="1"/>
  <c r="EJ108" i="1"/>
  <c r="FH30" i="1"/>
  <c r="FF30" i="1" s="1"/>
  <c r="EN30" i="1"/>
  <c r="FM30" i="1"/>
  <c r="FK30" i="1" s="1"/>
  <c r="FA137" i="1"/>
  <c r="EY137" i="1" s="1"/>
  <c r="EN86" i="1"/>
  <c r="EL86" i="1" s="1"/>
  <c r="EK86" i="1"/>
  <c r="FM86" i="1"/>
  <c r="FK86" i="1" s="1"/>
  <c r="ER26" i="1"/>
  <c r="EP26" i="1" s="1"/>
  <c r="EV26" i="1"/>
  <c r="ET26" i="1" s="1"/>
  <c r="EJ26" i="1"/>
  <c r="FL108" i="1"/>
  <c r="FJ108" i="1" s="1"/>
  <c r="EZ108" i="1"/>
  <c r="EX108" i="1" s="1"/>
  <c r="FI108" i="1"/>
  <c r="FG108" i="1" s="1"/>
  <c r="EG137" i="1"/>
  <c r="EV137" i="1"/>
  <c r="ET137" i="1" s="1"/>
  <c r="FI137" i="1"/>
  <c r="FG137" i="1" s="1"/>
  <c r="EW137" i="1"/>
  <c r="EU137" i="1" s="1"/>
  <c r="EK137" i="1"/>
  <c r="EI137" i="1" s="1"/>
  <c r="EZ137" i="1"/>
  <c r="EX137" i="1" s="1"/>
  <c r="FE137" i="1"/>
  <c r="FC137" i="1" s="1"/>
  <c r="EN137" i="1"/>
  <c r="EL137" i="1" s="1"/>
  <c r="ER137" i="1"/>
  <c r="EP137" i="1" s="1"/>
  <c r="FH137" i="1"/>
  <c r="FF137" i="1" s="1"/>
  <c r="FM137" i="1"/>
  <c r="FK137" i="1" s="1"/>
  <c r="EJ137" i="1"/>
  <c r="EH137" i="1" s="1"/>
  <c r="EF137" i="1"/>
  <c r="AS148" i="1"/>
  <c r="AN148" i="1"/>
  <c r="AI148" i="1"/>
  <c r="EH85" i="1"/>
  <c r="FN85" i="1"/>
  <c r="AD85" i="1" s="1"/>
  <c r="EH48" i="1"/>
  <c r="FN48" i="1"/>
  <c r="AD48" i="1" s="1"/>
  <c r="FO48" i="1"/>
  <c r="EI48" i="1"/>
  <c r="EI71" i="1"/>
  <c r="FO71" i="1"/>
  <c r="FN75" i="1"/>
  <c r="AD75" i="1" s="1"/>
  <c r="EH75" i="1"/>
  <c r="GB28" i="1"/>
  <c r="GB31" i="1"/>
  <c r="GB27" i="1"/>
  <c r="GB29" i="1"/>
  <c r="GB30" i="1"/>
  <c r="FN125" i="1"/>
  <c r="AD125" i="1" s="1"/>
  <c r="EH125" i="1"/>
  <c r="FT144" i="1"/>
  <c r="GD144" i="1" s="1"/>
  <c r="FS144" i="1"/>
  <c r="GC144" i="1" s="1"/>
  <c r="FQ144" i="1"/>
  <c r="GA144" i="1" s="1"/>
  <c r="FP144" i="1"/>
  <c r="V144" i="1"/>
  <c r="FX144" i="1"/>
  <c r="GH144" i="1" s="1"/>
  <c r="FU144" i="1"/>
  <c r="GE144" i="1" s="1"/>
  <c r="FW144" i="1"/>
  <c r="GG144" i="1" s="1"/>
  <c r="FR144" i="1"/>
  <c r="GB144" i="1" s="1"/>
  <c r="FV144" i="1"/>
  <c r="GF144" i="1" s="1"/>
  <c r="FY144" i="1"/>
  <c r="GI144" i="1" s="1"/>
  <c r="EH124" i="1"/>
  <c r="FN124" i="1"/>
  <c r="AD124" i="1" s="1"/>
  <c r="FO65" i="1"/>
  <c r="EI65" i="1"/>
  <c r="FO42" i="1"/>
  <c r="EI42" i="1"/>
  <c r="EI51" i="1"/>
  <c r="FO51" i="1"/>
  <c r="EH57" i="1"/>
  <c r="FN57" i="1"/>
  <c r="AD57" i="1" s="1"/>
  <c r="FA143" i="1"/>
  <c r="EY143" i="1" s="1"/>
  <c r="EO143" i="1"/>
  <c r="EM143" i="1" s="1"/>
  <c r="EN143" i="1"/>
  <c r="EL143" i="1" s="1"/>
  <c r="FI143" i="1"/>
  <c r="FG143" i="1" s="1"/>
  <c r="FM143" i="1"/>
  <c r="FK143" i="1" s="1"/>
  <c r="EF143" i="1"/>
  <c r="EG143" i="1"/>
  <c r="FH143" i="1"/>
  <c r="FF143" i="1" s="1"/>
  <c r="ES143" i="1"/>
  <c r="EQ143" i="1" s="1"/>
  <c r="ER143" i="1"/>
  <c r="EP143" i="1" s="1"/>
  <c r="EJ143" i="1"/>
  <c r="EH143" i="1" s="1"/>
  <c r="EK143" i="1"/>
  <c r="EI143" i="1" s="1"/>
  <c r="FE143" i="1"/>
  <c r="FC143" i="1" s="1"/>
  <c r="EV143" i="1"/>
  <c r="ET143" i="1" s="1"/>
  <c r="EZ143" i="1"/>
  <c r="EX143" i="1" s="1"/>
  <c r="FL143" i="1"/>
  <c r="FJ143" i="1" s="1"/>
  <c r="EW143" i="1"/>
  <c r="EU143" i="1" s="1"/>
  <c r="FD143" i="1"/>
  <c r="FB143" i="1" s="1"/>
  <c r="FY134" i="1"/>
  <c r="GI134" i="1" s="1"/>
  <c r="FX134" i="1"/>
  <c r="GH134" i="1" s="1"/>
  <c r="FT134" i="1"/>
  <c r="GD134" i="1" s="1"/>
  <c r="FU134" i="1"/>
  <c r="GE134" i="1" s="1"/>
  <c r="FV134" i="1"/>
  <c r="GF134" i="1" s="1"/>
  <c r="FQ134" i="1"/>
  <c r="GA134" i="1" s="1"/>
  <c r="FS134" i="1"/>
  <c r="GC134" i="1" s="1"/>
  <c r="FR134" i="1"/>
  <c r="GB134" i="1" s="1"/>
  <c r="FP134" i="1"/>
  <c r="FW134" i="1"/>
  <c r="GG134" i="1" s="1"/>
  <c r="V134" i="1"/>
  <c r="GA104" i="1"/>
  <c r="GA112" i="1"/>
  <c r="GA110" i="1"/>
  <c r="GA103" i="1"/>
  <c r="GA111" i="1"/>
  <c r="GA100" i="1"/>
  <c r="GA109" i="1"/>
  <c r="GA106" i="1"/>
  <c r="GA102" i="1"/>
  <c r="GA105" i="1"/>
  <c r="GA107" i="1"/>
  <c r="GA101" i="1"/>
  <c r="GA108" i="1"/>
  <c r="FN68" i="1"/>
  <c r="AD68" i="1" s="1"/>
  <c r="EH68" i="1"/>
  <c r="FN69" i="1"/>
  <c r="AD69" i="1" s="1"/>
  <c r="EH69" i="1"/>
  <c r="EI53" i="1"/>
  <c r="FO53" i="1"/>
  <c r="FL146" i="1"/>
  <c r="FJ146" i="1" s="1"/>
  <c r="FH146" i="1"/>
  <c r="FF146" i="1" s="1"/>
  <c r="EO146" i="1"/>
  <c r="EM146" i="1" s="1"/>
  <c r="EV146" i="1"/>
  <c r="ET146" i="1" s="1"/>
  <c r="EG146" i="1"/>
  <c r="EN146" i="1"/>
  <c r="EL146" i="1" s="1"/>
  <c r="ER146" i="1"/>
  <c r="EP146" i="1" s="1"/>
  <c r="ES146" i="1"/>
  <c r="EQ146" i="1" s="1"/>
  <c r="FE146" i="1"/>
  <c r="FC146" i="1" s="1"/>
  <c r="EF146" i="1"/>
  <c r="EW146" i="1"/>
  <c r="EU146" i="1" s="1"/>
  <c r="FD146" i="1"/>
  <c r="FB146" i="1" s="1"/>
  <c r="FI146" i="1"/>
  <c r="FG146" i="1" s="1"/>
  <c r="EK146" i="1"/>
  <c r="EI146" i="1" s="1"/>
  <c r="FA146" i="1"/>
  <c r="EY146" i="1" s="1"/>
  <c r="EZ146" i="1"/>
  <c r="EX146" i="1" s="1"/>
  <c r="FM146" i="1"/>
  <c r="FK146" i="1" s="1"/>
  <c r="EJ146" i="1"/>
  <c r="EH146" i="1" s="1"/>
  <c r="FO28" i="1"/>
  <c r="EM28" i="1"/>
  <c r="EI23" i="1"/>
  <c r="FO23" i="1"/>
  <c r="EI88" i="1"/>
  <c r="FO88" i="1"/>
  <c r="FO107" i="1"/>
  <c r="EI107" i="1"/>
  <c r="FN101" i="1"/>
  <c r="AD101" i="1" s="1"/>
  <c r="EH101" i="1"/>
  <c r="EI101" i="1"/>
  <c r="FO101" i="1"/>
  <c r="EI91" i="1"/>
  <c r="FO91" i="1"/>
  <c r="GA87" i="1"/>
  <c r="GA84" i="1"/>
  <c r="GA77" i="1"/>
  <c r="GA83" i="1"/>
  <c r="GA81" i="1"/>
  <c r="GA75" i="1"/>
  <c r="GA90" i="1"/>
  <c r="GA80" i="1"/>
  <c r="GA73" i="1"/>
  <c r="GA88" i="1"/>
  <c r="GA74" i="1"/>
  <c r="GA86" i="1"/>
  <c r="GA82" i="1"/>
  <c r="GA79" i="1"/>
  <c r="GA76" i="1"/>
  <c r="GA78" i="1"/>
  <c r="GA91" i="1"/>
  <c r="GA89" i="1"/>
  <c r="GA85" i="1"/>
  <c r="EH47" i="1"/>
  <c r="FN47" i="1"/>
  <c r="AD47" i="1" s="1"/>
  <c r="FO90" i="1"/>
  <c r="EI90" i="1"/>
  <c r="FO104" i="1"/>
  <c r="EI104" i="1"/>
  <c r="FN45" i="1"/>
  <c r="AD45" i="1" s="1"/>
  <c r="EH45" i="1"/>
  <c r="FA147" i="1"/>
  <c r="EY147" i="1" s="1"/>
  <c r="EO147" i="1"/>
  <c r="EM147" i="1" s="1"/>
  <c r="FH147" i="1"/>
  <c r="FF147" i="1" s="1"/>
  <c r="EK147" i="1"/>
  <c r="EI147" i="1" s="1"/>
  <c r="FI147" i="1"/>
  <c r="FG147" i="1" s="1"/>
  <c r="EJ147" i="1"/>
  <c r="EH147" i="1" s="1"/>
  <c r="FE147" i="1"/>
  <c r="FC147" i="1" s="1"/>
  <c r="FL147" i="1"/>
  <c r="FJ147" i="1" s="1"/>
  <c r="EZ147" i="1"/>
  <c r="EX147" i="1" s="1"/>
  <c r="EW147" i="1"/>
  <c r="EU147" i="1" s="1"/>
  <c r="FM147" i="1"/>
  <c r="FK147" i="1" s="1"/>
  <c r="FD147" i="1"/>
  <c r="FB147" i="1" s="1"/>
  <c r="EN147" i="1"/>
  <c r="EL147" i="1" s="1"/>
  <c r="ES147" i="1"/>
  <c r="EQ147" i="1" s="1"/>
  <c r="ER147" i="1"/>
  <c r="EP147" i="1" s="1"/>
  <c r="EV147" i="1"/>
  <c r="ET147" i="1" s="1"/>
  <c r="EG147" i="1"/>
  <c r="EF147" i="1"/>
  <c r="EH20" i="1"/>
  <c r="FN20" i="1"/>
  <c r="AD20" i="1" s="1"/>
  <c r="FO116" i="1"/>
  <c r="EI116" i="1"/>
  <c r="FO39" i="1"/>
  <c r="EI39" i="1"/>
  <c r="FO109" i="1"/>
  <c r="EI109" i="1"/>
  <c r="FU135" i="1"/>
  <c r="GE135" i="1" s="1"/>
  <c r="FV135" i="1"/>
  <c r="GF135" i="1" s="1"/>
  <c r="FQ135" i="1"/>
  <c r="GA135" i="1" s="1"/>
  <c r="FX135" i="1"/>
  <c r="GH135" i="1" s="1"/>
  <c r="FP135" i="1"/>
  <c r="V135" i="1"/>
  <c r="FR135" i="1"/>
  <c r="GB135" i="1" s="1"/>
  <c r="FT135" i="1"/>
  <c r="GD135" i="1" s="1"/>
  <c r="FY135" i="1"/>
  <c r="GI135" i="1" s="1"/>
  <c r="FW135" i="1"/>
  <c r="GG135" i="1" s="1"/>
  <c r="FS135" i="1"/>
  <c r="GC135" i="1" s="1"/>
  <c r="FN63" i="1"/>
  <c r="AD63" i="1" s="1"/>
  <c r="EH63" i="1"/>
  <c r="FO63" i="1"/>
  <c r="EI63" i="1"/>
  <c r="FO137" i="1"/>
  <c r="EE137" i="1"/>
  <c r="FL145" i="1"/>
  <c r="FJ145" i="1" s="1"/>
  <c r="FD145" i="1"/>
  <c r="FB145" i="1" s="1"/>
  <c r="EW145" i="1"/>
  <c r="EU145" i="1" s="1"/>
  <c r="EN145" i="1"/>
  <c r="EL145" i="1" s="1"/>
  <c r="FH145" i="1"/>
  <c r="FF145" i="1" s="1"/>
  <c r="FA145" i="1"/>
  <c r="EY145" i="1" s="1"/>
  <c r="ER145" i="1"/>
  <c r="EP145" i="1" s="1"/>
  <c r="EJ145" i="1"/>
  <c r="EH145" i="1" s="1"/>
  <c r="FE145" i="1"/>
  <c r="FC145" i="1" s="1"/>
  <c r="EZ145" i="1"/>
  <c r="EX145" i="1" s="1"/>
  <c r="ES145" i="1"/>
  <c r="EQ145" i="1" s="1"/>
  <c r="EK145" i="1"/>
  <c r="EI145" i="1" s="1"/>
  <c r="EG145" i="1"/>
  <c r="FI145" i="1"/>
  <c r="FG145" i="1" s="1"/>
  <c r="FM145" i="1"/>
  <c r="FK145" i="1" s="1"/>
  <c r="EF145" i="1"/>
  <c r="EO145" i="1"/>
  <c r="EM145" i="1" s="1"/>
  <c r="EV145" i="1"/>
  <c r="ET145" i="1" s="1"/>
  <c r="FN70" i="1"/>
  <c r="AD70" i="1" s="1"/>
  <c r="EH70" i="1"/>
  <c r="EI94" i="1"/>
  <c r="FO94" i="1"/>
  <c r="EI86" i="1"/>
  <c r="FO86" i="1"/>
  <c r="FO111" i="1"/>
  <c r="EI111" i="1"/>
  <c r="EI38" i="1"/>
  <c r="FO38" i="1"/>
  <c r="FN26" i="1"/>
  <c r="AD26" i="1" s="1"/>
  <c r="EH26" i="1"/>
  <c r="EI119" i="1"/>
  <c r="FO119" i="1"/>
  <c r="FO25" i="1"/>
  <c r="EI25" i="1"/>
  <c r="FN138" i="1"/>
  <c r="AD138" i="1" s="1"/>
  <c r="ED138" i="1"/>
  <c r="EH22" i="1"/>
  <c r="FN22" i="1"/>
  <c r="AD22" i="1" s="1"/>
  <c r="GA125" i="1"/>
  <c r="GA124" i="1"/>
  <c r="GA128" i="1"/>
  <c r="GA127" i="1"/>
  <c r="GA123" i="1"/>
  <c r="GA126" i="1"/>
  <c r="EI114" i="1"/>
  <c r="FO114" i="1"/>
  <c r="FN58" i="1"/>
  <c r="AD58" i="1" s="1"/>
  <c r="EH58" i="1"/>
  <c r="EI58" i="1"/>
  <c r="FO58" i="1"/>
  <c r="EH54" i="1"/>
  <c r="FN54" i="1"/>
  <c r="AD54" i="1" s="1"/>
  <c r="EI37" i="1"/>
  <c r="FO37" i="1"/>
  <c r="EI40" i="1"/>
  <c r="FO40" i="1"/>
  <c r="FO125" i="1"/>
  <c r="EI125" i="1"/>
  <c r="FN59" i="1"/>
  <c r="AD59" i="1" s="1"/>
  <c r="EH59" i="1"/>
  <c r="FN77" i="1"/>
  <c r="AD77" i="1" s="1"/>
  <c r="EH77" i="1"/>
  <c r="FO46" i="1"/>
  <c r="EI46" i="1"/>
  <c r="FO83" i="1"/>
  <c r="EI83" i="1"/>
  <c r="FN65" i="1"/>
  <c r="AD65" i="1" s="1"/>
  <c r="EH65" i="1"/>
  <c r="FN33" i="1"/>
  <c r="AD33" i="1" s="1"/>
  <c r="EH33" i="1"/>
  <c r="ER98" i="1"/>
  <c r="EP98" i="1" s="1"/>
  <c r="EZ98" i="1"/>
  <c r="EX98" i="1" s="1"/>
  <c r="EG98" i="1"/>
  <c r="EE98" i="1" s="1"/>
  <c r="EO98" i="1"/>
  <c r="EM98" i="1" s="1"/>
  <c r="FL98" i="1"/>
  <c r="FJ98" i="1" s="1"/>
  <c r="FE98" i="1"/>
  <c r="FC98" i="1" s="1"/>
  <c r="EV98" i="1"/>
  <c r="ET98" i="1" s="1"/>
  <c r="FD98" i="1"/>
  <c r="FB98" i="1" s="1"/>
  <c r="EW98" i="1"/>
  <c r="EU98" i="1" s="1"/>
  <c r="FI98" i="1"/>
  <c r="FG98" i="1" s="1"/>
  <c r="EK98" i="1"/>
  <c r="EI98" i="1" s="1"/>
  <c r="EN98" i="1"/>
  <c r="EL98" i="1" s="1"/>
  <c r="ES98" i="1"/>
  <c r="EQ98" i="1" s="1"/>
  <c r="FH98" i="1"/>
  <c r="FF98" i="1" s="1"/>
  <c r="EF98" i="1"/>
  <c r="ED98" i="1" s="1"/>
  <c r="FA98" i="1"/>
  <c r="EY98" i="1" s="1"/>
  <c r="EJ98" i="1"/>
  <c r="EH98" i="1" s="1"/>
  <c r="FM98" i="1"/>
  <c r="FK98" i="1" s="1"/>
  <c r="EH76" i="1"/>
  <c r="FN76" i="1"/>
  <c r="AD76" i="1" s="1"/>
  <c r="EI115" i="1"/>
  <c r="FO115" i="1"/>
  <c r="FN51" i="1"/>
  <c r="AD51" i="1" s="1"/>
  <c r="EH51" i="1"/>
  <c r="FO72" i="1"/>
  <c r="EI72" i="1"/>
  <c r="EH79" i="1"/>
  <c r="FN79" i="1"/>
  <c r="AD79" i="1" s="1"/>
  <c r="EI69" i="1"/>
  <c r="FO69" i="1"/>
  <c r="FN28" i="1"/>
  <c r="AD28" i="1" s="1"/>
  <c r="EL28" i="1"/>
  <c r="EH23" i="1"/>
  <c r="FN23" i="1"/>
  <c r="AD23" i="1" s="1"/>
  <c r="EL29" i="1"/>
  <c r="FN29" i="1"/>
  <c r="AD29" i="1" s="1"/>
  <c r="EH95" i="1"/>
  <c r="FN95" i="1"/>
  <c r="AD95" i="1" s="1"/>
  <c r="FO112" i="1"/>
  <c r="EI112" i="1"/>
  <c r="FE133" i="1"/>
  <c r="FC133" i="1" s="1"/>
  <c r="FL133" i="1"/>
  <c r="FJ133" i="1" s="1"/>
  <c r="EW133" i="1"/>
  <c r="EU133" i="1" s="1"/>
  <c r="EK133" i="1"/>
  <c r="EI133" i="1" s="1"/>
  <c r="FI133" i="1"/>
  <c r="FG133" i="1" s="1"/>
  <c r="EV133" i="1"/>
  <c r="ET133" i="1" s="1"/>
  <c r="EG133" i="1"/>
  <c r="EO133" i="1"/>
  <c r="EM133" i="1" s="1"/>
  <c r="ER133" i="1"/>
  <c r="EP133" i="1" s="1"/>
  <c r="ES133" i="1"/>
  <c r="EQ133" i="1" s="1"/>
  <c r="EZ133" i="1"/>
  <c r="EX133" i="1" s="1"/>
  <c r="EN133" i="1"/>
  <c r="EL133" i="1" s="1"/>
  <c r="EF133" i="1"/>
  <c r="FA133" i="1"/>
  <c r="EY133" i="1" s="1"/>
  <c r="FM133" i="1"/>
  <c r="FK133" i="1" s="1"/>
  <c r="EJ133" i="1"/>
  <c r="EH133" i="1" s="1"/>
  <c r="FH133" i="1"/>
  <c r="FF133" i="1" s="1"/>
  <c r="FD133" i="1"/>
  <c r="FB133" i="1" s="1"/>
  <c r="FN107" i="1"/>
  <c r="AD107" i="1" s="1"/>
  <c r="EH107" i="1"/>
  <c r="EI32" i="1"/>
  <c r="FO32" i="1"/>
  <c r="EH32" i="1"/>
  <c r="FN32" i="1"/>
  <c r="AD32" i="1" s="1"/>
  <c r="FN66" i="1"/>
  <c r="AD66" i="1" s="1"/>
  <c r="EH66" i="1"/>
  <c r="FU132" i="1"/>
  <c r="GE132" i="1" s="1"/>
  <c r="FS132" i="1"/>
  <c r="GC132" i="1" s="1"/>
  <c r="FR132" i="1"/>
  <c r="GB132" i="1" s="1"/>
  <c r="FV132" i="1"/>
  <c r="GF132" i="1" s="1"/>
  <c r="FY132" i="1"/>
  <c r="GI132" i="1" s="1"/>
  <c r="FX132" i="1"/>
  <c r="GH132" i="1" s="1"/>
  <c r="FQ132" i="1"/>
  <c r="GA132" i="1" s="1"/>
  <c r="FW132" i="1"/>
  <c r="GG132" i="1" s="1"/>
  <c r="FP132" i="1"/>
  <c r="FT132" i="1"/>
  <c r="GD132" i="1" s="1"/>
  <c r="V132" i="1"/>
  <c r="FN122" i="1"/>
  <c r="AD122" i="1" s="1"/>
  <c r="EH122" i="1"/>
  <c r="EH64" i="1"/>
  <c r="FN64" i="1"/>
  <c r="AD64" i="1" s="1"/>
  <c r="EI45" i="1"/>
  <c r="FO45" i="1"/>
  <c r="FN43" i="1"/>
  <c r="AD43" i="1" s="1"/>
  <c r="EH43" i="1"/>
  <c r="EH126" i="1"/>
  <c r="FN126" i="1"/>
  <c r="AD126" i="1" s="1"/>
  <c r="EI20" i="1"/>
  <c r="FO20" i="1"/>
  <c r="EH116" i="1"/>
  <c r="FN116" i="1"/>
  <c r="AD116" i="1" s="1"/>
  <c r="FO117" i="1"/>
  <c r="EI117" i="1"/>
  <c r="FO56" i="1"/>
  <c r="EI56" i="1"/>
  <c r="EH56" i="1"/>
  <c r="FN56" i="1"/>
  <c r="AD56" i="1" s="1"/>
  <c r="FO62" i="1"/>
  <c r="EI62" i="1"/>
  <c r="FN62" i="1"/>
  <c r="AD62" i="1" s="1"/>
  <c r="EH62" i="1"/>
  <c r="FO128" i="1"/>
  <c r="EI128" i="1"/>
  <c r="FN128" i="1"/>
  <c r="AD128" i="1" s="1"/>
  <c r="EH128" i="1"/>
  <c r="EI41" i="1"/>
  <c r="FO41" i="1"/>
  <c r="FN137" i="1"/>
  <c r="AD137" i="1" s="1"/>
  <c r="ED137" i="1"/>
  <c r="EI70" i="1"/>
  <c r="FO70" i="1"/>
  <c r="FO60" i="1"/>
  <c r="EI60" i="1"/>
  <c r="FN38" i="1"/>
  <c r="AD38" i="1" s="1"/>
  <c r="EH38" i="1"/>
  <c r="EH24" i="1"/>
  <c r="FN24" i="1"/>
  <c r="AD24" i="1" s="1"/>
  <c r="FO26" i="1"/>
  <c r="EI26" i="1"/>
  <c r="EI74" i="1"/>
  <c r="FO74" i="1"/>
  <c r="FN25" i="1"/>
  <c r="AD25" i="1" s="1"/>
  <c r="EH25" i="1"/>
  <c r="EI120" i="1"/>
  <c r="FO120" i="1"/>
  <c r="FO127" i="1"/>
  <c r="EI127" i="1"/>
  <c r="EH108" i="1"/>
  <c r="FN108" i="1"/>
  <c r="AD108" i="1" s="1"/>
  <c r="FN67" i="1"/>
  <c r="AD67" i="1" s="1"/>
  <c r="EH67" i="1"/>
  <c r="FT129" i="1"/>
  <c r="GD129" i="1" s="1"/>
  <c r="FR129" i="1"/>
  <c r="GB129" i="1" s="1"/>
  <c r="FX129" i="1"/>
  <c r="GH129" i="1" s="1"/>
  <c r="FV129" i="1"/>
  <c r="GF129" i="1" s="1"/>
  <c r="FY129" i="1"/>
  <c r="GI129" i="1" s="1"/>
  <c r="FP129" i="1"/>
  <c r="FQ129" i="1"/>
  <c r="GA129" i="1" s="1"/>
  <c r="V129" i="1"/>
  <c r="FS129" i="1"/>
  <c r="GC129" i="1" s="1"/>
  <c r="FW129" i="1"/>
  <c r="GG129" i="1" s="1"/>
  <c r="FU129" i="1"/>
  <c r="GE129" i="1" s="1"/>
  <c r="FI99" i="1"/>
  <c r="FG99" i="1" s="1"/>
  <c r="FL99" i="1"/>
  <c r="FJ99" i="1" s="1"/>
  <c r="EO99" i="1"/>
  <c r="EM99" i="1" s="1"/>
  <c r="FM99" i="1"/>
  <c r="FK99" i="1" s="1"/>
  <c r="EJ99" i="1"/>
  <c r="EH99" i="1" s="1"/>
  <c r="FE99" i="1"/>
  <c r="FC99" i="1" s="1"/>
  <c r="EN99" i="1"/>
  <c r="EL99" i="1" s="1"/>
  <c r="EZ99" i="1"/>
  <c r="EX99" i="1" s="1"/>
  <c r="EV99" i="1"/>
  <c r="ET99" i="1" s="1"/>
  <c r="EK99" i="1"/>
  <c r="EI99" i="1" s="1"/>
  <c r="FA99" i="1"/>
  <c r="EY99" i="1" s="1"/>
  <c r="EG99" i="1"/>
  <c r="ES99" i="1"/>
  <c r="EQ99" i="1" s="1"/>
  <c r="FD99" i="1"/>
  <c r="FB99" i="1" s="1"/>
  <c r="FH99" i="1"/>
  <c r="FF99" i="1" s="1"/>
  <c r="EW99" i="1"/>
  <c r="EU99" i="1" s="1"/>
  <c r="EF99" i="1"/>
  <c r="ER99" i="1"/>
  <c r="EP99" i="1" s="1"/>
  <c r="EH114" i="1"/>
  <c r="FN114" i="1"/>
  <c r="AD114" i="1" s="1"/>
  <c r="FO110" i="1"/>
  <c r="EI110" i="1"/>
  <c r="EI54" i="1"/>
  <c r="FO54" i="1"/>
  <c r="FN37" i="1"/>
  <c r="AD37" i="1" s="1"/>
  <c r="EH37" i="1"/>
  <c r="EH80" i="1"/>
  <c r="FN80" i="1"/>
  <c r="AD80" i="1" s="1"/>
  <c r="ES131" i="1"/>
  <c r="EQ131" i="1" s="1"/>
  <c r="EN131" i="1"/>
  <c r="EL131" i="1" s="1"/>
  <c r="FD131" i="1"/>
  <c r="FB131" i="1" s="1"/>
  <c r="EW131" i="1"/>
  <c r="EU131" i="1" s="1"/>
  <c r="FA131" i="1"/>
  <c r="EY131" i="1" s="1"/>
  <c r="EZ131" i="1"/>
  <c r="EX131" i="1" s="1"/>
  <c r="EO131" i="1"/>
  <c r="EM131" i="1" s="1"/>
  <c r="FH131" i="1"/>
  <c r="FF131" i="1" s="1"/>
  <c r="ER131" i="1"/>
  <c r="EP131" i="1" s="1"/>
  <c r="EG131" i="1"/>
  <c r="EK131" i="1"/>
  <c r="EI131" i="1" s="1"/>
  <c r="FL131" i="1"/>
  <c r="FJ131" i="1" s="1"/>
  <c r="FM131" i="1"/>
  <c r="FK131" i="1" s="1"/>
  <c r="EF131" i="1"/>
  <c r="FI131" i="1"/>
  <c r="FG131" i="1" s="1"/>
  <c r="EV131" i="1"/>
  <c r="ET131" i="1" s="1"/>
  <c r="EJ131" i="1"/>
  <c r="EH131" i="1" s="1"/>
  <c r="FE131" i="1"/>
  <c r="FC131" i="1" s="1"/>
  <c r="EI59" i="1"/>
  <c r="FO59" i="1"/>
  <c r="EI77" i="1"/>
  <c r="FO77" i="1"/>
  <c r="EH93" i="1"/>
  <c r="FN93" i="1"/>
  <c r="AD93" i="1" s="1"/>
  <c r="V133" i="1"/>
  <c r="FP133" i="1"/>
  <c r="FY133" i="1"/>
  <c r="GI133" i="1" s="1"/>
  <c r="FW133" i="1"/>
  <c r="GG133" i="1" s="1"/>
  <c r="FQ133" i="1"/>
  <c r="GA133" i="1" s="1"/>
  <c r="FR133" i="1"/>
  <c r="GB133" i="1" s="1"/>
  <c r="FS133" i="1"/>
  <c r="GC133" i="1" s="1"/>
  <c r="FT133" i="1"/>
  <c r="GD133" i="1" s="1"/>
  <c r="FX133" i="1"/>
  <c r="GH133" i="1" s="1"/>
  <c r="FV133" i="1"/>
  <c r="GF133" i="1" s="1"/>
  <c r="FU133" i="1"/>
  <c r="GE133" i="1" s="1"/>
  <c r="V97" i="1"/>
  <c r="FR97" i="1"/>
  <c r="GB97" i="1" s="1"/>
  <c r="FU97" i="1"/>
  <c r="GE97" i="1" s="1"/>
  <c r="FV97" i="1"/>
  <c r="GF97" i="1" s="1"/>
  <c r="FY97" i="1"/>
  <c r="GI97" i="1" s="1"/>
  <c r="FS97" i="1"/>
  <c r="GC97" i="1" s="1"/>
  <c r="FT97" i="1"/>
  <c r="GD97" i="1" s="1"/>
  <c r="FQ97" i="1"/>
  <c r="GA97" i="1" s="1"/>
  <c r="FP97" i="1"/>
  <c r="FX97" i="1"/>
  <c r="GH97" i="1" s="1"/>
  <c r="FW97" i="1"/>
  <c r="GG97" i="1" s="1"/>
  <c r="EH83" i="1"/>
  <c r="FN83" i="1"/>
  <c r="AD83" i="1" s="1"/>
  <c r="ES129" i="1"/>
  <c r="EQ129" i="1" s="1"/>
  <c r="EK129" i="1"/>
  <c r="EI129" i="1" s="1"/>
  <c r="EZ129" i="1"/>
  <c r="EX129" i="1" s="1"/>
  <c r="FL129" i="1"/>
  <c r="FJ129" i="1" s="1"/>
  <c r="EN129" i="1"/>
  <c r="EL129" i="1" s="1"/>
  <c r="EW129" i="1"/>
  <c r="EU129" i="1" s="1"/>
  <c r="EF129" i="1"/>
  <c r="EG129" i="1"/>
  <c r="FH129" i="1"/>
  <c r="FF129" i="1" s="1"/>
  <c r="FE129" i="1"/>
  <c r="FC129" i="1" s="1"/>
  <c r="EO129" i="1"/>
  <c r="EM129" i="1" s="1"/>
  <c r="ER129" i="1"/>
  <c r="EP129" i="1" s="1"/>
  <c r="FM129" i="1"/>
  <c r="FK129" i="1" s="1"/>
  <c r="EJ129" i="1"/>
  <c r="EH129" i="1" s="1"/>
  <c r="FA129" i="1"/>
  <c r="EY129" i="1" s="1"/>
  <c r="EV129" i="1"/>
  <c r="ET129" i="1" s="1"/>
  <c r="FD129" i="1"/>
  <c r="FB129" i="1" s="1"/>
  <c r="FI129" i="1"/>
  <c r="FG129" i="1" s="1"/>
  <c r="FN42" i="1"/>
  <c r="AD42" i="1" s="1"/>
  <c r="EH42" i="1"/>
  <c r="EI81" i="1"/>
  <c r="FO81" i="1"/>
  <c r="FW99" i="1"/>
  <c r="GG99" i="1" s="1"/>
  <c r="FV99" i="1"/>
  <c r="GF99" i="1" s="1"/>
  <c r="FT99" i="1"/>
  <c r="GD99" i="1" s="1"/>
  <c r="FQ99" i="1"/>
  <c r="GA99" i="1" s="1"/>
  <c r="V99" i="1"/>
  <c r="FX99" i="1"/>
  <c r="GH99" i="1" s="1"/>
  <c r="FY99" i="1"/>
  <c r="GI99" i="1" s="1"/>
  <c r="FP99" i="1"/>
  <c r="FS99" i="1"/>
  <c r="GC99" i="1" s="1"/>
  <c r="FU99" i="1"/>
  <c r="GE99" i="1" s="1"/>
  <c r="FR99" i="1"/>
  <c r="GB99" i="1" s="1"/>
  <c r="EH115" i="1"/>
  <c r="FN115" i="1"/>
  <c r="AD115" i="1" s="1"/>
  <c r="FO57" i="1"/>
  <c r="EI57" i="1"/>
  <c r="FN72" i="1"/>
  <c r="AD72" i="1" s="1"/>
  <c r="EH72" i="1"/>
  <c r="EI79" i="1"/>
  <c r="FO79" i="1"/>
  <c r="EH49" i="1"/>
  <c r="FN49" i="1"/>
  <c r="AD49" i="1" s="1"/>
  <c r="FO68" i="1"/>
  <c r="EI68" i="1"/>
  <c r="FN53" i="1"/>
  <c r="AD53" i="1" s="1"/>
  <c r="EH53" i="1"/>
  <c r="FO31" i="1"/>
  <c r="EM31" i="1"/>
  <c r="FO140" i="1"/>
  <c r="EE140" i="1"/>
  <c r="GA118" i="1"/>
  <c r="GA120" i="1"/>
  <c r="GA119" i="1"/>
  <c r="GA122" i="1"/>
  <c r="GA121" i="1"/>
  <c r="FN121" i="1"/>
  <c r="AD121" i="1" s="1"/>
  <c r="EH121" i="1"/>
  <c r="FN96" i="1"/>
  <c r="AD96" i="1" s="1"/>
  <c r="EH96" i="1"/>
  <c r="FO95" i="1"/>
  <c r="EI95" i="1"/>
  <c r="EH82" i="1"/>
  <c r="FN82" i="1"/>
  <c r="AD82" i="1" s="1"/>
  <c r="FO82" i="1"/>
  <c r="EI82" i="1"/>
  <c r="GA34" i="1"/>
  <c r="GA46" i="1"/>
  <c r="GA33" i="1"/>
  <c r="GA42" i="1"/>
  <c r="GA38" i="1"/>
  <c r="GA31" i="1"/>
  <c r="GA48" i="1"/>
  <c r="GA52" i="1"/>
  <c r="GA36" i="1"/>
  <c r="GA49" i="1"/>
  <c r="GA41" i="1"/>
  <c r="GA40" i="1"/>
  <c r="GA30" i="1"/>
  <c r="GA43" i="1"/>
  <c r="GA20" i="1"/>
  <c r="GA21" i="1"/>
  <c r="GA23" i="1"/>
  <c r="GA47" i="1"/>
  <c r="GA54" i="1"/>
  <c r="GA39" i="1"/>
  <c r="GA45" i="1"/>
  <c r="GA44" i="1"/>
  <c r="GA22" i="1"/>
  <c r="GA19" i="1"/>
  <c r="GA37" i="1"/>
  <c r="GA25" i="1"/>
  <c r="GA50" i="1"/>
  <c r="GA24" i="1"/>
  <c r="GA35" i="1"/>
  <c r="GA51" i="1"/>
  <c r="GA29" i="1"/>
  <c r="GA27" i="1"/>
  <c r="GA53" i="1"/>
  <c r="GA28" i="1"/>
  <c r="GA26" i="1"/>
  <c r="GA32" i="1"/>
  <c r="FN88" i="1"/>
  <c r="AD88" i="1" s="1"/>
  <c r="EH88" i="1"/>
  <c r="FO61" i="1"/>
  <c r="EI61" i="1"/>
  <c r="FN61" i="1"/>
  <c r="AD61" i="1" s="1"/>
  <c r="EH61" i="1"/>
  <c r="FO66" i="1"/>
  <c r="EI66" i="1"/>
  <c r="EW130" i="1"/>
  <c r="EU130" i="1" s="1"/>
  <c r="EK130" i="1"/>
  <c r="EI130" i="1" s="1"/>
  <c r="EN130" i="1"/>
  <c r="EL130" i="1" s="1"/>
  <c r="ER130" i="1"/>
  <c r="EP130" i="1" s="1"/>
  <c r="FL130" i="1"/>
  <c r="FJ130" i="1" s="1"/>
  <c r="FH130" i="1"/>
  <c r="FF130" i="1" s="1"/>
  <c r="FE130" i="1"/>
  <c r="FC130" i="1" s="1"/>
  <c r="FD130" i="1"/>
  <c r="FB130" i="1" s="1"/>
  <c r="EV130" i="1"/>
  <c r="ET130" i="1" s="1"/>
  <c r="ES130" i="1"/>
  <c r="EQ130" i="1" s="1"/>
  <c r="FI130" i="1"/>
  <c r="FG130" i="1" s="1"/>
  <c r="FM130" i="1"/>
  <c r="FK130" i="1" s="1"/>
  <c r="EG130" i="1"/>
  <c r="FA130" i="1"/>
  <c r="EY130" i="1" s="1"/>
  <c r="EZ130" i="1"/>
  <c r="EX130" i="1" s="1"/>
  <c r="EF130" i="1"/>
  <c r="EJ130" i="1"/>
  <c r="EH130" i="1" s="1"/>
  <c r="EO130" i="1"/>
  <c r="EM130" i="1" s="1"/>
  <c r="EN135" i="1"/>
  <c r="EL135" i="1" s="1"/>
  <c r="ER135" i="1"/>
  <c r="EP135" i="1" s="1"/>
  <c r="EO135" i="1"/>
  <c r="EM135" i="1" s="1"/>
  <c r="EK135" i="1"/>
  <c r="EI135" i="1" s="1"/>
  <c r="FA135" i="1"/>
  <c r="EY135" i="1" s="1"/>
  <c r="EW135" i="1"/>
  <c r="EU135" i="1" s="1"/>
  <c r="EF135" i="1"/>
  <c r="FM135" i="1"/>
  <c r="FK135" i="1" s="1"/>
  <c r="EG135" i="1"/>
  <c r="EJ135" i="1"/>
  <c r="EH135" i="1" s="1"/>
  <c r="EV135" i="1"/>
  <c r="ET135" i="1" s="1"/>
  <c r="ES135" i="1"/>
  <c r="EQ135" i="1" s="1"/>
  <c r="FD135" i="1"/>
  <c r="FB135" i="1" s="1"/>
  <c r="FH135" i="1"/>
  <c r="FF135" i="1" s="1"/>
  <c r="FI135" i="1"/>
  <c r="FG135" i="1" s="1"/>
  <c r="FE135" i="1"/>
  <c r="FC135" i="1" s="1"/>
  <c r="EZ135" i="1"/>
  <c r="EX135" i="1" s="1"/>
  <c r="FL135" i="1"/>
  <c r="FJ135" i="1" s="1"/>
  <c r="EI47" i="1"/>
  <c r="FO47" i="1"/>
  <c r="EI21" i="1"/>
  <c r="FO21" i="1"/>
  <c r="FO102" i="1"/>
  <c r="EI102" i="1"/>
  <c r="FN102" i="1"/>
  <c r="AD102" i="1" s="1"/>
  <c r="EH102" i="1"/>
  <c r="FN139" i="1"/>
  <c r="AD139" i="1" s="1"/>
  <c r="ED139" i="1"/>
  <c r="ES136" i="1"/>
  <c r="EQ136" i="1" s="1"/>
  <c r="FE136" i="1"/>
  <c r="FC136" i="1" s="1"/>
  <c r="EF136" i="1"/>
  <c r="EG136" i="1"/>
  <c r="EN136" i="1"/>
  <c r="EL136" i="1" s="1"/>
  <c r="EV136" i="1"/>
  <c r="ET136" i="1" s="1"/>
  <c r="EO136" i="1"/>
  <c r="EM136" i="1" s="1"/>
  <c r="FH136" i="1"/>
  <c r="FF136" i="1" s="1"/>
  <c r="FA136" i="1"/>
  <c r="EY136" i="1" s="1"/>
  <c r="ER136" i="1"/>
  <c r="EP136" i="1" s="1"/>
  <c r="EW136" i="1"/>
  <c r="EU136" i="1" s="1"/>
  <c r="EJ136" i="1"/>
  <c r="EH136" i="1" s="1"/>
  <c r="EZ136" i="1"/>
  <c r="EX136" i="1" s="1"/>
  <c r="FI136" i="1"/>
  <c r="FG136" i="1" s="1"/>
  <c r="EK136" i="1"/>
  <c r="EI136" i="1" s="1"/>
  <c r="FD136" i="1"/>
  <c r="FB136" i="1" s="1"/>
  <c r="FL136" i="1"/>
  <c r="FJ136" i="1" s="1"/>
  <c r="FM136" i="1"/>
  <c r="FK136" i="1" s="1"/>
  <c r="FM142" i="1"/>
  <c r="FK142" i="1" s="1"/>
  <c r="FH142" i="1"/>
  <c r="FF142" i="1" s="1"/>
  <c r="FE142" i="1"/>
  <c r="FC142" i="1" s="1"/>
  <c r="EW142" i="1"/>
  <c r="EU142" i="1" s="1"/>
  <c r="EZ142" i="1"/>
  <c r="EX142" i="1" s="1"/>
  <c r="EG142" i="1"/>
  <c r="FD142" i="1"/>
  <c r="FB142" i="1" s="1"/>
  <c r="FI142" i="1"/>
  <c r="FG142" i="1" s="1"/>
  <c r="EV142" i="1"/>
  <c r="ET142" i="1" s="1"/>
  <c r="EJ142" i="1"/>
  <c r="EH142" i="1" s="1"/>
  <c r="EO142" i="1"/>
  <c r="EM142" i="1" s="1"/>
  <c r="ES142" i="1"/>
  <c r="EQ142" i="1" s="1"/>
  <c r="ER142" i="1"/>
  <c r="EP142" i="1" s="1"/>
  <c r="FA142" i="1"/>
  <c r="EY142" i="1" s="1"/>
  <c r="EF142" i="1"/>
  <c r="FL142" i="1"/>
  <c r="FJ142" i="1" s="1"/>
  <c r="EK142" i="1"/>
  <c r="EI142" i="1" s="1"/>
  <c r="EN142" i="1"/>
  <c r="EL142" i="1" s="1"/>
  <c r="EH84" i="1"/>
  <c r="FN84" i="1"/>
  <c r="AD84" i="1" s="1"/>
  <c r="FO103" i="1"/>
  <c r="EI103" i="1"/>
  <c r="FN35" i="1"/>
  <c r="AD35" i="1" s="1"/>
  <c r="EH35" i="1"/>
  <c r="FO43" i="1"/>
  <c r="EI43" i="1"/>
  <c r="EI126" i="1"/>
  <c r="FO126" i="1"/>
  <c r="EG141" i="1"/>
  <c r="FI141" i="1"/>
  <c r="FG141" i="1" s="1"/>
  <c r="EZ141" i="1"/>
  <c r="EX141" i="1" s="1"/>
  <c r="ES141" i="1"/>
  <c r="EQ141" i="1" s="1"/>
  <c r="FE141" i="1"/>
  <c r="FC141" i="1" s="1"/>
  <c r="EV141" i="1"/>
  <c r="ET141" i="1" s="1"/>
  <c r="FH141" i="1"/>
  <c r="FF141" i="1" s="1"/>
  <c r="EN141" i="1"/>
  <c r="EL141" i="1" s="1"/>
  <c r="EJ141" i="1"/>
  <c r="EH141" i="1" s="1"/>
  <c r="EF141" i="1"/>
  <c r="FD141" i="1"/>
  <c r="FB141" i="1" s="1"/>
  <c r="FM141" i="1"/>
  <c r="FK141" i="1" s="1"/>
  <c r="EO141" i="1"/>
  <c r="EM141" i="1" s="1"/>
  <c r="EW141" i="1"/>
  <c r="EU141" i="1" s="1"/>
  <c r="FL141" i="1"/>
  <c r="FJ141" i="1" s="1"/>
  <c r="EK141" i="1"/>
  <c r="EI141" i="1" s="1"/>
  <c r="FA141" i="1"/>
  <c r="EY141" i="1" s="1"/>
  <c r="ER141" i="1"/>
  <c r="EP141" i="1" s="1"/>
  <c r="EL30" i="1"/>
  <c r="FN30" i="1"/>
  <c r="AD30" i="1" s="1"/>
  <c r="EH52" i="1"/>
  <c r="FN52" i="1"/>
  <c r="AD52" i="1" s="1"/>
  <c r="EH50" i="1"/>
  <c r="FN50" i="1"/>
  <c r="AD50" i="1" s="1"/>
  <c r="EN134" i="1"/>
  <c r="EL134" i="1" s="1"/>
  <c r="FH134" i="1"/>
  <c r="FF134" i="1" s="1"/>
  <c r="ER134" i="1"/>
  <c r="EP134" i="1" s="1"/>
  <c r="EZ134" i="1"/>
  <c r="EX134" i="1" s="1"/>
  <c r="EK134" i="1"/>
  <c r="EI134" i="1" s="1"/>
  <c r="FA134" i="1"/>
  <c r="EY134" i="1" s="1"/>
  <c r="FM134" i="1"/>
  <c r="FK134" i="1" s="1"/>
  <c r="ES134" i="1"/>
  <c r="EQ134" i="1" s="1"/>
  <c r="EF134" i="1"/>
  <c r="EG134" i="1"/>
  <c r="EJ134" i="1"/>
  <c r="EH134" i="1" s="1"/>
  <c r="EV134" i="1"/>
  <c r="ET134" i="1" s="1"/>
  <c r="EO134" i="1"/>
  <c r="EM134" i="1" s="1"/>
  <c r="FL134" i="1"/>
  <c r="FJ134" i="1" s="1"/>
  <c r="FI134" i="1"/>
  <c r="FG134" i="1" s="1"/>
  <c r="FD134" i="1"/>
  <c r="FB134" i="1" s="1"/>
  <c r="FE134" i="1"/>
  <c r="FC134" i="1" s="1"/>
  <c r="EW134" i="1"/>
  <c r="EU134" i="1" s="1"/>
  <c r="EH41" i="1"/>
  <c r="FN41" i="1"/>
  <c r="AD41" i="1" s="1"/>
  <c r="EH105" i="1"/>
  <c r="FN105" i="1"/>
  <c r="AD105" i="1" s="1"/>
  <c r="AI17" i="1"/>
  <c r="AS17" i="1"/>
  <c r="AN17" i="1"/>
  <c r="EG144" i="1"/>
  <c r="EE144" i="1" s="1"/>
  <c r="EV144" i="1"/>
  <c r="ET144" i="1" s="1"/>
  <c r="FH144" i="1"/>
  <c r="FF144" i="1" s="1"/>
  <c r="ES144" i="1"/>
  <c r="EQ144" i="1" s="1"/>
  <c r="FL144" i="1"/>
  <c r="FJ144" i="1" s="1"/>
  <c r="ER144" i="1"/>
  <c r="EP144" i="1" s="1"/>
  <c r="EK144" i="1"/>
  <c r="EI144" i="1" s="1"/>
  <c r="EN144" i="1"/>
  <c r="EL144" i="1" s="1"/>
  <c r="EZ144" i="1"/>
  <c r="EX144" i="1" s="1"/>
  <c r="EW144" i="1"/>
  <c r="EU144" i="1" s="1"/>
  <c r="FE144" i="1"/>
  <c r="FC144" i="1" s="1"/>
  <c r="EF144" i="1"/>
  <c r="ED144" i="1" s="1"/>
  <c r="FD144" i="1"/>
  <c r="FB144" i="1" s="1"/>
  <c r="FA144" i="1"/>
  <c r="EY144" i="1" s="1"/>
  <c r="EJ144" i="1"/>
  <c r="EH144" i="1" s="1"/>
  <c r="FI144" i="1"/>
  <c r="FG144" i="1" s="1"/>
  <c r="FM144" i="1"/>
  <c r="FK144" i="1" s="1"/>
  <c r="EO144" i="1"/>
  <c r="EM144" i="1" s="1"/>
  <c r="EH94" i="1"/>
  <c r="FN94" i="1"/>
  <c r="AD94" i="1" s="1"/>
  <c r="FN60" i="1"/>
  <c r="AD60" i="1" s="1"/>
  <c r="EH60" i="1"/>
  <c r="FN106" i="1"/>
  <c r="AD106" i="1" s="1"/>
  <c r="EH106" i="1"/>
  <c r="FN87" i="1"/>
  <c r="AD87" i="1" s="1"/>
  <c r="EH87" i="1"/>
  <c r="EI24" i="1"/>
  <c r="FO24" i="1"/>
  <c r="EI89" i="1"/>
  <c r="FO89" i="1"/>
  <c r="EH89" i="1"/>
  <c r="FN89" i="1"/>
  <c r="AD89" i="1" s="1"/>
  <c r="FN74" i="1"/>
  <c r="AD74" i="1" s="1"/>
  <c r="EH74" i="1"/>
  <c r="EF97" i="1"/>
  <c r="EK97" i="1"/>
  <c r="EI97" i="1" s="1"/>
  <c r="EZ97" i="1"/>
  <c r="EX97" i="1" s="1"/>
  <c r="EN97" i="1"/>
  <c r="EL97" i="1" s="1"/>
  <c r="EO97" i="1"/>
  <c r="EM97" i="1" s="1"/>
  <c r="ES97" i="1"/>
  <c r="EQ97" i="1" s="1"/>
  <c r="FM97" i="1"/>
  <c r="FK97" i="1" s="1"/>
  <c r="EJ97" i="1"/>
  <c r="EH97" i="1" s="1"/>
  <c r="EW97" i="1"/>
  <c r="EU97" i="1" s="1"/>
  <c r="FL97" i="1"/>
  <c r="FJ97" i="1" s="1"/>
  <c r="EG97" i="1"/>
  <c r="FI97" i="1"/>
  <c r="FG97" i="1" s="1"/>
  <c r="FH97" i="1"/>
  <c r="FF97" i="1" s="1"/>
  <c r="FD97" i="1"/>
  <c r="FB97" i="1" s="1"/>
  <c r="FA97" i="1"/>
  <c r="EY97" i="1" s="1"/>
  <c r="FE97" i="1"/>
  <c r="FC97" i="1" s="1"/>
  <c r="ER97" i="1"/>
  <c r="EP97" i="1" s="1"/>
  <c r="EV97" i="1"/>
  <c r="ET97" i="1" s="1"/>
  <c r="EH119" i="1"/>
  <c r="FN119" i="1"/>
  <c r="AD119" i="1" s="1"/>
  <c r="FN120" i="1"/>
  <c r="AD120" i="1" s="1"/>
  <c r="EH120" i="1"/>
  <c r="EI108" i="1"/>
  <c r="FO108" i="1"/>
  <c r="EI67" i="1"/>
  <c r="FO67" i="1"/>
  <c r="GJ17" i="1"/>
  <c r="AA17" i="1" s="1"/>
  <c r="EI22" i="1"/>
  <c r="FO22" i="1"/>
  <c r="EH71" i="1"/>
  <c r="FN71" i="1"/>
  <c r="AD71" i="1" s="1"/>
  <c r="FO85" i="1"/>
  <c r="EI85" i="1"/>
  <c r="FQ143" i="1"/>
  <c r="GA143" i="1" s="1"/>
  <c r="FR143" i="1"/>
  <c r="GB143" i="1" s="1"/>
  <c r="FP143" i="1"/>
  <c r="FS143" i="1"/>
  <c r="GC143" i="1" s="1"/>
  <c r="FT143" i="1"/>
  <c r="GD143" i="1" s="1"/>
  <c r="FY143" i="1"/>
  <c r="GI143" i="1" s="1"/>
  <c r="FV143" i="1"/>
  <c r="GF143" i="1" s="1"/>
  <c r="FU143" i="1"/>
  <c r="GE143" i="1" s="1"/>
  <c r="FW143" i="1"/>
  <c r="GG143" i="1" s="1"/>
  <c r="FX143" i="1"/>
  <c r="GH143" i="1" s="1"/>
  <c r="V143" i="1"/>
  <c r="EI75" i="1"/>
  <c r="FO75" i="1"/>
  <c r="EH110" i="1"/>
  <c r="FN110" i="1"/>
  <c r="AD110" i="1" s="1"/>
  <c r="GA71" i="1"/>
  <c r="GA60" i="1"/>
  <c r="GA66" i="1"/>
  <c r="GA55" i="1"/>
  <c r="GA57" i="1"/>
  <c r="GA63" i="1"/>
  <c r="GA59" i="1"/>
  <c r="GA64" i="1"/>
  <c r="GA62" i="1"/>
  <c r="GA58" i="1"/>
  <c r="GA67" i="1"/>
  <c r="GA65" i="1"/>
  <c r="GA56" i="1"/>
  <c r="GA72" i="1"/>
  <c r="GA68" i="1"/>
  <c r="GA70" i="1"/>
  <c r="GA61" i="1"/>
  <c r="GA69" i="1"/>
  <c r="FX145" i="1"/>
  <c r="GH145" i="1" s="1"/>
  <c r="FQ145" i="1"/>
  <c r="GA145" i="1" s="1"/>
  <c r="FS145" i="1"/>
  <c r="GC145" i="1" s="1"/>
  <c r="FT145" i="1"/>
  <c r="GD145" i="1" s="1"/>
  <c r="FR145" i="1"/>
  <c r="GB145" i="1" s="1"/>
  <c r="FP145" i="1"/>
  <c r="FW145" i="1"/>
  <c r="GG145" i="1" s="1"/>
  <c r="FV145" i="1"/>
  <c r="GF145" i="1" s="1"/>
  <c r="FU145" i="1"/>
  <c r="GE145" i="1" s="1"/>
  <c r="V145" i="1"/>
  <c r="FY145" i="1"/>
  <c r="GI145" i="1" s="1"/>
  <c r="FN40" i="1"/>
  <c r="AD40" i="1" s="1"/>
  <c r="EH40" i="1"/>
  <c r="EI80" i="1"/>
  <c r="FO80" i="1"/>
  <c r="FR146" i="1"/>
  <c r="GB146" i="1" s="1"/>
  <c r="FU146" i="1"/>
  <c r="GE146" i="1" s="1"/>
  <c r="FP146" i="1"/>
  <c r="FT146" i="1"/>
  <c r="GD146" i="1" s="1"/>
  <c r="FQ146" i="1"/>
  <c r="GA146" i="1" s="1"/>
  <c r="FV146" i="1"/>
  <c r="GF146" i="1" s="1"/>
  <c r="FS146" i="1"/>
  <c r="GC146" i="1" s="1"/>
  <c r="V146" i="1"/>
  <c r="FX146" i="1"/>
  <c r="GH146" i="1" s="1"/>
  <c r="FW146" i="1"/>
  <c r="GG146" i="1" s="1"/>
  <c r="FY146" i="1"/>
  <c r="GI146" i="1" s="1"/>
  <c r="FO124" i="1"/>
  <c r="EI124" i="1"/>
  <c r="FO93" i="1"/>
  <c r="EI93" i="1"/>
  <c r="EH46" i="1"/>
  <c r="FN46" i="1"/>
  <c r="AD46" i="1" s="1"/>
  <c r="FN81" i="1"/>
  <c r="AD81" i="1" s="1"/>
  <c r="EH81" i="1"/>
  <c r="FW141" i="1"/>
  <c r="GG141" i="1" s="1"/>
  <c r="FS141" i="1"/>
  <c r="GC141" i="1" s="1"/>
  <c r="FR141" i="1"/>
  <c r="GB141" i="1" s="1"/>
  <c r="FT141" i="1"/>
  <c r="GD141" i="1" s="1"/>
  <c r="FQ141" i="1"/>
  <c r="GA141" i="1" s="1"/>
  <c r="FU141" i="1"/>
  <c r="GE141" i="1" s="1"/>
  <c r="FP141" i="1"/>
  <c r="FX141" i="1"/>
  <c r="GH141" i="1" s="1"/>
  <c r="FY141" i="1"/>
  <c r="GI141" i="1" s="1"/>
  <c r="FV141" i="1"/>
  <c r="GF141" i="1" s="1"/>
  <c r="V141" i="1"/>
  <c r="FO33" i="1"/>
  <c r="EI33" i="1"/>
  <c r="EI76" i="1"/>
  <c r="FO76" i="1"/>
  <c r="FO49" i="1"/>
  <c r="EI49" i="1"/>
  <c r="FS130" i="1"/>
  <c r="GC130" i="1" s="1"/>
  <c r="FP130" i="1"/>
  <c r="V130" i="1"/>
  <c r="FR130" i="1"/>
  <c r="GB130" i="1" s="1"/>
  <c r="FY130" i="1"/>
  <c r="GI130" i="1" s="1"/>
  <c r="FW130" i="1"/>
  <c r="GG130" i="1" s="1"/>
  <c r="FX130" i="1"/>
  <c r="GH130" i="1" s="1"/>
  <c r="FU130" i="1"/>
  <c r="GE130" i="1" s="1"/>
  <c r="FQ130" i="1"/>
  <c r="GA130" i="1" s="1"/>
  <c r="FV130" i="1"/>
  <c r="GF130" i="1" s="1"/>
  <c r="FT130" i="1"/>
  <c r="GD130" i="1" s="1"/>
  <c r="FN31" i="1"/>
  <c r="AD31" i="1" s="1"/>
  <c r="EL31" i="1"/>
  <c r="FN34" i="1"/>
  <c r="AD34" i="1" s="1"/>
  <c r="EH34" i="1"/>
  <c r="EI34" i="1"/>
  <c r="FO34" i="1"/>
  <c r="ED140" i="1"/>
  <c r="FN140" i="1"/>
  <c r="AD140" i="1" s="1"/>
  <c r="FO29" i="1"/>
  <c r="EM29" i="1"/>
  <c r="FO121" i="1"/>
  <c r="EI121" i="1"/>
  <c r="FO96" i="1"/>
  <c r="EI96" i="1"/>
  <c r="FV136" i="1"/>
  <c r="GF136" i="1" s="1"/>
  <c r="FU136" i="1"/>
  <c r="GE136" i="1" s="1"/>
  <c r="V136" i="1"/>
  <c r="FP136" i="1"/>
  <c r="FS136" i="1"/>
  <c r="GC136" i="1" s="1"/>
  <c r="FX136" i="1"/>
  <c r="GH136" i="1" s="1"/>
  <c r="FR136" i="1"/>
  <c r="GB136" i="1" s="1"/>
  <c r="FQ136" i="1"/>
  <c r="GA136" i="1" s="1"/>
  <c r="FW136" i="1"/>
  <c r="GG136" i="1" s="1"/>
  <c r="FY136" i="1"/>
  <c r="GI136" i="1" s="1"/>
  <c r="FT136" i="1"/>
  <c r="GD136" i="1" s="1"/>
  <c r="FN112" i="1"/>
  <c r="AD112" i="1" s="1"/>
  <c r="EH112" i="1"/>
  <c r="FT142" i="1"/>
  <c r="GD142" i="1" s="1"/>
  <c r="FX142" i="1"/>
  <c r="GH142" i="1" s="1"/>
  <c r="FY142" i="1"/>
  <c r="GI142" i="1" s="1"/>
  <c r="FU142" i="1"/>
  <c r="GE142" i="1" s="1"/>
  <c r="FQ142" i="1"/>
  <c r="GA142" i="1" s="1"/>
  <c r="FS142" i="1"/>
  <c r="GC142" i="1" s="1"/>
  <c r="FW142" i="1"/>
  <c r="GG142" i="1" s="1"/>
  <c r="V142" i="1"/>
  <c r="FV142" i="1"/>
  <c r="GF142" i="1" s="1"/>
  <c r="FP142" i="1"/>
  <c r="FR142" i="1"/>
  <c r="GB142" i="1" s="1"/>
  <c r="EI36" i="1"/>
  <c r="FO36" i="1"/>
  <c r="EH36" i="1"/>
  <c r="FN36" i="1"/>
  <c r="AD36" i="1" s="1"/>
  <c r="FR147" i="1"/>
  <c r="GB147" i="1" s="1"/>
  <c r="FY147" i="1"/>
  <c r="GI147" i="1" s="1"/>
  <c r="FW147" i="1"/>
  <c r="GG147" i="1" s="1"/>
  <c r="FU147" i="1"/>
  <c r="GE147" i="1" s="1"/>
  <c r="FV147" i="1"/>
  <c r="GF147" i="1" s="1"/>
  <c r="FP147" i="1"/>
  <c r="FQ147" i="1"/>
  <c r="GA147" i="1" s="1"/>
  <c r="FX147" i="1"/>
  <c r="GH147" i="1" s="1"/>
  <c r="FT147" i="1"/>
  <c r="GD147" i="1" s="1"/>
  <c r="FS147" i="1"/>
  <c r="GC147" i="1" s="1"/>
  <c r="V147" i="1"/>
  <c r="EI44" i="1"/>
  <c r="FO44" i="1"/>
  <c r="EH44" i="1"/>
  <c r="FN44" i="1"/>
  <c r="AD44" i="1" s="1"/>
  <c r="FQ98" i="1"/>
  <c r="GA98" i="1" s="1"/>
  <c r="FU98" i="1"/>
  <c r="GE98" i="1" s="1"/>
  <c r="FR98" i="1"/>
  <c r="GB98" i="1" s="1"/>
  <c r="FP98" i="1"/>
  <c r="FX98" i="1"/>
  <c r="GH98" i="1" s="1"/>
  <c r="V98" i="1"/>
  <c r="FT98" i="1"/>
  <c r="GD98" i="1" s="1"/>
  <c r="FY98" i="1"/>
  <c r="GI98" i="1" s="1"/>
  <c r="FW98" i="1"/>
  <c r="GG98" i="1" s="1"/>
  <c r="FS98" i="1"/>
  <c r="GC98" i="1" s="1"/>
  <c r="FV98" i="1"/>
  <c r="GF98" i="1" s="1"/>
  <c r="FN91" i="1"/>
  <c r="AD91" i="1" s="1"/>
  <c r="EH91" i="1"/>
  <c r="GA113" i="1"/>
  <c r="GA117" i="1"/>
  <c r="GA115" i="1"/>
  <c r="GA116" i="1"/>
  <c r="GA114" i="1"/>
  <c r="EH21" i="1"/>
  <c r="FN21" i="1"/>
  <c r="AD21" i="1" s="1"/>
  <c r="EH90" i="1"/>
  <c r="FN90" i="1"/>
  <c r="AD90" i="1" s="1"/>
  <c r="EI122" i="1"/>
  <c r="FO122" i="1"/>
  <c r="EH104" i="1"/>
  <c r="FN104" i="1"/>
  <c r="AD104" i="1" s="1"/>
  <c r="EE139" i="1"/>
  <c r="FO139" i="1"/>
  <c r="FO64" i="1"/>
  <c r="EI64" i="1"/>
  <c r="FO78" i="1"/>
  <c r="EI78" i="1"/>
  <c r="FN78" i="1"/>
  <c r="AD78" i="1" s="1"/>
  <c r="EH78" i="1"/>
  <c r="FO84" i="1"/>
  <c r="EI84" i="1"/>
  <c r="FN103" i="1"/>
  <c r="AD103" i="1" s="1"/>
  <c r="EH103" i="1"/>
  <c r="FO35" i="1"/>
  <c r="EI35" i="1"/>
  <c r="EH39" i="1"/>
  <c r="FN39" i="1"/>
  <c r="AD39" i="1" s="1"/>
  <c r="FN117" i="1"/>
  <c r="AD117" i="1" s="1"/>
  <c r="EH117" i="1"/>
  <c r="FO30" i="1"/>
  <c r="EM30" i="1"/>
  <c r="FN109" i="1"/>
  <c r="AD109" i="1" s="1"/>
  <c r="EH109" i="1"/>
  <c r="GA96" i="1"/>
  <c r="GA92" i="1"/>
  <c r="GA93" i="1"/>
  <c r="GA95" i="1"/>
  <c r="GA94" i="1"/>
  <c r="FO52" i="1"/>
  <c r="EI52" i="1"/>
  <c r="FO50" i="1"/>
  <c r="EI50" i="1"/>
  <c r="EZ132" i="1"/>
  <c r="EX132" i="1" s="1"/>
  <c r="FL132" i="1"/>
  <c r="FJ132" i="1" s="1"/>
  <c r="EV132" i="1"/>
  <c r="ET132" i="1" s="1"/>
  <c r="ER132" i="1"/>
  <c r="EP132" i="1" s="1"/>
  <c r="EO132" i="1"/>
  <c r="EM132" i="1" s="1"/>
  <c r="EW132" i="1"/>
  <c r="EU132" i="1" s="1"/>
  <c r="FE132" i="1"/>
  <c r="FC132" i="1" s="1"/>
  <c r="FD132" i="1"/>
  <c r="FB132" i="1" s="1"/>
  <c r="FA132" i="1"/>
  <c r="EY132" i="1" s="1"/>
  <c r="ES132" i="1"/>
  <c r="EQ132" i="1" s="1"/>
  <c r="EJ132" i="1"/>
  <c r="EH132" i="1" s="1"/>
  <c r="EF132" i="1" s="1"/>
  <c r="FH132" i="1"/>
  <c r="FF132" i="1" s="1"/>
  <c r="FI132" i="1"/>
  <c r="FG132" i="1" s="1"/>
  <c r="EK132" i="1"/>
  <c r="EI132" i="1" s="1"/>
  <c r="EG132" i="1"/>
  <c r="FM132" i="1"/>
  <c r="FK132" i="1" s="1"/>
  <c r="EN132" i="1"/>
  <c r="EL132" i="1" s="1"/>
  <c r="FO105" i="1"/>
  <c r="EI105" i="1"/>
  <c r="FT131" i="1"/>
  <c r="GD131" i="1" s="1"/>
  <c r="FX131" i="1"/>
  <c r="GH131" i="1" s="1"/>
  <c r="FY131" i="1"/>
  <c r="GI131" i="1" s="1"/>
  <c r="FW131" i="1"/>
  <c r="GG131" i="1" s="1"/>
  <c r="FP131" i="1"/>
  <c r="FR131" i="1"/>
  <c r="GB131" i="1" s="1"/>
  <c r="FU131" i="1"/>
  <c r="GE131" i="1" s="1"/>
  <c r="FV131" i="1"/>
  <c r="GF131" i="1" s="1"/>
  <c r="FS131" i="1"/>
  <c r="GC131" i="1" s="1"/>
  <c r="V131" i="1"/>
  <c r="FQ131" i="1"/>
  <c r="GA131" i="1" s="1"/>
  <c r="EH86" i="1"/>
  <c r="FN86" i="1"/>
  <c r="AD86" i="1" s="1"/>
  <c r="EI106" i="1"/>
  <c r="FO106" i="1"/>
  <c r="FO87" i="1"/>
  <c r="EI87" i="1"/>
  <c r="FN111" i="1"/>
  <c r="AD111" i="1" s="1"/>
  <c r="EH111" i="1"/>
  <c r="FN127" i="1"/>
  <c r="AD127" i="1" s="1"/>
  <c r="EH127" i="1"/>
  <c r="FO138" i="1"/>
  <c r="EE138" i="1"/>
  <c r="FZ30" i="1" l="1"/>
  <c r="GJ30" i="1" s="1"/>
  <c r="AA30" i="1" s="1"/>
  <c r="AE30" i="1" s="1"/>
  <c r="G14" i="14" s="1"/>
  <c r="FZ150" i="1"/>
  <c r="GJ150" i="1" s="1"/>
  <c r="AA150" i="1" s="1"/>
  <c r="AE150" i="1" s="1"/>
  <c r="G134" i="14" s="1"/>
  <c r="AS127" i="1"/>
  <c r="AI127" i="1"/>
  <c r="AN127" i="1"/>
  <c r="EE132" i="1"/>
  <c r="FO132" i="1"/>
  <c r="FN132" i="1"/>
  <c r="AD132" i="1" s="1"/>
  <c r="ED132" i="1"/>
  <c r="AN21" i="1"/>
  <c r="AS21" i="1"/>
  <c r="AI21" i="1"/>
  <c r="AN91" i="1"/>
  <c r="AS91" i="1"/>
  <c r="AI91" i="1"/>
  <c r="AS44" i="1"/>
  <c r="AN44" i="1"/>
  <c r="AI44" i="1"/>
  <c r="AI31" i="1"/>
  <c r="AS31" i="1"/>
  <c r="AN31" i="1"/>
  <c r="AI120" i="1"/>
  <c r="AS120" i="1"/>
  <c r="AN120" i="1"/>
  <c r="ED97" i="1"/>
  <c r="FN97" i="1"/>
  <c r="AD97" i="1" s="1"/>
  <c r="AS106" i="1"/>
  <c r="AN106" i="1"/>
  <c r="AI106" i="1"/>
  <c r="AI41" i="1"/>
  <c r="AN41" i="1"/>
  <c r="AS41" i="1"/>
  <c r="AI50" i="1"/>
  <c r="AS50" i="1"/>
  <c r="AN50" i="1"/>
  <c r="AI30" i="1"/>
  <c r="AS30" i="1"/>
  <c r="AN30" i="1"/>
  <c r="AI84" i="1"/>
  <c r="AN84" i="1"/>
  <c r="AS84" i="1"/>
  <c r="ED130" i="1"/>
  <c r="FN130" i="1"/>
  <c r="AD130" i="1" s="1"/>
  <c r="AS53" i="1"/>
  <c r="AI53" i="1"/>
  <c r="AN53" i="1"/>
  <c r="AS72" i="1"/>
  <c r="AI72" i="1"/>
  <c r="AN72" i="1"/>
  <c r="ED131" i="1"/>
  <c r="FN131" i="1"/>
  <c r="AD131" i="1" s="1"/>
  <c r="EE131" i="1"/>
  <c r="FO131" i="1"/>
  <c r="EG88" i="1"/>
  <c r="EE88" i="1" s="1"/>
  <c r="EG90" i="1"/>
  <c r="EE90" i="1" s="1"/>
  <c r="EG89" i="1"/>
  <c r="EE89" i="1" s="1"/>
  <c r="EG82" i="1"/>
  <c r="EE82" i="1" s="1"/>
  <c r="EG81" i="1"/>
  <c r="EE81" i="1" s="1"/>
  <c r="EG74" i="1"/>
  <c r="EE74" i="1" s="1"/>
  <c r="EG86" i="1"/>
  <c r="EE86" i="1" s="1"/>
  <c r="EG83" i="1"/>
  <c r="EE83" i="1" s="1"/>
  <c r="EG84" i="1"/>
  <c r="EE84" i="1" s="1"/>
  <c r="EG75" i="1"/>
  <c r="EE75" i="1" s="1"/>
  <c r="EG77" i="1"/>
  <c r="EE77" i="1" s="1"/>
  <c r="EG80" i="1"/>
  <c r="EE80" i="1" s="1"/>
  <c r="EG76" i="1"/>
  <c r="EE76" i="1" s="1"/>
  <c r="EG87" i="1"/>
  <c r="EE87" i="1" s="1"/>
  <c r="EG73" i="1"/>
  <c r="EG79" i="1"/>
  <c r="EE79" i="1" s="1"/>
  <c r="EG78" i="1"/>
  <c r="EE78" i="1" s="1"/>
  <c r="EG85" i="1"/>
  <c r="EE85" i="1" s="1"/>
  <c r="AI137" i="1"/>
  <c r="AN137" i="1"/>
  <c r="AS137" i="1"/>
  <c r="AN128" i="1"/>
  <c r="AS128" i="1"/>
  <c r="AI128" i="1"/>
  <c r="AN62" i="1"/>
  <c r="AI62" i="1"/>
  <c r="AS62" i="1"/>
  <c r="EF60" i="1"/>
  <c r="ED60" i="1" s="1"/>
  <c r="EF64" i="1"/>
  <c r="ED64" i="1" s="1"/>
  <c r="EF66" i="1"/>
  <c r="ED66" i="1" s="1"/>
  <c r="EF56" i="1"/>
  <c r="ED56" i="1" s="1"/>
  <c r="EF68" i="1"/>
  <c r="ED68" i="1" s="1"/>
  <c r="EF57" i="1"/>
  <c r="ED57" i="1" s="1"/>
  <c r="EF59" i="1"/>
  <c r="ED59" i="1" s="1"/>
  <c r="EF58" i="1"/>
  <c r="ED58" i="1" s="1"/>
  <c r="EF70" i="1"/>
  <c r="ED70" i="1" s="1"/>
  <c r="EF62" i="1"/>
  <c r="ED62" i="1" s="1"/>
  <c r="EF69" i="1"/>
  <c r="ED69" i="1" s="1"/>
  <c r="EF61" i="1"/>
  <c r="ED61" i="1" s="1"/>
  <c r="EF67" i="1"/>
  <c r="ED67" i="1" s="1"/>
  <c r="EF65" i="1"/>
  <c r="ED65" i="1" s="1"/>
  <c r="EF71" i="1"/>
  <c r="ED71" i="1" s="1"/>
  <c r="EF63" i="1"/>
  <c r="ED63" i="1" s="1"/>
  <c r="EF55" i="1"/>
  <c r="AN43" i="1"/>
  <c r="AI43" i="1"/>
  <c r="AS43" i="1"/>
  <c r="AN32" i="1"/>
  <c r="AI32" i="1"/>
  <c r="AS32" i="1"/>
  <c r="EE133" i="1"/>
  <c r="FO133" i="1"/>
  <c r="AS28" i="1"/>
  <c r="AN28" i="1"/>
  <c r="AI28" i="1"/>
  <c r="AN51" i="1"/>
  <c r="AI51" i="1"/>
  <c r="AS51" i="1"/>
  <c r="AS33" i="1"/>
  <c r="AI33" i="1"/>
  <c r="AN33" i="1"/>
  <c r="AI77" i="1"/>
  <c r="AN77" i="1"/>
  <c r="AS77" i="1"/>
  <c r="EG115" i="1"/>
  <c r="EE115" i="1" s="1"/>
  <c r="EG113" i="1"/>
  <c r="EG114" i="1"/>
  <c r="EE114" i="1" s="1"/>
  <c r="EG116" i="1"/>
  <c r="EE116" i="1" s="1"/>
  <c r="AN26" i="1"/>
  <c r="AI26" i="1"/>
  <c r="AS26" i="1"/>
  <c r="EE145" i="1"/>
  <c r="FO145" i="1"/>
  <c r="AN20" i="1"/>
  <c r="AS20" i="1"/>
  <c r="AI20" i="1"/>
  <c r="AS101" i="1"/>
  <c r="AI101" i="1"/>
  <c r="AN101" i="1"/>
  <c r="AN68" i="1"/>
  <c r="AI68" i="1"/>
  <c r="AS68" i="1"/>
  <c r="EE143" i="1"/>
  <c r="FO143" i="1"/>
  <c r="EF127" i="1"/>
  <c r="ED127" i="1" s="1"/>
  <c r="EF125" i="1"/>
  <c r="ED125" i="1" s="1"/>
  <c r="EF124" i="1"/>
  <c r="ED124" i="1" s="1"/>
  <c r="EF126" i="1"/>
  <c r="ED126" i="1" s="1"/>
  <c r="EF123" i="1"/>
  <c r="AS75" i="1"/>
  <c r="AI75" i="1"/>
  <c r="AN75" i="1"/>
  <c r="FZ61" i="1"/>
  <c r="GJ61" i="1" s="1"/>
  <c r="AA61" i="1" s="1"/>
  <c r="AE61" i="1" s="1"/>
  <c r="G45" i="14" s="1"/>
  <c r="FZ19" i="1"/>
  <c r="GJ19" i="1" s="1"/>
  <c r="AA19" i="1" s="1"/>
  <c r="FZ130" i="1"/>
  <c r="GJ130" i="1" s="1"/>
  <c r="AA130" i="1" s="1"/>
  <c r="FZ77" i="1"/>
  <c r="GJ77" i="1" s="1"/>
  <c r="AA77" i="1" s="1"/>
  <c r="AE77" i="1" s="1"/>
  <c r="G61" i="14" s="1"/>
  <c r="FZ86" i="1"/>
  <c r="GJ86" i="1" s="1"/>
  <c r="AA86" i="1" s="1"/>
  <c r="AE86" i="1" s="1"/>
  <c r="G70" i="14" s="1"/>
  <c r="FZ106" i="1"/>
  <c r="GJ106" i="1" s="1"/>
  <c r="AA106" i="1" s="1"/>
  <c r="AE106" i="1" s="1"/>
  <c r="G90" i="14" s="1"/>
  <c r="FZ52" i="1"/>
  <c r="GJ52" i="1" s="1"/>
  <c r="AA52" i="1" s="1"/>
  <c r="AE52" i="1" s="1"/>
  <c r="G36" i="14" s="1"/>
  <c r="FZ101" i="1"/>
  <c r="GJ101" i="1" s="1"/>
  <c r="AA101" i="1" s="1"/>
  <c r="AE101" i="1" s="1"/>
  <c r="G85" i="14" s="1"/>
  <c r="FZ45" i="1"/>
  <c r="GJ45" i="1" s="1"/>
  <c r="AA45" i="1" s="1"/>
  <c r="AE45" i="1" s="1"/>
  <c r="G29" i="14" s="1"/>
  <c r="FZ72" i="1"/>
  <c r="GJ72" i="1" s="1"/>
  <c r="AA72" i="1" s="1"/>
  <c r="AE72" i="1" s="1"/>
  <c r="G56" i="14" s="1"/>
  <c r="FZ54" i="1"/>
  <c r="GJ54" i="1" s="1"/>
  <c r="AA54" i="1" s="1"/>
  <c r="AE54" i="1" s="1"/>
  <c r="G38" i="14" s="1"/>
  <c r="FZ136" i="1"/>
  <c r="GJ136" i="1" s="1"/>
  <c r="AA136" i="1" s="1"/>
  <c r="FZ71" i="1"/>
  <c r="GJ71" i="1" s="1"/>
  <c r="AA71" i="1" s="1"/>
  <c r="AE71" i="1" s="1"/>
  <c r="G55" i="14" s="1"/>
  <c r="FZ38" i="1"/>
  <c r="GJ38" i="1" s="1"/>
  <c r="AA38" i="1" s="1"/>
  <c r="AE38" i="1" s="1"/>
  <c r="G22" i="14" s="1"/>
  <c r="FZ24" i="1"/>
  <c r="GJ24" i="1" s="1"/>
  <c r="AA24" i="1" s="1"/>
  <c r="AE24" i="1" s="1"/>
  <c r="G8" i="14" s="1"/>
  <c r="FZ26" i="1"/>
  <c r="GJ26" i="1" s="1"/>
  <c r="AA26" i="1" s="1"/>
  <c r="AE26" i="1" s="1"/>
  <c r="G10" i="14" s="1"/>
  <c r="FZ127" i="1"/>
  <c r="GJ127" i="1" s="1"/>
  <c r="AA127" i="1" s="1"/>
  <c r="AE127" i="1" s="1"/>
  <c r="G111" i="14" s="1"/>
  <c r="FZ80" i="1"/>
  <c r="GJ80" i="1" s="1"/>
  <c r="AA80" i="1" s="1"/>
  <c r="FZ140" i="1"/>
  <c r="GJ140" i="1" s="1"/>
  <c r="AA140" i="1" s="1"/>
  <c r="AE140" i="1" s="1"/>
  <c r="G124" i="14" s="1"/>
  <c r="FZ23" i="1"/>
  <c r="GJ23" i="1" s="1"/>
  <c r="AA23" i="1" s="1"/>
  <c r="FZ129" i="1"/>
  <c r="GJ129" i="1" s="1"/>
  <c r="AA129" i="1" s="1"/>
  <c r="FZ44" i="1"/>
  <c r="GJ44" i="1" s="1"/>
  <c r="AA44" i="1" s="1"/>
  <c r="AE44" i="1" s="1"/>
  <c r="G28" i="14" s="1"/>
  <c r="FZ31" i="1"/>
  <c r="GJ31" i="1" s="1"/>
  <c r="AA31" i="1" s="1"/>
  <c r="AE31" i="1" s="1"/>
  <c r="G15" i="14" s="1"/>
  <c r="FZ65" i="1"/>
  <c r="GJ65" i="1" s="1"/>
  <c r="AA65" i="1" s="1"/>
  <c r="AE65" i="1" s="1"/>
  <c r="G49" i="14" s="1"/>
  <c r="FZ36" i="1"/>
  <c r="GJ36" i="1" s="1"/>
  <c r="AA36" i="1" s="1"/>
  <c r="AE36" i="1" s="1"/>
  <c r="G20" i="14" s="1"/>
  <c r="FZ110" i="1"/>
  <c r="GJ110" i="1" s="1"/>
  <c r="AA110" i="1" s="1"/>
  <c r="FZ78" i="1"/>
  <c r="GJ78" i="1" s="1"/>
  <c r="AA78" i="1" s="1"/>
  <c r="AE78" i="1" s="1"/>
  <c r="G62" i="14" s="1"/>
  <c r="FZ94" i="1"/>
  <c r="GJ94" i="1" s="1"/>
  <c r="AA94" i="1" s="1"/>
  <c r="AE94" i="1" s="1"/>
  <c r="G78" i="14" s="1"/>
  <c r="FZ107" i="1"/>
  <c r="GJ107" i="1" s="1"/>
  <c r="AA107" i="1" s="1"/>
  <c r="AE107" i="1" s="1"/>
  <c r="G91" i="14" s="1"/>
  <c r="FZ51" i="1"/>
  <c r="GJ51" i="1" s="1"/>
  <c r="AA51" i="1" s="1"/>
  <c r="AE51" i="1" s="1"/>
  <c r="G35" i="14" s="1"/>
  <c r="FZ98" i="1"/>
  <c r="GJ98" i="1" s="1"/>
  <c r="AA98" i="1" s="1"/>
  <c r="FZ132" i="1"/>
  <c r="GJ132" i="1" s="1"/>
  <c r="AA132" i="1" s="1"/>
  <c r="FZ149" i="1"/>
  <c r="GJ149" i="1" s="1"/>
  <c r="AA149" i="1" s="1"/>
  <c r="AE149" i="1" s="1"/>
  <c r="G133" i="14" s="1"/>
  <c r="AI86" i="1"/>
  <c r="AS86" i="1"/>
  <c r="AN86" i="1"/>
  <c r="AN103" i="1"/>
  <c r="AS103" i="1"/>
  <c r="AI103" i="1"/>
  <c r="AN78" i="1"/>
  <c r="AS78" i="1"/>
  <c r="AI78" i="1"/>
  <c r="AN36" i="1"/>
  <c r="AS36" i="1"/>
  <c r="AI36" i="1"/>
  <c r="AN112" i="1"/>
  <c r="AS112" i="1"/>
  <c r="AI112" i="1"/>
  <c r="AN46" i="1"/>
  <c r="AS46" i="1"/>
  <c r="AI46" i="1"/>
  <c r="EG125" i="1"/>
  <c r="EE125" i="1" s="1"/>
  <c r="EG127" i="1"/>
  <c r="EE127" i="1" s="1"/>
  <c r="EG124" i="1"/>
  <c r="EE124" i="1" s="1"/>
  <c r="EG123" i="1"/>
  <c r="EG126" i="1"/>
  <c r="EE126" i="1" s="1"/>
  <c r="AN40" i="1"/>
  <c r="AS40" i="1"/>
  <c r="AI40" i="1"/>
  <c r="AN89" i="1"/>
  <c r="AI89" i="1"/>
  <c r="AS89" i="1"/>
  <c r="AN94" i="1"/>
  <c r="AS94" i="1"/>
  <c r="AI94" i="1"/>
  <c r="FN134" i="1"/>
  <c r="AD134" i="1" s="1"/>
  <c r="ED134" i="1"/>
  <c r="FO141" i="1"/>
  <c r="EE141" i="1"/>
  <c r="ED136" i="1"/>
  <c r="FN136" i="1"/>
  <c r="AD136" i="1" s="1"/>
  <c r="AI139" i="1"/>
  <c r="AN139" i="1"/>
  <c r="AS139" i="1"/>
  <c r="ED135" i="1"/>
  <c r="FN135" i="1"/>
  <c r="AD135" i="1" s="1"/>
  <c r="EE130" i="1"/>
  <c r="FO130" i="1"/>
  <c r="AS61" i="1"/>
  <c r="AN61" i="1"/>
  <c r="AI61" i="1"/>
  <c r="AI88" i="1"/>
  <c r="AS88" i="1"/>
  <c r="AN88" i="1"/>
  <c r="AN96" i="1"/>
  <c r="AS96" i="1"/>
  <c r="AI96" i="1"/>
  <c r="AS49" i="1"/>
  <c r="AN49" i="1"/>
  <c r="AI49" i="1"/>
  <c r="AI115" i="1"/>
  <c r="AS115" i="1"/>
  <c r="AN115" i="1"/>
  <c r="AN42" i="1"/>
  <c r="AI42" i="1"/>
  <c r="AS42" i="1"/>
  <c r="FN129" i="1"/>
  <c r="AD129" i="1" s="1"/>
  <c r="ED129" i="1"/>
  <c r="EF94" i="1"/>
  <c r="ED94" i="1" s="1"/>
  <c r="EF93" i="1"/>
  <c r="ED93" i="1" s="1"/>
  <c r="EF95" i="1"/>
  <c r="ED95" i="1" s="1"/>
  <c r="EF92" i="1"/>
  <c r="EF113" i="1"/>
  <c r="EF115" i="1"/>
  <c r="ED115" i="1" s="1"/>
  <c r="EF114" i="1"/>
  <c r="ED114" i="1" s="1"/>
  <c r="EF116" i="1"/>
  <c r="ED116" i="1" s="1"/>
  <c r="AS108" i="1"/>
  <c r="AI108" i="1"/>
  <c r="AN108" i="1"/>
  <c r="AS24" i="1"/>
  <c r="AI24" i="1"/>
  <c r="AN24" i="1"/>
  <c r="AS56" i="1"/>
  <c r="AN56" i="1"/>
  <c r="AI56" i="1"/>
  <c r="AI64" i="1"/>
  <c r="AN64" i="1"/>
  <c r="AS64" i="1"/>
  <c r="AI66" i="1"/>
  <c r="AN66" i="1"/>
  <c r="AS66" i="1"/>
  <c r="AS29" i="1"/>
  <c r="AN29" i="1"/>
  <c r="AI29" i="1"/>
  <c r="EJ29" i="1"/>
  <c r="EH29" i="1" s="1"/>
  <c r="EJ30" i="1"/>
  <c r="EH30" i="1" s="1"/>
  <c r="EJ28" i="1"/>
  <c r="EH28" i="1" s="1"/>
  <c r="EJ27" i="1"/>
  <c r="AS79" i="1"/>
  <c r="AN79" i="1"/>
  <c r="AI79" i="1"/>
  <c r="AN76" i="1"/>
  <c r="AS76" i="1"/>
  <c r="AI76" i="1"/>
  <c r="AN22" i="1"/>
  <c r="AS22" i="1"/>
  <c r="AI22" i="1"/>
  <c r="EE147" i="1"/>
  <c r="FO147" i="1"/>
  <c r="EF107" i="1"/>
  <c r="ED107" i="1" s="1"/>
  <c r="EF111" i="1"/>
  <c r="ED111" i="1" s="1"/>
  <c r="EF101" i="1"/>
  <c r="ED101" i="1" s="1"/>
  <c r="EF105" i="1"/>
  <c r="ED105" i="1" s="1"/>
  <c r="EF102" i="1"/>
  <c r="ED102" i="1" s="1"/>
  <c r="EF108" i="1"/>
  <c r="ED108" i="1" s="1"/>
  <c r="EF106" i="1"/>
  <c r="ED106" i="1" s="1"/>
  <c r="EF110" i="1"/>
  <c r="ED110" i="1" s="1"/>
  <c r="EF109" i="1"/>
  <c r="ED109" i="1" s="1"/>
  <c r="EF103" i="1"/>
  <c r="ED103" i="1" s="1"/>
  <c r="EF104" i="1"/>
  <c r="ED104" i="1" s="1"/>
  <c r="EF100" i="1"/>
  <c r="EK29" i="1"/>
  <c r="EI29" i="1" s="1"/>
  <c r="EK27" i="1"/>
  <c r="EK28" i="1"/>
  <c r="EI28" i="1" s="1"/>
  <c r="EK30" i="1"/>
  <c r="EI30" i="1" s="1"/>
  <c r="AI57" i="1"/>
  <c r="AN57" i="1"/>
  <c r="AS57" i="1"/>
  <c r="AI124" i="1"/>
  <c r="AN124" i="1"/>
  <c r="AS124" i="1"/>
  <c r="AI85" i="1"/>
  <c r="AN85" i="1"/>
  <c r="AS85" i="1"/>
  <c r="FZ55" i="1"/>
  <c r="GJ55" i="1" s="1"/>
  <c r="AA55" i="1" s="1"/>
  <c r="FZ84" i="1"/>
  <c r="GJ84" i="1" s="1"/>
  <c r="AA84" i="1" s="1"/>
  <c r="AE84" i="1" s="1"/>
  <c r="G68" i="14" s="1"/>
  <c r="FZ37" i="1"/>
  <c r="GJ37" i="1" s="1"/>
  <c r="AA37" i="1" s="1"/>
  <c r="AE37" i="1" s="1"/>
  <c r="G21" i="14" s="1"/>
  <c r="FZ145" i="1"/>
  <c r="GJ145" i="1" s="1"/>
  <c r="AA145" i="1" s="1"/>
  <c r="FZ131" i="1"/>
  <c r="GJ131" i="1" s="1"/>
  <c r="AA131" i="1" s="1"/>
  <c r="FZ20" i="1"/>
  <c r="GJ20" i="1" s="1"/>
  <c r="AA20" i="1" s="1"/>
  <c r="AE20" i="1" s="1"/>
  <c r="G4" i="14" s="1"/>
  <c r="FZ105" i="1"/>
  <c r="GJ105" i="1" s="1"/>
  <c r="AA105" i="1" s="1"/>
  <c r="AE105" i="1" s="1"/>
  <c r="G89" i="14" s="1"/>
  <c r="FZ33" i="1"/>
  <c r="GJ33" i="1" s="1"/>
  <c r="AA33" i="1" s="1"/>
  <c r="AE33" i="1" s="1"/>
  <c r="G17" i="14" s="1"/>
  <c r="FZ142" i="1"/>
  <c r="GJ142" i="1" s="1"/>
  <c r="AA142" i="1" s="1"/>
  <c r="FZ88" i="1"/>
  <c r="GJ88" i="1" s="1"/>
  <c r="AA88" i="1" s="1"/>
  <c r="AE88" i="1" s="1"/>
  <c r="G72" i="14" s="1"/>
  <c r="FZ134" i="1"/>
  <c r="GJ134" i="1" s="1"/>
  <c r="AA134" i="1" s="1"/>
  <c r="FZ124" i="1"/>
  <c r="GJ124" i="1" s="1"/>
  <c r="AA124" i="1" s="1"/>
  <c r="AE124" i="1" s="1"/>
  <c r="G108" i="14" s="1"/>
  <c r="FZ122" i="1"/>
  <c r="GJ122" i="1" s="1"/>
  <c r="AA122" i="1" s="1"/>
  <c r="AE122" i="1" s="1"/>
  <c r="G106" i="14" s="1"/>
  <c r="FZ90" i="1"/>
  <c r="GJ90" i="1" s="1"/>
  <c r="AA90" i="1" s="1"/>
  <c r="AE90" i="1" s="1"/>
  <c r="G74" i="14" s="1"/>
  <c r="FZ95" i="1"/>
  <c r="GJ95" i="1" s="1"/>
  <c r="AA95" i="1" s="1"/>
  <c r="AE95" i="1" s="1"/>
  <c r="G79" i="14" s="1"/>
  <c r="FZ119" i="1"/>
  <c r="GJ119" i="1" s="1"/>
  <c r="AA119" i="1" s="1"/>
  <c r="AE119" i="1" s="1"/>
  <c r="G103" i="14" s="1"/>
  <c r="FZ96" i="1"/>
  <c r="GJ96" i="1" s="1"/>
  <c r="AA96" i="1" s="1"/>
  <c r="FZ92" i="1"/>
  <c r="GJ92" i="1" s="1"/>
  <c r="AA92" i="1" s="1"/>
  <c r="FZ123" i="1"/>
  <c r="GJ123" i="1" s="1"/>
  <c r="AA123" i="1" s="1"/>
  <c r="FZ137" i="1"/>
  <c r="GJ137" i="1" s="1"/>
  <c r="AA137" i="1" s="1"/>
  <c r="AE137" i="1" s="1"/>
  <c r="G121" i="14" s="1"/>
  <c r="FZ75" i="1"/>
  <c r="GJ75" i="1" s="1"/>
  <c r="AA75" i="1" s="1"/>
  <c r="AE75" i="1" s="1"/>
  <c r="G59" i="14" s="1"/>
  <c r="FZ25" i="1"/>
  <c r="GJ25" i="1" s="1"/>
  <c r="AA25" i="1" s="1"/>
  <c r="AE25" i="1" s="1"/>
  <c r="G9" i="14" s="1"/>
  <c r="FZ113" i="1"/>
  <c r="GJ113" i="1" s="1"/>
  <c r="AA113" i="1" s="1"/>
  <c r="FZ62" i="1"/>
  <c r="GJ62" i="1" s="1"/>
  <c r="AA62" i="1" s="1"/>
  <c r="AE62" i="1" s="1"/>
  <c r="G46" i="14" s="1"/>
  <c r="FZ48" i="1"/>
  <c r="GJ48" i="1" s="1"/>
  <c r="AA48" i="1" s="1"/>
  <c r="FZ63" i="1"/>
  <c r="GJ63" i="1" s="1"/>
  <c r="AA63" i="1" s="1"/>
  <c r="FZ121" i="1"/>
  <c r="GJ121" i="1" s="1"/>
  <c r="AA121" i="1" s="1"/>
  <c r="AE121" i="1" s="1"/>
  <c r="G105" i="14" s="1"/>
  <c r="FZ73" i="1"/>
  <c r="GJ73" i="1" s="1"/>
  <c r="AA73" i="1" s="1"/>
  <c r="FZ125" i="1"/>
  <c r="GJ125" i="1" s="1"/>
  <c r="AA125" i="1" s="1"/>
  <c r="AE125" i="1" s="1"/>
  <c r="G109" i="14" s="1"/>
  <c r="FZ22" i="1"/>
  <c r="GJ22" i="1" s="1"/>
  <c r="AA22" i="1" s="1"/>
  <c r="AE22" i="1" s="1"/>
  <c r="G6" i="14" s="1"/>
  <c r="FZ126" i="1"/>
  <c r="GJ126" i="1" s="1"/>
  <c r="AA126" i="1" s="1"/>
  <c r="AE126" i="1" s="1"/>
  <c r="G110" i="14" s="1"/>
  <c r="FZ115" i="1"/>
  <c r="GJ115" i="1" s="1"/>
  <c r="AA115" i="1" s="1"/>
  <c r="AS111" i="1"/>
  <c r="AI111" i="1"/>
  <c r="AN111" i="1"/>
  <c r="AS39" i="1"/>
  <c r="AI39" i="1"/>
  <c r="AN39" i="1"/>
  <c r="AN104" i="1"/>
  <c r="AS104" i="1"/>
  <c r="AI104" i="1"/>
  <c r="AN90" i="1"/>
  <c r="AI90" i="1"/>
  <c r="AS90" i="1"/>
  <c r="AN34" i="1"/>
  <c r="AS34" i="1"/>
  <c r="AI34" i="1"/>
  <c r="AI81" i="1"/>
  <c r="AS81" i="1"/>
  <c r="AN81" i="1"/>
  <c r="AN71" i="1"/>
  <c r="AI71" i="1"/>
  <c r="AS71" i="1"/>
  <c r="AE17" i="1"/>
  <c r="EF120" i="1"/>
  <c r="ED120" i="1" s="1"/>
  <c r="EF119" i="1"/>
  <c r="ED119" i="1" s="1"/>
  <c r="EF121" i="1"/>
  <c r="ED121" i="1" s="1"/>
  <c r="EF118" i="1"/>
  <c r="EE97" i="1"/>
  <c r="FO97" i="1"/>
  <c r="AI74" i="1"/>
  <c r="AS74" i="1"/>
  <c r="AN74" i="1"/>
  <c r="AS87" i="1"/>
  <c r="AN87" i="1"/>
  <c r="AI87" i="1"/>
  <c r="AN60" i="1"/>
  <c r="AS60" i="1"/>
  <c r="AI60" i="1"/>
  <c r="AI105" i="1"/>
  <c r="AS105" i="1"/>
  <c r="AN105" i="1"/>
  <c r="EE134" i="1"/>
  <c r="FO134" i="1"/>
  <c r="AS52" i="1"/>
  <c r="AN52" i="1"/>
  <c r="AI52" i="1"/>
  <c r="FN141" i="1"/>
  <c r="AD141" i="1" s="1"/>
  <c r="ED141" i="1"/>
  <c r="FO142" i="1"/>
  <c r="EE142" i="1"/>
  <c r="EE136" i="1"/>
  <c r="FO136" i="1"/>
  <c r="AN82" i="1"/>
  <c r="AI82" i="1"/>
  <c r="AS82" i="1"/>
  <c r="FO129" i="1"/>
  <c r="EE129" i="1"/>
  <c r="AS83" i="1"/>
  <c r="AI83" i="1"/>
  <c r="AN83" i="1"/>
  <c r="AN93" i="1"/>
  <c r="AI93" i="1"/>
  <c r="AS93" i="1"/>
  <c r="AI80" i="1"/>
  <c r="AN80" i="1"/>
  <c r="AS80" i="1"/>
  <c r="AI114" i="1"/>
  <c r="AS114" i="1"/>
  <c r="AN114" i="1"/>
  <c r="EE99" i="1"/>
  <c r="FO99" i="1"/>
  <c r="AS67" i="1"/>
  <c r="AN67" i="1"/>
  <c r="AI67" i="1"/>
  <c r="AI25" i="1"/>
  <c r="AS25" i="1"/>
  <c r="AN25" i="1"/>
  <c r="AS38" i="1"/>
  <c r="AN38" i="1"/>
  <c r="AI38" i="1"/>
  <c r="AI122" i="1"/>
  <c r="AS122" i="1"/>
  <c r="AN122" i="1"/>
  <c r="FN133" i="1"/>
  <c r="AD133" i="1" s="1"/>
  <c r="ED133" i="1"/>
  <c r="AS65" i="1"/>
  <c r="AN65" i="1"/>
  <c r="AI65" i="1"/>
  <c r="AI59" i="1"/>
  <c r="AN59" i="1"/>
  <c r="AS59" i="1"/>
  <c r="AS58" i="1"/>
  <c r="AI58" i="1"/>
  <c r="AN58" i="1"/>
  <c r="AN138" i="1"/>
  <c r="AS138" i="1"/>
  <c r="AI138" i="1"/>
  <c r="EG118" i="1"/>
  <c r="EG121" i="1"/>
  <c r="EE121" i="1" s="1"/>
  <c r="EG119" i="1"/>
  <c r="EE119" i="1" s="1"/>
  <c r="EG120" i="1"/>
  <c r="EE120" i="1" s="1"/>
  <c r="AS70" i="1"/>
  <c r="AI70" i="1"/>
  <c r="AN70" i="1"/>
  <c r="AN63" i="1"/>
  <c r="AI63" i="1"/>
  <c r="AS63" i="1"/>
  <c r="FN147" i="1"/>
  <c r="AD147" i="1" s="1"/>
  <c r="ED147" i="1"/>
  <c r="AN47" i="1"/>
  <c r="AI47" i="1"/>
  <c r="AS47" i="1"/>
  <c r="EG101" i="1"/>
  <c r="EE101" i="1" s="1"/>
  <c r="EG104" i="1"/>
  <c r="EE104" i="1" s="1"/>
  <c r="EG108" i="1"/>
  <c r="EE108" i="1" s="1"/>
  <c r="EG106" i="1"/>
  <c r="EE106" i="1" s="1"/>
  <c r="EG100" i="1"/>
  <c r="EG111" i="1"/>
  <c r="EE111" i="1" s="1"/>
  <c r="EG105" i="1"/>
  <c r="EE105" i="1" s="1"/>
  <c r="EG110" i="1"/>
  <c r="EE110" i="1" s="1"/>
  <c r="EG107" i="1"/>
  <c r="EE107" i="1" s="1"/>
  <c r="EG109" i="1"/>
  <c r="EE109" i="1" s="1"/>
  <c r="EG102" i="1"/>
  <c r="EE102" i="1" s="1"/>
  <c r="EG103" i="1"/>
  <c r="EE103" i="1" s="1"/>
  <c r="FO146" i="1"/>
  <c r="EE146" i="1"/>
  <c r="AN69" i="1"/>
  <c r="AI69" i="1"/>
  <c r="AS69" i="1"/>
  <c r="FZ148" i="1"/>
  <c r="GJ148" i="1" s="1"/>
  <c r="AA148" i="1" s="1"/>
  <c r="FZ118" i="1"/>
  <c r="GJ118" i="1" s="1"/>
  <c r="AA118" i="1" s="1"/>
  <c r="FZ59" i="1"/>
  <c r="GJ59" i="1" s="1"/>
  <c r="AA59" i="1" s="1"/>
  <c r="AE59" i="1" s="1"/>
  <c r="G43" i="14" s="1"/>
  <c r="FZ120" i="1"/>
  <c r="GJ120" i="1" s="1"/>
  <c r="AA120" i="1" s="1"/>
  <c r="AE120" i="1" s="1"/>
  <c r="G104" i="14" s="1"/>
  <c r="FZ32" i="1"/>
  <c r="GJ32" i="1" s="1"/>
  <c r="AA32" i="1" s="1"/>
  <c r="AE32" i="1" s="1"/>
  <c r="G16" i="14" s="1"/>
  <c r="FZ102" i="1"/>
  <c r="GJ102" i="1" s="1"/>
  <c r="AA102" i="1" s="1"/>
  <c r="AE102" i="1" s="1"/>
  <c r="G86" i="14" s="1"/>
  <c r="FZ146" i="1"/>
  <c r="GJ146" i="1" s="1"/>
  <c r="AA146" i="1" s="1"/>
  <c r="FZ74" i="1"/>
  <c r="GJ74" i="1" s="1"/>
  <c r="AA74" i="1" s="1"/>
  <c r="FZ76" i="1"/>
  <c r="GJ76" i="1" s="1"/>
  <c r="AA76" i="1" s="1"/>
  <c r="AE76" i="1" s="1"/>
  <c r="G60" i="14" s="1"/>
  <c r="FZ49" i="1"/>
  <c r="GJ49" i="1" s="1"/>
  <c r="AA49" i="1" s="1"/>
  <c r="AE49" i="1" s="1"/>
  <c r="G33" i="14" s="1"/>
  <c r="FZ104" i="1"/>
  <c r="GJ104" i="1" s="1"/>
  <c r="AA104" i="1" s="1"/>
  <c r="AE104" i="1" s="1"/>
  <c r="G88" i="14" s="1"/>
  <c r="FZ34" i="1"/>
  <c r="GJ34" i="1" s="1"/>
  <c r="AA34" i="1" s="1"/>
  <c r="AE34" i="1" s="1"/>
  <c r="G18" i="14" s="1"/>
  <c r="FZ117" i="1"/>
  <c r="GJ117" i="1" s="1"/>
  <c r="AA117" i="1" s="1"/>
  <c r="AE117" i="1" s="1"/>
  <c r="G101" i="14" s="1"/>
  <c r="FZ27" i="1"/>
  <c r="GJ27" i="1" s="1"/>
  <c r="AA27" i="1" s="1"/>
  <c r="FZ99" i="1"/>
  <c r="GJ99" i="1" s="1"/>
  <c r="AA99" i="1" s="1"/>
  <c r="FZ53" i="1"/>
  <c r="GJ53" i="1" s="1"/>
  <c r="AA53" i="1" s="1"/>
  <c r="AE53" i="1" s="1"/>
  <c r="G37" i="14" s="1"/>
  <c r="FZ18" i="1"/>
  <c r="GJ18" i="1" s="1"/>
  <c r="AA18" i="1" s="1"/>
  <c r="FZ144" i="1"/>
  <c r="GJ144" i="1" s="1"/>
  <c r="AA144" i="1" s="1"/>
  <c r="FZ103" i="1"/>
  <c r="GJ103" i="1" s="1"/>
  <c r="AA103" i="1" s="1"/>
  <c r="FZ69" i="1"/>
  <c r="GJ69" i="1" s="1"/>
  <c r="AA69" i="1" s="1"/>
  <c r="AE69" i="1" s="1"/>
  <c r="G53" i="14" s="1"/>
  <c r="FZ47" i="1"/>
  <c r="GJ47" i="1" s="1"/>
  <c r="AA47" i="1" s="1"/>
  <c r="AE47" i="1" s="1"/>
  <c r="G31" i="14" s="1"/>
  <c r="FZ89" i="1"/>
  <c r="GJ89" i="1" s="1"/>
  <c r="AA89" i="1" s="1"/>
  <c r="AE89" i="1" s="1"/>
  <c r="G73" i="14" s="1"/>
  <c r="FZ60" i="1"/>
  <c r="GJ60" i="1" s="1"/>
  <c r="AA60" i="1" s="1"/>
  <c r="AE60" i="1" s="1"/>
  <c r="G44" i="14" s="1"/>
  <c r="FZ79" i="1"/>
  <c r="GJ79" i="1" s="1"/>
  <c r="AA79" i="1" s="1"/>
  <c r="AE79" i="1" s="1"/>
  <c r="G63" i="14" s="1"/>
  <c r="FZ56" i="1"/>
  <c r="GJ56" i="1" s="1"/>
  <c r="AA56" i="1" s="1"/>
  <c r="AE56" i="1" s="1"/>
  <c r="G40" i="14" s="1"/>
  <c r="FZ70" i="1"/>
  <c r="GJ70" i="1" s="1"/>
  <c r="AA70" i="1" s="1"/>
  <c r="AE70" i="1" s="1"/>
  <c r="G54" i="14" s="1"/>
  <c r="FZ112" i="1"/>
  <c r="GJ112" i="1" s="1"/>
  <c r="AA112" i="1" s="1"/>
  <c r="FZ40" i="1"/>
  <c r="GJ40" i="1" s="1"/>
  <c r="AA40" i="1" s="1"/>
  <c r="AE40" i="1" s="1"/>
  <c r="G24" i="14" s="1"/>
  <c r="FZ28" i="1"/>
  <c r="GJ28" i="1" s="1"/>
  <c r="AA28" i="1" s="1"/>
  <c r="AE28" i="1" s="1"/>
  <c r="G12" i="14" s="1"/>
  <c r="FZ42" i="1"/>
  <c r="GJ42" i="1" s="1"/>
  <c r="AA42" i="1" s="1"/>
  <c r="AE42" i="1" s="1"/>
  <c r="G26" i="14" s="1"/>
  <c r="FZ58" i="1"/>
  <c r="GJ58" i="1" s="1"/>
  <c r="AA58" i="1" s="1"/>
  <c r="AE58" i="1" s="1"/>
  <c r="G42" i="14" s="1"/>
  <c r="FZ21" i="1"/>
  <c r="GJ21" i="1" s="1"/>
  <c r="AA21" i="1" s="1"/>
  <c r="FZ108" i="1"/>
  <c r="GJ108" i="1" s="1"/>
  <c r="AA108" i="1" s="1"/>
  <c r="FZ66" i="1"/>
  <c r="GJ66" i="1" s="1"/>
  <c r="AA66" i="1" s="1"/>
  <c r="AE66" i="1" s="1"/>
  <c r="G50" i="14" s="1"/>
  <c r="AN109" i="1"/>
  <c r="AS109" i="1"/>
  <c r="AI109" i="1"/>
  <c r="AS117" i="1"/>
  <c r="AI117" i="1"/>
  <c r="AN117" i="1"/>
  <c r="AN140" i="1"/>
  <c r="AI140" i="1"/>
  <c r="AS140" i="1"/>
  <c r="EG93" i="1"/>
  <c r="EE93" i="1" s="1"/>
  <c r="EG92" i="1"/>
  <c r="EG94" i="1"/>
  <c r="EE94" i="1" s="1"/>
  <c r="EG95" i="1"/>
  <c r="EE95" i="1" s="1"/>
  <c r="AI110" i="1"/>
  <c r="AS110" i="1"/>
  <c r="AN110" i="1"/>
  <c r="AS119" i="1"/>
  <c r="AI119" i="1"/>
  <c r="AN119" i="1"/>
  <c r="EF84" i="1"/>
  <c r="ED84" i="1" s="1"/>
  <c r="EF78" i="1"/>
  <c r="ED78" i="1" s="1"/>
  <c r="EF86" i="1"/>
  <c r="ED86" i="1" s="1"/>
  <c r="EF79" i="1"/>
  <c r="ED79" i="1" s="1"/>
  <c r="EF80" i="1"/>
  <c r="ED80" i="1" s="1"/>
  <c r="EF82" i="1"/>
  <c r="ED82" i="1" s="1"/>
  <c r="EF81" i="1"/>
  <c r="ED81" i="1" s="1"/>
  <c r="EF75" i="1"/>
  <c r="ED75" i="1" s="1"/>
  <c r="EF77" i="1"/>
  <c r="ED77" i="1" s="1"/>
  <c r="EF88" i="1"/>
  <c r="ED88" i="1" s="1"/>
  <c r="EF90" i="1"/>
  <c r="ED90" i="1" s="1"/>
  <c r="EF74" i="1"/>
  <c r="ED74" i="1" s="1"/>
  <c r="EF89" i="1"/>
  <c r="ED89" i="1" s="1"/>
  <c r="EF76" i="1"/>
  <c r="ED76" i="1" s="1"/>
  <c r="EF73" i="1"/>
  <c r="EF87" i="1"/>
  <c r="ED87" i="1" s="1"/>
  <c r="EF83" i="1"/>
  <c r="ED83" i="1" s="1"/>
  <c r="EF85" i="1"/>
  <c r="ED85" i="1" s="1"/>
  <c r="AI35" i="1"/>
  <c r="AS35" i="1"/>
  <c r="AN35" i="1"/>
  <c r="ED142" i="1"/>
  <c r="FN142" i="1"/>
  <c r="AD142" i="1" s="1"/>
  <c r="AI102" i="1"/>
  <c r="AS102" i="1"/>
  <c r="AN102" i="1"/>
  <c r="FO135" i="1"/>
  <c r="EE135" i="1"/>
  <c r="AS121" i="1"/>
  <c r="AN121" i="1"/>
  <c r="AI121" i="1"/>
  <c r="AI37" i="1"/>
  <c r="AS37" i="1"/>
  <c r="AN37" i="1"/>
  <c r="ED99" i="1"/>
  <c r="FN99" i="1"/>
  <c r="AD99" i="1" s="1"/>
  <c r="EG64" i="1"/>
  <c r="EE64" i="1" s="1"/>
  <c r="EG66" i="1"/>
  <c r="EE66" i="1" s="1"/>
  <c r="EG69" i="1"/>
  <c r="EE69" i="1" s="1"/>
  <c r="EG58" i="1"/>
  <c r="EE58" i="1" s="1"/>
  <c r="EG57" i="1"/>
  <c r="EE57" i="1" s="1"/>
  <c r="EG71" i="1"/>
  <c r="EE71" i="1" s="1"/>
  <c r="EG56" i="1"/>
  <c r="EE56" i="1" s="1"/>
  <c r="EG60" i="1"/>
  <c r="EE60" i="1" s="1"/>
  <c r="EG67" i="1"/>
  <c r="EE67" i="1" s="1"/>
  <c r="EG63" i="1"/>
  <c r="EE63" i="1" s="1"/>
  <c r="EG61" i="1"/>
  <c r="EE61" i="1" s="1"/>
  <c r="EG62" i="1"/>
  <c r="EE62" i="1" s="1"/>
  <c r="EG68" i="1"/>
  <c r="EE68" i="1" s="1"/>
  <c r="EG70" i="1"/>
  <c r="EE70" i="1" s="1"/>
  <c r="EG55" i="1"/>
  <c r="EG65" i="1"/>
  <c r="EE65" i="1" s="1"/>
  <c r="EG59" i="1"/>
  <c r="EE59" i="1" s="1"/>
  <c r="AI116" i="1"/>
  <c r="AN116" i="1"/>
  <c r="AS116" i="1"/>
  <c r="AN126" i="1"/>
  <c r="AS126" i="1"/>
  <c r="AI126" i="1"/>
  <c r="AN107" i="1"/>
  <c r="AI107" i="1"/>
  <c r="AS107" i="1"/>
  <c r="AN95" i="1"/>
  <c r="AS95" i="1"/>
  <c r="AI95" i="1"/>
  <c r="AS23" i="1"/>
  <c r="AI23" i="1"/>
  <c r="AN23" i="1"/>
  <c r="AN54" i="1"/>
  <c r="AI54" i="1"/>
  <c r="AS54" i="1"/>
  <c r="FN145" i="1"/>
  <c r="AD145" i="1" s="1"/>
  <c r="ED145" i="1"/>
  <c r="AN45" i="1"/>
  <c r="AI45" i="1"/>
  <c r="AS45" i="1"/>
  <c r="FN146" i="1"/>
  <c r="AD146" i="1" s="1"/>
  <c r="ED146" i="1"/>
  <c r="ED143" i="1"/>
  <c r="FN143" i="1"/>
  <c r="AD143" i="1" s="1"/>
  <c r="AN125" i="1"/>
  <c r="AI125" i="1"/>
  <c r="AS125" i="1"/>
  <c r="AS48" i="1"/>
  <c r="AN48" i="1"/>
  <c r="AI48" i="1"/>
  <c r="FZ64" i="1"/>
  <c r="GJ64" i="1" s="1"/>
  <c r="AA64" i="1" s="1"/>
  <c r="FZ135" i="1"/>
  <c r="GJ135" i="1" s="1"/>
  <c r="AA135" i="1" s="1"/>
  <c r="FZ133" i="1"/>
  <c r="GJ133" i="1" s="1"/>
  <c r="AA133" i="1" s="1"/>
  <c r="FZ143" i="1"/>
  <c r="GJ143" i="1" s="1"/>
  <c r="AA143" i="1" s="1"/>
  <c r="FZ39" i="1"/>
  <c r="GJ39" i="1" s="1"/>
  <c r="AA39" i="1" s="1"/>
  <c r="AE39" i="1" s="1"/>
  <c r="G23" i="14" s="1"/>
  <c r="FZ109" i="1"/>
  <c r="GJ109" i="1" s="1"/>
  <c r="AA109" i="1" s="1"/>
  <c r="FZ50" i="1"/>
  <c r="GJ50" i="1" s="1"/>
  <c r="AA50" i="1" s="1"/>
  <c r="AE50" i="1" s="1"/>
  <c r="G34" i="14" s="1"/>
  <c r="FZ46" i="1"/>
  <c r="GJ46" i="1" s="1"/>
  <c r="AA46" i="1" s="1"/>
  <c r="AE46" i="1" s="1"/>
  <c r="G30" i="14" s="1"/>
  <c r="FZ128" i="1"/>
  <c r="GJ128" i="1" s="1"/>
  <c r="AA128" i="1" s="1"/>
  <c r="AE128" i="1" s="1"/>
  <c r="G112" i="14" s="1"/>
  <c r="FZ111" i="1"/>
  <c r="GJ111" i="1" s="1"/>
  <c r="AA111" i="1" s="1"/>
  <c r="AE111" i="1" s="1"/>
  <c r="G95" i="14" s="1"/>
  <c r="FZ141" i="1"/>
  <c r="GJ141" i="1" s="1"/>
  <c r="AA141" i="1" s="1"/>
  <c r="AE141" i="1" s="1"/>
  <c r="G125" i="14" s="1"/>
  <c r="FZ41" i="1"/>
  <c r="GJ41" i="1" s="1"/>
  <c r="AA41" i="1" s="1"/>
  <c r="AE41" i="1" s="1"/>
  <c r="G25" i="14" s="1"/>
  <c r="FZ139" i="1"/>
  <c r="GJ139" i="1" s="1"/>
  <c r="AA139" i="1" s="1"/>
  <c r="AE139" i="1" s="1"/>
  <c r="G123" i="14" s="1"/>
  <c r="FZ57" i="1"/>
  <c r="GJ57" i="1" s="1"/>
  <c r="AA57" i="1" s="1"/>
  <c r="AE57" i="1" s="1"/>
  <c r="G41" i="14" s="1"/>
  <c r="FZ93" i="1"/>
  <c r="GJ93" i="1" s="1"/>
  <c r="AA93" i="1" s="1"/>
  <c r="AE93" i="1" s="1"/>
  <c r="G77" i="14" s="1"/>
  <c r="FZ97" i="1"/>
  <c r="GJ97" i="1" s="1"/>
  <c r="AA97" i="1" s="1"/>
  <c r="AE97" i="1" s="1"/>
  <c r="G81" i="14" s="1"/>
  <c r="FZ116" i="1"/>
  <c r="GJ116" i="1" s="1"/>
  <c r="AA116" i="1" s="1"/>
  <c r="AE116" i="1" s="1"/>
  <c r="G100" i="14" s="1"/>
  <c r="FZ147" i="1"/>
  <c r="GJ147" i="1" s="1"/>
  <c r="AA147" i="1" s="1"/>
  <c r="FZ67" i="1"/>
  <c r="GJ67" i="1" s="1"/>
  <c r="AA67" i="1" s="1"/>
  <c r="AE67" i="1" s="1"/>
  <c r="G51" i="14" s="1"/>
  <c r="FZ68" i="1"/>
  <c r="GJ68" i="1" s="1"/>
  <c r="AA68" i="1" s="1"/>
  <c r="AE68" i="1" s="1"/>
  <c r="G52" i="14" s="1"/>
  <c r="FZ91" i="1"/>
  <c r="GJ91" i="1" s="1"/>
  <c r="AA91" i="1" s="1"/>
  <c r="AE91" i="1" s="1"/>
  <c r="G75" i="14" s="1"/>
  <c r="FZ35" i="1"/>
  <c r="GJ35" i="1" s="1"/>
  <c r="AA35" i="1" s="1"/>
  <c r="AE35" i="1" s="1"/>
  <c r="G19" i="14" s="1"/>
  <c r="FZ83" i="1"/>
  <c r="GJ83" i="1" s="1"/>
  <c r="AA83" i="1" s="1"/>
  <c r="AE83" i="1" s="1"/>
  <c r="G67" i="14" s="1"/>
  <c r="FZ87" i="1"/>
  <c r="GJ87" i="1" s="1"/>
  <c r="AA87" i="1" s="1"/>
  <c r="AE87" i="1" s="1"/>
  <c r="G71" i="14" s="1"/>
  <c r="FZ29" i="1"/>
  <c r="GJ29" i="1" s="1"/>
  <c r="AA29" i="1" s="1"/>
  <c r="AE29" i="1" s="1"/>
  <c r="G13" i="14" s="1"/>
  <c r="FZ81" i="1"/>
  <c r="GJ81" i="1" s="1"/>
  <c r="AA81" i="1" s="1"/>
  <c r="AE81" i="1" s="1"/>
  <c r="G65" i="14" s="1"/>
  <c r="FZ114" i="1"/>
  <c r="GJ114" i="1" s="1"/>
  <c r="AA114" i="1" s="1"/>
  <c r="AE114" i="1" s="1"/>
  <c r="G98" i="14" s="1"/>
  <c r="FZ43" i="1"/>
  <c r="GJ43" i="1" s="1"/>
  <c r="AA43" i="1" s="1"/>
  <c r="AE43" i="1" s="1"/>
  <c r="G27" i="14" s="1"/>
  <c r="FZ138" i="1"/>
  <c r="GJ138" i="1" s="1"/>
  <c r="AA138" i="1" s="1"/>
  <c r="AE138" i="1" s="1"/>
  <c r="G122" i="14" s="1"/>
  <c r="FZ100" i="1"/>
  <c r="GJ100" i="1" s="1"/>
  <c r="AA100" i="1" s="1"/>
  <c r="FZ82" i="1"/>
  <c r="GJ82" i="1" s="1"/>
  <c r="AA82" i="1" s="1"/>
  <c r="AE82" i="1" s="1"/>
  <c r="G66" i="14" s="1"/>
  <c r="FZ85" i="1"/>
  <c r="GJ85" i="1" s="1"/>
  <c r="AA85" i="1" s="1"/>
  <c r="AE132" i="1" l="1"/>
  <c r="G116" i="14" s="1"/>
  <c r="AG149" i="1"/>
  <c r="AQ149" i="1" s="1"/>
  <c r="AG150" i="1"/>
  <c r="AV150" i="1" s="1"/>
  <c r="AE133" i="1"/>
  <c r="G117" i="14" s="1"/>
  <c r="AE131" i="1"/>
  <c r="G115" i="14" s="1"/>
  <c r="AE134" i="1"/>
  <c r="G118" i="14" s="1"/>
  <c r="AE130" i="1"/>
  <c r="G114" i="14" s="1"/>
  <c r="AF150" i="1"/>
  <c r="AO150" i="1"/>
  <c r="AT150" i="1"/>
  <c r="AJ150" i="1"/>
  <c r="H134" i="14" s="1"/>
  <c r="AE85" i="1"/>
  <c r="G69" i="14" s="1"/>
  <c r="AF43" i="1"/>
  <c r="AG43" i="1"/>
  <c r="AJ43" i="1"/>
  <c r="H27" i="14" s="1"/>
  <c r="AO43" i="1"/>
  <c r="AT43" i="1"/>
  <c r="AF87" i="1"/>
  <c r="AJ87" i="1"/>
  <c r="H71" i="14" s="1"/>
  <c r="AO87" i="1"/>
  <c r="AG87" i="1"/>
  <c r="AT87" i="1"/>
  <c r="AF68" i="1"/>
  <c r="AJ68" i="1"/>
  <c r="H52" i="14" s="1"/>
  <c r="AG68" i="1"/>
  <c r="AO68" i="1"/>
  <c r="AT68" i="1"/>
  <c r="AF97" i="1"/>
  <c r="AJ97" i="1"/>
  <c r="H81" i="14" s="1"/>
  <c r="AO97" i="1"/>
  <c r="AG97" i="1"/>
  <c r="AT97" i="1"/>
  <c r="AF41" i="1"/>
  <c r="AO41" i="1"/>
  <c r="AG41" i="1"/>
  <c r="AJ41" i="1"/>
  <c r="H25" i="14" s="1"/>
  <c r="AT41" i="1"/>
  <c r="AF46" i="1"/>
  <c r="AT46" i="1"/>
  <c r="AG46" i="1"/>
  <c r="AJ46" i="1"/>
  <c r="H30" i="14" s="1"/>
  <c r="AO46" i="1"/>
  <c r="AE143" i="1"/>
  <c r="G127" i="14" s="1"/>
  <c r="AF58" i="1"/>
  <c r="AT58" i="1"/>
  <c r="AJ58" i="1"/>
  <c r="H42" i="14" s="1"/>
  <c r="AO58" i="1"/>
  <c r="AG58" i="1"/>
  <c r="AE112" i="1"/>
  <c r="G96" i="14" s="1"/>
  <c r="AF60" i="1"/>
  <c r="AO60" i="1"/>
  <c r="AG60" i="1"/>
  <c r="AT60" i="1"/>
  <c r="AJ60" i="1"/>
  <c r="H44" i="14" s="1"/>
  <c r="AE103" i="1"/>
  <c r="G87" i="14" s="1"/>
  <c r="AF104" i="1"/>
  <c r="AJ104" i="1"/>
  <c r="H88" i="14" s="1"/>
  <c r="AO104" i="1"/>
  <c r="AG104" i="1"/>
  <c r="AT104" i="1"/>
  <c r="AE146" i="1"/>
  <c r="G130" i="14" s="1"/>
  <c r="AF59" i="1"/>
  <c r="AG59" i="1"/>
  <c r="AT59" i="1"/>
  <c r="AO59" i="1"/>
  <c r="AJ59" i="1"/>
  <c r="H43" i="14" s="1"/>
  <c r="AI147" i="1"/>
  <c r="AS147" i="1"/>
  <c r="AN147" i="1"/>
  <c r="AI133" i="1"/>
  <c r="AN133" i="1"/>
  <c r="AS133" i="1"/>
  <c r="AE115" i="1"/>
  <c r="G99" i="14" s="1"/>
  <c r="AF62" i="1"/>
  <c r="AJ62" i="1"/>
  <c r="H46" i="14" s="1"/>
  <c r="AG62" i="1"/>
  <c r="AO62" i="1"/>
  <c r="AT62" i="1"/>
  <c r="AF137" i="1"/>
  <c r="AO137" i="1"/>
  <c r="AT137" i="1"/>
  <c r="AJ137" i="1"/>
  <c r="H121" i="14" s="1"/>
  <c r="AG137" i="1"/>
  <c r="AF119" i="1"/>
  <c r="AT119" i="1"/>
  <c r="AG119" i="1"/>
  <c r="AJ119" i="1"/>
  <c r="H103" i="14" s="1"/>
  <c r="AO119" i="1"/>
  <c r="AF124" i="1"/>
  <c r="AJ124" i="1"/>
  <c r="H108" i="14" s="1"/>
  <c r="AO124" i="1"/>
  <c r="AG124" i="1"/>
  <c r="AT124" i="1"/>
  <c r="AF33" i="1"/>
  <c r="AJ33" i="1"/>
  <c r="H17" i="14" s="1"/>
  <c r="AG33" i="1"/>
  <c r="AT33" i="1"/>
  <c r="AO33" i="1"/>
  <c r="AE145" i="1"/>
  <c r="G129" i="14" s="1"/>
  <c r="FN27" i="1"/>
  <c r="AD27" i="1" s="1"/>
  <c r="EH27" i="1"/>
  <c r="AI135" i="1"/>
  <c r="AS135" i="1"/>
  <c r="AN135" i="1"/>
  <c r="AF132" i="1"/>
  <c r="AJ132" i="1"/>
  <c r="H116" i="14" s="1"/>
  <c r="AO132" i="1"/>
  <c r="AF94" i="1"/>
  <c r="AT94" i="1"/>
  <c r="AG94" i="1"/>
  <c r="AJ94" i="1"/>
  <c r="H78" i="14" s="1"/>
  <c r="AO94" i="1"/>
  <c r="AF65" i="1"/>
  <c r="AJ65" i="1"/>
  <c r="H49" i="14" s="1"/>
  <c r="AG65" i="1"/>
  <c r="AT65" i="1"/>
  <c r="AO65" i="1"/>
  <c r="AE23" i="1"/>
  <c r="G7" i="14" s="1"/>
  <c r="AF26" i="1"/>
  <c r="AO26" i="1"/>
  <c r="AG26" i="1"/>
  <c r="AJ26" i="1"/>
  <c r="H10" i="14" s="1"/>
  <c r="AT26" i="1"/>
  <c r="AE136" i="1"/>
  <c r="G120" i="14" s="1"/>
  <c r="AF101" i="1"/>
  <c r="AJ101" i="1"/>
  <c r="H85" i="14" s="1"/>
  <c r="AT101" i="1"/>
  <c r="AO101" i="1"/>
  <c r="AG101" i="1"/>
  <c r="AF77" i="1"/>
  <c r="AO77" i="1"/>
  <c r="AG77" i="1"/>
  <c r="AJ77" i="1"/>
  <c r="H61" i="14" s="1"/>
  <c r="AT77" i="1"/>
  <c r="ED55" i="1"/>
  <c r="FN55" i="1"/>
  <c r="AD55" i="1" s="1"/>
  <c r="AG30" i="1"/>
  <c r="AO30" i="1"/>
  <c r="AJ30" i="1"/>
  <c r="H14" i="14" s="1"/>
  <c r="AT30" i="1"/>
  <c r="AE99" i="1"/>
  <c r="G83" i="14" s="1"/>
  <c r="AF138" i="1"/>
  <c r="AJ138" i="1"/>
  <c r="H122" i="14" s="1"/>
  <c r="AT138" i="1"/>
  <c r="AG138" i="1"/>
  <c r="AO138" i="1"/>
  <c r="AF29" i="1"/>
  <c r="AT29" i="1"/>
  <c r="AG29" i="1"/>
  <c r="AO29" i="1"/>
  <c r="AJ29" i="1"/>
  <c r="H13" i="14" s="1"/>
  <c r="AF91" i="1"/>
  <c r="AJ91" i="1"/>
  <c r="H75" i="14" s="1"/>
  <c r="AG91" i="1"/>
  <c r="AT91" i="1"/>
  <c r="AO91" i="1"/>
  <c r="AF116" i="1"/>
  <c r="AO116" i="1"/>
  <c r="AG116" i="1"/>
  <c r="AT116" i="1"/>
  <c r="AJ116" i="1"/>
  <c r="H100" i="14" s="1"/>
  <c r="AF139" i="1"/>
  <c r="AJ139" i="1"/>
  <c r="H123" i="14" s="1"/>
  <c r="AG139" i="1"/>
  <c r="AO139" i="1"/>
  <c r="AT139" i="1"/>
  <c r="AF128" i="1"/>
  <c r="AG128" i="1"/>
  <c r="AT128" i="1"/>
  <c r="AO128" i="1"/>
  <c r="AJ128" i="1"/>
  <c r="H112" i="14" s="1"/>
  <c r="AF39" i="1"/>
  <c r="AO39" i="1"/>
  <c r="AG39" i="1"/>
  <c r="AJ39" i="1"/>
  <c r="H23" i="14" s="1"/>
  <c r="AT39" i="1"/>
  <c r="AE64" i="1"/>
  <c r="G48" i="14" s="1"/>
  <c r="EE55" i="1"/>
  <c r="FO55" i="1"/>
  <c r="AS142" i="1"/>
  <c r="AI142" i="1"/>
  <c r="AN142" i="1"/>
  <c r="FN73" i="1"/>
  <c r="AD73" i="1" s="1"/>
  <c r="ED73" i="1"/>
  <c r="AE21" i="1"/>
  <c r="G5" i="14" s="1"/>
  <c r="AF40" i="1"/>
  <c r="AO40" i="1"/>
  <c r="AG40" i="1"/>
  <c r="AT40" i="1"/>
  <c r="AJ40" i="1"/>
  <c r="H24" i="14" s="1"/>
  <c r="AF79" i="1"/>
  <c r="AG79" i="1"/>
  <c r="AJ79" i="1"/>
  <c r="H63" i="14" s="1"/>
  <c r="AO79" i="1"/>
  <c r="AT79" i="1"/>
  <c r="AF69" i="1"/>
  <c r="AO69" i="1"/>
  <c r="AJ69" i="1"/>
  <c r="H53" i="14" s="1"/>
  <c r="AG69" i="1"/>
  <c r="AT69" i="1"/>
  <c r="AF53" i="1"/>
  <c r="AG53" i="1"/>
  <c r="AJ53" i="1"/>
  <c r="H37" i="14" s="1"/>
  <c r="AT53" i="1"/>
  <c r="AO53" i="1"/>
  <c r="AF34" i="1"/>
  <c r="AT34" i="1"/>
  <c r="AJ34" i="1"/>
  <c r="H18" i="14" s="1"/>
  <c r="AO34" i="1"/>
  <c r="AG34" i="1"/>
  <c r="AE74" i="1"/>
  <c r="G58" i="14" s="1"/>
  <c r="AF120" i="1"/>
  <c r="AG120" i="1"/>
  <c r="AO120" i="1"/>
  <c r="AT120" i="1"/>
  <c r="AJ120" i="1"/>
  <c r="H104" i="14" s="1"/>
  <c r="EE100" i="1"/>
  <c r="FO100" i="1"/>
  <c r="AF125" i="1"/>
  <c r="AJ125" i="1"/>
  <c r="H109" i="14" s="1"/>
  <c r="AT125" i="1"/>
  <c r="AO125" i="1"/>
  <c r="AG125" i="1"/>
  <c r="AE48" i="1"/>
  <c r="G32" i="14" s="1"/>
  <c r="AF75" i="1"/>
  <c r="AO75" i="1"/>
  <c r="AJ75" i="1"/>
  <c r="H59" i="14" s="1"/>
  <c r="AG75" i="1"/>
  <c r="AT75" i="1"/>
  <c r="AE96" i="1"/>
  <c r="G80" i="14" s="1"/>
  <c r="AF122" i="1"/>
  <c r="AT122" i="1"/>
  <c r="AG122" i="1"/>
  <c r="AO122" i="1"/>
  <c r="AJ122" i="1"/>
  <c r="H106" i="14" s="1"/>
  <c r="EI27" i="1"/>
  <c r="FO27" i="1"/>
  <c r="AN129" i="1"/>
  <c r="AS129" i="1"/>
  <c r="AI129" i="1"/>
  <c r="AF149" i="1"/>
  <c r="AT149" i="1"/>
  <c r="AO149" i="1"/>
  <c r="AJ149" i="1"/>
  <c r="H133" i="14" s="1"/>
  <c r="AF107" i="1"/>
  <c r="AT107" i="1"/>
  <c r="AG107" i="1"/>
  <c r="AJ107" i="1"/>
  <c r="H91" i="14" s="1"/>
  <c r="AO107" i="1"/>
  <c r="AF36" i="1"/>
  <c r="AO36" i="1"/>
  <c r="AG36" i="1"/>
  <c r="AJ36" i="1"/>
  <c r="H20" i="14" s="1"/>
  <c r="AT36" i="1"/>
  <c r="AF127" i="1"/>
  <c r="AO127" i="1"/>
  <c r="AT127" i="1"/>
  <c r="AG127" i="1"/>
  <c r="AJ127" i="1"/>
  <c r="H111" i="14" s="1"/>
  <c r="AF71" i="1"/>
  <c r="AJ71" i="1"/>
  <c r="H55" i="14" s="1"/>
  <c r="AO71" i="1"/>
  <c r="AT71" i="1"/>
  <c r="AG71" i="1"/>
  <c r="AF45" i="1"/>
  <c r="AJ45" i="1"/>
  <c r="H29" i="14" s="1"/>
  <c r="AG45" i="1"/>
  <c r="AT45" i="1"/>
  <c r="AO45" i="1"/>
  <c r="AF86" i="1"/>
  <c r="AJ86" i="1"/>
  <c r="H70" i="14" s="1"/>
  <c r="AG86" i="1"/>
  <c r="AO86" i="1"/>
  <c r="AT86" i="1"/>
  <c r="AF61" i="1"/>
  <c r="AJ61" i="1"/>
  <c r="H45" i="14" s="1"/>
  <c r="AT61" i="1"/>
  <c r="AO61" i="1"/>
  <c r="AG61" i="1"/>
  <c r="ED123" i="1"/>
  <c r="FN123" i="1"/>
  <c r="AD123" i="1" s="1"/>
  <c r="AI97" i="1"/>
  <c r="AN97" i="1"/>
  <c r="AS97" i="1"/>
  <c r="AE142" i="1"/>
  <c r="G126" i="14" s="1"/>
  <c r="AE129" i="1"/>
  <c r="G113" i="14" s="1"/>
  <c r="AF30" i="1"/>
  <c r="AF81" i="1"/>
  <c r="AT81" i="1"/>
  <c r="AG81" i="1"/>
  <c r="AJ81" i="1"/>
  <c r="H65" i="14" s="1"/>
  <c r="AO81" i="1"/>
  <c r="AF35" i="1"/>
  <c r="AT35" i="1"/>
  <c r="AO35" i="1"/>
  <c r="AJ35" i="1"/>
  <c r="H19" i="14" s="1"/>
  <c r="AG35" i="1"/>
  <c r="AE147" i="1"/>
  <c r="G131" i="14" s="1"/>
  <c r="AF57" i="1"/>
  <c r="AO57" i="1"/>
  <c r="AG57" i="1"/>
  <c r="AT57" i="1"/>
  <c r="AJ57" i="1"/>
  <c r="H41" i="14" s="1"/>
  <c r="AF111" i="1"/>
  <c r="AT111" i="1"/>
  <c r="AJ111" i="1"/>
  <c r="H95" i="14" s="1"/>
  <c r="AO111" i="1"/>
  <c r="AG111" i="1"/>
  <c r="AE109" i="1"/>
  <c r="G93" i="14" s="1"/>
  <c r="AE135" i="1"/>
  <c r="G119" i="14" s="1"/>
  <c r="AS143" i="1"/>
  <c r="AI143" i="1"/>
  <c r="AN143" i="1"/>
  <c r="AN145" i="1"/>
  <c r="AS145" i="1"/>
  <c r="AI145" i="1"/>
  <c r="AI99" i="1"/>
  <c r="AN99" i="1"/>
  <c r="AS99" i="1"/>
  <c r="EE92" i="1"/>
  <c r="FO92" i="1"/>
  <c r="AE108" i="1"/>
  <c r="G92" i="14" s="1"/>
  <c r="AF28" i="1"/>
  <c r="AO28" i="1"/>
  <c r="AG28" i="1"/>
  <c r="AJ28" i="1"/>
  <c r="H12" i="14" s="1"/>
  <c r="AT28" i="1"/>
  <c r="AF56" i="1"/>
  <c r="AJ56" i="1"/>
  <c r="H40" i="14" s="1"/>
  <c r="AO56" i="1"/>
  <c r="AT56" i="1"/>
  <c r="AG56" i="1"/>
  <c r="AF47" i="1"/>
  <c r="AT47" i="1"/>
  <c r="AO47" i="1"/>
  <c r="AJ47" i="1"/>
  <c r="H31" i="14" s="1"/>
  <c r="AG47" i="1"/>
  <c r="AF117" i="1"/>
  <c r="AO117" i="1"/>
  <c r="AT117" i="1"/>
  <c r="AG117" i="1"/>
  <c r="AJ117" i="1"/>
  <c r="H101" i="14" s="1"/>
  <c r="AF76" i="1"/>
  <c r="AT76" i="1"/>
  <c r="AG76" i="1"/>
  <c r="AO76" i="1"/>
  <c r="AJ76" i="1"/>
  <c r="H60" i="14" s="1"/>
  <c r="AF32" i="1"/>
  <c r="AO32" i="1"/>
  <c r="AG32" i="1"/>
  <c r="AT32" i="1"/>
  <c r="AJ32" i="1"/>
  <c r="H16" i="14" s="1"/>
  <c r="AE148" i="1"/>
  <c r="G132" i="14" s="1"/>
  <c r="EE118" i="1"/>
  <c r="FO118" i="1"/>
  <c r="AO17" i="1"/>
  <c r="AJ17" i="1"/>
  <c r="AT17" i="1"/>
  <c r="AF22" i="1"/>
  <c r="AJ22" i="1"/>
  <c r="H6" i="14" s="1"/>
  <c r="AO22" i="1"/>
  <c r="AT22" i="1"/>
  <c r="AG22" i="1"/>
  <c r="AE63" i="1"/>
  <c r="G47" i="14" s="1"/>
  <c r="AF25" i="1"/>
  <c r="AJ25" i="1"/>
  <c r="H9" i="14" s="1"/>
  <c r="AT25" i="1"/>
  <c r="AG25" i="1"/>
  <c r="AO25" i="1"/>
  <c r="AF90" i="1"/>
  <c r="AG90" i="1"/>
  <c r="AO90" i="1"/>
  <c r="AT90" i="1"/>
  <c r="AJ90" i="1"/>
  <c r="H74" i="14" s="1"/>
  <c r="AF88" i="1"/>
  <c r="AT88" i="1"/>
  <c r="AG88" i="1"/>
  <c r="AJ88" i="1"/>
  <c r="H72" i="14" s="1"/>
  <c r="AO88" i="1"/>
  <c r="AF20" i="1"/>
  <c r="AJ20" i="1"/>
  <c r="H4" i="14" s="1"/>
  <c r="AO20" i="1"/>
  <c r="AT20" i="1"/>
  <c r="AG20" i="1"/>
  <c r="AF84" i="1"/>
  <c r="AT84" i="1"/>
  <c r="AG84" i="1"/>
  <c r="AJ84" i="1"/>
  <c r="H68" i="14" s="1"/>
  <c r="AO84" i="1"/>
  <c r="FN92" i="1"/>
  <c r="AD92" i="1" s="1"/>
  <c r="ED92" i="1"/>
  <c r="AI134" i="1"/>
  <c r="AN134" i="1"/>
  <c r="AS134" i="1"/>
  <c r="AF51" i="1"/>
  <c r="AJ51" i="1"/>
  <c r="H35" i="14" s="1"/>
  <c r="AT51" i="1"/>
  <c r="AO51" i="1"/>
  <c r="AG51" i="1"/>
  <c r="AE110" i="1"/>
  <c r="G94" i="14" s="1"/>
  <c r="AF44" i="1"/>
  <c r="AJ44" i="1"/>
  <c r="H28" i="14" s="1"/>
  <c r="AG44" i="1"/>
  <c r="AO44" i="1"/>
  <c r="AT44" i="1"/>
  <c r="AE80" i="1"/>
  <c r="G64" i="14" s="1"/>
  <c r="AF38" i="1"/>
  <c r="AG38" i="1"/>
  <c r="AT38" i="1"/>
  <c r="AO38" i="1"/>
  <c r="AJ38" i="1"/>
  <c r="H22" i="14" s="1"/>
  <c r="AF72" i="1"/>
  <c r="AG72" i="1"/>
  <c r="AO72" i="1"/>
  <c r="AT72" i="1"/>
  <c r="AJ72" i="1"/>
  <c r="H56" i="14" s="1"/>
  <c r="AF106" i="1"/>
  <c r="AJ106" i="1"/>
  <c r="H90" i="14" s="1"/>
  <c r="AG106" i="1"/>
  <c r="AT106" i="1"/>
  <c r="AO106" i="1"/>
  <c r="EE113" i="1"/>
  <c r="FO113" i="1"/>
  <c r="AI131" i="1"/>
  <c r="AN131" i="1"/>
  <c r="AS131" i="1"/>
  <c r="AN130" i="1"/>
  <c r="AS130" i="1"/>
  <c r="AI130" i="1"/>
  <c r="AF82" i="1"/>
  <c r="AG82" i="1"/>
  <c r="AO82" i="1"/>
  <c r="AT82" i="1"/>
  <c r="AJ82" i="1"/>
  <c r="H66" i="14" s="1"/>
  <c r="AF114" i="1"/>
  <c r="AG114" i="1"/>
  <c r="AT114" i="1"/>
  <c r="AO114" i="1"/>
  <c r="AJ114" i="1"/>
  <c r="H98" i="14" s="1"/>
  <c r="AF83" i="1"/>
  <c r="AG83" i="1"/>
  <c r="AJ83" i="1"/>
  <c r="H67" i="14" s="1"/>
  <c r="AO83" i="1"/>
  <c r="AT83" i="1"/>
  <c r="AF67" i="1"/>
  <c r="AO67" i="1"/>
  <c r="AT67" i="1"/>
  <c r="AJ67" i="1"/>
  <c r="H51" i="14" s="1"/>
  <c r="AG67" i="1"/>
  <c r="AF93" i="1"/>
  <c r="AO93" i="1"/>
  <c r="AG93" i="1"/>
  <c r="AJ93" i="1"/>
  <c r="H77" i="14" s="1"/>
  <c r="AT93" i="1"/>
  <c r="AF141" i="1"/>
  <c r="AT141" i="1"/>
  <c r="AO141" i="1"/>
  <c r="AG141" i="1"/>
  <c r="AJ141" i="1"/>
  <c r="H125" i="14" s="1"/>
  <c r="AF50" i="1"/>
  <c r="AJ50" i="1"/>
  <c r="H34" i="14" s="1"/>
  <c r="AO50" i="1"/>
  <c r="AT50" i="1"/>
  <c r="AG50" i="1"/>
  <c r="AN146" i="1"/>
  <c r="AS146" i="1"/>
  <c r="AI146" i="1"/>
  <c r="AF66" i="1"/>
  <c r="AJ66" i="1"/>
  <c r="H50" i="14" s="1"/>
  <c r="AT66" i="1"/>
  <c r="AO66" i="1"/>
  <c r="AG66" i="1"/>
  <c r="AF42" i="1"/>
  <c r="AT42" i="1"/>
  <c r="AJ42" i="1"/>
  <c r="H26" i="14" s="1"/>
  <c r="AO42" i="1"/>
  <c r="AG42" i="1"/>
  <c r="AF70" i="1"/>
  <c r="AG70" i="1"/>
  <c r="AO70" i="1"/>
  <c r="AJ70" i="1"/>
  <c r="H54" i="14" s="1"/>
  <c r="AT70" i="1"/>
  <c r="AF89" i="1"/>
  <c r="AT89" i="1"/>
  <c r="AG89" i="1"/>
  <c r="AO89" i="1"/>
  <c r="AJ89" i="1"/>
  <c r="H73" i="14" s="1"/>
  <c r="AF49" i="1"/>
  <c r="AJ49" i="1"/>
  <c r="H33" i="14" s="1"/>
  <c r="AT49" i="1"/>
  <c r="AO49" i="1"/>
  <c r="AG49" i="1"/>
  <c r="AF102" i="1"/>
  <c r="AJ102" i="1"/>
  <c r="H86" i="14" s="1"/>
  <c r="AT102" i="1"/>
  <c r="AG102" i="1"/>
  <c r="AO102" i="1"/>
  <c r="AN141" i="1"/>
  <c r="AS141" i="1"/>
  <c r="AI141" i="1"/>
  <c r="ED118" i="1"/>
  <c r="FN118" i="1"/>
  <c r="AD118" i="1" s="1"/>
  <c r="AF126" i="1"/>
  <c r="AG126" i="1"/>
  <c r="AT126" i="1"/>
  <c r="AO126" i="1"/>
  <c r="AJ126" i="1"/>
  <c r="H110" i="14" s="1"/>
  <c r="AF121" i="1"/>
  <c r="AG121" i="1"/>
  <c r="AJ121" i="1"/>
  <c r="H105" i="14" s="1"/>
  <c r="AO121" i="1"/>
  <c r="AT121" i="1"/>
  <c r="AF95" i="1"/>
  <c r="AO95" i="1"/>
  <c r="AT95" i="1"/>
  <c r="AG95" i="1"/>
  <c r="AJ95" i="1"/>
  <c r="H79" i="14" s="1"/>
  <c r="AF105" i="1"/>
  <c r="AO105" i="1"/>
  <c r="AJ105" i="1"/>
  <c r="H89" i="14" s="1"/>
  <c r="AT105" i="1"/>
  <c r="AG105" i="1"/>
  <c r="AF37" i="1"/>
  <c r="AG37" i="1"/>
  <c r="AO37" i="1"/>
  <c r="AT37" i="1"/>
  <c r="AJ37" i="1"/>
  <c r="H21" i="14" s="1"/>
  <c r="FN100" i="1"/>
  <c r="AD100" i="1" s="1"/>
  <c r="ED100" i="1"/>
  <c r="ED113" i="1"/>
  <c r="FN113" i="1"/>
  <c r="AD113" i="1" s="1"/>
  <c r="AI136" i="1"/>
  <c r="AN136" i="1"/>
  <c r="AS136" i="1"/>
  <c r="FO123" i="1"/>
  <c r="EE123" i="1"/>
  <c r="AF78" i="1"/>
  <c r="AT78" i="1"/>
  <c r="AO78" i="1"/>
  <c r="AJ78" i="1"/>
  <c r="H62" i="14" s="1"/>
  <c r="AG78" i="1"/>
  <c r="AF31" i="1"/>
  <c r="AO31" i="1"/>
  <c r="AT31" i="1"/>
  <c r="AJ31" i="1"/>
  <c r="H15" i="14" s="1"/>
  <c r="AG31" i="1"/>
  <c r="AF140" i="1"/>
  <c r="AJ140" i="1"/>
  <c r="H124" i="14" s="1"/>
  <c r="AG140" i="1"/>
  <c r="AO140" i="1"/>
  <c r="AT140" i="1"/>
  <c r="AF24" i="1"/>
  <c r="AG24" i="1"/>
  <c r="AJ24" i="1"/>
  <c r="H8" i="14" s="1"/>
  <c r="AO24" i="1"/>
  <c r="AT24" i="1"/>
  <c r="AF54" i="1"/>
  <c r="AG54" i="1"/>
  <c r="AJ54" i="1"/>
  <c r="H38" i="14" s="1"/>
  <c r="AO54" i="1"/>
  <c r="AT54" i="1"/>
  <c r="AF52" i="1"/>
  <c r="AO52" i="1"/>
  <c r="AG52" i="1"/>
  <c r="AT52" i="1"/>
  <c r="AJ52" i="1"/>
  <c r="H36" i="14" s="1"/>
  <c r="EE73" i="1"/>
  <c r="FO73" i="1"/>
  <c r="AN132" i="1"/>
  <c r="AI132" i="1"/>
  <c r="AS132" i="1"/>
  <c r="AF17" i="1"/>
  <c r="AG132" i="1" l="1"/>
  <c r="AT132" i="1"/>
  <c r="AG133" i="1"/>
  <c r="AJ133" i="1"/>
  <c r="H117" i="14" s="1"/>
  <c r="AO133" i="1"/>
  <c r="AF133" i="1"/>
  <c r="AP133" i="1" s="1"/>
  <c r="AT133" i="1"/>
  <c r="AF130" i="1"/>
  <c r="AU130" i="1" s="1"/>
  <c r="AF131" i="1"/>
  <c r="AL149" i="1"/>
  <c r="AQ150" i="1"/>
  <c r="AL150" i="1"/>
  <c r="AV149" i="1"/>
  <c r="AF134" i="1"/>
  <c r="AK134" i="1" s="1"/>
  <c r="AF110" i="1"/>
  <c r="AK110" i="1" s="1"/>
  <c r="AF63" i="1"/>
  <c r="AU63" i="1" s="1"/>
  <c r="AF64" i="1"/>
  <c r="AK64" i="1" s="1"/>
  <c r="AF103" i="1"/>
  <c r="AP103" i="1" s="1"/>
  <c r="AF143" i="1"/>
  <c r="AP143" i="1" s="1"/>
  <c r="AJ130" i="1"/>
  <c r="H114" i="14" s="1"/>
  <c r="AF80" i="1"/>
  <c r="AU80" i="1" s="1"/>
  <c r="AF108" i="1"/>
  <c r="AK108" i="1" s="1"/>
  <c r="AF74" i="1"/>
  <c r="AU74" i="1" s="1"/>
  <c r="AF115" i="1"/>
  <c r="AP115" i="1" s="1"/>
  <c r="AT131" i="1"/>
  <c r="AO131" i="1"/>
  <c r="AJ131" i="1"/>
  <c r="H115" i="14" s="1"/>
  <c r="AG130" i="1"/>
  <c r="AV130" i="1" s="1"/>
  <c r="AT130" i="1"/>
  <c r="AO130" i="1"/>
  <c r="AF148" i="1"/>
  <c r="AU148" i="1" s="1"/>
  <c r="AG148" i="1"/>
  <c r="AG131" i="1"/>
  <c r="AV131" i="1" s="1"/>
  <c r="AG134" i="1"/>
  <c r="AL134" i="1" s="1"/>
  <c r="AO134" i="1"/>
  <c r="AT134" i="1"/>
  <c r="AJ134" i="1"/>
  <c r="H118" i="14" s="1"/>
  <c r="AU150" i="1"/>
  <c r="AK150" i="1"/>
  <c r="AP150" i="1"/>
  <c r="AU140" i="1"/>
  <c r="AK140" i="1"/>
  <c r="AP140" i="1"/>
  <c r="AE113" i="1"/>
  <c r="AS113" i="1"/>
  <c r="AN113" i="1"/>
  <c r="AI113" i="1"/>
  <c r="AP37" i="1"/>
  <c r="AU37" i="1"/>
  <c r="AK37" i="1"/>
  <c r="AK95" i="1"/>
  <c r="AP95" i="1"/>
  <c r="AU95" i="1"/>
  <c r="AL121" i="1"/>
  <c r="AV121" i="1"/>
  <c r="AQ121" i="1"/>
  <c r="AP102" i="1"/>
  <c r="AU102" i="1"/>
  <c r="AK102" i="1"/>
  <c r="AL89" i="1"/>
  <c r="AV89" i="1"/>
  <c r="AQ89" i="1"/>
  <c r="AQ42" i="1"/>
  <c r="AV42" i="1"/>
  <c r="AL42" i="1"/>
  <c r="AK42" i="1"/>
  <c r="AP42" i="1"/>
  <c r="AU42" i="1"/>
  <c r="AV93" i="1"/>
  <c r="AQ93" i="1"/>
  <c r="AL93" i="1"/>
  <c r="AK83" i="1"/>
  <c r="AP83" i="1"/>
  <c r="AU83" i="1"/>
  <c r="AQ114" i="1"/>
  <c r="AV114" i="1"/>
  <c r="AL114" i="1"/>
  <c r="AL44" i="1"/>
  <c r="AV44" i="1"/>
  <c r="AQ44" i="1"/>
  <c r="AG110" i="1"/>
  <c r="AO110" i="1"/>
  <c r="AJ110" i="1"/>
  <c r="H94" i="14" s="1"/>
  <c r="AT110" i="1"/>
  <c r="AL20" i="1"/>
  <c r="AV20" i="1"/>
  <c r="AQ20" i="1"/>
  <c r="AU20" i="1"/>
  <c r="AK20" i="1"/>
  <c r="AP20" i="1"/>
  <c r="AL25" i="1"/>
  <c r="AV25" i="1"/>
  <c r="AQ25" i="1"/>
  <c r="AQ32" i="1"/>
  <c r="AV32" i="1"/>
  <c r="AL32" i="1"/>
  <c r="AK117" i="1"/>
  <c r="AU117" i="1"/>
  <c r="AP117" i="1"/>
  <c r="AJ109" i="1"/>
  <c r="H93" i="14" s="1"/>
  <c r="AT109" i="1"/>
  <c r="AG109" i="1"/>
  <c r="AO109" i="1"/>
  <c r="AQ57" i="1"/>
  <c r="AV57" i="1"/>
  <c r="AL57" i="1"/>
  <c r="AG147" i="1"/>
  <c r="AO147" i="1"/>
  <c r="AT147" i="1"/>
  <c r="AJ147" i="1"/>
  <c r="H131" i="14" s="1"/>
  <c r="AL81" i="1"/>
  <c r="AQ81" i="1"/>
  <c r="AV81" i="1"/>
  <c r="AF129" i="1"/>
  <c r="AJ129" i="1"/>
  <c r="H113" i="14" s="1"/>
  <c r="AO129" i="1"/>
  <c r="AT129" i="1"/>
  <c r="AG129" i="1"/>
  <c r="AV61" i="1"/>
  <c r="AL61" i="1"/>
  <c r="AQ61" i="1"/>
  <c r="AP61" i="1"/>
  <c r="AK61" i="1"/>
  <c r="AU61" i="1"/>
  <c r="AL45" i="1"/>
  <c r="AV45" i="1"/>
  <c r="AQ45" i="1"/>
  <c r="AP127" i="1"/>
  <c r="AU127" i="1"/>
  <c r="AK127" i="1"/>
  <c r="AQ107" i="1"/>
  <c r="AV107" i="1"/>
  <c r="AL107" i="1"/>
  <c r="AQ122" i="1"/>
  <c r="AV122" i="1"/>
  <c r="AL122" i="1"/>
  <c r="AO96" i="1"/>
  <c r="AJ96" i="1"/>
  <c r="H80" i="14" s="1"/>
  <c r="AT96" i="1"/>
  <c r="AG96" i="1"/>
  <c r="AL125" i="1"/>
  <c r="AQ125" i="1"/>
  <c r="AV125" i="1"/>
  <c r="AK125" i="1"/>
  <c r="AU125" i="1"/>
  <c r="AP125" i="1"/>
  <c r="AP74" i="1"/>
  <c r="AP69" i="1"/>
  <c r="AU69" i="1"/>
  <c r="AK69" i="1"/>
  <c r="AV79" i="1"/>
  <c r="AQ79" i="1"/>
  <c r="AL79" i="1"/>
  <c r="AQ40" i="1"/>
  <c r="AL40" i="1"/>
  <c r="AV40" i="1"/>
  <c r="AT21" i="1"/>
  <c r="AJ21" i="1"/>
  <c r="H5" i="14" s="1"/>
  <c r="AG21" i="1"/>
  <c r="AO21" i="1"/>
  <c r="AQ39" i="1"/>
  <c r="AL39" i="1"/>
  <c r="AV39" i="1"/>
  <c r="AK139" i="1"/>
  <c r="AP139" i="1"/>
  <c r="AU139" i="1"/>
  <c r="AQ91" i="1"/>
  <c r="AV91" i="1"/>
  <c r="AL91" i="1"/>
  <c r="AK138" i="1"/>
  <c r="AP138" i="1"/>
  <c r="AU138" i="1"/>
  <c r="AT136" i="1"/>
  <c r="AG136" i="1"/>
  <c r="AO136" i="1"/>
  <c r="AJ136" i="1"/>
  <c r="H120" i="14" s="1"/>
  <c r="AP65" i="1"/>
  <c r="AU65" i="1"/>
  <c r="AK65" i="1"/>
  <c r="AE27" i="1"/>
  <c r="AN27" i="1"/>
  <c r="AS27" i="1"/>
  <c r="AI27" i="1"/>
  <c r="AU124" i="1"/>
  <c r="AK124" i="1"/>
  <c r="AP124" i="1"/>
  <c r="AK59" i="1"/>
  <c r="AP59" i="1"/>
  <c r="AU59" i="1"/>
  <c r="AL104" i="1"/>
  <c r="AQ104" i="1"/>
  <c r="AV104" i="1"/>
  <c r="AV60" i="1"/>
  <c r="AQ60" i="1"/>
  <c r="AL60" i="1"/>
  <c r="AJ112" i="1"/>
  <c r="H96" i="14" s="1"/>
  <c r="AG112" i="1"/>
  <c r="AO112" i="1"/>
  <c r="AT112" i="1"/>
  <c r="AU46" i="1"/>
  <c r="AP46" i="1"/>
  <c r="AK46" i="1"/>
  <c r="AQ97" i="1"/>
  <c r="AL97" i="1"/>
  <c r="AV97" i="1"/>
  <c r="AU68" i="1"/>
  <c r="AK68" i="1"/>
  <c r="AP68" i="1"/>
  <c r="AG85" i="1"/>
  <c r="AJ85" i="1"/>
  <c r="H69" i="14" s="1"/>
  <c r="AT85" i="1"/>
  <c r="AO85" i="1"/>
  <c r="AU17" i="1"/>
  <c r="AK17" i="1"/>
  <c r="AP17" i="1"/>
  <c r="AV52" i="1"/>
  <c r="AQ52" i="1"/>
  <c r="AL52" i="1"/>
  <c r="AK24" i="1"/>
  <c r="AU24" i="1"/>
  <c r="AP24" i="1"/>
  <c r="AE100" i="1"/>
  <c r="AN100" i="1"/>
  <c r="AI100" i="1"/>
  <c r="AS100" i="1"/>
  <c r="AQ37" i="1"/>
  <c r="AV37" i="1"/>
  <c r="AL37" i="1"/>
  <c r="AE118" i="1"/>
  <c r="AN118" i="1"/>
  <c r="AI118" i="1"/>
  <c r="AS118" i="1"/>
  <c r="AU70" i="1"/>
  <c r="AK70" i="1"/>
  <c r="AP70" i="1"/>
  <c r="AQ133" i="1"/>
  <c r="AL133" i="1"/>
  <c r="AV133" i="1"/>
  <c r="AQ50" i="1"/>
  <c r="AL50" i="1"/>
  <c r="AV50" i="1"/>
  <c r="AP50" i="1"/>
  <c r="AK50" i="1"/>
  <c r="AU50" i="1"/>
  <c r="AV67" i="1"/>
  <c r="AQ67" i="1"/>
  <c r="AL67" i="1"/>
  <c r="AU67" i="1"/>
  <c r="AP67" i="1"/>
  <c r="AK67" i="1"/>
  <c r="AV83" i="1"/>
  <c r="AQ83" i="1"/>
  <c r="AL83" i="1"/>
  <c r="AV106" i="1"/>
  <c r="AQ106" i="1"/>
  <c r="AL106" i="1"/>
  <c r="AP38" i="1"/>
  <c r="AU38" i="1"/>
  <c r="AK38" i="1"/>
  <c r="AU84" i="1"/>
  <c r="AP84" i="1"/>
  <c r="AK84" i="1"/>
  <c r="AL88" i="1"/>
  <c r="AQ88" i="1"/>
  <c r="AV88" i="1"/>
  <c r="AK25" i="1"/>
  <c r="AU25" i="1"/>
  <c r="AP25" i="1"/>
  <c r="AK76" i="1"/>
  <c r="AU76" i="1"/>
  <c r="AP76" i="1"/>
  <c r="AU28" i="1"/>
  <c r="AK28" i="1"/>
  <c r="AP28" i="1"/>
  <c r="AK30" i="1"/>
  <c r="AP30" i="1"/>
  <c r="AU30" i="1"/>
  <c r="AL86" i="1"/>
  <c r="AV86" i="1"/>
  <c r="AQ86" i="1"/>
  <c r="AQ71" i="1"/>
  <c r="AL71" i="1"/>
  <c r="AV71" i="1"/>
  <c r="AP71" i="1"/>
  <c r="AU71" i="1"/>
  <c r="AK71" i="1"/>
  <c r="AQ36" i="1"/>
  <c r="AL36" i="1"/>
  <c r="AV36" i="1"/>
  <c r="EG22" i="1"/>
  <c r="EE22" i="1" s="1"/>
  <c r="EG49" i="1"/>
  <c r="EE49" i="1" s="1"/>
  <c r="EG51" i="1"/>
  <c r="EE51" i="1" s="1"/>
  <c r="EG26" i="1"/>
  <c r="EE26" i="1" s="1"/>
  <c r="EG41" i="1"/>
  <c r="EE41" i="1" s="1"/>
  <c r="EG34" i="1"/>
  <c r="EE34" i="1" s="1"/>
  <c r="EG43" i="1"/>
  <c r="EE43" i="1" s="1"/>
  <c r="EG37" i="1"/>
  <c r="EE37" i="1" s="1"/>
  <c r="EG46" i="1"/>
  <c r="EE46" i="1" s="1"/>
  <c r="EG42" i="1"/>
  <c r="EE42" i="1" s="1"/>
  <c r="EG50" i="1"/>
  <c r="EE50" i="1" s="1"/>
  <c r="EG28" i="1"/>
  <c r="EE28" i="1" s="1"/>
  <c r="EG20" i="1"/>
  <c r="EE20" i="1" s="1"/>
  <c r="EG24" i="1"/>
  <c r="EE24" i="1" s="1"/>
  <c r="EG32" i="1"/>
  <c r="EE32" i="1" s="1"/>
  <c r="EG27" i="1"/>
  <c r="EE27" i="1" s="1"/>
  <c r="EG33" i="1"/>
  <c r="EE33" i="1" s="1"/>
  <c r="EG35" i="1"/>
  <c r="EE35" i="1" s="1"/>
  <c r="EG52" i="1"/>
  <c r="EE52" i="1" s="1"/>
  <c r="EG23" i="1"/>
  <c r="EE23" i="1" s="1"/>
  <c r="EG44" i="1"/>
  <c r="EE44" i="1" s="1"/>
  <c r="EG39" i="1"/>
  <c r="EE39" i="1" s="1"/>
  <c r="EG21" i="1"/>
  <c r="EE21" i="1" s="1"/>
  <c r="EG29" i="1"/>
  <c r="EE29" i="1" s="1"/>
  <c r="EG48" i="1"/>
  <c r="EE48" i="1" s="1"/>
  <c r="EG25" i="1"/>
  <c r="EE25" i="1" s="1"/>
  <c r="EG45" i="1"/>
  <c r="EE45" i="1" s="1"/>
  <c r="EG40" i="1"/>
  <c r="EE40" i="1" s="1"/>
  <c r="EG30" i="1"/>
  <c r="EE30" i="1" s="1"/>
  <c r="EG53" i="1"/>
  <c r="EE53" i="1" s="1"/>
  <c r="EG31" i="1"/>
  <c r="EE31" i="1" s="1"/>
  <c r="EG19" i="1"/>
  <c r="EG47" i="1"/>
  <c r="EE47" i="1" s="1"/>
  <c r="EG36" i="1"/>
  <c r="EE36" i="1" s="1"/>
  <c r="EG38" i="1"/>
  <c r="EE38" i="1" s="1"/>
  <c r="AT48" i="1"/>
  <c r="AO48" i="1"/>
  <c r="AJ48" i="1"/>
  <c r="H32" i="14" s="1"/>
  <c r="AG48" i="1"/>
  <c r="AU120" i="1"/>
  <c r="AK120" i="1"/>
  <c r="AP120" i="1"/>
  <c r="AU53" i="1"/>
  <c r="AK53" i="1"/>
  <c r="AP53" i="1"/>
  <c r="AK128" i="1"/>
  <c r="AU128" i="1"/>
  <c r="AP128" i="1"/>
  <c r="AV116" i="1"/>
  <c r="AQ116" i="1"/>
  <c r="AL116" i="1"/>
  <c r="AK29" i="1"/>
  <c r="AU29" i="1"/>
  <c r="AP29" i="1"/>
  <c r="AE55" i="1"/>
  <c r="AN55" i="1"/>
  <c r="AI55" i="1"/>
  <c r="AS55" i="1"/>
  <c r="AL77" i="1"/>
  <c r="AQ77" i="1"/>
  <c r="AV77" i="1"/>
  <c r="AQ26" i="1"/>
  <c r="AV26" i="1"/>
  <c r="AL26" i="1"/>
  <c r="AJ23" i="1"/>
  <c r="H7" i="14" s="1"/>
  <c r="AT23" i="1"/>
  <c r="AO23" i="1"/>
  <c r="AG23" i="1"/>
  <c r="AQ94" i="1"/>
  <c r="AV94" i="1"/>
  <c r="AL94" i="1"/>
  <c r="AL132" i="1"/>
  <c r="AV132" i="1"/>
  <c r="AQ132" i="1"/>
  <c r="AP132" i="1"/>
  <c r="AK132" i="1"/>
  <c r="AU132" i="1"/>
  <c r="EF39" i="1"/>
  <c r="ED39" i="1" s="1"/>
  <c r="EF45" i="1"/>
  <c r="ED45" i="1" s="1"/>
  <c r="EF31" i="1"/>
  <c r="ED31" i="1" s="1"/>
  <c r="EF32" i="1"/>
  <c r="ED32" i="1" s="1"/>
  <c r="EF33" i="1"/>
  <c r="ED33" i="1" s="1"/>
  <c r="EF30" i="1"/>
  <c r="ED30" i="1" s="1"/>
  <c r="EF21" i="1"/>
  <c r="ED21" i="1" s="1"/>
  <c r="EF36" i="1"/>
  <c r="ED36" i="1" s="1"/>
  <c r="EF38" i="1"/>
  <c r="ED38" i="1" s="1"/>
  <c r="EF29" i="1"/>
  <c r="ED29" i="1" s="1"/>
  <c r="EF24" i="1"/>
  <c r="ED24" i="1" s="1"/>
  <c r="EF19" i="1"/>
  <c r="EF34" i="1"/>
  <c r="ED34" i="1" s="1"/>
  <c r="EF49" i="1"/>
  <c r="ED49" i="1" s="1"/>
  <c r="EF44" i="1"/>
  <c r="ED44" i="1" s="1"/>
  <c r="EF20" i="1"/>
  <c r="ED20" i="1" s="1"/>
  <c r="EF35" i="1"/>
  <c r="ED35" i="1" s="1"/>
  <c r="EF40" i="1"/>
  <c r="ED40" i="1" s="1"/>
  <c r="EF41" i="1"/>
  <c r="ED41" i="1" s="1"/>
  <c r="EF43" i="1"/>
  <c r="ED43" i="1" s="1"/>
  <c r="EF48" i="1"/>
  <c r="ED48" i="1" s="1"/>
  <c r="EF53" i="1"/>
  <c r="ED53" i="1" s="1"/>
  <c r="EF47" i="1"/>
  <c r="ED47" i="1" s="1"/>
  <c r="EF42" i="1"/>
  <c r="ED42" i="1" s="1"/>
  <c r="EF25" i="1"/>
  <c r="ED25" i="1" s="1"/>
  <c r="EF28" i="1"/>
  <c r="ED28" i="1" s="1"/>
  <c r="EF26" i="1"/>
  <c r="ED26" i="1" s="1"/>
  <c r="EF50" i="1"/>
  <c r="ED50" i="1" s="1"/>
  <c r="EF52" i="1"/>
  <c r="ED52" i="1" s="1"/>
  <c r="EF37" i="1"/>
  <c r="ED37" i="1" s="1"/>
  <c r="EF22" i="1"/>
  <c r="ED22" i="1" s="1"/>
  <c r="EF27" i="1"/>
  <c r="ED27" i="1" s="1"/>
  <c r="EF46" i="1"/>
  <c r="ED46" i="1" s="1"/>
  <c r="EF51" i="1"/>
  <c r="ED51" i="1" s="1"/>
  <c r="EF23" i="1"/>
  <c r="ED23" i="1" s="1"/>
  <c r="AP33" i="1"/>
  <c r="AU33" i="1"/>
  <c r="AK33" i="1"/>
  <c r="AV119" i="1"/>
  <c r="AQ119" i="1"/>
  <c r="AL119" i="1"/>
  <c r="AU62" i="1"/>
  <c r="AK62" i="1"/>
  <c r="AP62" i="1"/>
  <c r="AQ59" i="1"/>
  <c r="AV59" i="1"/>
  <c r="AL59" i="1"/>
  <c r="AK104" i="1"/>
  <c r="AP104" i="1"/>
  <c r="AU104" i="1"/>
  <c r="AG143" i="1"/>
  <c r="AJ143" i="1"/>
  <c r="H127" i="14" s="1"/>
  <c r="AT143" i="1"/>
  <c r="AO143" i="1"/>
  <c r="AL41" i="1"/>
  <c r="AV41" i="1"/>
  <c r="AQ41" i="1"/>
  <c r="AK97" i="1"/>
  <c r="AP97" i="1"/>
  <c r="AU97" i="1"/>
  <c r="AF109" i="1"/>
  <c r="AF147" i="1"/>
  <c r="AF96" i="1"/>
  <c r="AF21" i="1"/>
  <c r="AF136" i="1"/>
  <c r="AF112" i="1"/>
  <c r="AF85" i="1"/>
  <c r="AK54" i="1"/>
  <c r="AP54" i="1"/>
  <c r="AU54" i="1"/>
  <c r="AQ24" i="1"/>
  <c r="AL24" i="1"/>
  <c r="AV24" i="1"/>
  <c r="AV140" i="1"/>
  <c r="AQ140" i="1"/>
  <c r="AL140" i="1"/>
  <c r="AL78" i="1"/>
  <c r="AQ78" i="1"/>
  <c r="AV78" i="1"/>
  <c r="AP78" i="1"/>
  <c r="AK78" i="1"/>
  <c r="AU78" i="1"/>
  <c r="AU126" i="1"/>
  <c r="AK126" i="1"/>
  <c r="AP126" i="1"/>
  <c r="AP89" i="1"/>
  <c r="AK89" i="1"/>
  <c r="AU89" i="1"/>
  <c r="AV70" i="1"/>
  <c r="AL70" i="1"/>
  <c r="AQ70" i="1"/>
  <c r="AU93" i="1"/>
  <c r="AK93" i="1"/>
  <c r="AP93" i="1"/>
  <c r="AU82" i="1"/>
  <c r="AK82" i="1"/>
  <c r="AP82" i="1"/>
  <c r="AP72" i="1"/>
  <c r="AU72" i="1"/>
  <c r="AK72" i="1"/>
  <c r="AV38" i="1"/>
  <c r="AL38" i="1"/>
  <c r="AQ38" i="1"/>
  <c r="AP44" i="1"/>
  <c r="AK44" i="1"/>
  <c r="AU44" i="1"/>
  <c r="AE92" i="1"/>
  <c r="AS92" i="1"/>
  <c r="AI92" i="1"/>
  <c r="AN92" i="1"/>
  <c r="AP90" i="1"/>
  <c r="AU90" i="1"/>
  <c r="AK90" i="1"/>
  <c r="AL22" i="1"/>
  <c r="AQ22" i="1"/>
  <c r="AV22" i="1"/>
  <c r="AU22" i="1"/>
  <c r="AP22" i="1"/>
  <c r="AK22" i="1"/>
  <c r="AU32" i="1"/>
  <c r="AP32" i="1"/>
  <c r="AK32" i="1"/>
  <c r="AQ56" i="1"/>
  <c r="AV56" i="1"/>
  <c r="AL56" i="1"/>
  <c r="AK56" i="1"/>
  <c r="AP56" i="1"/>
  <c r="AU56" i="1"/>
  <c r="AG135" i="1"/>
  <c r="AJ135" i="1"/>
  <c r="H119" i="14" s="1"/>
  <c r="AT135" i="1"/>
  <c r="AO135" i="1"/>
  <c r="AP57" i="1"/>
  <c r="AU57" i="1"/>
  <c r="AK57" i="1"/>
  <c r="AK81" i="1"/>
  <c r="AU81" i="1"/>
  <c r="AP81" i="1"/>
  <c r="AF142" i="1"/>
  <c r="AJ142" i="1"/>
  <c r="H126" i="14" s="1"/>
  <c r="AG142" i="1"/>
  <c r="AT142" i="1"/>
  <c r="AO142" i="1"/>
  <c r="AE123" i="1"/>
  <c r="AS123" i="1"/>
  <c r="AN123" i="1"/>
  <c r="AI123" i="1"/>
  <c r="AU45" i="1"/>
  <c r="AP45" i="1"/>
  <c r="AK45" i="1"/>
  <c r="AK107" i="1"/>
  <c r="AP107" i="1"/>
  <c r="AU107" i="1"/>
  <c r="AP149" i="1"/>
  <c r="AK149" i="1"/>
  <c r="AU149" i="1"/>
  <c r="AP122" i="1"/>
  <c r="AU122" i="1"/>
  <c r="AK122" i="1"/>
  <c r="AV75" i="1"/>
  <c r="AQ75" i="1"/>
  <c r="AL75" i="1"/>
  <c r="AV120" i="1"/>
  <c r="AL120" i="1"/>
  <c r="AQ120" i="1"/>
  <c r="AQ34" i="1"/>
  <c r="AV34" i="1"/>
  <c r="AL34" i="1"/>
  <c r="AK34" i="1"/>
  <c r="AU34" i="1"/>
  <c r="AP34" i="1"/>
  <c r="AQ53" i="1"/>
  <c r="AV53" i="1"/>
  <c r="AL53" i="1"/>
  <c r="AP40" i="1"/>
  <c r="AK40" i="1"/>
  <c r="AU40" i="1"/>
  <c r="AE73" i="1"/>
  <c r="AN73" i="1"/>
  <c r="AS73" i="1"/>
  <c r="AI73" i="1"/>
  <c r="AP39" i="1"/>
  <c r="AU39" i="1"/>
  <c r="AK39" i="1"/>
  <c r="AV128" i="1"/>
  <c r="AQ128" i="1"/>
  <c r="AL128" i="1"/>
  <c r="AQ139" i="1"/>
  <c r="AV139" i="1"/>
  <c r="AL139" i="1"/>
  <c r="AK91" i="1"/>
  <c r="AU91" i="1"/>
  <c r="AP91" i="1"/>
  <c r="AF99" i="1"/>
  <c r="AO99" i="1"/>
  <c r="AT99" i="1"/>
  <c r="AJ99" i="1"/>
  <c r="H83" i="14" s="1"/>
  <c r="AG99" i="1"/>
  <c r="AQ30" i="1"/>
  <c r="AL30" i="1"/>
  <c r="AV30" i="1"/>
  <c r="AV101" i="1"/>
  <c r="AL101" i="1"/>
  <c r="AQ101" i="1"/>
  <c r="AK101" i="1"/>
  <c r="AU101" i="1"/>
  <c r="AP101" i="1"/>
  <c r="AV65" i="1"/>
  <c r="AQ65" i="1"/>
  <c r="AL65" i="1"/>
  <c r="AG145" i="1"/>
  <c r="AT145" i="1"/>
  <c r="AO145" i="1"/>
  <c r="AJ145" i="1"/>
  <c r="H129" i="14" s="1"/>
  <c r="AQ137" i="1"/>
  <c r="AV137" i="1"/>
  <c r="AL137" i="1"/>
  <c r="AK137" i="1"/>
  <c r="AU137" i="1"/>
  <c r="AP137" i="1"/>
  <c r="AG146" i="1"/>
  <c r="AT146" i="1"/>
  <c r="AJ146" i="1"/>
  <c r="H130" i="14" s="1"/>
  <c r="AO146" i="1"/>
  <c r="AK60" i="1"/>
  <c r="AP60" i="1"/>
  <c r="AU60" i="1"/>
  <c r="AQ46" i="1"/>
  <c r="AV46" i="1"/>
  <c r="AL46" i="1"/>
  <c r="AQ68" i="1"/>
  <c r="AL68" i="1"/>
  <c r="AV68" i="1"/>
  <c r="AL87" i="1"/>
  <c r="AV87" i="1"/>
  <c r="AQ87" i="1"/>
  <c r="AU43" i="1"/>
  <c r="AP43" i="1"/>
  <c r="AK43" i="1"/>
  <c r="AF48" i="1"/>
  <c r="AF23" i="1"/>
  <c r="AP52" i="1"/>
  <c r="AU52" i="1"/>
  <c r="AK52" i="1"/>
  <c r="AL54" i="1"/>
  <c r="AQ54" i="1"/>
  <c r="AV54" i="1"/>
  <c r="AL31" i="1"/>
  <c r="AV31" i="1"/>
  <c r="AQ31" i="1"/>
  <c r="AP31" i="1"/>
  <c r="AK31" i="1"/>
  <c r="AU31" i="1"/>
  <c r="AQ105" i="1"/>
  <c r="AV105" i="1"/>
  <c r="AL105" i="1"/>
  <c r="AP105" i="1"/>
  <c r="AK105" i="1"/>
  <c r="AU105" i="1"/>
  <c r="AQ134" i="1"/>
  <c r="AV95" i="1"/>
  <c r="AQ95" i="1"/>
  <c r="AL95" i="1"/>
  <c r="AK121" i="1"/>
  <c r="AU121" i="1"/>
  <c r="AP121" i="1"/>
  <c r="AV126" i="1"/>
  <c r="AQ126" i="1"/>
  <c r="AL126" i="1"/>
  <c r="AQ102" i="1"/>
  <c r="AV102" i="1"/>
  <c r="AL102" i="1"/>
  <c r="AQ49" i="1"/>
  <c r="AL49" i="1"/>
  <c r="AV49" i="1"/>
  <c r="AP49" i="1"/>
  <c r="AK49" i="1"/>
  <c r="AU49" i="1"/>
  <c r="AL66" i="1"/>
  <c r="AV66" i="1"/>
  <c r="AQ66" i="1"/>
  <c r="AP66" i="1"/>
  <c r="AK66" i="1"/>
  <c r="AU66" i="1"/>
  <c r="AV141" i="1"/>
  <c r="AL141" i="1"/>
  <c r="AQ141" i="1"/>
  <c r="AP141" i="1"/>
  <c r="AU141" i="1"/>
  <c r="AK141" i="1"/>
  <c r="AP114" i="1"/>
  <c r="AU114" i="1"/>
  <c r="AK114" i="1"/>
  <c r="AV82" i="1"/>
  <c r="AQ82" i="1"/>
  <c r="AL82" i="1"/>
  <c r="AK106" i="1"/>
  <c r="AP106" i="1"/>
  <c r="AU106" i="1"/>
  <c r="AV72" i="1"/>
  <c r="AL72" i="1"/>
  <c r="AQ72" i="1"/>
  <c r="AG80" i="1"/>
  <c r="AJ80" i="1"/>
  <c r="H64" i="14" s="1"/>
  <c r="AO80" i="1"/>
  <c r="AT80" i="1"/>
  <c r="AV51" i="1"/>
  <c r="AQ51" i="1"/>
  <c r="AL51" i="1"/>
  <c r="AU51" i="1"/>
  <c r="AK51" i="1"/>
  <c r="AP51" i="1"/>
  <c r="AV84" i="1"/>
  <c r="AQ84" i="1"/>
  <c r="AL84" i="1"/>
  <c r="AK88" i="1"/>
  <c r="AU88" i="1"/>
  <c r="AP88" i="1"/>
  <c r="AV90" i="1"/>
  <c r="AQ90" i="1"/>
  <c r="AL90" i="1"/>
  <c r="AG63" i="1"/>
  <c r="AO63" i="1"/>
  <c r="AT63" i="1"/>
  <c r="AJ63" i="1"/>
  <c r="H47" i="14" s="1"/>
  <c r="AT148" i="1"/>
  <c r="AJ148" i="1"/>
  <c r="H132" i="14" s="1"/>
  <c r="AO148" i="1"/>
  <c r="AL76" i="1"/>
  <c r="AV76" i="1"/>
  <c r="AQ76" i="1"/>
  <c r="AV117" i="1"/>
  <c r="AQ117" i="1"/>
  <c r="AL117" i="1"/>
  <c r="AV47" i="1"/>
  <c r="AL47" i="1"/>
  <c r="AQ47" i="1"/>
  <c r="AU47" i="1"/>
  <c r="AK47" i="1"/>
  <c r="AP47" i="1"/>
  <c r="AL28" i="1"/>
  <c r="AQ28" i="1"/>
  <c r="AV28" i="1"/>
  <c r="AJ108" i="1"/>
  <c r="H92" i="14" s="1"/>
  <c r="AG108" i="1"/>
  <c r="AO108" i="1"/>
  <c r="AT108" i="1"/>
  <c r="AQ111" i="1"/>
  <c r="AL111" i="1"/>
  <c r="AV111" i="1"/>
  <c r="AK111" i="1"/>
  <c r="AU111" i="1"/>
  <c r="AP111" i="1"/>
  <c r="AL35" i="1"/>
  <c r="AV35" i="1"/>
  <c r="AQ35" i="1"/>
  <c r="AP35" i="1"/>
  <c r="AK35" i="1"/>
  <c r="AU35" i="1"/>
  <c r="AP86" i="1"/>
  <c r="AK86" i="1"/>
  <c r="AU86" i="1"/>
  <c r="AV127" i="1"/>
  <c r="AL127" i="1"/>
  <c r="AQ127" i="1"/>
  <c r="AK36" i="1"/>
  <c r="AU36" i="1"/>
  <c r="AP36" i="1"/>
  <c r="AP131" i="1"/>
  <c r="AK131" i="1"/>
  <c r="AU131" i="1"/>
  <c r="AP75" i="1"/>
  <c r="AU75" i="1"/>
  <c r="AK75" i="1"/>
  <c r="AG74" i="1"/>
  <c r="AT74" i="1"/>
  <c r="AJ74" i="1"/>
  <c r="H58" i="14" s="1"/>
  <c r="AO74" i="1"/>
  <c r="AQ69" i="1"/>
  <c r="AV69" i="1"/>
  <c r="AL69" i="1"/>
  <c r="AP79" i="1"/>
  <c r="AK79" i="1"/>
  <c r="AU79" i="1"/>
  <c r="AG64" i="1"/>
  <c r="AT64" i="1"/>
  <c r="AJ64" i="1"/>
  <c r="H48" i="14" s="1"/>
  <c r="AO64" i="1"/>
  <c r="AU116" i="1"/>
  <c r="AK116" i="1"/>
  <c r="AP116" i="1"/>
  <c r="AL29" i="1"/>
  <c r="AV29" i="1"/>
  <c r="AQ29" i="1"/>
  <c r="AV138" i="1"/>
  <c r="AL138" i="1"/>
  <c r="AQ138" i="1"/>
  <c r="AP77" i="1"/>
  <c r="AK77" i="1"/>
  <c r="AU77" i="1"/>
  <c r="AU26" i="1"/>
  <c r="AK26" i="1"/>
  <c r="AP26" i="1"/>
  <c r="AU94" i="1"/>
  <c r="AK94" i="1"/>
  <c r="AP94" i="1"/>
  <c r="AL33" i="1"/>
  <c r="AQ33" i="1"/>
  <c r="AV33" i="1"/>
  <c r="AL124" i="1"/>
  <c r="AV124" i="1"/>
  <c r="AQ124" i="1"/>
  <c r="AK119" i="1"/>
  <c r="AU119" i="1"/>
  <c r="AP119" i="1"/>
  <c r="AL62" i="1"/>
  <c r="AQ62" i="1"/>
  <c r="AV62" i="1"/>
  <c r="AT115" i="1"/>
  <c r="AO115" i="1"/>
  <c r="AG115" i="1"/>
  <c r="AJ115" i="1"/>
  <c r="H99" i="14" s="1"/>
  <c r="AO103" i="1"/>
  <c r="AJ103" i="1"/>
  <c r="H87" i="14" s="1"/>
  <c r="AT103" i="1"/>
  <c r="AG103" i="1"/>
  <c r="AV58" i="1"/>
  <c r="AQ58" i="1"/>
  <c r="AL58" i="1"/>
  <c r="AU58" i="1"/>
  <c r="AP58" i="1"/>
  <c r="AK58" i="1"/>
  <c r="AK41" i="1"/>
  <c r="AP41" i="1"/>
  <c r="AU41" i="1"/>
  <c r="AP87" i="1"/>
  <c r="AK87" i="1"/>
  <c r="AU87" i="1"/>
  <c r="AQ43" i="1"/>
  <c r="AV43" i="1"/>
  <c r="AL43" i="1"/>
  <c r="AF135" i="1"/>
  <c r="AF145" i="1"/>
  <c r="AF146" i="1"/>
  <c r="AU133" i="1" l="1"/>
  <c r="AP134" i="1"/>
  <c r="AV134" i="1"/>
  <c r="AK133" i="1"/>
  <c r="AU103" i="1"/>
  <c r="AU134" i="1"/>
  <c r="AU108" i="1"/>
  <c r="AU115" i="1"/>
  <c r="AK130" i="1"/>
  <c r="AP130" i="1"/>
  <c r="AP63" i="1"/>
  <c r="AP110" i="1"/>
  <c r="AK143" i="1"/>
  <c r="AU64" i="1"/>
  <c r="AU143" i="1"/>
  <c r="AU110" i="1"/>
  <c r="AP64" i="1"/>
  <c r="AK74" i="1"/>
  <c r="AK80" i="1"/>
  <c r="AP80" i="1"/>
  <c r="AK115" i="1"/>
  <c r="AK63" i="1"/>
  <c r="AK103" i="1"/>
  <c r="AP108" i="1"/>
  <c r="AK148" i="1"/>
  <c r="AL130" i="1"/>
  <c r="AP148" i="1"/>
  <c r="AQ130" i="1"/>
  <c r="AQ131" i="1"/>
  <c r="AL131" i="1"/>
  <c r="AQ148" i="1"/>
  <c r="AL148" i="1"/>
  <c r="AV148" i="1"/>
  <c r="AU146" i="1"/>
  <c r="AP146" i="1"/>
  <c r="AK146" i="1"/>
  <c r="AL145" i="1"/>
  <c r="AV145" i="1"/>
  <c r="AQ145" i="1"/>
  <c r="AT123" i="1"/>
  <c r="AJ123" i="1"/>
  <c r="AG123" i="1"/>
  <c r="AO123" i="1"/>
  <c r="AF123" i="1"/>
  <c r="AL142" i="1"/>
  <c r="AQ142" i="1"/>
  <c r="AV142" i="1"/>
  <c r="AK136" i="1"/>
  <c r="AP136" i="1"/>
  <c r="AU136" i="1"/>
  <c r="AK109" i="1"/>
  <c r="AP109" i="1"/>
  <c r="AU109" i="1"/>
  <c r="AT55" i="1"/>
  <c r="AO55" i="1"/>
  <c r="AG55" i="1"/>
  <c r="AJ55" i="1"/>
  <c r="AF55" i="1"/>
  <c r="AL48" i="1"/>
  <c r="AQ48" i="1"/>
  <c r="AV48" i="1"/>
  <c r="AL85" i="1"/>
  <c r="AQ85" i="1"/>
  <c r="AV85" i="1"/>
  <c r="AV112" i="1"/>
  <c r="AQ112" i="1"/>
  <c r="AL112" i="1"/>
  <c r="AV21" i="1"/>
  <c r="AL21" i="1"/>
  <c r="AQ21" i="1"/>
  <c r="AU129" i="1"/>
  <c r="AK129" i="1"/>
  <c r="AP129" i="1"/>
  <c r="AV147" i="1"/>
  <c r="AQ147" i="1"/>
  <c r="AL147" i="1"/>
  <c r="AP135" i="1"/>
  <c r="AK135" i="1"/>
  <c r="AU135" i="1"/>
  <c r="AK145" i="1"/>
  <c r="AU145" i="1"/>
  <c r="AP145" i="1"/>
  <c r="AV115" i="1"/>
  <c r="AQ115" i="1"/>
  <c r="AL115" i="1"/>
  <c r="AQ64" i="1"/>
  <c r="AL64" i="1"/>
  <c r="AV64" i="1"/>
  <c r="AV108" i="1"/>
  <c r="AQ108" i="1"/>
  <c r="AL108" i="1"/>
  <c r="AG92" i="1"/>
  <c r="AT92" i="1"/>
  <c r="AJ92" i="1"/>
  <c r="AO92" i="1"/>
  <c r="AF92" i="1"/>
  <c r="AP112" i="1"/>
  <c r="AU112" i="1"/>
  <c r="AK112" i="1"/>
  <c r="AU147" i="1"/>
  <c r="AK147" i="1"/>
  <c r="AP147" i="1"/>
  <c r="AV143" i="1"/>
  <c r="AL143" i="1"/>
  <c r="AQ143" i="1"/>
  <c r="AV23" i="1"/>
  <c r="AQ23" i="1"/>
  <c r="AL23" i="1"/>
  <c r="AT100" i="1"/>
  <c r="AO100" i="1"/>
  <c r="AJ100" i="1"/>
  <c r="AG100" i="1"/>
  <c r="AF100" i="1"/>
  <c r="AJ27" i="1"/>
  <c r="AO27" i="1"/>
  <c r="AT27" i="1"/>
  <c r="AG27" i="1"/>
  <c r="AF27" i="1"/>
  <c r="AL129" i="1"/>
  <c r="AV129" i="1"/>
  <c r="AQ129" i="1"/>
  <c r="AL110" i="1"/>
  <c r="AQ110" i="1"/>
  <c r="AV110" i="1"/>
  <c r="AJ113" i="1"/>
  <c r="AT113" i="1"/>
  <c r="AG113" i="1"/>
  <c r="AO113" i="1"/>
  <c r="AF113" i="1"/>
  <c r="AV63" i="1"/>
  <c r="AL63" i="1"/>
  <c r="AQ63" i="1"/>
  <c r="AK48" i="1"/>
  <c r="AP48" i="1"/>
  <c r="AU48" i="1"/>
  <c r="AP99" i="1"/>
  <c r="AU99" i="1"/>
  <c r="AK99" i="1"/>
  <c r="AJ73" i="1"/>
  <c r="AG73" i="1"/>
  <c r="AT73" i="1"/>
  <c r="AO73" i="1"/>
  <c r="AF73" i="1"/>
  <c r="AU142" i="1"/>
  <c r="AK142" i="1"/>
  <c r="AP142" i="1"/>
  <c r="AU85" i="1"/>
  <c r="AP85" i="1"/>
  <c r="AK85" i="1"/>
  <c r="AK96" i="1"/>
  <c r="AU96" i="1"/>
  <c r="AP96" i="1"/>
  <c r="FN19" i="1"/>
  <c r="AD19" i="1" s="1"/>
  <c r="ED19" i="1"/>
  <c r="EB149" i="1" s="1"/>
  <c r="FO19" i="1"/>
  <c r="EE19" i="1"/>
  <c r="EC149" i="1" s="1"/>
  <c r="AV136" i="1"/>
  <c r="AL136" i="1"/>
  <c r="AQ136" i="1"/>
  <c r="AQ103" i="1"/>
  <c r="AL103" i="1"/>
  <c r="AV103" i="1"/>
  <c r="AL74" i="1"/>
  <c r="AV74" i="1"/>
  <c r="AQ74" i="1"/>
  <c r="AQ80" i="1"/>
  <c r="AV80" i="1"/>
  <c r="AL80" i="1"/>
  <c r="AU23" i="1"/>
  <c r="AK23" i="1"/>
  <c r="AP23" i="1"/>
  <c r="AV146" i="1"/>
  <c r="AL146" i="1"/>
  <c r="AQ146" i="1"/>
  <c r="AV99" i="1"/>
  <c r="AQ99" i="1"/>
  <c r="AL99" i="1"/>
  <c r="AV135" i="1"/>
  <c r="AL135" i="1"/>
  <c r="AQ135" i="1"/>
  <c r="AP21" i="1"/>
  <c r="AU21" i="1"/>
  <c r="AK21" i="1"/>
  <c r="AT118" i="1"/>
  <c r="AO118" i="1"/>
  <c r="AJ118" i="1"/>
  <c r="AG118" i="1"/>
  <c r="AF118" i="1"/>
  <c r="AV96" i="1"/>
  <c r="AL96" i="1"/>
  <c r="AQ96" i="1"/>
  <c r="AV109" i="1"/>
  <c r="AQ109" i="1"/>
  <c r="AL109" i="1"/>
  <c r="EB148" i="1" l="1"/>
  <c r="EB147" i="1"/>
  <c r="EB108" i="1"/>
  <c r="EB89" i="1"/>
  <c r="EB21" i="1"/>
  <c r="EB87" i="1"/>
  <c r="EB137" i="1"/>
  <c r="EB133" i="1"/>
  <c r="EB80" i="1"/>
  <c r="EB38" i="1"/>
  <c r="EB67" i="1"/>
  <c r="EB46" i="1"/>
  <c r="EB47" i="1"/>
  <c r="EB130" i="1"/>
  <c r="EB97" i="1"/>
  <c r="EB34" i="1"/>
  <c r="EB61" i="1"/>
  <c r="EB96" i="1"/>
  <c r="EB90" i="1"/>
  <c r="EB122" i="1"/>
  <c r="EB22" i="1"/>
  <c r="EB50" i="1"/>
  <c r="EB100" i="1"/>
  <c r="EB49" i="1"/>
  <c r="EB42" i="1"/>
  <c r="EB41" i="1"/>
  <c r="EB117" i="1"/>
  <c r="EB102" i="1"/>
  <c r="EB116" i="1"/>
  <c r="EB98" i="1"/>
  <c r="FN98" i="1" s="1"/>
  <c r="AD98" i="1" s="1"/>
  <c r="EB85" i="1"/>
  <c r="EB120" i="1"/>
  <c r="EB51" i="1"/>
  <c r="EB84" i="1"/>
  <c r="EB23" i="1"/>
  <c r="EB33" i="1"/>
  <c r="EB40" i="1"/>
  <c r="EB24" i="1"/>
  <c r="EB146" i="1"/>
  <c r="EB37" i="1"/>
  <c r="EB92" i="1"/>
  <c r="EB75" i="1"/>
  <c r="EB30" i="1"/>
  <c r="EB132" i="1"/>
  <c r="EB136" i="1"/>
  <c r="EB101" i="1"/>
  <c r="EB70" i="1"/>
  <c r="EB65" i="1"/>
  <c r="EB79" i="1"/>
  <c r="EB29" i="1"/>
  <c r="EB114" i="1"/>
  <c r="EB83" i="1"/>
  <c r="EB53" i="1"/>
  <c r="EB126" i="1"/>
  <c r="EB56" i="1"/>
  <c r="EB88" i="1"/>
  <c r="EB106" i="1"/>
  <c r="EB32" i="1"/>
  <c r="EB76" i="1"/>
  <c r="EB124" i="1"/>
  <c r="EB125" i="1"/>
  <c r="EB115" i="1"/>
  <c r="EB121" i="1"/>
  <c r="EB139" i="1"/>
  <c r="EB26" i="1"/>
  <c r="EB68" i="1"/>
  <c r="EB57" i="1"/>
  <c r="EB128" i="1"/>
  <c r="EB93" i="1"/>
  <c r="EB95" i="1"/>
  <c r="EB110" i="1"/>
  <c r="EB94" i="1"/>
  <c r="EB66" i="1"/>
  <c r="EB135" i="1"/>
  <c r="EB62" i="1"/>
  <c r="EB145" i="1"/>
  <c r="EB74" i="1"/>
  <c r="EB25" i="1"/>
  <c r="EB63" i="1"/>
  <c r="EB77" i="1"/>
  <c r="EB39" i="1"/>
  <c r="EB86" i="1"/>
  <c r="EB45" i="1"/>
  <c r="EB44" i="1"/>
  <c r="EB28" i="1"/>
  <c r="EB131" i="1"/>
  <c r="EB91" i="1"/>
  <c r="EB123" i="1"/>
  <c r="EB138" i="1"/>
  <c r="EB127" i="1"/>
  <c r="EB18" i="1"/>
  <c r="FN18" i="1" s="1"/>
  <c r="AD18" i="1" s="1"/>
  <c r="EB35" i="1"/>
  <c r="EB78" i="1"/>
  <c r="EB81" i="1"/>
  <c r="EB48" i="1"/>
  <c r="EB118" i="1"/>
  <c r="EB105" i="1"/>
  <c r="EB103" i="1"/>
  <c r="EB143" i="1"/>
  <c r="EB58" i="1"/>
  <c r="EB140" i="1"/>
  <c r="EB111" i="1"/>
  <c r="EB104" i="1"/>
  <c r="EB144" i="1"/>
  <c r="FN144" i="1" s="1"/>
  <c r="AD144" i="1" s="1"/>
  <c r="EB99" i="1"/>
  <c r="EB141" i="1"/>
  <c r="EB43" i="1"/>
  <c r="EB59" i="1"/>
  <c r="EB113" i="1"/>
  <c r="EB31" i="1"/>
  <c r="EB119" i="1"/>
  <c r="EB107" i="1"/>
  <c r="EB54" i="1"/>
  <c r="EB134" i="1"/>
  <c r="EB20" i="1"/>
  <c r="EB73" i="1"/>
  <c r="EB52" i="1"/>
  <c r="EB64" i="1"/>
  <c r="EB60" i="1"/>
  <c r="EB71" i="1"/>
  <c r="EB82" i="1"/>
  <c r="EB36" i="1"/>
  <c r="EB129" i="1"/>
  <c r="EB72" i="1"/>
  <c r="EB112" i="1"/>
  <c r="EB19" i="1"/>
  <c r="EB109" i="1"/>
  <c r="EB55" i="1"/>
  <c r="EB27" i="1"/>
  <c r="EB69" i="1"/>
  <c r="EB142" i="1"/>
  <c r="AU27" i="1"/>
  <c r="AP27" i="1"/>
  <c r="AK27" i="1"/>
  <c r="AK55" i="1"/>
  <c r="AP55" i="1"/>
  <c r="AU55" i="1"/>
  <c r="AV123" i="1"/>
  <c r="AQ123" i="1"/>
  <c r="AL123" i="1"/>
  <c r="AQ118" i="1"/>
  <c r="AL118" i="1"/>
  <c r="AV118" i="1"/>
  <c r="AU73" i="1"/>
  <c r="AP73" i="1"/>
  <c r="AK73" i="1"/>
  <c r="AV113" i="1"/>
  <c r="AL113" i="1"/>
  <c r="AQ113" i="1"/>
  <c r="AP118" i="1"/>
  <c r="AU118" i="1"/>
  <c r="AK118" i="1"/>
  <c r="EC148" i="1"/>
  <c r="EC51" i="1"/>
  <c r="EC85" i="1"/>
  <c r="EC107" i="1"/>
  <c r="EC100" i="1"/>
  <c r="EC76" i="1"/>
  <c r="EC62" i="1"/>
  <c r="EC65" i="1"/>
  <c r="EC20" i="1"/>
  <c r="EC36" i="1"/>
  <c r="EC70" i="1"/>
  <c r="EC52" i="1"/>
  <c r="EC68" i="1"/>
  <c r="EC105" i="1"/>
  <c r="EC43" i="1"/>
  <c r="EC95" i="1"/>
  <c r="EC96" i="1"/>
  <c r="EC117" i="1"/>
  <c r="EC79" i="1"/>
  <c r="EC33" i="1"/>
  <c r="EC25" i="1"/>
  <c r="EC102" i="1"/>
  <c r="EC126" i="1"/>
  <c r="EC99" i="1"/>
  <c r="EC26" i="1"/>
  <c r="EC91" i="1"/>
  <c r="EC49" i="1"/>
  <c r="EC113" i="1"/>
  <c r="EC93" i="1"/>
  <c r="EC109" i="1"/>
  <c r="EC40" i="1"/>
  <c r="EC83" i="1"/>
  <c r="EC39" i="1"/>
  <c r="EC143" i="1"/>
  <c r="EC94" i="1"/>
  <c r="EC27" i="1"/>
  <c r="EC37" i="1"/>
  <c r="EC86" i="1"/>
  <c r="EC61" i="1"/>
  <c r="EC108" i="1"/>
  <c r="EC137" i="1"/>
  <c r="EC34" i="1"/>
  <c r="EC111" i="1"/>
  <c r="EC22" i="1"/>
  <c r="EC128" i="1"/>
  <c r="EC74" i="1"/>
  <c r="EC18" i="1"/>
  <c r="FO18" i="1" s="1"/>
  <c r="EC114" i="1"/>
  <c r="EC104" i="1"/>
  <c r="EC121" i="1"/>
  <c r="EC118" i="1"/>
  <c r="EC115" i="1"/>
  <c r="EC103" i="1"/>
  <c r="EC75" i="1"/>
  <c r="EC106" i="1"/>
  <c r="EC139" i="1"/>
  <c r="EC19" i="1"/>
  <c r="EC127" i="1"/>
  <c r="EC78" i="1"/>
  <c r="EC35" i="1"/>
  <c r="EC97" i="1"/>
  <c r="EC131" i="1"/>
  <c r="EC30" i="1"/>
  <c r="EC112" i="1"/>
  <c r="EC80" i="1"/>
  <c r="EC147" i="1"/>
  <c r="EC145" i="1"/>
  <c r="EC133" i="1"/>
  <c r="EC101" i="1"/>
  <c r="EC21" i="1"/>
  <c r="EC59" i="1"/>
  <c r="EC29" i="1"/>
  <c r="EC73" i="1"/>
  <c r="EC46" i="1"/>
  <c r="EC56" i="1"/>
  <c r="EC134" i="1"/>
  <c r="EC24" i="1"/>
  <c r="EC60" i="1"/>
  <c r="EC50" i="1"/>
  <c r="EC122" i="1"/>
  <c r="EC142" i="1"/>
  <c r="EC110" i="1"/>
  <c r="EC125" i="1"/>
  <c r="EC55" i="1"/>
  <c r="EC84" i="1"/>
  <c r="EC135" i="1"/>
  <c r="EC44" i="1"/>
  <c r="EC82" i="1"/>
  <c r="EC77" i="1"/>
  <c r="EC141" i="1"/>
  <c r="EC119" i="1"/>
  <c r="EC123" i="1"/>
  <c r="EC28" i="1"/>
  <c r="EC45" i="1"/>
  <c r="EC129" i="1"/>
  <c r="EC41" i="1"/>
  <c r="EC31" i="1"/>
  <c r="EC81" i="1"/>
  <c r="EC146" i="1"/>
  <c r="EC144" i="1"/>
  <c r="FO144" i="1" s="1"/>
  <c r="EC120" i="1"/>
  <c r="EC88" i="1"/>
  <c r="EC72" i="1"/>
  <c r="EC138" i="1"/>
  <c r="EC140" i="1"/>
  <c r="EC124" i="1"/>
  <c r="EC130" i="1"/>
  <c r="EC136" i="1"/>
  <c r="EC90" i="1"/>
  <c r="EC67" i="1"/>
  <c r="EC89" i="1"/>
  <c r="EC47" i="1"/>
  <c r="EC71" i="1"/>
  <c r="EC53" i="1"/>
  <c r="EC42" i="1"/>
  <c r="EC57" i="1"/>
  <c r="EC32" i="1"/>
  <c r="EC132" i="1"/>
  <c r="EC23" i="1"/>
  <c r="EC63" i="1"/>
  <c r="EC66" i="1"/>
  <c r="EC69" i="1"/>
  <c r="EC38" i="1"/>
  <c r="EC48" i="1"/>
  <c r="EC54" i="1"/>
  <c r="EC87" i="1"/>
  <c r="EC58" i="1"/>
  <c r="EC116" i="1"/>
  <c r="EC92" i="1"/>
  <c r="EC98" i="1"/>
  <c r="FO98" i="1" s="1"/>
  <c r="EC64" i="1"/>
  <c r="AQ73" i="1"/>
  <c r="AL73" i="1"/>
  <c r="AV73" i="1"/>
  <c r="AL100" i="1"/>
  <c r="AQ100" i="1"/>
  <c r="AV100" i="1"/>
  <c r="AU92" i="1"/>
  <c r="AK92" i="1"/>
  <c r="AP92" i="1"/>
  <c r="AV92" i="1"/>
  <c r="AQ92" i="1"/>
  <c r="AL92" i="1"/>
  <c r="AL55" i="1"/>
  <c r="AQ55" i="1"/>
  <c r="AV55" i="1"/>
  <c r="AK123" i="1"/>
  <c r="AU123" i="1"/>
  <c r="AP123" i="1"/>
  <c r="AE19" i="1"/>
  <c r="AN19" i="1"/>
  <c r="AI19" i="1"/>
  <c r="AS19" i="1"/>
  <c r="AP113" i="1"/>
  <c r="AK113" i="1"/>
  <c r="AU113" i="1"/>
  <c r="AL27" i="1"/>
  <c r="AV27" i="1"/>
  <c r="AQ27" i="1"/>
  <c r="AP100" i="1"/>
  <c r="AK100" i="1"/>
  <c r="AU100" i="1"/>
  <c r="AE98" i="1" l="1"/>
  <c r="G82" i="14" s="1"/>
  <c r="AI98" i="1"/>
  <c r="AS98" i="1"/>
  <c r="AN98" i="1"/>
  <c r="AG19" i="1"/>
  <c r="AT19" i="1"/>
  <c r="AF19" i="1"/>
  <c r="AJ19" i="1"/>
  <c r="AO19" i="1"/>
  <c r="AE18" i="1"/>
  <c r="AS18" i="1"/>
  <c r="AI18" i="1"/>
  <c r="AN18" i="1"/>
  <c r="AE144" i="1"/>
  <c r="G128" i="14" s="1"/>
  <c r="AN144" i="1"/>
  <c r="AI144" i="1"/>
  <c r="AS144" i="1"/>
  <c r="AQ19" i="1" l="1"/>
  <c r="AL19" i="1"/>
  <c r="AV19" i="1"/>
  <c r="AJ98" i="1"/>
  <c r="H82" i="14" s="1"/>
  <c r="AO98" i="1"/>
  <c r="AF98" i="1"/>
  <c r="AG98" i="1"/>
  <c r="AE10" i="1"/>
  <c r="AT98" i="1"/>
  <c r="AG144" i="1"/>
  <c r="AF144" i="1"/>
  <c r="AT144" i="1"/>
  <c r="AJ144" i="1"/>
  <c r="H128" i="14" s="1"/>
  <c r="AO144" i="1"/>
  <c r="AG18" i="1"/>
  <c r="AO18" i="1"/>
  <c r="AE15" i="1"/>
  <c r="AT18" i="1"/>
  <c r="AF18" i="1"/>
  <c r="AJ18" i="1"/>
  <c r="H2" i="14" s="1"/>
  <c r="AK19" i="1"/>
  <c r="AP19" i="1"/>
  <c r="AU19" i="1"/>
  <c r="AO10" i="1" l="1"/>
  <c r="AF10" i="1"/>
  <c r="AJ10" i="1"/>
  <c r="AT10" i="1"/>
  <c r="AO15" i="1"/>
  <c r="AJ15" i="1"/>
  <c r="AT15" i="1"/>
  <c r="G6" i="1"/>
  <c r="D6" i="15" s="1"/>
  <c r="AV144" i="1"/>
  <c r="AL144" i="1"/>
  <c r="AQ144" i="1"/>
  <c r="AP98" i="1"/>
  <c r="AU98" i="1"/>
  <c r="AK98" i="1"/>
  <c r="AP18" i="1"/>
  <c r="AK18" i="1"/>
  <c r="AU18" i="1"/>
  <c r="AF15" i="1"/>
  <c r="AV18" i="1"/>
  <c r="AL18" i="1"/>
  <c r="AQ18" i="1"/>
  <c r="AP144" i="1"/>
  <c r="AK144" i="1"/>
  <c r="AU144" i="1"/>
  <c r="AV98" i="1"/>
  <c r="AL98" i="1"/>
  <c r="AQ98" i="1"/>
  <c r="AP10" i="1" l="1"/>
  <c r="H6" i="1"/>
  <c r="F6" i="15" s="1"/>
  <c r="AU15" i="1"/>
  <c r="AP15" i="1"/>
  <c r="AK15" i="1"/>
  <c r="AK10" i="1"/>
  <c r="AU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Jiří Vonka</author>
  </authors>
  <commentList>
    <comment ref="IX14" authorId="0" shapeId="0" xr:uid="{00000000-0006-0000-0300-000001000000}">
      <text>
        <r>
          <rPr>
            <b/>
            <sz val="10"/>
            <color indexed="81"/>
            <rFont val="Tahoma"/>
            <family val="2"/>
            <charset val="238"/>
          </rPr>
          <t>Jiří Vonka: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Vybrat příslušný řádek v tomto sloupci a kliknout na tlačítko.</t>
        </r>
      </text>
    </comment>
  </commentList>
</comments>
</file>

<file path=xl/sharedStrings.xml><?xml version="1.0" encoding="utf-8"?>
<sst xmlns="http://schemas.openxmlformats.org/spreadsheetml/2006/main" count="1581" uniqueCount="898">
  <si>
    <t>kg</t>
  </si>
  <si>
    <t>Montáž</t>
  </si>
  <si>
    <t>BU</t>
  </si>
  <si>
    <t>EL</t>
  </si>
  <si>
    <t>KA</t>
  </si>
  <si>
    <t>KO</t>
  </si>
  <si>
    <t>KT</t>
  </si>
  <si>
    <t>Ložiska</t>
  </si>
  <si>
    <t>LO</t>
  </si>
  <si>
    <t>Mazání</t>
  </si>
  <si>
    <t>MA</t>
  </si>
  <si>
    <t>Motory</t>
  </si>
  <si>
    <t>MO</t>
  </si>
  <si>
    <t>OK</t>
  </si>
  <si>
    <t>Opláštění</t>
  </si>
  <si>
    <t>OP</t>
  </si>
  <si>
    <t>Pohony</t>
  </si>
  <si>
    <t>PO</t>
  </si>
  <si>
    <t>Převodovky</t>
  </si>
  <si>
    <t>Řídící systém</t>
  </si>
  <si>
    <t>Stěrače</t>
  </si>
  <si>
    <t>Spojky</t>
  </si>
  <si>
    <t>SP</t>
  </si>
  <si>
    <t>ST</t>
  </si>
  <si>
    <t>Subdodávky</t>
  </si>
  <si>
    <t>SU</t>
  </si>
  <si>
    <t>Válečky</t>
  </si>
  <si>
    <t>VA</t>
  </si>
  <si>
    <t>ZA</t>
  </si>
  <si>
    <t>Zateplení</t>
  </si>
  <si>
    <t>Název</t>
  </si>
  <si>
    <t>Typ / Označení</t>
  </si>
  <si>
    <t>Výrobce / Dodavatel</t>
  </si>
  <si>
    <t>Řešitel</t>
  </si>
  <si>
    <t>Měrná jednotka</t>
  </si>
  <si>
    <t>ks</t>
  </si>
  <si>
    <t>Spojovací materiál</t>
  </si>
  <si>
    <t>Náplně</t>
  </si>
  <si>
    <t>SM</t>
  </si>
  <si>
    <t>NA</t>
  </si>
  <si>
    <t>BE</t>
  </si>
  <si>
    <t>Betony</t>
  </si>
  <si>
    <t>KS</t>
  </si>
  <si>
    <t>Et./Skup.</t>
  </si>
  <si>
    <t>sada</t>
  </si>
  <si>
    <t>Hlavní parametr / Specifikace</t>
  </si>
  <si>
    <t>Brzdy</t>
  </si>
  <si>
    <t>BR</t>
  </si>
  <si>
    <t>Drtiče</t>
  </si>
  <si>
    <t>DR</t>
  </si>
  <si>
    <t>HV</t>
  </si>
  <si>
    <t>PR</t>
  </si>
  <si>
    <t>Rošty</t>
  </si>
  <si>
    <t>RO</t>
  </si>
  <si>
    <t>Měna</t>
  </si>
  <si>
    <t>CZK</t>
  </si>
  <si>
    <t>EUR</t>
  </si>
  <si>
    <t>USD</t>
  </si>
  <si>
    <t>RUB</t>
  </si>
  <si>
    <t>Pomocné</t>
  </si>
  <si>
    <t>Kurzy - přepočet měn</t>
  </si>
  <si>
    <t>Varianta</t>
  </si>
  <si>
    <t>Datum vložení</t>
  </si>
  <si>
    <t>Odpovědné osoby</t>
  </si>
  <si>
    <t>Vonka</t>
  </si>
  <si>
    <t>Nováková</t>
  </si>
  <si>
    <t>Zouvala</t>
  </si>
  <si>
    <t>Páca</t>
  </si>
  <si>
    <t>Macko</t>
  </si>
  <si>
    <t>Šnajdr</t>
  </si>
  <si>
    <t>Horák</t>
  </si>
  <si>
    <t>Řešitelé</t>
  </si>
  <si>
    <t>Měna/Kurz</t>
  </si>
  <si>
    <t>Přecechtílek</t>
  </si>
  <si>
    <t>Proks</t>
  </si>
  <si>
    <t>Hricák</t>
  </si>
  <si>
    <t>Jůza</t>
  </si>
  <si>
    <t>Cinis</t>
  </si>
  <si>
    <t>Kratochvíl</t>
  </si>
  <si>
    <t>Kříbala</t>
  </si>
  <si>
    <t>Nekola</t>
  </si>
  <si>
    <t>Sloupec7</t>
  </si>
  <si>
    <t>Revize</t>
  </si>
  <si>
    <t>Datum</t>
  </si>
  <si>
    <t>Autor</t>
  </si>
  <si>
    <t>Název dokumentu</t>
  </si>
  <si>
    <t>Vstupy</t>
  </si>
  <si>
    <t>Sloupec8</t>
  </si>
  <si>
    <t>Sloupec9</t>
  </si>
  <si>
    <t>Sloupec10</t>
  </si>
  <si>
    <t>Sloupec11</t>
  </si>
  <si>
    <t>Sloupec53</t>
  </si>
  <si>
    <t>0</t>
  </si>
  <si>
    <t>Úroveň</t>
  </si>
  <si>
    <t>HM</t>
  </si>
  <si>
    <t>OS</t>
  </si>
  <si>
    <t>PD</t>
  </si>
  <si>
    <t>Ostatní</t>
  </si>
  <si>
    <t>Kód položky</t>
  </si>
  <si>
    <t>Z toho rezerva (1)</t>
  </si>
  <si>
    <t>Z toho rezerva (2)</t>
  </si>
  <si>
    <t>Z toho rezerva (3)</t>
  </si>
  <si>
    <t>Z toho rezerva (4)</t>
  </si>
  <si>
    <t>Úroveň 2 (P0)</t>
  </si>
  <si>
    <t>Úroveň 3 (P0)</t>
  </si>
  <si>
    <t>Úroveň 4 (P0)</t>
  </si>
  <si>
    <t>Výrobce / Dodavatel (P0)</t>
  </si>
  <si>
    <t>Typ / Označení (P0)</t>
  </si>
  <si>
    <t>Hlavní parametr / Specifikace (P0)</t>
  </si>
  <si>
    <t>Měna (P0)</t>
  </si>
  <si>
    <t>Odpovědná osoba za NOEN (P0)</t>
  </si>
  <si>
    <t>Datum vložení (P0)</t>
  </si>
  <si>
    <t>Volba Varianty (V0)</t>
  </si>
  <si>
    <t>Řešitel (V0)</t>
  </si>
  <si>
    <t>Výrobce / Dodavatel (V1)</t>
  </si>
  <si>
    <t>Typ / Označení (V1)</t>
  </si>
  <si>
    <t>Hlavní parametr / Specifikace (V1)</t>
  </si>
  <si>
    <t>Měna (V1)</t>
  </si>
  <si>
    <t>Odpovědná osoba za NOEN (V1)</t>
  </si>
  <si>
    <t>Datum vložení (V1)</t>
  </si>
  <si>
    <t>Výrobce / Dodavatel (V2)</t>
  </si>
  <si>
    <t>Typ / Označení (V2)</t>
  </si>
  <si>
    <t>Hlavní parametr / Specifikace (V2)</t>
  </si>
  <si>
    <t>Měna (V2)</t>
  </si>
  <si>
    <t>Odpovědná osoba za NOEN (V2)</t>
  </si>
  <si>
    <t>Datum vložení (V2)</t>
  </si>
  <si>
    <t>Odkaz na podklady (V2)</t>
  </si>
  <si>
    <t>Výrobce / Dodavatel (V3)</t>
  </si>
  <si>
    <t>Typ / Označení (V3)</t>
  </si>
  <si>
    <t xml:space="preserve">Hlavní parametr / Specifikace ((V3)  </t>
  </si>
  <si>
    <t>Měna (V3)</t>
  </si>
  <si>
    <t>Odpovědná osoba za NOEN (V3)</t>
  </si>
  <si>
    <t>Datum vložení (V3)</t>
  </si>
  <si>
    <t>Odkaz na podklady (V3)</t>
  </si>
  <si>
    <t>Výrobce / Dodavatel (V4)</t>
  </si>
  <si>
    <t>Typ / Označení (V4)</t>
  </si>
  <si>
    <t>Hlavní parametr / Specifikace (V4)</t>
  </si>
  <si>
    <t>Měna (V4)</t>
  </si>
  <si>
    <t>Odpovědná osoba za NOEN (V4)</t>
  </si>
  <si>
    <t>Datum vložení (V4)</t>
  </si>
  <si>
    <t>Odkaz na podklady (V4)</t>
  </si>
  <si>
    <t>Poz. (K)</t>
  </si>
  <si>
    <t>Výkres č. (K)</t>
  </si>
  <si>
    <t>Počet ks (K)</t>
  </si>
  <si>
    <t>Pravé ks (K)</t>
  </si>
  <si>
    <t>Levé ks (K)</t>
  </si>
  <si>
    <t>Název - rozměr - dodavatel (K)</t>
  </si>
  <si>
    <t>Norma-TDP (K)</t>
  </si>
  <si>
    <t>Polotovar (K)</t>
  </si>
  <si>
    <t>Materiál vých./konečný (K)</t>
  </si>
  <si>
    <t>Změna (K)</t>
  </si>
  <si>
    <t>Č.</t>
  </si>
  <si>
    <t>Zkratka</t>
  </si>
  <si>
    <t>Popis</t>
  </si>
  <si>
    <t>Strojní</t>
  </si>
  <si>
    <t>Bubny</t>
  </si>
  <si>
    <t>VY</t>
  </si>
  <si>
    <t>Výkovky</t>
  </si>
  <si>
    <t>OD</t>
  </si>
  <si>
    <t>Odlitky</t>
  </si>
  <si>
    <t>Hydraulické válce</t>
  </si>
  <si>
    <t>NO</t>
  </si>
  <si>
    <t>Normalizované</t>
  </si>
  <si>
    <t>O1</t>
  </si>
  <si>
    <t>Obrobky třída 1</t>
  </si>
  <si>
    <t>O2</t>
  </si>
  <si>
    <t>Obrobky třída 2</t>
  </si>
  <si>
    <t>O3</t>
  </si>
  <si>
    <t>Obrobky třída 3</t>
  </si>
  <si>
    <t>S1</t>
  </si>
  <si>
    <t>Svařenec třída 1</t>
  </si>
  <si>
    <t>S2</t>
  </si>
  <si>
    <t>Svařenec třída 2</t>
  </si>
  <si>
    <t>S3</t>
  </si>
  <si>
    <t>Svařenec třída 3</t>
  </si>
  <si>
    <t>Hutní materiál</t>
  </si>
  <si>
    <t>Elektro</t>
  </si>
  <si>
    <t>Kabely</t>
  </si>
  <si>
    <t>FM</t>
  </si>
  <si>
    <t>Rozvaděče NN</t>
  </si>
  <si>
    <t>VN</t>
  </si>
  <si>
    <t>Rozvaděče VN</t>
  </si>
  <si>
    <t>TR</t>
  </si>
  <si>
    <t>SN</t>
  </si>
  <si>
    <t>Snímače</t>
  </si>
  <si>
    <t>Vypínače</t>
  </si>
  <si>
    <t>Kabelové trasy</t>
  </si>
  <si>
    <t>Kamerový systém</t>
  </si>
  <si>
    <t>Dálkové ovládání</t>
  </si>
  <si>
    <t>Kompenzace</t>
  </si>
  <si>
    <t>Rozvodna</t>
  </si>
  <si>
    <t>ZZ</t>
  </si>
  <si>
    <t>Záložní zdroj</t>
  </si>
  <si>
    <t>RS</t>
  </si>
  <si>
    <t>SA</t>
  </si>
  <si>
    <t>Stavební</t>
  </si>
  <si>
    <t>KD</t>
  </si>
  <si>
    <t>Kolejová dráha</t>
  </si>
  <si>
    <t>Podvozky</t>
  </si>
  <si>
    <t>Kabina</t>
  </si>
  <si>
    <t>HY</t>
  </si>
  <si>
    <t>Hydraulika</t>
  </si>
  <si>
    <t>CMS</t>
  </si>
  <si>
    <t>TS</t>
  </si>
  <si>
    <t>Tabulky a štítky</t>
  </si>
  <si>
    <t>DP</t>
  </si>
  <si>
    <t>Dopravní pásy</t>
  </si>
  <si>
    <t>OB</t>
  </si>
  <si>
    <t>Obložení</t>
  </si>
  <si>
    <t>Profese a služby</t>
  </si>
  <si>
    <t>OI</t>
  </si>
  <si>
    <t>Oživení a instalace</t>
  </si>
  <si>
    <t>MZ</t>
  </si>
  <si>
    <t>Doprava</t>
  </si>
  <si>
    <t>SR</t>
  </si>
  <si>
    <t>Servis</t>
  </si>
  <si>
    <t>NT</t>
  </si>
  <si>
    <t>Nátěry</t>
  </si>
  <si>
    <t>(-)</t>
  </si>
  <si>
    <t>Úroveň 1 (V0)</t>
  </si>
  <si>
    <t>Úroveň 2 (V0)</t>
  </si>
  <si>
    <t>Úroveň 3 (V0)</t>
  </si>
  <si>
    <t>Úroveň 4 (V0)</t>
  </si>
  <si>
    <t>Et. / Skup.(V0)</t>
  </si>
  <si>
    <r>
      <t>m</t>
    </r>
    <r>
      <rPr>
        <vertAlign val="superscript"/>
        <sz val="10"/>
        <rFont val="Arial"/>
        <family val="2"/>
        <charset val="238"/>
      </rPr>
      <t>2</t>
    </r>
  </si>
  <si>
    <t>m</t>
  </si>
  <si>
    <t>l</t>
  </si>
  <si>
    <t>kW</t>
  </si>
  <si>
    <t>Gaschler</t>
  </si>
  <si>
    <t>Košek</t>
  </si>
  <si>
    <t>Šabach</t>
  </si>
  <si>
    <t>-</t>
  </si>
  <si>
    <t>Celková hmotnost položek [kg]</t>
  </si>
  <si>
    <t>Z toho rezerva položek [kg]</t>
  </si>
  <si>
    <t>Celková hmotnost [kg]</t>
  </si>
  <si>
    <t>Z toho celková rezerva [kg]</t>
  </si>
  <si>
    <t>Dodací lhůty [týdny]</t>
  </si>
  <si>
    <t>Úroveň 5 (P0)</t>
  </si>
  <si>
    <t>Úroveň 6 (P0)</t>
  </si>
  <si>
    <t>Úroveň 7 (P0)</t>
  </si>
  <si>
    <t>Úroveň 8 (P0)</t>
  </si>
  <si>
    <t>Úroveň 9 (P0)</t>
  </si>
  <si>
    <t>Úroveň 10 (P0)</t>
  </si>
  <si>
    <t>Úroveň 5 (V0)</t>
  </si>
  <si>
    <t>Úroveň 6 (V0)</t>
  </si>
  <si>
    <t>Úroveň 7 (V0)</t>
  </si>
  <si>
    <t>Úroveň 8 (V0)</t>
  </si>
  <si>
    <t>Úroveň 9 (V0)</t>
  </si>
  <si>
    <t>Úroveň 10 (V0)</t>
  </si>
  <si>
    <t>Dokumentace</t>
  </si>
  <si>
    <t>IC</t>
  </si>
  <si>
    <t>Inženýrská činnost</t>
  </si>
  <si>
    <t>Zprovoznění</t>
  </si>
  <si>
    <t>Zkušební provoz (10 dnů)</t>
  </si>
  <si>
    <t>Šéfmontáž</t>
  </si>
  <si>
    <t>Podružný montážní materiál</t>
  </si>
  <si>
    <t>Frekvenční měniče</t>
  </si>
  <si>
    <t>Transformátory</t>
  </si>
  <si>
    <t>Osvětlení</t>
  </si>
  <si>
    <t>Spínače</t>
  </si>
  <si>
    <t>Signalizace</t>
  </si>
  <si>
    <t>Klimatizace</t>
  </si>
  <si>
    <t>Ostatní zařízení</t>
  </si>
  <si>
    <t>Náhradní díly</t>
  </si>
  <si>
    <t>ZP</t>
  </si>
  <si>
    <t>ZR</t>
  </si>
  <si>
    <t>SE</t>
  </si>
  <si>
    <t>PM</t>
  </si>
  <si>
    <t>NN</t>
  </si>
  <si>
    <t>SI</t>
  </si>
  <si>
    <t>KL</t>
  </si>
  <si>
    <t>OZ</t>
  </si>
  <si>
    <t>ND</t>
  </si>
  <si>
    <t>Úroveň 1 (P1)</t>
  </si>
  <si>
    <t>Úroveň 2 (P1]</t>
  </si>
  <si>
    <t>Úroveň 3 (P1)</t>
  </si>
  <si>
    <t>Úroveň 4 (P1)</t>
  </si>
  <si>
    <t>Úroveň 5 (P1)</t>
  </si>
  <si>
    <t>Úroveň 6 (P1)</t>
  </si>
  <si>
    <t>Úroveň 7 (P1)</t>
  </si>
  <si>
    <t>Úroveň 8 (P1)</t>
  </si>
  <si>
    <t>Úroveň 9 (P1)</t>
  </si>
  <si>
    <t>Úroveň 10 (P1)</t>
  </si>
  <si>
    <t>Úroveň 1 (P4)</t>
  </si>
  <si>
    <t>Úroveň 2 (P4)</t>
  </si>
  <si>
    <t>Úroveň 3 (P4)</t>
  </si>
  <si>
    <t>Úroveň 4 (P4)</t>
  </si>
  <si>
    <t>Úroveň 5 (P4)</t>
  </si>
  <si>
    <t>Úroveň 6 (P5)</t>
  </si>
  <si>
    <t>Úroveň 6 (P4)</t>
  </si>
  <si>
    <t>Úroveň 7 (P4)</t>
  </si>
  <si>
    <t>Úroveň 8 (P4)</t>
  </si>
  <si>
    <t>Úroveň 9 (P4)</t>
  </si>
  <si>
    <t>Úroveň 10 (P4)</t>
  </si>
  <si>
    <t>Úroveň 1 (P5)</t>
  </si>
  <si>
    <t>Úroveň 2 (P5)</t>
  </si>
  <si>
    <t>Úroveň 3 (P5)</t>
  </si>
  <si>
    <t>Úroveň 4 (P5)</t>
  </si>
  <si>
    <t>Úroveň 5 (P5)</t>
  </si>
  <si>
    <t>Úroveň 7 (P5)</t>
  </si>
  <si>
    <t>Úroveň 8 (P5)</t>
  </si>
  <si>
    <t>Úroveň 9 (P5)</t>
  </si>
  <si>
    <t>Úroveň 10 (P5)</t>
  </si>
  <si>
    <t>Dodací lhůty [týdny] (V2)</t>
  </si>
  <si>
    <t>Dodací lhůty [týdny] (V1)</t>
  </si>
  <si>
    <t>Dodací lhůty [týdny] (V3)</t>
  </si>
  <si>
    <t>Dodací lhůty [týdny] (V4)</t>
  </si>
  <si>
    <t>Hmotnost celková [kg] (K)</t>
  </si>
  <si>
    <t>Hmotnost [kg/ks] (K)</t>
  </si>
  <si>
    <t>Odpovědná osoba</t>
  </si>
  <si>
    <t>Název zakázky (Produktu)</t>
  </si>
  <si>
    <t>Zakázka (Produkt)</t>
  </si>
  <si>
    <t>Dne</t>
  </si>
  <si>
    <t>Celková cena [CZK]</t>
  </si>
  <si>
    <t>Tento dokument je duševním vlastnictvím NOEN a. s. Bez jejího souhlasu nesmí být poskytnut třetí osobě</t>
  </si>
  <si>
    <t>Kód položek (V0)</t>
  </si>
  <si>
    <t>Kód položek</t>
  </si>
  <si>
    <t>Počet MJHR</t>
  </si>
  <si>
    <t>Jednotková hmotnost [kg/MJHR]</t>
  </si>
  <si>
    <t>Počet MJCR</t>
  </si>
  <si>
    <t>sest</t>
  </si>
  <si>
    <t>Počet MJCR v rozpadu</t>
  </si>
  <si>
    <t>Počet MJHR v rozpadu (P0)</t>
  </si>
  <si>
    <t>HR</t>
  </si>
  <si>
    <t>CR</t>
  </si>
  <si>
    <t>Počet MJCR v rozpadu (P0)</t>
  </si>
  <si>
    <t>Počet MJHR (P0)</t>
  </si>
  <si>
    <t>Jednotková hmotnost [kg/MJHR] (P1)</t>
  </si>
  <si>
    <t>Měrná jednotka CR (MJCR) (P0)</t>
  </si>
  <si>
    <t>Jednotková cena bez DPH [cena/MJCR] (P1)</t>
  </si>
  <si>
    <t>Celková cena bez DPH (1)</t>
  </si>
  <si>
    <t>Společné</t>
  </si>
  <si>
    <t>Počet MJHR (V1)</t>
  </si>
  <si>
    <t>Jednotková hmotnost [kg/MJHR] (V1)</t>
  </si>
  <si>
    <t>Měrná jednotka CR [MJCR] (V1)</t>
  </si>
  <si>
    <t>Počet MJCR (V1)</t>
  </si>
  <si>
    <t>Jednotková cena bez DPH CR [cena/MJCR] (V1)</t>
  </si>
  <si>
    <t>Měrná jednotka HR [MJHR] (V2)</t>
  </si>
  <si>
    <t>Počet MJHR (V2)</t>
  </si>
  <si>
    <t>Jednotková hmotnost [kg/MJHR] (V2)</t>
  </si>
  <si>
    <t>Měrná jednotka CR [MJCR] (V2)</t>
  </si>
  <si>
    <t>Počet MJCR (V2)</t>
  </si>
  <si>
    <t>Jednotková cena bez DPH CR [cena/MJCR] (V2)</t>
  </si>
  <si>
    <t>Měrná jednotka HR [MJHR] (V3)</t>
  </si>
  <si>
    <t>Počet MJHR (V3)</t>
  </si>
  <si>
    <t>Jednotková hmotnost [kg/MJHR] (V3)</t>
  </si>
  <si>
    <t>Měrná jednotka CR [MJCR] (V3)</t>
  </si>
  <si>
    <t>Počet MJCR (V3)</t>
  </si>
  <si>
    <t>Jednotková cena bez DPH CR [cena/MJCR] (V3)</t>
  </si>
  <si>
    <t>Počet MJHR (V4)</t>
  </si>
  <si>
    <t>Měrná jednotka HR [MJHR] (V4)</t>
  </si>
  <si>
    <t>Jednotková hmotnost [kg/MJHR] (V4)</t>
  </si>
  <si>
    <t>Měrná jednotka CR [MJCR] (V4)</t>
  </si>
  <si>
    <t>Počet MJCR (V4)</t>
  </si>
  <si>
    <t>Jednotková cena bez DPH CR [cena/MJCR] (V4)</t>
  </si>
  <si>
    <t>Úroveň 1 (P6)</t>
  </si>
  <si>
    <t>Úroveň 2 (P6)</t>
  </si>
  <si>
    <t>Úroveň 3 (P6)</t>
  </si>
  <si>
    <t>Úroveň 4 (P6)</t>
  </si>
  <si>
    <t>Úroveň 5 (P6)</t>
  </si>
  <si>
    <t>Úroveň 6 (P6)</t>
  </si>
  <si>
    <t>Úroveň 7 (P6)</t>
  </si>
  <si>
    <t>Úroveň 8 (P6)</t>
  </si>
  <si>
    <t>Úroveň 9 (P6)</t>
  </si>
  <si>
    <t>Úroveň 10 (P6)</t>
  </si>
  <si>
    <t>Úroveň 1 (P7)</t>
  </si>
  <si>
    <t>Úroveň 2 (P7)</t>
  </si>
  <si>
    <t>Úroveň 3 (P7)</t>
  </si>
  <si>
    <t>Úroveň 4 (P7)</t>
  </si>
  <si>
    <t>Úroveň 5 (P7)</t>
  </si>
  <si>
    <t>Úroveň 6 (P7)</t>
  </si>
  <si>
    <t>Úroveň 7 (P7)</t>
  </si>
  <si>
    <t>Úroveň 8 (P7)</t>
  </si>
  <si>
    <t>Úroveň 9 (P7)</t>
  </si>
  <si>
    <t>Úroveň 10 (P7)</t>
  </si>
  <si>
    <t>Volba varianty</t>
  </si>
  <si>
    <t>Koeficient odhadu HR [-] (P1)</t>
  </si>
  <si>
    <t>Koeficient odhadu HR [-] (P0)</t>
  </si>
  <si>
    <t>Z toho rezerva [kg/MJHR]</t>
  </si>
  <si>
    <t>Koeficient odhadu HR [-] (V1)</t>
  </si>
  <si>
    <t>Koeficient odhadu CR [-] (V1)</t>
  </si>
  <si>
    <t>Koeficient odhadu CR [-] (P0)</t>
  </si>
  <si>
    <t>Koeficient odhadu CR [-] (V2)</t>
  </si>
  <si>
    <t>Koeficient odhadu CR [-] (V3)</t>
  </si>
  <si>
    <t>Koeficient odhadu CR [-] (V4)</t>
  </si>
  <si>
    <t>Koeficient odhadu CR [-] (P1)</t>
  </si>
  <si>
    <t>Z toho rezerva [cena/MJCR]</t>
  </si>
  <si>
    <t>Koeficient odhadu HR [-]</t>
  </si>
  <si>
    <t>Koeficient odhadu CR [-]</t>
  </si>
  <si>
    <t>Koeficient odhadu HR [-] (V3)</t>
  </si>
  <si>
    <t>Koeficient odhadu HR [-] (V2)</t>
  </si>
  <si>
    <t>Koeficient odhadu HR [-] (V4)</t>
  </si>
  <si>
    <t>Měrná jednotka HR [MJHR] (V1)</t>
  </si>
  <si>
    <t>Dodací lhůty [týdny] (P0)</t>
  </si>
  <si>
    <t>Měrná jednotka HR [MJHR] (P0)</t>
  </si>
  <si>
    <t>Měrná jednotka HR [MJHR]</t>
  </si>
  <si>
    <t>Měrná jednotka CR [MJCR]</t>
  </si>
  <si>
    <t>Jednotková hmotnost s koef. [kg/MJHR] (P0)</t>
  </si>
  <si>
    <t>Jednotková hmotnost bez koef. [kg/MJHR] (P0)</t>
  </si>
  <si>
    <t>Úroveň 1 s koef. (P2)</t>
  </si>
  <si>
    <t>Úroveň 2 bez koef. (P2a)</t>
  </si>
  <si>
    <t>Úroveň 2 bez koef. (P2)</t>
  </si>
  <si>
    <t>Úroveň 2 s koef. (P2a)</t>
  </si>
  <si>
    <t>Úroveň 2 s koef. (P2)</t>
  </si>
  <si>
    <t>Úroveň 3 bez koef. (P2)</t>
  </si>
  <si>
    <t>Úroveň 3 s koef. (P2a)</t>
  </si>
  <si>
    <t>Úroveň 3 s koef. (P2)</t>
  </si>
  <si>
    <t>Úroveň 4 s koef. (P2a)</t>
  </si>
  <si>
    <t>Úroveň 4 bez koef. (P2)</t>
  </si>
  <si>
    <t>Úroveň 4 s koef. (P2)</t>
  </si>
  <si>
    <t>Úroveň 1 bez koef. (P2)</t>
  </si>
  <si>
    <t>Úroveň 3 bez koef. (P2a)</t>
  </si>
  <si>
    <t>Úroveň 4 bez koef. (P2a)</t>
  </si>
  <si>
    <t>Úroveň 5 bez koef. (P2a)</t>
  </si>
  <si>
    <t>Úroveň 5 bez koef. (P2)</t>
  </si>
  <si>
    <t>Úroveň 5 s koef. (P2a)</t>
  </si>
  <si>
    <t>Úroveň 5 s koef. (P2)</t>
  </si>
  <si>
    <t>Úroveň 6 bez koef. (P2a)</t>
  </si>
  <si>
    <t>Úroveň 6 bez koef. (P2)</t>
  </si>
  <si>
    <t>Úroveň 6 s koef. (P2a)</t>
  </si>
  <si>
    <t>Úroveň 6 s koef. (P2)</t>
  </si>
  <si>
    <t>Úroveň 7 bez koef. (P2a)</t>
  </si>
  <si>
    <t>Úroveň 7 bez koef. (P2)</t>
  </si>
  <si>
    <t>Úroveň 7 s koef. (P2a)</t>
  </si>
  <si>
    <t>Úroveň 7 s koef. (P2)</t>
  </si>
  <si>
    <t>Úroveň 8 bez koef. (P2a)</t>
  </si>
  <si>
    <t>Úroveň 8 bez koef. (P2)</t>
  </si>
  <si>
    <t>Úroveň 8 s koef. (P2a)</t>
  </si>
  <si>
    <t>Úroveň 8 s koef. (P2)</t>
  </si>
  <si>
    <t>Úroveň 9 bez koef. (P2a)</t>
  </si>
  <si>
    <t>Úroveň 9 bez koef. (P2)</t>
  </si>
  <si>
    <t>Úroveň 9 s koef. (P2a)</t>
  </si>
  <si>
    <t>Úroveň 9 s koef. (P2)</t>
  </si>
  <si>
    <t>Úroveň 10 s koef. (P2)</t>
  </si>
  <si>
    <t>Úroveň 10 s koef. (P2a)</t>
  </si>
  <si>
    <t>Úroveň 10 bez koef. (P2)</t>
  </si>
  <si>
    <t>Úroveň 10 bez koef. (P2a)</t>
  </si>
  <si>
    <t>Úroveň 1 s koef. (P3)</t>
  </si>
  <si>
    <t>Úroveň 1 bez koef. (P3)</t>
  </si>
  <si>
    <t>Úroveň 2 s koef. (P3)</t>
  </si>
  <si>
    <t>Úroveň 2 s koef. (P3a)</t>
  </si>
  <si>
    <t>Úroveň 2 bez koef. (P3)</t>
  </si>
  <si>
    <t>Úroveň 2 bez koef. (P3a)</t>
  </si>
  <si>
    <t>Úroveň 3 s koef. (P3)</t>
  </si>
  <si>
    <t>Úroveň 3 bez koef. (P3)</t>
  </si>
  <si>
    <t>Úroveň 3 s koef. (P3a)</t>
  </si>
  <si>
    <t>Úroveň 3 bez koef. (P3a)</t>
  </si>
  <si>
    <t>Úroveň 5 bez koef. (P3a)</t>
  </si>
  <si>
    <t>Úroveň 5 s koef. (P3a)</t>
  </si>
  <si>
    <t>Úroveň 5 bez koef. (P3)</t>
  </si>
  <si>
    <t>Úroveň 5 s koef. (P3)</t>
  </si>
  <si>
    <t>Úroveň 4 bez koef. (P3a)</t>
  </si>
  <si>
    <t>Úroveň 4 s koef. (P3a)</t>
  </si>
  <si>
    <t>Úroveň 4 bez koef. (P3)</t>
  </si>
  <si>
    <t>Úroveň 4 s koef. (P3)</t>
  </si>
  <si>
    <t>Úroveň 7 bez koef. (P3a)</t>
  </si>
  <si>
    <t>Úroveň 7 s koef. (P3a)</t>
  </si>
  <si>
    <t>Úroveň 7 bez koef. (P3)</t>
  </si>
  <si>
    <t>Úroveň 7 s koef. (P3)</t>
  </si>
  <si>
    <t>Úroveň 6 bez koef. (P3a)</t>
  </si>
  <si>
    <t>Úroveň 6 s koef. (P3a)</t>
  </si>
  <si>
    <t>Úroveň 6 bez koef. (P3)</t>
  </si>
  <si>
    <t>Úroveň 6 s koef. (P3)</t>
  </si>
  <si>
    <t>Úroveň 10 bez koef. (P3a)</t>
  </si>
  <si>
    <t>Úroveň 10 s koef. (P3a)</t>
  </si>
  <si>
    <t>Úroveň 10 bez koef. (P3)</t>
  </si>
  <si>
    <t>Úroveň 10 s koef. (P3)</t>
  </si>
  <si>
    <t>Úroveň 9 bez koef. (P3a)</t>
  </si>
  <si>
    <t>Úroveň 9 s koef. (P3a)</t>
  </si>
  <si>
    <t>Úroveň 9 bez koef. (P3)</t>
  </si>
  <si>
    <t>Úroveň 9 s koef. (P3)</t>
  </si>
  <si>
    <t>Úroveň 8 bez koef. (P3a)</t>
  </si>
  <si>
    <t>Úroveň 8 s koef. (P3a)</t>
  </si>
  <si>
    <t>Úroveň 8 bez koef. (P3)</t>
  </si>
  <si>
    <t>Úroveň 8 s koef. (P3)</t>
  </si>
  <si>
    <t>Procento dokončení</t>
  </si>
  <si>
    <t>Číslo dokumentu</t>
  </si>
  <si>
    <t>Index změny - Popis změny</t>
  </si>
  <si>
    <t>Fáze</t>
  </si>
  <si>
    <t>Procento dokončení [%] (V0)</t>
  </si>
  <si>
    <t>Z toho rezerva [kg]</t>
  </si>
  <si>
    <t>Z toho rezerva [CZK]</t>
  </si>
  <si>
    <t>HR - Hmotnostní rozpad</t>
  </si>
  <si>
    <t>CR - Cenový rozpad</t>
  </si>
  <si>
    <t>Celková cena bez DPH (CZK)</t>
  </si>
  <si>
    <t>Součet z Celková cena bez DPH (CZK)</t>
  </si>
  <si>
    <t>Součet z Celková hmotnost položek [kg]</t>
  </si>
  <si>
    <t>Úroveň 4 (P2)</t>
  </si>
  <si>
    <t>Úroveň 1 (P2)</t>
  </si>
  <si>
    <t>Úroveň 2 (P2)</t>
  </si>
  <si>
    <t>Úroveň 3 (P2)</t>
  </si>
  <si>
    <t>Úroveň 5 (P2)</t>
  </si>
  <si>
    <t>Úroveň 6 (P2)</t>
  </si>
  <si>
    <t>Úroveň 7 (P2)</t>
  </si>
  <si>
    <t>Úroveň 9 (P2)</t>
  </si>
  <si>
    <t>Úroveň 10 (P2)</t>
  </si>
  <si>
    <t>Et. / Skup.(P2)</t>
  </si>
  <si>
    <t>Kód položek (P2)</t>
  </si>
  <si>
    <t>Řešitel (P2)</t>
  </si>
  <si>
    <t>Úroveň 8 (V0)2</t>
  </si>
  <si>
    <t>Varianta KUSOVNÍK</t>
  </si>
  <si>
    <t>Celková hmotnost bez koef. [kg] (P0)</t>
  </si>
  <si>
    <t>Úroveň 2 (KS)</t>
  </si>
  <si>
    <t>Úroveň 3 (KS)</t>
  </si>
  <si>
    <t>Úroveň 4 (KS)</t>
  </si>
  <si>
    <t>Úroveň 5 (KS)</t>
  </si>
  <si>
    <t>Úroveň 6 (KS)</t>
  </si>
  <si>
    <t>Nevyplňovat</t>
  </si>
  <si>
    <t>Vložit text z kusovníku</t>
  </si>
  <si>
    <t>Společné pro Varianty 1 - 4</t>
  </si>
  <si>
    <t>Vyplňovat odsud vpravo</t>
  </si>
  <si>
    <t>Vypracoval za Projekci</t>
  </si>
  <si>
    <t>Vypracoval za Nákup</t>
  </si>
  <si>
    <t>Kalkulační položky</t>
  </si>
  <si>
    <t>Skupina</t>
  </si>
  <si>
    <t>Druh položky</t>
  </si>
  <si>
    <t>Samostatné brzdy, dodávané kompletně od dodavatele. Součást brzdových systému dodávané dodavatelem</t>
  </si>
  <si>
    <t>Komplet</t>
  </si>
  <si>
    <t>Elektroprim - Koutník</t>
  </si>
  <si>
    <t>Specifikace samostatně kupovaných motorů (nejsou součástí nějakého zařízení)</t>
  </si>
  <si>
    <t>Výkonový transformátor VN / NN pro technologii a pro osvětlení, včetně příslušenství</t>
  </si>
  <si>
    <t>Snímače fyzikálních veličin a analogovým, binárním nebo komunikačním rozhraním. (Nejsou součástí subdodávek celků)</t>
  </si>
  <si>
    <t>Samostatné kondenzátory nebo kompletní kompenzační rozvaděč s regulací NN nebo VN</t>
  </si>
  <si>
    <t>Stavební část rozvodny včetně pomocných systémů, nespecifikovaných v jiných kategorií</t>
  </si>
  <si>
    <t>Rozvaděč se staničními akumulátory, nebo diesel-generátor (malá bateriová UPS je součástí rozvaděčů NN)</t>
  </si>
  <si>
    <t>Tenkostěnné</t>
  </si>
  <si>
    <t>Nátěry - Pozink</t>
  </si>
  <si>
    <t>NP</t>
  </si>
  <si>
    <t>Závaží - Beton</t>
  </si>
  <si>
    <t>Závaží - Ocel</t>
  </si>
  <si>
    <t>Závaží - Štěrk</t>
  </si>
  <si>
    <t>ZB</t>
  </si>
  <si>
    <t>ZO</t>
  </si>
  <si>
    <t>ZS</t>
  </si>
  <si>
    <t>Sestava bubnu včetně pogumování či keramické obšívky</t>
  </si>
  <si>
    <t>Hydraulické válce bez čepů a spojovacího materiálu</t>
  </si>
  <si>
    <t>Ložiska a ložiskové domky</t>
  </si>
  <si>
    <t>Celá sestava pohonu (převodovka, brzda, spojka, motor a rám); Převodový motor</t>
  </si>
  <si>
    <t>Pera; Normalizované čepy; Vysokopevnostní šrouby; Jemné závity</t>
  </si>
  <si>
    <t>Převodovky + Reakční ramena, Příruby a jiné součásti převodovek dodávané dodavatelem; Ramena; Adaptér; Převodový motor nakupovaný</t>
  </si>
  <si>
    <t>Stěrače kompletně dodávané dodavatelem</t>
  </si>
  <si>
    <t>Samostatné spojky dodávané kompletně od dodavatele</t>
  </si>
  <si>
    <t>Šrouby; Matice; Podložky; Prakticky celé obsahové centrum</t>
  </si>
  <si>
    <t>Nakupované válečky a menší převáděcí bubny</t>
  </si>
  <si>
    <t>Čepy; Uložení pro ložiska; Kluzná ložiska; Pouzdra; Velkorozměrové záležitosti</t>
  </si>
  <si>
    <t>Čepy; Uložení pro ložiska; Kluzná ložiska; Pouzdra; Vodící lišty; Součásti napínání; Pastorek; Ozubené kolo; Kolesová hřídel; Kulová dráha; Hřídel</t>
  </si>
  <si>
    <t>Zbytek kde nezáleží na přesnosti; Obyč. obrábené plochy; Drážka; Upínka; Konzolka</t>
  </si>
  <si>
    <t>Podle ČSN 73 2601 výrobní skupina A, Aa, Ba;
Podle ČSN EN 1090-2 třída provádění EXC3, toleranční třída 2
Hlavní nosná konstrukce (hlavní ocel. konstrukce); Nenosné svařence tvarově složité; Svařence s obráběním, žíháním, strojařskými tolerancemi, jeřábové dráhy, Rámy; Samostavná stolice; Deska otoče
NEPATŘÍ SEM:
Výkovky (STVY); Odlitky (STOD)</t>
  </si>
  <si>
    <t>Podle ČSN 73 2601 výrobní skupina B;
Podle ČSN EN 1090-2 třída provádění EXC2, toleranční třída 2
Nosná konstrukce částí, které jsou snáz vyměnitelné; Lehce kontrolovatelné; Málo zatížené; Rozměrné ale tvarově jednoduché skluzy; Svodky; Násypky</t>
  </si>
  <si>
    <t>Podle ČSN 73 2601 výrobní skupina C;
Podle ČSN EN 1090-2 třída provádění EXC2, toleranční třída 1
Podružné konstrukce lávek; Schodišť; Zábradlí; Kryty; Pražce; Jednoduché štíty; Skluzy; Svodky; Bočnice; Kabelové průvěsy; Různé pomocné konzoly; Konstrukce z tenkých ohýbaných plechů
Plechy; Lávky (vodorovné: Zábradlí; Schodiště; Žebříky); Pochozí systém = Lávky; Kryty; Pražce; Kabelové průvěsy (Konzoly)
NEPATŘÍ SEM:
Opláštění (SAOP)</t>
  </si>
  <si>
    <t>Samostatně uvažované kolejnice; Válcované profily v běžných metrech, Štětovnice
NEPATŘÍ SEM:
Kolejová dráha v rámci železničního svršku (SAKD)
Drobné kolejivo - upevňovací materiál kolejnic (STSM)</t>
  </si>
  <si>
    <t>Pororošty</t>
  </si>
  <si>
    <t>Ocelové prvky, které se nepodaří zařadit jinam, používání výjimečné
NEPATŘÍ SEM:
Protizávaží (OSZA),
Odložení Hardox, Vautid, Solidur (OSOB)
Spojovací materiál (STSM)</t>
  </si>
  <si>
    <t>Odkaz na podklady (K)</t>
  </si>
  <si>
    <t>Koeficient odhadu CR [-] (K)</t>
  </si>
  <si>
    <t>Měna (K)</t>
  </si>
  <si>
    <t>Jednotková cena bez DPH CR [cena/MJCR] (K)</t>
  </si>
  <si>
    <t>Počet MJCR (K)</t>
  </si>
  <si>
    <t>Měrná jednotka CR [MJCR] (K)</t>
  </si>
  <si>
    <t>Dodací lhůty [týdny] (K)</t>
  </si>
  <si>
    <t>Datum vložení (K)</t>
  </si>
  <si>
    <t>Odpovědná osoba za NOEN (K)</t>
  </si>
  <si>
    <t>Koeficient odhadu HR [-] (K)</t>
  </si>
  <si>
    <t>Jednotková hmotnost [kg/MJHR] (K)</t>
  </si>
  <si>
    <t>Počet MJHR (K)</t>
  </si>
  <si>
    <t>Měrná jednotka HR [MJHR] (K)</t>
  </si>
  <si>
    <t>Hlavní parametr / Specifikace (K)</t>
  </si>
  <si>
    <t>Typ / Označení (K)</t>
  </si>
  <si>
    <t>Výrobce / Dodavatel (K)</t>
  </si>
  <si>
    <t>Bezpečnostní tlačítkové vypínače; Lankové vypínače; Údržbové vypínače; Ovladače světel</t>
  </si>
  <si>
    <t>Reflektory pro osvětlení pracovního prostoru, technologických částí. Svítidla vnitřní; Svítidla vnější; Nouzové svítidla; Svítidla pro údržbu</t>
  </si>
  <si>
    <t>Příslušenství pro montáž kabelů (háky; Ucpávky; Vývodky; Rošty; Držáky; Kroužkové sběrače; Energořetězy,…)</t>
  </si>
  <si>
    <t>Výstražní a informační tabulky; Štítek stroje; Štítky el. zařízení a kabelů</t>
  </si>
  <si>
    <t>Gumy; Napínání pasu; Těsnění</t>
  </si>
  <si>
    <t>PLC včetně montáže; Oživení; Odzkoušení; Opravy dokumentace. Elektro montáž; Nastavení ochran; Snímačů; Revizní zprávy; Naladění FM</t>
  </si>
  <si>
    <t>Kolejnice; Připojovací části kolejnic</t>
  </si>
  <si>
    <t>Betonové základy; Základy pro střední díly dopravníků; Betonová protizávaží</t>
  </si>
  <si>
    <t>Napájecí kabel; Kabely VN; Silové kabely NN; Snímačové kabely; Komunikační kabeláž</t>
  </si>
  <si>
    <t>Ostatní specifické dodávky; Vytápění svodek</t>
  </si>
  <si>
    <t>Ovladač; Přijímač; Anténa</t>
  </si>
  <si>
    <t>Prvky kamerového systému (Kamery; Kvadrátory; Monitory; Dekodéry)</t>
  </si>
  <si>
    <t>Kompletní klimatizační zařízení elektrické rozvody; Strojovny; Prostorů pro obsluhu</t>
  </si>
  <si>
    <t>Dodávka SW a HW; Dodávka návodů; Dodávky licencí; HW (PLC, HMI, PC, Komunikace, Vzdálený přístup, Datalogging)</t>
  </si>
  <si>
    <t>Frekvenční měniče a nezbytné doplňky (Pojistky; Brzdný odpor; Bezpečnostní modul; Komunikační modul; Ovládací panel), FM samostatný, FM zabudovaný v rozvaděči</t>
  </si>
  <si>
    <t>Kompletní samostatně stojící rozvaděče; Nástenní rozvodní skříně; Přípojná svorkovnice</t>
  </si>
  <si>
    <t>Kompletní rozvaděče VN včetně silových prvků; Ochran; Řízení; Komunikace</t>
  </si>
  <si>
    <t>Et. / Skup.(K)</t>
  </si>
  <si>
    <t>Úroveň (K) (1-10)</t>
  </si>
  <si>
    <t>Kód položek (K)</t>
  </si>
  <si>
    <t>Řešitel (K)</t>
  </si>
  <si>
    <t>Blažejovský</t>
  </si>
  <si>
    <t>DV</t>
  </si>
  <si>
    <t>DK</t>
  </si>
  <si>
    <t>MT</t>
  </si>
  <si>
    <t>Ocelové kosntrukce</t>
  </si>
  <si>
    <t>Stavy Projekce</t>
  </si>
  <si>
    <t>Stavy Nákup</t>
  </si>
  <si>
    <t>Z</t>
  </si>
  <si>
    <t>R25</t>
  </si>
  <si>
    <t>R50</t>
  </si>
  <si>
    <t>R75</t>
  </si>
  <si>
    <t>K</t>
  </si>
  <si>
    <t>S</t>
  </si>
  <si>
    <t>Zadáno</t>
  </si>
  <si>
    <t>Rozpracováno 25%</t>
  </si>
  <si>
    <t>Rozpracováno 50%</t>
  </si>
  <si>
    <t>Rozpracováno 75%</t>
  </si>
  <si>
    <t>Ke kontrole</t>
  </si>
  <si>
    <t>Schváleno</t>
  </si>
  <si>
    <t>P</t>
  </si>
  <si>
    <t>Poptáno</t>
  </si>
  <si>
    <t>N</t>
  </si>
  <si>
    <t>Nabídnuto</t>
  </si>
  <si>
    <t>%</t>
  </si>
  <si>
    <t>Stav Projekce (K)</t>
  </si>
  <si>
    <t>Stav Projekce (P0)</t>
  </si>
  <si>
    <t>Stav Projekce (V1)</t>
  </si>
  <si>
    <t>Stav Projekce (V0)</t>
  </si>
  <si>
    <t>Stav Nákup (V0)</t>
  </si>
  <si>
    <t>Celkem</t>
  </si>
  <si>
    <t>Stav Nákup (V1)</t>
  </si>
  <si>
    <t>Stav Nákup (P0)</t>
  </si>
  <si>
    <t>Stav Projekce (V2)</t>
  </si>
  <si>
    <t>Stav Projekce (V3)</t>
  </si>
  <si>
    <t>Stav Projekce (V4)</t>
  </si>
  <si>
    <t>Stav Nákup (K)</t>
  </si>
  <si>
    <t>Stav Nákup (V2)</t>
  </si>
  <si>
    <t>Stav Nákup (V3)</t>
  </si>
  <si>
    <t>Stav Nákup (V4)</t>
  </si>
  <si>
    <t>Odpovědná osoba za NOEN (V0)</t>
  </si>
  <si>
    <t>O</t>
  </si>
  <si>
    <t>Odkaz na podklady Nákup (V1)</t>
  </si>
  <si>
    <t>Odkaz na podklady Projekce (V1)</t>
  </si>
  <si>
    <t>Odkaz na podklady Projekce (V1)2</t>
  </si>
  <si>
    <t>Odkaz na podklady Projekce (V1)3</t>
  </si>
  <si>
    <t>Odkaz na podklady Projekce (V1)4</t>
  </si>
  <si>
    <t>Odkaz na podklady Projekce (V1)5</t>
  </si>
  <si>
    <t>I</t>
  </si>
  <si>
    <t>Indikativní</t>
  </si>
  <si>
    <t>Indikativní jednotková cena [CZK/kg] (P1)</t>
  </si>
  <si>
    <t>Jednotková cena bez DPH [cena/MJCR] (P0)</t>
  </si>
  <si>
    <t>Rozhodný sloupec indikativní ceny</t>
  </si>
  <si>
    <t>Počet MJCR (P1)</t>
  </si>
  <si>
    <t>Počet MJCR (P0) pro "kg"</t>
  </si>
  <si>
    <t>Indikativní cena (CZK/kg)</t>
  </si>
  <si>
    <t>Počet MJHR v rozpadu</t>
  </si>
  <si>
    <t>Rozhodný sloupec sestavy</t>
  </si>
  <si>
    <t>Pomocná tabulka pro nákup</t>
  </si>
  <si>
    <t>Jednotková cena bez DPH [CZK/MJCR] (P2)</t>
  </si>
  <si>
    <t>Jednotková cena bez DPH [cena/MJCR] (2)</t>
  </si>
  <si>
    <t>Jednotková cena bez DPH [cena/MJCR] (3)</t>
  </si>
  <si>
    <t>Jednotková cena bez DPH [cena/MJCR] (4)</t>
  </si>
  <si>
    <t>Celková cena bez DPH (2)</t>
  </si>
  <si>
    <t>Celková cena bez DPH (3)</t>
  </si>
  <si>
    <t>Celková cena bez DPH (4)</t>
  </si>
  <si>
    <r>
      <t>m</t>
    </r>
    <r>
      <rPr>
        <vertAlign val="superscript"/>
        <sz val="10"/>
        <rFont val="Arial"/>
        <family val="2"/>
        <charset val="238"/>
      </rPr>
      <t>3</t>
    </r>
  </si>
  <si>
    <t>Duplicita</t>
  </si>
  <si>
    <t>Úroveň X (V0)</t>
  </si>
  <si>
    <t>Vyplnit</t>
  </si>
  <si>
    <t>Tabulka společných položek rozpadu zakázky</t>
  </si>
  <si>
    <t>Číslo společné položky</t>
  </si>
  <si>
    <t>Číslo spol. pol.</t>
  </si>
  <si>
    <t>Neupravovat</t>
  </si>
  <si>
    <t>Objednáno</t>
  </si>
  <si>
    <t>hod</t>
  </si>
  <si>
    <t>Homolka</t>
  </si>
  <si>
    <t>Jeřábek</t>
  </si>
  <si>
    <t>Centrální mazací systém</t>
  </si>
  <si>
    <t>Režie</t>
  </si>
  <si>
    <t>RE</t>
  </si>
  <si>
    <t>Noen</t>
  </si>
  <si>
    <t>EX</t>
  </si>
  <si>
    <t>Externí</t>
  </si>
  <si>
    <t>Cestovné, Právní poradenství interní</t>
  </si>
  <si>
    <t>Právní poradenství externí, Překlady</t>
  </si>
  <si>
    <t>Zkratka kalkulační položky</t>
  </si>
  <si>
    <t>Zkratka a název kalkulační položky</t>
  </si>
  <si>
    <t>Celkový součet</t>
  </si>
  <si>
    <t>Celková cena bez DPH (EUR)</t>
  </si>
  <si>
    <t>Součet z Celková cena bez DPH (EUR)</t>
  </si>
  <si>
    <t>Options</t>
  </si>
  <si>
    <t>N/A</t>
  </si>
  <si>
    <t>Bez kalkulační položky</t>
  </si>
  <si>
    <t>Hodnoty</t>
  </si>
  <si>
    <t>RZ - Rozpad zakázky</t>
  </si>
  <si>
    <t>Jedn. hmotnost [kg/MJHR]</t>
  </si>
  <si>
    <t>Kilogramová cena bez DPH [cena/kg] (1)</t>
  </si>
  <si>
    <t>Kilogramová cena bez DPH [cena/kg] (2)</t>
  </si>
  <si>
    <t>Kilogramová cena bez DPH [cena/kg] (3)</t>
  </si>
  <si>
    <t>Kilogramová cena bez DPH [cena/kg] (4)</t>
  </si>
  <si>
    <t>Součet z Kilogramová cena bez DPH [EUR/kg]</t>
  </si>
  <si>
    <t>Součet z Kilogramová cena bez DPH [CZK/kg]</t>
  </si>
  <si>
    <t>Sloupec1</t>
  </si>
  <si>
    <t>Sloupec2</t>
  </si>
  <si>
    <t>Sloupec3</t>
  </si>
  <si>
    <t>Sloupec4</t>
  </si>
  <si>
    <t>Sloupec5</t>
  </si>
  <si>
    <t>Sloupec6</t>
  </si>
  <si>
    <t>Sloupec62</t>
  </si>
  <si>
    <t>Sloupec63</t>
  </si>
  <si>
    <t>Sloupec64</t>
  </si>
  <si>
    <t>Sloupec65</t>
  </si>
  <si>
    <t>Sloupec66</t>
  </si>
  <si>
    <t>Sloupec67</t>
  </si>
  <si>
    <t>Sloupec68</t>
  </si>
  <si>
    <t>Sloupec69</t>
  </si>
  <si>
    <t>Sloupec70</t>
  </si>
  <si>
    <t>Sloupec71</t>
  </si>
  <si>
    <t>Sloupec72</t>
  </si>
  <si>
    <t>Sloupec73</t>
  </si>
  <si>
    <t>Sloupec74</t>
  </si>
  <si>
    <t>Sloupec75</t>
  </si>
  <si>
    <t>Kumulovaný koeficient v rozpadu (P0)</t>
  </si>
  <si>
    <t>Jednotková cena bez DPH [cena/MJCR] s koef. (P0)</t>
  </si>
  <si>
    <t>Jednotková cena bez DPH [cena/MJCR] bez koef. (P0)</t>
  </si>
  <si>
    <t>Jednotková cena vč. kumul. koef. bez DPH [cena/MJCR] (1)</t>
  </si>
  <si>
    <t>Jednotková cena vč. koef. bez DPH [cena/MJCR]</t>
  </si>
  <si>
    <t>Kumulovaný koeficient odhadu CR  [-]</t>
  </si>
  <si>
    <t>Kód skupiny</t>
  </si>
  <si>
    <t>Název skupiny</t>
  </si>
  <si>
    <t>Název položky</t>
  </si>
  <si>
    <t>Zkratka a název skupiny</t>
  </si>
  <si>
    <t>SHZ - Stabilní hasící zařízení; MHS - Mobilní hasící zařízení; EPS - Elektronická požární signalizace, Dopadové lože</t>
  </si>
  <si>
    <t>TO</t>
  </si>
  <si>
    <t>Těžební orgán</t>
  </si>
  <si>
    <t>Koreček, Řetěz, Článek řetězu, Sestava zubu</t>
  </si>
  <si>
    <t>TN</t>
  </si>
  <si>
    <t>Tabulka pro import</t>
  </si>
  <si>
    <t>Kontingenční tabulka</t>
  </si>
  <si>
    <t>Typ úlohy</t>
  </si>
  <si>
    <t>Typ</t>
  </si>
  <si>
    <t>Hmotnost</t>
  </si>
  <si>
    <t>Cena</t>
  </si>
  <si>
    <t>Druh zkratka</t>
  </si>
  <si>
    <t>N/A | Bez kalkulační položky</t>
  </si>
  <si>
    <t/>
  </si>
  <si>
    <t>Rotační výklopník</t>
  </si>
  <si>
    <t>Pohon rotačního výklopníku</t>
  </si>
  <si>
    <t>Podpěrné kladky krajní</t>
  </si>
  <si>
    <t>Podpěrné kladky střední</t>
  </si>
  <si>
    <t>Nákolek</t>
  </si>
  <si>
    <t>Céva</t>
  </si>
  <si>
    <t>Příložka</t>
  </si>
  <si>
    <t>Rám</t>
  </si>
  <si>
    <t>Plošina s kolébkou</t>
  </si>
  <si>
    <t>Čelní opěrná kladka</t>
  </si>
  <si>
    <t>Vedení kabelu</t>
  </si>
  <si>
    <t>Krajní nárazník boční opěry</t>
  </si>
  <si>
    <t>Koncové vypínání</t>
  </si>
  <si>
    <t>Tabulky pro ustavení vagonů</t>
  </si>
  <si>
    <t>Bezpečnostní tabulky</t>
  </si>
  <si>
    <t>Protizávaží</t>
  </si>
  <si>
    <t>Kabelový přívod</t>
  </si>
  <si>
    <t>Podložka</t>
  </si>
  <si>
    <t>Šroub M30 x 800</t>
  </si>
  <si>
    <t>Šroub M42 x 3 x 200</t>
  </si>
  <si>
    <t>Šroub M24</t>
  </si>
  <si>
    <t>Úpinka M12 x 100</t>
  </si>
  <si>
    <t>Ocelové profily</t>
  </si>
  <si>
    <t>Trubkový oblouk</t>
  </si>
  <si>
    <t>Příčka</t>
  </si>
  <si>
    <t>Zkroužená trubka</t>
  </si>
  <si>
    <t>Ohnutý plech</t>
  </si>
  <si>
    <t>Svařenec</t>
  </si>
  <si>
    <t>OKS1</t>
  </si>
  <si>
    <t>Díl nákolku</t>
  </si>
  <si>
    <t>STSM</t>
  </si>
  <si>
    <t>OKHM</t>
  </si>
  <si>
    <t>OKS2</t>
  </si>
  <si>
    <t>OKS3</t>
  </si>
  <si>
    <t>Konzola</t>
  </si>
  <si>
    <t>Kladka - průměr 160 mm</t>
  </si>
  <si>
    <t>Čep - průměr 63 x 135 mm</t>
  </si>
  <si>
    <t>STO2</t>
  </si>
  <si>
    <t>Boční opěra pravá</t>
  </si>
  <si>
    <t>Boční opěra levá</t>
  </si>
  <si>
    <t>Táhlo</t>
  </si>
  <si>
    <t>Sestavení páky</t>
  </si>
  <si>
    <t>Nárazník</t>
  </si>
  <si>
    <t>Opěra boční</t>
  </si>
  <si>
    <t>Pružinový tlumič</t>
  </si>
  <si>
    <t>Brzda posuvu mostu</t>
  </si>
  <si>
    <t>Čep 100</t>
  </si>
  <si>
    <t>Čep 70</t>
  </si>
  <si>
    <t>STO3</t>
  </si>
  <si>
    <t>STBR</t>
  </si>
  <si>
    <t>Nosník</t>
  </si>
  <si>
    <t>Víko</t>
  </si>
  <si>
    <t>Osa - průměr 200 mm</t>
  </si>
  <si>
    <t>Přídržka</t>
  </si>
  <si>
    <t>Čep - průměr 120 mm</t>
  </si>
  <si>
    <t>Distanční kroužek</t>
  </si>
  <si>
    <t>Víčko</t>
  </si>
  <si>
    <t>Těsnění</t>
  </si>
  <si>
    <t>Šroubení</t>
  </si>
  <si>
    <t>Kryt</t>
  </si>
  <si>
    <t>Ložisko 22324</t>
  </si>
  <si>
    <t>STLO</t>
  </si>
  <si>
    <t>SUOS</t>
  </si>
  <si>
    <t>Kladka</t>
  </si>
  <si>
    <t>Čep - průměr 110 mm</t>
  </si>
  <si>
    <t>Ložisko 22322</t>
  </si>
  <si>
    <t>Rám pohonu</t>
  </si>
  <si>
    <t>Vzduchové potrubí</t>
  </si>
  <si>
    <t>Spojka s brzdou - průměr 630</t>
  </si>
  <si>
    <t>Brzda</t>
  </si>
  <si>
    <t>Hřídel</t>
  </si>
  <si>
    <t>Podpěra</t>
  </si>
  <si>
    <t>Ložisko 180 NT 260512</t>
  </si>
  <si>
    <t>Polovina spojky</t>
  </si>
  <si>
    <t>Kardanový hřídel</t>
  </si>
  <si>
    <t>Hřídel pastorku</t>
  </si>
  <si>
    <t>Pastorek s cévovým ozubením</t>
  </si>
  <si>
    <t>Ložisko - průměr 200 mm</t>
  </si>
  <si>
    <t>Rám pastorku</t>
  </si>
  <si>
    <t>Krat pastorku</t>
  </si>
  <si>
    <t>Ozubené kolečko</t>
  </si>
  <si>
    <t>Z = 80, m = 2</t>
  </si>
  <si>
    <t>z = 16, m = 2</t>
  </si>
  <si>
    <t>Kryt převodu</t>
  </si>
  <si>
    <t>Kryt brzdy</t>
  </si>
  <si>
    <t>Potrubí</t>
  </si>
  <si>
    <t>Držák krytu</t>
  </si>
  <si>
    <t>Převodovka</t>
  </si>
  <si>
    <t>ELHY BL200 C</t>
  </si>
  <si>
    <t>Kohout výtokový</t>
  </si>
  <si>
    <t>Součásti potrubí</t>
  </si>
  <si>
    <t>Spojka</t>
  </si>
  <si>
    <t>STSP</t>
  </si>
  <si>
    <t>STO1</t>
  </si>
  <si>
    <t>Elektromotor</t>
  </si>
  <si>
    <t>ELMO</t>
  </si>
  <si>
    <t>STPR</t>
  </si>
  <si>
    <t>Pogramový spínač</t>
  </si>
  <si>
    <t>ELSP</t>
  </si>
  <si>
    <t>STNO</t>
  </si>
  <si>
    <t>Těleso ložiska</t>
  </si>
  <si>
    <t>Ložisko 22240 K</t>
  </si>
  <si>
    <t>Upínací pouzdro H3140 MB</t>
  </si>
  <si>
    <t>Spojovací materíál</t>
  </si>
  <si>
    <t>Lišta</t>
  </si>
  <si>
    <t>Opěrný plech</t>
  </si>
  <si>
    <t>Kotvení šroubu</t>
  </si>
  <si>
    <t>OSZO</t>
  </si>
  <si>
    <t>OSTS</t>
  </si>
  <si>
    <t xml:space="preserve">X4K270 n2=9,5 rpm, n1=1480 rpm, Fs=2, i= 151 </t>
  </si>
  <si>
    <t>Řídicí systém</t>
  </si>
  <si>
    <t>ELRS</t>
  </si>
  <si>
    <t>SUSM</t>
  </si>
  <si>
    <t>SUKA</t>
  </si>
  <si>
    <t>Ocelová konstrukce</t>
  </si>
  <si>
    <t>SEW</t>
  </si>
  <si>
    <t>130 kW</t>
  </si>
  <si>
    <t>Zajíc</t>
  </si>
  <si>
    <t>Ks</t>
  </si>
  <si>
    <t>Z-2017-762</t>
  </si>
  <si>
    <t>Modernizace výklopníku - Dolní Odra</t>
  </si>
  <si>
    <t>Nabídka</t>
  </si>
  <si>
    <t>ZZ762-0002-00-4</t>
  </si>
  <si>
    <t>Demontáž</t>
  </si>
  <si>
    <t>PRDP</t>
  </si>
  <si>
    <t>PRMZ</t>
  </si>
  <si>
    <t>ST | Strojní</t>
  </si>
  <si>
    <t>STBR | Brzdy</t>
  </si>
  <si>
    <t xml:space="preserve">    Brzda</t>
  </si>
  <si>
    <t xml:space="preserve">    Brzda posuvu mostu</t>
  </si>
  <si>
    <t>STLO | Ložiska</t>
  </si>
  <si>
    <t>STNO | Normalizované</t>
  </si>
  <si>
    <t xml:space="preserve">    Normalizované</t>
  </si>
  <si>
    <t>STO1 | Obrobky třída 1</t>
  </si>
  <si>
    <t>STO2 | Obrobky třída 2</t>
  </si>
  <si>
    <t>STO3 | Obrobky třída 3</t>
  </si>
  <si>
    <t>STPR | Převodovky</t>
  </si>
  <si>
    <t>STSM | Spojovací materiál</t>
  </si>
  <si>
    <t>STSP | Spojky</t>
  </si>
  <si>
    <t>OK | Ocelové kosntrukce</t>
  </si>
  <si>
    <t>OKHM | Hutní materiál</t>
  </si>
  <si>
    <t xml:space="preserve">    Ocelové profily</t>
  </si>
  <si>
    <t xml:space="preserve">  Ocelové profily</t>
  </si>
  <si>
    <t>OKS1 | Svařenec třída 1</t>
  </si>
  <si>
    <t>OKS2 | Svařenec třída 2</t>
  </si>
  <si>
    <t>OKS3 | Svařenec třída 3</t>
  </si>
  <si>
    <t>SU | Subdodávky</t>
  </si>
  <si>
    <t>SUKA | Kabina</t>
  </si>
  <si>
    <t>SUOS | Ostatní</t>
  </si>
  <si>
    <t>SUSM | CMS</t>
  </si>
  <si>
    <t>EL | Elektro</t>
  </si>
  <si>
    <t>ELMO | Motory</t>
  </si>
  <si>
    <t>ELRS | Řídící systém</t>
  </si>
  <si>
    <t>ELSP | Spínače</t>
  </si>
  <si>
    <t>OS | Ostatní</t>
  </si>
  <si>
    <t>OSTS | Tabulky a štítky</t>
  </si>
  <si>
    <t xml:space="preserve">  Tabulky pro ustavení vagonů</t>
  </si>
  <si>
    <t xml:space="preserve">  Bezpečnostní tabulky</t>
  </si>
  <si>
    <t>OSZO | Závaží - Ocel</t>
  </si>
  <si>
    <t>PR | Profese a služby</t>
  </si>
  <si>
    <t>PRDP | Doprava</t>
  </si>
  <si>
    <t>PRMZ | Montáž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</si>
</sst>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3" formatCode="_(* #,##0.00_);_(* \(#,##0.00\);_(* &quot;-&quot;??_);_(@_)"/>
    <numFmt numFmtId="164" formatCode="_-* #,##0.00\ &quot;Kč&quot;_-;\-* #,##0.00\ &quot;Kč&quot;_-;_-* &quot;-&quot;??\ &quot;Kč&quot;_-;_-@_-"/>
    <numFmt numFmtId="165" formatCode="_(&quot;Kč&quot;* #,##0.00_);_(&quot;Kč&quot;* \(#,##0.00\);_(&quot;Kč&quot;* &quot;-&quot;??_);_(@_)"/>
    <numFmt numFmtId="166" formatCode="#,##0.0"/>
    <numFmt numFmtId="167" formatCode="00"/>
    <numFmt numFmtId="168" formatCode="0.0"/>
    <numFmt numFmtId="169" formatCode="yyyy\-mm\-dd"/>
    <numFmt numFmtId="170" formatCode="yyyy\-mm\-dd\ hh:mm"/>
    <numFmt numFmtId="171" formatCode="0.0%"/>
    <numFmt numFmtId="172" formatCode="#,##0.00\ &quot;Kč&quot;"/>
    <numFmt numFmtId="173" formatCode="#,##0.0\ &quot;Kč&quot;"/>
    <numFmt numFmtId="174" formatCode="#,##0\ [$EUR]"/>
    <numFmt numFmtId="175" formatCode="#,##0\ [$CZK]"/>
    <numFmt numFmtId="176" formatCode="#,##0.0\ [$CZK]"/>
    <numFmt numFmtId="177" formatCode="#,##0.0\ [$EUR]"/>
  </numFmts>
  <fonts count="69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20"/>
      <name val="Arial"/>
      <family val="2"/>
      <charset val="238"/>
    </font>
    <font>
      <sz val="9"/>
      <name val="Arial"/>
      <family val="2"/>
      <charset val="238"/>
    </font>
    <font>
      <b/>
      <sz val="16"/>
      <name val="Arial"/>
      <family val="2"/>
      <charset val="238"/>
    </font>
    <font>
      <sz val="10"/>
      <name val="Arial"/>
      <family val="2"/>
      <charset val="238"/>
    </font>
    <font>
      <sz val="10"/>
      <name val="Arial Cyr"/>
      <charset val="204"/>
    </font>
    <font>
      <sz val="11"/>
      <color indexed="8"/>
      <name val="Calibri"/>
      <family val="2"/>
      <charset val="238"/>
    </font>
    <font>
      <b/>
      <sz val="10"/>
      <color rgb="FFFF0000"/>
      <name val="Arial"/>
      <family val="2"/>
      <charset val="238"/>
    </font>
    <font>
      <sz val="10"/>
      <name val="Arial CE"/>
      <charset val="238"/>
    </font>
    <font>
      <b/>
      <sz val="12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theme="0"/>
      <name val="Arial"/>
      <family val="2"/>
      <charset val="238"/>
    </font>
    <font>
      <sz val="10"/>
      <color theme="0" tint="-0.249977111117893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theme="0" tint="-0.499984740745262"/>
      <name val="Arial"/>
      <family val="2"/>
      <charset val="238"/>
    </font>
    <font>
      <b/>
      <sz val="28"/>
      <name val="Arial"/>
      <family val="2"/>
      <charset val="238"/>
    </font>
    <font>
      <u/>
      <sz val="10"/>
      <color theme="10"/>
      <name val="Arial"/>
      <family val="2"/>
      <charset val="238"/>
    </font>
    <font>
      <sz val="10"/>
      <color theme="1"/>
      <name val="Arial"/>
      <family val="2"/>
      <charset val="238"/>
    </font>
    <font>
      <b/>
      <sz val="14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5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vertAlign val="superscript"/>
      <sz val="10"/>
      <name val="Arial"/>
      <family val="2"/>
      <charset val="238"/>
    </font>
    <font>
      <i/>
      <sz val="10"/>
      <color theme="0"/>
      <name val="Arial"/>
      <family val="2"/>
      <charset val="238"/>
    </font>
    <font>
      <i/>
      <sz val="10"/>
      <color theme="1"/>
      <name val="Arial"/>
      <family val="2"/>
      <charset val="238"/>
    </font>
    <font>
      <i/>
      <sz val="10"/>
      <name val="Arial"/>
      <family val="2"/>
      <charset val="238"/>
    </font>
    <font>
      <b/>
      <i/>
      <sz val="20"/>
      <name val="Arial"/>
      <family val="2"/>
      <charset val="238"/>
    </font>
    <font>
      <b/>
      <sz val="10"/>
      <color rgb="FFC00000"/>
      <name val="Arial"/>
      <family val="2"/>
      <charset val="238"/>
    </font>
    <font>
      <sz val="10"/>
      <color rgb="FFC00000"/>
      <name val="Arial"/>
      <family val="2"/>
      <charset val="238"/>
    </font>
    <font>
      <sz val="14"/>
      <name val="Arial"/>
      <family val="2"/>
      <charset val="238"/>
    </font>
    <font>
      <b/>
      <sz val="18"/>
      <name val="Arial"/>
      <family val="2"/>
      <charset val="238"/>
    </font>
    <font>
      <b/>
      <sz val="8"/>
      <name val="Arial"/>
      <family val="2"/>
      <charset val="238"/>
    </font>
    <font>
      <b/>
      <sz val="13"/>
      <name val="Arial"/>
      <family val="2"/>
      <charset val="238"/>
    </font>
    <font>
      <sz val="13"/>
      <name val="Arial"/>
      <family val="2"/>
      <charset val="238"/>
    </font>
    <font>
      <sz val="10"/>
      <color rgb="FFFFFF99"/>
      <name val="Arial"/>
      <family val="2"/>
      <charset val="238"/>
    </font>
    <font>
      <sz val="10"/>
      <name val="Arial"/>
      <family val="2"/>
      <charset val="238"/>
    </font>
    <font>
      <sz val="9"/>
      <color theme="0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4"/>
      <color rgb="FFC00000"/>
      <name val="Arial"/>
      <family val="2"/>
      <charset val="238"/>
    </font>
    <font>
      <b/>
      <sz val="16"/>
      <color theme="0"/>
      <name val="Arial"/>
      <family val="2"/>
      <charset val="238"/>
    </font>
    <font>
      <b/>
      <sz val="13"/>
      <color theme="0"/>
      <name val="Arial"/>
      <family val="2"/>
      <charset val="238"/>
    </font>
    <font>
      <b/>
      <sz val="10"/>
      <color rgb="FF00B0F0"/>
      <name val="Arial"/>
      <family val="2"/>
      <charset val="238"/>
    </font>
    <font>
      <sz val="10"/>
      <color rgb="FF00B0F0"/>
      <name val="Arial"/>
      <family val="2"/>
      <charset val="238"/>
    </font>
    <font>
      <sz val="10"/>
      <color theme="5" tint="0.79998168889431442"/>
      <name val="Arial"/>
      <family val="2"/>
      <charset val="238"/>
    </font>
    <font>
      <sz val="9"/>
      <color indexed="81"/>
      <name val="Tahoma"/>
      <family val="2"/>
      <charset val="238"/>
    </font>
    <font>
      <sz val="10"/>
      <color indexed="81"/>
      <name val="Tahoma"/>
      <family val="2"/>
      <charset val="238"/>
    </font>
    <font>
      <b/>
      <sz val="10"/>
      <color indexed="81"/>
      <name val="Tahoma"/>
      <family val="2"/>
      <charset val="238"/>
    </font>
    <font>
      <u/>
      <sz val="10"/>
      <name val="Arial"/>
      <family val="2"/>
      <charset val="238"/>
    </font>
    <font>
      <sz val="12"/>
      <color rgb="FFC00000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sz val="10"/>
      <color theme="3"/>
      <name val="Arial"/>
      <family val="2"/>
      <charset val="238"/>
    </font>
    <font>
      <sz val="10"/>
      <color rgb="FF000000"/>
      <name val="Arial"/>
      <family val="2"/>
    </font>
    <font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2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theme="0"/>
        </stop>
        <stop position="1">
          <color rgb="FFFFC000"/>
        </stop>
      </gradientFill>
    </fill>
    <fill>
      <gradientFill degree="90">
        <stop position="0">
          <color theme="4"/>
        </stop>
        <stop position="1">
          <color rgb="FFFFC000"/>
        </stop>
      </gradientFill>
    </fill>
    <fill>
      <gradientFill degree="90">
        <stop position="0">
          <color theme="5"/>
        </stop>
        <stop position="1">
          <color rgb="FFFFC00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gradientFill degree="90">
        <stop position="0">
          <color rgb="FFFFFF99"/>
        </stop>
        <stop position="1">
          <color rgb="FFFFC000"/>
        </stop>
      </gradient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66CC"/>
        <bgColor indexed="64"/>
      </patternFill>
    </fill>
  </fills>
  <borders count="10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71">
    <xf numFmtId="0" fontId="0" fillId="0" borderId="0"/>
    <xf numFmtId="0" fontId="7" fillId="0" borderId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5" fillId="0" borderId="0"/>
    <xf numFmtId="0" fontId="16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0" fontId="4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64" fontId="9" fillId="0" borderId="0" applyFont="0" applyFill="0" applyBorder="0" applyAlignment="0" applyProtection="0"/>
    <xf numFmtId="0" fontId="3" fillId="0" borderId="0"/>
    <xf numFmtId="0" fontId="9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26" fillId="0" borderId="0" applyNumberFormat="0" applyFill="0" applyBorder="0" applyAlignment="0" applyProtection="0"/>
    <xf numFmtId="9" fontId="46" fillId="0" borderId="0" applyFont="0" applyFill="0" applyBorder="0" applyAlignment="0" applyProtection="0"/>
  </cellStyleXfs>
  <cellXfs count="1058">
    <xf numFmtId="0" fontId="0" fillId="0" borderId="0" xfId="0"/>
    <xf numFmtId="0" fontId="0" fillId="0" borderId="0" xfId="0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right" indent="1"/>
    </xf>
    <xf numFmtId="2" fontId="23" fillId="0" borderId="0" xfId="0" applyNumberFormat="1" applyFont="1" applyAlignment="1">
      <alignment horizontal="right" indent="1"/>
    </xf>
    <xf numFmtId="0" fontId="0" fillId="2" borderId="7" xfId="0" applyFill="1" applyBorder="1"/>
    <xf numFmtId="2" fontId="9" fillId="0" borderId="2" xfId="0" applyNumberFormat="1" applyFont="1" applyBorder="1" applyAlignment="1">
      <alignment horizontal="right" indent="1"/>
    </xf>
    <xf numFmtId="0" fontId="24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2" borderId="5" xfId="0" applyFill="1" applyBorder="1" applyAlignment="1">
      <alignment horizontal="center"/>
    </xf>
    <xf numFmtId="0" fontId="8" fillId="10" borderId="4" xfId="0" applyFont="1" applyFill="1" applyBorder="1" applyAlignment="1">
      <alignment horizontal="right" indent="1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0" fontId="0" fillId="10" borderId="7" xfId="0" applyFill="1" applyBorder="1"/>
    <xf numFmtId="0" fontId="8" fillId="10" borderId="4" xfId="0" applyFont="1" applyFill="1" applyBorder="1" applyAlignment="1">
      <alignment horizontal="left" indent="1"/>
    </xf>
    <xf numFmtId="0" fontId="0" fillId="10" borderId="7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0" fillId="2" borderId="0" xfId="0" applyFill="1" applyProtection="1"/>
    <xf numFmtId="0" fontId="0" fillId="0" borderId="0" xfId="0" applyProtection="1"/>
    <xf numFmtId="0" fontId="9" fillId="2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left" vertical="center"/>
    </xf>
    <xf numFmtId="0" fontId="9" fillId="0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vertical="center"/>
    </xf>
    <xf numFmtId="14" fontId="8" fillId="2" borderId="0" xfId="0" applyNumberFormat="1" applyFont="1" applyFill="1" applyBorder="1" applyAlignment="1" applyProtection="1">
      <alignment horizontal="center" vertical="center" wrapText="1"/>
    </xf>
    <xf numFmtId="0" fontId="25" fillId="2" borderId="0" xfId="0" applyFont="1" applyFill="1" applyBorder="1" applyAlignment="1" applyProtection="1">
      <alignment horizontal="center" vertical="center"/>
    </xf>
    <xf numFmtId="0" fontId="13" fillId="2" borderId="0" xfId="0" applyFont="1" applyFill="1" applyBorder="1" applyAlignment="1" applyProtection="1">
      <alignment horizontal="center" vertical="center"/>
    </xf>
    <xf numFmtId="43" fontId="13" fillId="2" borderId="0" xfId="0" applyNumberFormat="1" applyFont="1" applyFill="1" applyBorder="1" applyAlignment="1" applyProtection="1">
      <alignment horizontal="center" vertical="center"/>
    </xf>
    <xf numFmtId="0" fontId="9" fillId="11" borderId="3" xfId="0" applyFont="1" applyFill="1" applyBorder="1" applyAlignment="1" applyProtection="1">
      <alignment horizontal="center" vertical="center"/>
    </xf>
    <xf numFmtId="43" fontId="9" fillId="11" borderId="3" xfId="0" applyNumberFormat="1" applyFont="1" applyFill="1" applyBorder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center" vertical="center"/>
    </xf>
    <xf numFmtId="0" fontId="9" fillId="2" borderId="15" xfId="0" applyFont="1" applyFill="1" applyBorder="1" applyAlignment="1" applyProtection="1">
      <alignment horizontal="center" vertical="center"/>
    </xf>
    <xf numFmtId="43" fontId="9" fillId="2" borderId="0" xfId="0" applyNumberFormat="1" applyFont="1" applyFill="1" applyBorder="1" applyAlignment="1" applyProtection="1">
      <alignment horizontal="center" vertical="center"/>
    </xf>
    <xf numFmtId="0" fontId="8" fillId="2" borderId="41" xfId="0" applyFont="1" applyFill="1" applyBorder="1" applyAlignment="1" applyProtection="1">
      <alignment horizontal="center" vertical="center"/>
    </xf>
    <xf numFmtId="0" fontId="8" fillId="13" borderId="26" xfId="0" applyFont="1" applyFill="1" applyBorder="1" applyAlignment="1" applyProtection="1">
      <alignment horizontal="center" vertical="center"/>
    </xf>
    <xf numFmtId="0" fontId="17" fillId="2" borderId="4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9" fillId="0" borderId="25" xfId="0" applyFont="1" applyBorder="1" applyAlignment="1" applyProtection="1">
      <alignment horizontal="center" vertical="center" wrapText="1"/>
    </xf>
    <xf numFmtId="4" fontId="8" fillId="0" borderId="30" xfId="0" applyNumberFormat="1" applyFont="1" applyBorder="1" applyAlignment="1" applyProtection="1">
      <alignment horizontal="center" vertical="center" wrapText="1"/>
    </xf>
    <xf numFmtId="4" fontId="9" fillId="0" borderId="6" xfId="0" applyNumberFormat="1" applyFont="1" applyBorder="1" applyAlignment="1" applyProtection="1">
      <alignment horizontal="center" vertical="center" wrapText="1"/>
    </xf>
    <xf numFmtId="4" fontId="19" fillId="12" borderId="31" xfId="0" applyNumberFormat="1" applyFont="1" applyFill="1" applyBorder="1" applyAlignment="1" applyProtection="1">
      <alignment horizontal="right" vertical="center" indent="1"/>
    </xf>
    <xf numFmtId="0" fontId="9" fillId="2" borderId="2" xfId="0" applyFont="1" applyFill="1" applyBorder="1" applyAlignment="1" applyProtection="1">
      <alignment horizontal="center" vertical="center"/>
    </xf>
    <xf numFmtId="0" fontId="9" fillId="0" borderId="2" xfId="0" applyFont="1" applyFill="1" applyBorder="1" applyAlignment="1" applyProtection="1">
      <alignment horizontal="center" vertical="center"/>
    </xf>
    <xf numFmtId="169" fontId="9" fillId="0" borderId="5" xfId="0" applyNumberFormat="1" applyFont="1" applyFill="1" applyBorder="1" applyAlignment="1" applyProtection="1">
      <alignment horizontal="center" vertical="center"/>
    </xf>
    <xf numFmtId="167" fontId="9" fillId="0" borderId="2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 vertical="center"/>
    </xf>
    <xf numFmtId="43" fontId="9" fillId="0" borderId="0" xfId="2" applyNumberFormat="1" applyFont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right" vertical="center" indent="1"/>
    </xf>
    <xf numFmtId="0" fontId="9" fillId="0" borderId="20" xfId="0" applyFont="1" applyBorder="1" applyAlignment="1" applyProtection="1">
      <alignment horizontal="right" vertical="center" indent="1"/>
    </xf>
    <xf numFmtId="0" fontId="9" fillId="0" borderId="0" xfId="0" applyFont="1" applyFill="1" applyBorder="1" applyAlignment="1" applyProtection="1">
      <alignment horizontal="center" vertical="center"/>
    </xf>
    <xf numFmtId="0" fontId="9" fillId="0" borderId="0" xfId="0" applyFont="1" applyFill="1" applyBorder="1" applyAlignment="1" applyProtection="1">
      <alignment horizontal="center" vertical="center"/>
      <protection locked="0"/>
    </xf>
    <xf numFmtId="0" fontId="9" fillId="2" borderId="43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center" vertical="top"/>
    </xf>
    <xf numFmtId="0" fontId="9" fillId="2" borderId="2" xfId="0" applyFont="1" applyFill="1" applyBorder="1" applyAlignment="1" applyProtection="1">
      <alignment horizontal="center" vertical="top" wrapText="1"/>
    </xf>
    <xf numFmtId="0" fontId="9" fillId="2" borderId="5" xfId="0" applyFont="1" applyFill="1" applyBorder="1" applyAlignment="1" applyProtection="1">
      <alignment horizontal="center" vertical="top" wrapText="1"/>
    </xf>
    <xf numFmtId="0" fontId="9" fillId="2" borderId="7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horizontal="center" vertical="top"/>
    </xf>
    <xf numFmtId="0" fontId="0" fillId="0" borderId="0" xfId="0" applyAlignment="1">
      <alignment vertical="center"/>
    </xf>
    <xf numFmtId="0" fontId="8" fillId="0" borderId="25" xfId="0" applyFont="1" applyBorder="1" applyAlignment="1">
      <alignment vertical="center"/>
    </xf>
    <xf numFmtId="0" fontId="0" fillId="0" borderId="18" xfId="0" applyBorder="1" applyAlignment="1">
      <alignment vertical="center"/>
    </xf>
    <xf numFmtId="0" fontId="8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8" fillId="0" borderId="0" xfId="0" applyFont="1"/>
    <xf numFmtId="0" fontId="23" fillId="2" borderId="4" xfId="0" applyFont="1" applyFill="1" applyBorder="1" applyProtection="1">
      <protection locked="0"/>
    </xf>
    <xf numFmtId="2" fontId="23" fillId="0" borderId="2" xfId="0" applyNumberFormat="1" applyFont="1" applyBorder="1" applyAlignment="1" applyProtection="1">
      <alignment horizontal="right" indent="1"/>
      <protection locked="0"/>
    </xf>
    <xf numFmtId="0" fontId="23" fillId="0" borderId="2" xfId="0" applyFont="1" applyBorder="1" applyAlignment="1" applyProtection="1">
      <alignment horizontal="right" indent="1"/>
      <protection locked="0"/>
    </xf>
    <xf numFmtId="0" fontId="13" fillId="3" borderId="38" xfId="0" applyFont="1" applyFill="1" applyBorder="1" applyAlignment="1" applyProtection="1">
      <alignment horizontal="center" vertical="center"/>
      <protection locked="0"/>
    </xf>
    <xf numFmtId="14" fontId="8" fillId="0" borderId="38" xfId="0" applyNumberFormat="1" applyFont="1" applyBorder="1" applyAlignment="1" applyProtection="1">
      <alignment horizontal="center" vertical="center"/>
      <protection locked="0"/>
    </xf>
    <xf numFmtId="0" fontId="9" fillId="2" borderId="0" xfId="0" applyFont="1" applyFill="1" applyBorder="1" applyAlignment="1" applyProtection="1">
      <alignment horizontal="right" vertical="center"/>
    </xf>
    <xf numFmtId="0" fontId="9" fillId="0" borderId="0" xfId="0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horizontal="right" vertical="center" indent="1"/>
    </xf>
    <xf numFmtId="0" fontId="30" fillId="2" borderId="0" xfId="0" applyFont="1" applyFill="1" applyAlignment="1" applyProtection="1">
      <alignment horizontal="center" vertical="center"/>
    </xf>
    <xf numFmtId="0" fontId="30" fillId="7" borderId="12" xfId="0" applyFont="1" applyFill="1" applyBorder="1" applyAlignment="1" applyProtection="1">
      <alignment vertical="center"/>
    </xf>
    <xf numFmtId="0" fontId="30" fillId="7" borderId="0" xfId="0" applyFont="1" applyFill="1" applyBorder="1" applyAlignment="1" applyProtection="1">
      <alignment vertical="center"/>
    </xf>
    <xf numFmtId="0" fontId="30" fillId="0" borderId="0" xfId="0" applyFont="1" applyAlignment="1" applyProtection="1">
      <alignment horizontal="center" vertical="center"/>
    </xf>
    <xf numFmtId="0" fontId="30" fillId="7" borderId="0" xfId="0" applyFont="1" applyFill="1" applyBorder="1" applyAlignment="1" applyProtection="1">
      <alignment horizontal="center" vertical="top"/>
    </xf>
    <xf numFmtId="0" fontId="8" fillId="2" borderId="0" xfId="0" applyFont="1" applyFill="1" applyBorder="1" applyAlignment="1" applyProtection="1">
      <alignment horizontal="center" vertical="center"/>
    </xf>
    <xf numFmtId="4" fontId="9" fillId="0" borderId="37" xfId="0" applyNumberFormat="1" applyFont="1" applyBorder="1" applyAlignment="1" applyProtection="1">
      <alignment horizontal="center" vertical="top" wrapText="1"/>
    </xf>
    <xf numFmtId="4" fontId="9" fillId="0" borderId="33" xfId="0" applyNumberFormat="1" applyFont="1" applyBorder="1" applyAlignment="1" applyProtection="1">
      <alignment horizontal="center" vertical="top" wrapText="1"/>
    </xf>
    <xf numFmtId="4" fontId="9" fillId="0" borderId="49" xfId="0" applyNumberFormat="1" applyFont="1" applyBorder="1" applyAlignment="1" applyProtection="1">
      <alignment horizontal="center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11" borderId="13" xfId="0" applyFont="1" applyFill="1" applyBorder="1" applyAlignment="1" applyProtection="1">
      <alignment horizontal="left" vertical="center"/>
    </xf>
    <xf numFmtId="4" fontId="9" fillId="2" borderId="0" xfId="0" applyNumberFormat="1" applyFont="1" applyFill="1" applyBorder="1" applyAlignment="1" applyProtection="1">
      <alignment horizontal="center" vertical="center"/>
    </xf>
    <xf numFmtId="0" fontId="21" fillId="2" borderId="0" xfId="0" applyFont="1" applyFill="1" applyBorder="1" applyAlignment="1" applyProtection="1">
      <alignment horizontal="center" vertical="center"/>
    </xf>
    <xf numFmtId="0" fontId="9" fillId="0" borderId="4" xfId="0" applyNumberFormat="1" applyFont="1" applyFill="1" applyBorder="1" applyAlignment="1" applyProtection="1">
      <alignment horizontal="left" vertical="center"/>
      <protection locked="0"/>
    </xf>
    <xf numFmtId="0" fontId="9" fillId="0" borderId="5" xfId="0" applyNumberFormat="1" applyFont="1" applyFill="1" applyBorder="1" applyAlignment="1" applyProtection="1">
      <alignment horizontal="left" vertical="center"/>
      <protection locked="0"/>
    </xf>
    <xf numFmtId="0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56" xfId="0" applyFont="1" applyFill="1" applyBorder="1" applyAlignment="1" applyProtection="1">
      <alignment horizontal="left" vertical="center"/>
      <protection locked="0"/>
    </xf>
    <xf numFmtId="0" fontId="9" fillId="0" borderId="56" xfId="0" applyNumberFormat="1" applyFont="1" applyFill="1" applyBorder="1" applyAlignment="1" applyProtection="1">
      <alignment horizontal="left" vertical="center"/>
      <protection locked="0"/>
    </xf>
    <xf numFmtId="0" fontId="12" fillId="2" borderId="5" xfId="0" applyFont="1" applyFill="1" applyBorder="1" applyAlignment="1" applyProtection="1">
      <alignment horizontal="center" vertical="top" textRotation="90"/>
    </xf>
    <xf numFmtId="0" fontId="36" fillId="2" borderId="0" xfId="0" applyFont="1" applyFill="1" applyBorder="1" applyAlignment="1" applyProtection="1">
      <alignment vertical="center"/>
    </xf>
    <xf numFmtId="0" fontId="37" fillId="11" borderId="3" xfId="0" applyFont="1" applyFill="1" applyBorder="1" applyAlignment="1" applyProtection="1">
      <alignment horizontal="left" vertical="center"/>
    </xf>
    <xf numFmtId="0" fontId="36" fillId="2" borderId="0" xfId="0" applyFont="1" applyFill="1" applyBorder="1" applyAlignment="1" applyProtection="1">
      <alignment horizontal="center" vertical="center"/>
    </xf>
    <xf numFmtId="0" fontId="36" fillId="0" borderId="0" xfId="0" applyFont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right" vertical="center" indent="1"/>
    </xf>
    <xf numFmtId="0" fontId="9" fillId="0" borderId="1" xfId="0" applyFont="1" applyFill="1" applyBorder="1" applyAlignment="1" applyProtection="1">
      <alignment horizontal="center" vertical="center"/>
    </xf>
    <xf numFmtId="0" fontId="9" fillId="0" borderId="12" xfId="0" applyFont="1" applyFill="1" applyBorder="1" applyAlignment="1" applyProtection="1">
      <alignment horizontal="center" vertical="center"/>
    </xf>
    <xf numFmtId="0" fontId="9" fillId="0" borderId="15" xfId="0" applyFont="1" applyFill="1" applyBorder="1" applyAlignment="1" applyProtection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</xf>
    <xf numFmtId="0" fontId="9" fillId="0" borderId="11" xfId="0" applyNumberFormat="1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 textRotation="90"/>
    </xf>
    <xf numFmtId="0" fontId="9" fillId="0" borderId="42" xfId="0" applyNumberFormat="1" applyFont="1" applyFill="1" applyBorder="1" applyAlignment="1" applyProtection="1">
      <alignment horizontal="center" vertical="center"/>
    </xf>
    <xf numFmtId="0" fontId="9" fillId="0" borderId="12" xfId="0" applyNumberFormat="1" applyFont="1" applyFill="1" applyBorder="1" applyAlignment="1" applyProtection="1">
      <alignment horizontal="center" vertical="center"/>
    </xf>
    <xf numFmtId="0" fontId="12" fillId="0" borderId="5" xfId="0" applyFont="1" applyFill="1" applyBorder="1" applyAlignment="1" applyProtection="1">
      <alignment horizontal="center" vertical="center" textRotation="90"/>
    </xf>
    <xf numFmtId="168" fontId="9" fillId="0" borderId="56" xfId="0" applyNumberFormat="1" applyFont="1" applyFill="1" applyBorder="1" applyAlignment="1" applyProtection="1">
      <alignment horizontal="right" vertical="center"/>
      <protection locked="0"/>
    </xf>
    <xf numFmtId="167" fontId="21" fillId="2" borderId="77" xfId="0" applyNumberFormat="1" applyFont="1" applyFill="1" applyBorder="1" applyAlignment="1">
      <alignment horizontal="center" vertical="center"/>
    </xf>
    <xf numFmtId="1" fontId="34" fillId="2" borderId="56" xfId="0" applyNumberFormat="1" applyFont="1" applyFill="1" applyBorder="1" applyAlignment="1">
      <alignment horizontal="center" vertical="center"/>
    </xf>
    <xf numFmtId="0" fontId="21" fillId="2" borderId="56" xfId="0" applyNumberFormat="1" applyFont="1" applyFill="1" applyBorder="1" applyAlignment="1">
      <alignment horizontal="center" vertical="center"/>
    </xf>
    <xf numFmtId="0" fontId="21" fillId="2" borderId="56" xfId="0" applyFont="1" applyFill="1" applyBorder="1" applyAlignment="1">
      <alignment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56" xfId="0" applyNumberFormat="1" applyFont="1" applyFill="1" applyBorder="1" applyAlignment="1">
      <alignment horizontal="center" vertical="center" wrapText="1"/>
    </xf>
    <xf numFmtId="166" fontId="21" fillId="2" borderId="56" xfId="0" applyNumberFormat="1" applyFont="1" applyFill="1" applyBorder="1" applyAlignment="1">
      <alignment horizontal="right" vertical="center" wrapText="1"/>
    </xf>
    <xf numFmtId="166" fontId="21" fillId="2" borderId="56" xfId="0" applyNumberFormat="1" applyFont="1" applyFill="1" applyBorder="1" applyAlignment="1">
      <alignment horizontal="right" vertical="center"/>
    </xf>
    <xf numFmtId="0" fontId="21" fillId="2" borderId="56" xfId="0" applyNumberFormat="1" applyFont="1" applyFill="1" applyBorder="1" applyAlignment="1" applyProtection="1">
      <alignment horizontal="center" vertical="center" wrapText="1"/>
    </xf>
    <xf numFmtId="0" fontId="9" fillId="2" borderId="56" xfId="0" applyFont="1" applyFill="1" applyBorder="1" applyAlignment="1" applyProtection="1">
      <alignment horizontal="center" vertical="top" wrapText="1"/>
    </xf>
    <xf numFmtId="4" fontId="9" fillId="9" borderId="56" xfId="0" applyNumberFormat="1" applyFont="1" applyFill="1" applyBorder="1" applyAlignment="1" applyProtection="1">
      <alignment horizontal="center" vertical="top" wrapText="1"/>
    </xf>
    <xf numFmtId="169" fontId="20" fillId="2" borderId="56" xfId="0" applyNumberFormat="1" applyFont="1" applyFill="1" applyBorder="1" applyAlignment="1" applyProtection="1">
      <alignment horizontal="center" vertical="center"/>
    </xf>
    <xf numFmtId="0" fontId="21" fillId="2" borderId="56" xfId="0" applyFont="1" applyFill="1" applyBorder="1" applyAlignment="1" applyProtection="1">
      <alignment horizontal="center" vertical="center" wrapText="1"/>
    </xf>
    <xf numFmtId="168" fontId="0" fillId="5" borderId="18" xfId="0" applyNumberFormat="1" applyFont="1" applyFill="1" applyBorder="1" applyAlignment="1" applyProtection="1">
      <alignment horizontal="right" vertical="center"/>
    </xf>
    <xf numFmtId="168" fontId="9" fillId="5" borderId="56" xfId="0" applyNumberFormat="1" applyFont="1" applyFill="1" applyBorder="1" applyAlignment="1" applyProtection="1">
      <alignment horizontal="right" vertical="center"/>
    </xf>
    <xf numFmtId="168" fontId="9" fillId="5" borderId="18" xfId="0" applyNumberFormat="1" applyFont="1" applyFill="1" applyBorder="1" applyAlignment="1" applyProtection="1">
      <alignment horizontal="right" vertical="center"/>
    </xf>
    <xf numFmtId="168" fontId="9" fillId="6" borderId="18" xfId="0" applyNumberFormat="1" applyFont="1" applyFill="1" applyBorder="1" applyAlignment="1" applyProtection="1">
      <alignment horizontal="right" vertical="center"/>
    </xf>
    <xf numFmtId="168" fontId="9" fillId="6" borderId="56" xfId="0" applyNumberFormat="1" applyFont="1" applyFill="1" applyBorder="1" applyAlignment="1" applyProtection="1">
      <alignment horizontal="right" vertical="center"/>
    </xf>
    <xf numFmtId="168" fontId="0" fillId="16" borderId="18" xfId="0" applyNumberFormat="1" applyFont="1" applyFill="1" applyBorder="1" applyAlignment="1" applyProtection="1">
      <alignment horizontal="right" vertical="center"/>
    </xf>
    <xf numFmtId="168" fontId="9" fillId="16" borderId="18" xfId="0" applyNumberFormat="1" applyFont="1" applyFill="1" applyBorder="1" applyAlignment="1" applyProtection="1">
      <alignment horizontal="right" vertical="center"/>
    </xf>
    <xf numFmtId="168" fontId="9" fillId="16" borderId="56" xfId="0" applyNumberFormat="1" applyFont="1" applyFill="1" applyBorder="1" applyAlignment="1" applyProtection="1">
      <alignment horizontal="right" vertical="center"/>
    </xf>
    <xf numFmtId="168" fontId="9" fillId="8" borderId="18" xfId="0" applyNumberFormat="1" applyFont="1" applyFill="1" applyBorder="1" applyAlignment="1" applyProtection="1">
      <alignment horizontal="right" vertical="center"/>
    </xf>
    <xf numFmtId="168" fontId="9" fillId="8" borderId="56" xfId="0" applyNumberFormat="1" applyFont="1" applyFill="1" applyBorder="1" applyAlignment="1" applyProtection="1">
      <alignment horizontal="right" vertical="center"/>
    </xf>
    <xf numFmtId="0" fontId="9" fillId="2" borderId="56" xfId="0" applyFont="1" applyFill="1" applyBorder="1" applyAlignment="1" applyProtection="1">
      <alignment horizontal="center" vertical="top"/>
    </xf>
    <xf numFmtId="4" fontId="21" fillId="2" borderId="56" xfId="0" applyNumberFormat="1" applyFont="1" applyFill="1" applyBorder="1" applyAlignment="1" applyProtection="1">
      <alignment horizontal="center" vertical="center"/>
    </xf>
    <xf numFmtId="0" fontId="38" fillId="17" borderId="56" xfId="0" applyFont="1" applyFill="1" applyBorder="1" applyAlignment="1">
      <alignment horizontal="center"/>
    </xf>
    <xf numFmtId="0" fontId="39" fillId="17" borderId="56" xfId="0" applyFont="1" applyFill="1" applyBorder="1" applyAlignment="1">
      <alignment horizont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7" borderId="56" xfId="0" applyFont="1" applyFill="1" applyBorder="1" applyAlignment="1" applyProtection="1">
      <alignment horizontal="center" vertical="top" wrapText="1"/>
    </xf>
    <xf numFmtId="4" fontId="9" fillId="7" borderId="56" xfId="0" applyNumberFormat="1" applyFont="1" applyFill="1" applyBorder="1" applyAlignment="1" applyProtection="1">
      <alignment horizontal="center" vertical="top" wrapText="1"/>
    </xf>
    <xf numFmtId="2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2" fontId="9" fillId="0" borderId="56" xfId="0" applyNumberFormat="1" applyFont="1" applyFill="1" applyBorder="1" applyAlignment="1" applyProtection="1">
      <alignment horizontal="center" vertical="center" wrapText="1"/>
    </xf>
    <xf numFmtId="43" fontId="21" fillId="2" borderId="56" xfId="0" applyNumberFormat="1" applyFont="1" applyFill="1" applyBorder="1" applyAlignment="1">
      <alignment horizontal="center" vertical="center" wrapText="1"/>
    </xf>
    <xf numFmtId="0" fontId="9" fillId="15" borderId="56" xfId="0" applyFont="1" applyFill="1" applyBorder="1" applyAlignment="1" applyProtection="1">
      <alignment horizontal="center" vertical="top" wrapText="1"/>
    </xf>
    <xf numFmtId="0" fontId="9" fillId="0" borderId="56" xfId="0" applyFont="1" applyFill="1" applyBorder="1" applyAlignment="1" applyProtection="1">
      <alignment horizontal="center" vertical="center"/>
      <protection locked="0"/>
    </xf>
    <xf numFmtId="17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8" fillId="3" borderId="77" xfId="0" applyFont="1" applyFill="1" applyBorder="1" applyAlignment="1" applyProtection="1">
      <alignment horizontal="center" vertical="center"/>
    </xf>
    <xf numFmtId="0" fontId="9" fillId="15" borderId="77" xfId="0" applyFont="1" applyFill="1" applyBorder="1" applyAlignment="1" applyProtection="1">
      <alignment horizontal="center" vertical="top" wrapText="1"/>
    </xf>
    <xf numFmtId="0" fontId="8" fillId="18" borderId="1" xfId="0" applyFont="1" applyFill="1" applyBorder="1" applyAlignment="1" applyProtection="1">
      <alignment horizontal="center" vertical="center"/>
    </xf>
    <xf numFmtId="0" fontId="9" fillId="18" borderId="12" xfId="0" applyFont="1" applyFill="1" applyBorder="1" applyAlignment="1" applyProtection="1">
      <alignment horizontal="left" vertical="center"/>
    </xf>
    <xf numFmtId="0" fontId="9" fillId="18" borderId="12" xfId="0" applyFont="1" applyFill="1" applyBorder="1" applyAlignment="1" applyProtection="1">
      <alignment horizontal="center" vertical="center"/>
    </xf>
    <xf numFmtId="0" fontId="9" fillId="18" borderId="42" xfId="0" applyFont="1" applyFill="1" applyBorder="1" applyAlignment="1" applyProtection="1">
      <alignment horizontal="center" vertical="center"/>
    </xf>
    <xf numFmtId="0" fontId="9" fillId="18" borderId="36" xfId="0" applyFont="1" applyFill="1" applyBorder="1" applyAlignment="1" applyProtection="1">
      <alignment horizontal="center" vertical="center"/>
    </xf>
    <xf numFmtId="0" fontId="9" fillId="18" borderId="54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  <protection locked="0"/>
    </xf>
    <xf numFmtId="0" fontId="9" fillId="2" borderId="83" xfId="0" applyFont="1" applyFill="1" applyBorder="1" applyAlignment="1" applyProtection="1">
      <alignment horizontal="left" vertical="center"/>
    </xf>
    <xf numFmtId="0" fontId="9" fillId="2" borderId="84" xfId="0" applyFont="1" applyFill="1" applyBorder="1" applyAlignment="1" applyProtection="1">
      <alignment horizontal="left" vertical="center"/>
    </xf>
    <xf numFmtId="0" fontId="21" fillId="2" borderId="84" xfId="0" applyFont="1" applyFill="1" applyBorder="1" applyAlignment="1" applyProtection="1">
      <alignment horizontal="center" vertical="top"/>
    </xf>
    <xf numFmtId="0" fontId="9" fillId="2" borderId="84" xfId="0" applyFont="1" applyFill="1" applyBorder="1" applyAlignment="1" applyProtection="1">
      <alignment horizontal="center" vertical="center"/>
    </xf>
    <xf numFmtId="0" fontId="13" fillId="7" borderId="3" xfId="0" applyFont="1" applyFill="1" applyBorder="1" applyAlignment="1" applyProtection="1">
      <alignment horizontal="left" vertical="center"/>
    </xf>
    <xf numFmtId="0" fontId="13" fillId="2" borderId="34" xfId="0" applyFont="1" applyFill="1" applyBorder="1" applyAlignment="1" applyProtection="1">
      <alignment horizontal="center" vertical="center"/>
    </xf>
    <xf numFmtId="0" fontId="9" fillId="0" borderId="11" xfId="0" applyFont="1" applyBorder="1" applyAlignment="1" applyProtection="1">
      <alignment horizontal="right" vertical="center" indent="1"/>
    </xf>
    <xf numFmtId="0" fontId="9" fillId="2" borderId="34" xfId="0" applyFont="1" applyFill="1" applyBorder="1" applyAlignment="1" applyProtection="1">
      <alignment horizontal="center" vertical="center"/>
    </xf>
    <xf numFmtId="0" fontId="9" fillId="18" borderId="0" xfId="0" applyFont="1" applyFill="1" applyBorder="1" applyAlignment="1" applyProtection="1">
      <alignment horizontal="center" vertical="center"/>
    </xf>
    <xf numFmtId="2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18" borderId="11" xfId="0" applyFont="1" applyFill="1" applyBorder="1" applyAlignment="1" applyProtection="1">
      <alignment horizontal="center" vertical="center"/>
    </xf>
    <xf numFmtId="2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top" wrapText="1"/>
    </xf>
    <xf numFmtId="0" fontId="9" fillId="11" borderId="54" xfId="0" applyFont="1" applyFill="1" applyBorder="1" applyAlignment="1" applyProtection="1">
      <alignment horizontal="center" vertical="center"/>
    </xf>
    <xf numFmtId="0" fontId="9" fillId="7" borderId="54" xfId="0" applyFont="1" applyFill="1" applyBorder="1" applyAlignment="1" applyProtection="1">
      <alignment horizontal="center" vertical="center"/>
    </xf>
    <xf numFmtId="0" fontId="9" fillId="14" borderId="54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left" vertical="center"/>
    </xf>
    <xf numFmtId="0" fontId="9" fillId="14" borderId="36" xfId="0" applyFont="1" applyFill="1" applyBorder="1" applyAlignment="1" applyProtection="1">
      <alignment horizontal="left" vertical="center"/>
    </xf>
    <xf numFmtId="0" fontId="9" fillId="11" borderId="12" xfId="0" applyFont="1" applyFill="1" applyBorder="1" applyAlignment="1" applyProtection="1">
      <alignment horizontal="center" vertical="center"/>
    </xf>
    <xf numFmtId="0" fontId="9" fillId="11" borderId="36" xfId="0" applyFont="1" applyFill="1" applyBorder="1" applyAlignment="1" applyProtection="1">
      <alignment horizontal="center" vertical="center"/>
    </xf>
    <xf numFmtId="0" fontId="9" fillId="2" borderId="85" xfId="0" applyFont="1" applyFill="1" applyBorder="1" applyAlignment="1" applyProtection="1">
      <alignment horizontal="center" vertical="top"/>
    </xf>
    <xf numFmtId="168" fontId="0" fillId="5" borderId="19" xfId="0" applyNumberFormat="1" applyFont="1" applyFill="1" applyBorder="1" applyAlignment="1" applyProtection="1">
      <alignment horizontal="right" vertical="center"/>
    </xf>
    <xf numFmtId="168" fontId="9" fillId="5" borderId="7" xfId="0" applyNumberFormat="1" applyFont="1" applyFill="1" applyBorder="1" applyAlignment="1" applyProtection="1">
      <alignment horizontal="right" vertical="center"/>
    </xf>
    <xf numFmtId="0" fontId="9" fillId="14" borderId="42" xfId="0" applyFont="1" applyFill="1" applyBorder="1" applyAlignment="1" applyProtection="1">
      <alignment horizontal="left" vertical="center"/>
    </xf>
    <xf numFmtId="0" fontId="9" fillId="14" borderId="10" xfId="0" applyFont="1" applyFill="1" applyBorder="1" applyAlignment="1" applyProtection="1">
      <alignment horizontal="center" vertical="center"/>
    </xf>
    <xf numFmtId="0" fontId="12" fillId="2" borderId="6" xfId="0" applyFont="1" applyFill="1" applyBorder="1" applyAlignment="1" applyProtection="1">
      <alignment horizontal="center" vertical="top" textRotation="90"/>
    </xf>
    <xf numFmtId="168" fontId="9" fillId="6" borderId="19" xfId="0" applyNumberFormat="1" applyFont="1" applyFill="1" applyBorder="1" applyAlignment="1" applyProtection="1">
      <alignment horizontal="right" vertical="center"/>
    </xf>
    <xf numFmtId="168" fontId="9" fillId="6" borderId="7" xfId="0" applyNumberFormat="1" applyFont="1" applyFill="1" applyBorder="1" applyAlignment="1" applyProtection="1">
      <alignment horizontal="right" vertical="center"/>
    </xf>
    <xf numFmtId="0" fontId="9" fillId="7" borderId="10" xfId="0" applyFont="1" applyFill="1" applyBorder="1" applyAlignment="1" applyProtection="1">
      <alignment horizontal="center" vertical="center"/>
    </xf>
    <xf numFmtId="168" fontId="9" fillId="7" borderId="40" xfId="0" applyNumberFormat="1" applyFont="1" applyFill="1" applyBorder="1" applyAlignment="1" applyProtection="1">
      <alignment horizontal="right" vertical="center"/>
    </xf>
    <xf numFmtId="168" fontId="9" fillId="7" borderId="14" xfId="0" applyNumberFormat="1" applyFont="1" applyFill="1" applyBorder="1" applyAlignment="1" applyProtection="1">
      <alignment horizontal="right" vertical="center"/>
    </xf>
    <xf numFmtId="168" fontId="9" fillId="7" borderId="26" xfId="0" applyNumberFormat="1" applyFont="1" applyFill="1" applyBorder="1" applyAlignment="1" applyProtection="1">
      <alignment horizontal="right" vertical="center"/>
    </xf>
    <xf numFmtId="0" fontId="9" fillId="7" borderId="12" xfId="0" applyFont="1" applyFill="1" applyBorder="1" applyAlignment="1" applyProtection="1">
      <alignment horizontal="center" vertical="center"/>
    </xf>
    <xf numFmtId="0" fontId="9" fillId="7" borderId="42" xfId="0" applyFont="1" applyFill="1" applyBorder="1" applyAlignment="1" applyProtection="1">
      <alignment horizontal="center" vertical="center"/>
    </xf>
    <xf numFmtId="0" fontId="9" fillId="7" borderId="36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center" vertical="center"/>
    </xf>
    <xf numFmtId="2" fontId="9" fillId="19" borderId="4" xfId="0" applyNumberFormat="1" applyFont="1" applyFill="1" applyBorder="1" applyAlignment="1" applyProtection="1">
      <alignment horizontal="center" vertical="center" wrapText="1"/>
    </xf>
    <xf numFmtId="0" fontId="9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/>
    </xf>
    <xf numFmtId="0" fontId="8" fillId="11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left" vertical="center"/>
    </xf>
    <xf numFmtId="0" fontId="8" fillId="14" borderId="1" xfId="0" applyFont="1" applyFill="1" applyBorder="1" applyAlignment="1" applyProtection="1">
      <alignment horizontal="left" vertical="center"/>
    </xf>
    <xf numFmtId="0" fontId="8" fillId="11" borderId="1" xfId="0" applyFont="1" applyFill="1" applyBorder="1" applyAlignment="1" applyProtection="1">
      <alignment horizontal="center" vertical="center"/>
    </xf>
    <xf numFmtId="0" fontId="8" fillId="7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center" vertical="center"/>
    </xf>
    <xf numFmtId="49" fontId="9" fillId="0" borderId="2" xfId="0" applyNumberFormat="1" applyFont="1" applyFill="1" applyBorder="1" applyAlignment="1" applyProtection="1">
      <alignment horizontal="center" vertical="center"/>
    </xf>
    <xf numFmtId="168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56" xfId="0" applyNumberFormat="1" applyFont="1" applyFill="1" applyBorder="1" applyAlignment="1" applyProtection="1">
      <alignment horizontal="right" vertical="center"/>
      <protection locked="0"/>
    </xf>
    <xf numFmtId="0" fontId="8" fillId="10" borderId="56" xfId="0" applyFont="1" applyFill="1" applyBorder="1" applyAlignment="1">
      <alignment horizontal="left" indent="1"/>
    </xf>
    <xf numFmtId="0" fontId="0" fillId="2" borderId="7" xfId="0" applyFill="1" applyBorder="1" applyAlignment="1">
      <alignment horizontal="center"/>
    </xf>
    <xf numFmtId="0" fontId="9" fillId="0" borderId="0" xfId="0" applyFont="1" applyFill="1" applyAlignment="1" applyProtection="1">
      <alignment horizontal="center" vertical="center"/>
      <protection locked="0"/>
    </xf>
    <xf numFmtId="0" fontId="9" fillId="20" borderId="0" xfId="0" applyFont="1" applyFill="1" applyAlignment="1" applyProtection="1">
      <alignment horizontal="center" vertical="center"/>
      <protection locked="0"/>
    </xf>
    <xf numFmtId="168" fontId="9" fillId="0" borderId="56" xfId="0" applyNumberFormat="1" applyFont="1" applyFill="1" applyBorder="1" applyAlignment="1" applyProtection="1">
      <alignment horizontal="right" vertical="center"/>
    </xf>
    <xf numFmtId="2" fontId="9" fillId="0" borderId="56" xfId="0" applyNumberFormat="1" applyFont="1" applyFill="1" applyBorder="1" applyAlignment="1" applyProtection="1">
      <alignment horizontal="right" vertical="center"/>
    </xf>
    <xf numFmtId="0" fontId="9" fillId="11" borderId="51" xfId="0" applyFont="1" applyFill="1" applyBorder="1" applyAlignment="1" applyProtection="1">
      <alignment horizontal="center" vertical="center"/>
    </xf>
    <xf numFmtId="0" fontId="9" fillId="11" borderId="24" xfId="0" applyFont="1" applyFill="1" applyBorder="1" applyAlignment="1" applyProtection="1">
      <alignment horizontal="center" vertical="center"/>
    </xf>
    <xf numFmtId="2" fontId="9" fillId="0" borderId="4" xfId="0" applyNumberFormat="1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top" wrapText="1"/>
    </xf>
    <xf numFmtId="4" fontId="9" fillId="0" borderId="56" xfId="0" applyNumberFormat="1" applyFont="1" applyFill="1" applyBorder="1" applyAlignment="1" applyProtection="1">
      <alignment horizontal="right" vertical="center"/>
    </xf>
    <xf numFmtId="0" fontId="9" fillId="0" borderId="56" xfId="0" applyFont="1" applyFill="1" applyBorder="1" applyAlignment="1" applyProtection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</xf>
    <xf numFmtId="4" fontId="9" fillId="0" borderId="14" xfId="0" applyNumberFormat="1" applyFont="1" applyFill="1" applyBorder="1" applyAlignment="1" applyProtection="1">
      <alignment horizontal="right" vertical="center"/>
    </xf>
    <xf numFmtId="0" fontId="9" fillId="21" borderId="14" xfId="0" applyFont="1" applyFill="1" applyBorder="1" applyAlignment="1" applyProtection="1">
      <alignment horizontal="center" vertical="top" wrapText="1"/>
    </xf>
    <xf numFmtId="0" fontId="9" fillId="11" borderId="5" xfId="0" applyFont="1" applyFill="1" applyBorder="1" applyAlignment="1" applyProtection="1">
      <alignment horizontal="center" vertical="top" wrapText="1"/>
    </xf>
    <xf numFmtId="168" fontId="8" fillId="11" borderId="16" xfId="0" applyNumberFormat="1" applyFont="1" applyFill="1" applyBorder="1" applyAlignment="1" applyProtection="1">
      <alignment horizontal="right" vertical="center"/>
    </xf>
    <xf numFmtId="168" fontId="8" fillId="11" borderId="5" xfId="0" applyNumberFormat="1" applyFont="1" applyFill="1" applyBorder="1" applyAlignment="1" applyProtection="1">
      <alignment horizontal="right" vertical="center"/>
    </xf>
    <xf numFmtId="168" fontId="9" fillId="16" borderId="17" xfId="0" applyNumberFormat="1" applyFont="1" applyFill="1" applyBorder="1" applyAlignment="1" applyProtection="1">
      <alignment horizontal="right" vertical="center"/>
    </xf>
    <xf numFmtId="168" fontId="9" fillId="16" borderId="4" xfId="0" applyNumberFormat="1" applyFont="1" applyFill="1" applyBorder="1" applyAlignment="1" applyProtection="1">
      <alignment horizontal="right" vertical="center"/>
    </xf>
    <xf numFmtId="4" fontId="9" fillId="2" borderId="49" xfId="0" applyNumberFormat="1" applyFont="1" applyFill="1" applyBorder="1" applyAlignment="1" applyProtection="1">
      <alignment horizontal="center" vertical="top" wrapText="1"/>
    </xf>
    <xf numFmtId="0" fontId="12" fillId="2" borderId="5" xfId="0" applyFont="1" applyFill="1" applyBorder="1" applyAlignment="1" applyProtection="1">
      <alignment horizontal="center" vertical="center" textRotation="90" wrapText="1"/>
    </xf>
    <xf numFmtId="0" fontId="12" fillId="0" borderId="5" xfId="0" applyFont="1" applyFill="1" applyBorder="1" applyAlignment="1" applyProtection="1">
      <alignment horizontal="center" vertical="center" textRotation="90" wrapText="1"/>
    </xf>
    <xf numFmtId="168" fontId="9" fillId="8" borderId="17" xfId="0" applyNumberFormat="1" applyFont="1" applyFill="1" applyBorder="1" applyAlignment="1" applyProtection="1">
      <alignment horizontal="right" vertical="center"/>
    </xf>
    <xf numFmtId="168" fontId="9" fillId="8" borderId="4" xfId="0" applyNumberFormat="1" applyFont="1" applyFill="1" applyBorder="1" applyAlignment="1" applyProtection="1">
      <alignment horizontal="right" vertical="center"/>
    </xf>
    <xf numFmtId="168" fontId="9" fillId="7" borderId="16" xfId="0" applyNumberFormat="1" applyFont="1" applyFill="1" applyBorder="1" applyAlignment="1" applyProtection="1">
      <alignment horizontal="right" vertical="center"/>
    </xf>
    <xf numFmtId="168" fontId="9" fillId="7" borderId="5" xfId="0" applyNumberFormat="1" applyFont="1" applyFill="1" applyBorder="1" applyAlignment="1" applyProtection="1">
      <alignment horizontal="right" vertical="center"/>
    </xf>
    <xf numFmtId="0" fontId="9" fillId="11" borderId="56" xfId="0" applyFont="1" applyFill="1" applyBorder="1" applyAlignment="1" applyProtection="1">
      <alignment horizontal="center" vertical="top" wrapText="1"/>
    </xf>
    <xf numFmtId="168" fontId="8" fillId="11" borderId="18" xfId="0" applyNumberFormat="1" applyFont="1" applyFill="1" applyBorder="1" applyAlignment="1" applyProtection="1">
      <alignment horizontal="right" vertical="center"/>
    </xf>
    <xf numFmtId="168" fontId="8" fillId="11" borderId="56" xfId="0" applyNumberFormat="1" applyFont="1" applyFill="1" applyBorder="1" applyAlignment="1" applyProtection="1">
      <alignment horizontal="right" vertical="center"/>
    </xf>
    <xf numFmtId="0" fontId="9" fillId="0" borderId="26" xfId="0" applyFont="1" applyBorder="1" applyAlignment="1" applyProtection="1">
      <alignment horizontal="center" vertical="center" wrapText="1"/>
    </xf>
    <xf numFmtId="0" fontId="9" fillId="23" borderId="1" xfId="0" applyFont="1" applyFill="1" applyBorder="1" applyAlignment="1">
      <alignment vertical="top"/>
    </xf>
    <xf numFmtId="0" fontId="9" fillId="23" borderId="51" xfId="0" applyFont="1" applyFill="1" applyBorder="1" applyAlignment="1">
      <alignment vertical="top"/>
    </xf>
    <xf numFmtId="0" fontId="9" fillId="23" borderId="52" xfId="0" applyFont="1" applyFill="1" applyBorder="1" applyAlignment="1">
      <alignment vertical="top"/>
    </xf>
    <xf numFmtId="0" fontId="9" fillId="12" borderId="12" xfId="0" applyFont="1" applyFill="1" applyBorder="1" applyAlignment="1">
      <alignment vertical="top"/>
    </xf>
    <xf numFmtId="0" fontId="9" fillId="12" borderId="51" xfId="0" applyFont="1" applyFill="1" applyBorder="1" applyAlignment="1">
      <alignment vertical="top"/>
    </xf>
    <xf numFmtId="0" fontId="9" fillId="12" borderId="48" xfId="0" applyFont="1" applyFill="1" applyBorder="1" applyAlignment="1">
      <alignment vertical="top"/>
    </xf>
    <xf numFmtId="0" fontId="9" fillId="12" borderId="42" xfId="0" applyFont="1" applyFill="1" applyBorder="1" applyAlignment="1">
      <alignment vertical="top"/>
    </xf>
    <xf numFmtId="0" fontId="9" fillId="23" borderId="78" xfId="0" applyFont="1" applyFill="1" applyBorder="1" applyAlignment="1">
      <alignment horizontal="left" vertical="top"/>
    </xf>
    <xf numFmtId="0" fontId="9" fillId="2" borderId="49" xfId="0" applyFont="1" applyFill="1" applyBorder="1" applyAlignment="1">
      <alignment vertical="top"/>
    </xf>
    <xf numFmtId="0" fontId="40" fillId="2" borderId="80" xfId="0" applyFont="1" applyFill="1" applyBorder="1" applyAlignment="1">
      <alignment horizontal="center" vertical="center"/>
    </xf>
    <xf numFmtId="0" fontId="9" fillId="2" borderId="56" xfId="0" applyFont="1" applyFill="1" applyBorder="1" applyAlignment="1" applyProtection="1">
      <alignment horizontal="center" vertical="center"/>
    </xf>
    <xf numFmtId="166" fontId="28" fillId="23" borderId="10" xfId="0" applyNumberFormat="1" applyFont="1" applyFill="1" applyBorder="1" applyAlignment="1">
      <alignment horizontal="center" vertical="center"/>
    </xf>
    <xf numFmtId="0" fontId="9" fillId="12" borderId="21" xfId="0" applyFont="1" applyFill="1" applyBorder="1" applyAlignment="1">
      <alignment vertical="top"/>
    </xf>
    <xf numFmtId="0" fontId="9" fillId="12" borderId="88" xfId="0" applyFont="1" applyFill="1" applyBorder="1" applyAlignment="1">
      <alignment vertical="top"/>
    </xf>
    <xf numFmtId="166" fontId="28" fillId="12" borderId="24" xfId="0" applyNumberFormat="1" applyFont="1" applyFill="1" applyBorder="1" applyAlignment="1">
      <alignment horizontal="center" vertical="center"/>
    </xf>
    <xf numFmtId="0" fontId="21" fillId="2" borderId="42" xfId="0" applyFont="1" applyFill="1" applyBorder="1" applyAlignment="1" applyProtection="1">
      <alignment vertical="center"/>
    </xf>
    <xf numFmtId="0" fontId="21" fillId="2" borderId="44" xfId="0" applyFont="1" applyFill="1" applyBorder="1" applyAlignment="1" applyProtection="1">
      <alignment vertical="center"/>
    </xf>
    <xf numFmtId="0" fontId="21" fillId="2" borderId="11" xfId="0" applyFont="1" applyFill="1" applyBorder="1" applyAlignment="1" applyProtection="1">
      <alignment vertical="center"/>
    </xf>
    <xf numFmtId="0" fontId="21" fillId="2" borderId="23" xfId="0" applyFont="1" applyFill="1" applyBorder="1" applyAlignment="1" applyProtection="1">
      <alignment vertical="center"/>
    </xf>
    <xf numFmtId="0" fontId="21" fillId="2" borderId="56" xfId="0" applyNumberFormat="1" applyFont="1" applyFill="1" applyBorder="1" applyAlignment="1">
      <alignment horizontal="left" vertical="center"/>
    </xf>
    <xf numFmtId="0" fontId="9" fillId="0" borderId="56" xfId="0" applyNumberFormat="1" applyFont="1" applyFill="1" applyBorder="1" applyAlignment="1" applyProtection="1">
      <alignment horizontal="center" vertical="center" wrapText="1"/>
    </xf>
    <xf numFmtId="167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0" borderId="12" xfId="0" applyFont="1" applyFill="1" applyBorder="1" applyAlignment="1" applyProtection="1">
      <alignment horizontal="center" vertical="center"/>
    </xf>
    <xf numFmtId="0" fontId="8" fillId="20" borderId="12" xfId="0" applyFont="1" applyFill="1" applyBorder="1" applyAlignment="1" applyProtection="1">
      <alignment horizontal="center" vertical="center"/>
    </xf>
    <xf numFmtId="0" fontId="9" fillId="24" borderId="0" xfId="0" applyFont="1" applyFill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left" vertical="center"/>
    </xf>
    <xf numFmtId="0" fontId="44" fillId="24" borderId="0" xfId="0" applyFont="1" applyFill="1" applyBorder="1" applyAlignment="1" applyProtection="1">
      <alignment horizontal="center" vertical="center"/>
    </xf>
    <xf numFmtId="0" fontId="9" fillId="24" borderId="54" xfId="0" applyFont="1" applyFill="1" applyBorder="1" applyAlignment="1" applyProtection="1">
      <alignment horizontal="center" vertical="center"/>
    </xf>
    <xf numFmtId="0" fontId="8" fillId="20" borderId="87" xfId="0" applyFont="1" applyFill="1" applyBorder="1" applyAlignment="1" applyProtection="1">
      <alignment horizontal="left" vertical="center"/>
    </xf>
    <xf numFmtId="0" fontId="9" fillId="25" borderId="14" xfId="0" applyFont="1" applyFill="1" applyBorder="1" applyAlignment="1" applyProtection="1">
      <alignment horizontal="center" vertical="top" wrapText="1"/>
    </xf>
    <xf numFmtId="1" fontId="9" fillId="2" borderId="0" xfId="0" applyNumberFormat="1" applyFont="1" applyFill="1" applyBorder="1" applyAlignment="1" applyProtection="1">
      <alignment horizontal="center" vertical="center"/>
    </xf>
    <xf numFmtId="1" fontId="9" fillId="0" borderId="0" xfId="0" applyNumberFormat="1" applyFont="1" applyAlignment="1" applyProtection="1">
      <alignment horizontal="center" vertical="center"/>
      <protection locked="0"/>
    </xf>
    <xf numFmtId="0" fontId="9" fillId="20" borderId="42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top" textRotation="90"/>
    </xf>
    <xf numFmtId="0" fontId="9" fillId="2" borderId="5" xfId="0" applyFont="1" applyFill="1" applyBorder="1" applyAlignment="1" applyProtection="1">
      <alignment horizontal="center" vertical="top" textRotation="90"/>
    </xf>
    <xf numFmtId="0" fontId="9" fillId="2" borderId="7" xfId="0" applyFont="1" applyFill="1" applyBorder="1" applyAlignment="1" applyProtection="1">
      <alignment horizontal="center" vertical="top" textRotation="90"/>
    </xf>
    <xf numFmtId="0" fontId="9" fillId="2" borderId="6" xfId="0" applyFont="1" applyFill="1" applyBorder="1" applyAlignment="1" applyProtection="1">
      <alignment horizontal="center" vertical="top" textRotation="90"/>
    </xf>
    <xf numFmtId="0" fontId="9" fillId="2" borderId="51" xfId="0" applyFont="1" applyFill="1" applyBorder="1" applyAlignment="1" applyProtection="1">
      <alignment horizontal="center" vertical="center"/>
    </xf>
    <xf numFmtId="0" fontId="30" fillId="7" borderId="42" xfId="0" applyFont="1" applyFill="1" applyBorder="1" applyAlignment="1" applyProtection="1">
      <alignment vertical="center"/>
    </xf>
    <xf numFmtId="0" fontId="30" fillId="7" borderId="11" xfId="0" applyFont="1" applyFill="1" applyBorder="1" applyAlignment="1" applyProtection="1">
      <alignment vertical="center"/>
    </xf>
    <xf numFmtId="0" fontId="26" fillId="2" borderId="0" xfId="69" applyFill="1" applyBorder="1" applyAlignment="1" applyProtection="1">
      <alignment horizontal="center" vertical="center"/>
    </xf>
    <xf numFmtId="2" fontId="9" fillId="0" borderId="77" xfId="0" applyNumberFormat="1" applyFont="1" applyFill="1" applyBorder="1" applyAlignment="1" applyProtection="1">
      <alignment horizontal="left" vertical="center"/>
      <protection locked="0"/>
    </xf>
    <xf numFmtId="0" fontId="8" fillId="10" borderId="7" xfId="0" applyFont="1" applyFill="1" applyBorder="1" applyAlignment="1">
      <alignment horizontal="left" indent="1"/>
    </xf>
    <xf numFmtId="0" fontId="8" fillId="10" borderId="5" xfId="0" applyFont="1" applyFill="1" applyBorder="1" applyAlignment="1">
      <alignment horizontal="left" indent="1"/>
    </xf>
    <xf numFmtId="0" fontId="9" fillId="2" borderId="4" xfId="0" applyFont="1" applyFill="1" applyBorder="1" applyAlignment="1">
      <alignment horizontal="left" indent="1"/>
    </xf>
    <xf numFmtId="0" fontId="9" fillId="26" borderId="4" xfId="0" applyFont="1" applyFill="1" applyBorder="1" applyAlignment="1">
      <alignment horizontal="center"/>
    </xf>
    <xf numFmtId="0" fontId="9" fillId="17" borderId="4" xfId="0" applyFont="1" applyFill="1" applyBorder="1" applyAlignment="1">
      <alignment horizontal="center"/>
    </xf>
    <xf numFmtId="0" fontId="9" fillId="9" borderId="4" xfId="0" applyFont="1" applyFill="1" applyBorder="1" applyAlignment="1">
      <alignment horizontal="center"/>
    </xf>
    <xf numFmtId="0" fontId="9" fillId="27" borderId="4" xfId="0" applyFont="1" applyFill="1" applyBorder="1" applyAlignment="1">
      <alignment horizontal="center"/>
    </xf>
    <xf numFmtId="0" fontId="9" fillId="24" borderId="4" xfId="0" applyFont="1" applyFill="1" applyBorder="1" applyAlignment="1">
      <alignment horizontal="center"/>
    </xf>
    <xf numFmtId="0" fontId="9" fillId="14" borderId="4" xfId="0" applyFont="1" applyFill="1" applyBorder="1" applyAlignment="1">
      <alignment horizontal="center"/>
    </xf>
    <xf numFmtId="0" fontId="9" fillId="14" borderId="56" xfId="0" applyFont="1" applyFill="1" applyBorder="1" applyAlignment="1">
      <alignment horizontal="center"/>
    </xf>
    <xf numFmtId="0" fontId="9" fillId="17" borderId="56" xfId="0" applyFont="1" applyFill="1" applyBorder="1" applyAlignment="1">
      <alignment horizontal="center"/>
    </xf>
    <xf numFmtId="0" fontId="9" fillId="27" borderId="56" xfId="0" applyFont="1" applyFill="1" applyBorder="1" applyAlignment="1">
      <alignment horizontal="center"/>
    </xf>
    <xf numFmtId="0" fontId="8" fillId="10" borderId="7" xfId="0" applyFont="1" applyFill="1" applyBorder="1" applyAlignment="1">
      <alignment horizontal="center"/>
    </xf>
    <xf numFmtId="168" fontId="0" fillId="0" borderId="0" xfId="0" applyNumberFormat="1" applyFont="1" applyFill="1" applyBorder="1" applyAlignment="1" applyProtection="1">
      <alignment horizontal="center" vertical="center"/>
    </xf>
    <xf numFmtId="168" fontId="28" fillId="0" borderId="0" xfId="0" applyNumberFormat="1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 applyProtection="1">
      <alignment horizontal="center" vertical="center"/>
    </xf>
    <xf numFmtId="0" fontId="8" fillId="24" borderId="0" xfId="0" applyFont="1" applyFill="1" applyBorder="1" applyAlignment="1" applyProtection="1">
      <alignment horizontal="center" vertical="center"/>
    </xf>
    <xf numFmtId="0" fontId="43" fillId="24" borderId="54" xfId="0" applyFont="1" applyFill="1" applyBorder="1" applyAlignment="1" applyProtection="1">
      <alignment vertical="center"/>
    </xf>
    <xf numFmtId="0" fontId="9" fillId="3" borderId="86" xfId="0" applyFont="1" applyFill="1" applyBorder="1" applyAlignment="1" applyProtection="1">
      <alignment horizontal="center" vertical="center"/>
    </xf>
    <xf numFmtId="0" fontId="9" fillId="9" borderId="56" xfId="0" applyFont="1" applyFill="1" applyBorder="1" applyAlignment="1">
      <alignment horizontal="center"/>
    </xf>
    <xf numFmtId="0" fontId="9" fillId="24" borderId="56" xfId="0" applyFont="1" applyFill="1" applyBorder="1" applyAlignment="1">
      <alignment horizontal="center"/>
    </xf>
    <xf numFmtId="0" fontId="9" fillId="26" borderId="56" xfId="0" applyFont="1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9" fillId="2" borderId="11" xfId="0" applyFont="1" applyFill="1" applyBorder="1" applyAlignment="1" applyProtection="1">
      <alignment horizontal="left" vertical="center"/>
    </xf>
    <xf numFmtId="168" fontId="0" fillId="0" borderId="11" xfId="0" applyNumberFormat="1" applyFont="1" applyFill="1" applyBorder="1" applyAlignment="1" applyProtection="1">
      <alignment horizontal="left" vertical="center"/>
    </xf>
    <xf numFmtId="168" fontId="28" fillId="0" borderId="11" xfId="0" applyNumberFormat="1" applyFont="1" applyFill="1" applyBorder="1" applyAlignment="1" applyProtection="1">
      <alignment horizontal="left" vertical="center"/>
    </xf>
    <xf numFmtId="0" fontId="8" fillId="0" borderId="11" xfId="0" applyFont="1" applyFill="1" applyBorder="1" applyAlignment="1" applyProtection="1">
      <alignment horizontal="left" vertical="center"/>
    </xf>
    <xf numFmtId="0" fontId="9" fillId="0" borderId="2" xfId="0" applyFont="1" applyBorder="1" applyAlignment="1" applyProtection="1">
      <alignment horizontal="right" indent="1"/>
      <protection locked="0"/>
    </xf>
    <xf numFmtId="0" fontId="9" fillId="2" borderId="0" xfId="0" applyFont="1" applyFill="1" applyBorder="1" applyAlignment="1" applyProtection="1">
      <alignment horizontal="center" vertical="top" wrapText="1"/>
    </xf>
    <xf numFmtId="0" fontId="9" fillId="2" borderId="0" xfId="0" applyFont="1" applyFill="1" applyAlignment="1" applyProtection="1">
      <alignment horizontal="right" vertical="center"/>
    </xf>
    <xf numFmtId="0" fontId="9" fillId="14" borderId="12" xfId="0" applyFont="1" applyFill="1" applyBorder="1" applyAlignment="1" applyProtection="1">
      <alignment horizontal="right" vertical="center"/>
    </xf>
    <xf numFmtId="0" fontId="9" fillId="14" borderId="54" xfId="0" applyFont="1" applyFill="1" applyBorder="1" applyAlignment="1" applyProtection="1">
      <alignment horizontal="right" vertical="center"/>
    </xf>
    <xf numFmtId="2" fontId="9" fillId="0" borderId="4" xfId="0" applyNumberFormat="1" applyFont="1" applyFill="1" applyBorder="1" applyAlignment="1" applyProtection="1">
      <alignment horizontal="right" vertical="center" wrapText="1"/>
    </xf>
    <xf numFmtId="0" fontId="9" fillId="0" borderId="0" xfId="0" applyFont="1" applyAlignment="1" applyProtection="1">
      <alignment horizontal="right" vertical="center"/>
    </xf>
    <xf numFmtId="0" fontId="21" fillId="28" borderId="56" xfId="0" applyFont="1" applyFill="1" applyBorder="1" applyAlignment="1" applyProtection="1">
      <alignment horizontal="center" vertical="top" wrapText="1"/>
    </xf>
    <xf numFmtId="2" fontId="21" fillId="2" borderId="56" xfId="0" applyNumberFormat="1" applyFont="1" applyFill="1" applyBorder="1" applyAlignment="1" applyProtection="1">
      <alignment horizontal="center" vertical="center" wrapText="1"/>
    </xf>
    <xf numFmtId="4" fontId="8" fillId="2" borderId="4" xfId="0" applyNumberFormat="1" applyFont="1" applyFill="1" applyBorder="1" applyAlignment="1" applyProtection="1">
      <alignment horizontal="center" vertical="top"/>
    </xf>
    <xf numFmtId="4" fontId="8" fillId="2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center" vertical="top"/>
    </xf>
    <xf numFmtId="0" fontId="29" fillId="2" borderId="56" xfId="0" applyFont="1" applyFill="1" applyBorder="1" applyAlignment="1">
      <alignment horizontal="center" vertical="top" wrapText="1"/>
    </xf>
    <xf numFmtId="0" fontId="29" fillId="2" borderId="56" xfId="0" applyFont="1" applyFill="1" applyBorder="1" applyAlignment="1">
      <alignment horizontal="center" vertical="top"/>
    </xf>
    <xf numFmtId="0" fontId="21" fillId="2" borderId="56" xfId="0" applyFont="1" applyFill="1" applyBorder="1" applyAlignment="1">
      <alignment horizontal="center" vertical="center" wrapText="1"/>
    </xf>
    <xf numFmtId="0" fontId="9" fillId="19" borderId="0" xfId="0" applyFont="1" applyFill="1" applyAlignment="1" applyProtection="1">
      <alignment horizontal="center" vertical="top" wrapText="1"/>
    </xf>
    <xf numFmtId="0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9" fillId="19" borderId="56" xfId="0" applyFont="1" applyFill="1" applyBorder="1" applyAlignment="1" applyProtection="1">
      <alignment horizontal="center" vertical="top" wrapText="1"/>
    </xf>
    <xf numFmtId="172" fontId="0" fillId="0" borderId="0" xfId="0" applyNumberFormat="1" applyAlignment="1" applyProtection="1">
      <alignment horizontal="right" indent="1"/>
    </xf>
    <xf numFmtId="0" fontId="0" fillId="0" borderId="0" xfId="0" applyAlignment="1" applyProtection="1">
      <alignment horizontal="center"/>
    </xf>
    <xf numFmtId="0" fontId="28" fillId="0" borderId="0" xfId="0" applyFont="1" applyProtection="1"/>
    <xf numFmtId="0" fontId="0" fillId="0" borderId="0" xfId="0" applyAlignment="1" applyProtection="1">
      <alignment wrapText="1"/>
    </xf>
    <xf numFmtId="0" fontId="9" fillId="0" borderId="0" xfId="0" applyFont="1" applyProtection="1"/>
    <xf numFmtId="0" fontId="8" fillId="0" borderId="0" xfId="0" applyFont="1" applyProtection="1"/>
    <xf numFmtId="0" fontId="9" fillId="0" borderId="24" xfId="0" applyFont="1" applyBorder="1" applyAlignment="1" applyProtection="1">
      <alignment horizontal="center" vertical="center"/>
    </xf>
    <xf numFmtId="0" fontId="31" fillId="0" borderId="57" xfId="0" applyFont="1" applyBorder="1" applyAlignment="1" applyProtection="1">
      <alignment horizontal="center" vertical="center"/>
    </xf>
    <xf numFmtId="0" fontId="31" fillId="0" borderId="58" xfId="0" applyFont="1" applyBorder="1" applyAlignment="1" applyProtection="1">
      <alignment horizontal="left" vertical="center"/>
    </xf>
    <xf numFmtId="0" fontId="31" fillId="0" borderId="59" xfId="0" applyFont="1" applyBorder="1" applyAlignment="1" applyProtection="1">
      <alignment horizontal="left" vertical="center"/>
    </xf>
    <xf numFmtId="0" fontId="31" fillId="0" borderId="60" xfId="0" applyFont="1" applyBorder="1" applyAlignment="1" applyProtection="1">
      <alignment horizontal="left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172" fontId="31" fillId="3" borderId="60" xfId="0" applyNumberFormat="1" applyFont="1" applyFill="1" applyBorder="1" applyAlignment="1" applyProtection="1">
      <alignment horizontal="center" vertical="center" wrapText="1"/>
    </xf>
    <xf numFmtId="0" fontId="0" fillId="33" borderId="61" xfId="0" applyFill="1" applyBorder="1" applyAlignment="1" applyProtection="1">
      <alignment horizontal="center" vertical="center"/>
    </xf>
    <xf numFmtId="0" fontId="0" fillId="33" borderId="62" xfId="0" applyFill="1" applyBorder="1" applyAlignment="1" applyProtection="1">
      <alignment horizontal="center" vertical="center"/>
    </xf>
    <xf numFmtId="0" fontId="31" fillId="3" borderId="95" xfId="0" applyFont="1" applyFill="1" applyBorder="1" applyAlignment="1" applyProtection="1">
      <alignment horizontal="center" vertical="center"/>
    </xf>
    <xf numFmtId="173" fontId="8" fillId="3" borderId="63" xfId="0" applyNumberFormat="1" applyFont="1" applyFill="1" applyBorder="1" applyAlignment="1" applyProtection="1">
      <alignment horizontal="right" vertical="center" indent="1"/>
    </xf>
    <xf numFmtId="0" fontId="0" fillId="33" borderId="64" xfId="0" applyFill="1" applyBorder="1" applyAlignment="1" applyProtection="1">
      <alignment horizontal="center" vertical="center"/>
    </xf>
    <xf numFmtId="0" fontId="0" fillId="33" borderId="65" xfId="0" applyFill="1" applyBorder="1" applyAlignment="1" applyProtection="1">
      <alignment horizontal="center" vertical="center"/>
    </xf>
    <xf numFmtId="0" fontId="9" fillId="33" borderId="66" xfId="0" applyFont="1" applyFill="1" applyBorder="1" applyAlignment="1" applyProtection="1">
      <alignment vertical="center" wrapText="1"/>
    </xf>
    <xf numFmtId="0" fontId="31" fillId="3" borderId="67" xfId="0" applyFont="1" applyFill="1" applyBorder="1" applyAlignment="1" applyProtection="1">
      <alignment horizontal="center" vertical="center"/>
    </xf>
    <xf numFmtId="173" fontId="8" fillId="3" borderId="66" xfId="0" applyNumberFormat="1" applyFont="1" applyFill="1" applyBorder="1" applyAlignment="1" applyProtection="1">
      <alignment horizontal="right" vertical="center" indent="1"/>
    </xf>
    <xf numFmtId="0" fontId="0" fillId="33" borderId="66" xfId="0" applyFill="1" applyBorder="1" applyAlignment="1" applyProtection="1">
      <alignment vertical="center" wrapText="1"/>
    </xf>
    <xf numFmtId="0" fontId="0" fillId="33" borderId="67" xfId="0" applyFill="1" applyBorder="1" applyAlignment="1" applyProtection="1">
      <alignment horizontal="center" vertical="center"/>
    </xf>
    <xf numFmtId="0" fontId="0" fillId="33" borderId="68" xfId="0" applyFill="1" applyBorder="1" applyAlignment="1" applyProtection="1">
      <alignment horizontal="center" vertical="center"/>
    </xf>
    <xf numFmtId="0" fontId="0" fillId="33" borderId="75" xfId="0" applyFill="1" applyBorder="1" applyAlignment="1" applyProtection="1">
      <alignment horizontal="center" vertical="center"/>
    </xf>
    <xf numFmtId="173" fontId="8" fillId="3" borderId="67" xfId="0" applyNumberFormat="1" applyFont="1" applyFill="1" applyBorder="1" applyAlignment="1" applyProtection="1">
      <alignment horizontal="right" vertical="center" indent="1"/>
    </xf>
    <xf numFmtId="0" fontId="0" fillId="33" borderId="50" xfId="0" applyFill="1" applyBorder="1" applyAlignment="1" applyProtection="1">
      <alignment horizontal="center" vertical="center"/>
    </xf>
    <xf numFmtId="0" fontId="9" fillId="33" borderId="55" xfId="0" applyFont="1" applyFill="1" applyBorder="1" applyAlignment="1" applyProtection="1">
      <alignment vertical="center" wrapText="1"/>
    </xf>
    <xf numFmtId="173" fontId="8" fillId="3" borderId="55" xfId="0" applyNumberFormat="1" applyFont="1" applyFill="1" applyBorder="1" applyAlignment="1" applyProtection="1">
      <alignment horizontal="right" vertical="center" indent="1"/>
    </xf>
    <xf numFmtId="0" fontId="0" fillId="33" borderId="70" xfId="0" applyFill="1" applyBorder="1" applyAlignment="1" applyProtection="1">
      <alignment horizontal="center" vertical="center"/>
    </xf>
    <xf numFmtId="0" fontId="9" fillId="33" borderId="50" xfId="0" applyFont="1" applyFill="1" applyBorder="1" applyAlignment="1" applyProtection="1">
      <alignment horizontal="center" vertical="center"/>
    </xf>
    <xf numFmtId="0" fontId="9" fillId="33" borderId="65" xfId="0" applyFont="1" applyFill="1" applyBorder="1" applyAlignment="1" applyProtection="1">
      <alignment horizontal="center" vertical="center"/>
    </xf>
    <xf numFmtId="0" fontId="0" fillId="33" borderId="69" xfId="0" applyFill="1" applyBorder="1" applyAlignment="1" applyProtection="1">
      <alignment horizontal="center" vertical="center"/>
    </xf>
    <xf numFmtId="0" fontId="9" fillId="33" borderId="73" xfId="0" applyFont="1" applyFill="1" applyBorder="1" applyAlignment="1" applyProtection="1">
      <alignment horizontal="center" vertical="center"/>
    </xf>
    <xf numFmtId="0" fontId="9" fillId="33" borderId="93" xfId="0" applyFont="1" applyFill="1" applyBorder="1" applyAlignment="1" applyProtection="1">
      <alignment vertical="center" wrapText="1"/>
    </xf>
    <xf numFmtId="0" fontId="31" fillId="3" borderId="69" xfId="0" applyFont="1" applyFill="1" applyBorder="1" applyAlignment="1" applyProtection="1">
      <alignment horizontal="center" vertical="center"/>
    </xf>
    <xf numFmtId="173" fontId="8" fillId="3" borderId="93" xfId="0" applyNumberFormat="1" applyFont="1" applyFill="1" applyBorder="1" applyAlignment="1" applyProtection="1">
      <alignment horizontal="right" vertical="center" indent="1"/>
    </xf>
    <xf numFmtId="0" fontId="0" fillId="32" borderId="70" xfId="0" applyFill="1" applyBorder="1" applyAlignment="1" applyProtection="1">
      <alignment horizontal="center" vertical="center"/>
    </xf>
    <xf numFmtId="0" fontId="9" fillId="32" borderId="50" xfId="0" applyFont="1" applyFill="1" applyBorder="1" applyAlignment="1" applyProtection="1">
      <alignment horizontal="center" vertical="center"/>
    </xf>
    <xf numFmtId="0" fontId="9" fillId="32" borderId="55" xfId="0" applyFont="1" applyFill="1" applyBorder="1" applyAlignment="1" applyProtection="1">
      <alignment vertical="center" wrapText="1"/>
    </xf>
    <xf numFmtId="0" fontId="0" fillId="32" borderId="68" xfId="0" applyFill="1" applyBorder="1" applyAlignment="1" applyProtection="1">
      <alignment horizontal="center" vertical="center"/>
    </xf>
    <xf numFmtId="0" fontId="9" fillId="32" borderId="65" xfId="0" applyFont="1" applyFill="1" applyBorder="1" applyAlignment="1" applyProtection="1">
      <alignment horizontal="center" vertical="center"/>
    </xf>
    <xf numFmtId="0" fontId="9" fillId="32" borderId="66" xfId="0" applyFont="1" applyFill="1" applyBorder="1" applyAlignment="1" applyProtection="1">
      <alignment vertical="center" wrapText="1"/>
    </xf>
    <xf numFmtId="0" fontId="0" fillId="32" borderId="64" xfId="0" applyFill="1" applyBorder="1" applyAlignment="1" applyProtection="1">
      <alignment horizontal="center" vertical="center"/>
    </xf>
    <xf numFmtId="0" fontId="0" fillId="32" borderId="69" xfId="0" applyFill="1" applyBorder="1" applyAlignment="1" applyProtection="1">
      <alignment horizontal="center" vertical="center"/>
    </xf>
    <xf numFmtId="0" fontId="9" fillId="32" borderId="73" xfId="0" applyFont="1" applyFill="1" applyBorder="1" applyAlignment="1" applyProtection="1">
      <alignment horizontal="center" vertical="center"/>
    </xf>
    <xf numFmtId="0" fontId="9" fillId="32" borderId="93" xfId="0" applyFont="1" applyFill="1" applyBorder="1" applyAlignment="1" applyProtection="1">
      <alignment vertical="center" wrapText="1"/>
    </xf>
    <xf numFmtId="0" fontId="0" fillId="38" borderId="68" xfId="0" applyFill="1" applyBorder="1" applyAlignment="1" applyProtection="1">
      <alignment horizontal="center" vertical="center"/>
    </xf>
    <xf numFmtId="0" fontId="9" fillId="38" borderId="50" xfId="0" applyFont="1" applyFill="1" applyBorder="1" applyAlignment="1" applyProtection="1">
      <alignment horizontal="center" vertical="center"/>
    </xf>
    <xf numFmtId="0" fontId="9" fillId="38" borderId="55" xfId="0" applyFont="1" applyFill="1" applyBorder="1" applyAlignment="1" applyProtection="1">
      <alignment vertical="center" wrapText="1"/>
    </xf>
    <xf numFmtId="0" fontId="0" fillId="38" borderId="64" xfId="0" applyFill="1" applyBorder="1" applyAlignment="1" applyProtection="1">
      <alignment horizontal="center" vertical="center"/>
    </xf>
    <xf numFmtId="0" fontId="9" fillId="38" borderId="65" xfId="0" applyFont="1" applyFill="1" applyBorder="1" applyAlignment="1" applyProtection="1">
      <alignment horizontal="center" vertical="center"/>
    </xf>
    <xf numFmtId="0" fontId="9" fillId="38" borderId="66" xfId="0" applyFont="1" applyFill="1" applyBorder="1" applyAlignment="1" applyProtection="1">
      <alignment vertical="center" wrapText="1"/>
    </xf>
    <xf numFmtId="0" fontId="0" fillId="38" borderId="67" xfId="0" applyFill="1" applyBorder="1" applyAlignment="1" applyProtection="1">
      <alignment horizontal="center" vertical="center"/>
    </xf>
    <xf numFmtId="0" fontId="0" fillId="38" borderId="69" xfId="0" applyFill="1" applyBorder="1" applyAlignment="1" applyProtection="1">
      <alignment horizontal="center" vertical="center"/>
    </xf>
    <xf numFmtId="0" fontId="9" fillId="38" borderId="73" xfId="0" applyFont="1" applyFill="1" applyBorder="1" applyAlignment="1" applyProtection="1">
      <alignment horizontal="center" vertical="center"/>
    </xf>
    <xf numFmtId="0" fontId="0" fillId="4" borderId="70" xfId="0" applyFill="1" applyBorder="1" applyAlignment="1" applyProtection="1">
      <alignment horizontal="center" vertical="center"/>
    </xf>
    <xf numFmtId="0" fontId="9" fillId="4" borderId="94" xfId="0" applyFont="1" applyFill="1" applyBorder="1" applyAlignment="1" applyProtection="1">
      <alignment horizontal="center" vertical="center"/>
    </xf>
    <xf numFmtId="0" fontId="9" fillId="4" borderId="92" xfId="0" applyFont="1" applyFill="1" applyBorder="1" applyAlignment="1" applyProtection="1">
      <alignment vertical="center" wrapText="1"/>
    </xf>
    <xf numFmtId="173" fontId="8" fillId="3" borderId="92" xfId="0" applyNumberFormat="1" applyFont="1" applyFill="1" applyBorder="1" applyAlignment="1" applyProtection="1">
      <alignment horizontal="right" vertical="center" indent="1"/>
    </xf>
    <xf numFmtId="0" fontId="0" fillId="4" borderId="68" xfId="0" applyFill="1" applyBorder="1" applyAlignment="1" applyProtection="1">
      <alignment horizontal="center" vertical="center"/>
    </xf>
    <xf numFmtId="0" fontId="9" fillId="4" borderId="75" xfId="0" applyFont="1" applyFill="1" applyBorder="1" applyAlignment="1" applyProtection="1">
      <alignment horizontal="center" vertical="center"/>
    </xf>
    <xf numFmtId="0" fontId="9" fillId="4" borderId="76" xfId="0" applyFont="1" applyFill="1" applyBorder="1" applyAlignment="1" applyProtection="1">
      <alignment vertical="center" wrapText="1"/>
    </xf>
    <xf numFmtId="173" fontId="8" fillId="3" borderId="76" xfId="0" applyNumberFormat="1" applyFont="1" applyFill="1" applyBorder="1" applyAlignment="1" applyProtection="1">
      <alignment horizontal="right" vertical="center" indent="1"/>
    </xf>
    <xf numFmtId="0" fontId="0" fillId="4" borderId="64" xfId="0" applyFill="1" applyBorder="1" applyAlignment="1" applyProtection="1">
      <alignment horizontal="center" vertical="center"/>
    </xf>
    <xf numFmtId="0" fontId="0" fillId="4" borderId="67" xfId="0" applyFill="1" applyBorder="1" applyAlignment="1" applyProtection="1">
      <alignment horizontal="center" vertical="center"/>
    </xf>
    <xf numFmtId="0" fontId="9" fillId="4" borderId="73" xfId="0" applyFont="1" applyFill="1" applyBorder="1" applyAlignment="1" applyProtection="1">
      <alignment horizontal="center" vertical="center"/>
    </xf>
    <xf numFmtId="0" fontId="0" fillId="35" borderId="64" xfId="0" applyFill="1" applyBorder="1" applyAlignment="1" applyProtection="1">
      <alignment horizontal="center" vertical="center"/>
    </xf>
    <xf numFmtId="0" fontId="9" fillId="35" borderId="94" xfId="0" applyFont="1" applyFill="1" applyBorder="1" applyAlignment="1" applyProtection="1">
      <alignment horizontal="center" vertical="center"/>
    </xf>
    <xf numFmtId="0" fontId="9" fillId="35" borderId="92" xfId="0" applyFont="1" applyFill="1" applyBorder="1" applyAlignment="1" applyProtection="1">
      <alignment vertical="center" wrapText="1"/>
    </xf>
    <xf numFmtId="0" fontId="9" fillId="35" borderId="75" xfId="0" applyFont="1" applyFill="1" applyBorder="1" applyAlignment="1" applyProtection="1">
      <alignment horizontal="center" vertical="center"/>
    </xf>
    <xf numFmtId="0" fontId="9" fillId="35" borderId="76" xfId="0" applyFont="1" applyFill="1" applyBorder="1" applyAlignment="1" applyProtection="1">
      <alignment vertical="center" wrapText="1"/>
    </xf>
    <xf numFmtId="0" fontId="0" fillId="35" borderId="67" xfId="0" applyFill="1" applyBorder="1" applyAlignment="1" applyProtection="1">
      <alignment horizontal="center" vertical="center"/>
    </xf>
    <xf numFmtId="0" fontId="0" fillId="35" borderId="68" xfId="0" applyFill="1" applyBorder="1" applyAlignment="1" applyProtection="1">
      <alignment horizontal="center" vertical="center"/>
    </xf>
    <xf numFmtId="0" fontId="0" fillId="35" borderId="70" xfId="0" applyFill="1" applyBorder="1" applyAlignment="1" applyProtection="1">
      <alignment horizontal="center" vertical="center"/>
    </xf>
    <xf numFmtId="0" fontId="0" fillId="35" borderId="50" xfId="0" applyFill="1" applyBorder="1" applyAlignment="1" applyProtection="1">
      <alignment horizontal="center" vertical="center"/>
    </xf>
    <xf numFmtId="0" fontId="9" fillId="35" borderId="55" xfId="0" applyFont="1" applyFill="1" applyBorder="1" applyAlignment="1" applyProtection="1">
      <alignment vertical="center" wrapText="1"/>
    </xf>
    <xf numFmtId="0" fontId="0" fillId="35" borderId="65" xfId="0" applyFill="1" applyBorder="1" applyAlignment="1" applyProtection="1">
      <alignment horizontal="center" vertical="center"/>
    </xf>
    <xf numFmtId="0" fontId="0" fillId="35" borderId="66" xfId="0" applyFill="1" applyBorder="1" applyAlignment="1" applyProtection="1">
      <alignment vertical="center" wrapText="1"/>
    </xf>
    <xf numFmtId="0" fontId="0" fillId="35" borderId="75" xfId="0" applyFill="1" applyBorder="1" applyAlignment="1" applyProtection="1">
      <alignment horizontal="center" vertical="center"/>
    </xf>
    <xf numFmtId="0" fontId="0" fillId="35" borderId="55" xfId="0" applyFill="1" applyBorder="1" applyAlignment="1" applyProtection="1">
      <alignment vertical="center" wrapText="1"/>
    </xf>
    <xf numFmtId="0" fontId="31" fillId="3" borderId="64" xfId="0" applyFont="1" applyFill="1" applyBorder="1" applyAlignment="1" applyProtection="1">
      <alignment horizontal="center" vertical="center"/>
    </xf>
    <xf numFmtId="0" fontId="0" fillId="35" borderId="69" xfId="0" applyFill="1" applyBorder="1" applyAlignment="1" applyProtection="1">
      <alignment horizontal="center" vertical="center"/>
    </xf>
    <xf numFmtId="0" fontId="0" fillId="35" borderId="71" xfId="0" applyFill="1" applyBorder="1" applyAlignment="1" applyProtection="1">
      <alignment horizontal="center" vertical="center"/>
    </xf>
    <xf numFmtId="173" fontId="8" fillId="3" borderId="72" xfId="0" applyNumberFormat="1" applyFont="1" applyFill="1" applyBorder="1" applyAlignment="1" applyProtection="1">
      <alignment horizontal="right" vertical="center" indent="1"/>
    </xf>
    <xf numFmtId="0" fontId="0" fillId="8" borderId="68" xfId="0" applyFill="1" applyBorder="1" applyAlignment="1" applyProtection="1">
      <alignment horizontal="center" vertical="center"/>
    </xf>
    <xf numFmtId="0" fontId="0" fillId="8" borderId="50" xfId="0" applyFill="1" applyBorder="1" applyAlignment="1" applyProtection="1">
      <alignment horizontal="center" vertical="center"/>
    </xf>
    <xf numFmtId="0" fontId="0" fillId="8" borderId="67" xfId="0" applyFill="1" applyBorder="1" applyAlignment="1" applyProtection="1">
      <alignment horizontal="center" vertical="center"/>
    </xf>
    <xf numFmtId="0" fontId="0" fillId="8" borderId="65" xfId="0" applyFill="1" applyBorder="1" applyAlignment="1" applyProtection="1">
      <alignment horizontal="center" vertical="center"/>
    </xf>
    <xf numFmtId="0" fontId="9" fillId="8" borderId="66" xfId="0" applyFont="1" applyFill="1" applyBorder="1" applyAlignment="1" applyProtection="1">
      <alignment vertical="center" wrapText="1"/>
    </xf>
    <xf numFmtId="0" fontId="9" fillId="8" borderId="65" xfId="0" applyFont="1" applyFill="1" applyBorder="1" applyAlignment="1" applyProtection="1">
      <alignment horizontal="center" vertical="center"/>
    </xf>
    <xf numFmtId="0" fontId="0" fillId="8" borderId="69" xfId="0" applyFill="1" applyBorder="1" applyAlignment="1" applyProtection="1">
      <alignment horizontal="center" vertical="center"/>
    </xf>
    <xf numFmtId="173" fontId="8" fillId="3" borderId="69" xfId="0" applyNumberFormat="1" applyFont="1" applyFill="1" applyBorder="1" applyAlignment="1" applyProtection="1">
      <alignment horizontal="right" vertical="center" indent="1"/>
    </xf>
    <xf numFmtId="0" fontId="0" fillId="10" borderId="70" xfId="0" applyFill="1" applyBorder="1" applyAlignment="1" applyProtection="1">
      <alignment horizontal="center" vertical="center"/>
    </xf>
    <xf numFmtId="0" fontId="0" fillId="10" borderId="62" xfId="0" applyFill="1" applyBorder="1" applyAlignment="1" applyProtection="1">
      <alignment horizontal="center" vertical="center"/>
    </xf>
    <xf numFmtId="0" fontId="0" fillId="10" borderId="68" xfId="0" applyFill="1" applyBorder="1" applyAlignment="1" applyProtection="1">
      <alignment horizontal="center" vertical="center"/>
    </xf>
    <xf numFmtId="0" fontId="0" fillId="10" borderId="65" xfId="0" applyFill="1" applyBorder="1" applyAlignment="1" applyProtection="1">
      <alignment horizontal="center" vertical="center"/>
    </xf>
    <xf numFmtId="0" fontId="0" fillId="10" borderId="66" xfId="0" applyFill="1" applyBorder="1" applyAlignment="1" applyProtection="1">
      <alignment vertical="center" wrapText="1"/>
    </xf>
    <xf numFmtId="0" fontId="0" fillId="10" borderId="64" xfId="0" applyFill="1" applyBorder="1" applyAlignment="1" applyProtection="1">
      <alignment horizontal="center" vertical="center"/>
    </xf>
    <xf numFmtId="0" fontId="9" fillId="10" borderId="65" xfId="0" applyFont="1" applyFill="1" applyBorder="1" applyAlignment="1" applyProtection="1">
      <alignment horizontal="center" vertical="center"/>
    </xf>
    <xf numFmtId="0" fontId="0" fillId="10" borderId="69" xfId="0" applyFill="1" applyBorder="1" applyAlignment="1" applyProtection="1">
      <alignment horizontal="center" vertical="center"/>
    </xf>
    <xf numFmtId="0" fontId="0" fillId="10" borderId="73" xfId="0" applyFill="1" applyBorder="1" applyAlignment="1" applyProtection="1">
      <alignment horizontal="center" vertical="center"/>
    </xf>
    <xf numFmtId="0" fontId="0" fillId="0" borderId="74" xfId="0" applyBorder="1" applyAlignment="1" applyProtection="1">
      <alignment horizontal="center" vertical="center"/>
    </xf>
    <xf numFmtId="0" fontId="0" fillId="0" borderId="71" xfId="0" applyBorder="1" applyAlignment="1" applyProtection="1">
      <alignment horizontal="center" vertical="center"/>
    </xf>
    <xf numFmtId="0" fontId="0" fillId="0" borderId="60" xfId="0" applyBorder="1" applyAlignment="1" applyProtection="1">
      <alignment horizontal="center" vertical="center"/>
    </xf>
    <xf numFmtId="0" fontId="0" fillId="0" borderId="59" xfId="0" applyBorder="1" applyAlignment="1" applyProtection="1">
      <alignment horizontal="center" vertical="center"/>
    </xf>
    <xf numFmtId="166" fontId="20" fillId="2" borderId="77" xfId="0" applyNumberFormat="1" applyFont="1" applyFill="1" applyBorder="1" applyAlignment="1" applyProtection="1">
      <alignment horizontal="center" vertical="center"/>
    </xf>
    <xf numFmtId="4" fontId="21" fillId="2" borderId="56" xfId="0" applyNumberFormat="1" applyFont="1" applyFill="1" applyBorder="1" applyAlignment="1" applyProtection="1">
      <alignment horizontal="right" vertical="center" wrapText="1"/>
    </xf>
    <xf numFmtId="4" fontId="48" fillId="40" borderId="97" xfId="0" applyNumberFormat="1" applyFont="1" applyFill="1" applyBorder="1" applyAlignment="1" applyProtection="1">
      <alignment horizontal="right" vertical="center" indent="1"/>
    </xf>
    <xf numFmtId="171" fontId="48" fillId="40" borderId="56" xfId="70" applyNumberFormat="1" applyFont="1" applyFill="1" applyBorder="1" applyAlignment="1" applyProtection="1">
      <alignment horizontal="center" vertical="center"/>
    </xf>
    <xf numFmtId="0" fontId="8" fillId="18" borderId="12" xfId="0" applyFont="1" applyFill="1" applyBorder="1" applyAlignment="1" applyProtection="1">
      <alignment horizontal="left" vertical="center"/>
    </xf>
    <xf numFmtId="166" fontId="28" fillId="12" borderId="89" xfId="0" applyNumberFormat="1" applyFont="1" applyFill="1" applyBorder="1" applyAlignment="1">
      <alignment horizontal="center" vertical="center"/>
    </xf>
    <xf numFmtId="0" fontId="8" fillId="21" borderId="16" xfId="0" applyFont="1" applyFill="1" applyBorder="1" applyAlignment="1" applyProtection="1">
      <alignment horizontal="center" vertical="center"/>
    </xf>
    <xf numFmtId="0" fontId="9" fillId="21" borderId="12" xfId="0" applyFont="1" applyFill="1" applyBorder="1" applyAlignment="1" applyProtection="1">
      <alignment horizontal="center" vertical="center"/>
    </xf>
    <xf numFmtId="0" fontId="26" fillId="21" borderId="12" xfId="69" applyFill="1" applyBorder="1" applyAlignment="1" applyProtection="1">
      <alignment horizontal="center" vertical="center"/>
    </xf>
    <xf numFmtId="0" fontId="9" fillId="21" borderId="54" xfId="0" applyFont="1" applyFill="1" applyBorder="1" applyAlignment="1" applyProtection="1">
      <alignment horizontal="center" vertical="center"/>
    </xf>
    <xf numFmtId="0" fontId="8" fillId="41" borderId="87" xfId="0" applyFont="1" applyFill="1" applyBorder="1" applyAlignment="1" applyProtection="1">
      <alignment horizontal="center" vertical="center"/>
    </xf>
    <xf numFmtId="0" fontId="9" fillId="41" borderId="12" xfId="0" applyFont="1" applyFill="1" applyBorder="1" applyAlignment="1" applyProtection="1">
      <alignment horizontal="center" vertical="center"/>
    </xf>
    <xf numFmtId="0" fontId="9" fillId="41" borderId="0" xfId="0" applyFont="1" applyFill="1" applyBorder="1" applyAlignment="1" applyProtection="1">
      <alignment horizontal="center" vertical="center"/>
    </xf>
    <xf numFmtId="0" fontId="8" fillId="37" borderId="87" xfId="0" applyFont="1" applyFill="1" applyBorder="1" applyAlignment="1" applyProtection="1">
      <alignment horizontal="center" vertical="center"/>
    </xf>
    <xf numFmtId="0" fontId="9" fillId="37" borderId="12" xfId="0" applyFont="1" applyFill="1" applyBorder="1" applyAlignment="1" applyProtection="1">
      <alignment horizontal="center" vertical="center"/>
    </xf>
    <xf numFmtId="0" fontId="26" fillId="37" borderId="12" xfId="69" applyFill="1" applyBorder="1" applyAlignment="1" applyProtection="1">
      <alignment horizontal="center" vertical="center"/>
    </xf>
    <xf numFmtId="0" fontId="8" fillId="13" borderId="87" xfId="0" applyFont="1" applyFill="1" applyBorder="1" applyAlignment="1" applyProtection="1">
      <alignment horizontal="center" vertical="center"/>
    </xf>
    <xf numFmtId="0" fontId="9" fillId="13" borderId="12" xfId="0" applyFont="1" applyFill="1" applyBorder="1" applyAlignment="1" applyProtection="1">
      <alignment horizontal="center" vertical="center"/>
    </xf>
    <xf numFmtId="0" fontId="26" fillId="13" borderId="12" xfId="69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left" vertical="center"/>
    </xf>
    <xf numFmtId="0" fontId="9" fillId="3" borderId="51" xfId="0" applyFont="1" applyFill="1" applyBorder="1" applyAlignment="1" applyProtection="1">
      <alignment horizontal="center" vertical="center"/>
    </xf>
    <xf numFmtId="1" fontId="49" fillId="3" borderId="48" xfId="0" applyNumberFormat="1" applyFont="1" applyFill="1" applyBorder="1" applyAlignment="1" applyProtection="1">
      <alignment horizontal="left" vertical="center"/>
    </xf>
    <xf numFmtId="0" fontId="21" fillId="19" borderId="48" xfId="0" applyFont="1" applyFill="1" applyBorder="1" applyAlignment="1" applyProtection="1">
      <alignment horizontal="center" vertical="center"/>
    </xf>
    <xf numFmtId="1" fontId="50" fillId="19" borderId="12" xfId="0" applyNumberFormat="1" applyFont="1" applyFill="1" applyBorder="1" applyAlignment="1" applyProtection="1">
      <alignment horizontal="center" vertical="center"/>
    </xf>
    <xf numFmtId="0" fontId="21" fillId="19" borderId="51" xfId="0" applyFont="1" applyFill="1" applyBorder="1" applyAlignment="1" applyProtection="1">
      <alignment horizontal="center" vertical="center"/>
    </xf>
    <xf numFmtId="0" fontId="9" fillId="19" borderId="0" xfId="0" applyFont="1" applyFill="1" applyBorder="1" applyAlignment="1" applyProtection="1">
      <alignment horizontal="center" vertical="center"/>
    </xf>
    <xf numFmtId="1" fontId="9" fillId="19" borderId="0" xfId="0" applyNumberFormat="1" applyFont="1" applyFill="1" applyBorder="1" applyAlignment="1" applyProtection="1">
      <alignment horizontal="center" vertical="center"/>
    </xf>
    <xf numFmtId="0" fontId="44" fillId="19" borderId="0" xfId="0" applyFont="1" applyFill="1" applyBorder="1" applyAlignment="1" applyProtection="1">
      <alignment horizontal="center" vertical="center"/>
    </xf>
    <xf numFmtId="1" fontId="51" fillId="19" borderId="0" xfId="0" applyNumberFormat="1" applyFont="1" applyFill="1" applyBorder="1" applyAlignment="1" applyProtection="1">
      <alignment horizontal="center" vertical="center"/>
    </xf>
    <xf numFmtId="0" fontId="29" fillId="15" borderId="97" xfId="0" applyFont="1" applyFill="1" applyBorder="1" applyAlignment="1">
      <alignment horizontal="center" vertical="top" wrapText="1"/>
    </xf>
    <xf numFmtId="0" fontId="29" fillId="15" borderId="40" xfId="0" applyFont="1" applyFill="1" applyBorder="1" applyAlignment="1">
      <alignment horizontal="center" vertical="top" wrapText="1"/>
    </xf>
    <xf numFmtId="170" fontId="29" fillId="7" borderId="97" xfId="0" applyNumberFormat="1" applyFont="1" applyFill="1" applyBorder="1" applyAlignment="1">
      <alignment horizontal="center" vertical="top" wrapText="1"/>
    </xf>
    <xf numFmtId="0" fontId="29" fillId="7" borderId="40" xfId="0" applyFont="1" applyFill="1" applyBorder="1" applyAlignment="1">
      <alignment horizontal="center" vertical="top" wrapText="1"/>
    </xf>
    <xf numFmtId="0" fontId="29" fillId="0" borderId="14" xfId="0" applyFont="1" applyBorder="1" applyAlignment="1">
      <alignment horizontal="center" vertical="top"/>
    </xf>
    <xf numFmtId="0" fontId="29" fillId="15" borderId="89" xfId="0" applyFont="1" applyFill="1" applyBorder="1" applyAlignment="1">
      <alignment horizontal="center" vertical="top" wrapText="1"/>
    </xf>
    <xf numFmtId="0" fontId="0" fillId="26" borderId="33" xfId="0" applyFill="1" applyBorder="1" applyAlignment="1">
      <alignment horizontal="center" vertical="center"/>
    </xf>
    <xf numFmtId="0" fontId="0" fillId="26" borderId="22" xfId="0" applyFill="1" applyBorder="1" applyAlignment="1">
      <alignment horizontal="center" vertical="center"/>
    </xf>
    <xf numFmtId="0" fontId="29" fillId="7" borderId="89" xfId="0" applyFont="1" applyFill="1" applyBorder="1" applyAlignment="1">
      <alignment horizontal="center" vertical="top" wrapText="1"/>
    </xf>
    <xf numFmtId="0" fontId="8" fillId="21" borderId="87" xfId="0" applyFont="1" applyFill="1" applyBorder="1" applyAlignment="1" applyProtection="1">
      <alignment horizontal="center" vertical="center"/>
    </xf>
    <xf numFmtId="0" fontId="9" fillId="21" borderId="42" xfId="0" applyFont="1" applyFill="1" applyBorder="1" applyAlignment="1" applyProtection="1">
      <alignment horizontal="center" vertical="center"/>
    </xf>
    <xf numFmtId="0" fontId="9" fillId="21" borderId="10" xfId="0" applyFont="1" applyFill="1" applyBorder="1" applyAlignment="1" applyProtection="1">
      <alignment horizontal="center" vertical="center"/>
    </xf>
    <xf numFmtId="0" fontId="0" fillId="26" borderId="27" xfId="0" applyFill="1" applyBorder="1" applyAlignment="1">
      <alignment horizontal="center" vertical="center"/>
    </xf>
    <xf numFmtId="0" fontId="0" fillId="26" borderId="28" xfId="0" applyFill="1" applyBorder="1" applyAlignment="1">
      <alignment horizontal="center" vertical="center"/>
    </xf>
    <xf numFmtId="0" fontId="0" fillId="26" borderId="98" xfId="0" applyFill="1" applyBorder="1" applyAlignment="1">
      <alignment horizontal="center" vertical="center"/>
    </xf>
    <xf numFmtId="0" fontId="8" fillId="18" borderId="1" xfId="0" applyFont="1" applyFill="1" applyBorder="1" applyAlignment="1" applyProtection="1">
      <alignment horizontal="left" vertical="center"/>
    </xf>
    <xf numFmtId="0" fontId="9" fillId="18" borderId="15" xfId="0" applyFont="1" applyFill="1" applyBorder="1" applyAlignment="1" applyProtection="1">
      <alignment horizontal="center" vertical="center"/>
    </xf>
    <xf numFmtId="0" fontId="8" fillId="18" borderId="54" xfId="0" applyFont="1" applyFill="1" applyBorder="1" applyAlignment="1" applyProtection="1">
      <alignment horizontal="center" vertical="center"/>
    </xf>
    <xf numFmtId="0" fontId="9" fillId="18" borderId="10" xfId="0" applyFont="1" applyFill="1" applyBorder="1" applyAlignment="1" applyProtection="1">
      <alignment horizontal="center" vertical="center"/>
    </xf>
    <xf numFmtId="0" fontId="0" fillId="26" borderId="88" xfId="0" applyFill="1" applyBorder="1" applyAlignment="1">
      <alignment horizontal="center" vertical="center"/>
    </xf>
    <xf numFmtId="0" fontId="29" fillId="26" borderId="77" xfId="0" applyFont="1" applyFill="1" applyBorder="1" applyAlignment="1">
      <alignment horizontal="center" vertical="top" wrapText="1"/>
    </xf>
    <xf numFmtId="0" fontId="29" fillId="0" borderId="77" xfId="0" applyFont="1" applyFill="1" applyBorder="1" applyAlignment="1">
      <alignment horizontal="center" vertical="center"/>
    </xf>
    <xf numFmtId="0" fontId="27" fillId="0" borderId="56" xfId="0" applyFont="1" applyFill="1" applyBorder="1"/>
    <xf numFmtId="0" fontId="27" fillId="0" borderId="56" xfId="0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right" vertical="center"/>
    </xf>
    <xf numFmtId="2" fontId="27" fillId="0" borderId="56" xfId="0" applyNumberFormat="1" applyFont="1" applyFill="1" applyBorder="1" applyAlignment="1">
      <alignment horizontal="center" vertical="center"/>
    </xf>
    <xf numFmtId="0" fontId="27" fillId="0" borderId="56" xfId="0" applyNumberFormat="1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center" vertical="center"/>
    </xf>
    <xf numFmtId="170" fontId="27" fillId="0" borderId="56" xfId="0" applyNumberFormat="1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center" vertical="center"/>
    </xf>
    <xf numFmtId="0" fontId="9" fillId="26" borderId="56" xfId="0" applyFont="1" applyFill="1" applyBorder="1" applyAlignment="1" applyProtection="1">
      <alignment horizontal="center" vertical="center"/>
    </xf>
    <xf numFmtId="2" fontId="26" fillId="0" borderId="14" xfId="69" applyNumberFormat="1" applyFill="1" applyBorder="1" applyAlignment="1">
      <alignment horizontal="center" vertical="center"/>
    </xf>
    <xf numFmtId="0" fontId="8" fillId="0" borderId="0" xfId="0" applyFont="1" applyFill="1" applyAlignment="1" applyProtection="1">
      <alignment horizontal="left" vertical="center"/>
    </xf>
    <xf numFmtId="0" fontId="9" fillId="0" borderId="0" xfId="0" applyFont="1" applyFill="1" applyAlignment="1" applyProtection="1">
      <alignment horizontal="left" vertical="center"/>
    </xf>
    <xf numFmtId="170" fontId="29" fillId="7" borderId="0" xfId="0" applyNumberFormat="1" applyFont="1" applyFill="1" applyAlignment="1">
      <alignment horizontal="center" vertical="top" wrapText="1"/>
    </xf>
    <xf numFmtId="0" fontId="0" fillId="0" borderId="97" xfId="0" applyFill="1" applyBorder="1" applyAlignment="1">
      <alignment horizontal="center"/>
    </xf>
    <xf numFmtId="0" fontId="23" fillId="6" borderId="56" xfId="0" applyFont="1" applyFill="1" applyBorder="1" applyAlignment="1" applyProtection="1">
      <alignment horizontal="center" vertical="center"/>
    </xf>
    <xf numFmtId="4" fontId="21" fillId="2" borderId="51" xfId="0" applyNumberFormat="1" applyFont="1" applyFill="1" applyBorder="1" applyAlignment="1" applyProtection="1">
      <alignment horizontal="right" vertical="center"/>
    </xf>
    <xf numFmtId="4" fontId="21" fillId="2" borderId="41" xfId="0" applyNumberFormat="1" applyFont="1" applyFill="1" applyBorder="1" applyAlignment="1" applyProtection="1">
      <alignment horizontal="right" vertical="center"/>
    </xf>
    <xf numFmtId="4" fontId="21" fillId="2" borderId="48" xfId="0" applyNumberFormat="1" applyFont="1" applyFill="1" applyBorder="1" applyAlignment="1" applyProtection="1">
      <alignment horizontal="right" vertical="center"/>
    </xf>
    <xf numFmtId="0" fontId="0" fillId="5" borderId="19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vertical="center"/>
    </xf>
    <xf numFmtId="0" fontId="0" fillId="5" borderId="18" xfId="0" applyNumberFormat="1" applyFill="1" applyBorder="1" applyAlignment="1" applyProtection="1">
      <alignment vertical="center"/>
    </xf>
    <xf numFmtId="0" fontId="0" fillId="16" borderId="18" xfId="0" applyFill="1" applyBorder="1" applyAlignment="1" applyProtection="1">
      <alignment vertical="center"/>
    </xf>
    <xf numFmtId="0" fontId="0" fillId="16" borderId="18" xfId="0" applyNumberFormat="1" applyFill="1" applyBorder="1" applyAlignment="1" applyProtection="1">
      <alignment vertical="center"/>
    </xf>
    <xf numFmtId="0" fontId="8" fillId="11" borderId="18" xfId="0" applyNumberFormat="1" applyFont="1" applyFill="1" applyBorder="1" applyAlignment="1" applyProtection="1">
      <alignment vertical="center"/>
    </xf>
    <xf numFmtId="0" fontId="8" fillId="25" borderId="26" xfId="0" applyNumberFormat="1" applyFont="1" applyFill="1" applyBorder="1" applyAlignment="1" applyProtection="1">
      <alignment vertical="center"/>
    </xf>
    <xf numFmtId="0" fontId="0" fillId="5" borderId="7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vertical="center"/>
    </xf>
    <xf numFmtId="0" fontId="0" fillId="5" borderId="56" xfId="0" applyNumberFormat="1" applyFill="1" applyBorder="1" applyAlignment="1" applyProtection="1">
      <alignment vertical="center"/>
    </xf>
    <xf numFmtId="0" fontId="0" fillId="16" borderId="56" xfId="0" applyFill="1" applyBorder="1" applyAlignment="1" applyProtection="1">
      <alignment vertical="center"/>
    </xf>
    <xf numFmtId="0" fontId="0" fillId="16" borderId="56" xfId="0" applyNumberFormat="1" applyFill="1" applyBorder="1" applyAlignment="1" applyProtection="1">
      <alignment vertical="center"/>
    </xf>
    <xf numFmtId="0" fontId="8" fillId="11" borderId="56" xfId="0" applyNumberFormat="1" applyFont="1" applyFill="1" applyBorder="1" applyAlignment="1" applyProtection="1">
      <alignment vertical="center"/>
    </xf>
    <xf numFmtId="0" fontId="8" fillId="25" borderId="14" xfId="0" applyNumberFormat="1" applyFont="1" applyFill="1" applyBorder="1" applyAlignment="1" applyProtection="1">
      <alignment vertical="center"/>
    </xf>
    <xf numFmtId="0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52" fillId="26" borderId="56" xfId="0" applyFont="1" applyFill="1" applyBorder="1" applyAlignment="1" applyProtection="1">
      <alignment horizontal="center" vertical="center"/>
    </xf>
    <xf numFmtId="0" fontId="53" fillId="26" borderId="56" xfId="0" applyFont="1" applyFill="1" applyBorder="1" applyAlignment="1" applyProtection="1">
      <alignment horizontal="center" vertical="center"/>
    </xf>
    <xf numFmtId="170" fontId="53" fillId="42" borderId="56" xfId="0" applyNumberFormat="1" applyFont="1" applyFill="1" applyBorder="1" applyAlignment="1">
      <alignment horizontal="center" vertical="center"/>
    </xf>
    <xf numFmtId="0" fontId="9" fillId="24" borderId="0" xfId="0" applyFont="1" applyFill="1" applyAlignment="1" applyProtection="1">
      <alignment horizontal="left" vertical="center"/>
    </xf>
    <xf numFmtId="0" fontId="9" fillId="26" borderId="56" xfId="0" applyFont="1" applyFill="1" applyBorder="1" applyAlignment="1" applyProtection="1">
      <alignment horizontal="left" vertical="center"/>
    </xf>
    <xf numFmtId="0" fontId="53" fillId="26" borderId="56" xfId="0" applyFont="1" applyFill="1" applyBorder="1" applyAlignment="1" applyProtection="1">
      <alignment horizontal="left" vertical="center"/>
    </xf>
    <xf numFmtId="0" fontId="9" fillId="18" borderId="0" xfId="0" applyFont="1" applyFill="1" applyBorder="1" applyAlignment="1" applyProtection="1">
      <alignment horizontal="left" vertical="center"/>
    </xf>
    <xf numFmtId="0" fontId="0" fillId="0" borderId="0" xfId="0" applyAlignment="1">
      <alignment horizontal="left"/>
    </xf>
    <xf numFmtId="0" fontId="54" fillId="6" borderId="56" xfId="0" applyFont="1" applyFill="1" applyBorder="1" applyAlignment="1" applyProtection="1">
      <alignment horizontal="center" vertical="center"/>
    </xf>
    <xf numFmtId="0" fontId="0" fillId="26" borderId="3" xfId="0" applyFill="1" applyBorder="1"/>
    <xf numFmtId="0" fontId="0" fillId="26" borderId="8" xfId="0" applyFill="1" applyBorder="1"/>
    <xf numFmtId="0" fontId="28" fillId="26" borderId="13" xfId="0" applyFont="1" applyFill="1" applyBorder="1" applyAlignment="1">
      <alignment vertical="center"/>
    </xf>
    <xf numFmtId="0" fontId="9" fillId="19" borderId="56" xfId="0" applyFont="1" applyFill="1" applyBorder="1" applyAlignment="1" applyProtection="1">
      <alignment horizontal="left" vertical="center"/>
    </xf>
    <xf numFmtId="0" fontId="9" fillId="19" borderId="7" xfId="0" applyFont="1" applyFill="1" applyBorder="1" applyAlignment="1" applyProtection="1">
      <alignment horizontal="center" vertical="center"/>
    </xf>
    <xf numFmtId="0" fontId="9" fillId="34" borderId="56" xfId="0" applyFont="1" applyFill="1" applyBorder="1" applyAlignment="1" applyProtection="1">
      <alignment horizontal="left" vertical="center"/>
      <protection locked="0"/>
    </xf>
    <xf numFmtId="0" fontId="9" fillId="34" borderId="56" xfId="0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14" xfId="0" applyNumberFormat="1" applyFont="1" applyFill="1" applyBorder="1" applyAlignment="1" applyProtection="1">
      <alignment horizontal="center" vertical="center"/>
      <protection locked="0"/>
    </xf>
    <xf numFmtId="170" fontId="9" fillId="34" borderId="56" xfId="0" applyNumberFormat="1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center" vertical="center"/>
      <protection locked="0"/>
    </xf>
    <xf numFmtId="2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14" xfId="0" applyNumberFormat="1" applyFont="1" applyFill="1" applyBorder="1" applyAlignment="1" applyProtection="1">
      <alignment horizontal="center" vertical="center"/>
      <protection locked="0"/>
    </xf>
    <xf numFmtId="1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8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24" borderId="0" xfId="0" applyFont="1" applyFill="1" applyAlignment="1" applyProtection="1">
      <alignment horizontal="left" vertical="center"/>
    </xf>
    <xf numFmtId="0" fontId="8" fillId="0" borderId="0" xfId="0" applyFont="1" applyAlignment="1" applyProtection="1">
      <alignment horizontal="left" vertical="center"/>
    </xf>
    <xf numFmtId="0" fontId="8" fillId="18" borderId="0" xfId="0" applyFont="1" applyFill="1" applyBorder="1" applyAlignment="1" applyProtection="1">
      <alignment horizontal="left" vertical="center"/>
    </xf>
    <xf numFmtId="0" fontId="8" fillId="0" borderId="0" xfId="0" applyFont="1" applyAlignment="1">
      <alignment horizontal="left"/>
    </xf>
    <xf numFmtId="0" fontId="9" fillId="36" borderId="4" xfId="0" applyFont="1" applyFill="1" applyBorder="1" applyAlignment="1">
      <alignment horizontal="center"/>
    </xf>
    <xf numFmtId="0" fontId="9" fillId="12" borderId="4" xfId="0" applyFont="1" applyFill="1" applyBorder="1" applyAlignment="1">
      <alignment horizontal="center"/>
    </xf>
    <xf numFmtId="166" fontId="19" fillId="4" borderId="88" xfId="0" applyNumberFormat="1" applyFont="1" applyFill="1" applyBorder="1" applyAlignment="1" applyProtection="1">
      <alignment horizontal="right" vertical="center"/>
    </xf>
    <xf numFmtId="166" fontId="19" fillId="22" borderId="96" xfId="0" applyNumberFormat="1" applyFont="1" applyFill="1" applyBorder="1" applyAlignment="1" applyProtection="1">
      <alignment horizontal="right" vertical="center"/>
    </xf>
    <xf numFmtId="10" fontId="19" fillId="2" borderId="44" xfId="0" applyNumberFormat="1" applyFont="1" applyFill="1" applyBorder="1" applyAlignment="1" applyProtection="1">
      <alignment horizontal="center" vertical="center"/>
    </xf>
    <xf numFmtId="0" fontId="27" fillId="2" borderId="77" xfId="0" applyFont="1" applyFill="1" applyBorder="1" applyAlignment="1">
      <alignment horizontal="center" vertical="top"/>
    </xf>
    <xf numFmtId="0" fontId="35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 wrapText="1"/>
    </xf>
    <xf numFmtId="0" fontId="27" fillId="0" borderId="56" xfId="0" applyFont="1" applyBorder="1" applyAlignment="1">
      <alignment horizontal="center" vertical="top" wrapText="1"/>
    </xf>
    <xf numFmtId="0" fontId="9" fillId="2" borderId="77" xfId="0" applyFont="1" applyFill="1" applyBorder="1" applyAlignment="1" applyProtection="1">
      <alignment horizontal="center" vertical="top" wrapText="1"/>
    </xf>
    <xf numFmtId="3" fontId="9" fillId="2" borderId="56" xfId="0" applyNumberFormat="1" applyFont="1" applyFill="1" applyBorder="1" applyAlignment="1" applyProtection="1">
      <alignment horizontal="center" vertical="top" wrapText="1"/>
    </xf>
    <xf numFmtId="3" fontId="9" fillId="2" borderId="0" xfId="0" applyNumberFormat="1" applyFont="1" applyFill="1" applyAlignment="1" applyProtection="1">
      <alignment horizontal="right" vertical="center"/>
    </xf>
    <xf numFmtId="3" fontId="9" fillId="7" borderId="3" xfId="0" applyNumberFormat="1" applyFont="1" applyFill="1" applyBorder="1" applyAlignment="1" applyProtection="1">
      <alignment horizontal="right" vertical="center"/>
    </xf>
    <xf numFmtId="3" fontId="9" fillId="2" borderId="0" xfId="0" applyNumberFormat="1" applyFont="1" applyFill="1" applyBorder="1" applyAlignment="1" applyProtection="1">
      <alignment horizontal="right" vertical="center"/>
    </xf>
    <xf numFmtId="3" fontId="21" fillId="2" borderId="56" xfId="0" applyNumberFormat="1" applyFont="1" applyFill="1" applyBorder="1" applyAlignment="1" applyProtection="1">
      <alignment horizontal="right" vertical="center" wrapText="1"/>
    </xf>
    <xf numFmtId="3" fontId="9" fillId="0" borderId="0" xfId="0" applyNumberFormat="1" applyFont="1" applyAlignment="1" applyProtection="1">
      <alignment horizontal="right" vertical="center"/>
    </xf>
    <xf numFmtId="0" fontId="9" fillId="43" borderId="4" xfId="0" applyFont="1" applyFill="1" applyBorder="1" applyAlignment="1">
      <alignment horizontal="center"/>
    </xf>
    <xf numFmtId="0" fontId="9" fillId="18" borderId="4" xfId="0" applyFont="1" applyFill="1" applyBorder="1" applyAlignment="1">
      <alignment horizontal="center"/>
    </xf>
    <xf numFmtId="0" fontId="23" fillId="6" borderId="86" xfId="0" applyFont="1" applyFill="1" applyBorder="1" applyAlignment="1">
      <alignment horizontal="center" vertical="center"/>
    </xf>
    <xf numFmtId="0" fontId="8" fillId="3" borderId="21" xfId="0" applyFont="1" applyFill="1" applyBorder="1" applyAlignment="1" applyProtection="1">
      <alignment horizontal="center" vertical="center"/>
    </xf>
    <xf numFmtId="0" fontId="9" fillId="21" borderId="0" xfId="0" applyFont="1" applyFill="1" applyBorder="1" applyAlignment="1" applyProtection="1">
      <alignment horizontal="center" vertical="center"/>
    </xf>
    <xf numFmtId="0" fontId="8" fillId="3" borderId="88" xfId="0" applyFont="1" applyFill="1" applyBorder="1" applyAlignment="1" applyProtection="1">
      <alignment horizontal="center" vertical="center"/>
    </xf>
    <xf numFmtId="0" fontId="9" fillId="37" borderId="0" xfId="0" applyFont="1" applyFill="1" applyBorder="1" applyAlignment="1" applyProtection="1">
      <alignment horizontal="center" vertical="center"/>
    </xf>
    <xf numFmtId="0" fontId="9" fillId="13" borderId="0" xfId="0" applyFont="1" applyFill="1" applyBorder="1" applyAlignment="1" applyProtection="1">
      <alignment horizontal="center" vertical="center"/>
    </xf>
    <xf numFmtId="0" fontId="9" fillId="20" borderId="0" xfId="0" applyFont="1" applyFill="1" applyBorder="1" applyAlignment="1" applyProtection="1">
      <alignment horizontal="center" vertical="center"/>
    </xf>
    <xf numFmtId="0" fontId="9" fillId="3" borderId="22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left" vertical="center"/>
    </xf>
    <xf numFmtId="0" fontId="9" fillId="3" borderId="20" xfId="0" applyFont="1" applyFill="1" applyBorder="1" applyAlignment="1" applyProtection="1">
      <alignment horizontal="center" vertical="center"/>
    </xf>
    <xf numFmtId="0" fontId="21" fillId="19" borderId="22" xfId="0" applyFont="1" applyFill="1" applyBorder="1" applyAlignment="1" applyProtection="1">
      <alignment horizontal="center" vertical="center"/>
      <protection locked="0"/>
    </xf>
    <xf numFmtId="1" fontId="21" fillId="19" borderId="0" xfId="0" applyNumberFormat="1" applyFont="1" applyFill="1" applyBorder="1" applyAlignment="1" applyProtection="1">
      <alignment horizontal="center" vertical="center"/>
      <protection locked="0"/>
    </xf>
    <xf numFmtId="0" fontId="21" fillId="19" borderId="20" xfId="0" applyFont="1" applyFill="1" applyBorder="1" applyAlignment="1" applyProtection="1">
      <alignment horizontal="center" vertical="center"/>
      <protection locked="0"/>
    </xf>
    <xf numFmtId="0" fontId="9" fillId="20" borderId="11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>
      <alignment horizontal="center" vertical="top" wrapText="1"/>
    </xf>
    <xf numFmtId="0" fontId="27" fillId="0" borderId="18" xfId="0" applyFont="1" applyFill="1" applyBorder="1" applyAlignment="1">
      <alignment horizontal="center" vertical="top" wrapText="1"/>
    </xf>
    <xf numFmtId="0" fontId="9" fillId="26" borderId="18" xfId="0" applyFont="1" applyFill="1" applyBorder="1" applyAlignment="1" applyProtection="1">
      <alignment horizontal="center" vertical="top" wrapText="1"/>
    </xf>
    <xf numFmtId="0" fontId="9" fillId="0" borderId="18" xfId="0" applyFont="1" applyBorder="1" applyAlignment="1" applyProtection="1">
      <alignment horizontal="center" vertical="top" wrapText="1"/>
    </xf>
    <xf numFmtId="0" fontId="8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center" vertical="top" textRotation="90"/>
    </xf>
    <xf numFmtId="0" fontId="9" fillId="15" borderId="18" xfId="0" applyFont="1" applyFill="1" applyBorder="1" applyAlignment="1" applyProtection="1">
      <alignment horizontal="center" vertical="top" wrapText="1"/>
    </xf>
    <xf numFmtId="0" fontId="9" fillId="30" borderId="18" xfId="0" applyFont="1" applyFill="1" applyBorder="1" applyAlignment="1" applyProtection="1">
      <alignment horizontal="center" vertical="top" wrapText="1"/>
    </xf>
    <xf numFmtId="0" fontId="9" fillId="7" borderId="18" xfId="0" applyFont="1" applyFill="1" applyBorder="1" applyAlignment="1" applyProtection="1">
      <alignment horizontal="center" vertical="top" wrapText="1"/>
    </xf>
    <xf numFmtId="170" fontId="9" fillId="7" borderId="18" xfId="0" applyNumberFormat="1" applyFont="1" applyFill="1" applyBorder="1" applyAlignment="1" applyProtection="1">
      <alignment horizontal="center" vertical="top" wrapText="1"/>
    </xf>
    <xf numFmtId="170" fontId="9" fillId="31" borderId="18" xfId="0" applyNumberFormat="1" applyFont="1" applyFill="1" applyBorder="1" applyAlignment="1" applyProtection="1">
      <alignment horizontal="center" vertical="top" wrapText="1"/>
    </xf>
    <xf numFmtId="0" fontId="9" fillId="29" borderId="18" xfId="0" applyFont="1" applyFill="1" applyBorder="1" applyAlignment="1" applyProtection="1">
      <alignment horizontal="center" vertical="top" wrapText="1"/>
    </xf>
    <xf numFmtId="0" fontId="9" fillId="0" borderId="18" xfId="0" applyFont="1" applyFill="1" applyBorder="1" applyAlignment="1" applyProtection="1">
      <alignment horizontal="center" vertical="top" wrapText="1"/>
    </xf>
    <xf numFmtId="0" fontId="9" fillId="20" borderId="18" xfId="0" applyFont="1" applyFill="1" applyBorder="1" applyAlignment="1">
      <alignment horizontal="center" vertical="top" wrapText="1"/>
    </xf>
    <xf numFmtId="0" fontId="9" fillId="39" borderId="18" xfId="0" applyFont="1" applyFill="1" applyBorder="1" applyAlignment="1">
      <alignment horizontal="center" vertical="top" wrapText="1"/>
    </xf>
    <xf numFmtId="0" fontId="9" fillId="20" borderId="18" xfId="0" applyFont="1" applyFill="1" applyBorder="1" applyAlignment="1">
      <alignment horizontal="center" vertical="top" textRotation="90" wrapText="1"/>
    </xf>
    <xf numFmtId="0" fontId="9" fillId="39" borderId="18" xfId="0" applyFont="1" applyFill="1" applyBorder="1" applyAlignment="1">
      <alignment horizontal="left" vertical="top" wrapText="1"/>
    </xf>
    <xf numFmtId="0" fontId="45" fillId="20" borderId="18" xfId="0" applyFont="1" applyFill="1" applyBorder="1" applyAlignment="1">
      <alignment horizontal="left" vertical="top" textRotation="90"/>
    </xf>
    <xf numFmtId="168" fontId="9" fillId="39" borderId="18" xfId="0" applyNumberFormat="1" applyFont="1" applyFill="1" applyBorder="1" applyAlignment="1">
      <alignment horizontal="center" vertical="top" wrapText="1"/>
    </xf>
    <xf numFmtId="168" fontId="9" fillId="20" borderId="18" xfId="0" applyNumberFormat="1" applyFont="1" applyFill="1" applyBorder="1" applyAlignment="1">
      <alignment horizontal="center" vertical="top" wrapText="1"/>
    </xf>
    <xf numFmtId="1" fontId="9" fillId="15" borderId="18" xfId="0" applyNumberFormat="1" applyFont="1" applyFill="1" applyBorder="1" applyAlignment="1" applyProtection="1">
      <alignment horizontal="center" vertical="top" wrapText="1"/>
    </xf>
    <xf numFmtId="0" fontId="9" fillId="15" borderId="18" xfId="0" applyNumberFormat="1" applyFont="1" applyFill="1" applyBorder="1" applyAlignment="1" applyProtection="1">
      <alignment horizontal="center" vertical="top" wrapText="1"/>
    </xf>
    <xf numFmtId="0" fontId="9" fillId="7" borderId="26" xfId="0" applyFont="1" applyFill="1" applyBorder="1" applyAlignment="1" applyProtection="1">
      <alignment horizontal="center" vertical="top" wrapText="1"/>
    </xf>
    <xf numFmtId="0" fontId="29" fillId="34" borderId="77" xfId="0" applyNumberFormat="1" applyFont="1" applyFill="1" applyBorder="1" applyAlignment="1">
      <alignment horizontal="center" vertical="center"/>
    </xf>
    <xf numFmtId="0" fontId="29" fillId="34" borderId="56" xfId="0" applyNumberFormat="1" applyFont="1" applyFill="1" applyBorder="1" applyAlignment="1">
      <alignment horizontal="center" vertical="center"/>
    </xf>
    <xf numFmtId="0" fontId="8" fillId="34" borderId="56" xfId="0" applyFont="1" applyFill="1" applyBorder="1" applyAlignment="1" applyProtection="1">
      <alignment horizontal="center" vertical="center"/>
      <protection locked="0"/>
    </xf>
    <xf numFmtId="167" fontId="0" fillId="34" borderId="56" xfId="0" applyNumberFormat="1" applyFill="1" applyBorder="1" applyAlignment="1">
      <alignment horizontal="center" vertical="center"/>
    </xf>
    <xf numFmtId="0" fontId="8" fillId="34" borderId="56" xfId="0" applyFont="1" applyFill="1" applyBorder="1" applyAlignment="1">
      <alignment horizontal="left" vertical="center"/>
    </xf>
    <xf numFmtId="0" fontId="0" fillId="34" borderId="56" xfId="0" applyFill="1" applyBorder="1" applyAlignment="1">
      <alignment horizontal="left" vertical="center"/>
    </xf>
    <xf numFmtId="0" fontId="9" fillId="34" borderId="56" xfId="0" applyFont="1" applyFill="1" applyBorder="1" applyAlignment="1">
      <alignment horizontal="center" vertical="center"/>
    </xf>
    <xf numFmtId="167" fontId="9" fillId="34" borderId="56" xfId="0" applyNumberFormat="1" applyFont="1" applyFill="1" applyBorder="1" applyAlignment="1" applyProtection="1">
      <alignment horizontal="center" vertical="center"/>
      <protection locked="0"/>
    </xf>
    <xf numFmtId="49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29" fillId="0" borderId="77" xfId="0" applyNumberFormat="1" applyFont="1" applyFill="1" applyBorder="1" applyAlignment="1">
      <alignment horizontal="center" vertical="center"/>
    </xf>
    <xf numFmtId="0" fontId="29" fillId="0" borderId="56" xfId="0" applyNumberFormat="1" applyFont="1" applyFill="1" applyBorder="1" applyAlignment="1">
      <alignment horizontal="center" vertical="center"/>
    </xf>
    <xf numFmtId="0" fontId="8" fillId="0" borderId="56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69" applyNumberFormat="1" applyFont="1" applyFill="1" applyBorder="1" applyAlignment="1" applyProtection="1">
      <alignment horizontal="center" vertical="center"/>
      <protection locked="0"/>
    </xf>
    <xf numFmtId="2" fontId="9" fillId="0" borderId="56" xfId="69" applyNumberFormat="1" applyFont="1" applyFill="1" applyBorder="1" applyAlignment="1" applyProtection="1">
      <alignment horizontal="center" vertical="center"/>
      <protection locked="0"/>
    </xf>
    <xf numFmtId="0" fontId="9" fillId="0" borderId="14" xfId="0" applyFont="1" applyFill="1" applyBorder="1" applyAlignment="1" applyProtection="1">
      <alignment horizontal="center" vertical="center"/>
      <protection locked="0"/>
    </xf>
    <xf numFmtId="0" fontId="27" fillId="0" borderId="26" xfId="0" applyFont="1" applyFill="1" applyBorder="1" applyAlignment="1">
      <alignment horizontal="center" vertical="top" wrapText="1"/>
    </xf>
    <xf numFmtId="0" fontId="29" fillId="34" borderId="14" xfId="0" applyNumberFormat="1" applyFont="1" applyFill="1" applyBorder="1" applyAlignment="1">
      <alignment horizontal="left" vertical="center"/>
    </xf>
    <xf numFmtId="0" fontId="29" fillId="0" borderId="14" xfId="0" applyNumberFormat="1" applyFont="1" applyFill="1" applyBorder="1" applyAlignment="1">
      <alignment horizontal="left" vertical="center"/>
    </xf>
    <xf numFmtId="0" fontId="9" fillId="3" borderId="25" xfId="0" applyFont="1" applyFill="1" applyBorder="1" applyAlignment="1" applyProtection="1">
      <alignment horizontal="center" vertical="top" wrapText="1"/>
    </xf>
    <xf numFmtId="0" fontId="9" fillId="0" borderId="26" xfId="0" applyFont="1" applyBorder="1" applyAlignment="1" applyProtection="1">
      <alignment horizontal="center" vertical="top" textRotation="90"/>
    </xf>
    <xf numFmtId="0" fontId="8" fillId="34" borderId="77" xfId="0" applyFont="1" applyFill="1" applyBorder="1" applyAlignment="1" applyProtection="1">
      <alignment horizontal="center" vertical="center"/>
      <protection locked="0"/>
    </xf>
    <xf numFmtId="0" fontId="0" fillId="34" borderId="14" xfId="0" applyFill="1" applyBorder="1" applyAlignment="1">
      <alignment horizontal="center" vertical="center"/>
    </xf>
    <xf numFmtId="0" fontId="8" fillId="0" borderId="77" xfId="0" applyFont="1" applyFill="1" applyBorder="1" applyAlignment="1" applyProtection="1">
      <alignment horizontal="center" vertical="center"/>
      <protection locked="0"/>
    </xf>
    <xf numFmtId="0" fontId="9" fillId="15" borderId="25" xfId="0" applyFont="1" applyFill="1" applyBorder="1" applyAlignment="1" applyProtection="1">
      <alignment horizontal="center" vertical="top" wrapText="1"/>
    </xf>
    <xf numFmtId="2" fontId="9" fillId="34" borderId="77" xfId="0" applyNumberFormat="1" applyFont="1" applyFill="1" applyBorder="1" applyAlignment="1" applyProtection="1">
      <alignment horizontal="left" vertical="center"/>
      <protection locked="0"/>
    </xf>
    <xf numFmtId="0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9" borderId="25" xfId="0" applyFont="1" applyFill="1" applyBorder="1" applyAlignment="1" applyProtection="1">
      <alignment horizontal="center" vertical="top" wrapText="1"/>
    </xf>
    <xf numFmtId="0" fontId="9" fillId="34" borderId="77" xfId="0" applyFont="1" applyFill="1" applyBorder="1" applyAlignment="1" applyProtection="1">
      <alignment horizontal="center" vertical="center"/>
      <protection locked="0"/>
    </xf>
    <xf numFmtId="0" fontId="9" fillId="0" borderId="77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left" vertical="center"/>
      <protection locked="0"/>
    </xf>
    <xf numFmtId="14" fontId="40" fillId="23" borderId="40" xfId="0" applyNumberFormat="1" applyFont="1" applyFill="1" applyBorder="1" applyAlignment="1">
      <alignment horizontal="center" vertical="center"/>
    </xf>
    <xf numFmtId="22" fontId="9" fillId="21" borderId="12" xfId="0" applyNumberFormat="1" applyFont="1" applyFill="1" applyBorder="1" applyAlignment="1" applyProtection="1">
      <alignment horizontal="center" vertical="center"/>
    </xf>
    <xf numFmtId="173" fontId="8" fillId="19" borderId="66" xfId="0" applyNumberFormat="1" applyFont="1" applyFill="1" applyBorder="1" applyAlignment="1" applyProtection="1">
      <alignment horizontal="right" vertical="center" indent="1"/>
    </xf>
    <xf numFmtId="3" fontId="9" fillId="24" borderId="0" xfId="0" applyNumberFormat="1" applyFont="1" applyFill="1" applyBorder="1" applyAlignment="1" applyProtection="1">
      <alignment horizontal="center" vertical="center"/>
    </xf>
    <xf numFmtId="3" fontId="44" fillId="24" borderId="0" xfId="0" applyNumberFormat="1" applyFont="1" applyFill="1" applyBorder="1" applyAlignment="1" applyProtection="1">
      <alignment horizontal="center" vertical="center"/>
    </xf>
    <xf numFmtId="3" fontId="9" fillId="0" borderId="0" xfId="0" applyNumberFormat="1" applyFont="1" applyFill="1" applyAlignment="1" applyProtection="1">
      <alignment horizontal="center" vertical="center"/>
    </xf>
    <xf numFmtId="3" fontId="9" fillId="26" borderId="56" xfId="0" applyNumberFormat="1" applyFont="1" applyFill="1" applyBorder="1" applyAlignment="1" applyProtection="1">
      <alignment horizontal="center" vertical="center"/>
    </xf>
    <xf numFmtId="3" fontId="53" fillId="26" borderId="56" xfId="0" applyNumberFormat="1" applyFont="1" applyFill="1" applyBorder="1" applyAlignment="1" applyProtection="1">
      <alignment horizontal="center" vertical="center"/>
    </xf>
    <xf numFmtId="3" fontId="9" fillId="2" borderId="0" xfId="0" applyNumberFormat="1" applyFont="1" applyFill="1" applyBorder="1" applyAlignment="1" applyProtection="1">
      <alignment horizontal="center" vertical="center"/>
    </xf>
    <xf numFmtId="3" fontId="9" fillId="21" borderId="12" xfId="0" applyNumberFormat="1" applyFont="1" applyFill="1" applyBorder="1" applyAlignment="1" applyProtection="1">
      <alignment horizontal="center" vertical="center"/>
    </xf>
    <xf numFmtId="3" fontId="9" fillId="21" borderId="0" xfId="0" applyNumberFormat="1" applyFont="1" applyFill="1" applyBorder="1" applyAlignment="1" applyProtection="1">
      <alignment horizontal="center" vertical="center"/>
    </xf>
    <xf numFmtId="3" fontId="9" fillId="31" borderId="18" xfId="0" applyNumberFormat="1" applyFont="1" applyFill="1" applyBorder="1" applyAlignment="1" applyProtection="1">
      <alignment horizontal="center" vertical="top" wrapText="1"/>
    </xf>
    <xf numFmtId="3" fontId="9" fillId="34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33" borderId="63" xfId="0" applyFill="1" applyBorder="1" applyAlignment="1" applyProtection="1">
      <alignment vertical="center"/>
    </xf>
    <xf numFmtId="0" fontId="0" fillId="33" borderId="66" xfId="0" applyFill="1" applyBorder="1" applyAlignment="1" applyProtection="1">
      <alignment vertical="center"/>
    </xf>
    <xf numFmtId="0" fontId="0" fillId="33" borderId="76" xfId="0" applyFill="1" applyBorder="1" applyAlignment="1" applyProtection="1">
      <alignment vertical="center"/>
    </xf>
    <xf numFmtId="0" fontId="0" fillId="33" borderId="55" xfId="0" applyFill="1" applyBorder="1" applyAlignment="1" applyProtection="1">
      <alignment vertical="center"/>
    </xf>
    <xf numFmtId="0" fontId="9" fillId="33" borderId="55" xfId="0" applyFont="1" applyFill="1" applyBorder="1" applyAlignment="1" applyProtection="1">
      <alignment vertical="center"/>
    </xf>
    <xf numFmtId="0" fontId="9" fillId="33" borderId="66" xfId="0" applyFont="1" applyFill="1" applyBorder="1" applyAlignment="1" applyProtection="1">
      <alignment vertical="center"/>
    </xf>
    <xf numFmtId="0" fontId="9" fillId="33" borderId="93" xfId="0" applyFont="1" applyFill="1" applyBorder="1" applyAlignment="1" applyProtection="1">
      <alignment vertical="center"/>
    </xf>
    <xf numFmtId="0" fontId="9" fillId="32" borderId="55" xfId="0" applyFont="1" applyFill="1" applyBorder="1" applyAlignment="1" applyProtection="1">
      <alignment vertical="center"/>
    </xf>
    <xf numFmtId="0" fontId="9" fillId="32" borderId="66" xfId="0" applyFont="1" applyFill="1" applyBorder="1" applyAlignment="1" applyProtection="1">
      <alignment vertical="center"/>
    </xf>
    <xf numFmtId="0" fontId="9" fillId="32" borderId="93" xfId="0" applyFont="1" applyFill="1" applyBorder="1" applyAlignment="1" applyProtection="1">
      <alignment vertical="center"/>
    </xf>
    <xf numFmtId="0" fontId="9" fillId="38" borderId="55" xfId="0" applyFont="1" applyFill="1" applyBorder="1" applyAlignment="1" applyProtection="1">
      <alignment vertical="center"/>
    </xf>
    <xf numFmtId="0" fontId="9" fillId="38" borderId="66" xfId="0" applyFont="1" applyFill="1" applyBorder="1" applyAlignment="1" applyProtection="1">
      <alignment vertical="center"/>
    </xf>
    <xf numFmtId="0" fontId="9" fillId="38" borderId="93" xfId="0" applyFont="1" applyFill="1" applyBorder="1" applyAlignment="1" applyProtection="1">
      <alignment vertical="center"/>
    </xf>
    <xf numFmtId="0" fontId="9" fillId="4" borderId="92" xfId="0" applyFont="1" applyFill="1" applyBorder="1" applyAlignment="1" applyProtection="1">
      <alignment vertical="center"/>
    </xf>
    <xf numFmtId="0" fontId="9" fillId="4" borderId="76" xfId="0" applyFont="1" applyFill="1" applyBorder="1" applyAlignment="1" applyProtection="1">
      <alignment vertical="center"/>
    </xf>
    <xf numFmtId="0" fontId="9" fillId="4" borderId="93" xfId="0" applyFont="1" applyFill="1" applyBorder="1" applyAlignment="1" applyProtection="1">
      <alignment vertical="center"/>
    </xf>
    <xf numFmtId="0" fontId="9" fillId="35" borderId="92" xfId="0" applyFont="1" applyFill="1" applyBorder="1" applyAlignment="1" applyProtection="1">
      <alignment vertical="center"/>
    </xf>
    <xf numFmtId="0" fontId="9" fillId="35" borderId="76" xfId="0" applyFont="1" applyFill="1" applyBorder="1" applyAlignment="1" applyProtection="1">
      <alignment vertical="center"/>
    </xf>
    <xf numFmtId="0" fontId="0" fillId="35" borderId="55" xfId="0" applyFill="1" applyBorder="1" applyAlignment="1" applyProtection="1">
      <alignment vertical="center"/>
    </xf>
    <xf numFmtId="0" fontId="0" fillId="35" borderId="66" xfId="0" applyFill="1" applyBorder="1" applyAlignment="1" applyProtection="1">
      <alignment vertical="center"/>
    </xf>
    <xf numFmtId="0" fontId="0" fillId="35" borderId="76" xfId="0" applyFill="1" applyBorder="1" applyAlignment="1" applyProtection="1">
      <alignment vertical="center"/>
    </xf>
    <xf numFmtId="0" fontId="0" fillId="35" borderId="72" xfId="0" applyFill="1" applyBorder="1" applyAlignment="1" applyProtection="1">
      <alignment vertical="center"/>
    </xf>
    <xf numFmtId="0" fontId="0" fillId="8" borderId="55" xfId="0" applyFill="1" applyBorder="1" applyAlignment="1" applyProtection="1">
      <alignment vertical="center"/>
    </xf>
    <xf numFmtId="0" fontId="0" fillId="8" borderId="66" xfId="0" applyFill="1" applyBorder="1" applyAlignment="1" applyProtection="1">
      <alignment vertical="center"/>
    </xf>
    <xf numFmtId="0" fontId="0" fillId="10" borderId="63" xfId="0" applyFill="1" applyBorder="1" applyAlignment="1" applyProtection="1">
      <alignment vertical="center"/>
    </xf>
    <xf numFmtId="0" fontId="0" fillId="10" borderId="66" xfId="0" applyFill="1" applyBorder="1" applyAlignment="1" applyProtection="1">
      <alignment vertical="center"/>
    </xf>
    <xf numFmtId="0" fontId="0" fillId="10" borderId="93" xfId="0" applyFill="1" applyBorder="1" applyAlignment="1" applyProtection="1">
      <alignment vertical="center"/>
    </xf>
    <xf numFmtId="0" fontId="0" fillId="0" borderId="60" xfId="0" applyBorder="1" applyAlignment="1" applyProtection="1">
      <alignment vertical="center"/>
    </xf>
    <xf numFmtId="0" fontId="0" fillId="33" borderId="76" xfId="0" applyFill="1" applyBorder="1" applyAlignment="1" applyProtection="1">
      <alignment vertical="center" wrapText="1"/>
    </xf>
    <xf numFmtId="0" fontId="9" fillId="33" borderId="76" xfId="0" applyFont="1" applyFill="1" applyBorder="1" applyAlignment="1" applyProtection="1">
      <alignment vertical="center" wrapText="1"/>
    </xf>
    <xf numFmtId="0" fontId="0" fillId="6" borderId="74" xfId="0" applyFill="1" applyBorder="1" applyAlignment="1" applyProtection="1">
      <alignment horizontal="center" vertical="center"/>
    </xf>
    <xf numFmtId="0" fontId="9" fillId="6" borderId="100" xfId="0" applyFont="1" applyFill="1" applyBorder="1" applyAlignment="1" applyProtection="1">
      <alignment horizontal="center" vertical="center"/>
    </xf>
    <xf numFmtId="0" fontId="9" fillId="6" borderId="99" xfId="0" applyFont="1" applyFill="1" applyBorder="1" applyAlignment="1" applyProtection="1">
      <alignment vertical="center"/>
    </xf>
    <xf numFmtId="0" fontId="9" fillId="6" borderId="99" xfId="0" applyFont="1" applyFill="1" applyBorder="1" applyAlignment="1" applyProtection="1">
      <alignment vertical="center" wrapText="1"/>
    </xf>
    <xf numFmtId="0" fontId="9" fillId="6" borderId="73" xfId="0" applyFont="1" applyFill="1" applyBorder="1" applyAlignment="1" applyProtection="1">
      <alignment horizontal="center" vertical="center"/>
    </xf>
    <xf numFmtId="0" fontId="9" fillId="6" borderId="93" xfId="0" applyFont="1" applyFill="1" applyBorder="1" applyAlignment="1" applyProtection="1">
      <alignment vertical="center"/>
    </xf>
    <xf numFmtId="0" fontId="9" fillId="6" borderId="93" xfId="0" applyFont="1" applyFill="1" applyBorder="1" applyAlignment="1" applyProtection="1">
      <alignment vertical="center" wrapText="1"/>
    </xf>
    <xf numFmtId="0" fontId="9" fillId="0" borderId="24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>
      <alignment horizontal="right" vertical="top" wrapText="1"/>
    </xf>
    <xf numFmtId="0" fontId="0" fillId="0" borderId="97" xfId="0" applyFill="1" applyBorder="1" applyAlignment="1">
      <alignment horizontal="left" vertical="top" wrapText="1"/>
    </xf>
    <xf numFmtId="0" fontId="0" fillId="0" borderId="97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center"/>
    </xf>
    <xf numFmtId="0" fontId="0" fillId="0" borderId="56" xfId="0" applyFill="1" applyBorder="1" applyAlignment="1">
      <alignment horizontal="center" vertical="center"/>
    </xf>
    <xf numFmtId="0" fontId="0" fillId="0" borderId="56" xfId="0" applyFill="1" applyBorder="1" applyAlignment="1">
      <alignment horizontal="left" vertical="center"/>
    </xf>
    <xf numFmtId="4" fontId="0" fillId="0" borderId="56" xfId="0" applyNumberFormat="1" applyFill="1" applyBorder="1" applyAlignment="1">
      <alignment horizontal="right" vertical="center"/>
    </xf>
    <xf numFmtId="0" fontId="0" fillId="0" borderId="0" xfId="0" applyAlignment="1" applyProtection="1">
      <alignment horizontal="left" vertical="center"/>
    </xf>
    <xf numFmtId="0" fontId="9" fillId="0" borderId="97" xfId="0" applyFont="1" applyFill="1" applyBorder="1" applyAlignment="1">
      <alignment horizontal="left" vertical="top" wrapText="1"/>
    </xf>
    <xf numFmtId="3" fontId="0" fillId="0" borderId="0" xfId="0" applyNumberFormat="1" applyAlignment="1" applyProtection="1">
      <alignment horizontal="left" vertical="center"/>
    </xf>
    <xf numFmtId="166" fontId="0" fillId="0" borderId="103" xfId="0" applyNumberFormat="1" applyBorder="1" applyAlignment="1" applyProtection="1">
      <alignment horizontal="right" vertical="top" wrapText="1"/>
    </xf>
    <xf numFmtId="0" fontId="9" fillId="0" borderId="9" xfId="0" applyFont="1" applyFill="1" applyBorder="1" applyAlignment="1">
      <alignment horizontal="right" vertical="top" wrapText="1"/>
    </xf>
    <xf numFmtId="4" fontId="0" fillId="0" borderId="4" xfId="0" applyNumberFormat="1" applyFill="1" applyBorder="1" applyAlignment="1">
      <alignment horizontal="right" vertical="center"/>
    </xf>
    <xf numFmtId="174" fontId="0" fillId="0" borderId="33" xfId="0" applyNumberFormat="1" applyBorder="1" applyAlignment="1" applyProtection="1">
      <alignment horizontal="right" vertical="center"/>
    </xf>
    <xf numFmtId="174" fontId="0" fillId="26" borderId="38" xfId="0" applyNumberFormat="1" applyFill="1" applyBorder="1" applyAlignment="1" applyProtection="1">
      <alignment horizontal="right" vertical="center"/>
    </xf>
    <xf numFmtId="175" fontId="0" fillId="0" borderId="33" xfId="0" applyNumberFormat="1" applyBorder="1" applyAlignment="1" applyProtection="1">
      <alignment horizontal="right" vertical="center"/>
    </xf>
    <xf numFmtId="175" fontId="0" fillId="26" borderId="38" xfId="0" applyNumberFormat="1" applyFill="1" applyBorder="1" applyAlignment="1" applyProtection="1">
      <alignment horizontal="right" vertical="center"/>
    </xf>
    <xf numFmtId="175" fontId="0" fillId="0" borderId="0" xfId="0" applyNumberFormat="1" applyAlignment="1" applyProtection="1">
      <alignment horizontal="right" vertical="center"/>
    </xf>
    <xf numFmtId="174" fontId="0" fillId="0" borderId="102" xfId="0" applyNumberFormat="1" applyBorder="1" applyAlignment="1" applyProtection="1">
      <alignment horizontal="right" vertical="top" wrapText="1"/>
    </xf>
    <xf numFmtId="0" fontId="9" fillId="0" borderId="71" xfId="0" applyFont="1" applyBorder="1" applyAlignment="1" applyProtection="1">
      <alignment horizontal="center" vertical="center"/>
    </xf>
    <xf numFmtId="0" fontId="9" fillId="0" borderId="60" xfId="0" applyFont="1" applyBorder="1" applyAlignment="1" applyProtection="1">
      <alignment vertical="center"/>
    </xf>
    <xf numFmtId="173" fontId="8" fillId="19" borderId="55" xfId="0" applyNumberFormat="1" applyFont="1" applyFill="1" applyBorder="1" applyAlignment="1" applyProtection="1">
      <alignment horizontal="right" vertical="center" indent="1"/>
    </xf>
    <xf numFmtId="4" fontId="0" fillId="0" borderId="0" xfId="0" applyNumberFormat="1"/>
    <xf numFmtId="4" fontId="0" fillId="26" borderId="3" xfId="0" applyNumberFormat="1" applyFill="1" applyBorder="1"/>
    <xf numFmtId="4" fontId="9" fillId="21" borderId="12" xfId="0" applyNumberFormat="1" applyFont="1" applyFill="1" applyBorder="1" applyAlignment="1" applyProtection="1">
      <alignment horizontal="center" vertical="center"/>
    </xf>
    <xf numFmtId="4" fontId="9" fillId="21" borderId="54" xfId="0" applyNumberFormat="1" applyFont="1" applyFill="1" applyBorder="1" applyAlignment="1" applyProtection="1">
      <alignment horizontal="center" vertical="center"/>
    </xf>
    <xf numFmtId="4" fontId="29" fillId="7" borderId="97" xfId="0" applyNumberFormat="1" applyFont="1" applyFill="1" applyBorder="1" applyAlignment="1">
      <alignment horizontal="center" vertical="top" wrapText="1"/>
    </xf>
    <xf numFmtId="4" fontId="27" fillId="0" borderId="56" xfId="0" applyNumberFormat="1" applyFont="1" applyFill="1" applyBorder="1" applyAlignment="1">
      <alignment horizontal="right" vertical="center"/>
    </xf>
    <xf numFmtId="3" fontId="0" fillId="26" borderId="28" xfId="0" applyNumberFormat="1" applyFill="1" applyBorder="1" applyAlignment="1">
      <alignment horizontal="center" vertical="center"/>
    </xf>
    <xf numFmtId="0" fontId="9" fillId="2" borderId="23" xfId="0" applyFont="1" applyFill="1" applyBorder="1" applyAlignment="1" applyProtection="1">
      <alignment horizontal="center" vertical="center"/>
    </xf>
    <xf numFmtId="0" fontId="21" fillId="2" borderId="23" xfId="0" applyFont="1" applyFill="1" applyBorder="1" applyAlignment="1" applyProtection="1">
      <alignment horizontal="center" vertical="top" wrapText="1"/>
    </xf>
    <xf numFmtId="0" fontId="9" fillId="2" borderId="23" xfId="0" applyFont="1" applyFill="1" applyBorder="1" applyAlignment="1" applyProtection="1">
      <alignment horizontal="center" vertical="center" wrapText="1"/>
    </xf>
    <xf numFmtId="0" fontId="9" fillId="2" borderId="23" xfId="0" applyNumberFormat="1" applyFont="1" applyFill="1" applyBorder="1" applyAlignment="1" applyProtection="1">
      <alignment horizontal="center" vertical="center" wrapText="1"/>
    </xf>
    <xf numFmtId="0" fontId="8" fillId="3" borderId="72" xfId="0" applyFont="1" applyFill="1" applyBorder="1" applyAlignment="1" applyProtection="1">
      <alignment horizontal="center" vertical="center"/>
    </xf>
    <xf numFmtId="0" fontId="13" fillId="2" borderId="34" xfId="0" applyFont="1" applyFill="1" applyBorder="1" applyAlignment="1" applyProtection="1">
      <alignment horizontal="right" vertical="center" indent="1"/>
    </xf>
    <xf numFmtId="0" fontId="9" fillId="11" borderId="8" xfId="0" applyFont="1" applyFill="1" applyBorder="1" applyAlignment="1" applyProtection="1">
      <alignment horizontal="right" vertical="center" indent="1"/>
    </xf>
    <xf numFmtId="0" fontId="9" fillId="2" borderId="11" xfId="0" applyFont="1" applyFill="1" applyBorder="1" applyAlignment="1" applyProtection="1">
      <alignment horizontal="right" vertical="center" indent="1"/>
    </xf>
    <xf numFmtId="10" fontId="19" fillId="2" borderId="11" xfId="0" applyNumberFormat="1" applyFont="1" applyFill="1" applyBorder="1" applyAlignment="1" applyProtection="1">
      <alignment horizontal="right" vertical="center" indent="1"/>
    </xf>
    <xf numFmtId="0" fontId="21" fillId="2" borderId="14" xfId="0" applyFont="1" applyFill="1" applyBorder="1" applyAlignment="1">
      <alignment horizontal="right" vertical="center" wrapText="1" indent="1"/>
    </xf>
    <xf numFmtId="166" fontId="27" fillId="3" borderId="9" xfId="0" applyNumberFormat="1" applyFont="1" applyFill="1" applyBorder="1" applyAlignment="1">
      <alignment horizontal="right" vertical="top" wrapText="1"/>
    </xf>
    <xf numFmtId="166" fontId="0" fillId="0" borderId="4" xfId="0" applyNumberFormat="1" applyFill="1" applyBorder="1" applyAlignment="1">
      <alignment horizontal="right" vertical="center"/>
    </xf>
    <xf numFmtId="166" fontId="0" fillId="0" borderId="0" xfId="0" applyNumberFormat="1" applyAlignment="1">
      <alignment horizontal="right"/>
    </xf>
    <xf numFmtId="168" fontId="9" fillId="0" borderId="9" xfId="0" applyNumberFormat="1" applyFont="1" applyFill="1" applyBorder="1" applyAlignment="1">
      <alignment horizontal="right" vertical="top" wrapText="1"/>
    </xf>
    <xf numFmtId="168" fontId="0" fillId="0" borderId="4" xfId="0" applyNumberFormat="1" applyFill="1" applyBorder="1" applyAlignment="1">
      <alignment horizontal="right" vertical="center"/>
    </xf>
    <xf numFmtId="168" fontId="0" fillId="0" borderId="0" xfId="0" applyNumberFormat="1"/>
    <xf numFmtId="3" fontId="0" fillId="0" borderId="0" xfId="0" applyNumberFormat="1" applyAlignment="1" applyProtection="1">
      <alignment horizontal="right" vertical="center"/>
    </xf>
    <xf numFmtId="4" fontId="9" fillId="2" borderId="0" xfId="0" applyNumberFormat="1" applyFont="1" applyFill="1" applyBorder="1" applyAlignment="1" applyProtection="1">
      <alignment horizontal="center" vertical="top" wrapText="1"/>
    </xf>
    <xf numFmtId="4" fontId="21" fillId="2" borderId="12" xfId="0" applyNumberFormat="1" applyFont="1" applyFill="1" applyBorder="1" applyAlignment="1" applyProtection="1">
      <alignment horizontal="right" vertical="center"/>
    </xf>
    <xf numFmtId="4" fontId="21" fillId="2" borderId="0" xfId="0" applyNumberFormat="1" applyFont="1" applyFill="1" applyBorder="1" applyAlignment="1" applyProtection="1">
      <alignment horizontal="right" vertical="center"/>
    </xf>
    <xf numFmtId="0" fontId="9" fillId="0" borderId="0" xfId="0" applyFont="1" applyBorder="1" applyAlignment="1" applyProtection="1">
      <alignment horizontal="right" vertical="center" indent="1"/>
    </xf>
    <xf numFmtId="0" fontId="8" fillId="7" borderId="0" xfId="0" applyFont="1" applyFill="1" applyBorder="1" applyAlignment="1" applyProtection="1">
      <alignment horizontal="center" vertical="center"/>
    </xf>
    <xf numFmtId="4" fontId="9" fillId="7" borderId="0" xfId="0" applyNumberFormat="1" applyFont="1" applyFill="1" applyBorder="1" applyAlignment="1" applyProtection="1">
      <alignment horizontal="center" vertical="center" wrapText="1"/>
    </xf>
    <xf numFmtId="4" fontId="19" fillId="7" borderId="0" xfId="0" applyNumberFormat="1" applyFont="1" applyFill="1" applyBorder="1" applyAlignment="1" applyProtection="1">
      <alignment horizontal="right" vertical="center" indent="1"/>
    </xf>
    <xf numFmtId="171" fontId="48" fillId="2" borderId="0" xfId="70" applyNumberFormat="1" applyFont="1" applyFill="1" applyBorder="1" applyAlignment="1" applyProtection="1">
      <alignment horizontal="center" vertical="center"/>
    </xf>
    <xf numFmtId="4" fontId="9" fillId="0" borderId="0" xfId="0" applyNumberFormat="1" applyFont="1" applyBorder="1" applyAlignment="1" applyProtection="1">
      <alignment horizontal="center" vertical="top" wrapText="1"/>
    </xf>
    <xf numFmtId="0" fontId="8" fillId="13" borderId="18" xfId="0" applyFont="1" applyFill="1" applyBorder="1" applyAlignment="1" applyProtection="1">
      <alignment horizontal="center" vertical="center"/>
    </xf>
    <xf numFmtId="4" fontId="9" fillId="0" borderId="7" xfId="0" applyNumberFormat="1" applyFont="1" applyBorder="1" applyAlignment="1" applyProtection="1">
      <alignment horizontal="center" vertical="center" wrapText="1"/>
    </xf>
    <xf numFmtId="4" fontId="9" fillId="0" borderId="91" xfId="0" applyNumberFormat="1" applyFont="1" applyBorder="1" applyAlignment="1" applyProtection="1">
      <alignment horizontal="center" vertical="top" wrapText="1"/>
    </xf>
    <xf numFmtId="0" fontId="8" fillId="7" borderId="46" xfId="0" applyFont="1" applyFill="1" applyBorder="1" applyAlignment="1" applyProtection="1">
      <alignment horizontal="center" vertical="center"/>
    </xf>
    <xf numFmtId="4" fontId="9" fillId="7" borderId="46" xfId="0" applyNumberFormat="1" applyFont="1" applyFill="1" applyBorder="1" applyAlignment="1" applyProtection="1">
      <alignment horizontal="center" vertical="center" wrapText="1"/>
    </xf>
    <xf numFmtId="4" fontId="19" fillId="7" borderId="46" xfId="0" applyNumberFormat="1" applyFont="1" applyFill="1" applyBorder="1" applyAlignment="1" applyProtection="1">
      <alignment horizontal="right" vertical="center" indent="1"/>
    </xf>
    <xf numFmtId="4" fontId="9" fillId="0" borderId="46" xfId="0" applyNumberFormat="1" applyFont="1" applyBorder="1" applyAlignment="1" applyProtection="1">
      <alignment horizontal="center" vertical="top" wrapText="1"/>
    </xf>
    <xf numFmtId="4" fontId="21" fillId="2" borderId="46" xfId="0" applyNumberFormat="1" applyFont="1" applyFill="1" applyBorder="1" applyAlignment="1" applyProtection="1">
      <alignment horizontal="right" vertical="center"/>
    </xf>
    <xf numFmtId="0" fontId="9" fillId="0" borderId="46" xfId="0" applyFont="1" applyBorder="1" applyAlignment="1" applyProtection="1">
      <alignment horizontal="right" vertical="center" indent="1"/>
    </xf>
    <xf numFmtId="0" fontId="9" fillId="7" borderId="3" xfId="0" applyFont="1" applyFill="1" applyBorder="1" applyAlignment="1" applyProtection="1">
      <alignment horizontal="left" vertical="center"/>
    </xf>
    <xf numFmtId="166" fontId="0" fillId="0" borderId="33" xfId="0" applyNumberFormat="1" applyBorder="1" applyAlignment="1" applyProtection="1">
      <alignment horizontal="right" vertical="center"/>
    </xf>
    <xf numFmtId="166" fontId="0" fillId="26" borderId="38" xfId="0" applyNumberFormat="1" applyFill="1" applyBorder="1" applyAlignment="1" applyProtection="1">
      <alignment horizontal="right" vertical="center"/>
    </xf>
    <xf numFmtId="166" fontId="0" fillId="0" borderId="102" xfId="0" applyNumberFormat="1" applyBorder="1" applyAlignment="1" applyProtection="1">
      <alignment horizontal="right" vertical="top" wrapText="1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 applyProtection="1">
      <alignment horizontal="right" vertical="center"/>
    </xf>
    <xf numFmtId="0" fontId="8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center" vertical="center"/>
    </xf>
    <xf numFmtId="1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0" applyFont="1" applyFill="1" applyBorder="1" applyAlignment="1">
      <alignment horizontal="left"/>
    </xf>
    <xf numFmtId="167" fontId="9" fillId="0" borderId="56" xfId="0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14" xfId="69" applyNumberFormat="1" applyFont="1" applyFill="1" applyBorder="1" applyAlignment="1" applyProtection="1">
      <alignment horizontal="center" vertical="center"/>
      <protection locked="0"/>
    </xf>
    <xf numFmtId="4" fontId="9" fillId="2" borderId="34" xfId="0" applyNumberFormat="1" applyFont="1" applyFill="1" applyBorder="1" applyAlignment="1" applyProtection="1">
      <alignment horizontal="center" vertical="center"/>
    </xf>
    <xf numFmtId="0" fontId="21" fillId="2" borderId="34" xfId="0" applyFont="1" applyFill="1" applyBorder="1" applyAlignment="1" applyProtection="1">
      <alignment horizontal="center" vertical="center"/>
    </xf>
    <xf numFmtId="1" fontId="9" fillId="2" borderId="34" xfId="0" applyNumberFormat="1" applyFont="1" applyFill="1" applyBorder="1" applyAlignment="1" applyProtection="1">
      <alignment horizontal="center" vertical="center"/>
    </xf>
    <xf numFmtId="4" fontId="21" fillId="2" borderId="20" xfId="0" applyNumberFormat="1" applyFont="1" applyFill="1" applyBorder="1" applyAlignment="1" applyProtection="1">
      <alignment horizontal="right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0" fontId="21" fillId="2" borderId="56" xfId="0" applyNumberFormat="1" applyFont="1" applyFill="1" applyBorder="1" applyAlignment="1" applyProtection="1">
      <alignment horizontal="left" vertical="center"/>
    </xf>
    <xf numFmtId="0" fontId="21" fillId="2" borderId="56" xfId="0" applyNumberFormat="1" applyFont="1" applyFill="1" applyBorder="1" applyAlignment="1">
      <alignment vertical="center"/>
    </xf>
    <xf numFmtId="43" fontId="21" fillId="2" borderId="56" xfId="0" applyNumberFormat="1" applyFont="1" applyFill="1" applyBorder="1" applyAlignment="1" applyProtection="1">
      <alignment horizontal="center" vertical="center" wrapText="1"/>
    </xf>
    <xf numFmtId="166" fontId="21" fillId="2" borderId="56" xfId="0" applyNumberFormat="1" applyFont="1" applyFill="1" applyBorder="1" applyAlignment="1" applyProtection="1">
      <alignment horizontal="right" vertical="center" wrapText="1"/>
    </xf>
    <xf numFmtId="0" fontId="21" fillId="2" borderId="14" xfId="0" applyNumberFormat="1" applyFont="1" applyFill="1" applyBorder="1" applyAlignment="1" applyProtection="1">
      <alignment horizontal="right" vertical="center" wrapText="1" indent="1"/>
    </xf>
    <xf numFmtId="4" fontId="21" fillId="2" borderId="33" xfId="0" applyNumberFormat="1" applyFont="1" applyFill="1" applyBorder="1" applyAlignment="1" applyProtection="1">
      <alignment horizontal="right" vertical="center"/>
    </xf>
    <xf numFmtId="1" fontId="9" fillId="19" borderId="56" xfId="0" applyNumberFormat="1" applyFont="1" applyFill="1" applyBorder="1" applyAlignment="1" applyProtection="1">
      <alignment horizontal="center" vertical="center"/>
      <protection locked="0"/>
    </xf>
    <xf numFmtId="168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23" fillId="0" borderId="56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center" vertical="center"/>
    </xf>
    <xf numFmtId="0" fontId="0" fillId="0" borderId="101" xfId="0" pivotButton="1" applyBorder="1" applyAlignment="1" applyProtection="1">
      <alignment horizontal="left" vertical="top" wrapText="1"/>
    </xf>
    <xf numFmtId="2" fontId="9" fillId="7" borderId="40" xfId="0" applyNumberFormat="1" applyFont="1" applyFill="1" applyBorder="1" applyAlignment="1" applyProtection="1">
      <alignment horizontal="right" vertical="center"/>
    </xf>
    <xf numFmtId="2" fontId="9" fillId="7" borderId="14" xfId="0" applyNumberFormat="1" applyFont="1" applyFill="1" applyBorder="1" applyAlignment="1" applyProtection="1">
      <alignment horizontal="right" vertical="center"/>
    </xf>
    <xf numFmtId="2" fontId="9" fillId="6" borderId="19" xfId="0" applyNumberFormat="1" applyFont="1" applyFill="1" applyBorder="1" applyAlignment="1" applyProtection="1">
      <alignment horizontal="right" vertical="center"/>
    </xf>
    <xf numFmtId="2" fontId="9" fillId="6" borderId="18" xfId="0" applyNumberFormat="1" applyFont="1" applyFill="1" applyBorder="1" applyAlignment="1" applyProtection="1">
      <alignment horizontal="right" vertical="center"/>
    </xf>
    <xf numFmtId="2" fontId="9" fillId="8" borderId="18" xfId="0" applyNumberFormat="1" applyFont="1" applyFill="1" applyBorder="1" applyAlignment="1" applyProtection="1">
      <alignment horizontal="right" vertical="center"/>
    </xf>
    <xf numFmtId="2" fontId="9" fillId="6" borderId="7" xfId="0" applyNumberFormat="1" applyFont="1" applyFill="1" applyBorder="1" applyAlignment="1" applyProtection="1">
      <alignment horizontal="right" vertical="center"/>
    </xf>
    <xf numFmtId="2" fontId="9" fillId="6" borderId="56" xfId="0" applyNumberFormat="1" applyFont="1" applyFill="1" applyBorder="1" applyAlignment="1" applyProtection="1">
      <alignment horizontal="right" vertical="center"/>
    </xf>
    <xf numFmtId="2" fontId="9" fillId="8" borderId="56" xfId="0" applyNumberFormat="1" applyFont="1" applyFill="1" applyBorder="1" applyAlignment="1" applyProtection="1">
      <alignment horizontal="right" vertical="center"/>
    </xf>
    <xf numFmtId="0" fontId="9" fillId="21" borderId="56" xfId="0" applyFont="1" applyFill="1" applyBorder="1" applyAlignment="1" applyProtection="1">
      <alignment horizontal="center" vertical="top" wrapText="1"/>
    </xf>
    <xf numFmtId="3" fontId="20" fillId="2" borderId="56" xfId="0" applyNumberFormat="1" applyFont="1" applyFill="1" applyBorder="1" applyAlignment="1" applyProtection="1">
      <alignment horizontal="right" vertical="center" indent="1"/>
    </xf>
    <xf numFmtId="0" fontId="9" fillId="2" borderId="42" xfId="0" applyFont="1" applyFill="1" applyBorder="1" applyAlignment="1" applyProtection="1">
      <alignment horizontal="right" vertical="center" indent="1"/>
    </xf>
    <xf numFmtId="0" fontId="9" fillId="2" borderId="10" xfId="0" applyFont="1" applyFill="1" applyBorder="1" applyAlignment="1" applyProtection="1">
      <alignment horizontal="right" vertical="center" indent="1"/>
    </xf>
    <xf numFmtId="2" fontId="21" fillId="2" borderId="6" xfId="0" applyNumberFormat="1" applyFont="1" applyFill="1" applyBorder="1" applyAlignment="1" applyProtection="1">
      <alignment horizontal="right" vertical="center" wrapText="1" indent="1"/>
    </xf>
    <xf numFmtId="0" fontId="9" fillId="45" borderId="6" xfId="0" applyFont="1" applyFill="1" applyBorder="1" applyAlignment="1" applyProtection="1">
      <alignment horizontal="center" vertical="top" wrapText="1"/>
    </xf>
    <xf numFmtId="4" fontId="19" fillId="45" borderId="6" xfId="0" applyNumberFormat="1" applyFont="1" applyFill="1" applyBorder="1" applyAlignment="1" applyProtection="1">
      <alignment horizontal="right" vertical="center" indent="1"/>
    </xf>
    <xf numFmtId="4" fontId="19" fillId="45" borderId="7" xfId="0" applyNumberFormat="1" applyFont="1" applyFill="1" applyBorder="1" applyAlignment="1" applyProtection="1">
      <alignment horizontal="right" vertical="center" indent="1"/>
    </xf>
    <xf numFmtId="0" fontId="9" fillId="0" borderId="59" xfId="0" applyFont="1" applyBorder="1" applyAlignment="1" applyProtection="1">
      <alignment horizontal="center" vertical="center"/>
    </xf>
    <xf numFmtId="0" fontId="20" fillId="34" borderId="0" xfId="0" applyFont="1" applyFill="1" applyAlignment="1" applyProtection="1">
      <alignment vertical="center"/>
    </xf>
    <xf numFmtId="173" fontId="8" fillId="3" borderId="99" xfId="0" applyNumberFormat="1" applyFont="1" applyFill="1" applyBorder="1" applyAlignment="1" applyProtection="1">
      <alignment horizontal="right" vertical="center" indent="1"/>
    </xf>
    <xf numFmtId="0" fontId="39" fillId="32" borderId="100" xfId="0" applyFont="1" applyFill="1" applyBorder="1" applyAlignment="1" applyProtection="1">
      <alignment horizontal="center" vertical="center"/>
    </xf>
    <xf numFmtId="0" fontId="39" fillId="32" borderId="99" xfId="0" applyFont="1" applyFill="1" applyBorder="1" applyAlignment="1" applyProtection="1">
      <alignment vertical="center"/>
    </xf>
    <xf numFmtId="0" fontId="9" fillId="32" borderId="75" xfId="0" applyFont="1" applyFill="1" applyBorder="1" applyAlignment="1" applyProtection="1">
      <alignment horizontal="center" vertical="center"/>
    </xf>
    <xf numFmtId="0" fontId="9" fillId="32" borderId="76" xfId="0" applyFont="1" applyFill="1" applyBorder="1" applyAlignment="1" applyProtection="1">
      <alignment vertical="center"/>
    </xf>
    <xf numFmtId="0" fontId="59" fillId="33" borderId="100" xfId="0" applyFont="1" applyFill="1" applyBorder="1" applyAlignment="1" applyProtection="1">
      <alignment horizontal="center" vertical="center"/>
    </xf>
    <xf numFmtId="0" fontId="59" fillId="33" borderId="99" xfId="0" applyFont="1" applyFill="1" applyBorder="1" applyAlignment="1" applyProtection="1">
      <alignment horizontal="center" vertical="center"/>
    </xf>
    <xf numFmtId="0" fontId="60" fillId="33" borderId="75" xfId="0" applyFont="1" applyFill="1" applyBorder="1" applyAlignment="1" applyProtection="1">
      <alignment horizontal="center" vertical="center"/>
    </xf>
    <xf numFmtId="0" fontId="60" fillId="33" borderId="76" xfId="0" applyFont="1" applyFill="1" applyBorder="1" applyAlignment="1" applyProtection="1">
      <alignment horizontal="center" vertical="center"/>
    </xf>
    <xf numFmtId="0" fontId="60" fillId="33" borderId="73" xfId="0" applyFont="1" applyFill="1" applyBorder="1" applyAlignment="1" applyProtection="1">
      <alignment horizontal="center" vertical="center"/>
    </xf>
    <xf numFmtId="0" fontId="60" fillId="33" borderId="93" xfId="0" applyFont="1" applyFill="1" applyBorder="1" applyAlignment="1" applyProtection="1">
      <alignment horizontal="center" vertical="center"/>
    </xf>
    <xf numFmtId="0" fontId="39" fillId="38" borderId="50" xfId="0" applyFont="1" applyFill="1" applyBorder="1" applyAlignment="1" applyProtection="1">
      <alignment horizontal="center" vertical="center"/>
    </xf>
    <xf numFmtId="0" fontId="39" fillId="38" borderId="55" xfId="0" applyFont="1" applyFill="1" applyBorder="1" applyAlignment="1" applyProtection="1">
      <alignment vertical="center"/>
    </xf>
    <xf numFmtId="0" fontId="39" fillId="4" borderId="94" xfId="0" applyFont="1" applyFill="1" applyBorder="1" applyAlignment="1" applyProtection="1">
      <alignment horizontal="center" vertical="center"/>
    </xf>
    <xf numFmtId="0" fontId="39" fillId="4" borderId="92" xfId="0" applyFont="1" applyFill="1" applyBorder="1" applyAlignment="1" applyProtection="1">
      <alignment vertical="center"/>
    </xf>
    <xf numFmtId="0" fontId="39" fillId="35" borderId="94" xfId="0" applyFont="1" applyFill="1" applyBorder="1" applyAlignment="1" applyProtection="1">
      <alignment horizontal="center" vertical="center"/>
    </xf>
    <xf numFmtId="0" fontId="39" fillId="35" borderId="92" xfId="0" applyFont="1" applyFill="1" applyBorder="1" applyAlignment="1" applyProtection="1">
      <alignment vertical="center"/>
    </xf>
    <xf numFmtId="0" fontId="39" fillId="8" borderId="50" xfId="0" applyFont="1" applyFill="1" applyBorder="1" applyAlignment="1" applyProtection="1">
      <alignment horizontal="center" vertical="center"/>
    </xf>
    <xf numFmtId="0" fontId="39" fillId="8" borderId="55" xfId="0" applyFont="1" applyFill="1" applyBorder="1" applyAlignment="1" applyProtection="1">
      <alignment vertical="center"/>
    </xf>
    <xf numFmtId="0" fontId="39" fillId="10" borderId="62" xfId="0" applyFont="1" applyFill="1" applyBorder="1" applyAlignment="1" applyProtection="1">
      <alignment horizontal="center" vertical="center"/>
    </xf>
    <xf numFmtId="0" fontId="39" fillId="10" borderId="63" xfId="0" applyFont="1" applyFill="1" applyBorder="1" applyAlignment="1" applyProtection="1">
      <alignment vertical="center"/>
    </xf>
    <xf numFmtId="0" fontId="39" fillId="6" borderId="100" xfId="0" applyFont="1" applyFill="1" applyBorder="1" applyAlignment="1" applyProtection="1">
      <alignment horizontal="center" vertical="center"/>
    </xf>
    <xf numFmtId="0" fontId="39" fillId="6" borderId="99" xfId="0" applyFont="1" applyFill="1" applyBorder="1" applyAlignment="1" applyProtection="1">
      <alignment vertical="center"/>
    </xf>
    <xf numFmtId="0" fontId="39" fillId="0" borderId="59" xfId="0" applyFont="1" applyBorder="1" applyAlignment="1" applyProtection="1">
      <alignment horizontal="center" vertical="center"/>
    </xf>
    <xf numFmtId="0" fontId="39" fillId="0" borderId="60" xfId="0" applyFont="1" applyBorder="1" applyAlignment="1" applyProtection="1">
      <alignment vertical="center"/>
    </xf>
    <xf numFmtId="0" fontId="9" fillId="0" borderId="97" xfId="0" applyFont="1" applyBorder="1" applyAlignment="1" applyProtection="1">
      <alignment horizontal="center" vertical="center"/>
    </xf>
    <xf numFmtId="0" fontId="0" fillId="0" borderId="56" xfId="0" applyBorder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20" fillId="34" borderId="0" xfId="0" applyFont="1" applyFill="1" applyAlignment="1" applyProtection="1">
      <alignment horizontal="left" vertical="center"/>
    </xf>
    <xf numFmtId="0" fontId="9" fillId="0" borderId="97" xfId="0" applyFont="1" applyBorder="1" applyAlignment="1" applyProtection="1">
      <alignment horizontal="left" vertical="center"/>
    </xf>
    <xf numFmtId="0" fontId="0" fillId="0" borderId="56" xfId="0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27" fillId="3" borderId="97" xfId="0" applyFont="1" applyFill="1" applyBorder="1" applyAlignment="1" applyProtection="1">
      <alignment horizontal="center" vertical="top" wrapText="1"/>
    </xf>
    <xf numFmtId="0" fontId="0" fillId="0" borderId="60" xfId="0" applyBorder="1" applyAlignment="1" applyProtection="1">
      <alignment horizontal="left" vertical="center"/>
    </xf>
    <xf numFmtId="0" fontId="0" fillId="26" borderId="79" xfId="0" applyFill="1" applyBorder="1" applyAlignment="1" applyProtection="1">
      <alignment horizontal="left" vertical="center"/>
    </xf>
    <xf numFmtId="166" fontId="63" fillId="23" borderId="10" xfId="0" applyNumberFormat="1" applyFont="1" applyFill="1" applyBorder="1" applyAlignment="1">
      <alignment horizontal="center" vertical="center"/>
    </xf>
    <xf numFmtId="166" fontId="63" fillId="12" borderId="24" xfId="0" applyNumberFormat="1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vertical="center"/>
    </xf>
    <xf numFmtId="0" fontId="64" fillId="2" borderId="8" xfId="0" applyFont="1" applyFill="1" applyBorder="1" applyAlignment="1">
      <alignment vertical="center"/>
    </xf>
    <xf numFmtId="0" fontId="63" fillId="2" borderId="80" xfId="0" applyFont="1" applyFill="1" applyBorder="1" applyAlignment="1">
      <alignment horizontal="center" vertical="center"/>
    </xf>
    <xf numFmtId="14" fontId="63" fillId="23" borderId="40" xfId="0" applyNumberFormat="1" applyFont="1" applyFill="1" applyBorder="1" applyAlignment="1">
      <alignment horizontal="center" vertical="center"/>
    </xf>
    <xf numFmtId="166" fontId="62" fillId="23" borderId="89" xfId="0" applyNumberFormat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vertical="center"/>
    </xf>
    <xf numFmtId="0" fontId="61" fillId="23" borderId="52" xfId="0" applyFont="1" applyFill="1" applyBorder="1" applyAlignment="1">
      <alignment vertical="center"/>
    </xf>
    <xf numFmtId="0" fontId="61" fillId="23" borderId="88" xfId="0" applyFont="1" applyFill="1" applyBorder="1" applyAlignment="1">
      <alignment horizontal="left" vertical="center"/>
    </xf>
    <xf numFmtId="0" fontId="61" fillId="23" borderId="78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vertical="center"/>
    </xf>
    <xf numFmtId="0" fontId="61" fillId="2" borderId="49" xfId="0" applyFont="1" applyFill="1" applyBorder="1" applyAlignment="1">
      <alignment vertical="center"/>
    </xf>
    <xf numFmtId="0" fontId="65" fillId="2" borderId="13" xfId="0" applyFont="1" applyFill="1" applyBorder="1" applyAlignment="1">
      <alignment vertical="center"/>
    </xf>
    <xf numFmtId="0" fontId="63" fillId="23" borderId="36" xfId="0" applyFont="1" applyFill="1" applyBorder="1" applyAlignment="1">
      <alignment horizontal="center" vertical="center"/>
    </xf>
    <xf numFmtId="0" fontId="61" fillId="2" borderId="49" xfId="0" applyFont="1" applyFill="1" applyBorder="1" applyAlignment="1">
      <alignment horizontal="left" vertical="center"/>
    </xf>
    <xf numFmtId="0" fontId="9" fillId="2" borderId="49" xfId="0" applyFont="1" applyFill="1" applyBorder="1" applyAlignment="1">
      <alignment horizontal="left" vertical="top"/>
    </xf>
    <xf numFmtId="0" fontId="40" fillId="2" borderId="40" xfId="0" applyFont="1" applyFill="1" applyBorder="1" applyAlignment="1">
      <alignment horizontal="center" vertical="center"/>
    </xf>
    <xf numFmtId="0" fontId="61" fillId="12" borderId="52" xfId="0" applyFont="1" applyFill="1" applyBorder="1" applyAlignment="1">
      <alignment vertical="center"/>
    </xf>
    <xf numFmtId="0" fontId="61" fillId="12" borderId="49" xfId="0" applyFont="1" applyFill="1" applyBorder="1" applyAlignment="1">
      <alignment vertical="center"/>
    </xf>
    <xf numFmtId="14" fontId="63" fillId="12" borderId="40" xfId="0" applyNumberFormat="1" applyFont="1" applyFill="1" applyBorder="1" applyAlignment="1">
      <alignment horizontal="center" vertical="center"/>
    </xf>
    <xf numFmtId="171" fontId="63" fillId="12" borderId="40" xfId="3" applyNumberFormat="1" applyFont="1" applyFill="1" applyBorder="1" applyAlignment="1">
      <alignment horizontal="center" vertical="center"/>
    </xf>
    <xf numFmtId="0" fontId="66" fillId="44" borderId="43" xfId="0" applyFont="1" applyFill="1" applyBorder="1" applyAlignment="1" applyProtection="1">
      <alignment horizontal="left" vertical="center"/>
    </xf>
    <xf numFmtId="174" fontId="66" fillId="44" borderId="48" xfId="0" applyNumberFormat="1" applyFont="1" applyFill="1" applyBorder="1" applyAlignment="1" applyProtection="1">
      <alignment horizontal="right" vertical="center"/>
    </xf>
    <xf numFmtId="174" fontId="66" fillId="44" borderId="12" xfId="0" applyNumberFormat="1" applyFont="1" applyFill="1" applyBorder="1" applyAlignment="1" applyProtection="1">
      <alignment horizontal="right" vertical="center"/>
    </xf>
    <xf numFmtId="174" fontId="66" fillId="44" borderId="42" xfId="0" applyNumberFormat="1" applyFont="1" applyFill="1" applyBorder="1" applyAlignment="1" applyProtection="1">
      <alignment horizontal="right" vertical="center"/>
    </xf>
    <xf numFmtId="175" fontId="66" fillId="44" borderId="41" xfId="0" applyNumberFormat="1" applyFont="1" applyFill="1" applyBorder="1" applyAlignment="1" applyProtection="1">
      <alignment horizontal="right" vertical="center"/>
    </xf>
    <xf numFmtId="0" fontId="9" fillId="8" borderId="50" xfId="0" applyFont="1" applyFill="1" applyBorder="1" applyAlignment="1" applyProtection="1">
      <alignment horizontal="center" vertical="center"/>
    </xf>
    <xf numFmtId="0" fontId="9" fillId="8" borderId="55" xfId="0" applyFont="1" applyFill="1" applyBorder="1" applyAlignment="1" applyProtection="1">
      <alignment vertical="center" wrapText="1"/>
    </xf>
    <xf numFmtId="0" fontId="31" fillId="3" borderId="68" xfId="0" applyFont="1" applyFill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left" vertical="center"/>
    </xf>
    <xf numFmtId="0" fontId="9" fillId="8" borderId="55" xfId="0" applyFont="1" applyFill="1" applyBorder="1" applyAlignment="1" applyProtection="1">
      <alignment vertical="center"/>
    </xf>
    <xf numFmtId="0" fontId="0" fillId="8" borderId="76" xfId="0" applyFill="1" applyBorder="1" applyAlignment="1" applyProtection="1">
      <alignment vertical="center"/>
    </xf>
    <xf numFmtId="0" fontId="9" fillId="8" borderId="75" xfId="0" applyFont="1" applyFill="1" applyBorder="1" applyAlignment="1" applyProtection="1">
      <alignment horizontal="center" vertical="center"/>
    </xf>
    <xf numFmtId="0" fontId="9" fillId="8" borderId="76" xfId="0" applyFont="1" applyFill="1" applyBorder="1" applyAlignment="1" applyProtection="1">
      <alignment vertical="center" wrapText="1"/>
    </xf>
    <xf numFmtId="0" fontId="0" fillId="6" borderId="95" xfId="0" applyFill="1" applyBorder="1" applyAlignment="1" applyProtection="1">
      <alignment horizontal="center" vertical="center"/>
    </xf>
    <xf numFmtId="174" fontId="9" fillId="0" borderId="102" xfId="0" applyNumberFormat="1" applyFont="1" applyFill="1" applyBorder="1" applyAlignment="1" applyProtection="1">
      <alignment horizontal="right" vertical="top" wrapText="1"/>
    </xf>
    <xf numFmtId="176" fontId="8" fillId="0" borderId="33" xfId="0" applyNumberFormat="1" applyFont="1" applyBorder="1" applyAlignment="1" applyProtection="1">
      <alignment horizontal="right" vertical="center"/>
    </xf>
    <xf numFmtId="176" fontId="8" fillId="26" borderId="38" xfId="0" applyNumberFormat="1" applyFont="1" applyFill="1" applyBorder="1" applyAlignment="1" applyProtection="1">
      <alignment horizontal="right" vertical="center"/>
    </xf>
    <xf numFmtId="177" fontId="8" fillId="0" borderId="46" xfId="0" applyNumberFormat="1" applyFont="1" applyBorder="1" applyAlignment="1" applyProtection="1">
      <alignment horizontal="right" vertical="center"/>
    </xf>
    <xf numFmtId="177" fontId="8" fillId="26" borderId="80" xfId="0" applyNumberFormat="1" applyFont="1" applyFill="1" applyBorder="1" applyAlignment="1" applyProtection="1">
      <alignment horizontal="right" vertical="center"/>
    </xf>
    <xf numFmtId="0" fontId="0" fillId="0" borderId="0" xfId="0" pivotButton="1"/>
    <xf numFmtId="168" fontId="0" fillId="0" borderId="0" xfId="0" pivotButton="1" applyNumberFormat="1"/>
    <xf numFmtId="0" fontId="0" fillId="0" borderId="15" xfId="0" applyBorder="1"/>
    <xf numFmtId="0" fontId="0" fillId="0" borderId="0" xfId="0" applyBorder="1"/>
    <xf numFmtId="0" fontId="0" fillId="0" borderId="11" xfId="0" applyBorder="1"/>
    <xf numFmtId="0" fontId="0" fillId="0" borderId="15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63" fillId="2" borderId="40" xfId="0" applyFont="1" applyFill="1" applyBorder="1" applyAlignment="1">
      <alignment horizontal="center" vertical="center"/>
    </xf>
    <xf numFmtId="0" fontId="0" fillId="0" borderId="37" xfId="0" applyBorder="1" applyAlignment="1" applyProtection="1">
      <alignment horizontal="center" vertical="center"/>
    </xf>
    <xf numFmtId="0" fontId="0" fillId="0" borderId="37" xfId="0" applyBorder="1" applyAlignment="1" applyProtection="1">
      <alignment horizontal="left" vertical="center"/>
    </xf>
    <xf numFmtId="49" fontId="9" fillId="0" borderId="56" xfId="0" applyNumberFormat="1" applyFont="1" applyFill="1" applyBorder="1" applyAlignment="1" applyProtection="1">
      <alignment horizontal="center" vertical="center"/>
    </xf>
    <xf numFmtId="3" fontId="20" fillId="2" borderId="4" xfId="0" applyNumberFormat="1" applyFont="1" applyFill="1" applyBorder="1" applyAlignment="1" applyProtection="1">
      <alignment horizontal="right" vertical="center" indent="1"/>
    </xf>
    <xf numFmtId="2" fontId="20" fillId="2" borderId="11" xfId="0" applyNumberFormat="1" applyFont="1" applyFill="1" applyBorder="1" applyAlignment="1" applyProtection="1">
      <alignment horizontal="right" vertical="center" wrapText="1"/>
    </xf>
    <xf numFmtId="0" fontId="9" fillId="0" borderId="15" xfId="0" applyNumberFormat="1" applyFont="1" applyFill="1" applyBorder="1" applyAlignment="1" applyProtection="1">
      <alignment horizontal="center" vertical="center"/>
    </xf>
    <xf numFmtId="0" fontId="8" fillId="5" borderId="7" xfId="0" applyNumberFormat="1" applyFont="1" applyFill="1" applyBorder="1" applyAlignment="1" applyProtection="1">
      <alignment horizontal="right" vertical="center"/>
    </xf>
    <xf numFmtId="0" fontId="8" fillId="5" borderId="56" xfId="0" applyNumberFormat="1" applyFont="1" applyFill="1" applyBorder="1" applyAlignment="1" applyProtection="1">
      <alignment horizontal="right" vertical="center"/>
    </xf>
    <xf numFmtId="0" fontId="8" fillId="16" borderId="56" xfId="0" applyNumberFormat="1" applyFont="1" applyFill="1" applyBorder="1" applyAlignment="1" applyProtection="1">
      <alignment horizontal="right" vertical="center"/>
    </xf>
    <xf numFmtId="0" fontId="8" fillId="11" borderId="56" xfId="0" applyNumberFormat="1" applyFont="1" applyFill="1" applyBorder="1" applyAlignment="1" applyProtection="1">
      <alignment horizontal="right" vertical="center"/>
    </xf>
    <xf numFmtId="0" fontId="8" fillId="25" borderId="14" xfId="0" applyNumberFormat="1" applyFont="1" applyFill="1" applyBorder="1" applyAlignment="1" applyProtection="1">
      <alignment horizontal="right" vertical="center"/>
    </xf>
    <xf numFmtId="168" fontId="9" fillId="6" borderId="77" xfId="0" applyNumberFormat="1" applyFont="1" applyFill="1" applyBorder="1" applyAlignment="1" applyProtection="1">
      <alignment horizontal="right" vertical="center"/>
    </xf>
    <xf numFmtId="168" fontId="9" fillId="7" borderId="11" xfId="0" applyNumberFormat="1" applyFont="1" applyFill="1" applyBorder="1" applyAlignment="1" applyProtection="1">
      <alignment horizontal="right" vertical="center"/>
    </xf>
    <xf numFmtId="2" fontId="9" fillId="7" borderId="46" xfId="0" applyNumberFormat="1" applyFont="1" applyFill="1" applyBorder="1" applyAlignment="1" applyProtection="1">
      <alignment horizontal="right" vertical="center"/>
    </xf>
    <xf numFmtId="167" fontId="9" fillId="0" borderId="77" xfId="0" applyNumberFormat="1" applyFont="1" applyFill="1" applyBorder="1" applyAlignment="1" applyProtection="1">
      <alignment horizontal="center" vertical="center"/>
      <protection locked="0"/>
    </xf>
    <xf numFmtId="2" fontId="9" fillId="0" borderId="11" xfId="0" applyNumberFormat="1" applyFont="1" applyFill="1" applyBorder="1" applyAlignment="1" applyProtection="1">
      <alignment horizontal="center" vertical="center"/>
      <protection locked="0"/>
    </xf>
    <xf numFmtId="169" fontId="9" fillId="0" borderId="4" xfId="0" applyNumberFormat="1" applyFont="1" applyFill="1" applyBorder="1" applyAlignment="1" applyProtection="1">
      <alignment horizontal="center" vertical="center"/>
    </xf>
    <xf numFmtId="2" fontId="9" fillId="0" borderId="5" xfId="0" applyNumberFormat="1" applyFont="1" applyFill="1" applyBorder="1" applyAlignment="1" applyProtection="1">
      <alignment horizontal="center" vertical="center" wrapText="1"/>
    </xf>
    <xf numFmtId="2" fontId="9" fillId="19" borderId="56" xfId="0" applyNumberFormat="1" applyFont="1" applyFill="1" applyBorder="1" applyAlignment="1" applyProtection="1">
      <alignment horizontal="center" vertical="center" wrapText="1"/>
    </xf>
    <xf numFmtId="0" fontId="29" fillId="0" borderId="56" xfId="0" applyNumberFormat="1" applyFont="1" applyFill="1" applyBorder="1" applyAlignment="1" applyProtection="1">
      <alignment horizontal="center" vertical="center"/>
    </xf>
    <xf numFmtId="0" fontId="29" fillId="0" borderId="14" xfId="0" applyNumberFormat="1" applyFont="1" applyFill="1" applyBorder="1" applyAlignment="1" applyProtection="1">
      <alignment horizontal="left" vertical="center"/>
    </xf>
    <xf numFmtId="0" fontId="0" fillId="0" borderId="37" xfId="0" applyBorder="1" applyAlignment="1" applyProtection="1">
      <alignment horizontal="center" vertical="center" indent="2"/>
    </xf>
    <xf numFmtId="0" fontId="0" fillId="0" borderId="37" xfId="0" applyBorder="1" applyAlignment="1" applyProtection="1">
      <alignment horizontal="left" vertical="center" indent="1"/>
    </xf>
    <xf numFmtId="0" fontId="0" fillId="0" borderId="37" xfId="0" applyBorder="1" applyAlignment="1" applyProtection="1">
      <alignment vertical="center" indent="1"/>
    </xf>
    <xf numFmtId="0" fontId="0" fillId="0" borderId="37" xfId="0" applyBorder="1" applyAlignment="1" applyProtection="1">
      <alignment horizontal="left" vertical="center" indent="2"/>
    </xf>
    <xf numFmtId="0" fontId="0" fillId="0" borderId="37" xfId="0" applyBorder="1" applyAlignment="1" applyProtection="1">
      <alignment horizontal="left" vertical="center" indent="3"/>
    </xf>
    <xf numFmtId="0" fontId="8" fillId="0" borderId="29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28" fillId="0" borderId="17" xfId="0" applyFont="1" applyBorder="1" applyAlignment="1">
      <alignment horizontal="left" vertical="center"/>
    </xf>
    <xf numFmtId="0" fontId="28" fillId="0" borderId="16" xfId="0" applyFont="1" applyBorder="1" applyAlignment="1">
      <alignment horizontal="left" vertical="center"/>
    </xf>
    <xf numFmtId="0" fontId="28" fillId="0" borderId="90" xfId="0" applyFont="1" applyBorder="1" applyAlignment="1">
      <alignment horizontal="left" vertical="center"/>
    </xf>
    <xf numFmtId="0" fontId="32" fillId="6" borderId="62" xfId="0" applyFont="1" applyFill="1" applyBorder="1" applyAlignment="1" applyProtection="1">
      <alignment horizontal="center" vertical="center"/>
    </xf>
    <xf numFmtId="0" fontId="32" fillId="6" borderId="71" xfId="0" applyFont="1" applyFill="1" applyBorder="1" applyAlignment="1" applyProtection="1">
      <alignment horizontal="center" vertical="center"/>
    </xf>
    <xf numFmtId="0" fontId="32" fillId="6" borderId="63" xfId="0" applyFont="1" applyFill="1" applyBorder="1" applyAlignment="1" applyProtection="1">
      <alignment horizontal="center" vertical="center" textRotation="90"/>
    </xf>
    <xf numFmtId="0" fontId="32" fillId="6" borderId="72" xfId="0" applyFont="1" applyFill="1" applyBorder="1" applyAlignment="1" applyProtection="1">
      <alignment horizontal="center" vertical="center" textRotation="90"/>
    </xf>
    <xf numFmtId="0" fontId="32" fillId="38" borderId="50" xfId="0" applyFont="1" applyFill="1" applyBorder="1" applyAlignment="1" applyProtection="1">
      <alignment horizontal="center" vertical="center"/>
    </xf>
    <xf numFmtId="0" fontId="32" fillId="38" borderId="71" xfId="0" applyFont="1" applyFill="1" applyBorder="1" applyAlignment="1" applyProtection="1">
      <alignment horizontal="center" vertical="center"/>
    </xf>
    <xf numFmtId="0" fontId="32" fillId="38" borderId="55" xfId="0" applyFont="1" applyFill="1" applyBorder="1" applyAlignment="1" applyProtection="1">
      <alignment horizontal="center" vertical="center" textRotation="90"/>
    </xf>
    <xf numFmtId="0" fontId="32" fillId="38" borderId="72" xfId="0" applyFont="1" applyFill="1" applyBorder="1" applyAlignment="1" applyProtection="1">
      <alignment horizontal="center" vertical="center" textRotation="90"/>
    </xf>
    <xf numFmtId="0" fontId="32" fillId="4" borderId="50" xfId="0" applyFont="1" applyFill="1" applyBorder="1" applyAlignment="1" applyProtection="1">
      <alignment horizontal="center" vertical="center"/>
    </xf>
    <xf numFmtId="0" fontId="32" fillId="4" borderId="71" xfId="0" applyFont="1" applyFill="1" applyBorder="1" applyAlignment="1" applyProtection="1">
      <alignment horizontal="center" vertical="center"/>
    </xf>
    <xf numFmtId="0" fontId="32" fillId="4" borderId="55" xfId="0" applyFont="1" applyFill="1" applyBorder="1" applyAlignment="1" applyProtection="1">
      <alignment horizontal="center" vertical="center" textRotation="90"/>
    </xf>
    <xf numFmtId="0" fontId="32" fillId="4" borderId="72" xfId="0" applyFont="1" applyFill="1" applyBorder="1" applyAlignment="1" applyProtection="1">
      <alignment horizontal="center" vertical="center" textRotation="90"/>
    </xf>
    <xf numFmtId="0" fontId="32" fillId="35" borderId="55" xfId="0" applyFont="1" applyFill="1" applyBorder="1" applyAlignment="1" applyProtection="1">
      <alignment horizontal="center" vertical="center" textRotation="90"/>
    </xf>
    <xf numFmtId="0" fontId="32" fillId="35" borderId="72" xfId="0" applyFont="1" applyFill="1" applyBorder="1" applyAlignment="1" applyProtection="1">
      <alignment horizontal="center" vertical="center" textRotation="90"/>
    </xf>
    <xf numFmtId="0" fontId="32" fillId="35" borderId="50" xfId="0" applyFont="1" applyFill="1" applyBorder="1" applyAlignment="1" applyProtection="1">
      <alignment horizontal="center" vertical="center"/>
    </xf>
    <xf numFmtId="0" fontId="32" fillId="35" borderId="7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32" fillId="10" borderId="62" xfId="0" applyFont="1" applyFill="1" applyBorder="1" applyAlignment="1" applyProtection="1">
      <alignment horizontal="center" vertical="center"/>
    </xf>
    <xf numFmtId="0" fontId="32" fillId="10" borderId="50" xfId="0" applyFont="1" applyFill="1" applyBorder="1" applyAlignment="1" applyProtection="1">
      <alignment horizontal="center" vertical="center"/>
    </xf>
    <xf numFmtId="0" fontId="32" fillId="10" borderId="71" xfId="0" applyFont="1" applyFill="1" applyBorder="1" applyAlignment="1" applyProtection="1">
      <alignment horizontal="center" vertical="center"/>
    </xf>
    <xf numFmtId="0" fontId="32" fillId="10" borderId="63" xfId="0" applyFont="1" applyFill="1" applyBorder="1" applyAlignment="1" applyProtection="1">
      <alignment horizontal="center" vertical="center" textRotation="90"/>
    </xf>
    <xf numFmtId="0" fontId="32" fillId="10" borderId="55" xfId="0" applyFont="1" applyFill="1" applyBorder="1" applyAlignment="1" applyProtection="1">
      <alignment horizontal="center" vertical="center" textRotation="90"/>
    </xf>
    <xf numFmtId="0" fontId="32" fillId="10" borderId="72" xfId="0" applyFont="1" applyFill="1" applyBorder="1" applyAlignment="1" applyProtection="1">
      <alignment horizontal="center" vertical="center" textRotation="90"/>
    </xf>
    <xf numFmtId="0" fontId="32" fillId="32" borderId="50" xfId="0" applyFont="1" applyFill="1" applyBorder="1" applyAlignment="1" applyProtection="1">
      <alignment horizontal="center" vertical="center"/>
    </xf>
    <xf numFmtId="0" fontId="32" fillId="32" borderId="71" xfId="0" applyFont="1" applyFill="1" applyBorder="1" applyAlignment="1" applyProtection="1">
      <alignment horizontal="center" vertical="center"/>
    </xf>
    <xf numFmtId="0" fontId="32" fillId="32" borderId="55" xfId="0" applyFont="1" applyFill="1" applyBorder="1" applyAlignment="1" applyProtection="1">
      <alignment horizontal="center" vertical="center" textRotation="90"/>
    </xf>
    <xf numFmtId="0" fontId="32" fillId="32" borderId="72" xfId="0" applyFont="1" applyFill="1" applyBorder="1" applyAlignment="1" applyProtection="1">
      <alignment horizontal="center" vertical="center" textRotation="90"/>
    </xf>
    <xf numFmtId="0" fontId="32" fillId="33" borderId="62" xfId="0" applyFont="1" applyFill="1" applyBorder="1" applyAlignment="1" applyProtection="1">
      <alignment horizontal="center" vertical="center"/>
    </xf>
    <xf numFmtId="0" fontId="32" fillId="33" borderId="50" xfId="0" applyFont="1" applyFill="1" applyBorder="1" applyAlignment="1" applyProtection="1">
      <alignment horizontal="center" vertical="center"/>
    </xf>
    <xf numFmtId="0" fontId="32" fillId="33" borderId="71" xfId="0" applyFont="1" applyFill="1" applyBorder="1" applyAlignment="1" applyProtection="1">
      <alignment horizontal="center" vertical="center"/>
    </xf>
    <xf numFmtId="0" fontId="32" fillId="33" borderId="63" xfId="0" applyFont="1" applyFill="1" applyBorder="1" applyAlignment="1" applyProtection="1">
      <alignment horizontal="center" vertical="center" textRotation="90"/>
    </xf>
    <xf numFmtId="0" fontId="32" fillId="33" borderId="55" xfId="0" applyFont="1" applyFill="1" applyBorder="1" applyAlignment="1" applyProtection="1">
      <alignment horizontal="center" vertical="center" textRotation="90"/>
    </xf>
    <xf numFmtId="0" fontId="32" fillId="33" borderId="72" xfId="0" applyFont="1" applyFill="1" applyBorder="1" applyAlignment="1" applyProtection="1">
      <alignment horizontal="center" vertical="center" textRotation="90"/>
    </xf>
    <xf numFmtId="0" fontId="32" fillId="8" borderId="62" xfId="0" applyFont="1" applyFill="1" applyBorder="1" applyAlignment="1" applyProtection="1">
      <alignment horizontal="center" vertical="center"/>
    </xf>
    <xf numFmtId="0" fontId="32" fillId="8" borderId="50" xfId="0" applyFont="1" applyFill="1" applyBorder="1" applyAlignment="1" applyProtection="1">
      <alignment horizontal="center" vertical="center"/>
    </xf>
    <xf numFmtId="0" fontId="32" fillId="8" borderId="71" xfId="0" applyFont="1" applyFill="1" applyBorder="1" applyAlignment="1" applyProtection="1">
      <alignment horizontal="center" vertical="center"/>
    </xf>
    <xf numFmtId="0" fontId="32" fillId="8" borderId="63" xfId="0" applyFont="1" applyFill="1" applyBorder="1" applyAlignment="1" applyProtection="1">
      <alignment horizontal="center" vertical="center" textRotation="90"/>
    </xf>
    <xf numFmtId="0" fontId="32" fillId="8" borderId="55" xfId="0" applyFont="1" applyFill="1" applyBorder="1" applyAlignment="1" applyProtection="1">
      <alignment horizontal="center" vertical="center" textRotation="90"/>
    </xf>
    <xf numFmtId="0" fontId="32" fillId="8" borderId="72" xfId="0" applyFont="1" applyFill="1" applyBorder="1" applyAlignment="1" applyProtection="1">
      <alignment horizontal="center" vertical="center" textRotation="90"/>
    </xf>
    <xf numFmtId="0" fontId="47" fillId="40" borderId="91" xfId="0" applyFont="1" applyFill="1" applyBorder="1" applyAlignment="1" applyProtection="1">
      <alignment horizontal="center" vertical="center" wrapText="1"/>
    </xf>
    <xf numFmtId="0" fontId="47" fillId="40" borderId="33" xfId="0" applyFont="1" applyFill="1" applyBorder="1" applyAlignment="1" applyProtection="1">
      <alignment horizontal="center" vertical="center" wrapText="1"/>
    </xf>
    <xf numFmtId="0" fontId="8" fillId="26" borderId="44" xfId="0" applyFont="1" applyFill="1" applyBorder="1" applyAlignment="1" applyProtection="1">
      <alignment horizontal="center" vertical="center"/>
    </xf>
    <xf numFmtId="0" fontId="8" fillId="26" borderId="23" xfId="0" applyFont="1" applyFill="1" applyBorder="1" applyAlignment="1" applyProtection="1">
      <alignment horizontal="center" vertical="center"/>
    </xf>
    <xf numFmtId="168" fontId="0" fillId="3" borderId="44" xfId="0" applyNumberFormat="1" applyFont="1" applyFill="1" applyBorder="1" applyAlignment="1" applyProtection="1">
      <alignment horizontal="center" vertical="center"/>
    </xf>
    <xf numFmtId="168" fontId="13" fillId="3" borderId="23" xfId="0" applyNumberFormat="1" applyFont="1" applyFill="1" applyBorder="1" applyAlignment="1" applyProtection="1">
      <alignment horizontal="center" vertical="center"/>
    </xf>
    <xf numFmtId="0" fontId="11" fillId="12" borderId="42" xfId="0" applyFont="1" applyFill="1" applyBorder="1" applyAlignment="1" applyProtection="1">
      <alignment horizontal="center" vertical="center"/>
    </xf>
    <xf numFmtId="0" fontId="11" fillId="12" borderId="82" xfId="0" applyFont="1" applyFill="1" applyBorder="1" applyAlignment="1" applyProtection="1">
      <alignment horizontal="center" vertical="center"/>
    </xf>
    <xf numFmtId="0" fontId="40" fillId="2" borderId="34" xfId="0" applyFont="1" applyFill="1" applyBorder="1" applyAlignment="1">
      <alignment horizontal="center" vertical="center"/>
    </xf>
    <xf numFmtId="0" fontId="40" fillId="2" borderId="35" xfId="0" applyFont="1" applyFill="1" applyBorder="1" applyAlignment="1">
      <alignment horizontal="center" vertical="center"/>
    </xf>
    <xf numFmtId="0" fontId="28" fillId="2" borderId="53" xfId="0" applyFont="1" applyFill="1" applyBorder="1" applyAlignment="1">
      <alignment horizontal="center" vertical="center"/>
    </xf>
    <xf numFmtId="0" fontId="28" fillId="2" borderId="82" xfId="0" applyFont="1" applyFill="1" applyBorder="1" applyAlignment="1">
      <alignment horizontal="center" vertical="center"/>
    </xf>
    <xf numFmtId="166" fontId="28" fillId="23" borderId="36" xfId="0" applyNumberFormat="1" applyFont="1" applyFill="1" applyBorder="1" applyAlignment="1">
      <alignment horizontal="center" vertical="center"/>
    </xf>
    <xf numFmtId="166" fontId="28" fillId="23" borderId="24" xfId="0" applyNumberFormat="1" applyFont="1" applyFill="1" applyBorder="1" applyAlignment="1">
      <alignment horizontal="center" vertical="center"/>
    </xf>
    <xf numFmtId="0" fontId="11" fillId="12" borderId="44" xfId="0" applyFont="1" applyFill="1" applyBorder="1" applyAlignment="1" applyProtection="1">
      <alignment horizontal="center" vertical="center"/>
    </xf>
    <xf numFmtId="0" fontId="11" fillId="12" borderId="39" xfId="0" applyFont="1" applyFill="1" applyBorder="1" applyAlignment="1" applyProtection="1">
      <alignment horizontal="center" vertical="center"/>
    </xf>
    <xf numFmtId="0" fontId="41" fillId="2" borderId="13" xfId="0" applyFont="1" applyFill="1" applyBorder="1" applyAlignment="1">
      <alignment horizontal="left" vertical="center"/>
    </xf>
    <xf numFmtId="0" fontId="41" fillId="2" borderId="3" xfId="0" applyFont="1" applyFill="1" applyBorder="1" applyAlignment="1">
      <alignment horizontal="left" vertical="center"/>
    </xf>
    <xf numFmtId="0" fontId="41" fillId="2" borderId="8" xfId="0" applyFont="1" applyFill="1" applyBorder="1" applyAlignment="1">
      <alignment horizontal="left" vertical="center"/>
    </xf>
    <xf numFmtId="0" fontId="40" fillId="23" borderId="36" xfId="0" applyFont="1" applyFill="1" applyBorder="1" applyAlignment="1">
      <alignment horizontal="center" vertical="center"/>
    </xf>
    <xf numFmtId="0" fontId="40" fillId="23" borderId="24" xfId="0" applyFont="1" applyFill="1" applyBorder="1" applyAlignment="1">
      <alignment horizontal="center" vertical="center"/>
    </xf>
    <xf numFmtId="0" fontId="40" fillId="12" borderId="36" xfId="0" applyFont="1" applyFill="1" applyBorder="1" applyAlignment="1">
      <alignment horizontal="center" vertical="center"/>
    </xf>
    <xf numFmtId="0" fontId="40" fillId="12" borderId="24" xfId="0" applyFont="1" applyFill="1" applyBorder="1" applyAlignment="1">
      <alignment horizontal="center" vertical="center"/>
    </xf>
    <xf numFmtId="14" fontId="40" fillId="12" borderId="9" xfId="0" applyNumberFormat="1" applyFont="1" applyFill="1" applyBorder="1" applyAlignment="1">
      <alignment horizontal="center" vertical="center"/>
    </xf>
    <xf numFmtId="0" fontId="40" fillId="12" borderId="10" xfId="0" applyFont="1" applyFill="1" applyBorder="1" applyAlignment="1">
      <alignment horizontal="center" vertical="center"/>
    </xf>
    <xf numFmtId="0" fontId="9" fillId="12" borderId="47" xfId="0" applyFont="1" applyFill="1" applyBorder="1" applyAlignment="1">
      <alignment horizontal="left" vertical="top"/>
    </xf>
    <xf numFmtId="0" fontId="9" fillId="12" borderId="78" xfId="0" applyFont="1" applyFill="1" applyBorder="1" applyAlignment="1">
      <alignment horizontal="left" vertical="top"/>
    </xf>
    <xf numFmtId="0" fontId="9" fillId="23" borderId="81" xfId="0" applyFont="1" applyFill="1" applyBorder="1" applyAlignment="1">
      <alignment horizontal="left" vertical="top"/>
    </xf>
    <xf numFmtId="0" fontId="9" fillId="23" borderId="21" xfId="0" applyFont="1" applyFill="1" applyBorder="1" applyAlignment="1">
      <alignment horizontal="left" vertical="top"/>
    </xf>
    <xf numFmtId="171" fontId="28" fillId="12" borderId="9" xfId="3" applyNumberFormat="1" applyFont="1" applyFill="1" applyBorder="1" applyAlignment="1">
      <alignment horizontal="center" vertical="center"/>
    </xf>
    <xf numFmtId="171" fontId="28" fillId="12" borderId="10" xfId="3" applyNumberFormat="1" applyFont="1" applyFill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9" fillId="0" borderId="79" xfId="0" applyFont="1" applyBorder="1" applyAlignment="1">
      <alignment horizontal="center" vertical="center" wrapText="1"/>
    </xf>
    <xf numFmtId="0" fontId="42" fillId="0" borderId="91" xfId="0" applyFont="1" applyBorder="1" applyAlignment="1">
      <alignment horizontal="center" vertical="center" wrapText="1"/>
    </xf>
    <xf numFmtId="0" fontId="42" fillId="0" borderId="33" xfId="0" applyFont="1" applyBorder="1" applyAlignment="1">
      <alignment horizontal="center" vertical="center" wrapText="1"/>
    </xf>
    <xf numFmtId="0" fontId="42" fillId="0" borderId="38" xfId="0" applyFont="1" applyBorder="1" applyAlignment="1">
      <alignment horizontal="center" vertical="center" wrapText="1"/>
    </xf>
    <xf numFmtId="0" fontId="9" fillId="2" borderId="81" xfId="0" applyFont="1" applyFill="1" applyBorder="1" applyAlignment="1">
      <alignment horizontal="left" vertical="top"/>
    </xf>
    <xf numFmtId="0" fontId="9" fillId="2" borderId="45" xfId="0" applyFont="1" applyFill="1" applyBorder="1" applyAlignment="1">
      <alignment horizontal="left" vertical="top"/>
    </xf>
    <xf numFmtId="0" fontId="9" fillId="2" borderId="78" xfId="0" applyFont="1" applyFill="1" applyBorder="1" applyAlignment="1">
      <alignment horizontal="left" vertical="top"/>
    </xf>
    <xf numFmtId="0" fontId="40" fillId="2" borderId="36" xfId="0" applyFont="1" applyFill="1" applyBorder="1" applyAlignment="1">
      <alignment horizontal="center" vertical="top"/>
    </xf>
    <xf numFmtId="0" fontId="40" fillId="2" borderId="54" xfId="0" applyFont="1" applyFill="1" applyBorder="1" applyAlignment="1">
      <alignment horizontal="center" vertical="top"/>
    </xf>
    <xf numFmtId="0" fontId="40" fillId="2" borderId="10" xfId="0" applyFont="1" applyFill="1" applyBorder="1" applyAlignment="1">
      <alignment horizontal="center" vertical="top"/>
    </xf>
    <xf numFmtId="0" fontId="9" fillId="2" borderId="21" xfId="0" applyFont="1" applyFill="1" applyBorder="1" applyAlignment="1">
      <alignment horizontal="left" vertical="top"/>
    </xf>
    <xf numFmtId="0" fontId="9" fillId="2" borderId="47" xfId="0" applyFont="1" applyFill="1" applyBorder="1" applyAlignment="1">
      <alignment horizontal="left" vertical="top"/>
    </xf>
    <xf numFmtId="0" fontId="61" fillId="12" borderId="1" xfId="0" applyFont="1" applyFill="1" applyBorder="1" applyAlignment="1">
      <alignment horizontal="left" vertical="center"/>
    </xf>
    <xf numFmtId="0" fontId="61" fillId="12" borderId="12" xfId="0" applyFont="1" applyFill="1" applyBorder="1" applyAlignment="1">
      <alignment horizontal="left" vertical="center"/>
    </xf>
    <xf numFmtId="0" fontId="61" fillId="12" borderId="51" xfId="0" applyFont="1" applyFill="1" applyBorder="1" applyAlignment="1">
      <alignment horizontal="left" vertical="center"/>
    </xf>
    <xf numFmtId="0" fontId="63" fillId="12" borderId="36" xfId="0" applyFont="1" applyFill="1" applyBorder="1" applyAlignment="1">
      <alignment horizontal="center" vertical="center"/>
    </xf>
    <xf numFmtId="0" fontId="63" fillId="12" borderId="54" xfId="0" applyFont="1" applyFill="1" applyBorder="1" applyAlignment="1">
      <alignment horizontal="center" vertical="center"/>
    </xf>
    <xf numFmtId="0" fontId="63" fillId="12" borderId="24" xfId="0" applyFont="1" applyFill="1" applyBorder="1" applyAlignment="1">
      <alignment horizontal="center" vertical="center"/>
    </xf>
    <xf numFmtId="0" fontId="61" fillId="12" borderId="81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horizontal="left" vertical="center"/>
    </xf>
    <xf numFmtId="3" fontId="62" fillId="12" borderId="36" xfId="0" applyNumberFormat="1" applyFont="1" applyFill="1" applyBorder="1" applyAlignment="1">
      <alignment horizontal="center" vertical="center"/>
    </xf>
    <xf numFmtId="3" fontId="62" fillId="12" borderId="24" xfId="0" applyNumberFormat="1" applyFont="1" applyFill="1" applyBorder="1" applyAlignment="1">
      <alignment horizontal="center" vertical="center"/>
    </xf>
    <xf numFmtId="0" fontId="63" fillId="2" borderId="53" xfId="0" applyFont="1" applyFill="1" applyBorder="1" applyAlignment="1">
      <alignment horizontal="center" vertical="center"/>
    </xf>
    <xf numFmtId="0" fontId="63" fillId="2" borderId="82" xfId="0" applyFont="1" applyFill="1" applyBorder="1" applyAlignment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61" fillId="0" borderId="88" xfId="0" applyFont="1" applyBorder="1" applyAlignment="1">
      <alignment horizontal="left" vertical="center" wrapText="1"/>
    </xf>
    <xf numFmtId="0" fontId="61" fillId="0" borderId="37" xfId="0" applyFont="1" applyBorder="1" applyAlignment="1">
      <alignment horizontal="left" vertical="center" wrapText="1"/>
    </xf>
    <xf numFmtId="0" fontId="61" fillId="0" borderId="79" xfId="0" applyFont="1" applyBorder="1" applyAlignment="1">
      <alignment horizontal="left" vertical="center" wrapText="1"/>
    </xf>
    <xf numFmtId="0" fontId="61" fillId="2" borderId="81" xfId="0" applyFont="1" applyFill="1" applyBorder="1" applyAlignment="1">
      <alignment horizontal="left" vertical="center"/>
    </xf>
    <xf numFmtId="0" fontId="61" fillId="2" borderId="45" xfId="0" applyFont="1" applyFill="1" applyBorder="1" applyAlignment="1">
      <alignment horizontal="left" vertical="center"/>
    </xf>
    <xf numFmtId="0" fontId="61" fillId="2" borderId="78" xfId="0" applyFont="1" applyFill="1" applyBorder="1" applyAlignment="1">
      <alignment horizontal="left" vertical="center"/>
    </xf>
    <xf numFmtId="0" fontId="62" fillId="2" borderId="36" xfId="0" applyFont="1" applyFill="1" applyBorder="1" applyAlignment="1">
      <alignment horizontal="center" vertical="center"/>
    </xf>
    <xf numFmtId="0" fontId="62" fillId="2" borderId="54" xfId="0" applyFont="1" applyFill="1" applyBorder="1" applyAlignment="1">
      <alignment horizontal="center" vertical="center"/>
    </xf>
    <xf numFmtId="0" fontId="62" fillId="2" borderId="10" xfId="0" applyFont="1" applyFill="1" applyBorder="1" applyAlignment="1">
      <alignment horizontal="center" vertical="center"/>
    </xf>
    <xf numFmtId="0" fontId="61" fillId="2" borderId="21" xfId="0" applyFont="1" applyFill="1" applyBorder="1" applyAlignment="1">
      <alignment horizontal="left" vertical="center"/>
    </xf>
    <xf numFmtId="0" fontId="61" fillId="2" borderId="47" xfId="0" applyFont="1" applyFill="1" applyBorder="1" applyAlignment="1">
      <alignment horizontal="left" vertical="center"/>
    </xf>
    <xf numFmtId="0" fontId="63" fillId="2" borderId="34" xfId="0" applyFont="1" applyFill="1" applyBorder="1" applyAlignment="1">
      <alignment horizontal="center" vertical="center"/>
    </xf>
    <xf numFmtId="0" fontId="63" fillId="2" borderId="35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0" fontId="8" fillId="3" borderId="104" xfId="0" applyFont="1" applyFill="1" applyBorder="1" applyAlignment="1">
      <alignment horizontal="center" vertical="center"/>
    </xf>
    <xf numFmtId="0" fontId="8" fillId="3" borderId="34" xfId="0" applyFont="1" applyFill="1" applyBorder="1" applyAlignment="1">
      <alignment horizontal="center" vertical="center"/>
    </xf>
    <xf numFmtId="0" fontId="8" fillId="3" borderId="82" xfId="0" applyFont="1" applyFill="1" applyBorder="1" applyAlignment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8" xfId="0" applyFont="1" applyBorder="1" applyAlignment="1" applyProtection="1">
      <alignment horizontal="center" vertical="center"/>
    </xf>
    <xf numFmtId="0" fontId="68" fillId="33" borderId="63" xfId="0" applyFont="1" applyFill="1" applyBorder="1" applyAlignment="1" applyProtection="1">
      <alignment vertical="center" wrapText="1"/>
    </xf>
    <xf numFmtId="0" fontId="68" fillId="0" borderId="60" xfId="0" applyFont="1" applyBorder="1" applyAlignment="1" applyProtection="1">
      <alignment vertical="center"/>
    </xf>
  </cellXfs>
  <cellStyles count="71">
    <cellStyle name="Čárka 2" xfId="19" xr:uid="{00000000-0005-0000-0000-000000000000}"/>
    <cellStyle name="čárky 2" xfId="6" xr:uid="{00000000-0005-0000-0000-000002000000}"/>
    <cellStyle name="Comma" xfId="2" builtinId="3"/>
    <cellStyle name="Excel Built-in Normal" xfId="8" xr:uid="{00000000-0005-0000-0000-000003000000}"/>
    <cellStyle name="Hyperlink" xfId="69" builtinId="8"/>
    <cellStyle name="Měna 2" xfId="18" xr:uid="{00000000-0005-0000-0000-000005000000}"/>
    <cellStyle name="měny 2" xfId="5" xr:uid="{00000000-0005-0000-0000-000006000000}"/>
    <cellStyle name="měny 2 2" xfId="31" xr:uid="{00000000-0005-0000-0000-000007000000}"/>
    <cellStyle name="Normal" xfId="0" builtinId="0"/>
    <cellStyle name="normální 10" xfId="13" xr:uid="{00000000-0005-0000-0000-000009000000}"/>
    <cellStyle name="normální 10 2" xfId="27" xr:uid="{00000000-0005-0000-0000-00000A000000}"/>
    <cellStyle name="normální 10 2 2" xfId="56" xr:uid="{00000000-0005-0000-0000-00000B000000}"/>
    <cellStyle name="normální 10 3" xfId="45" xr:uid="{00000000-0005-0000-0000-00000C000000}"/>
    <cellStyle name="normální 11" xfId="14" xr:uid="{00000000-0005-0000-0000-00000D000000}"/>
    <cellStyle name="normální 11 2" xfId="28" xr:uid="{00000000-0005-0000-0000-00000E000000}"/>
    <cellStyle name="normální 11 2 2" xfId="57" xr:uid="{00000000-0005-0000-0000-00000F000000}"/>
    <cellStyle name="normální 11 3" xfId="46" xr:uid="{00000000-0005-0000-0000-000010000000}"/>
    <cellStyle name="normální 12" xfId="15" xr:uid="{00000000-0005-0000-0000-000011000000}"/>
    <cellStyle name="normální 12 2" xfId="29" xr:uid="{00000000-0005-0000-0000-000012000000}"/>
    <cellStyle name="normální 12 2 2" xfId="58" xr:uid="{00000000-0005-0000-0000-000013000000}"/>
    <cellStyle name="normální 12 3" xfId="47" xr:uid="{00000000-0005-0000-0000-000014000000}"/>
    <cellStyle name="normální 13" xfId="30" xr:uid="{00000000-0005-0000-0000-000015000000}"/>
    <cellStyle name="Normální 14" xfId="65" xr:uid="{00000000-0005-0000-0000-000016000000}"/>
    <cellStyle name="Normální 15" xfId="67" xr:uid="{00000000-0005-0000-0000-000017000000}"/>
    <cellStyle name="Normální 2" xfId="1" xr:uid="{00000000-0005-0000-0000-000018000000}"/>
    <cellStyle name="Normální 2 2" xfId="4" xr:uid="{00000000-0005-0000-0000-000019000000}"/>
    <cellStyle name="Normální 2 2 2" xfId="41" xr:uid="{00000000-0005-0000-0000-00001A000000}"/>
    <cellStyle name="Normální 2 3" xfId="17" xr:uid="{00000000-0005-0000-0000-00001B000000}"/>
    <cellStyle name="Normální 2 3 2" xfId="48" xr:uid="{00000000-0005-0000-0000-00001C000000}"/>
    <cellStyle name="normální 2 4" xfId="32" xr:uid="{00000000-0005-0000-0000-00001D000000}"/>
    <cellStyle name="normální 2 4 2" xfId="59" xr:uid="{00000000-0005-0000-0000-00001E000000}"/>
    <cellStyle name="Normální 2 5" xfId="40" xr:uid="{00000000-0005-0000-0000-00001F000000}"/>
    <cellStyle name="normální 3" xfId="7" xr:uid="{00000000-0005-0000-0000-000020000000}"/>
    <cellStyle name="normální 3 2" xfId="20" xr:uid="{00000000-0005-0000-0000-000021000000}"/>
    <cellStyle name="normální 3 2 2" xfId="49" xr:uid="{00000000-0005-0000-0000-000022000000}"/>
    <cellStyle name="normální 3 3" xfId="33" xr:uid="{00000000-0005-0000-0000-000023000000}"/>
    <cellStyle name="normální 4" xfId="21" xr:uid="{00000000-0005-0000-0000-000024000000}"/>
    <cellStyle name="normální 4 2" xfId="34" xr:uid="{00000000-0005-0000-0000-000025000000}"/>
    <cellStyle name="normální 4 3" xfId="50" xr:uid="{00000000-0005-0000-0000-000026000000}"/>
    <cellStyle name="Normální 4 4" xfId="66" xr:uid="{00000000-0005-0000-0000-000027000000}"/>
    <cellStyle name="Normální 4 5" xfId="68" xr:uid="{00000000-0005-0000-0000-000028000000}"/>
    <cellStyle name="normální 5" xfId="22" xr:uid="{00000000-0005-0000-0000-000029000000}"/>
    <cellStyle name="Normální 5 2" xfId="35" xr:uid="{00000000-0005-0000-0000-00002A000000}"/>
    <cellStyle name="Normální 5 2 2" xfId="60" xr:uid="{00000000-0005-0000-0000-00002B000000}"/>
    <cellStyle name="normální 5 3" xfId="51" xr:uid="{00000000-0005-0000-0000-00002C000000}"/>
    <cellStyle name="normální 6" xfId="23" xr:uid="{00000000-0005-0000-0000-00002D000000}"/>
    <cellStyle name="Normální 6 2" xfId="36" xr:uid="{00000000-0005-0000-0000-00002E000000}"/>
    <cellStyle name="Normální 6 2 2" xfId="61" xr:uid="{00000000-0005-0000-0000-00002F000000}"/>
    <cellStyle name="normální 6 3" xfId="52" xr:uid="{00000000-0005-0000-0000-000030000000}"/>
    <cellStyle name="normální 7" xfId="10" xr:uid="{00000000-0005-0000-0000-000031000000}"/>
    <cellStyle name="normální 7 2" xfId="24" xr:uid="{00000000-0005-0000-0000-000032000000}"/>
    <cellStyle name="normální 7 2 2" xfId="53" xr:uid="{00000000-0005-0000-0000-000033000000}"/>
    <cellStyle name="Normální 7 3" xfId="37" xr:uid="{00000000-0005-0000-0000-000034000000}"/>
    <cellStyle name="Normální 7 3 2" xfId="62" xr:uid="{00000000-0005-0000-0000-000035000000}"/>
    <cellStyle name="normální 7 4" xfId="42" xr:uid="{00000000-0005-0000-0000-000036000000}"/>
    <cellStyle name="normální 8" xfId="11" xr:uid="{00000000-0005-0000-0000-000037000000}"/>
    <cellStyle name="normální 8 2" xfId="25" xr:uid="{00000000-0005-0000-0000-000038000000}"/>
    <cellStyle name="normální 8 2 2" xfId="54" xr:uid="{00000000-0005-0000-0000-000039000000}"/>
    <cellStyle name="Normální 8 3" xfId="38" xr:uid="{00000000-0005-0000-0000-00003A000000}"/>
    <cellStyle name="Normální 8 3 2" xfId="63" xr:uid="{00000000-0005-0000-0000-00003B000000}"/>
    <cellStyle name="normální 8 4" xfId="43" xr:uid="{00000000-0005-0000-0000-00003C000000}"/>
    <cellStyle name="normální 9" xfId="12" xr:uid="{00000000-0005-0000-0000-00003D000000}"/>
    <cellStyle name="normální 9 2" xfId="26" xr:uid="{00000000-0005-0000-0000-00003E000000}"/>
    <cellStyle name="normální 9 2 2" xfId="55" xr:uid="{00000000-0005-0000-0000-00003F000000}"/>
    <cellStyle name="Normální 9 3" xfId="39" xr:uid="{00000000-0005-0000-0000-000040000000}"/>
    <cellStyle name="Normální 9 3 2" xfId="64" xr:uid="{00000000-0005-0000-0000-000041000000}"/>
    <cellStyle name="normální 9 4" xfId="44" xr:uid="{00000000-0005-0000-0000-000042000000}"/>
    <cellStyle name="Percent" xfId="70" builtinId="5"/>
    <cellStyle name="procent 2" xfId="3" xr:uid="{00000000-0005-0000-0000-000044000000}"/>
    <cellStyle name="Procenta 2" xfId="16" xr:uid="{00000000-0005-0000-0000-000045000000}"/>
    <cellStyle name="Standard 2" xfId="9" xr:uid="{00000000-0005-0000-0000-000046000000}"/>
  </cellStyles>
  <dxfs count="7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77" formatCode="#,##0.0\ [$EUR]"/>
    </dxf>
    <dxf>
      <numFmt numFmtId="176" formatCode="#,##0.0\ [$CZK]"/>
    </dxf>
    <dxf>
      <alignment horizontal="right" readingOrder="0"/>
    </dxf>
    <dxf>
      <border>
        <left style="thin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alignment horizontal="right" readingOrder="0"/>
    </dxf>
    <dxf>
      <numFmt numFmtId="166" formatCode="#,##0.0"/>
      <alignment horizontal="right" vertical="top" wrapText="1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75" formatCode="#,##0\ [$CZK]"/>
    </dxf>
    <dxf>
      <numFmt numFmtId="175" formatCode="#,##0\ [$CZK]"/>
    </dxf>
    <dxf>
      <numFmt numFmtId="174" formatCode="#,##0\ [$EUR]"/>
    </dxf>
    <dxf>
      <numFmt numFmtId="174" formatCode="#,##0\ [$EUR]"/>
    </dxf>
    <dxf>
      <numFmt numFmtId="174" formatCode="#,##0\ [$EUR]"/>
    </dxf>
    <dxf>
      <alignment horizontal="right" readingOrder="0"/>
    </dxf>
    <dxf>
      <alignment horizontal="right" readingOrder="0"/>
    </dxf>
    <dxf>
      <alignment horizontal="right" readingOrder="0"/>
    </dxf>
    <dxf>
      <numFmt numFmtId="3" formatCode="#,##0"/>
      <alignment horizontal="right" vertical="top" wrapText="1" readingOrder="0"/>
    </dxf>
    <dxf>
      <border>
        <vertical/>
      </border>
    </dxf>
    <dxf>
      <border>
        <vertical/>
      </border>
    </dxf>
    <dxf>
      <border>
        <vertical/>
      </border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border>
        <top style="medium">
          <color indexed="64"/>
        </top>
        <bottom style="medium">
          <color indexed="64"/>
        </bottom>
      </border>
    </dxf>
    <dxf>
      <alignment horizontal="general" readingOrder="0"/>
    </dxf>
    <dxf>
      <alignment horizontal="general" readingOrder="0"/>
    </dxf>
    <dxf>
      <border>
        <vertical style="thin">
          <color auto="1"/>
        </vertical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66" formatCode="#,##0.0"/>
    </dxf>
    <dxf>
      <numFmt numFmtId="166" formatCode="#,##0.0"/>
    </dxf>
    <dxf>
      <numFmt numFmtId="166" formatCode="#,##0.0"/>
    </dxf>
    <dxf>
      <numFmt numFmtId="3" formatCode="#,##0"/>
    </dxf>
    <dxf>
      <numFmt numFmtId="3" formatCode="#,##0"/>
    </dxf>
    <dxf>
      <numFmt numFmtId="3" formatCode="#,##0"/>
    </dxf>
    <dxf>
      <protection locked="1"/>
    </dxf>
    <dxf>
      <protection locked="1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C00000"/>
        </patternFill>
      </fill>
    </dxf>
    <dxf>
      <numFmt numFmtId="166" formatCode="#,##0.0"/>
      <fill>
        <patternFill patternType="none">
          <fgColor indexed="64"/>
          <bgColor auto="1"/>
        </patternFill>
      </fill>
      <alignment horizontal="right" vertic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rgb="FF000000"/>
          <bgColor auto="1"/>
        </patternFill>
      </fill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rgb="FFFFC000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border outline="0">
        <left style="thin">
          <color theme="1"/>
        </left>
        <right style="medium">
          <color auto="1"/>
        </right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0" formatCode="yyyy\-mm\-dd\ hh:mm"/>
      <fill>
        <patternFill patternType="solid">
          <fgColor indexed="64"/>
          <bgColor theme="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yyyy\-mm\-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-0.249977111117893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1" relativeIndent="1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0" 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yyyy\-mm\-dd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right" vertical="center" textRotation="0" wrapText="1" indent="1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5" formatCode="_(* #,##0.00_);_(* \(#,##0.00\);_(* &quot;-&quot;??_);_(@_)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7" formatCode="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medium">
          <color auto="1"/>
        </left>
        <right style="medium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</font>
      <alignment horizontal="center" vertical="top" textRotation="0" indent="0" justifyLastLine="0" shrinkToFit="0" readingOrder="0"/>
    </dxf>
    <dxf>
      <font>
        <color theme="2" tint="-0.24994659260841701"/>
      </font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theme="3" tint="0.79998168889431442"/>
        </patternFill>
      </fill>
      <border>
        <top style="thin">
          <color theme="1"/>
        </top>
        <bottom style="thin">
          <color theme="1"/>
        </bottom>
        <vertical/>
        <horizontal/>
      </border>
    </dxf>
    <dxf>
      <font>
        <color auto="1"/>
      </font>
      <fill>
        <patternFill>
          <bgColor theme="3" tint="0.59996337778862885"/>
        </patternFill>
      </fill>
      <border>
        <top style="thin">
          <color theme="1"/>
        </top>
        <bottom style="thin">
          <color theme="1"/>
        </bottom>
      </border>
    </dxf>
    <dxf>
      <font>
        <color auto="1"/>
      </font>
      <fill>
        <patternFill>
          <bgColor theme="3" tint="0.3999450666829432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theme="3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b/>
        <i val="0"/>
        <color theme="0"/>
      </font>
      <fill>
        <patternFill>
          <bgColor theme="3" tint="-0.49998474074526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4.9989318521683403E-2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color theme="1"/>
      </font>
      <fill>
        <patternFill>
          <bgColor theme="5" tint="0.7999816888943144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59996337778862885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 tint="0.3999450666829432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5" tint="-0.49998474074526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2C9"/>
        </patternFill>
      </fill>
    </dxf>
    <dxf>
      <font>
        <b/>
        <i val="0"/>
        <strike val="0"/>
        <color theme="1"/>
      </font>
      <fill>
        <patternFill>
          <bgColor rgb="FFFFF2C9"/>
        </patternFill>
      </fill>
    </dxf>
    <dxf>
      <font>
        <color rgb="FFC00000"/>
      </font>
    </dxf>
    <dxf>
      <font>
        <color theme="0"/>
      </font>
      <fill>
        <patternFill>
          <bgColor rgb="FFC00000"/>
        </patternFill>
      </fill>
    </dxf>
    <dxf>
      <font>
        <color rgb="FFC00000"/>
      </font>
    </dxf>
    <dxf>
      <font>
        <color theme="0"/>
      </font>
      <fill>
        <patternFill>
          <bgColor theme="0"/>
        </patternFill>
      </fill>
    </dxf>
    <dxf>
      <numFmt numFmtId="0" formatCode="General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protection locked="1" hidden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Styl tabulky 1" pivot="0" count="1" xr9:uid="{00000000-0011-0000-FFFF-FFFF00000000}">
      <tableStyleElement type="secondRowStripe" dxfId="789"/>
    </tableStyle>
    <tableStyle name="Styl tabulky 2" pivot="0" count="2" xr9:uid="{00000000-0011-0000-FFFF-FFFF01000000}">
      <tableStyleElement type="firstRowStripe" dxfId="788"/>
      <tableStyleElement type="secondRowStripe" dxfId="787"/>
    </tableStyle>
  </tableStyles>
  <colors>
    <mruColors>
      <color rgb="FFFF66CC"/>
      <color rgb="FFFF66FF"/>
      <color rgb="FFFF3399"/>
      <color rgb="FFFFF2C9"/>
      <color rgb="FFFFFF99"/>
      <color rgb="FFFFFFCC"/>
      <color rgb="FF9933FF"/>
      <color rgb="FFFFFF00"/>
      <color rgb="FFF7FC16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06/relationships/vbaProject" Target="vbaProject.bin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2</xdr:row>
      <xdr:rowOff>76200</xdr:rowOff>
    </xdr:from>
    <xdr:to>
      <xdr:col>1</xdr:col>
      <xdr:colOff>571500</xdr:colOff>
      <xdr:row>2</xdr:row>
      <xdr:rowOff>504825</xdr:rowOff>
    </xdr:to>
    <xdr:pic>
      <xdr:nvPicPr>
        <xdr:cNvPr id="2" name="Obrázek 1" descr="noenRED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1" y="552450"/>
          <a:ext cx="504824" cy="42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54428</xdr:colOff>
      <xdr:row>6</xdr:row>
      <xdr:rowOff>163285</xdr:rowOff>
    </xdr:from>
    <xdr:to>
      <xdr:col>4</xdr:col>
      <xdr:colOff>669570</xdr:colOff>
      <xdr:row>9</xdr:row>
      <xdr:rowOff>56528</xdr:rowOff>
    </xdr:to>
    <xdr:pic>
      <xdr:nvPicPr>
        <xdr:cNvPr id="4" name="Obrázek 3" descr="noenRED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4845" y="1517952"/>
          <a:ext cx="615142" cy="507076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278</xdr:col>
          <xdr:colOff>0</xdr:colOff>
          <xdr:row>12</xdr:row>
          <xdr:rowOff>0</xdr:rowOff>
        </xdr:from>
        <xdr:to>
          <xdr:col>278</xdr:col>
          <xdr:colOff>0</xdr:colOff>
          <xdr:row>12</xdr:row>
          <xdr:rowOff>0</xdr:rowOff>
        </xdr:to>
        <xdr:sp macro="" textlink="">
          <xdr:nvSpPr>
            <xdr:cNvPr id="2266" name="Button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3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0</xdr:colOff>
          <xdr:row>12</xdr:row>
          <xdr:rowOff>0</xdr:rowOff>
        </xdr:from>
        <xdr:to>
          <xdr:col>257</xdr:col>
          <xdr:colOff>0</xdr:colOff>
          <xdr:row>12</xdr:row>
          <xdr:rowOff>0</xdr:rowOff>
        </xdr:to>
        <xdr:sp macro="" textlink="">
          <xdr:nvSpPr>
            <xdr:cNvPr id="9042" name="Button 2898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3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Vyplnit řádek společné položky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28575</xdr:colOff>
          <xdr:row>13</xdr:row>
          <xdr:rowOff>33338</xdr:rowOff>
        </xdr:from>
        <xdr:to>
          <xdr:col>257</xdr:col>
          <xdr:colOff>352425</xdr:colOff>
          <xdr:row>14</xdr:row>
          <xdr:rowOff>95250</xdr:rowOff>
        </xdr:to>
        <xdr:sp macro="" textlink="">
          <xdr:nvSpPr>
            <xdr:cNvPr id="9089" name="Button 2945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3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Vyplň Duplicitní</a:t>
              </a:r>
            </a:p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položku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279</xdr:col>
          <xdr:colOff>23813</xdr:colOff>
          <xdr:row>13</xdr:row>
          <xdr:rowOff>71438</xdr:rowOff>
        </xdr:from>
        <xdr:to>
          <xdr:col>279</xdr:col>
          <xdr:colOff>333375</xdr:colOff>
          <xdr:row>14</xdr:row>
          <xdr:rowOff>71438</xdr:rowOff>
        </xdr:to>
        <xdr:sp macro="" textlink="">
          <xdr:nvSpPr>
            <xdr:cNvPr id="9102" name="Button 2958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3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289</xdr:col>
          <xdr:colOff>23813</xdr:colOff>
          <xdr:row>13</xdr:row>
          <xdr:rowOff>71438</xdr:rowOff>
        </xdr:from>
        <xdr:to>
          <xdr:col>289</xdr:col>
          <xdr:colOff>333375</xdr:colOff>
          <xdr:row>14</xdr:row>
          <xdr:rowOff>71438</xdr:rowOff>
        </xdr:to>
        <xdr:sp macro="" textlink="">
          <xdr:nvSpPr>
            <xdr:cNvPr id="9103" name="Button 2959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3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298</xdr:col>
          <xdr:colOff>23813</xdr:colOff>
          <xdr:row>13</xdr:row>
          <xdr:rowOff>71438</xdr:rowOff>
        </xdr:from>
        <xdr:to>
          <xdr:col>298</xdr:col>
          <xdr:colOff>333375</xdr:colOff>
          <xdr:row>14</xdr:row>
          <xdr:rowOff>71438</xdr:rowOff>
        </xdr:to>
        <xdr:sp macro="" textlink="">
          <xdr:nvSpPr>
            <xdr:cNvPr id="9106" name="Button 2962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3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308</xdr:col>
          <xdr:colOff>23813</xdr:colOff>
          <xdr:row>13</xdr:row>
          <xdr:rowOff>71438</xdr:rowOff>
        </xdr:from>
        <xdr:to>
          <xdr:col>308</xdr:col>
          <xdr:colOff>333375</xdr:colOff>
          <xdr:row>14</xdr:row>
          <xdr:rowOff>71438</xdr:rowOff>
        </xdr:to>
        <xdr:sp macro="" textlink="">
          <xdr:nvSpPr>
            <xdr:cNvPr id="9107" name="Button 2963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3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317</xdr:col>
          <xdr:colOff>23813</xdr:colOff>
          <xdr:row>13</xdr:row>
          <xdr:rowOff>71438</xdr:rowOff>
        </xdr:from>
        <xdr:to>
          <xdr:col>317</xdr:col>
          <xdr:colOff>333375</xdr:colOff>
          <xdr:row>14</xdr:row>
          <xdr:rowOff>71438</xdr:rowOff>
        </xdr:to>
        <xdr:sp macro="" textlink="">
          <xdr:nvSpPr>
            <xdr:cNvPr id="9108" name="Button 2964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3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327</xdr:col>
          <xdr:colOff>23813</xdr:colOff>
          <xdr:row>13</xdr:row>
          <xdr:rowOff>71438</xdr:rowOff>
        </xdr:from>
        <xdr:to>
          <xdr:col>327</xdr:col>
          <xdr:colOff>333375</xdr:colOff>
          <xdr:row>14</xdr:row>
          <xdr:rowOff>71438</xdr:rowOff>
        </xdr:to>
        <xdr:sp macro="" textlink="">
          <xdr:nvSpPr>
            <xdr:cNvPr id="9109" name="Button 2965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3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336</xdr:col>
          <xdr:colOff>23813</xdr:colOff>
          <xdr:row>13</xdr:row>
          <xdr:rowOff>71438</xdr:rowOff>
        </xdr:from>
        <xdr:to>
          <xdr:col>336</xdr:col>
          <xdr:colOff>333375</xdr:colOff>
          <xdr:row>14</xdr:row>
          <xdr:rowOff>71438</xdr:rowOff>
        </xdr:to>
        <xdr:sp macro="" textlink="">
          <xdr:nvSpPr>
            <xdr:cNvPr id="9110" name="Button 2966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3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346</xdr:col>
          <xdr:colOff>23813</xdr:colOff>
          <xdr:row>13</xdr:row>
          <xdr:rowOff>71438</xdr:rowOff>
        </xdr:from>
        <xdr:to>
          <xdr:col>346</xdr:col>
          <xdr:colOff>333375</xdr:colOff>
          <xdr:row>14</xdr:row>
          <xdr:rowOff>71438</xdr:rowOff>
        </xdr:to>
        <xdr:sp macro="" textlink="">
          <xdr:nvSpPr>
            <xdr:cNvPr id="9111" name="Button 2967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3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376</xdr:col>
          <xdr:colOff>23813</xdr:colOff>
          <xdr:row>13</xdr:row>
          <xdr:rowOff>71438</xdr:rowOff>
        </xdr:from>
        <xdr:to>
          <xdr:col>376</xdr:col>
          <xdr:colOff>333375</xdr:colOff>
          <xdr:row>14</xdr:row>
          <xdr:rowOff>71438</xdr:rowOff>
        </xdr:to>
        <xdr:sp macro="" textlink="">
          <xdr:nvSpPr>
            <xdr:cNvPr id="9112" name="Button 2968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3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386</xdr:col>
          <xdr:colOff>23813</xdr:colOff>
          <xdr:row>13</xdr:row>
          <xdr:rowOff>71438</xdr:rowOff>
        </xdr:from>
        <xdr:to>
          <xdr:col>386</xdr:col>
          <xdr:colOff>333375</xdr:colOff>
          <xdr:row>14</xdr:row>
          <xdr:rowOff>71438</xdr:rowOff>
        </xdr:to>
        <xdr:sp macro="" textlink="">
          <xdr:nvSpPr>
            <xdr:cNvPr id="9113" name="Button 2969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3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</xdr:col>
          <xdr:colOff>85725</xdr:colOff>
          <xdr:row>13</xdr:row>
          <xdr:rowOff>76200</xdr:rowOff>
        </xdr:from>
        <xdr:to>
          <xdr:col>281</xdr:col>
          <xdr:colOff>523875</xdr:colOff>
          <xdr:row>14</xdr:row>
          <xdr:rowOff>61913</xdr:rowOff>
        </xdr:to>
        <xdr:sp macro="" textlink="">
          <xdr:nvSpPr>
            <xdr:cNvPr id="9118" name="Button 2974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3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300</xdr:col>
          <xdr:colOff>85725</xdr:colOff>
          <xdr:row>13</xdr:row>
          <xdr:rowOff>76200</xdr:rowOff>
        </xdr:from>
        <xdr:to>
          <xdr:col>300</xdr:col>
          <xdr:colOff>523875</xdr:colOff>
          <xdr:row>14</xdr:row>
          <xdr:rowOff>61913</xdr:rowOff>
        </xdr:to>
        <xdr:sp macro="" textlink="">
          <xdr:nvSpPr>
            <xdr:cNvPr id="9119" name="Button 2975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3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319</xdr:col>
          <xdr:colOff>85725</xdr:colOff>
          <xdr:row>13</xdr:row>
          <xdr:rowOff>76200</xdr:rowOff>
        </xdr:from>
        <xdr:to>
          <xdr:col>319</xdr:col>
          <xdr:colOff>523875</xdr:colOff>
          <xdr:row>14</xdr:row>
          <xdr:rowOff>61913</xdr:rowOff>
        </xdr:to>
        <xdr:sp macro="" textlink="">
          <xdr:nvSpPr>
            <xdr:cNvPr id="9120" name="Button 2976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3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338</xdr:col>
          <xdr:colOff>85725</xdr:colOff>
          <xdr:row>13</xdr:row>
          <xdr:rowOff>76200</xdr:rowOff>
        </xdr:from>
        <xdr:to>
          <xdr:col>338</xdr:col>
          <xdr:colOff>523875</xdr:colOff>
          <xdr:row>14</xdr:row>
          <xdr:rowOff>61913</xdr:rowOff>
        </xdr:to>
        <xdr:sp macro="" textlink="">
          <xdr:nvSpPr>
            <xdr:cNvPr id="9121" name="Button 2977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3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378</xdr:col>
          <xdr:colOff>85725</xdr:colOff>
          <xdr:row>13</xdr:row>
          <xdr:rowOff>76200</xdr:rowOff>
        </xdr:from>
        <xdr:to>
          <xdr:col>378</xdr:col>
          <xdr:colOff>523875</xdr:colOff>
          <xdr:row>14</xdr:row>
          <xdr:rowOff>61913</xdr:rowOff>
        </xdr:to>
        <xdr:sp macro="" textlink="">
          <xdr:nvSpPr>
            <xdr:cNvPr id="9122" name="Button 2978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3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33338</xdr:colOff>
          <xdr:row>2</xdr:row>
          <xdr:rowOff>76200</xdr:rowOff>
        </xdr:from>
        <xdr:to>
          <xdr:col>12</xdr:col>
          <xdr:colOff>342900</xdr:colOff>
          <xdr:row>3</xdr:row>
          <xdr:rowOff>76200</xdr:rowOff>
        </xdr:to>
        <xdr:sp macro="" textlink="">
          <xdr:nvSpPr>
            <xdr:cNvPr id="13316" name="Button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4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2</xdr:row>
          <xdr:rowOff>80963</xdr:rowOff>
        </xdr:from>
        <xdr:to>
          <xdr:col>21</xdr:col>
          <xdr:colOff>333375</xdr:colOff>
          <xdr:row>3</xdr:row>
          <xdr:rowOff>80963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4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14288</xdr:colOff>
          <xdr:row>2</xdr:row>
          <xdr:rowOff>85725</xdr:rowOff>
        </xdr:from>
        <xdr:to>
          <xdr:col>14</xdr:col>
          <xdr:colOff>509588</xdr:colOff>
          <xdr:row>3</xdr:row>
          <xdr:rowOff>85725</xdr:rowOff>
        </xdr:to>
        <xdr:sp macro="" textlink="">
          <xdr:nvSpPr>
            <xdr:cNvPr id="13319" name="Button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4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akova" refreshedDate="42951.497732523145" createdVersion="4" refreshedVersion="3" minRefreshableVersion="3" recordCount="1002" xr:uid="{00000000-000A-0000-FFFF-FFFF25000000}">
  <cacheSource type="worksheet">
    <worksheetSource name="Tabulka_nakup_Vonka"/>
  </cacheSource>
  <cacheFields count="13">
    <cacheField name="Zkratka kalkulační položky" numFmtId="0">
      <sharedItems count="58">
        <s v=""/>
        <s v="OKS1"/>
        <s v="SUOS"/>
        <s v="STSP"/>
        <s v="STBR"/>
        <s v="STO2"/>
        <s v="OKS2"/>
        <s v="STLO"/>
        <s v="STSM"/>
        <s v="STO1"/>
        <s v="OKS3"/>
        <s v="ELMO"/>
        <s v="STPR"/>
        <s v="ELSP"/>
        <s v="STNO"/>
        <s v="STO3"/>
        <s v="OKHM"/>
        <s v="OSTS"/>
        <s v="OSZO"/>
        <s v="N/A"/>
        <s v="ELRS"/>
        <s v="SUSM"/>
        <s v="SUKA"/>
        <s v="PRMZ"/>
        <s v="PRDP"/>
        <s v="OKRO" u="1"/>
        <s v="RENO" u="1"/>
        <s v="OP" u="1"/>
        <s v="ELOZ" u="1"/>
        <s v="ELFM" u="1"/>
        <s v="ELZR" u="1"/>
        <s v="ELNN" u="1"/>
        <e v="#REF!" u="1"/>
        <s v="ELDK" u="1"/>
        <s v="STBU" u="1"/>
        <s v="OSOB" u="1"/>
        <s v="ELKL" u="1"/>
        <s v="ELSN" u="1"/>
        <s v="ELVY" u="1"/>
        <s v="ELPM" u="1"/>
        <s v="OSNA" u="1"/>
        <s v="ELKA" u="1"/>
        <s v="STVY" u="1"/>
        <s v="PROI" u="1"/>
        <s v="ELKT" u="1"/>
        <s v="STMA" u="1"/>
        <s v="SUHY" u="1"/>
        <s v="ELMT" u="1"/>
        <s v="OSDP" u="1"/>
        <s v="OPTN" u="1"/>
        <s v="ELDP" u="1"/>
        <s v="ELOS" u="1"/>
        <s v="STVA" u="1"/>
        <s v="REEX" u="1"/>
        <s v="STOS" u="1"/>
        <s v="ELSI" u="1"/>
        <s v="STST" u="1"/>
        <s v="SUPD" u="1"/>
      </sharedItems>
    </cacheField>
    <cacheField name="Zkratka a název skupiny" numFmtId="0">
      <sharedItems count="11">
        <s v=""/>
        <s v="OK | Ocelové kosntrukce"/>
        <s v="SU | Subdodávky"/>
        <s v="ST | Strojní"/>
        <s v="EL | Elektro"/>
        <s v="OS | Ostatní"/>
        <s v="N/A | Bez kalkulační položky"/>
        <s v="PR | Profese a služby"/>
        <s v="RE | Režie" u="1"/>
        <e v="#REF!" u="1"/>
        <s v="OP | Options" u="1"/>
      </sharedItems>
    </cacheField>
    <cacheField name="Zkratka a název kalkulační položky" numFmtId="0">
      <sharedItems count="65">
        <s v=""/>
        <s v="OKS1 | Svařenec třída 1"/>
        <s v="SUOS | Ostatní"/>
        <s v="STSP | Spojky"/>
        <s v="STBR | Brzdy"/>
        <s v="STO2 | Obrobky třída 2"/>
        <s v="OKS2 | Svařenec třída 2"/>
        <s v="STLO | Ložiska"/>
        <s v="STSM | Spojovací materiál"/>
        <s v="STO1 | Obrobky třída 1"/>
        <s v="OKS3 | Svařenec třída 3"/>
        <s v="ELMO | Motory"/>
        <s v="STPR | Převodovky"/>
        <s v="ELSP | Spínače"/>
        <s v="STNO | Normalizované"/>
        <s v="STO3 | Obrobky třída 3"/>
        <s v="OKHM | Hutní materiál"/>
        <s v="OSTS | Tabulky a štítky"/>
        <s v="OSZO | Závaží - Ocel"/>
        <s v="N/A | Bez kalkulační položky"/>
        <s v="ELRS | Řídící systém"/>
        <s v="SUSM | CMS"/>
        <s v="SUKA | Kabina"/>
        <s v="PRMZ | Montáž"/>
        <s v="PRDP | Doprava"/>
        <s v="SUPD | Podvozky" u="1"/>
        <s v="ELZR | Zprovoznění" u="1"/>
        <s v="STVY | Výkovky" u="1"/>
        <s v="ELDP | Doprava" u="1"/>
        <s v="ELKL | Klimatizace" u="1"/>
        <s v="ELOS | Osvětlení" u="1"/>
        <s v="ELDK | Dokumentace" u="1"/>
        <s v="ELOZ | Ostatní zařízení" u="1"/>
        <s v="OSNA | Náplně" u="1"/>
        <s v="OSOB | Obložení" u="1"/>
        <s v="STVA | Válečky" u="1"/>
        <s v="STOS | Ostatní" u="1"/>
        <s v="STBU | Bubny" u="1"/>
        <s v="OPTN | Options" u="1"/>
        <s v="ELFM | Frekvenční měniče" u="1"/>
        <e v="#REF!" u="1"/>
        <s v="ELNN | Rozvaděče NN" u="1"/>
        <s v="Options | 0" u="1"/>
        <s v="ELSI | Signalizace" u="1"/>
        <s v="OKRO | Rošty" u="1"/>
        <s v="PRSR | Servis" u="1"/>
        <s v="ELZZ | Záložní zdroj" u="1"/>
        <s v="STHV | Hydraulické válce" u="1"/>
        <s v="SUHY | Hydraulika" u="1"/>
        <s v="ELKT | Kabelové trasy" u="1"/>
        <s v="OP | Options" u="1"/>
        <e v="#N/A" u="1"/>
        <s v="STST | Stěrače" u="1"/>
        <s v="ELVY | Vypínače" u="1"/>
        <s v="RENO | Noen" u="1"/>
        <s v="ELKA | Kabely" u="1"/>
        <s v="ELMT | Montáž" u="1"/>
        <s v="STMA | Mazání" u="1"/>
        <s v="ELSN | Snímače" u="1"/>
        <s v="OSZB | Závaží - Beton" u="1"/>
        <s v="ELPM | Podružný montážní materiál" u="1"/>
        <s v="REEX | Externí" u="1"/>
        <s v="PROI | Oživení a instalace" u="1"/>
        <s v="OSDP | Dopravní pásy" u="1"/>
        <s v="ELDV | Dálkové ovládání" u="1"/>
      </sharedItems>
    </cacheField>
    <cacheField name="Výrobce / Dodavatel" numFmtId="0">
      <sharedItems count="87">
        <s v=""/>
        <s v="N/A"/>
        <s v="SEW"/>
        <s v="Svařenec"/>
        <s v="GAMA OCEL, spol. s r.o." u="1"/>
        <s v="Haberkorn Ulmer s. r. o." u="1"/>
        <s v="Arkys - dodávka elek, firmy" u="1"/>
        <s v="Jan Jušta Mgr." u="1"/>
        <s v="O.T.E.C. CR, s.r.o." u="1"/>
        <s v="Ing. Vlastimil Hebelka" u="1"/>
        <s v="KLEMENT a.s." u="1"/>
        <s v="ME Systems s. r. o." u="1"/>
        <s v="REVOS, s.r.o." u="1"/>
        <s v="Motor-Gear a. s." u="1"/>
        <s v="UNIMONT-CZ s.r.o." u="1"/>
        <s v="Ladislav Šebetka EKOKLIMA" u="1"/>
        <s v="Hennlich s.r.o." u="1"/>
        <s v="Martina Hilmarová" u="1"/>
        <s v="Kraus Naimer" u="1"/>
        <s v="Silentbloky.cz, s. r. o." u="1"/>
        <s v="Cebes a. s." u="1"/>
        <s v="NORDSTAHL s. r. o." u="1"/>
        <s v="ABB s.r.o." u="1"/>
        <s v="Ing. Martin Říman" u="1"/>
        <s v="ZKL Bearings CZ a. s." u="1"/>
        <s v="Transroll - CZ" u="1"/>
        <s v="Remis-NBC spol.s.r.o." u="1"/>
        <s v="Blickle, a. s." u="1"/>
        <s v="Arkov" u="1"/>
        <s v="OIL SLOVAKIA spol. s r.o." u="1"/>
        <s v="Metallan" u="1"/>
        <s v="STEUTE - Pull wire" u="1"/>
        <s v="Liebezeit hydraulik s.r.o." u="1"/>
        <s v="Serrated" u="1"/>
        <e v="#REF!" u="1"/>
        <s v="BOHEMIA CARGO s.r.o." u="1"/>
        <s v="Doprava na paletách s.r.o." u="1"/>
        <s v="SEGESTA s.r.o." u="1"/>
        <s v="Nordic Lights" u="1"/>
        <s v="NOSRETI a.s." u="1"/>
        <s v="SEA a.s." u="1"/>
        <s v="SKF CZ a. s. " u="1"/>
        <s v="EKOLUBE, s.r.o." u="1"/>
        <s v="Miloš Melichar - Doprava Žďas a. s." u="1"/>
        <s v="Sirena S. P. A." u="1"/>
        <s v="Hydraulics" u="1"/>
        <s v="RENOMAG spol. s r.o." u="1"/>
        <s v="Elektroprim - Koutník a.s." u="1"/>
        <s v="Hotel Prince de Ligne s.r.o." u="1"/>
        <s v="Žďas a. s." u="1"/>
        <s v="STAPI - Stanislav Pípal s. r. o." u="1"/>
        <s v="KTR CR spol. s. r. o." u="1"/>
        <s v="-" u="1"/>
        <s v="SEW-EURODRIVE CZ s. r. o." u="1"/>
        <s v="Hotel Royal Elmshorn GmbH" u="1"/>
        <s v="K &amp; V ELEKTRO a.s." u="1"/>
        <s v="KARBOTECHNIK spol. s. r. o." u="1"/>
        <s v="Posital Fraba" u="1"/>
        <s v="Lichtgitter CZ spol. s r. o." u="1"/>
        <s v="Webasto Thermo &amp; Comfort Czech Republic s.r.o." u="1"/>
        <s v="T.E.A. TECHNIK s. r. o." u="1"/>
        <s v="Sitall" u="1"/>
        <s v="CESTOVNÉ" u="1"/>
        <s v="Spálovský" u="1"/>
        <s v="Elektrodílna Dalecký s. r. o." u="1"/>
        <s v="DAP Centrum, s.r.o." u="1"/>
        <s v="Schneider Electric" u="1"/>
        <s v="DRIGA s.r.o." u="1"/>
        <s v="Pepperl + Fuchs" u="1"/>
        <s v="GGB Austria GmbH" u="1"/>
        <s v="Axima" u="1"/>
        <s v="TITAN INTERTRACTOR GmbH" u="1"/>
        <s v="KTR" u="1"/>
        <s v="UNIPO CZ s.r.o." u="1"/>
        <s v="ORLÍK-KOMPRESORY" u="1"/>
        <s v="VVV Most spol. s r.o." u="1"/>
        <s v="Metalimpex Group spol s.r.o." u="1"/>
        <s v="SQZ, s.r.o." u="1"/>
        <s v="ACHENBACH - CZ s. r. o." u="1"/>
        <s v="Siemens" u="1"/>
        <s v="Allen Bradley" u="1"/>
        <s v="Wikov" u="1"/>
        <s v="František Toman" u="1"/>
        <s v="Zebrafest (eshop)" u="1"/>
        <s v="SOPHIA, jazykové služby s.r.o." u="1"/>
        <s v="FONS s.r.o." u="1"/>
        <s v="Bred-Core EU s.r.o." u="1"/>
      </sharedItems>
    </cacheField>
    <cacheField name="Název" numFmtId="0">
      <sharedItems count="1431">
        <s v=""/>
        <s v="    Rám pohonu"/>
        <s v="    Vzduchové potrubí"/>
        <s v="    Spojka s brzdou - průměr 630"/>
        <s v="    Brzda"/>
        <s v="    Spojka"/>
        <s v="    Hřídel"/>
        <s v="    Podpěra"/>
        <s v="      Těleso ložiska"/>
        <s v="      Ložisko 22240 K"/>
        <s v="      Upínací pouzdro H3140 MB"/>
        <s v="      Spojovací materíál"/>
        <s v="    Polovina spojky"/>
        <s v="    Kardanový hřídel"/>
        <s v="    Hřídel pastorku"/>
        <s v="    Pastorek s cévovým ozubením"/>
        <s v="    Ložisko - průměr 200 mm"/>
        <s v="    Rám pastorku"/>
        <s v="    Krat pastorku"/>
        <s v="    Příložka"/>
        <s v="    Ozubené kolečko"/>
        <s v="    Kryt převodu"/>
        <s v="    Kryt brzdy"/>
        <s v="    Potrubí"/>
        <s v="    Distanční kroužek"/>
        <s v="    Držák krytu"/>
        <s v="    Elektromotor"/>
        <s v="    Převodovka (X4K270 n2=9,5 rpm, n1=1480 rpm, Fs=2, i= 151 )"/>
        <s v="    ELHY BL200 C"/>
        <s v="    Pogramový spínač"/>
        <s v="    Kohout výtokový"/>
        <s v="    Součásti potrubí"/>
        <s v="    Normalizované"/>
        <s v="    Spojovací materiál"/>
        <s v="    Kladka"/>
        <s v="    Rám"/>
        <s v="    Nosník"/>
        <s v="    Víko"/>
        <s v="    Osa - průměr 200 mm"/>
        <s v="    Přídržka"/>
        <s v="    Čep - průměr 110 mm"/>
        <s v="    Víčko"/>
        <s v="    Těsnění"/>
        <s v="    Šroubení"/>
        <s v="    Kryt"/>
        <s v="    Ložisko 22322"/>
        <s v="    Kladka - průměr 160 mm"/>
        <s v="    Čep - průměr 120 mm"/>
        <s v="    Ložisko 22324"/>
        <s v="    Díl nákolku"/>
        <s v="    Ocelové profily"/>
        <s v="  Céva"/>
        <s v="  Příložka"/>
        <s v="  Rám"/>
        <s v="    Boční opěra pravá"/>
        <s v="    Boční opěra levá"/>
        <s v="    Táhlo"/>
        <s v="    Sestavení páky"/>
        <s v="    Nárazník"/>
        <s v="    Opěra boční"/>
        <s v="    Pružinový tlumič"/>
        <s v="    Brzda posuvu mostu"/>
        <s v="    Čep 70"/>
        <s v="    Čep 100"/>
        <s v="    Konzola"/>
        <s v="    Čep - průměr 63 x 135 mm"/>
        <s v="    Trubkový oblouk (Zkroužená trubka)"/>
        <s v="    Příčka (Ohnutý plech)"/>
        <s v="    Lišta"/>
        <s v="    Opěrný plech"/>
        <s v="    Kotvení šroubu"/>
        <s v="  Koncové vypínání"/>
        <s v="  Tabulky pro ustavení vagonů"/>
        <s v="  Bezpečnostní tabulky"/>
        <s v="  Protizávaží"/>
        <s v="  Kabelový přívod"/>
        <s v="  Podložka"/>
        <s v="  Šroub M30 x 800"/>
        <s v="  Šroub M42 x 3 x 200"/>
        <s v="  Šroub M24"/>
        <s v="  Úpinka M12 x 100"/>
        <s v="  Spojovací materiál"/>
        <s v="  Ocelové profily"/>
        <s v="  Elektro"/>
        <s v="  Řídicí systém"/>
        <s v="  CMS"/>
        <s v="  Kabina"/>
        <s v="  Ocelová konstrukce"/>
        <s v="  Montáž"/>
        <s v="  Demontáž"/>
        <s v="  Doprava"/>
        <s v="      Konzola ZP1" u="1"/>
        <s v="      Vedení (PNS-301501-2B)" u="1"/>
        <s v="        Kotouč clony snímače (PND-400929-B)" u="1"/>
        <s v="    Kompresor + Tlaková nádoba (SKS 9 / 50 (016000013011V1))" u="1"/>
        <s v="        Standardní úchyt roštu V 30 ()" u="1"/>
        <s v="    Indukční snímač (NBBB15-30GM30-E3-V1; 10-30VDC, dosah 15mm; NC)" u="1"/>
        <s v="    Obložení 7" u="1"/>
        <s v="        Rošt (SP 34x38, 30/3x LEM, Zn, 546x209)" u="1"/>
        <s v="    Buben poháněcí" u="1"/>
        <s v="    H07RNF 4G16" u="1"/>
        <s v="  Ubytování,28.9.-1.10.2014 ()" u="1"/>
        <s v="  Překlad AJ, NJ" u="1"/>
        <s v="      Kryt skluzu - Díl 1 (PNS-301687-1A)" u="1"/>
        <s v="        Kryt pohonu klimatizace" u="1"/>
        <s v="      Kryt skluzu - Díl 2 (PNS-301688-1A)" u="1"/>
        <s v="      Motorový kabel - Kabel pro pohon otoče (35 m 4G1, 5, Chainflex CF35)" u="1"/>
        <s v="    Upínací pouzdro (OH 3960 H)" u="1"/>
        <s v="        Kryt pohonu klimatizace (PNS-301621-1A)" u="1"/>
        <s v="      Stěrač VB - KV kostra (PNS-200784-1A)" u="1"/>
        <e v="#REF!" u="1"/>
        <s v="  Zdeněk Pavel ()" u="1"/>
        <s v="      Spojka" u="1"/>
        <s v="    Přední ucho (PND-400918-A)" u="1"/>
        <s v="      Rameno záchytu" u="1"/>
        <s v="      Zámek 1" u="1"/>
        <s v="      HL237A; HL237B (Zářivkové svítidlo PERUN 218 Polar ta-40)" u="1"/>
        <s v="      SQ32, 33 (Indukční snímač NBB15-30GM30-E3-V1)" u="1"/>
        <s v="      SQ34, 35 (Indukční snímač NBB15-30GM30-E3-V1)" u="1"/>
        <s v="      SQ36, 37 (Indukční snímač NBB15-30GM30-E3-V1)" u="1"/>
        <s v="  Ubytování 16.9.-19.9.2014 ()" u="1"/>
        <s v="    Víko 2" u="1"/>
        <s v="    Kabina řidiče K100.2" u="1"/>
        <s v="        Napínání (PNS-301614-1A)" u="1"/>
        <s v="      Spojka (KW - 10 / 10)" u="1"/>
        <s v="    Clona svodky" u="1"/>
        <s v="      Rameno stěrače VB - KV" u="1"/>
        <s v="    Boční držák válečku 3 - NV" u="1"/>
        <s v="    H07RNF 5G2,5 ()" u="1"/>
        <s v="      Frekvenční měnič - FM pojezdu (ACS880-01-072A-3, R5)" u="1"/>
        <s v="    Vymezovací podložky bubnu NV" u="1"/>
        <s v="      Koncovka ES (ES 14 NI (561030114400))" u="1"/>
        <s v="      Hydraulický agregát" u="1"/>
        <s v="    Rozvodnice ALS 10 04 04 vč. přírub…." u="1"/>
        <s v="    Indukční snímač" u="1"/>
        <s v="      Manžeta (č. z. 321001 - 0669)" u="1"/>
        <s v="    Pouzdro" u="1"/>
        <s v="      Zábradlí lávky kabiny 2 (PNS-200680-1A)" u="1"/>
        <s v="        Kotouč clony snímače" u="1"/>
        <s v="    Víko 1" u="1"/>
        <s v="    Prostorový termostat" u="1"/>
        <s v="    Snímač teploty (PT10; IP55; Snímač Pt100; +50 až +80 °C (snímání venkovní teploty))" u="1"/>
        <s v="    Obložení 6" u="1"/>
        <s v="    Boční držák válečku 1 - NV" u="1"/>
        <s v="    Světlomet (N44 LED G2, 35W, 24V, IP68, Wideflood, 1900Im (osvětlení přesypu, lávky, KV spodní, NV spodní))" u="1"/>
        <s v="    Prstenec (PNS-200695-1A)" u="1"/>
        <s v="        Pryžový pás (PND-401037-B)" u="1"/>
        <s v="    Těsnění 1 - Příložka" u="1"/>
        <s v="    Těsnění 2 - Příložka" u="1"/>
        <s v="    Těsnění 3 - Příložka" u="1"/>
        <s v="      Kostka 2 (PNS-301483-1A)" u="1"/>
        <s v="      HA92 (Houkačka SAI240A)" u="1"/>
        <s v="    Víko 1 (PNS-301442-1A)" u="1"/>
        <s v="    Asolutní rotační snímač" u="1"/>
        <s v="      Styčníkový plech 4 (PND-401242-B)" u="1"/>
        <s v="    Víko 2 (PNS-301443-1A)" u="1"/>
        <s v="    Kompenzační kroužek (PND-400933-A)" u="1"/>
        <s v="      H07RNF 5G6" u="1"/>
        <s v="      XS521; XS522 (Zásuvka nástěnná pro smyčkování 432RL6W)" u="1"/>
        <s v="        Planetová převodovka" u="1"/>
        <s v="    Víko adaptérů" u="1"/>
        <s v="      Rozpěrná trubka" u="1"/>
        <s v="    CMFM 7G1,5" u="1"/>
        <s v="    Zářivkové svítidlo průmyslové PERUN (216 Polar ta-40, s pulsním startérem, včetně 2 trubic Aura Ultimate \thermo, 2x18W;230V (osvětlení rozvodny HY))" u="1"/>
        <s v="      Rám stěrače" u="1"/>
        <s v="      Konzola" u="1"/>
        <s v="  Doprava hřídele kolesa" u="1"/>
        <s v="      Motorový vývod NV (Jistič, stykače)" u="1"/>
        <s v="    Pražec traťový" u="1"/>
        <s v="    Konzola podpěrného bubnu (PND-400941-B)" u="1"/>
        <s v="      Manžeta (Ø 44 / Ø 44 - 30 / 180)" u="1"/>
        <s v="    Pero 2" u="1"/>
        <s v="      Těsnění 1 - Závěs A" u="1"/>
        <s v="  Přeprava Teplice-Lagerdorf" u="1"/>
        <s v="    Ložisko " u="1"/>
        <s v="      Snímač otáček bubnu (Indukční snímač)" u="1"/>
        <s v="    Houkačka" u="1"/>
        <s v="  Překlady  ()" u="1"/>
        <s v="  Revize" u="1"/>
        <s v="    Závaží (PNS-200744-2B)" u="1"/>
        <s v="    Boční držák válečku 3 - NV (PND-401250-A)" u="1"/>
        <s v="        Kompresor" u="1"/>
        <s v="    Těleso (PNS-301526-1A)" u="1"/>
        <s v="    Okap (PNS-301752-1A)" u="1"/>
        <s v="    Kostka (PNS-400969-1A)" u="1"/>
        <s v="      Olflex 440 CP 4G1" u="1"/>
        <s v="    Kryt kabelů" u="1"/>
        <s v="        Zesílení" u="1"/>
        <s v="      Čistič obuvi" u="1"/>
        <s v="    Pero 1" u="1"/>
        <s v="    CMSM 4G1" u="1"/>
        <s v="    Obložení 5" u="1"/>
        <s v="    Pákový mazací lis (ECO - LUBE, M10 x 1)" u="1"/>
        <s v="    PLO 50 x 4 - 1440" u="1"/>
        <s v="      Bedna na nářadí ()" u="1"/>
        <s v="    Konzola bedny na nářadí (PND-301524-2B)" u="1"/>
        <s v="      HL411; HL413; HL414; HL415 (Světlomet N46 LED)" u="1"/>
        <s v="      Zámek 2" u="1"/>
        <s v="    Nástěnný držák žlabu" u="1"/>
        <s v="  Shell Spirax S2 (Shell Spirax S2 A 800W - 90)" u="1"/>
        <s v="    Oko závěsu kabelů" u="1"/>
        <s v="    Páska" u="1"/>
        <s v="    H07RNF 3G2,5" u="1"/>
        <s v="    Spínač jednopólový" u="1"/>
        <s v="    Šipka - Front ()" u="1"/>
        <s v="      Rošt - Žebřík" u="1"/>
        <s v="      Koreček OK + řetěz" u="1"/>
        <s v="    Svorkovnicová skříň X100" u="1"/>
        <s v="      Zámek 1 (PND-400991-A)" u="1"/>
        <s v="        Víčko ()" u="1"/>
        <s v="    Elektromotor - Převodový" u="1"/>
        <s v="    Boční držák válečku 1 - KV" u="1"/>
        <s v="  Vonka Jiří ()" u="1"/>
        <s v="  Ing. Jindřich Huběnka ()" u="1"/>
        <s v="    Vačkový spínač ve skříni (KG10 T103/40 KS51V)" u="1"/>
        <s v="        du/dt filtr pro kroužkový sběrač - Filtr pojezdu (NOCH0070-65)" u="1"/>
        <s v="      Olflex 440 CP 12G1" u="1"/>
        <s v="    Ložisko hřídele kolesa" u="1"/>
        <s v="        Náboj 6 (PND-401070-B)" u="1"/>
        <s v="      Závěs nářadí (PNS-200782-1A)" u="1"/>
        <s v="    Montáž hlavního stěrače ()" u="1"/>
        <s v="    Kabel průvěs - Svařenec" u="1"/>
        <s v="    Stěrka bubnu" u="1"/>
        <s v="      Pojistkový držák + pojistky - pro FM otoče NV (3x gG AC pojistka 16A, 000, 1x odpínač FH000-3A/T)" u="1"/>
        <s v="    Labyrint 2 (PND-301440-A)" u="1"/>
        <s v="      Instalace rozvodu vzduchu" u="1"/>
        <s v="  Právní poradenství - Smlouva pro rýpadlo" u="1"/>
        <s v="      Olflex 440 CP 18G1" u="1"/>
        <s v="    Přední ucho" u="1"/>
        <s v="      S4; S5 (Vačkový spínač KG64 T103/40 KL11V)" u="1"/>
        <s v="      Hydraulický olej (HM 32)" u="1"/>
        <s v="      Deska" u="1"/>
        <s v="      Profil L" u="1"/>
        <s v="  Doprava podvozků ()" u="1"/>
        <s v="    Buben vratný napínací" u="1"/>
        <s v="      Kostka 1 (PNS-301522-1A)" u="1"/>
        <s v="      Pojistná deska (PND-301475-A)" u="1"/>
        <s v="    Obložení 4" u="1"/>
        <s v="    Vzpěra" u="1"/>
        <s v="      Navařovací oko" u="1"/>
        <s v="      NSSHCOEU 3 x 35 + 3 x 16" u="1"/>
        <s v="        Silentblok (Silentblok 30 / 25 - typ 2 / M8 x 20 (8 ks))" u="1"/>
        <s v="      Kostka 2 (PNS-301523-1A)" u="1"/>
        <s v="    Olflex 440 CP 4G1" u="1"/>
        <s v="      Podložka elektromotoru 1" u="1"/>
        <s v="        Lávka obsluhy - Zábradlí levé (PNS-200670-2B)" u="1"/>
        <s v="      S2; S3 (Vačkový spínač KG20 T103/40 KL51V)" u="1"/>
        <s v="    Poklop střední (PNS-200666-1A)" u="1"/>
        <s v="  Petr Dluhoš" u="1"/>
        <s v="    Obložení 5 (PNS-400960-2B)" u="1"/>
        <s v="    H07RNF 3G1,5" u="1"/>
        <s v="    Obložení 6 (PNS-400961-2B)" u="1"/>
        <s v="    Pražec X1" u="1"/>
        <s v="  GPS zařízení, účet na vidimte.cz (GPS zařízení = 12 900 Kč)" u="1"/>
        <s v="        Příčka (PNS-301542-A)" u="1"/>
        <s v="    Obložení 7 (PNS-400962-2B)" u="1"/>
        <s v="    Obložení 8 (PNS-400963-2B)" u="1"/>
        <s v="    Upínací pouzdro (OH 3064 H)" u="1"/>
        <s v="    Přčevodový motor + brzda (komplet) (FZF89-LES180ZLJ4E-L260MGHA)" u="1"/>
        <s v="    Přepážka žlabu" u="1"/>
        <s v="      Rošty - Horní lávka" u="1"/>
        <s v="    Čep KV" u="1"/>
        <s v="        Konzola čídel prokluzu" u="1"/>
        <s v="    PLO 50 x 4 - 1440 ()" u="1"/>
        <s v="      Pevný rám (PNS-100327-2B)" u="1"/>
        <s v="    Pražec traťový zesílený (PNS-301470-2B)" u="1"/>
        <s v="  Jan Hricák" u="1"/>
        <s v="      Víčko - Horní" u="1"/>
        <s v="      HL412; HL416; HL417; HL418 (Světlomet N44 LED G2)" u="1"/>
        <s v="    Zářivkové svítidlo průmyslové PERUN (218 Polar ta-40, s pulsním startérem, včetně 2 trubic Aura Ultimate \thermo, 2x18W;230V (osvětlení prostoru kompresoru))" u="1"/>
        <s v="  Elektroinstalační práce ()" u="1"/>
        <s v="    Rošty (M2 300/50; Žárově zinkovány ARK-221160; 2000 mm)" u="1"/>
        <s v="0" u="1"/>
        <s v="      Konzola ZP2" u="1"/>
        <s v="      Spir. hadice (6,5 x 10 x 5 M)" u="1"/>
        <s v="      Pevný rám" u="1"/>
        <s v="    Distanční kroužek (PND-401276-A)" u="1"/>
        <s v="      Pojistná deska" u="1"/>
        <s v="      Stolička (PNS-301507-1A)" u="1"/>
        <s v="      Držák stěrače VB - KV" u="1"/>
        <s v="    Sklonoměr dvojosý (STS-003-2-40-I-4)" u="1"/>
        <s v="    Bezpečnostní lankový spínač (ZS 80 4O WVD Bezpečnostní lankový spínač; ZS 80 4O WVD s tlačítkem pro zapnutí; IP67 (dodávka REM); Včetně příslušenství - lanko, oka, svorky)" u="1"/>
        <s v="    Dopravní pas NV (GTDB Transbelt EP - 630 / 3 AA 4+2)" u="1"/>
        <s v="    Přídržka clony dlouhá (PNS-200779-1A)" u="1"/>
        <s v="    Obložení 3" u="1"/>
        <s v="  Dolní deska (PND-400982-A)" u="1"/>
        <s v="    Obložení T8 (PNS-301557-1A)" u="1"/>
        <s v="    Těsnění plstěné" u="1"/>
        <s v="  Přeprava kusových zásilek ()" u="1"/>
        <s v="    Pružina" u="1"/>
        <s v="    CMSM 3G1,5" u="1"/>
        <s v="      Spojovací materiál (Nord Lock)" u="1"/>
        <s v="      Hydraulická hadice červená" u="1"/>
        <s v="      Konzola světla KV1 (PND-401259-A)" u="1"/>
        <s v="    Distanční podložky (PND-400932-A)" u="1"/>
        <s v="    Kryt napájení" u="1"/>
        <s v="  Montážní práce při kompletaci rypadla ()" u="1"/>
        <s v="      Těsnění 4 - Plech 1" u="1"/>
        <s v="      Lávka kabiny - Rošty" u="1"/>
        <s v="    Stěrač (hlavní)" u="1"/>
        <s v="  Kryt ()" u="1"/>
        <s v="      Těsnění 1 - Závěs A (PNS-301855-1A)" u="1"/>
        <s v="      Držák stěrače (PNS-301456-1A)" u="1"/>
        <s v="      Deska 1" u="1"/>
        <s v="    Buben poháněcí (RTM 400.A60–0415; 145 000 Kč)" u="1"/>
        <s v="      Držák stěrače VB - KV (PNS-301886-1A)" u="1"/>
        <s v="      Konzola čídel prokluzu (PNS-301447-2B)" u="1"/>
        <s v="        Příčka" u="1"/>
        <s v="  Zboží dle obj." u="1"/>
        <s v="    Pražec traťový (PNS-301469-2B)" u="1"/>
        <s v="    Vymezovací podložky bubnu NV (PNS-401187-1A)" u="1"/>
        <s v="    Olflex 440 CP 7G1" u="1"/>
        <s v="    Posuvný váleček" u="1"/>
        <s v="    Pero 2 (PND-401020-A)" u="1"/>
        <s v="      Odpínač (OT315KLUU4BZ)" u="1"/>
        <s v="        Upínací pouzdro Tapec Lock" u="1"/>
        <s v="  Dolní distanční kroužek (PND-400984-A)" u="1"/>
        <s v="    Oko 01 (PND-401022-A)" u="1"/>
        <s v="    Váleček hladký (č. 3-20054-00125)" u="1"/>
        <s v="    Oko 02 (PND-401023-A)" u="1"/>
        <s v="    Pojistný segment 1 (PND-400934-A)" u="1"/>
        <s v="    Oko 03 (PND-401024-A)" u="1"/>
        <s v="  Horní distanční kroužek (PND-400983-A)" u="1"/>
        <s v="    Oko 04 (PND-401025-A)" u="1"/>
        <s v="  Dolní distanční kroužek" u="1"/>
        <s v="      Rošty - Horní lávka (SP 34x38; 30/3; LEM; Zn; 495x998)" u="1"/>
        <s v="      SQ.M1 (Brzda Stromag - parkovací)" u="1"/>
        <s v="      SQ.M1 - Brzda Stromag (parkovací)" u="1"/>
        <s v="  Horní distanční kroužek" u="1"/>
        <s v="  Zahraniční doprava import ()" u="1"/>
        <s v="    Kabina řidiče K100.2 (PNS-200708-1A)" u="1"/>
        <s v="      Stírací pás" u="1"/>
        <s v="      Ofukovací pistole" u="1"/>
        <s v="    Obložení 2" u="1"/>
        <s v="  Ohřev svodek kolesa" u="1"/>
        <s v="    Víko ložiska - Dolní" u="1"/>
        <s v="  Doprava podvozků" u="1"/>
        <s v="    Kryt (PNS-301498-1A)" u="1"/>
        <s v="        Náboj 5 (PND-301612-A)" u="1"/>
        <s v="    Pojistná kostka (PND-401000-A)" u="1"/>
        <s v="    Váleček hladký (č. 3-20054-00141)" u="1"/>
        <s v="      Clona svařenec (PNS-301592-2B)" u="1"/>
        <s v="    Pražec X2" u="1"/>
        <s v="    Plech (P4 - 940 x 1125)" u="1"/>
        <s v="    Odtlačovací kostka" u="1"/>
        <s v="        Středící kostka (PND-401072-A)" u="1"/>
        <s v="    Příčník" u="1"/>
        <s v="        Plechy - svařence (P40-455x660; P35-697x1260)" u="1"/>
        <s v="      Deska vnější" u="1"/>
        <s v="    H07RN-F 5Gx70 ()" u="1"/>
        <s v="    Kryt závitů (PNS-301630-1A)" u="1"/>
        <s v="    Stěrač přítlačného bubnu (PNS-200787-1A)" u="1"/>
        <s v="      Hydraulický válec (LFM 6 /160)" u="1"/>
        <s v="  OK Kolesa - kuželové" u="1"/>
        <s v="  Rám nakládacího výložníku (PNS-100328-2B)" u="1"/>
        <s v="    Snímač teploty (PT35-34 mm; M12 x 1,75; Pt100/B; 2 m kabel; 120° (snímání teploty ložisek kolesa))" u="1"/>
        <s v="  Upínací kroužek (PND-301516-A)" u="1"/>
        <s v="      Trubička mazání pastorku" u="1"/>
        <s v="      Třecí kotouč (PND-301564-A)" u="1"/>
        <s v="      M1 - Motor nakrátko (M3BP 280 SMB4 3GBP 282 220 - ADG)" u="1"/>
        <s v="      Kopoflex JZ500-C 25 x 1" u="1"/>
        <s v="        Řemen Super HC" u="1"/>
        <s v="      Obložení 22" u="1"/>
        <s v="    Pryžový segment (PND-401050-A)" u="1"/>
        <s v="  Konzola pro rotační převaděč" u="1"/>
        <s v="    Motor s brzdou Stromag (M3BP 250 SMC - 81 kW)" u="1"/>
        <s v="      Konzola 2" u="1"/>
        <s v="      Rám pohonu kolesa" u="1"/>
        <s v="    Motor pohonu kolesa" u="1"/>
        <s v="      Držák" u="1"/>
        <s v="      Styčníkový plech 1" u="1"/>
        <s v="      Výroba hřídel kolesa" u="1"/>
        <s v="      Těsnění 5 - Těsnění (PND-401238-A)" u="1"/>
        <s v="      Lávka kabiny - Rošty (Rošt SP 34x38;30/3;LEM;Zn;720x)" u="1"/>
        <s v="    Obložení T8" u="1"/>
        <s v="    Doprava 2 ks hlavních stěračů ()" u="1"/>
        <s v="    Obložení 1" u="1"/>
        <s v="      Koncovka ES (ES14 NA (561030114200))" u="1"/>
        <s v="  Rám nakládacího výložníku" u="1"/>
        <s v="    Prsten kolesa ()" u="1"/>
        <s v="  Ing. Stanislav Vrzal ()" u="1"/>
        <s v="  GZS" u="1"/>
        <s v="  HZS" u="1"/>
        <s v="    Víko ložiska - Horní" u="1"/>
        <s v="    Čep KV (PND-200639-B)" u="1"/>
        <s v="        Rošty (PNS-301547-1A)" u="1"/>
        <s v="  Poskytování služeb kontrolora ()" u="1"/>
        <s v="    Zásuvka nástěnná pro smyčkování" u="1"/>
        <s v="      Čep 30 - 80" u="1"/>
        <s v="    Čep NV" u="1"/>
        <s v="      Deska 2" u="1"/>
        <s v="      Clona snímače" u="1"/>
        <s v="    Závěs kabelu L (PNS-301527-1A)" u="1"/>
        <s v="    Pražec traťový (PNS-301534-2B)" u="1"/>
        <s v="      Had. vyustka ()" u="1"/>
        <s v="ZKOUŠKY STROJE" u="1"/>
        <s v="      Styčníkový plech 2" u="1"/>
        <s v="        Lávka obsluhy - Zábradlí pravé" u="1"/>
        <s v="  Dokumentace skutečného stavu ()" u="1"/>
        <s v="      Přídržka 40 (PND-401007-A)" u="1"/>
        <s v="    Vložka snímače tahu přív. kab. (PND-401202-A)" u="1"/>
        <s v="    Čep HV NV" u="1"/>
        <s v="    Závěs kabelu P (PNS-301528-1A)" u="1"/>
        <s v="    Plech" u="1"/>
        <s v="        Náboj 1 (PND-401062-B)" u="1"/>
        <s v="      Trubička mazání pastorku (PND-401235-A)" u="1"/>
        <s v="    Spojka zemnicí (SVZM 1)" u="1"/>
        <s v="        Lávka obsluhy - Rámeček (PNS-301546-2B)" u="1"/>
        <s v="    Vačkový spínač ve skříni" u="1"/>
        <s v="    Spojky víka (SVM1; ARK-223085)" u="1"/>
        <s v="  Doprava krytu+2 rampy+příslušenství ()" u="1"/>
        <s v="    Olflex 440 CP 12G1" u="1"/>
        <s v="    Obložení oblouk (PND-200699-A)" u="1"/>
        <s v="    Maz. sp. násuv (Maz. Sp. Násuv 22 mm , M10 x 1)" u="1"/>
        <s v="    Čep" u="1"/>
        <s v="    Poklop malý" u="1"/>
        <s v="    Hydraulika komplet ()" u="1"/>
        <s v="    Plenta" u="1"/>
        <s v="    Převodový motor + brzda (komplet) (FZF89-LES180ZLJ4E-L260MGHA)" u="1"/>
        <s v="        Náboj 1" u="1"/>
        <s v="  Balné a dopravné - Sada LUKAS" u="1"/>
        <s v="    Indukční snímač (NCN8-18GM40-N0; 8,2 V NAMUR, Dosah 8 mm; NC, 3 mA, kabel 2 m; IP67 (prokluz spojky kolesa))" u="1"/>
        <s v="    Zásuvka nástěnná pro smyčkování (5518-2750)" u="1"/>
        <s v="  Cateringové služby 5.9.2014, Akce představení rýpadla K100.1 ()" u="1"/>
        <s v="    Váleček hladký" u="1"/>
        <s v="      Těsnění 2 - Závěs" u="1"/>
        <s v="    PLO 25 x 5 - 16 bm ()" u="1"/>
        <s v="      Styčníkový plech 3" u="1"/>
        <s v="      Konzola světla NV" u="1"/>
        <s v="        Náboj 2" u="1"/>
        <s v="    Třecí kroužek (PND-401006-A)" u="1"/>
        <s v="    Odpínač" u="1"/>
        <s v="      Výroba hřídel kolesa (PND-200633-A)" u="1"/>
        <s v="    Elektro součástka převaděče (Kroužkový sběrač dne nabídky Z474 od Dominika)" u="1"/>
        <s v="    Rotační kroužkový převaděč  (Kroužkový sběrač dne nabídky Z474 od Dominika)" u="1"/>
        <s v="    Převáděcí plech (PND-301509-A)" u="1"/>
        <s v="    Konzola válečku (PND-400942-B)" u="1"/>
        <s v="      Ložisko (61907 2RS1)" u="1"/>
        <s v="        Clona snímače (PND-301444-A)" u="1"/>
        <s v="      Konzola snímače (PND-301536-A)" u="1"/>
        <s v="      Osvětlení rozvodny (Svítidla Slovled)" u="1"/>
        <s v="      Těsnění 3 - Závěs" u="1"/>
        <s v="    Šipka" u="1"/>
        <s v="    Elektro dvířka (PNS-301519-1A)" u="1"/>
        <s v="      XS511 - XS516 (Zásuvka nástěnná 5518-3750)" u="1"/>
        <s v="        Řemenice pro Taper Lock" u="1"/>
        <s v="      Rameno záchytu (PNS-200689-1A)" u="1"/>
        <s v="    Pražec X3" u="1"/>
        <s v="  Heinz Luděk ()" u="1"/>
        <s v="    Podružný materiál kabelových tras ()" u="1"/>
        <s v="    Těsnění plstěné (7,5 x 9 - 1 000 mm - Pás)" u="1"/>
        <s v="        Náboj 3" u="1"/>
        <s v="    H07RNF 4G1,5" u="1"/>
        <s v="  Zprovoznění stroje ()" u="1"/>
        <s v="    Záslepka ILT ()" u="1"/>
        <s v="      Těsnění 4 - Závěs" u="1"/>
        <s v="        Motor (1LE1002-1AB42-2AA5-Z_F74+H04+L21+L22+R11)" u="1"/>
        <s v="      Styčníkový plech 4" u="1"/>
        <s v="    Olej ARAL HLP 2" u="1"/>
        <s v="      HL 235 (Zářivkové svítidlo PERUN 236 Polar ta-40)" u="1"/>
        <s v="    Kryt kabelů (PNS-100319-2B)" u="1"/>
        <s v="        Kuželočelní přev. motor s adaptérem (+spojka)" u="1"/>
        <s v="        Lem 1 (PND-401074-A)" u="1"/>
        <s v="        Ozubené kolo" u="1"/>
        <s v="    Spojení dopravního pasu KV (Montáž a spojení pasu š. 800 mm)" u="1"/>
        <s v="    Spojení dopravního pasu NV (Montáž a spojení pasu š. 800 mm)" u="1"/>
        <s v="        Rámeček" u="1"/>
        <s v="    Přesyp - Svařenec (PNS-000367-1A)" u="1"/>
        <s v="    Boční držák válečku 1 - KV (PND-401246-A)" u="1"/>
        <s v="      Těsnění 5 - Závěs" u="1"/>
        <s v="      Konzola ()" u="1"/>
        <s v="    Axiální ložisko (PND-301451-A)" u="1"/>
        <s v="      Nárazník (PND-401083-A)" u="1"/>
        <s v="      Sestava zubu" u="1"/>
        <s v="  Kryt pohonu podvozku" u="1"/>
        <s v="        Náboj 5" u="1"/>
        <s v="        Spojka OMEGA (Rexnord Omega E 60 m element)" u="1"/>
        <s v="      Kryt snímače (PND-301538-A)" u="1"/>
        <s v="      Těsnění 1 - Závěs B (PNS-401222-1A)" u="1"/>
        <s v="      Těsnění 4 - Plech 1 (PNS-200785-1A)" u="1"/>
        <s v="      Plechy - svařenec (PNV-000373-A)" u="1"/>
        <s v="    Elektroinstalační materiál ()" u="1"/>
        <s v="        Deska (PNS-200713-1A)" u="1"/>
        <s v="  Spojení dopravního pasu (Montáž a spojení pasu š. 800 mm)" u="1"/>
        <s v="      Styčníkový plech 5" u="1"/>
        <s v="  Doprava 2 ks hlavního stěrače" u="1"/>
        <s v="    CMFM 7G1,5 ()" u="1"/>
        <s v="        Náboj 6" u="1"/>
        <s v="      Deska (PND-400940-A)" u="1"/>
        <s v="    Víka roštů" u="1"/>
        <s v="    Olflex 440 CP 18G1" u="1"/>
        <s v="      Doraz dveří" u="1"/>
        <s v="      Držák (PND-400980-A)" u="1"/>
        <s v="        Lávka obsluhy - Zábradlí levé" u="1"/>
        <s v="    Pojistný segment 1" u="1"/>
        <s v="      Těsnění 2 - Závěs (PNS-301856-1A)" u="1"/>
        <s v="    Přepážka žlabu (KPMZ 50; ARK-222305)" u="1"/>
        <s v="  Stanislav Páca" u="1"/>
        <s v="      Podložka elektromotoru 0,3" u="1"/>
        <s v="  Odpínač v kovové skříni černá rukojet" u="1"/>
        <s v="      Podložka elektromotoru 0,3 (PND-401060-A)" u="1"/>
        <s v="      Planetová, kuželočelní převodovka (PHF072/T planetová;KF157 kuželočelní, AD8)" u="1"/>
        <s v="      Nárazník" u="1"/>
        <s v="    Adaptér" u="1"/>
        <s v="      Pojistkový držák + pojistky - Pro FM otoče pojezdu (3x gG pojistka 80A, 000, odpínač FH000-3A/T)" u="1"/>
        <s v="  Vonka Jiří" u="1"/>
        <s v="        Montážní kit (Montagekit 2 x 6 m)" u="1"/>
        <s v="    Kopoflex JZ500-C 25 x 1" u="1"/>
        <s v="    Boční držák válečku G1 - KV" u="1"/>
        <s v="    Boční držák válečku 2 - KV (PND-401247-A)" u="1"/>
        <s v="    Boční držák válečku G2 - KV" u="1"/>
        <s v="        Redukce silentbloku klimatizace" u="1"/>
        <s v="      Podložka (Clonka) (PND-400930-A)" u="1"/>
        <s v="    Koncový spínač (440P-MMHB13B; 3R/1Z)" u="1"/>
        <s v="    Boční držák válečku G3 - KV" u="1"/>
        <s v="    Zdroj" u="1"/>
        <s v="    Příložka HV NV" u="1"/>
        <s v="    Olflex 440 CP 12G1 ()" u="1"/>
        <s v="    Boční držák válečku G4 - KV" u="1"/>
        <s v="    Víko (PND-401004-A)" u="1"/>
        <s v="    Zakrytování pohonu kolesa (PNS-000357-2B)" u="1"/>
        <s v="      Těsnění 3 - Plech (PNS-301892-1A)" u="1"/>
        <s v="    Maz. Sp. Násuv" u="1"/>
        <s v="        Válcová pružina" u="1"/>
        <s v="      Kotoučová pružina" u="1"/>
        <s v="    PLO 25 x 5 - 16 bm" u="1"/>
        <s v="    Světlomet (LED 35W; 24V; N44 LED G2; Nordic Lights; Wideflood (osvětlení lávky u kabiny, vzad))" u="1"/>
        <s v="        Deska 2 (PND-401033-A)" u="1"/>
        <s v="    Víko ložiska - Horní (PND-301453-A)" u="1"/>
        <s v="        Rošt" u="1"/>
        <s v="      Odpínač QP1 (OT315KLUU4BZ)" u="1"/>
        <s v="      S6; S7; S10 (Vačkový spínač ve skříni KG10 T103/40 KS51V)" u="1"/>
        <s v="        Náboj 2 (PND-401063-A)" u="1"/>
        <s v="    Pražec X4" u="1"/>
        <s v="      Ozubené kolo (PND-301476)" u="1"/>
        <s v="      Plech" u="1"/>
        <s v="      H07RNF 19G1,5" u="1"/>
        <s v="      Čistič obuvi (PNS-301833-2B)" u="1"/>
        <s v="      Nástěnný držák žlabu (DZM10; ARK - 224100)" u="1"/>
        <s v="    Pražec X3 (PNS-301467-2B)" u="1"/>
        <s v="      Podložka elektromotoru 1 (PND-400931-A)" u="1"/>
        <s v="      Deska vnitřní (PND-401011-A)" u="1"/>
        <s v="    Zakrytování pohonu kolesa" u="1"/>
        <s v="    Ovladač ve skříni" u="1"/>
        <s v="      Kostka 2" u="1"/>
        <s v="        Kuželočelní přev. motor s adaptérem (+spojka) (KF77 AR132S/M DRE160S4BE11HF/TH/EV7S/AL/DH/KY/DUB)" u="1"/>
        <s v="      Rychlospojka" u="1"/>
        <s v="    Vyhodnocení vážení stroje" u="1"/>
        <s v="    Ovladač ve skříni (XAL K178F)" u="1"/>
        <s v="        Upínací pouzdro Tapec Lock (1610/28)" u="1"/>
        <s v="    Okap" u="1"/>
        <s v="    Distanční podložky" u="1"/>
        <s v="    Rozvodnice ALS 10 04 04 vč. přírub…. ()" u="1"/>
        <s v="    Boční držák válečku 1 - NV (PND-401248-A)" u="1"/>
        <s v="    Lanko s obalem ()" u="1"/>
        <s v="        Standardní úchyt roštu V 30" u="1"/>
        <s v="        Brzdový odpor - Kolesa" u="1"/>
        <s v="    Poklop velký" u="1"/>
        <s v="    Přídžka přímá" u="1"/>
        <s v="    Pražec X1 (PNS-301465-2B)" u="1"/>
        <s v="    Zásuvka nástěnná (432RL6)" u="1"/>
        <s v="    Šipka - Back" u="1"/>
        <s v="      Tubus uložení hřídele kolesa" u="1"/>
        <s v="      Stěrač VB - KV kostra" u="1"/>
        <s v="  Účet na vidimte.cz 4/15-3/16" u="1"/>
        <s v="  Dolní deska" u="1"/>
        <s v="    Olflex 440 CP 4G2,5" u="1"/>
        <s v="      Přídržka (PND-401007-A)" u="1"/>
        <s v="      Zprovoznění klimatizace Webasto CC5" u="1"/>
        <s v="    CMSM 3G1,5 ()" u="1"/>
        <s v="  Ondřej Šnajdr ()" u="1"/>
        <s v="      Deska (PND-400952-A)" u="1"/>
        <s v="    Těleso válce (PND-400998-A)" u="1"/>
        <s v="  Ing. Peter Melicherík" u="1"/>
        <s v="      M4, M5 (Motor nakrátko M3BP200 MLA4 3GBP 202 031 - HDG + 009+441+148)" u="1"/>
        <s v="    Olflex 440 CP 18G1 ()" u="1"/>
        <s v="      EH80 (Topná rohož TA5-A)" u="1"/>
        <s v="      Deska (PND-400992-A)" u="1"/>
        <s v="    Rám NV" u="1"/>
        <s v="        Konzola čídel prokluzu (PNS-301447-2B)" u="1"/>
        <s v="  Zdeněk Proks ()" u="1"/>
        <s v="    Upínací pouzdro" u="1"/>
        <s v="    H07RNF 5G2,5" u="1"/>
        <s v="    Segment těsnění (PNS-200648-1A)" u="1"/>
        <s v="  Jakub Kašpar" u="1"/>
        <s v="    Vláček hladký" u="1"/>
        <s v="    Rozvaděč RM 1 vč. FM a brzdícího rezistoru ()" u="1"/>
        <s v="      Kostka 1" u="1"/>
        <s v="      Horní kryt B (PND-301877-B)" u="1"/>
        <s v="      SQ83, 84 (Bezpečnostní lankový spínač ZS 80 AO WVD)" u="1"/>
        <s v="  Právní poradenství - Smlouva pro rýpadlo ()" u="1"/>
        <s v="    Spojka (KW-10/10 (Pepperl-Fuchs) (snímání otoče + zdvih KV))" u="1"/>
        <s v="  Rozpěrné pouzdro (PND-400981-B)" u="1"/>
        <s v="    Váleček strážní (č. 3-20344-00015)" u="1"/>
        <s v="      Bedna na nářadí" u="1"/>
        <s v="    Ventilátor (HCFT / 4-250 H IP 65)" u="1"/>
        <s v="      Rám světla KV" u="1"/>
        <s v="      Hřídelka snímače KV" u="1"/>
        <s v="    Větrací mřížka (PND-301518-B)" u="1"/>
        <s v="      Boční kryt A (PNS-301803-2B)" u="1"/>
        <s v="    Bočnice 2 (PNS-200645-2B)" u="1"/>
        <s v="      Šroub napínání" u="1"/>
        <s v="    Ventilátor" u="1"/>
        <s v="    Prsten kolesa" u="1"/>
        <s v="      Přídržka" u="1"/>
        <s v="      Boční kryt B (PNS-301804-2B)" u="1"/>
        <s v="      Kryt snímače" u="1"/>
        <s v="    Čep HV KV (PND-301499-A)" u="1"/>
        <s v="      Závaží ()" u="1"/>
        <s v="    Konzola podpěrného bubnu" u="1"/>
        <s v="    Stěrač přítlačného bubnu" u="1"/>
        <s v="    Těsnění 1" u="1"/>
        <s v="    NSSHCOEU 3 x 35 + 3 x 16" u="1"/>
        <s v="        Kroužek (PND-401064-A)" u="1"/>
        <s v="      Horní kryt A (PNS-301806-2B)" u="1"/>
        <s v="      Doprava hřídele koelsa (Doprava hřídele kolesa )" u="1"/>
        <s v="      Doprava hřídele kolesa (Doprava hřídele kolesa )" u="1"/>
        <s v="  Kryt" u="1"/>
        <s v="      Spir. hadice" u="1"/>
        <s v="      Termostat" u="1"/>
        <s v="    Lanko s obalem" u="1"/>
        <s v="      Deska 1 (PNS-400943-1A)" u="1"/>
        <s v="      Rám samostavné stanice (PNS-301512-1A)" u="1"/>
        <s v="      Kryt skluzu - Díl 1" u="1"/>
        <s v="    Násypka (PNS-200649-2B)" u="1"/>
        <s v="    Kryt napájení (PNS-301549-1A)" u="1"/>
        <s v="    Elektro součástka převaděče" u="1"/>
        <s v="    Čep HV NV (PND-301497-A)" u="1"/>
        <s v="        Sestava pohonů (kompletní)" u="1"/>
        <s v="      Clona" u="1"/>
        <s v="    H07RNF 4G16 ()" u="1"/>
        <s v="      Čep" u="1"/>
        <s v="    Střed kolesa" u="1"/>
        <s v="    Přesyp - Svodka otěru (PNS-100333-2B)" u="1"/>
        <s v="      Těsnění 1B - Plech" u="1"/>
        <s v="      SA235AB (Spínač střídavý 3558-06750)" u="1"/>
        <s v="      Deska 1 (PNS-400989-1A)" u="1"/>
        <s v="  Podvozky K100.2" u="1"/>
        <s v="      Manžeta" u="1"/>
        <s v="    Vnější pásnice" u="1"/>
        <s v="    Kroužek 71 (PND-400966-A)" u="1"/>
        <s v="    Kroužek 70 (PND-400967-A)" u="1"/>
        <s v="    Hřídel kolesa" u="1"/>
        <s v="  Podružný montážní materiál" u="1"/>
        <s v="      SQ38 (Indukční snímač NBB8-18GM30-E2-V1)" u="1"/>
        <s v="    Závěs (PNS-200668-1A)" u="1"/>
        <s v="  Pero" u="1"/>
        <s v="    Převodová skříň" u="1"/>
        <s v="  Jakub Kašpar ()" u="1"/>
        <s v="    Svorkovnicová skříň X100 ()" u="1"/>
        <s v="      Excentrická deska (PND-200650-A)" u="1"/>
        <s v="    Kabina řidiče (PNS-200708-1A)" u="1"/>
        <s v="      Olflex 440 CP 4G2,5" u="1"/>
        <s v="      Termostat (EBERLE-AZT-I 524410)" u="1"/>
        <s v="    Ochranný štít - Svařenec" u="1"/>
        <s v="    Plech ()" u="1"/>
        <s v="  NOEN Datalog" u="1"/>
        <s v="    Pražec náběhový" u="1"/>
        <s v="      Strážní váleček" u="1"/>
        <s v="  Hydraulický válec" u="1"/>
        <s v="      Ložisko" u="1"/>
        <s v="    Obložení T12 (PNS-301558-1A)" u="1"/>
        <s v="      Hydromotor " u="1"/>
        <s v="      Podložka elektromotoru 0,5" u="1"/>
        <s v="    H07RNF 19G1,5" u="1"/>
        <s v="      du/dt filtr pro kroužkový sběrač - Filtr pojezdu (NOCH0070-65)" u="1"/>
        <s v="        Průvlek 2 (PND-401067-A)" u="1"/>
        <s v="      Připojovací deska" u="1"/>
        <s v="    Uchycení kabelů průvěsu KV" u="1"/>
        <s v="    Pružina (PZ-40452-A)" u="1"/>
        <s v="      RT.M1 (3 x Pt100 ve vinutí, svorkovnice por Pt100)" u="1"/>
        <s v="  Zprovoznění klimatizace" u="1"/>
        <s v="  Ondřej Šnajdr" u="1"/>
        <s v="  Zprovoznění bagru" u="1"/>
        <s v="    Stěrka bubnu (PNS-301866-1A)" u="1"/>
        <s v="        Frekvenční měnič - FM pojezdu (ACS880-01-072A-3, R5)" u="1"/>
        <s v="  Samolepící štítky" u="1"/>
        <s v="    Ložisko radiální - Dolní" u="1"/>
        <s v="    Zásuvka nástěnná" u="1"/>
        <s v="      Spojovací materiál" u="1"/>
        <s v="    Bočnice (PNS-100332-2B)" u="1"/>
        <s v="      Přídržka 40" u="1"/>
        <s v="    Boční držák válečku 2 - NV (PNS-401249-1A)" u="1"/>
        <s v="    Šipka ()" u="1"/>
        <s v="      Rošt - Žebřík ()" u="1"/>
        <s v="    Posuvný váleček (PND-400993-A)" u="1"/>
        <s v="      Plechy - svařenec (PNV-200664-B)" u="1"/>
        <s v="  Fotografické služby + video" u="1"/>
        <s v="    Víko ložiska - Dolní (PND-301454-A)" u="1"/>
        <s v="  Poskytování služeb kontrolora" u="1"/>
        <s v="  Macko Dominik ()" u="1"/>
        <s v="    Labyrint 1 (PND-400928-A)" u="1"/>
        <s v="    Těsnění 2" u="1"/>
        <s v="    Kryt spojky (PNS-200634-1A)" u="1"/>
        <s v="      ST10 (Prosotorý termostat Eberle AZT-I 524510)" u="1"/>
        <s v="  Dominik Macko ()" u="1"/>
        <s v="        Průvlek (PND-401065-A)" u="1"/>
        <s v="      RM1.3" u="1"/>
        <s v="      Spojka prokluzová (Ruflex 600600407000 S203)" u="1"/>
        <s v="    Vláček hladký (č. 3-20054-00125)" u="1"/>
        <s v="  Překlady ()" u="1"/>
        <s v="    Oko 04" u="1"/>
        <s v="    Zadní ucho" u="1"/>
        <s v="    Násypka" u="1"/>
        <s v="    Vymezovací podložky bubnu" u="1"/>
        <s v="      Deska kruhová (PND-401012-A)" u="1"/>
        <s v="    Držák strážního válečku" u="1"/>
        <s v="  Montážní práce při kompletaci rypadla" u="1"/>
        <s v="    Kryt (PNS-400927-1A)" u="1"/>
        <s v="        Čep" u="1"/>
        <s v="    Lukopren" u="1"/>
        <s v="    Příložka (PND-400935-A)" u="1"/>
        <s v="      Ruční pumpa (LH 1 / 0,5 - 50)" u="1"/>
        <s v="    Šipka - Front" u="1"/>
        <s v="    Olflex 440 CP 4G2,5 ()" u="1"/>
        <s v="    Váleček kotoučový (č. 3-20254-00106)" u="1"/>
        <s v="      Rychlospojka ()" u="1"/>
        <s v="      Konzola (PND-301581-A)" u="1"/>
        <s v="    Kroužek 140" u="1"/>
        <s v="      Podružný materiál kabelových tras" u="1"/>
        <s v="    Oko závěsu kabelů (PND-401018-A)" u="1"/>
        <s v="        Lávka obsluhy - Rám (PNS-100323-2B)" u="1"/>
        <s v="    Ložisko radiální - Dolní (PND-301452-A)" u="1"/>
        <s v="    Váleček strážní" u="1"/>
        <s v="      Těsnění 1B - Plech (PNS-301890-1A)" u="1"/>
        <s v="    Karabina s pojistkou ()" u="1"/>
        <s v="    Oko 03" u="1"/>
        <s v="    Kompenzační kroužek" u="1"/>
        <s v="      Mazání pastorku - Konzola" u="1"/>
        <s v="    Lukopren (S8280)" u="1"/>
        <s v="  Zprovoznění stroje" u="1"/>
        <s v="  Cateringové služby 5.9.2014, Akce představení rýpadla" u="1"/>
        <s v="    Hřídel otoče" u="1"/>
        <s v="      Těsnění 5 - Závěs (PNS-401236-1A)" u="1"/>
        <s v="      Zámek 1 (PND-400948-A)" u="1"/>
        <s v="      Zprovoznění klimatizace Webasto CC5 ()" u="1"/>
        <s v="  Odpínač v kovové skříni" u="1"/>
        <s v="      Svorník (PND-400936-A)" u="1"/>
        <s v="    Pojistná kostka" u="1"/>
        <s v="    Víka roštů (VZM 300; ARK-222230; 2000 mm)" u="1"/>
        <s v="    Klapka odvětrání" u="1"/>
        <s v="      RT80 (Snímač teploty PT10)" u="1"/>
        <s v="      Trubka" u="1"/>
        <s v="  Samolepící štítky (Štítky samolepící dle PZ-40918-A)" u="1"/>
        <s v="        Klimatizace (Klimatizace Webasto CC5 24 V; Compact Cooler 5 R134a 24 V )" u="1"/>
        <s v="    Oko 02" u="1"/>
        <s v="    Podložka elektromotoru 0,5 (PND-400946-A)" u="1"/>
        <s v="    Kryt (PNS-200663-1A)" u="1"/>
        <s v="      Rám stěrače (PNS-301463-1A)" u="1"/>
        <s v="  Ing. Peter Melicherík ()" u="1"/>
        <s v="        Lávka obsluhy - Zábradlí pravé (PNS-200671-1A)" u="1"/>
        <s v="    Pákový mazací lis" u="1"/>
        <s v="      Čep (PND-400939-A)" u="1"/>
        <s v="        Náboj 3 (PND-401066-B)" u="1"/>
        <s v="      SA236,37; SA417; SA76 (Spínač jednopólový 3558-01750)" u="1"/>
        <s v="  Upínací kroužek" u="1"/>
        <s v="  Jiří Vonka ()" u="1"/>
        <s v="      Stolička" u="1"/>
        <s v="      Podložka elektromotoru 0,5 (PND-400946-A)" u="1"/>
        <s v="    Oko 01" u="1"/>
        <s v="    Ložisko radiální - Horní" u="1"/>
        <s v="    Kroužek 145" u="1"/>
        <s v="    Skluz" u="1"/>
        <s v="    Těsnění 3" u="1"/>
        <s v="        Spodní deska (PND-100335-A)" u="1"/>
        <s v="        Motor" u="1"/>
        <s v="      Manžeta (Ø 43 / Ø 56 - 89 / 200)" u="1"/>
        <s v="        Silentblok" u="1"/>
        <s v="      Spojka (WKAS 25321012)" u="1"/>
        <s v="      Instalace rozvodu vzduchu (-111)" u="1"/>
        <s v="      Deska vnitřní" u="1"/>
        <s v="    Stěrač (FTK B = 800 cena=19 958 Kč)" u="1"/>
        <s v="    Víko těsnění (PND-301457-A)" u="1"/>
        <s v="      Spojovací materiál ()" u="1"/>
        <s v="      Obložení 25 (PND-401149-B)" u="1"/>
        <s v="    Vyhodnocení vážení stroje ()" u="1"/>
        <s v="      PA38 (Sklonoměr dvojosý STS-002-2-20-I-3)" u="1"/>
        <s v="    Pražec náběhový (PNS-301471-2B)" u="1"/>
        <s v="      Plech ()" u="1"/>
        <s v="      H07RNF 4G16" u="1"/>
        <s v="    Závěs  ()" u="1"/>
        <s v="      Třmen 1 (PND-400954-A)" u="1"/>
        <s v="    Elektroinstalační materiál" u="1"/>
        <s v="      Motorový kabel - Kabel pro pohon pojezdu (20 m 4G35, Olflex FD 796 CP)" u="1"/>
        <s v="  Podvozky K100.2 (UQ906F00N00013; PNS-200705-A)" u="1"/>
        <s v="    Kužel 1" u="1"/>
        <s v="        Průvlek" u="1"/>
        <s v="  Přeprava kusových zásilek" u="1"/>
        <s v="    Clona dlouhá (PND-301873-A)" u="1"/>
        <s v="    Kužel 2" u="1"/>
        <s v="      Úchyt krytu (PND-401188-A)" u="1"/>
        <s v="    Pouzdro (GGB 110 / 160 x 60)" u="1"/>
        <s v="      Úchyt krytu" u="1"/>
        <s v="    Spínač jednopólový (3558-01750; 10 AX; 250 V)" u="1"/>
        <s v="      Tykadla - Hlídání kolize" u="1"/>
        <s v="    Kužel 3" u="1"/>
        <s v="    Clona dlouhá" u="1"/>
        <s v="    Olflex 100 CY 5G35" u="1"/>
        <s v="    Podložka elektromotoru 1 (PND-400931-A)" u="1"/>
        <s v="      Balné a dopravné ()" u="1"/>
        <s v="      Doprava hřídele koelsa" u="1"/>
        <s v="  Ing. Stanislav Vrzal" u="1"/>
        <s v="    Obložení oblouk" u="1"/>
        <s v="    Koncový spínač" u="1"/>
        <s v="    Vačkový spínač" u="1"/>
        <s v="  Ubytování 16.9.-19.9.2014" u="1"/>
        <s v="    Lanová očnice" u="1"/>
        <s v="    Víko kolesvé hřídele (PND-401178-A)" u="1"/>
        <s v="      Rozvodnice ALS (na KV)" u="1"/>
        <s v="    Kroužek 145 (PND-400970-A)" u="1"/>
        <s v="    Sada k přepážkám (SPM1; ARK-223080)" u="1"/>
        <s v="    Těsnění 1 - Příložka (PND-401154-A)" u="1"/>
        <s v="        Řemen Super HC (SPA 850)" u="1"/>
        <s v="    Vačkový spínač (KG64 T103/33 KL11V)" u="1"/>
        <s v="        Plechy - svařence" u="1"/>
        <s v="    Příložka - Sestava (PND-401243-A; PND-401244-A)" u="1"/>
        <s v="    Přídržka ohnutá dlouhá" u="1"/>
        <s v="        Podložka (PND-401081-A)" u="1"/>
        <s v="      Těsnění 4 - Závěs (PNS-301857-1A)" u="1"/>
        <s v="      Konzola světla NV (PND-301568-A)" u="1"/>
        <s v="    Víko těsnění" u="1"/>
        <s v="    Kabel průvěs NV - Podpěra (PNS-100341-1A)" u="1"/>
        <s v="        Příčka (PNS-301542-1A; LSP 35 )" u="1"/>
        <s v="      Trubka (PND-400965-A)" u="1"/>
        <s v="      Víčko - Horní (PND-400974-A)" u="1"/>
        <s v="    Hřídel otoče (PND-301482-A)" u="1"/>
        <s v="    Boční držák válečku 2 - NV" u="1"/>
        <s v="      Obložení 22 (PND-401031-B)" u="1"/>
        <s v="    Buben vratný napínací (VDG KT A60 400–0900)" u="1"/>
        <s v="    Klínek ložiska (PND-401051-A)" u="1"/>
        <s v="    Spojovací materiál (Nord Lock)" u="1"/>
        <s v="  Páca Stanislav" u="1"/>
        <s v="    Výsypová svodka - Svařenec" u="1"/>
        <s v="      Boční kryt A" u="1"/>
        <s v="      Horní kryt A" u="1"/>
        <s v="      Boční kryt B" u="1"/>
        <s v="      Horní kryt B" u="1"/>
        <s v="      H07RNF 5G4" u="1"/>
        <s v="    Zářivkové svítidlo průmyslové PERUN" u="1"/>
        <s v="      Víčko dolní" u="1"/>
        <s v="  Proks Zdeněk ()" u="1"/>
        <s v="  Vážení stroje" u="1"/>
        <s v="      Zábradlí lávky kabiny 3 (PNS-200681-2B)" u="1"/>
        <s v="        Třecí kotouč" u="1"/>
        <s v="      Závaží" u="1"/>
        <s v="    Pražec traťový zesílený" u="1"/>
        <s v="      Prstenec (PNS-100331-2B)" u="1"/>
        <s v="  GPS zařízení, účet na vidimte.cz" u="1"/>
        <s v="      Těsnění 1 - Závěs B" u="1"/>
        <s v="      H07RN-F 5Gx70" u="1"/>
        <s v="  Heinz Luděk" u="1"/>
        <s v="      Držák (PNS-400937-1A)" u="1"/>
        <s v="      Kryt závitů (PNS-301630-1A)" u="1"/>
        <s v="    Elektro dvířka" u="1"/>
        <s v="      Plechy - svařenec" u="1"/>
        <s v="      Šroub napínání (PNS-400938-1A)" u="1"/>
        <s v="    Přesyp - Svařenec" u="1"/>
        <s v="    Rameno - Svařenec" u="1"/>
        <s v="    Plenta (PNS-301545-1A)" u="1"/>
        <s v="    Čep NV (PND-301561-A)" u="1"/>
        <s v="      Balné a dopravné" u="1"/>
        <s v="        Lávka obsluhy - Rámeček" u="1"/>
        <s v="      BQ23; BQ24 (Ultrazvukový senzor UC2000-30Gm-E6R2-V15)" u="1"/>
        <s v="  Ing. Jindřich Huběnka" u="1"/>
        <s v="      Zábradlí lávky kabiny 1 (PNS-301543-1A)" u="1"/>
        <s v="      Obložení 25" u="1"/>
        <s v="    Vymezovací pouzdro" u="1"/>
        <s v="  Podružný montážní materiál ()" u="1"/>
        <s v="        Spojka prokluzová (Ruflex 600600407000 S203)" u="1"/>
        <s v="      Zábradlí lávky kabiny 3" u="1"/>
        <s v="  Odpínač v kovové skříni ()" u="1"/>
        <s v="      Hydromotor  (Poclain S50 B-PAL-M-MS50-2A50-TD)" u="1"/>
        <s v="    Lávka střed - Žebřík (PNS-200675-1A)" u="1"/>
        <s v="        Lem 1" u="1"/>
        <s v="    Konzola kabelu (PND-401166-A)" u="1"/>
        <s v="  Montáž ()" u="1"/>
        <s v="        Montážní kit" u="1"/>
        <s v="    Houkačka (SAI240A, 240VAC)" u="1"/>
        <s v="    Podložka elektromotoru 0,3 (PND-401060-A)" u="1"/>
        <s v="        Spojka OMEGA" u="1"/>
        <s v="  Přeprogramování jednotek RTKM II" u="1"/>
        <s v="    Těsnění 3 - Příložka (PND-301879-A)" u="1"/>
        <s v="      Těsnění 5 - Těsnění" u="1"/>
        <s v="  Řídící systém ()" u="1"/>
        <s v="      Frekvenční měnič - FM otoče KV (ACS880-01-032A-3, R3)" u="1"/>
        <s v="      Frekvenční měnič - FM otoče KV (ACS880-02-032A-3, R3)" u="1"/>
        <s v="      H07RNF 4G1,5" u="1"/>
        <s v="  Cestovné" u="1"/>
        <s v="      Motorový kabel - Kabely pro motory otoče KV (10 m 4G10, Chainflex CF35)" u="1"/>
        <s v="    Závěs kabelu L" u="1"/>
        <s v="      Kostka 1 (PNS-301458-1A)" u="1"/>
        <s v="        Podložka" u="1"/>
        <s v="    Závěs kabelu P" u="1"/>
        <s v="    Pryž (Odhad ceny pryže)" u="1"/>
        <s v="        Navařovací oko" u="1"/>
        <s v="    Olflex 100 CY 5G35 ()" u="1"/>
        <s v="      Ledvinka (PND-301474-A)" u="1"/>
        <s v="      Zábradlí lávky kabiny 2" u="1"/>
        <s v="    Ložisko pouzdro ()" u="1"/>
        <s v="    Hydraulika komplet" u="1"/>
        <s v="    Boční držák válečku 2 - KV" u="1"/>
        <s v="  Elektroinstalační práce" u="1"/>
        <s v="  Tomáš Vrážel" u="1"/>
        <s v="    Uchycení stěrače (PNS-301539-1A)" u="1"/>
        <s v="    Spojka zemnicí" u="1"/>
        <s v="    Kroužek 140 (PND-400971-A)" u="1"/>
        <s v="    Buben poháněcí (RTM 400.A60–0225 ZV WB)" u="1"/>
        <s v="      Elektroinstalační materiál" u="1"/>
        <s v="    Motor (M3BP 280 SMB4 3GBP 282 220 - ADG)" u="1"/>
        <s v="      QP1 (Hlavní vypínač v kovové skříni OT315KLUU4BZ)" u="1"/>
        <s v="    Páska (PNS-301517-1A)" u="1"/>
        <s v="    Kryt rotačního kroužkového převaděče" u="1"/>
        <s v="    Kryt rotačního proužkového převaděče" u="1"/>
        <s v="      Montáž hydr. rozvodů a oživení systému" u="1"/>
        <s v="  Petr Zouvala ()" u="1"/>
        <s v="  Macko Dominik" u="1"/>
        <s v="  Přeprava Teplice-Lagerdorf ()" u="1"/>
        <s v="    Vložka snímače tahu přív. kab." u="1"/>
        <s v="      BS41; 51 (Absolutní rotační snímač OCS-DPC1B-1212*S10S-H3P)" u="1"/>
        <s v="  Řídící systém" u="1"/>
        <s v="      Deska 2 (PND-400990-A)" u="1"/>
        <s v="        Umístění a uložení FM" u="1"/>
        <s v="      Deska vnější (PND-401010-A)" u="1"/>
        <s v="    Pojistka" u="1"/>
        <s v="      Zábradlí lávky kabiny 1" u="1"/>
        <s v="    Clona svodky (PND-301776-A)" u="1"/>
        <s v="      S92-S100 (Ovladač ve skříni XAL K178F)" u="1"/>
        <s v="      Třmen 1" u="1"/>
        <s v="    Výsypová svodka - Svařenec (PNS-200640-1A)" u="1"/>
        <s v="      Motor (M3BP 280 SMB4 3GBP 282 220 - ADG)" u="1"/>
        <s v="      Frekvenční měnič - FM pohon kolesa (ACS880-01-293A-3, R8)" u="1"/>
        <s v="    Váleček kotoučový" u="1"/>
        <s v="    Buben poháněcí (RTM 400.A60–0415 )" u="1"/>
        <s v="      H07RNF 3G1,5" u="1"/>
        <s v="    Obložení - Sestava (PNS-301479-2B)" u="1"/>
        <s v="  Dominik Macko" u="1"/>
        <s v="        Zesílení (PND-401068-A)" u="1"/>
        <s v="      Doraz dveří (PNS-301834-1A)" u="1"/>
        <s v="    Příložka HV KV (PND-401001-A)" u="1"/>
        <s v="  Zdeněk Pavel" u="1"/>
        <s v="      Pastorek otoče (PND-200636-A)" u="1"/>
        <s v="      Připojovací deska (PND-401150-A)" u="1"/>
        <s v="      Had. vyustka" u="1"/>
        <s v="  Zahraniční doprava import" u="1"/>
        <s v="    Světlomet (N46 LED 50 W)" u="1"/>
        <s v="      Odnímatelný rám (PNS-200679-1A)" u="1"/>
        <s v="      Stírání vnitřního obvodu kolesa" u="1"/>
        <s v="        Lem 2" u="1"/>
        <s v="PŘEPRAVA STROJE A MONTÁŽ U ZÁKAZNÍKA" u="1"/>
        <s v="      Koreček OK + řetěz ()" u="1"/>
        <s v="      Clona snímače (PND-301444-A)" u="1"/>
        <s v="    Obložení 1 (PNS-400956-2B)" u="1"/>
        <s v="    Labyrint 2" u="1"/>
        <s v="    Skluz (PNS-000369-2B)" u="1"/>
        <s v="    Obložení 2 (PNS-400957-2B)" u="1"/>
        <s v="    Obložení 3 (PNS-400958-2B)" u="1"/>
        <s v="        Rošt (SP 34x38; 30/3; LEM, Zn, 546x243)" u="1"/>
        <s v="        Spojovací materiál ()" u="1"/>
        <s v="      RA (Oceloplechová skříň (Spálovský))" u="1"/>
        <s v="    Loctite" u="1"/>
        <s v="  Rozpěrné pouzdro" u="1"/>
        <s v="        Kompresor (Kompresor Valeo TM13 HD h)" u="1"/>
        <s v="  Pasová váha (Válečková nebo UZ (ultrazvuková))" u="1"/>
        <s v="    Hydraulický zdvih ()" u="1"/>
        <s v="    Obložení 4 (PNS-400959-2B)" u="1"/>
        <s v="      Těsnění 4 - Plech 2" u="1"/>
        <s v="      Konzola 2 (PND-301449-A)" u="1"/>
        <s v="      Těsnění 4 - Plech 2 (PNS-301893-1A)" u="1"/>
        <s v="    Držák strážního válečku (PNS-301477-1A)" u="1"/>
        <s v="  Rozvody, montáž, snímače (Dle nabídky: NAB-2016-1-001511)" u="1"/>
        <s v="    Čep (PND-401071-A)" u="1"/>
        <s v="    Deska na trubku světla" u="1"/>
        <s v="      Konzola ZP1 (PNS-200704-2B)" u="1"/>
        <s v="      Rošty (M2 300/50; Žárově zinkovaný ARK-221160; 2 000 mm)" u="1"/>
        <s v="    Poklop střední" u="1"/>
        <s v="  Jazykové služby" u="1"/>
        <s v="      Stírací pás ()" u="1"/>
        <s v="    Svary" u="1"/>
        <s v="  Uvedení frekvenčního měniče do provozu ()" u="1"/>
        <s v="  Uvedení frekvenčního měřiče do provozu ()" u="1"/>
        <s v="    NV kryt DC" u="1"/>
        <s v="      Styčníkový plech 1 (PND-401239-B)" u="1"/>
        <s v="        Spojka prokluzová" u="1"/>
        <s v="    Zadní ucho (PNS-400917-1A)" u="1"/>
        <s v="    Držák krabice (PNS-301799-1A)" u="1"/>
        <s v="    Asolutní rotační snímač (OCD-DPC1B1212-S105-H3P)" u="1"/>
        <s v="      Rozpěrka" u="1"/>
        <s v="    Boční držák válečku X1 - NV" u="1"/>
        <s v="    Boční držák válečku X2 - NV" u="1"/>
        <s v="      HY (Oceloplechová skříň STCV 0504020-7732)" u="1"/>
        <s v="      Opěra (PND-401073-A)" u="1"/>
        <s v="    Projekt, vizualizace a SW" u="1"/>
        <s v="      Svorník" u="1"/>
        <s v="    Boční držák válečku X3 - NV" u="1"/>
        <s v="      Váleček hladký" u="1"/>
        <s v="      Ofukovací pistole ()" u="1"/>
        <s v="      Konzola BKS" u="1"/>
        <s v="    Boční držák válečku X4 - NV" u="1"/>
        <s v="      Třmen 2" u="1"/>
        <s v="        Pryžový pás (PND-401034-B)" u="1"/>
        <s v="      Těsnění 1A - Plech 1" u="1"/>
        <s v="  Ubytování,28.9.-1.10.2014" u="1"/>
        <s v="    Hydraulický zdvih" u="1"/>
        <s v="  Ing. Pavel Zapletal ()" u="1"/>
        <s v="    Snímač otoče NV" u="1"/>
        <s v="    Táhlo (PND-301525-A)" u="1"/>
        <s v="      Těsnění 1A - Plech 2" u="1"/>
        <s v="      Těsnění 2A - Plech 2" u="1"/>
        <s v="  Ventilátor HCFT ()" u="1"/>
        <s v="    Spojka (Odhad ceny s Pavlem dle PV400Np)" u="1"/>
        <s v="    Přídržka clony dlouhá" u="1"/>
        <s v="        Redukce silentbloku klimatizace (PND-401151-A)" u="1"/>
        <s v="  Jiří Vonka" u="1"/>
        <s v="    Labyrint 1" u="1"/>
        <s v="  Proks Zdeněk" u="1"/>
        <s v="      CMSM 4G1" u="1"/>
        <s v="    Čistič vnitřní strany pasu u hnacího bubnu" u="1"/>
        <s v="    Ložisko hřídele kolesa (23960 CCK / W33 (na faktuře 23960EKW33MH))" u="1"/>
        <s v="    Distanční trubka" u="1"/>
        <s v="      HV NV" u="1"/>
        <s v="    Stojina" u="1"/>
        <s v="        Rám" u="1"/>
        <s v="    Ložisko radiální - Horní (PND-200638-A)" u="1"/>
        <s v="    Zdroj (HLG-185H-24A)" u="1"/>
        <s v="      Olflex 100 CY 5G35" u="1"/>
        <s v="    Distanční podložky (PNS-400953-1A)" u="1"/>
        <s v="      Těsnění 3 - Závěs (PNS-401223-1A)" u="1"/>
        <s v="    Bezpečnostní lankový spínač" u="1"/>
        <s v="    Deska otoče - Svařenec (PNS-100318-2B (cena za desku otoče uvedena v Hřídeli otoče))" u="1"/>
        <s v="    Prstenec" u="1"/>
        <s v="    Kroužek (PND-401044-A)" u="1"/>
        <s v="    Stěrač  (hlavní)" u="1"/>
        <s v="    Boční držák válečku X1 - NV (PND-401251-A)" u="1"/>
        <s v="      Rám samostavné stanice" u="1"/>
        <s v="      Hřídelka snímače KV (PND-401030-A)" u="1"/>
        <s v="      U411; U414; U417 (Zdroj HLG-185H-24A)" u="1"/>
        <s v="      Podložka Nord Lock" u="1"/>
        <s v="  Petr Kříbala ()" u="1"/>
        <s v="      HL 236A; HL236B (Zářivkové svítidlo PERUN 118 Polar ta-40)" u="1"/>
        <s v="      Plech termostatu (PND-401191-B)" u="1"/>
        <s v="      Osvětlení otoče (Carandine)" u="1"/>
        <s v="    Konzola válečku" u="1"/>
        <s v="    Pryžový segment" u="1"/>
        <s v="    Pasta" u="1"/>
        <s v="    Boční držák válečku X2 - NV (PND-401252-A)" u="1"/>
        <s v="    Centrální mazací systém ()" u="1"/>
        <s v="      Víka roštů (VZM 300; ARK - 222230; 2 000 mm)" u="1"/>
        <s v="    Segment těsnění" u="1"/>
        <s v="        Deska (PND-401079-A)" u="1"/>
        <s v="        Spodní deska" u="1"/>
        <s v="      Clona snímače (PNS-301605-A)" u="1"/>
        <s v="    Ochranný štít - Svařenec (PNS-200641-2B)" u="1"/>
        <s v="    Dopravní pas NV" u="1"/>
        <s v="    Šipka - Back ()" u="1"/>
        <s v="    H07RNF 5G6 ()" u="1"/>
        <s v="  Doprava krytu+2 rampy+příslušenství" u="1"/>
        <s v="ŘÍDÍCÍ SYSTÉM" u="1"/>
        <s v="    Pasta (MoS2)" u="1"/>
        <s v="      Čočka (PND-401005-A)" u="1"/>
        <s v="  Dokumentace skutečného stavu" u="1"/>
        <s v="  Jarmila Nováková ()" u="1"/>
        <s v="      Odnímatelný rám" u="1"/>
        <s v="  Chlazení motorů pojezdu" u="1"/>
        <s v="  Shell Spirax S2" u="1"/>
        <s v="    Přídržka ohnutá dlouhá (PND-301874-A)" u="1"/>
        <s v="    Boční držák válečku X3 - NV (PND-401253-A)" u="1"/>
        <s v="    Odpínač (OT315KLUU4BZ)" u="1"/>
        <s v="    Příložka HV KV (PND-400972-A)" u="1"/>
        <s v="        Průvlek 2" u="1"/>
        <s v="      RB1, RB2 (Brzdící rezistor SACE15RE13)" u="1"/>
        <s v="    Sada k přepážkám" u="1"/>
        <s v="  Pero (PND-400978-A)" u="1"/>
        <s v="      Spojovací materiál (Šroub M6; Matice M6; Podložka 6)" u="1"/>
        <s v="    Klínek ložiska" u="1"/>
        <s v="      HV KV" u="1"/>
        <s v="    Klín (PND-400919-A)" u="1"/>
        <s v="      Příruba spojky (PND-301445-A)" u="1"/>
        <s v="    Váleček hladký (č. 3-21084-00038)" u="1"/>
        <s v="    Dopravní pás KV" u="1"/>
        <s v="      Pojistkový držák + pojistky DC bus - DC pro FM otoče KV (6x aR DC pojistka 63A, 000, 2x odpínač FH000-3A/T)" u="1"/>
        <s v="      SQ81, 82 (Koncový spínač 440P-MMHB13B)" u="1"/>
        <s v="    Obložení - Sestava" u="1"/>
        <s v="    Příložka - Sestava" u="1"/>
        <s v="    Deska na trubku světla (PND-401016-A)" u="1"/>
        <s v="OSTATNÍ" u="1"/>
        <s v="    Lanová očnice ()" u="1"/>
        <s v="    Záslepka ILT" u="1"/>
        <s v="    Kužel 1 (PND-301436-A)" u="1"/>
        <s v="    Boční držák válečku X4 - NV (PND-401254-A)" u="1"/>
        <s v="      Horní lávka - Rám" u="1"/>
        <s v="      Brzdový odpor - Brzdový odpor pro pojezdy (SACE15RE13)" u="1"/>
        <s v="  Ochranná stříška" u="1"/>
        <s v="      Pojistka" u="1"/>
        <s v="    Vyrovnávací podložka" u="1"/>
        <s v="    Poklop malý (PNS-301511-2B)" u="1"/>
        <s v="        Víčko" u="1"/>
        <s v="        Navařovací oko (AOW 16)" u="1"/>
        <s v="    Těsnění 2 (PND-401155-A)" u="1"/>
        <s v="    Napínač" u="1"/>
        <s v="      Ložisko (61908 2RS1)" u="1"/>
        <s v="    Doprava 2 ks hlavních stěračů" u="1"/>
        <s v="    Kabelové rošty a trasy" u="1"/>
        <s v="    Vyrovnávací podložka (PNS-401221-1A)" u="1"/>
        <s v="      Spojka víka (SVM1; SRK-223085)" u="1"/>
        <s v="    Světlomet" u="1"/>
        <s v="      Sada k přepážkám (SPM1; ARK 223080)" u="1"/>
        <s v="        Rámeček (PNS-301541-2B)" u="1"/>
        <s v="      M1 (Motor nakrátko; M3BP 280 SMB 4 3GBP 282 220 - ADG + 569+380+502+412+999+701+148+brzda)" u="1"/>
        <s v="    Spínač jednopólový (3558-1750)" u="1"/>
        <s v="      Váleček hladký (č. 3-20054-00129)" u="1"/>
        <s v="      Koncovka ES" u="1"/>
        <s v="  Uvedení frekvenčního měniče do provozu" u="1"/>
        <s v="  Uvedení frekvenčního měřiče do provozu" u="1"/>
        <s v="    Boční držák válečku G1 - KV (PND-401255-A)" u="1"/>
        <s v="      BS41; 51 (Spojka KW-10/10 (Pepperl-Fuchs))" u="1"/>
        <s v="      Konzola ZP2 (PNS-301585-2B)" u="1"/>
        <s v="  Fotografické služby + video ()" u="1"/>
        <s v="      Rychlospojka (StMu 61 M)" u="1"/>
        <s v="      Přepážka žlabu (KPMZ 50; ARK - 222305)" u="1"/>
        <s v="      Konzola (PNS-301462-1A)" u="1"/>
        <s v="      Kryt závitů" u="1"/>
        <s v="    Kostka" u="1"/>
        <s v="    Distanční trubka (PND-400928-A)" u="1"/>
        <s v="    Rotační datový sběrač" u="1"/>
        <s v="    Těsnění 1 (PND-401153-A)" u="1"/>
        <s v="  Odpínač v kovové skříni černá rukojet ()" u="1"/>
        <s v="      Plechy - svařenec (PNV-000365-B)" u="1"/>
        <s v="        Spojovací materiál" u="1"/>
        <s v="      Hydraulická hadice červená (2m)" u="1"/>
        <s v="    Příložka HV NV (PND-400968-A)" u="1"/>
        <s v="      Podložka Nord Lock (NL 12 SC)" u="1"/>
        <s v="  Zprovoznění bagru ()" u="1"/>
        <s v="    Stěrač  (FTK B = 800; 19 958 Kč)" u="1"/>
        <s v="      Had. vyustka (PR. 6,5 (566000135038))" u="1"/>
        <s v="      Had. vyústka (PR. 6,5 (566000135038))" u="1"/>
        <s v="    Střed kolesa (PND-400924-A)" u="1"/>
        <s v="    Kužel 2 (PND-301437-A)" u="1"/>
        <s v="    Boční držák válečku G2 - KV (PND-401256-A)" u="1"/>
        <s v="    Přídžka přímá (PND-301575-A)" u="1"/>
        <s v="        Standardní úchyt roštu v30 ()" u="1"/>
        <s v="    Vnitřní pásnice (PND-400926-A)" u="1"/>
        <s v="    Těsnění 2 - Příložka (PND-401156-A)" u="1"/>
        <s v="        Rošty" u="1"/>
        <s v="  Účet na vidimte.cz 4/15-3/16 ()" u="1"/>
        <s v="      BR11; BR12 (Indukční snímač NCN8/18GM40-N0-10M)" u="1"/>
        <s v="        Pryžový pás" u="1"/>
        <s v="    Kolečko Blickle POA" u="1"/>
        <s v="      Konzola PKS" u="1"/>
        <s v="        Clona snímače" u="1"/>
        <s v="      Konzola snímače" u="1"/>
        <s v="      Clona svařenec" u="1"/>
        <s v="        Standardní úchyt roštu v30" u="1"/>
        <s v="    Lanová svěrka" u="1"/>
        <s v="      Profil L (PND-401078-A)" u="1"/>
        <s v="      Prstenec" u="1"/>
        <s v="    H07RNF 3G2,5 ()" u="1"/>
        <s v="      Spojka zemnící (SVZM 1)" u="1"/>
        <s v="    Ložisko hřídele kolesa (23064 CCK / W33 (na faktuře 23064EKW33MH_NF))" u="1"/>
        <s v="  Jarmila Nováková" u="1"/>
        <s v="      Horní lávka - Zábradlí ()" u="1"/>
        <s v="      Čep 20 - 105 (PND-400944-A)" u="1"/>
        <s v="    Deska otoče - Svařenec" u="1"/>
        <s v="      X100 (Oceloplechová skříň STCV 0504020-7732)" u="1"/>
        <s v="    H07RNF 5G4 ()" u="1"/>
        <s v="    Boční držák válečku G3 - KV (PND-401257-A)" u="1"/>
        <s v="    Bočnice" u="1"/>
        <s v="      Plech termostatu" u="1"/>
        <s v="    Těleso" u="1"/>
        <s v="    Kroužek 71" u="1"/>
        <s v="    Dopravní pás KV (GTDP Transbelt EP-630/3 AA 4+2)" u="1"/>
        <s v="  Petr Zouvala" u="1"/>
        <s v="      Sestava zubu (ESCO U20-P (cena=9,41EUR); Adapter type 8)" u="1"/>
        <s v="    Pouzdro (PND-400921-B)" u="1"/>
        <s v="    Kryt spojky" u="1"/>
        <s v="      Rám světla KV (PNS-200964-1A)" u="1"/>
        <s v="    Kompenzačnídeska" u="1"/>
        <s v="      Motor" u="1"/>
        <s v="  Zprovoznění, asistence při oživení" u="1"/>
        <s v="    Kolečko Blickle POA (POA 125 / 12 G)" u="1"/>
        <s v="    Nástěnný držák žlabu (DZM10; ARK-224100)" u="1"/>
        <s v="    Podložka" u="1"/>
        <s v="    Boční držák válečku G4 - KV (PND-401258-A)" u="1"/>
        <s v="  NOEN Datalog ()" u="1"/>
        <s v="    Olflex 440 CP 4G1 ()" u="1"/>
        <s v="    Kužel 3 (PND-301438-A)" u="1"/>
        <s v="    Pražec X4 (PNS-301468-2B)" u="1"/>
        <s v="        Planetová převodovka (PF012)" u="1"/>
        <s v="      H07RNF 5G2,5" u="1"/>
        <s v="  GZS ()" u="1"/>
        <s v="  HZS ()" u="1"/>
        <s v="      HY" u="1"/>
        <s v="    H07RNF 5G6" u="1"/>
        <s v="      Styčníkový plech 2 (PND-401240-B)" u="1"/>
        <s v="    Větrací mřížka" u="1"/>
        <s v="        Lem 2 (PND-401075-B)" u="1"/>
        <s v="      Olflex 440 CP 7G1" u="1"/>
        <s v="    Distanční podložky (PNS-400953-2A)" u="1"/>
        <s v="    H07RNF 3G1,5 ()" u="1"/>
        <s v="        Středící kostka" u="1"/>
        <s v="      Převodovka " u="1"/>
        <s v="  Clonky nulování otoče" u="1"/>
        <s v="    Vymezovací podložky bubnu (PNS-400997-1A)" u="1"/>
        <s v="      Rozpěrka (PND-401013-A)" u="1"/>
        <s v="    Pražec X2 (PNS-301466-2B)" u="1"/>
        <s v="      Konzola PKS (PNS-301593-2B)" u="1"/>
        <s v="    Vnější pásnice (PND-400925-A)" u="1"/>
        <s v="    Kroužek 70" u="1"/>
        <s v="        Deska" u="1"/>
        <s v="        Lávka obsluhy - Rám" u="1"/>
        <s v="        Napínání" u="1"/>
        <s v="      Konzola snímače KV" u="1"/>
        <s v="  Montáž hlavního stěrače" u="1"/>
        <s v="    Ložisko (61910)" u="1"/>
        <s v="        Sestava pohonů (kompletní) (PF012 KF77AR132S/MDRE160S4BE11/HF/TH/EV7S/AL/DH/KY/DUB)" u="1"/>
        <s v="  Prodlužovací kabely, doprava" u="1"/>
        <s v="      Čočka" u="1"/>
        <s v="    Svary ()" u="1"/>
        <s v="    Převáděcí plech" u="1"/>
        <s v="    Spojovací materiál ()" u="1"/>
        <s v="    Bočnice 1" u="1"/>
        <s v="      Opěra" u="1"/>
        <s v="    Pryž ()" u="1"/>
        <s v="  Zboží dle obj. (Castrol Molub Alloy 9790/2500 - 1,18 kg)" u="1"/>
        <s v="  Leoš Kratochvíl ()" u="1"/>
        <s v="      Koncovka ES ()" u="1"/>
        <s v="      Těsnění 2A - Plech 2 (PNS-301891-1A)" u="1"/>
        <s v="      Konzola světla KV1" u="1"/>
        <s v="    NSSHCOEU 3 x 35 + 3 x 16 ()" u="1"/>
        <s v="    NV kryt DC (PND-200780-A)" u="1"/>
        <s v="      Ruční pumpa" u="1"/>
        <s v="    Ložisko pouzdro" u="1"/>
        <s v="    Čep HV KV" u="1"/>
        <s v="      CMSM 3G1,5" u="1"/>
        <s v="        Kroužek" u="1"/>
        <s v="  Ventilátor HCFT" u="1"/>
        <s v="  Ing. Pavel Zapletal" u="1"/>
        <s v="  Petr Dluhoš ()" u="1"/>
        <s v="  Pero (PND-400985-A)" u="1"/>
        <s v="    Podložka (PNS-400922-2B)" u="1"/>
        <s v="    Olflex 440 CP 7G1 ()" u="1"/>
        <s v="      Konzola BKS (PND-301594-A)" u="1"/>
        <s v="    H07RNF 19G1,5 ()" u="1"/>
        <s v="        Brzdový odpor - pojezdy" u="1"/>
        <s v="      Čep 30 - 80 (PND-400939-A)" u="1"/>
        <s v="  Karel Horák" u="1"/>
        <s v="      Deska (PND-401079-A)" u="1"/>
        <s v="      Vedení" u="1"/>
        <s v="  Karel Horák ()" u="1"/>
        <s v="    Čep (PND-400920-B (celkoá cena uvedena u faktury))" u="1"/>
        <s v="        Rám (PND-301532-A)" u="1"/>
        <s v="    Kryt závitů" u="1"/>
        <s v="    Montáž hlavního stěrače" u="1"/>
        <s v="    Kompenzačnídeska (PND-301455-A)" u="1"/>
        <s v="      Čep (PNS-301514-1A)" u="1"/>
        <s v="      Lem (PND-401069-A)" u="1"/>
        <s v="    Třecí kroužek" u="1"/>
        <s v="    Konzola bedny na nářadí" u="1"/>
        <s v="      Brzdový odpor - Kolesa původní (SACE 15 RE13)" u="1"/>
        <s v="      Frekvenční měnič - FM otoče KV (ACS880-01-12A6-3, R1)" u="1"/>
        <s v="      Frekvenční měnič - FM otoče NV (ACS880-01-12A6-3, R1)" u="1"/>
        <s v="        Řemenice pro Taper Lock (PBT 118 SPA2 TL1610)" u="1"/>
        <s v="  Překlady" u="1"/>
        <s v="    Bočnice 1 (PNS-200644-2B)" u="1"/>
        <s v="  Překlady " u="1"/>
        <s v="      H07RNF 3G2,5" u="1"/>
        <s v="      Kryt skluzu - Díl 2" u="1"/>
        <s v="    H07RNF 5G4" u="1"/>
        <s v="      Plechy - svařenec ()" u="1"/>
        <s v="        Klimatizace" u="1"/>
        <s v="    Víko kolesvé hřídele" u="1"/>
        <s v="      Konzola (PND-301450-A)" u="1"/>
        <s v="    Stojina ()" u="1"/>
        <s v="      Hydraulická hadice červená (2 m)" u="1"/>
        <s v="  Spojovací materiál ()" u="1"/>
        <s v="      Rameno stěrače VB - KV (PND-401270-1A)" u="1"/>
        <s v="    Stěrač (hlavní) (Martin QC2 - 35700 - 36T + E (s pružinovým napínačem))" u="1"/>
        <s v="      Kotouč clony snímače (PND-400929-B)" u="1"/>
        <s v="        Válcová pružina ()" u="1"/>
        <s v="    Stěrač  (hlavní) (Martin QC2  -35700 - 36T + E)" u="1"/>
        <s v="      Těsnění 5 - Přídržka" u="1"/>
        <s v="        Frekvenční měnič - FM pohon kolesa (ACS880-01-293A-3, R8)" u="1"/>
        <s v="      Pojistka (PND-400951-A)" u="1"/>
        <s v="        Čep (PND-301533-A)" u="1"/>
        <s v="  Stanislav Páca ()" u="1"/>
        <s v="      Strážní váleček (č. 3-20344-00015)" u="1"/>
        <s v="    CMSM 4G1 ()" u="1"/>
        <s v="    Kompresor + Tlaková nádoba ()" u="1"/>
        <s v="      Manžeta (č. z. 321001 - 0331)" u="1"/>
        <s v="      Tubus uložení hřídele kolesa (PNS-301503-1A)" u="1"/>
        <s v="      RM1.3 (Oceloplechová skříň (Spálovský))" u="1"/>
        <s v="    Rošty" u="1"/>
        <s v="    Bočnice 2" u="1"/>
        <s v="      SA15.1; SA15.2 (Spínač jednopólový 3558-01750)" u="1"/>
        <s v="    Obložení T12" u="1"/>
        <s v="  Přeprogramování jednotek RTKM II ()" u="1"/>
        <s v="    Rameno - Svařenec (PNV-301491-B)" u="1"/>
        <s v="    Prostorový termostat (Eberle AZT-I 524410; 230V; 10A; IP54)" u="1"/>
        <s v="    Kompresor + Tlaková nádoba" u="1"/>
        <s v="    Indukční snímač (NBBB-18GM30-E2-V1; 10-30 VDC; Dosah 800, flush; NO; 100 mA)" u="1"/>
        <s v="    Klín" u="1"/>
        <s v="      Ledvinka" u="1"/>
        <s v="    Rozvaděč RM 1 vč. FM a brzdícího rezistoru" u="1"/>
        <s v="      Rám pohonu kolesa (PNS-000358-2B)" u="1"/>
        <s v="      Závěs nářadí" u="1"/>
        <s v="  Páca Stanislav ()" u="1"/>
        <s v="  Doprava ()" u="1"/>
        <s v="    HW" u="1"/>
        <s v="        Plechy - svařence ()" u="1"/>
        <s v="      Navařovací oko (AOW16)" u="1"/>
        <s v="      Lem" u="1"/>
        <s v="      Styčníkový plech 3 (PND-401241-A)" u="1"/>
        <s v="    Třecí kroužek (PND-400947-A)" u="1"/>
        <s v="      Rychlospojka (ES 14 l (561020014400))" u="1"/>
        <s v="    Loctite (262)" u="1"/>
        <s v="    Ložisko  (012.40.2199.305.41.1511)" u="1"/>
        <s v="      Spojka OMEGA (Rexnord Omega E 60 m element)" u="1"/>
        <s v="      Pastorek otoče" u="1"/>
        <s v="    Sklonoměr dvojosý" u="1"/>
        <s v="      Styčníkový plech 5 (PND-401189-B)" u="1"/>
        <s v="    Karabina s pojistkou" u="1"/>
        <s v="    Spojky víka" u="1"/>
        <s v="      Instalace rozvodu vzduchu ()" u="1"/>
        <s v="      Rozpěrná trubka (PND-400979-A)" u="1"/>
        <s v="    Příložka HV KV" u="1"/>
        <s v="    Lávka střed - Žebřík" u="1"/>
        <s v="    Spojení dopravního pasu NV" u="1"/>
        <s v="  Tomáš Vrážel ()" u="1"/>
        <s v="    Pero 1 (PND-401019-A)" u="1"/>
        <s v="      Převodovka  (BG12 AS; i = 1, 10 G)" u="1"/>
        <s v="        Třecí kotouč (PND-301564-A)" u="1"/>
        <s v="      Světlomet LED (35 W; N44 LED G2; NordicLights; Wideflood; (Osvětlení lávky u kabiny, vzad))" u="1"/>
        <s v="    Pryž" u="1"/>
        <s v="  Leoš Kratochvíl" u="1"/>
        <s v="      Clona (PNS-301582-1A)" u="1"/>
        <s v="    Kroužek" u="1"/>
        <s v="      Horní lávka - Zábradlí" u="1"/>
        <s v="    Kabel průvěs NV - Podpěra" u="1"/>
        <s v="  Cateringové služby 5.9.2014, Akce představení rýpadla K100.1" u="1"/>
        <s v="    Přídržka přímá protikus (PND-301577-A)" u="1"/>
        <s v="    Distanční podložky (PNS-400953-3A)" u="1"/>
        <s v="    Držák krabice" u="1"/>
        <s v="    Závěs" u="1"/>
        <s v="      Spir. hadice ()" u="1"/>
        <s v="  Zprovoznění, asistence při oživení ()" u="1"/>
        <s v="    Závěs " u="1"/>
        <s v="    H07RNF 4G1,5 ()" u="1"/>
        <s v="      Konzola snímače KV (PND-301574-A)" u="1"/>
        <s v="  Jan Hricák ()" u="1"/>
        <s v="      Mazání pastorku - Konzola (PNS-301600-1A)" u="1"/>
        <s v="    Centrální mazací systém" u="1"/>
        <s v="  Petr Kříbala" u="1"/>
        <s v="    Konzola kabelu" u="1"/>
        <s v="      Držák stěrače" u="1"/>
        <s v="      Těsnění 3 - Plech" u="1"/>
        <s v="    Podružný materiál kabelových tras" u="1"/>
        <s v="  Zdeněk Proks" u="1"/>
        <s v="      RT.M4/130 (RT.M4/150..) (6 x PTC ve vinutí (alarm + trip))" u="1"/>
        <s v="    Poklop velký (PNS-200667-1A)" u="1"/>
        <s v="    Napínač ()" u="1"/>
        <s v="      Těsnění 1A - Plech 1 (PNS-301888-1A)" u="1"/>
        <s v="    Snímač teploty" u="1"/>
        <s v="  Ochranná stříška (PNS-200786-1A; Plech + spoj. mtr.)" u="1"/>
        <s v="      CMFM 7G1,5" u="1"/>
        <s v="        Frekvenční měnič - FM otoče KV (ACS880-01-032A-3, R3)" u="1"/>
        <s v="    Zářivkové svítidlo průmyslové PERUN (236 Polar ta-40, s pulsním startérem, včetně 2 trubic Aura Ultimate Thermo, 2x36W; 230 V (osvětlení rozvodny EL))" u="1"/>
        <s v="  Překlad AJ, NJ ()" u="1"/>
        <s v="      Zámek 2 (PND-400949-A)" u="1"/>
        <s v="      Planetová, kuželočelní převodovka" u="1"/>
        <s v="    Uchycení kabelů průvěsu KV (PND-401184-A)" u="1"/>
        <s v="    H07RN-F 5Gx70" u="1"/>
        <s v="      Ofukovací pistole (OK 3012 (575000003012))" u="1"/>
        <s v="    Vymezovací pouzdro (PND-401218-A)" u="1"/>
        <s v="      RM1.1,2 (Oceloplechová skříň (Spálovský))" u="1"/>
        <s v="    Kryt (PNS-200646-1A)" u="1"/>
        <s v="    Motor pohonu kolesa ()" u="1"/>
        <s v="      Těsnění 1A - Plech 2 (PNS-301889-1A)" u="1"/>
        <s v="        Deska 2" u="1"/>
        <s v="    Těsnění 3 (PND-301878-A)" u="1"/>
        <s v="    Axiální ložisko" u="1"/>
        <s v="    Uchycení stěrače" u="1"/>
        <s v="Zavěšení nakládacího výložníku" u="1"/>
        <s v="    Spojovací materiál (M16, M12)" u="1"/>
        <s v="    Klapka odvětrání (PNS-301613-1A)" u="1"/>
        <s v="    Průvěs na kolesový výložník" u="1"/>
        <s v="    Pojistka (PNS-401003-1A)" u="1"/>
        <s v="        Ozubené kolo (PND-301476)" u="1"/>
        <s v="        Podložka (Clonka) (PND-400930-A)" u="1"/>
        <s v="    Závaží" u="1"/>
        <s v="  Revize ()" u="1"/>
        <s v="    Kopoflex JZ500-C 25 x 1 ()" u="1"/>
        <s v="      Deska kruhová" u="1"/>
        <s v="    Spojení dopravního pasu KV" u="1"/>
        <s v="    Přesyp - Svodka otěru" u="1"/>
        <s v="        Příruba spojky" u="1"/>
        <s v="        Příruba spojky (PND-301445-A)" u="1"/>
        <s v="      Excentrická deska" u="1"/>
        <s v="  Podvozky (UQ906F00N00013; PNS-200705-A)" u="1"/>
        <s v="    Domek bubnu (PNS-400995-1A)" u="1"/>
        <s v="  Otočné uložení + OK a Ložiska" u="1"/>
        <s v="    Stěrač" u="1"/>
        <s v="    Stěrač " u="1"/>
        <s v="      RT12, 13 (Snímač teploty PT35/34 mm)" u="1"/>
        <s v="    Obložení 8" u="1"/>
        <s v="      Horní lávka - Rám ()" u="1"/>
        <s v="    Konzola (PND-301506-A)" u="1"/>
        <s v="    Pražec náběhový (PNS-301535-2B)" u="1"/>
        <s v="    Olej ARAL HLP 2 ()" u="1"/>
        <s v="    Domek bubnu" u="1"/>
        <s v="        Podložka (Clonka)" u="1"/>
        <s v="      Deska 2 (PND-400945-A)" u="1"/>
        <s v="    Tykadla - Hlídání kolize" u="1"/>
        <s v="  Prodlužovací kabely, doprava (Prodlužovací kabely k GPS RTKM 2, 2x = 400 Kč / ks)" u="1"/>
        <s v="      Čep 20 - 105" u="1"/>
        <s v="    Kabel průvěs - Svařenec (PNS-200652-2B)" u="1"/>
        <s v="    Lanová svěrka ()" u="1"/>
        <s v="    Přídržka přímá protikus" u="1"/>
        <s v="      Průmyslová zásuvka + prodlužovací kabel pro přepravu (Harting průmyslové konektory)" u="1"/>
        <s v="      RT.M1 - 3x Pt100 ve vinutí (3 x Pt100 ve vinutí, svorkovnice por Pt100)" u="1"/>
        <s v="      Hydraulický válec" u="1"/>
        <s v="    Průvěs na kolesový výložník (PNS-200683-1A)" u="1"/>
        <s v="    Těleso válce" u="1"/>
        <s v="  Jazykové služby ()" u="1"/>
        <s v="    Kroužek (VA - 275; RUBENA)" u="1"/>
        <s v="    Vnitřní pásnice" u="1"/>
        <s v="      Těsnění 5 - Přídržka (PND-401237-A)" u="1"/>
        <s v="  Servis - Konfigurace měničů (Odhad Dominik)" u="1"/>
        <s v="      Třmen 2 (PND-400955-A)" u="1"/>
        <s v="      Kotoučová pružina (PNS-401014-1A)" u="1"/>
        <s v="      Víčko dolní (PND-400977-A)" u="1"/>
        <s v="  Hydraulický válec ()" u="1"/>
        <s v="    Odtlačovací kostka (PND-400999-A)" u="1"/>
      </sharedItems>
    </cacheField>
    <cacheField name="Varianta" numFmtId="0">
      <sharedItems containsMixedTypes="1" containsNumber="1" containsInteger="1" minValue="1" maxValue="1"/>
    </cacheField>
    <cacheField name="Celková cena bez DPH (CZK)" numFmtId="4">
      <sharedItems containsMixedTypes="1" containsNumber="1" minValue="0.05" maxValue="11200000"/>
    </cacheField>
    <cacheField name="Celková cena bez DPH (EUR)" numFmtId="4">
      <sharedItems containsMixedTypes="1" containsNumber="1" minValue="1.8518518518518519E-3" maxValue="414814.81481481483"/>
    </cacheField>
    <cacheField name="Počet MJHR v rozpadu" numFmtId="168">
      <sharedItems containsMixedTypes="1" containsNumber="1" containsInteger="1" minValue="1" maxValue="200"/>
    </cacheField>
    <cacheField name="Jedn. hmotnost [kg/MJHR]" numFmtId="4">
      <sharedItems containsMixedTypes="1" containsNumber="1" minValue="0" maxValue="80000"/>
    </cacheField>
    <cacheField name="Celková hmotnost položek [kg]" numFmtId="166">
      <sharedItems containsMixedTypes="1" containsNumber="1" minValue="0" maxValue="80000"/>
    </cacheField>
    <cacheField name="Kilogramová cena bez DPH [EUR/kg]" numFmtId="0" formula="IF('Celková hmotnost položek [kg]'=0,0,'Celková cena bez DPH (EUR)'/'Celková hmotnost položek [kg]')" databaseField="0"/>
    <cacheField name="Kilogramová cena bez DPH [CZK/kg]" numFmtId="0" formula="IF('Celková hmotnost položek [kg]'=0,0,'Celková cena bez DPH (CZK)'/'Celková hmotnost položek [kg]'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"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1"/>
    <x v="1"/>
    <x v="1"/>
    <x v="1"/>
    <x v="1"/>
    <n v="1"/>
    <n v="95620"/>
    <n v="3541.4814814814813"/>
    <n v="1"/>
    <n v="683"/>
    <n v="683"/>
  </r>
  <r>
    <x v="2"/>
    <x v="2"/>
    <x v="2"/>
    <x v="1"/>
    <x v="2"/>
    <n v="1"/>
    <n v="22500"/>
    <n v="833.33333333333337"/>
    <n v="1"/>
    <n v="52.4"/>
    <n v="52.4"/>
  </r>
  <r>
    <x v="3"/>
    <x v="3"/>
    <x v="3"/>
    <x v="1"/>
    <x v="3"/>
    <n v="1"/>
    <n v="115500.00000000001"/>
    <n v="4277.7777777777783"/>
    <n v="1"/>
    <n v="264"/>
    <n v="264"/>
  </r>
  <r>
    <x v="4"/>
    <x v="3"/>
    <x v="4"/>
    <x v="1"/>
    <x v="4"/>
    <n v="1"/>
    <n v="77000"/>
    <n v="2851.8518518518517"/>
    <n v="1"/>
    <n v="185"/>
    <n v="185"/>
  </r>
  <r>
    <x v="3"/>
    <x v="3"/>
    <x v="3"/>
    <x v="1"/>
    <x v="5"/>
    <n v="1"/>
    <n v="132000"/>
    <n v="4888.8888888888887"/>
    <n v="2"/>
    <n v="165.1"/>
    <n v="330.2"/>
  </r>
  <r>
    <x v="5"/>
    <x v="3"/>
    <x v="5"/>
    <x v="1"/>
    <x v="6"/>
    <n v="1"/>
    <n v="132020"/>
    <n v="4889.6296296296296"/>
    <n v="2"/>
    <n v="574"/>
    <n v="1148"/>
  </r>
  <r>
    <x v="6"/>
    <x v="1"/>
    <x v="6"/>
    <x v="1"/>
    <x v="7"/>
    <n v="1"/>
    <n v="14674"/>
    <n v="543.48148148148152"/>
    <n v="2"/>
    <n v="66.7"/>
    <n v="133.4"/>
  </r>
  <r>
    <x v="0"/>
    <x v="0"/>
    <x v="0"/>
    <x v="0"/>
    <x v="0"/>
    <s v=""/>
    <s v=""/>
    <s v=""/>
    <s v=""/>
    <s v=""/>
    <s v=""/>
  </r>
  <r>
    <x v="7"/>
    <x v="3"/>
    <x v="7"/>
    <x v="1"/>
    <x v="8"/>
    <n v="1"/>
    <n v="90000"/>
    <n v="3333.3333333333335"/>
    <n v="2"/>
    <n v="156"/>
    <n v="312"/>
  </r>
  <r>
    <x v="7"/>
    <x v="3"/>
    <x v="7"/>
    <x v="1"/>
    <x v="9"/>
    <n v="1"/>
    <n v="60000"/>
    <n v="2222.2222222222222"/>
    <n v="2"/>
    <n v="43.5"/>
    <n v="87"/>
  </r>
  <r>
    <x v="7"/>
    <x v="3"/>
    <x v="7"/>
    <x v="1"/>
    <x v="10"/>
    <n v="1"/>
    <n v="12000"/>
    <n v="444.44444444444446"/>
    <n v="2"/>
    <n v="12.1"/>
    <n v="24.2"/>
  </r>
  <r>
    <x v="8"/>
    <x v="3"/>
    <x v="8"/>
    <x v="1"/>
    <x v="11"/>
    <n v="1"/>
    <n v="942.04"/>
    <n v="34.89037037037037"/>
    <n v="2"/>
    <n v="4.2"/>
    <n v="8.4"/>
  </r>
  <r>
    <x v="3"/>
    <x v="3"/>
    <x v="3"/>
    <x v="1"/>
    <x v="12"/>
    <n v="1"/>
    <n v="100000"/>
    <n v="3703.7037037037039"/>
    <n v="4"/>
    <n v="55"/>
    <n v="220"/>
  </r>
  <r>
    <x v="2"/>
    <x v="2"/>
    <x v="2"/>
    <x v="1"/>
    <x v="13"/>
    <n v="1"/>
    <n v="350000"/>
    <n v="12962.962962962964"/>
    <n v="2"/>
    <n v="496"/>
    <n v="992"/>
  </r>
  <r>
    <x v="9"/>
    <x v="3"/>
    <x v="9"/>
    <x v="1"/>
    <x v="14"/>
    <n v="1"/>
    <n v="84680"/>
    <n v="3136.2962962962961"/>
    <n v="2"/>
    <n v="292"/>
    <n v="584"/>
  </r>
  <r>
    <x v="9"/>
    <x v="3"/>
    <x v="9"/>
    <x v="1"/>
    <x v="15"/>
    <n v="1"/>
    <n v="131950"/>
    <n v="4887.0370370370374"/>
    <n v="2"/>
    <n v="455"/>
    <n v="910"/>
  </r>
  <r>
    <x v="7"/>
    <x v="3"/>
    <x v="7"/>
    <x v="1"/>
    <x v="16"/>
    <n v="1"/>
    <n v="440000"/>
    <n v="16296.296296296296"/>
    <n v="4"/>
    <n v="284"/>
    <n v="1136"/>
  </r>
  <r>
    <x v="10"/>
    <x v="1"/>
    <x v="10"/>
    <x v="1"/>
    <x v="17"/>
    <n v="1"/>
    <n v="39312"/>
    <n v="1456"/>
    <n v="2"/>
    <n v="245.7"/>
    <n v="491.4"/>
  </r>
  <r>
    <x v="10"/>
    <x v="1"/>
    <x v="10"/>
    <x v="1"/>
    <x v="18"/>
    <n v="1"/>
    <n v="8217.6"/>
    <n v="304.35555555555555"/>
    <n v="2"/>
    <n v="51.3"/>
    <n v="102.6"/>
  </r>
  <r>
    <x v="10"/>
    <x v="1"/>
    <x v="10"/>
    <x v="1"/>
    <x v="19"/>
    <n v="1"/>
    <n v="592"/>
    <n v="21.925925925925927"/>
    <n v="2"/>
    <n v="3.7"/>
    <n v="7.4"/>
  </r>
  <r>
    <x v="9"/>
    <x v="3"/>
    <x v="9"/>
    <x v="1"/>
    <x v="20"/>
    <n v="1"/>
    <n v="986"/>
    <n v="36.518518518518519"/>
    <n v="2"/>
    <n v="3.4"/>
    <n v="6.8"/>
  </r>
  <r>
    <x v="9"/>
    <x v="3"/>
    <x v="9"/>
    <x v="1"/>
    <x v="15"/>
    <n v="1"/>
    <n v="145"/>
    <n v="5.3703703703703702"/>
    <n v="2"/>
    <n v="0.5"/>
    <n v="1"/>
  </r>
  <r>
    <x v="10"/>
    <x v="1"/>
    <x v="10"/>
    <x v="1"/>
    <x v="21"/>
    <n v="1"/>
    <n v="144"/>
    <n v="5.333333333333333"/>
    <n v="2"/>
    <n v="0.9"/>
    <n v="1.8"/>
  </r>
  <r>
    <x v="10"/>
    <x v="1"/>
    <x v="10"/>
    <x v="1"/>
    <x v="22"/>
    <n v="1"/>
    <n v="944"/>
    <n v="34.962962962962962"/>
    <n v="2"/>
    <n v="5.9"/>
    <n v="11.8"/>
  </r>
  <r>
    <x v="2"/>
    <x v="2"/>
    <x v="2"/>
    <x v="1"/>
    <x v="23"/>
    <n v="1"/>
    <n v="1000"/>
    <n v="37.037037037037038"/>
    <n v="1"/>
    <n v="1.4"/>
    <n v="1.4"/>
  </r>
  <r>
    <x v="6"/>
    <x v="1"/>
    <x v="6"/>
    <x v="1"/>
    <x v="24"/>
    <n v="1"/>
    <n v="2926"/>
    <n v="108.37037037037037"/>
    <n v="2"/>
    <n v="13.3"/>
    <n v="26.6"/>
  </r>
  <r>
    <x v="6"/>
    <x v="1"/>
    <x v="6"/>
    <x v="1"/>
    <x v="25"/>
    <n v="1"/>
    <n v="13.2"/>
    <n v="0.48888888888888887"/>
    <n v="4"/>
    <n v="0"/>
    <n v="0"/>
  </r>
  <r>
    <x v="11"/>
    <x v="4"/>
    <x v="11"/>
    <x v="2"/>
    <x v="26"/>
    <n v="1"/>
    <n v="199881"/>
    <n v="7403"/>
    <n v="1"/>
    <n v="2700"/>
    <n v="2700"/>
  </r>
  <r>
    <x v="12"/>
    <x v="3"/>
    <x v="12"/>
    <x v="1"/>
    <x v="27"/>
    <n v="1"/>
    <n v="1650375"/>
    <n v="61125"/>
    <n v="1"/>
    <n v="7000"/>
    <n v="7000"/>
  </r>
  <r>
    <x v="2"/>
    <x v="2"/>
    <x v="2"/>
    <x v="1"/>
    <x v="28"/>
    <n v="1"/>
    <n v="50000"/>
    <n v="1851.851851851852"/>
    <n v="1"/>
    <n v="45"/>
    <n v="45"/>
  </r>
  <r>
    <x v="13"/>
    <x v="4"/>
    <x v="13"/>
    <x v="1"/>
    <x v="29"/>
    <n v="1"/>
    <n v="30000"/>
    <n v="1111.1111111111111"/>
    <n v="2"/>
    <n v="28"/>
    <n v="56"/>
  </r>
  <r>
    <x v="2"/>
    <x v="2"/>
    <x v="2"/>
    <x v="1"/>
    <x v="30"/>
    <n v="1"/>
    <n v="800"/>
    <n v="29.62962962962963"/>
    <n v="1"/>
    <n v="1.7"/>
    <n v="1.7"/>
  </r>
  <r>
    <x v="2"/>
    <x v="2"/>
    <x v="2"/>
    <x v="1"/>
    <x v="31"/>
    <n v="1"/>
    <n v="1000"/>
    <n v="37.037037037037038"/>
    <n v="1"/>
    <n v="2.7"/>
    <n v="2.7"/>
  </r>
  <r>
    <x v="14"/>
    <x v="3"/>
    <x v="14"/>
    <x v="1"/>
    <x v="32"/>
    <n v="1"/>
    <n v="3395.92"/>
    <n v="125.77481481481482"/>
    <n v="1"/>
    <n v="30.8"/>
    <n v="30.8"/>
  </r>
  <r>
    <x v="8"/>
    <x v="3"/>
    <x v="8"/>
    <x v="1"/>
    <x v="33"/>
    <n v="1"/>
    <n v="22943.800000000003"/>
    <n v="849.77037037037053"/>
    <n v="1"/>
    <n v="208.5"/>
    <n v="208.5"/>
  </r>
  <r>
    <x v="0"/>
    <x v="0"/>
    <x v="0"/>
    <x v="0"/>
    <x v="0"/>
    <s v=""/>
    <s v=""/>
    <s v=""/>
    <s v=""/>
    <s v=""/>
    <s v=""/>
  </r>
  <r>
    <x v="1"/>
    <x v="1"/>
    <x v="1"/>
    <x v="1"/>
    <x v="34"/>
    <n v="1"/>
    <n v="313600"/>
    <n v="11614.814814814816"/>
    <n v="8"/>
    <n v="280"/>
    <n v="2240"/>
  </r>
  <r>
    <x v="1"/>
    <x v="1"/>
    <x v="1"/>
    <x v="1"/>
    <x v="35"/>
    <n v="1"/>
    <n v="1007944"/>
    <n v="37331.259259259263"/>
    <n v="2"/>
    <n v="3599.8"/>
    <n v="7199.6"/>
  </r>
  <r>
    <x v="1"/>
    <x v="1"/>
    <x v="1"/>
    <x v="1"/>
    <x v="36"/>
    <n v="1"/>
    <n v="285600"/>
    <n v="10577.777777777777"/>
    <n v="4"/>
    <n v="510"/>
    <n v="2040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8"/>
    <n v="1"/>
    <n v="64400"/>
    <n v="2385.1851851851852"/>
    <n v="4"/>
    <n v="140"/>
    <n v="560"/>
  </r>
  <r>
    <x v="15"/>
    <x v="3"/>
    <x v="15"/>
    <x v="1"/>
    <x v="39"/>
    <n v="1"/>
    <n v="646"/>
    <n v="23.925925925925927"/>
    <n v="4"/>
    <n v="1.9"/>
    <n v="7.6"/>
  </r>
  <r>
    <x v="15"/>
    <x v="3"/>
    <x v="15"/>
    <x v="1"/>
    <x v="39"/>
    <n v="1"/>
    <n v="629"/>
    <n v="23.296296296296298"/>
    <n v="4"/>
    <n v="1.8"/>
    <n v="7.2"/>
  </r>
  <r>
    <x v="5"/>
    <x v="3"/>
    <x v="5"/>
    <x v="1"/>
    <x v="40"/>
    <n v="1"/>
    <n v="34040"/>
    <n v="1260.7407407407406"/>
    <n v="8"/>
    <n v="37"/>
    <n v="296"/>
  </r>
  <r>
    <x v="5"/>
    <x v="3"/>
    <x v="5"/>
    <x v="1"/>
    <x v="24"/>
    <n v="1"/>
    <n v="1472"/>
    <n v="54.518518518518519"/>
    <n v="8"/>
    <n v="1.6"/>
    <n v="12.8"/>
  </r>
  <r>
    <x v="5"/>
    <x v="3"/>
    <x v="5"/>
    <x v="1"/>
    <x v="24"/>
    <n v="1"/>
    <n v="1472"/>
    <n v="54.518518518518519"/>
    <n v="16"/>
    <n v="0.8"/>
    <n v="12.8"/>
  </r>
  <r>
    <x v="5"/>
    <x v="3"/>
    <x v="5"/>
    <x v="1"/>
    <x v="41"/>
    <n v="1"/>
    <n v="11776"/>
    <n v="436.14814814814815"/>
    <n v="16"/>
    <n v="6.4"/>
    <n v="102.4"/>
  </r>
  <r>
    <x v="2"/>
    <x v="2"/>
    <x v="2"/>
    <x v="1"/>
    <x v="42"/>
    <n v="1"/>
    <n v="1600"/>
    <n v="59.25925925925926"/>
    <n v="16"/>
    <n v="0"/>
    <n v="0"/>
  </r>
  <r>
    <x v="8"/>
    <x v="3"/>
    <x v="8"/>
    <x v="1"/>
    <x v="43"/>
    <n v="1"/>
    <n v="30.800000000000004"/>
    <n v="1.1407407407407408"/>
    <n v="4"/>
    <n v="0"/>
    <n v="0"/>
  </r>
  <r>
    <x v="6"/>
    <x v="1"/>
    <x v="6"/>
    <x v="1"/>
    <x v="44"/>
    <n v="1"/>
    <n v="33902"/>
    <n v="1255.6296296296296"/>
    <n v="2"/>
    <n v="154.1"/>
    <n v="308.2"/>
  </r>
  <r>
    <x v="7"/>
    <x v="3"/>
    <x v="7"/>
    <x v="1"/>
    <x v="45"/>
    <n v="1"/>
    <n v="440000.00000000006"/>
    <n v="16296.296296296299"/>
    <n v="16"/>
    <n v="18.2"/>
    <n v="291.2"/>
  </r>
  <r>
    <x v="8"/>
    <x v="3"/>
    <x v="8"/>
    <x v="1"/>
    <x v="33"/>
    <n v="1"/>
    <n v="4552.24"/>
    <n v="168.60148148148147"/>
    <n v="2"/>
    <n v="20.6"/>
    <n v="41.2"/>
  </r>
  <r>
    <x v="0"/>
    <x v="0"/>
    <x v="0"/>
    <x v="0"/>
    <x v="0"/>
    <s v=""/>
    <s v=""/>
    <s v=""/>
    <s v=""/>
    <s v=""/>
    <s v=""/>
  </r>
  <r>
    <x v="1"/>
    <x v="1"/>
    <x v="1"/>
    <x v="1"/>
    <x v="46"/>
    <n v="1"/>
    <n v="168000"/>
    <n v="6222.2222222222226"/>
    <n v="4"/>
    <n v="300"/>
    <n v="1200"/>
  </r>
  <r>
    <x v="1"/>
    <x v="1"/>
    <x v="1"/>
    <x v="1"/>
    <x v="35"/>
    <n v="1"/>
    <n v="503860"/>
    <n v="18661.481481481482"/>
    <n v="1"/>
    <n v="3599"/>
    <n v="3599"/>
  </r>
  <r>
    <x v="1"/>
    <x v="1"/>
    <x v="1"/>
    <x v="1"/>
    <x v="36"/>
    <n v="1"/>
    <n v="142800"/>
    <n v="5288.8888888888887"/>
    <n v="2"/>
    <n v="510"/>
    <n v="1020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8"/>
    <n v="1"/>
    <n v="32200"/>
    <n v="1192.5925925925926"/>
    <n v="2"/>
    <n v="140"/>
    <n v="280"/>
  </r>
  <r>
    <x v="15"/>
    <x v="3"/>
    <x v="15"/>
    <x v="1"/>
    <x v="39"/>
    <n v="1"/>
    <n v="323"/>
    <n v="11.962962962962964"/>
    <n v="2"/>
    <n v="1.9"/>
    <n v="3.8"/>
  </r>
  <r>
    <x v="15"/>
    <x v="3"/>
    <x v="15"/>
    <x v="1"/>
    <x v="39"/>
    <n v="1"/>
    <n v="314.5"/>
    <n v="11.648148148148149"/>
    <n v="2"/>
    <n v="1.8"/>
    <n v="3.6"/>
  </r>
  <r>
    <x v="5"/>
    <x v="3"/>
    <x v="5"/>
    <x v="1"/>
    <x v="47"/>
    <n v="1"/>
    <n v="18538"/>
    <n v="686.59259259259261"/>
    <n v="4"/>
    <n v="40.299999999999997"/>
    <n v="161.19999999999999"/>
  </r>
  <r>
    <x v="5"/>
    <x v="3"/>
    <x v="5"/>
    <x v="1"/>
    <x v="24"/>
    <n v="1"/>
    <n v="1058"/>
    <n v="39.185185185185183"/>
    <n v="4"/>
    <n v="2.2999999999999998"/>
    <n v="9.1999999999999993"/>
  </r>
  <r>
    <x v="5"/>
    <x v="3"/>
    <x v="5"/>
    <x v="1"/>
    <x v="24"/>
    <n v="1"/>
    <n v="828"/>
    <n v="30.666666666666668"/>
    <n v="8"/>
    <n v="0.9"/>
    <n v="7.2"/>
  </r>
  <r>
    <x v="5"/>
    <x v="3"/>
    <x v="5"/>
    <x v="1"/>
    <x v="41"/>
    <n v="1"/>
    <n v="6624"/>
    <n v="245.33333333333334"/>
    <n v="8"/>
    <n v="7.2"/>
    <n v="57.6"/>
  </r>
  <r>
    <x v="2"/>
    <x v="2"/>
    <x v="2"/>
    <x v="1"/>
    <x v="42"/>
    <n v="1"/>
    <n v="800"/>
    <n v="29.62962962962963"/>
    <n v="8"/>
    <n v="0"/>
    <n v="0"/>
  </r>
  <r>
    <x v="8"/>
    <x v="3"/>
    <x v="8"/>
    <x v="1"/>
    <x v="43"/>
    <n v="1"/>
    <n v="15.400000000000002"/>
    <n v="0.57037037037037042"/>
    <n v="2"/>
    <n v="0"/>
    <n v="0"/>
  </r>
  <r>
    <x v="6"/>
    <x v="1"/>
    <x v="6"/>
    <x v="1"/>
    <x v="44"/>
    <n v="1"/>
    <n v="16951"/>
    <n v="627.81481481481478"/>
    <n v="1"/>
    <n v="154.1"/>
    <n v="154.1"/>
  </r>
  <r>
    <x v="6"/>
    <x v="1"/>
    <x v="6"/>
    <x v="1"/>
    <x v="44"/>
    <n v="1"/>
    <n v="16005"/>
    <n v="592.77777777777783"/>
    <n v="1"/>
    <n v="145.5"/>
    <n v="145.5"/>
  </r>
  <r>
    <x v="7"/>
    <x v="3"/>
    <x v="7"/>
    <x v="1"/>
    <x v="48"/>
    <n v="1"/>
    <n v="220000.00000000003"/>
    <n v="8148.1481481481496"/>
    <n v="8"/>
    <n v="22.1"/>
    <n v="176.8"/>
  </r>
  <r>
    <x v="8"/>
    <x v="3"/>
    <x v="8"/>
    <x v="1"/>
    <x v="33"/>
    <n v="1"/>
    <n v="2276.12"/>
    <n v="84.300740740740736"/>
    <n v="1"/>
    <n v="20.6"/>
    <n v="20.6"/>
  </r>
  <r>
    <x v="0"/>
    <x v="0"/>
    <x v="0"/>
    <x v="0"/>
    <x v="0"/>
    <s v=""/>
    <s v=""/>
    <s v=""/>
    <s v=""/>
    <s v=""/>
    <s v=""/>
  </r>
  <r>
    <x v="1"/>
    <x v="1"/>
    <x v="1"/>
    <x v="1"/>
    <x v="49"/>
    <n v="1"/>
    <n v="307440"/>
    <n v="11386.666666666666"/>
    <n v="6"/>
    <n v="366"/>
    <n v="2196"/>
  </r>
  <r>
    <x v="1"/>
    <x v="1"/>
    <x v="1"/>
    <x v="1"/>
    <x v="49"/>
    <n v="1"/>
    <n v="319200"/>
    <n v="11822.222222222223"/>
    <n v="6"/>
    <n v="380"/>
    <n v="2280"/>
  </r>
  <r>
    <x v="8"/>
    <x v="3"/>
    <x v="8"/>
    <x v="1"/>
    <x v="33"/>
    <n v="1"/>
    <n v="19219.2"/>
    <n v="711.82222222222219"/>
    <n v="3"/>
    <n v="58.2"/>
    <n v="174.60000000000002"/>
  </r>
  <r>
    <x v="16"/>
    <x v="1"/>
    <x v="16"/>
    <x v="1"/>
    <x v="50"/>
    <n v="1"/>
    <n v="712.8"/>
    <n v="26.4"/>
    <n v="3"/>
    <n v="5.9"/>
    <n v="17.700000000000003"/>
  </r>
  <r>
    <x v="9"/>
    <x v="3"/>
    <x v="9"/>
    <x v="1"/>
    <x v="51"/>
    <n v="1"/>
    <n v="156600"/>
    <n v="5800"/>
    <n v="200"/>
    <n v="5.4"/>
    <n v="1080"/>
  </r>
  <r>
    <x v="10"/>
    <x v="1"/>
    <x v="10"/>
    <x v="1"/>
    <x v="52"/>
    <n v="1"/>
    <n v="4800"/>
    <n v="177.77777777777777"/>
    <n v="100"/>
    <n v="0.6"/>
    <n v="60"/>
  </r>
  <r>
    <x v="1"/>
    <x v="1"/>
    <x v="1"/>
    <x v="3"/>
    <x v="53"/>
    <n v="1"/>
    <n v="381192"/>
    <n v="14118.222222222223"/>
    <n v="6"/>
    <n v="453.8"/>
    <n v="2722.8"/>
  </r>
  <r>
    <x v="0"/>
    <x v="0"/>
    <x v="0"/>
    <x v="0"/>
    <x v="0"/>
    <s v=""/>
    <s v=""/>
    <s v=""/>
    <s v=""/>
    <s v=""/>
    <s v=""/>
  </r>
  <r>
    <x v="1"/>
    <x v="1"/>
    <x v="1"/>
    <x v="1"/>
    <x v="54"/>
    <n v="1"/>
    <n v="618450"/>
    <n v="22905.555555555555"/>
    <n v="1"/>
    <n v="4417.5"/>
    <n v="4417.5"/>
  </r>
  <r>
    <x v="1"/>
    <x v="1"/>
    <x v="1"/>
    <x v="1"/>
    <x v="55"/>
    <n v="1"/>
    <n v="620088"/>
    <n v="22966.222222222223"/>
    <n v="1"/>
    <n v="4429.2"/>
    <n v="4429.2"/>
  </r>
  <r>
    <x v="1"/>
    <x v="1"/>
    <x v="1"/>
    <x v="1"/>
    <x v="56"/>
    <n v="1"/>
    <n v="143192"/>
    <n v="5303.4074074074078"/>
    <n v="4"/>
    <n v="255.7"/>
    <n v="1022.8"/>
  </r>
  <r>
    <x v="5"/>
    <x v="3"/>
    <x v="5"/>
    <x v="1"/>
    <x v="57"/>
    <n v="1"/>
    <n v="416484"/>
    <n v="15425.333333333334"/>
    <n v="8"/>
    <n v="452.7"/>
    <n v="3621.6"/>
  </r>
  <r>
    <x v="15"/>
    <x v="3"/>
    <x v="15"/>
    <x v="1"/>
    <x v="58"/>
    <n v="1"/>
    <n v="22983.999999999996"/>
    <n v="851.25925925925912"/>
    <n v="8"/>
    <n v="33.799999999999997"/>
    <n v="270.39999999999998"/>
  </r>
  <r>
    <x v="6"/>
    <x v="1"/>
    <x v="6"/>
    <x v="1"/>
    <x v="59"/>
    <n v="1"/>
    <n v="9583.2000000000007"/>
    <n v="354.93333333333334"/>
    <n v="2"/>
    <n v="43.5"/>
    <n v="87"/>
  </r>
  <r>
    <x v="5"/>
    <x v="3"/>
    <x v="5"/>
    <x v="1"/>
    <x v="60"/>
    <n v="1"/>
    <n v="39560"/>
    <n v="1465.1851851851852"/>
    <n v="4"/>
    <n v="86"/>
    <n v="344"/>
  </r>
  <r>
    <x v="4"/>
    <x v="3"/>
    <x v="4"/>
    <x v="1"/>
    <x v="61"/>
    <n v="1"/>
    <n v="110000"/>
    <n v="4074.0740740740739"/>
    <n v="2"/>
    <n v="157.1"/>
    <n v="314.2"/>
  </r>
  <r>
    <x v="4"/>
    <x v="3"/>
    <x v="4"/>
    <x v="1"/>
    <x v="61"/>
    <n v="1"/>
    <n v="110000"/>
    <n v="4074.0740740740739"/>
    <n v="2"/>
    <n v="157.1"/>
    <n v="314.2"/>
  </r>
  <r>
    <x v="5"/>
    <x v="3"/>
    <x v="5"/>
    <x v="1"/>
    <x v="62"/>
    <n v="1"/>
    <n v="2346"/>
    <n v="86.888888888888886"/>
    <n v="4"/>
    <n v="5.0999999999999996"/>
    <n v="20.399999999999999"/>
  </r>
  <r>
    <x v="5"/>
    <x v="3"/>
    <x v="5"/>
    <x v="1"/>
    <x v="63"/>
    <n v="1"/>
    <n v="8280"/>
    <n v="306.66666666666669"/>
    <n v="4"/>
    <n v="18"/>
    <n v="72"/>
  </r>
  <r>
    <x v="8"/>
    <x v="3"/>
    <x v="8"/>
    <x v="1"/>
    <x v="33"/>
    <n v="1"/>
    <n v="1228.7"/>
    <n v="45.507407407407406"/>
    <n v="1"/>
    <n v="11.1"/>
    <n v="11.1"/>
  </r>
  <r>
    <x v="0"/>
    <x v="0"/>
    <x v="0"/>
    <x v="0"/>
    <x v="0"/>
    <s v=""/>
    <s v=""/>
    <s v=""/>
    <s v=""/>
    <s v=""/>
    <s v=""/>
  </r>
  <r>
    <x v="6"/>
    <x v="1"/>
    <x v="6"/>
    <x v="1"/>
    <x v="64"/>
    <n v="1"/>
    <n v="2983.2000000000003"/>
    <n v="110.48888888888889"/>
    <n v="2"/>
    <n v="13.5"/>
    <n v="27"/>
  </r>
  <r>
    <x v="5"/>
    <x v="3"/>
    <x v="5"/>
    <x v="1"/>
    <x v="46"/>
    <n v="1"/>
    <n v="2362.1"/>
    <n v="87.485185185185188"/>
    <n v="2"/>
    <n v="10.199999999999999"/>
    <n v="20.399999999999999"/>
  </r>
  <r>
    <x v="5"/>
    <x v="3"/>
    <x v="5"/>
    <x v="1"/>
    <x v="65"/>
    <n v="1"/>
    <n v="690"/>
    <n v="25.555555555555557"/>
    <n v="2"/>
    <n v="3"/>
    <n v="6"/>
  </r>
  <r>
    <x v="8"/>
    <x v="3"/>
    <x v="8"/>
    <x v="1"/>
    <x v="33"/>
    <n v="1"/>
    <n v="606.31999999999994"/>
    <n v="22.456296296296294"/>
    <n v="2"/>
    <n v="2.7"/>
    <n v="5.4"/>
  </r>
  <r>
    <x v="0"/>
    <x v="0"/>
    <x v="0"/>
    <x v="0"/>
    <x v="0"/>
    <s v=""/>
    <s v=""/>
    <s v=""/>
    <s v=""/>
    <s v=""/>
    <s v=""/>
  </r>
  <r>
    <x v="6"/>
    <x v="1"/>
    <x v="6"/>
    <x v="1"/>
    <x v="66"/>
    <n v="1"/>
    <n v="12144"/>
    <n v="449.77777777777777"/>
    <n v="8"/>
    <n v="13.8"/>
    <n v="110.4"/>
  </r>
  <r>
    <x v="10"/>
    <x v="1"/>
    <x v="10"/>
    <x v="1"/>
    <x v="67"/>
    <n v="1"/>
    <n v="169.28"/>
    <n v="6.2696296296296294"/>
    <n v="92"/>
    <n v="0"/>
    <n v="0"/>
  </r>
  <r>
    <x v="16"/>
    <x v="1"/>
    <x v="16"/>
    <x v="1"/>
    <x v="50"/>
    <n v="1"/>
    <n v="600"/>
    <n v="22.222222222222221"/>
    <n v="2"/>
    <n v="7.5"/>
    <n v="15"/>
  </r>
  <r>
    <x v="8"/>
    <x v="3"/>
    <x v="8"/>
    <x v="1"/>
    <x v="33"/>
    <n v="1"/>
    <n v="169.84"/>
    <n v="6.2903703703703702"/>
    <n v="2"/>
    <n v="0.7"/>
    <n v="1.4"/>
  </r>
  <r>
    <x v="0"/>
    <x v="0"/>
    <x v="0"/>
    <x v="0"/>
    <x v="0"/>
    <s v=""/>
    <s v=""/>
    <s v=""/>
    <s v=""/>
    <s v=""/>
    <s v=""/>
  </r>
  <r>
    <x v="5"/>
    <x v="3"/>
    <x v="5"/>
    <x v="1"/>
    <x v="58"/>
    <n v="1"/>
    <n v="7475"/>
    <n v="276.85185185185185"/>
    <n v="2"/>
    <n v="32.5"/>
    <n v="65"/>
  </r>
  <r>
    <x v="15"/>
    <x v="3"/>
    <x v="15"/>
    <x v="1"/>
    <x v="68"/>
    <n v="1"/>
    <n v="1122"/>
    <n v="41.555555555555557"/>
    <n v="4"/>
    <n v="3.3"/>
    <n v="13.2"/>
  </r>
  <r>
    <x v="5"/>
    <x v="3"/>
    <x v="5"/>
    <x v="1"/>
    <x v="69"/>
    <n v="1"/>
    <n v="3771.9999999999995"/>
    <n v="139.7037037037037"/>
    <n v="2"/>
    <n v="16.399999999999999"/>
    <n v="32.799999999999997"/>
  </r>
  <r>
    <x v="5"/>
    <x v="3"/>
    <x v="5"/>
    <x v="1"/>
    <x v="70"/>
    <n v="1"/>
    <n v="979.8"/>
    <n v="36.288888888888884"/>
    <n v="4"/>
    <n v="2.1"/>
    <n v="8.4"/>
  </r>
  <r>
    <x v="8"/>
    <x v="3"/>
    <x v="8"/>
    <x v="1"/>
    <x v="33"/>
    <n v="1"/>
    <n v="399.52000000000004"/>
    <n v="14.797037037037038"/>
    <n v="2"/>
    <n v="1.8"/>
    <n v="3.6"/>
  </r>
  <r>
    <x v="5"/>
    <x v="3"/>
    <x v="5"/>
    <x v="1"/>
    <x v="71"/>
    <n v="1"/>
    <n v="2461"/>
    <n v="91.148148148148152"/>
    <n v="1"/>
    <n v="21.4"/>
    <n v="21.4"/>
  </r>
  <r>
    <x v="17"/>
    <x v="5"/>
    <x v="17"/>
    <x v="1"/>
    <x v="72"/>
    <n v="1"/>
    <n v="10000"/>
    <n v="370.37037037037038"/>
    <n v="1"/>
    <n v="49.4"/>
    <n v="49.4"/>
  </r>
  <r>
    <x v="17"/>
    <x v="5"/>
    <x v="17"/>
    <x v="1"/>
    <x v="73"/>
    <n v="1"/>
    <n v="10000"/>
    <n v="370.37037037037038"/>
    <n v="1"/>
    <n v="77"/>
    <n v="77"/>
  </r>
  <r>
    <x v="18"/>
    <x v="5"/>
    <x v="18"/>
    <x v="1"/>
    <x v="74"/>
    <n v="1"/>
    <n v="0.05"/>
    <n v="1.8518518518518519E-3"/>
    <n v="1"/>
    <n v="0"/>
    <n v="0"/>
  </r>
  <r>
    <x v="5"/>
    <x v="3"/>
    <x v="5"/>
    <x v="1"/>
    <x v="75"/>
    <n v="1"/>
    <n v="45678"/>
    <n v="1691.7777777777778"/>
    <n v="2"/>
    <n v="198.6"/>
    <n v="397.2"/>
  </r>
  <r>
    <x v="5"/>
    <x v="3"/>
    <x v="5"/>
    <x v="1"/>
    <x v="76"/>
    <n v="1"/>
    <n v="9660"/>
    <n v="357.77777777777777"/>
    <n v="24"/>
    <n v="3.5"/>
    <n v="84"/>
  </r>
  <r>
    <x v="15"/>
    <x v="3"/>
    <x v="15"/>
    <x v="1"/>
    <x v="77"/>
    <n v="1"/>
    <n v="10424.400000000001"/>
    <n v="386.08888888888896"/>
    <n v="24"/>
    <n v="5.0999999999999996"/>
    <n v="122.39999999999999"/>
  </r>
  <r>
    <x v="15"/>
    <x v="3"/>
    <x v="15"/>
    <x v="1"/>
    <x v="78"/>
    <n v="1"/>
    <n v="2855.9999999999995"/>
    <n v="105.77777777777776"/>
    <n v="12"/>
    <n v="2.8"/>
    <n v="33.599999999999994"/>
  </r>
  <r>
    <x v="15"/>
    <x v="3"/>
    <x v="15"/>
    <x v="1"/>
    <x v="76"/>
    <n v="1"/>
    <n v="13430"/>
    <n v="497.40740740740739"/>
    <n v="2"/>
    <n v="79"/>
    <n v="158"/>
  </r>
  <r>
    <x v="15"/>
    <x v="3"/>
    <x v="15"/>
    <x v="1"/>
    <x v="76"/>
    <n v="1"/>
    <n v="2091"/>
    <n v="77.444444444444443"/>
    <n v="6"/>
    <n v="4.0999999999999996"/>
    <n v="24.599999999999998"/>
  </r>
  <r>
    <x v="15"/>
    <x v="3"/>
    <x v="15"/>
    <x v="1"/>
    <x v="79"/>
    <n v="1"/>
    <n v="2167.5"/>
    <n v="80.277777777777771"/>
    <n v="6"/>
    <n v="4.2"/>
    <n v="25.200000000000003"/>
  </r>
  <r>
    <x v="15"/>
    <x v="3"/>
    <x v="15"/>
    <x v="1"/>
    <x v="80"/>
    <n v="1"/>
    <n v="1020"/>
    <n v="37.777777777777779"/>
    <n v="30"/>
    <n v="0.4"/>
    <n v="12"/>
  </r>
  <r>
    <x v="8"/>
    <x v="3"/>
    <x v="8"/>
    <x v="1"/>
    <x v="81"/>
    <n v="1"/>
    <n v="68382.05"/>
    <n v="2532.6685185185188"/>
    <n v="1"/>
    <n v="621.6"/>
    <n v="621.6"/>
  </r>
  <r>
    <x v="16"/>
    <x v="1"/>
    <x v="16"/>
    <x v="1"/>
    <x v="82"/>
    <n v="1"/>
    <n v="23700"/>
    <n v="877.77777777777783"/>
    <n v="1"/>
    <n v="592.5"/>
    <n v="592.5"/>
  </r>
  <r>
    <x v="19"/>
    <x v="6"/>
    <x v="19"/>
    <x v="1"/>
    <x v="83"/>
    <n v="1"/>
    <n v="1115006.7"/>
    <n v="41296.544444444444"/>
    <n v="1"/>
    <n v="0"/>
    <n v="0"/>
  </r>
  <r>
    <x v="20"/>
    <x v="4"/>
    <x v="20"/>
    <x v="1"/>
    <x v="84"/>
    <n v="1"/>
    <n v="1500000"/>
    <n v="55555.555555555555"/>
    <n v="1"/>
    <n v="0"/>
    <n v="0"/>
  </r>
  <r>
    <x v="21"/>
    <x v="2"/>
    <x v="21"/>
    <x v="1"/>
    <x v="85"/>
    <n v="1"/>
    <n v="1000000"/>
    <n v="37037.037037037036"/>
    <n v="1"/>
    <n v="0"/>
    <n v="0"/>
  </r>
  <r>
    <x v="22"/>
    <x v="2"/>
    <x v="22"/>
    <x v="1"/>
    <x v="86"/>
    <n v="1"/>
    <n v="800000"/>
    <n v="29629.629629629631"/>
    <n v="1"/>
    <n v="0"/>
    <n v="0"/>
  </r>
  <r>
    <x v="1"/>
    <x v="1"/>
    <x v="1"/>
    <x v="1"/>
    <x v="87"/>
    <n v="1"/>
    <n v="11200000"/>
    <n v="414814.81481481483"/>
    <n v="1"/>
    <n v="80000"/>
    <n v="80000"/>
  </r>
  <r>
    <x v="23"/>
    <x v="7"/>
    <x v="23"/>
    <x v="1"/>
    <x v="88"/>
    <n v="1"/>
    <n v="3596775"/>
    <n v="133213.88888888888"/>
    <n v="1"/>
    <n v="1"/>
    <n v="1"/>
  </r>
  <r>
    <x v="23"/>
    <x v="7"/>
    <x v="23"/>
    <x v="1"/>
    <x v="89"/>
    <n v="1"/>
    <n v="2158065"/>
    <n v="79928.333333333328"/>
    <n v="1"/>
    <n v="1"/>
    <n v="1"/>
  </r>
  <r>
    <x v="24"/>
    <x v="7"/>
    <x v="24"/>
    <x v="1"/>
    <x v="90"/>
    <n v="1"/>
    <n v="300000"/>
    <n v="11111.111111111111"/>
    <n v="1"/>
    <n v="1"/>
    <n v="1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Kontingenční tabulka VONKA" cacheId="0" applyNumberFormats="0" applyBorderFormats="0" applyFontFormats="0" applyPatternFormats="0" applyAlignmentFormats="0" applyWidthHeightFormats="1" dataCaption="Hodnoty" updatedVersion="3" minRefreshableVersion="3" colGrandTotals="0" itemPrintTitles="1" createdVersion="5" indent="0" compact="0" outline="1" outlineData="1" compactData="0" multipleFieldFilters="0" chartFormat="1" rowHeaderCaption="Název">
  <location ref="B12:G61" firstHeaderRow="1" firstDataRow="2" firstDataCol="1"/>
  <pivotFields count="13">
    <pivotField compact="0" showAll="0" defaultSubtotal="0"/>
    <pivotField axis="axisRow" showAll="0" sumSubtotal="1">
      <items count="12">
        <item x="3"/>
        <item x="1"/>
        <item x="2"/>
        <item x="4"/>
        <item x="5"/>
        <item x="7"/>
        <item m="1" x="8"/>
        <item sd="0" m="1" x="10"/>
        <item sd="0" x="0"/>
        <item m="1" x="9"/>
        <item x="6"/>
        <item t="sum"/>
      </items>
    </pivotField>
    <pivotField axis="axisRow" showAll="0" sortType="ascending" sumSubtotal="1">
      <items count="66">
        <item sd="0" x="0"/>
        <item sd="0" m="1" x="31"/>
        <item sd="0" m="1" x="28"/>
        <item sd="0" m="1" x="64"/>
        <item sd="0" m="1" x="39"/>
        <item sd="0" m="1" x="55"/>
        <item sd="0" m="1" x="29"/>
        <item sd="0" m="1" x="49"/>
        <item sd="0" x="11"/>
        <item sd="0" m="1" x="56"/>
        <item sd="0" m="1" x="41"/>
        <item sd="0" m="1" x="30"/>
        <item sd="0" m="1" x="32"/>
        <item sd="0" m="1" x="60"/>
        <item sd="0" x="20"/>
        <item sd="0" m="1" x="43"/>
        <item sd="0" m="1" x="58"/>
        <item sd="0" x="13"/>
        <item sd="0" m="1" x="53"/>
        <item sd="0" m="1" x="26"/>
        <item sd="0" m="1" x="46"/>
        <item sd="0" x="19"/>
        <item x="16"/>
        <item sd="0" m="1" x="44"/>
        <item sd="0" x="1"/>
        <item sd="0" x="6"/>
        <item sd="0" x="10"/>
        <item sd="0" m="1" x="50"/>
        <item sd="0" m="1" x="42"/>
        <item m="1" x="38"/>
        <item sd="0" m="1" x="63"/>
        <item sd="0" m="1" x="33"/>
        <item sd="0" m="1" x="34"/>
        <item x="17"/>
        <item sd="0" m="1" x="59"/>
        <item sd="0" x="18"/>
        <item sd="0" x="24"/>
        <item sd="0" x="23"/>
        <item sd="0" m="1" x="62"/>
        <item sd="0" m="1" x="45"/>
        <item sd="0" m="1" x="61"/>
        <item sd="0" m="1" x="54"/>
        <item x="4"/>
        <item sd="0" m="1" x="37"/>
        <item sd="0" m="1" x="47"/>
        <item sd="0" x="7"/>
        <item sd="0" m="1" x="57"/>
        <item x="14"/>
        <item sd="0" x="9"/>
        <item sd="0" x="5"/>
        <item sd="0" x="15"/>
        <item sd="0" m="1" x="36"/>
        <item sd="0" x="12"/>
        <item sd="0" x="8"/>
        <item sd="0" x="3"/>
        <item sd="0" m="1" x="52"/>
        <item sd="0" m="1" x="35"/>
        <item sd="0" m="1" x="27"/>
        <item sd="0" m="1" x="48"/>
        <item sd="0" x="22"/>
        <item sd="0" x="2"/>
        <item sd="0" m="1" x="25"/>
        <item sd="0" x="21"/>
        <item m="1" x="51"/>
        <item m="1" x="40"/>
        <item t="sum" sd="0"/>
      </items>
    </pivotField>
    <pivotField axis="axisRow" showAll="0" insertBlankRow="1" sumSubtotal="1">
      <items count="88">
        <item x="0"/>
        <item m="1" x="34"/>
        <item m="1" x="79"/>
        <item m="1" x="20"/>
        <item m="1" x="30"/>
        <item m="1" x="33"/>
        <item m="1" x="71"/>
        <item m="1" x="50"/>
        <item m="1" x="56"/>
        <item m="1" x="58"/>
        <item m="1" x="64"/>
        <item m="1" x="5"/>
        <item m="1" x="82"/>
        <item m="1" x="59"/>
        <item m="1" x="49"/>
        <item m="1" x="28"/>
        <item m="1" x="75"/>
        <item m="1" x="27"/>
        <item m="1" x="26"/>
        <item m="1" x="42"/>
        <item m="1" x="16"/>
        <item m="1" x="32"/>
        <item m="1" x="21"/>
        <item m="1" x="76"/>
        <item m="1" x="60"/>
        <item m="1" x="57"/>
        <item m="1" x="68"/>
        <item m="1" x="80"/>
        <item m="1" x="61"/>
        <item m="1" x="22"/>
        <item m="1" x="63"/>
        <item m="1" x="66"/>
        <item m="1" x="18"/>
        <item m="1" x="38"/>
        <item m="1" x="6"/>
        <item m="1" x="55"/>
        <item m="1" x="44"/>
        <item sd="0" m="1" x="12"/>
        <item sd="0" m="1" x="74"/>
        <item m="1" x="78"/>
        <item m="1" x="25"/>
        <item m="1" x="11"/>
        <item m="1" x="69"/>
        <item m="1" x="70"/>
        <item m="1" x="46"/>
        <item m="1" x="4"/>
        <item m="1" x="10"/>
        <item m="1" x="43"/>
        <item m="1" x="24"/>
        <item m="1" x="41"/>
        <item m="1" x="53"/>
        <item m="1" x="73"/>
        <item m="1" x="51"/>
        <item m="1" x="19"/>
        <item m="1" x="31"/>
        <item sd="0" m="1" x="40"/>
        <item m="1" x="65"/>
        <item sd="0" m="1" x="39"/>
        <item m="1" x="14"/>
        <item sd="0" m="1" x="62"/>
        <item m="1" x="7"/>
        <item m="1" x="67"/>
        <item m="1" x="23"/>
        <item m="1" x="77"/>
        <item sd="0" m="1" x="85"/>
        <item m="1" x="36"/>
        <item m="1" x="29"/>
        <item m="1" x="37"/>
        <item m="1" x="17"/>
        <item m="1" x="86"/>
        <item m="1" x="54"/>
        <item m="1" x="84"/>
        <item m="1" x="48"/>
        <item m="1" x="47"/>
        <item m="1" x="9"/>
        <item m="1" x="15"/>
        <item m="1" x="8"/>
        <item m="1" x="35"/>
        <item m="1" x="81"/>
        <item m="1" x="13"/>
        <item m="1" x="45"/>
        <item m="1" x="72"/>
        <item m="1" x="83"/>
        <item m="1" x="52"/>
        <item x="1"/>
        <item x="2"/>
        <item x="3"/>
        <item t="sum"/>
      </items>
    </pivotField>
    <pivotField axis="axisRow" showAll="0" defaultSubtotal="0">
      <items count="1431">
        <item x="0"/>
        <item m="1" x="1148"/>
        <item m="1" x="709"/>
        <item m="1" x="1207"/>
        <item m="1" x="1376"/>
        <item m="1" x="1268"/>
        <item m="1" x="181"/>
        <item m="1" x="262"/>
        <item m="1" x="138"/>
        <item m="1" x="1233"/>
        <item m="1" x="104"/>
        <item m="1" x="1208"/>
        <item m="1" x="861"/>
        <item m="1" x="493"/>
        <item m="1" x="397"/>
        <item m="1" x="873"/>
        <item m="1" x="947"/>
        <item m="1" x="876"/>
        <item m="1" x="765"/>
        <item m="1" x="419"/>
        <item m="1" x="429"/>
        <item m="1" x="451"/>
        <item m="1" x="475"/>
        <item m="1" x="487"/>
        <item m="1" x="1209"/>
        <item m="1" x="894"/>
        <item m="1" x="463"/>
        <item m="1" x="814"/>
        <item m="1" x="891"/>
        <item m="1" x="1408"/>
        <item m="1" x="786"/>
        <item m="1" x="1068"/>
        <item m="1" x="1145"/>
        <item m="1" x="307"/>
        <item m="1" x="1393"/>
        <item m="1" x="1021"/>
        <item m="1" x="466"/>
        <item m="1" x="511"/>
        <item m="1" x="529"/>
        <item m="1" x="1142"/>
        <item m="1" x="361"/>
        <item m="1" x="445"/>
        <item m="1" x="767"/>
        <item m="1" x="1049"/>
        <item m="1" x="879"/>
        <item m="1" x="982"/>
        <item m="1" x="1127"/>
        <item m="1" x="555"/>
        <item m="1" x="1151"/>
        <item m="1" x="1198"/>
        <item m="1" x="843"/>
        <item m="1" x="315"/>
        <item m="1" x="523"/>
        <item m="1" x="1095"/>
        <item m="1" x="187"/>
        <item m="1" x="860"/>
        <item m="1" x="594"/>
        <item m="1" x="833"/>
        <item m="1" x="835"/>
        <item m="1" x="629"/>
        <item m="1" x="391"/>
        <item m="1" x="1150"/>
        <item m="1" x="631"/>
        <item m="1" x="1412"/>
        <item m="1" x="388"/>
        <item m="1" x="188"/>
        <item m="1" x="1215"/>
        <item m="1" x="231"/>
        <item m="1" x="303"/>
        <item m="1" x="390"/>
        <item m="1" x="1390"/>
        <item m="1" x="348"/>
        <item m="1" x="770"/>
        <item m="1" x="800"/>
        <item m="1" x="491"/>
        <item m="1" x="369"/>
        <item m="1" x="1352"/>
        <item m="1" x="279"/>
        <item m="1" x="1395"/>
        <item m="1" x="942"/>
        <item m="1" x="834"/>
        <item m="1" x="836"/>
        <item m="1" x="1089"/>
        <item m="1" x="1335"/>
        <item m="1" x="597"/>
        <item m="1" x="292"/>
        <item m="1" x="1418"/>
        <item m="1" x="662"/>
        <item m="1" x="225"/>
        <item m="1" x="1110"/>
        <item m="1" x="165"/>
        <item m="1" x="366"/>
        <item m="1" x="996"/>
        <item m="1" x="1147"/>
        <item m="1" x="1149"/>
        <item m="1" x="1210"/>
        <item m="1" x="1226"/>
        <item m="1" x="428"/>
        <item m="1" x="91"/>
        <item m="1" x="273"/>
        <item m="1" x="206"/>
        <item m="1" x="587"/>
        <item m="1" x="544"/>
        <item m="1" x="524"/>
        <item m="1" x="623"/>
        <item m="1" x="1265"/>
        <item m="1" x="606"/>
        <item m="1" x="1120"/>
        <item m="1" x="298"/>
        <item m="1" x="1300"/>
        <item m="1" x="1309"/>
        <item m="1" x="660"/>
        <item m="1" x="638"/>
        <item m="1" x="728"/>
        <item m="1" x="1176"/>
        <item m="1" x="502"/>
        <item m="1" x="239"/>
        <item m="1" x="362"/>
        <item m="1" x="865"/>
        <item m="1" x="1061"/>
        <item m="1" x="332"/>
        <item m="1" x="1220"/>
        <item m="1" x="1316"/>
        <item m="1" x="275"/>
        <item m="1" x="1367"/>
        <item m="1" x="535"/>
        <item m="1" x="1166"/>
        <item m="1" x="854"/>
        <item m="1" x="498"/>
        <item m="1" x="663"/>
        <item m="1" x="244"/>
        <item m="1" x="1036"/>
        <item m="1" x="1092"/>
        <item m="1" x="277"/>
        <item m="1" x="232"/>
        <item m="1" x="1154"/>
        <item m="1" x="1199"/>
        <item m="1" x="604"/>
        <item m="1" x="681"/>
        <item m="1" x="667"/>
        <item m="1" x="367"/>
        <item m="1" x="1033"/>
        <item m="1" x="164"/>
        <item m="1" x="596"/>
        <item m="1" x="126"/>
        <item m="1" x="114"/>
        <item m="1" x="205"/>
        <item m="1" x="260"/>
        <item m="1" x="986"/>
        <item m="1" x="161"/>
        <item m="1" x="1229"/>
        <item m="1" x="546"/>
        <item m="1" x="473"/>
        <item m="1" x="618"/>
        <item m="1" x="112"/>
        <item m="1" x="679"/>
        <item m="1" x="563"/>
        <item m="1" x="331"/>
        <item m="1" x="757"/>
        <item m="1" x="658"/>
        <item m="1" x="370"/>
        <item m="1" x="396"/>
        <item m="1" x="427"/>
        <item m="1" x="457"/>
        <item m="1" x="484"/>
        <item m="1" x="992"/>
        <item m="1" x="601"/>
        <item m="1" x="619"/>
        <item m="1" x="172"/>
        <item m="1" x="848"/>
        <item m="1" x="1000"/>
        <item m="1" x="1006"/>
        <item m="1" x="634"/>
        <item m="1" x="425"/>
        <item m="1" x="1007"/>
        <item m="1" x="1353"/>
        <item m="1" x="441"/>
        <item m="1" x="297"/>
        <item m="1" x="965"/>
        <item m="1" x="455"/>
        <item m="1" x="1279"/>
        <item m="1" x="882"/>
        <item m="1" x="469"/>
        <item m="1" x="357"/>
        <item m="1" x="742"/>
        <item m="1" x="927"/>
        <item m="1" x="998"/>
        <item m="1" x="562"/>
        <item m="1" x="792"/>
        <item m="1" x="994"/>
        <item m="1" x="1246"/>
        <item m="1" x="267"/>
        <item m="1" x="839"/>
        <item m="1" x="371"/>
        <item m="1" x="924"/>
        <item m="1" x="897"/>
        <item m="1" x="869"/>
        <item m="1" x="115"/>
        <item m="1" x="197"/>
        <item m="1" x="844"/>
        <item m="1" x="1303"/>
        <item m="1" x="568"/>
        <item m="1" x="153"/>
        <item m="1" x="1378"/>
        <item m="1" x="1027"/>
        <item m="1" x="211"/>
        <item m="1" x="143"/>
        <item m="1" x="900"/>
        <item m="1" x="826"/>
        <item m="1" x="127"/>
        <item m="1" x="508"/>
        <item m="1" x="510"/>
        <item m="1" x="514"/>
        <item m="1" x="518"/>
        <item m="1" x="987"/>
        <item m="1" x="988"/>
        <item m="1" x="993"/>
        <item m="1" x="997"/>
        <item m="1" x="1165"/>
        <item m="1" x="1219"/>
        <item m="1" x="1291"/>
        <item m="1" x="99"/>
        <item m="1" x="234"/>
        <item m="1" x="1349"/>
        <item m="1" x="796"/>
        <item m="1" x="125"/>
        <item m="1" x="414"/>
        <item m="1" x="1231"/>
        <item m="1" x="401"/>
        <item m="1" x="261"/>
        <item m="1" x="389"/>
        <item m="1" x="971"/>
        <item m="1" x="1161"/>
        <item x="24"/>
        <item m="1" x="551"/>
        <item m="1" x="1018"/>
        <item m="1" x="1407"/>
        <item m="1" x="1100"/>
        <item m="1" x="1078"/>
        <item m="1" x="1052"/>
        <item m="1" x="1340"/>
        <item m="1" x="706"/>
        <item m="1" x="853"/>
        <item m="1" x="732"/>
        <item m="1" x="1002"/>
        <item m="1" x="899"/>
        <item m="1" x="134"/>
        <item m="1" x="221"/>
        <item m="1" x="1336"/>
        <item m="1" x="122"/>
        <item m="1" x="1319"/>
        <item m="1" x="740"/>
        <item m="1" x="1299"/>
        <item m="1" x="1073"/>
        <item m="1" x="1146"/>
        <item m="1" x="727"/>
        <item m="1" x="1175"/>
        <item m="1" x="1297"/>
        <item m="1" x="803"/>
        <item x="64"/>
        <item m="1" x="1256"/>
        <item m="1" x="1351"/>
        <item m="1" x="609"/>
        <item m="1" x="1041"/>
        <item m="1" x="1121"/>
        <item m="1" x="1334"/>
        <item m="1" x="718"/>
        <item m="1" x="761"/>
        <item m="1" x="1206"/>
        <item m="1" x="1168"/>
        <item x="44"/>
        <item m="1" x="186"/>
        <item m="1" x="295"/>
        <item m="1" x="1173"/>
        <item m="1" x="1250"/>
        <item m="1" x="785"/>
        <item m="1" x="789"/>
        <item m="1" x="795"/>
        <item m="1" x="1013"/>
        <item m="1" x="952"/>
        <item m="1" x="620"/>
        <item m="1" x="806"/>
        <item m="1" x="1152"/>
        <item m="1" x="1324"/>
        <item m="1" x="959"/>
        <item m="1" x="174"/>
        <item m="1" x="217"/>
        <item m="1" x="1230"/>
        <item m="1" x="677"/>
        <item m="1" x="760"/>
        <item m="1" x="710"/>
        <item m="1" x="522"/>
        <item m="1" x="1251"/>
        <item m="1" x="1098"/>
        <item m="1" x="703"/>
        <item m="1" x="980"/>
        <item m="1" x="1081"/>
        <item m="1" x="376"/>
        <item m="1" x="333"/>
        <item m="1" x="284"/>
        <item m="1" x="237"/>
        <item m="1" x="191"/>
        <item m="1" x="142"/>
        <item m="1" x="97"/>
        <item m="1" x="1402"/>
        <item m="1" x="802"/>
        <item m="1" x="1293"/>
        <item m="1" x="374"/>
        <item m="1" x="431"/>
        <item m="1" x="344"/>
        <item m="1" x="654"/>
        <item m="1" x="550"/>
        <item m="1" x="759"/>
        <item m="1" x="745"/>
        <item m="1" x="726"/>
        <item m="1" x="701"/>
        <item m="1" x="200"/>
        <item m="1" x="458"/>
        <item m="1" x="543"/>
        <item m="1" x="751"/>
        <item m="1" x="201"/>
        <item m="1" x="1043"/>
        <item m="1" x="189"/>
        <item m="1" x="171"/>
        <item m="1" x="403"/>
        <item m="1" x="417"/>
        <item m="1" x="525"/>
        <item m="1" x="193"/>
        <item m="1" x="1180"/>
        <item m="1" x="923"/>
        <item m="1" x="738"/>
        <item m="1" x="494"/>
        <item m="1" x="415"/>
        <item m="1" x="974"/>
        <item m="1" x="557"/>
        <item m="1" x="312"/>
        <item m="1" x="136"/>
        <item m="1" x="657"/>
        <item m="1" x="168"/>
        <item m="1" x="845"/>
        <item m="1" x="252"/>
        <item m="1" x="342"/>
        <item m="1" x="447"/>
        <item m="1" x="533"/>
        <item m="1" x="603"/>
        <item m="1" x="1029"/>
        <item m="1" x="1383"/>
        <item m="1" x="289"/>
        <item m="1" x="1331"/>
        <item m="1" x="1042"/>
        <item m="1" x="228"/>
        <item m="1" x="856"/>
        <item m="1" x="1392"/>
        <item m="1" x="1217"/>
        <item m="1" x="1010"/>
        <item m="1" x="816"/>
        <item m="1" x="1415"/>
        <item m="1" x="558"/>
        <item x="19"/>
        <item m="1" x="1082"/>
        <item m="1" x="1323"/>
        <item m="1" x="516"/>
        <item m="1" x="857"/>
        <item m="1" x="1301"/>
        <item m="1" x="1047"/>
        <item m="1" x="762"/>
        <item m="1" x="1360"/>
        <item m="1" x="203"/>
        <item m="1" x="1391"/>
        <item m="1" x="1325"/>
        <item x="33"/>
        <item m="1" x="1399"/>
        <item m="1" x="1400"/>
        <item m="1" x="1031"/>
        <item m="1" x="299"/>
        <item m="1" x="610"/>
        <item m="1" x="222"/>
        <item m="1" x="1020"/>
        <item m="1" x="632"/>
        <item m="1" x="977"/>
        <item m="1" x="1104"/>
        <item m="1" x="442"/>
        <item m="1" x="561"/>
        <item m="1" x="713"/>
        <item x="56"/>
        <item m="1" x="1167"/>
        <item m="1" x="1420"/>
        <item m="1" x="611"/>
        <item m="1" x="147"/>
        <item m="1" x="692"/>
        <item m="1" x="148"/>
        <item m="1" x="763"/>
        <item m="1" x="149"/>
        <item m="1" x="287"/>
        <item m="1" x="1255"/>
        <item m="1" x="668"/>
        <item m="1" x="1379"/>
        <item m="1" x="581"/>
        <item m="1" x="804"/>
        <item m="1" x="408"/>
        <item m="1" x="424"/>
        <item m="1" x="931"/>
        <item m="1" x="723"/>
        <item m="1" x="602"/>
        <item m="1" x="1193"/>
        <item x="37"/>
        <item m="1" x="139"/>
        <item m="1" x="121"/>
        <item m="1" x="1269"/>
        <item m="1" x="335"/>
        <item m="1" x="383"/>
        <item m="1" x="820"/>
        <item m="1" x="585"/>
        <item m="1" x="917"/>
        <item m="1" x="639"/>
        <item m="1" x="1423"/>
        <item m="1" x="547"/>
        <item m="1" x="704"/>
        <item m="1" x="130"/>
        <item m="1" x="866"/>
        <item m="1" x="1093"/>
        <item m="1" x="832"/>
        <item m="1" x="702"/>
        <item m="1" x="542"/>
        <item m="1" x="838"/>
        <item m="1" x="1086"/>
        <item m="1" x="1387"/>
        <item m="1" x="1341"/>
        <item m="1" x="1344"/>
        <item m="1" x="889"/>
        <item m="1" x="892"/>
        <item m="1" x="515"/>
        <item m="1" x="1337"/>
        <item m="1" x="565"/>
        <item m="1" x="324"/>
        <item m="1" x="935"/>
        <item m="1" x="1055"/>
        <item m="1" x="336"/>
        <item m="1" x="901"/>
        <item m="1" x="687"/>
        <item m="1" x="847"/>
        <item m="1" x="850"/>
        <item m="1" x="328"/>
        <item m="1" x="659"/>
        <item m="1" x="863"/>
        <item m="1" x="1235"/>
        <item m="1" x="573"/>
        <item m="1" x="801"/>
        <item m="1" x="584"/>
        <item m="1" x="266"/>
        <item m="1" x="1158"/>
        <item m="1" x="975"/>
        <item m="1" x="1012"/>
        <item m="1" x="1244"/>
        <item m="1" x="617"/>
        <item m="1" x="1332"/>
        <item m="1" x="915"/>
        <item m="1" x="707"/>
        <item m="1" x="656"/>
        <item m="1" x="736"/>
        <item m="1" x="499"/>
        <item m="1" x="1091"/>
        <item m="1" x="672"/>
        <item m="1" x="831"/>
        <item m="1" x="646"/>
        <item m="1" x="248"/>
        <item m="1" x="1350"/>
        <item m="1" x="1170"/>
        <item m="1" x="637"/>
        <item m="1" x="689"/>
        <item m="1" x="226"/>
        <item m="1" x="1214"/>
        <item m="1" x="1014"/>
        <item m="1" x="102"/>
        <item m="1" x="1261"/>
        <item m="1" x="1263"/>
        <item m="1" x="787"/>
        <item m="1" x="173"/>
        <item m="1" x="880"/>
        <item m="1" x="378"/>
        <item m="1" x="960"/>
        <item m="1" x="919"/>
        <item m="1" x="676"/>
        <item m="1" x="1063"/>
        <item x="81"/>
        <item m="1" x="497"/>
        <item m="1" x="902"/>
        <item m="1" x="805"/>
        <item m="1" x="1001"/>
        <item m="1" x="564"/>
        <item m="1" x="755"/>
        <item m="1" x="1111"/>
        <item m="1" x="1112"/>
        <item m="1" x="1234"/>
        <item m="1" x="505"/>
        <item m="1" x="943"/>
        <item m="1" x="308"/>
        <item m="1" x="939"/>
        <item m="1" x="1355"/>
        <item m="1" x="673"/>
        <item m="1" x="730"/>
        <item m="1" x="207"/>
        <item m="1" x="133"/>
        <item m="1" x="368"/>
        <item m="1" x="140"/>
        <item x="5"/>
        <item m="1" x="1317"/>
        <item m="1" x="176"/>
        <item m="1" x="678"/>
        <item m="1" x="387"/>
        <item m="1" x="1290"/>
        <item m="1" x="489"/>
        <item m="1" x="1320"/>
        <item m="1" x="259"/>
        <item m="1" x="1070"/>
        <item m="1" x="198"/>
        <item m="1" x="904"/>
        <item m="1" x="1369"/>
        <item m="1" x="490"/>
        <item m="1" x="311"/>
        <item m="1" x="243"/>
        <item m="1" x="566"/>
        <item m="1" x="411"/>
        <item m="1" x="797"/>
        <item m="1" x="190"/>
        <item m="1" x="290"/>
        <item m="1" x="162"/>
        <item m="1" x="250"/>
        <item m="1" x="1266"/>
        <item m="1" x="582"/>
        <item m="1" x="202"/>
        <item m="1" x="1191"/>
        <item m="1" x="100"/>
        <item m="1" x="452"/>
        <item m="1" x="664"/>
        <item m="1" x="612"/>
        <item m="1" x="507"/>
        <item m="1" x="1354"/>
        <item m="1" x="782"/>
        <item x="90"/>
        <item m="1" x="643"/>
        <item x="88"/>
        <item m="1" x="382"/>
        <item m="1" x="381"/>
        <item m="1" x="1177"/>
        <item m="1" x="178"/>
        <item m="1" x="1059"/>
        <item m="1" x="784"/>
        <item m="1" x="233"/>
        <item m="1" x="1314"/>
        <item m="1" x="829"/>
        <item m="1" x="1218"/>
        <item m="1" x="583"/>
        <item m="1" x="910"/>
        <item m="1" x="363"/>
        <item m="1" x="1221"/>
        <item m="1" x="1381"/>
        <item m="1" x="683"/>
        <item m="1" x="204"/>
        <item m="1" x="1053"/>
        <item m="1" x="764"/>
        <item m="1" x="404"/>
        <item m="1" x="532"/>
        <item m="1" x="753"/>
        <item m="1" x="338"/>
        <item m="1" x="218"/>
        <item m="1" x="613"/>
        <item m="1" x="696"/>
        <item m="1" x="666"/>
        <item m="1" x="936"/>
        <item m="1" x="345"/>
        <item m="1" x="347"/>
        <item m="1" x="1096"/>
        <item m="1" x="462"/>
        <item m="1" x="1194"/>
        <item m="1" x="1307"/>
        <item m="1" x="990"/>
        <item m="1" x="1254"/>
        <item m="1" x="1153"/>
        <item m="1" x="1267"/>
        <item m="1" x="1308"/>
        <item m="1" x="472"/>
        <item m="1" x="1357"/>
        <item m="1" x="247"/>
        <item m="1" x="1094"/>
        <item m="1" x="179"/>
        <item m="1" x="598"/>
        <item m="1" x="443"/>
        <item m="1" x="460"/>
        <item m="1" x="194"/>
        <item m="1" x="773"/>
        <item m="1" x="195"/>
        <item m="1" x="625"/>
        <item m="1" x="1419"/>
        <item m="1" x="1382"/>
        <item m="1" x="264"/>
        <item m="1" x="945"/>
        <item m="1" x="864"/>
        <item m="1" x="137"/>
        <item m="1" x="842"/>
        <item m="1" x="1106"/>
        <item m="1" x="822"/>
        <item m="1" x="527"/>
        <item m="1" x="999"/>
        <item m="1" x="956"/>
        <item m="1" x="1139"/>
        <item m="1" x="957"/>
        <item m="1" x="373"/>
        <item m="1" x="937"/>
        <item m="1" x="537"/>
        <item m="1" x="219"/>
        <item m="1" x="1403"/>
        <item m="1" x="1159"/>
        <item m="1" x="325"/>
        <item m="1" x="684"/>
        <item m="1" x="721"/>
        <item m="1" x="245"/>
        <item m="1" x="750"/>
        <item m="1" x="385"/>
        <item m="1" x="407"/>
        <item m="1" x="254"/>
        <item m="1" x="146"/>
        <item m="1" x="98"/>
        <item m="1" x="95"/>
        <item m="1" x="872"/>
        <item m="1" x="454"/>
        <item m="1" x="330"/>
        <item m="1" x="482"/>
        <item m="1" x="123"/>
        <item m="1" x="108"/>
        <item m="1" x="817"/>
        <item m="1" x="456"/>
        <item m="1" x="1260"/>
        <item m="1" x="549"/>
        <item m="1" x="812"/>
        <item m="1" x="1277"/>
        <item m="1" x="1011"/>
        <item m="1" x="241"/>
        <item m="1" x="744"/>
        <item m="1" x="961"/>
        <item m="1" x="506"/>
        <item m="1" x="735"/>
        <item m="1" x="471"/>
        <item m="1" x="1022"/>
        <item m="1" x="722"/>
        <item m="1" x="528"/>
        <item m="1" x="688"/>
        <item m="1" x="145"/>
        <item m="1" x="183"/>
        <item m="1" x="1327"/>
        <item m="1" x="313"/>
        <item m="1" x="450"/>
        <item m="1" x="940"/>
        <item m="1" x="650"/>
        <item m="1" x="896"/>
        <item m="1" x="236"/>
        <item m="1" x="871"/>
        <item m="1" x="1348"/>
        <item m="1" x="405"/>
        <item m="1" x="467"/>
        <item m="1" x="633"/>
        <item m="1" x="661"/>
        <item m="1" x="286"/>
        <item m="1" x="283"/>
        <item m="1" x="412"/>
        <item m="1" x="1138"/>
        <item m="1" x="1064"/>
        <item m="1" x="1338"/>
        <item m="1" x="788"/>
        <item m="1" x="984"/>
        <item m="1" x="1413"/>
        <item m="1" x="607"/>
        <item m="1" x="809"/>
        <item m="1" x="905"/>
        <item m="1" x="1067"/>
        <item m="1" x="1373"/>
        <item m="1" x="1030"/>
        <item m="1" x="1178"/>
        <item m="1" x="970"/>
        <item m="1" x="1045"/>
        <item m="1" x="1406"/>
        <item m="1" x="192"/>
        <item m="1" x="413"/>
        <item m="1" x="416"/>
        <item m="1" x="352"/>
        <item m="1" x="712"/>
        <item m="1" x="1128"/>
        <item m="1" x="1117"/>
        <item m="1" x="799"/>
        <item m="1" x="571"/>
        <item m="1" x="1385"/>
        <item m="1" x="1270"/>
        <item m="1" x="966"/>
        <item m="1" x="1328"/>
        <item m="1" x="768"/>
        <item m="1" x="1130"/>
        <item m="1" x="341"/>
        <item m="1" x="1204"/>
        <item m="1" x="1240"/>
        <item m="1" x="278"/>
        <item m="1" x="1249"/>
        <item m="1" x="1282"/>
        <item m="1" x="972"/>
        <item m="1" x="1115"/>
        <item m="1" x="1346"/>
        <item m="1" x="1034"/>
        <item m="1" x="477"/>
        <item m="1" x="124"/>
        <item m="1" x="1066"/>
        <item m="1" x="595"/>
        <item m="1" x="874"/>
        <item m="1" x="1039"/>
        <item m="1" x="1072"/>
        <item m="1" x="653"/>
        <item m="1" x="599"/>
        <item m="1" x="605"/>
        <item m="1" x="614"/>
        <item m="1" x="588"/>
        <item m="1" x="981"/>
        <item m="1" x="1192"/>
        <item m="1" x="1310"/>
        <item m="1" x="154"/>
        <item m="1" x="1318"/>
        <item m="1" x="1286"/>
        <item m="1" x="394"/>
        <item m="1" x="995"/>
        <item m="1" x="716"/>
        <item m="1" x="1224"/>
        <item m="1" x="1321"/>
        <item m="1" x="1342"/>
        <item m="1" x="1288"/>
        <item m="1" x="92"/>
        <item m="1" x="1126"/>
        <item m="1" x="480"/>
        <item m="1" x="686"/>
        <item m="1" x="655"/>
        <item m="1" x="1113"/>
        <item m="1" x="1137"/>
        <item m="1" x="1164"/>
        <item m="1" x="1181"/>
        <item m="1" x="235"/>
        <item m="1" x="242"/>
        <item m="1" x="855"/>
        <item m="1" x="636"/>
        <item m="1" x="920"/>
        <item m="1" x="1366"/>
        <item m="1" x="208"/>
        <item m="1" x="1281"/>
        <item m="1" x="488"/>
        <item m="1" x="1243"/>
        <item m="1" x="577"/>
        <item m="1" x="170"/>
        <item m="1" x="766"/>
        <item m="1" x="567"/>
        <item m="1" x="852"/>
        <item m="1" x="393"/>
        <item m="1" x="1405"/>
        <item m="1" x="748"/>
        <item m="1" x="1119"/>
        <item m="1" x="1160"/>
        <item m="1" x="608"/>
        <item m="1" x="778"/>
        <item m="1" x="976"/>
        <item m="1" x="903"/>
        <item m="1" x="968"/>
        <item m="1" x="1025"/>
        <item m="1" x="1196"/>
        <item m="1" x="1339"/>
        <item m="1" x="1397"/>
        <item m="1" x="1201"/>
        <item m="1" x="858"/>
        <item m="1" x="109"/>
        <item m="1" x="305"/>
        <item m="1" x="1274"/>
        <item m="1" x="572"/>
        <item m="1" x="1430"/>
        <item m="1" x="339"/>
        <item m="1" x="938"/>
        <item m="1" x="1102"/>
        <item m="1" x="351"/>
        <item m="1" x="304"/>
        <item m="1" x="828"/>
        <item m="1" x="1077"/>
        <item m="1" x="715"/>
        <item m="1" x="699"/>
        <item m="1" x="593"/>
        <item m="1" x="1275"/>
        <item m="1" x="220"/>
        <item m="1" x="375"/>
        <item m="1" x="771"/>
        <item m="1" x="1169"/>
        <item m="1" x="464"/>
        <item m="1" x="350"/>
        <item m="1" x="468"/>
        <item m="1" x="509"/>
        <item m="1" x="680"/>
        <item m="1" x="953"/>
        <item m="1" x="747"/>
        <item m="1" x="846"/>
        <item m="1" x="827"/>
        <item m="1" x="774"/>
        <item m="1" x="934"/>
        <item m="1" x="815"/>
        <item m="1" x="301"/>
        <item m="1" x="478"/>
        <item m="1" x="1359"/>
        <item m="1" x="1375"/>
        <item m="1" x="724"/>
        <item m="1" x="495"/>
        <item m="1" x="1225"/>
        <item m="1" x="1026"/>
        <item m="1" x="521"/>
        <item m="1" x="818"/>
        <item m="1" x="479"/>
        <item m="1" x="967"/>
        <item m="1" x="733"/>
        <item m="1" x="372"/>
        <item m="1" x="1424"/>
        <item m="1" x="103"/>
        <item m="1" x="105"/>
        <item m="1" x="790"/>
        <item m="1" x="941"/>
        <item m="1" x="1051"/>
        <item m="1" x="343"/>
        <item m="1" x="1361"/>
        <item m="1" x="384"/>
        <item m="1" x="294"/>
        <item m="1" x="156"/>
        <item m="1" x="1252"/>
        <item m="1" x="320"/>
        <item m="1" x="711"/>
        <item m="1" x="772"/>
        <item m="1" x="1311"/>
        <item m="1" x="898"/>
        <item m="1" x="1174"/>
        <item m="1" x="293"/>
        <item m="1" x="1083"/>
        <item m="1" x="720"/>
        <item m="1" x="717"/>
        <item m="1" x="1333"/>
        <item m="1" x="1368"/>
        <item m="1" x="1135"/>
        <item m="1" x="1087"/>
        <item m="1" x="1136"/>
        <item m="1" x="1184"/>
        <item m="1" x="379"/>
        <item m="1" x="1205"/>
        <item m="1" x="1140"/>
        <item m="1" x="1271"/>
        <item m="1" x="983"/>
        <item m="1" x="113"/>
        <item m="1" x="426"/>
        <item m="1" x="1216"/>
        <item m="1" x="1171"/>
        <item m="1" x="949"/>
        <item m="1" x="1248"/>
        <item m="1" x="1172"/>
        <item m="1" x="1238"/>
        <item m="1" x="1075"/>
        <item m="1" x="432"/>
        <item m="1" x="615"/>
        <item m="1" x="155"/>
        <item m="1" x="152"/>
        <item m="1" x="708"/>
        <item m="1" x="224"/>
        <item m="1" x="691"/>
        <item m="1" x="1122"/>
        <item m="1" x="1157"/>
        <item m="1" x="1017"/>
        <item m="1" x="257"/>
        <item m="1" x="107"/>
        <item m="1" x="729"/>
        <item m="1" x="1057"/>
        <item m="1" x="807"/>
        <item m="1" x="276"/>
        <item m="1" x="1422"/>
        <item m="1" x="1302"/>
        <item m="1" x="501"/>
        <item m="1" x="929"/>
        <item m="1" x="579"/>
        <item m="1" x="1394"/>
        <item m="1" x="1329"/>
        <item m="1" x="438"/>
        <item m="1" x="93"/>
        <item m="1" x="1386"/>
        <item m="1" x="1048"/>
        <item m="1" x="476"/>
        <item m="1" x="868"/>
        <item m="1" x="540"/>
        <item m="1" x="758"/>
        <item m="1" x="500"/>
        <item m="1" x="291"/>
        <item m="1" x="446"/>
        <item m="1" x="1058"/>
        <item m="1" x="922"/>
        <item m="1" x="541"/>
        <item m="1" x="705"/>
        <item m="1" x="1202"/>
        <item m="1" x="1427"/>
        <item m="1" x="520"/>
        <item m="1" x="693"/>
        <item m="1" x="1313"/>
        <item m="1" x="1371"/>
        <item m="1" x="354"/>
        <item m="1" x="302"/>
        <item m="1" x="851"/>
        <item m="1" x="890"/>
        <item m="1" x="150"/>
        <item m="1" x="621"/>
        <item m="1" x="1409"/>
        <item m="1" x="734"/>
        <item m="1" x="737"/>
        <item m="1" x="752"/>
        <item m="1" x="823"/>
        <item m="1" x="135"/>
        <item m="1" x="1287"/>
        <item m="1" x="399"/>
        <item m="1" x="209"/>
        <item m="1" x="559"/>
        <item m="1" x="1203"/>
        <item m="1" x="539"/>
        <item m="1" x="1185"/>
        <item m="1" x="309"/>
        <item m="1" x="265"/>
        <item m="1" x="777"/>
        <item m="1" x="622"/>
        <item m="1" x="1253"/>
        <item m="1" x="824"/>
        <item m="1" x="1322"/>
        <item m="1" x="1428"/>
        <item m="1" x="492"/>
        <item m="1" x="1099"/>
        <item m="1" x="437"/>
        <item m="1" x="1109"/>
        <item m="1" x="1284"/>
        <item m="1" x="781"/>
        <item m="1" x="1426"/>
        <item m="1" x="169"/>
        <item m="1" x="436"/>
        <item m="1" x="932"/>
        <item m="1" x="340"/>
        <item m="1" x="318"/>
        <item m="1" x="1278"/>
        <item m="1" x="1132"/>
        <item m="1" x="282"/>
        <item m="1" x="465"/>
        <item m="1" x="310"/>
        <item m="1" x="674"/>
        <item m="1" x="1032"/>
        <item m="1" x="1044"/>
        <item m="1" x="1065"/>
        <item m="1" x="1088"/>
        <item m="1" x="553"/>
        <item m="1" x="180"/>
        <item m="1" x="682"/>
        <item m="1" x="624"/>
        <item m="1" x="1262"/>
        <item m="1" x="600"/>
        <item m="1" x="951"/>
        <item m="1" x="954"/>
        <item m="1" x="955"/>
        <item m="1" x="964"/>
        <item m="1" x="249"/>
        <item m="1" x="251"/>
        <item m="1" x="255"/>
        <item m="1" x="256"/>
        <item m="1" x="1228"/>
        <item m="1" x="811"/>
        <item m="1" x="1141"/>
        <item m="1" x="881"/>
        <item m="1" x="1124"/>
        <item m="1" x="1097"/>
        <item m="1" x="1377"/>
        <item m="1" x="821"/>
        <item m="1" x="928"/>
        <item m="1" x="263"/>
        <item m="1" x="925"/>
        <item m="1" x="859"/>
        <item m="1" x="1384"/>
        <item m="1" x="519"/>
        <item m="1" x="430"/>
        <item m="1" x="791"/>
        <item m="1" x="645"/>
        <item m="1" x="182"/>
        <item m="1" x="392"/>
        <item m="1" x="402"/>
        <item m="1" x="669"/>
        <item m="1" x="1005"/>
        <item m="1" x="685"/>
        <item m="1" x="400"/>
        <item m="1" x="780"/>
        <item m="1" x="1404"/>
        <item m="1" x="317"/>
        <item m="1" x="319"/>
        <item m="1" x="321"/>
        <item m="1" x="323"/>
        <item m="1" x="1085"/>
        <item m="1" x="554"/>
        <item m="1" x="1414"/>
        <item m="1" x="725"/>
        <item m="1" x="1358"/>
        <item m="1" x="470"/>
        <item m="1" x="819"/>
        <item m="1" x="439"/>
        <item m="1" x="1050"/>
        <item m="1" x="435"/>
        <item m="1" x="1028"/>
        <item m="1" x="825"/>
        <item m="1" x="337"/>
        <item m="1" x="184"/>
        <item m="1" x="1295"/>
        <item m="1" x="1429"/>
        <item m="1" x="627"/>
        <item m="1" x="640"/>
        <item m="1" x="641"/>
        <item m="1" x="1129"/>
        <item m="1" x="1071"/>
        <item m="1" x="356"/>
        <item m="1" x="592"/>
        <item m="1" x="285"/>
        <item m="1" x="322"/>
        <item m="1" x="316"/>
        <item m="1" x="1237"/>
        <item m="1" x="1273"/>
        <item m="1" x="586"/>
        <item m="1" x="649"/>
        <item m="1" x="552"/>
        <item m="1" x="1374"/>
        <item m="1" x="421"/>
        <item m="1" x="1298"/>
        <item m="1" x="1296"/>
        <item m="1" x="355"/>
        <item m="1" x="141"/>
        <item m="1" x="985"/>
        <item m="1" x="591"/>
        <item m="1" x="96"/>
        <item m="1" x="280"/>
        <item m="1" x="513"/>
        <item m="1" x="281"/>
        <item m="1" x="548"/>
        <item m="1" x="793"/>
        <item m="1" x="813"/>
        <item m="1" x="214"/>
        <item m="1" x="877"/>
        <item m="1" x="944"/>
        <item m="1" x="1023"/>
        <item m="1" x="144"/>
        <item m="1" x="1108"/>
        <item m="1" x="1364"/>
        <item m="1" x="163"/>
        <item m="1" x="269"/>
        <item m="1" x="560"/>
        <item m="1" x="422"/>
        <item m="1" x="271"/>
        <item m="1" x="739"/>
        <item m="1" x="409"/>
        <item m="1" x="496"/>
        <item m="1" x="810"/>
        <item m="1" x="1179"/>
        <item m="1" x="406"/>
        <item m="1" x="526"/>
        <item m="1" x="349"/>
        <item m="1" x="575"/>
        <item m="1" x="1239"/>
        <item m="1" x="1183"/>
        <item m="1" x="714"/>
        <item m="1" x="517"/>
        <item m="1" x="895"/>
        <item m="1" x="1285"/>
        <item m="1" x="569"/>
        <item m="1" x="486"/>
        <item m="1" x="1197"/>
        <item m="1" x="1163"/>
        <item m="1" x="128"/>
        <item m="1" x="1155"/>
        <item m="1" x="1054"/>
        <item m="1" x="630"/>
        <item m="1" x="1345"/>
        <item m="1" x="1241"/>
        <item m="1" x="1227"/>
        <item m="1" x="1389"/>
        <item m="1" x="449"/>
        <item m="1" x="481"/>
        <item m="1" x="1305"/>
        <item m="1" x="867"/>
        <item m="1" x="875"/>
        <item m="1" x="1189"/>
        <item m="1" x="1188"/>
        <item m="1" x="1343"/>
        <item m="1" x="1388"/>
        <item m="1" x="398"/>
        <item m="1" x="883"/>
        <item m="1" x="453"/>
        <item m="1" x="1182"/>
        <item m="1" x="963"/>
        <item m="1" x="775"/>
        <item m="1" x="329"/>
        <item m="1" x="916"/>
        <item m="1" x="296"/>
        <item m="1" x="410"/>
        <item m="1" x="695"/>
        <item m="1" x="756"/>
        <item m="1" x="914"/>
        <item m="1" x="590"/>
        <item m="1" x="1223"/>
        <item m="1" x="253"/>
        <item m="1" x="1411"/>
        <item m="1" x="1008"/>
        <item m="1" x="1131"/>
        <item m="1" x="288"/>
        <item m="1" x="690"/>
        <item m="1" x="1326"/>
        <item m="1" x="840"/>
        <item m="1" x="1222"/>
        <item m="1" x="1247"/>
        <item m="1" x="1037"/>
        <item m="1" x="580"/>
        <item m="1" x="1283"/>
        <item m="1" x="1060"/>
        <item m="1" x="199"/>
        <item m="1" x="380"/>
        <item m="1" x="570"/>
        <item m="1" x="648"/>
        <item m="1" x="213"/>
        <item m="1" x="749"/>
        <item m="1" x="979"/>
        <item m="1" x="1116"/>
        <item m="1" x="1304"/>
        <item m="1" x="212"/>
        <item m="1" x="1003"/>
        <item m="1" x="743"/>
        <item m="1" x="870"/>
        <item m="1" x="1347"/>
        <item m="1" x="120"/>
        <item m="1" x="300"/>
        <item m="1" x="1365"/>
        <item m="1" x="101"/>
        <item m="1" x="448"/>
        <item m="1" x="111"/>
        <item m="1" x="423"/>
        <item m="1" x="270"/>
        <item m="1" x="978"/>
        <item m="1" x="1421"/>
        <item m="1" x="1236"/>
        <item m="1" x="1125"/>
        <item m="1" x="1294"/>
        <item m="1" x="177"/>
        <item m="1" x="386"/>
        <item m="1" x="700"/>
        <item m="1" x="1143"/>
        <item m="1" x="1396"/>
        <item m="1" x="210"/>
        <item m="1" x="474"/>
        <item m="1" x="1062"/>
        <item m="1" x="626"/>
        <item m="1" x="912"/>
        <item m="1" x="364"/>
        <item m="1" x="534"/>
        <item m="1" x="1004"/>
        <item m="1" x="1410"/>
        <item m="1" x="94"/>
        <item m="1" x="1133"/>
        <item m="1" x="1370"/>
        <item m="1" x="1312"/>
        <item m="1" x="131"/>
        <item m="1" x="377"/>
        <item m="1" x="769"/>
        <item m="1" x="274"/>
        <item m="1" x="1016"/>
        <item m="1" x="946"/>
        <item m="1" x="616"/>
        <item m="1" x="1380"/>
        <item m="1" x="110"/>
        <item m="1" x="933"/>
        <item m="1" x="837"/>
        <item m="1" x="1187"/>
        <item m="1" x="779"/>
        <item m="1" x="886"/>
        <item m="1" x="240"/>
        <item m="1" x="360"/>
        <item m="1" x="719"/>
        <item m="1" x="907"/>
        <item m="1" x="1056"/>
        <item m="1" x="395"/>
        <item m="1" x="841"/>
        <item m="1" x="948"/>
        <item m="1" x="1084"/>
        <item m="1" x="647"/>
        <item m="1" x="908"/>
        <item m="1" x="306"/>
        <item m="1" x="1076"/>
        <item m="1" x="358"/>
        <item m="1" x="950"/>
        <item m="1" x="1276"/>
        <item m="1" x="512"/>
        <item m="1" x="1245"/>
        <item m="1" x="1315"/>
        <item m="1" x="698"/>
        <item m="1" x="798"/>
        <item m="1" x="746"/>
        <item m="1" x="878"/>
        <item m="1" x="830"/>
        <item m="1" x="334"/>
        <item m="1" x="353"/>
        <item m="1" x="1372"/>
        <item m="1" x="1289"/>
        <item m="1" x="958"/>
        <item m="1" x="989"/>
        <item m="1" x="1162"/>
        <item m="1" x="909"/>
        <item m="1" x="926"/>
        <item m="1" x="1107"/>
        <item m="1" x="670"/>
        <item m="1" x="326"/>
        <item m="1" x="1069"/>
        <item m="1" x="574"/>
        <item m="1" x="1356"/>
        <item m="1" x="1292"/>
        <item m="1" x="246"/>
        <item m="1" x="229"/>
        <item m="1" x="531"/>
        <item m="1" x="1144"/>
        <item m="1" x="644"/>
        <item m="1" x="862"/>
        <item m="1" x="694"/>
        <item m="1" x="1401"/>
        <item m="1" x="918"/>
        <item m="1" x="1114"/>
        <item m="1" x="119"/>
        <item m="1" x="117"/>
        <item m="1" x="118"/>
        <item m="1" x="776"/>
        <item m="1" x="151"/>
        <item m="1" x="741"/>
        <item m="1" x="576"/>
        <item m="1" x="1080"/>
        <item m="1" x="589"/>
        <item m="1" x="196"/>
        <item m="1" x="1035"/>
        <item m="1" x="268"/>
        <item m="1" x="635"/>
        <item m="1" x="754"/>
        <item m="1" x="459"/>
        <item m="1" x="1038"/>
        <item m="1" x="116"/>
        <item m="1" x="158"/>
        <item m="1" x="444"/>
        <item m="1" x="973"/>
        <item m="1" x="1046"/>
        <item m="1" x="1103"/>
        <item m="1" x="1118"/>
        <item m="1" x="1105"/>
        <item m="1" x="538"/>
        <item m="1" x="1156"/>
        <item m="1" x="1330"/>
        <item m="1" x="849"/>
        <item m="1" x="227"/>
        <item m="1" x="1195"/>
        <item m="1" x="185"/>
        <item m="1" x="652"/>
        <item m="1" x="216"/>
        <item m="1" x="1024"/>
        <item m="1" x="1015"/>
        <item m="1" x="1232"/>
        <item m="1" x="1362"/>
        <item m="1" x="1264"/>
        <item m="1" x="157"/>
        <item m="1" x="536"/>
        <item m="1" x="651"/>
        <item m="1" x="359"/>
        <item m="1" x="1417"/>
        <item m="1" x="327"/>
        <item m="1" x="314"/>
        <item m="1" x="671"/>
        <item m="1" x="1211"/>
        <item m="1" x="485"/>
        <item m="1" x="483"/>
        <item m="1" x="166"/>
        <item m="1" x="258"/>
        <item m="1" x="1009"/>
        <item m="1" x="503"/>
        <item x="6"/>
        <item m="1" x="160"/>
        <item m="1" x="1212"/>
        <item m="1" x="893"/>
        <item m="1" x="433"/>
        <item m="1" x="911"/>
        <item m="1" x="1213"/>
        <item m="1" x="1186"/>
        <item m="1" x="545"/>
        <item m="1" x="1074"/>
        <item m="1" x="1019"/>
        <item m="1" x="132"/>
        <item m="1" x="913"/>
        <item m="1" x="230"/>
        <item m="1" x="1272"/>
        <item m="1" x="1134"/>
        <item m="1" x="906"/>
        <item m="1" x="365"/>
        <item m="1" x="578"/>
        <item m="1" x="238"/>
        <item m="1" x="346"/>
        <item m="1" x="628"/>
        <item m="1" x="159"/>
        <item m="1" x="461"/>
        <item m="1" x="1398"/>
        <item m="1" x="697"/>
        <item m="1" x="1190"/>
        <item m="1" x="885"/>
        <item m="1" x="1258"/>
        <item m="1" x="129"/>
        <item m="1" x="930"/>
        <item m="1" x="1257"/>
        <item m="1" x="1079"/>
        <item m="1" x="888"/>
        <item m="1" x="223"/>
        <item m="1" x="106"/>
        <item m="1" x="504"/>
        <item m="1" x="1090"/>
        <item m="1" x="665"/>
        <item m="1" x="783"/>
        <item m="1" x="969"/>
        <item m="1" x="1425"/>
        <item m="1" x="420"/>
        <item m="1" x="887"/>
        <item m="1" x="731"/>
        <item m="1" x="418"/>
        <item m="1" x="434"/>
        <item m="1" x="642"/>
        <item m="1" x="884"/>
        <item m="1" x="1259"/>
        <item m="1" x="272"/>
        <item m="1" x="1123"/>
        <item m="1" x="1200"/>
        <item m="1" x="962"/>
        <item m="1" x="921"/>
        <item m="1" x="1363"/>
        <item m="1" x="675"/>
        <item m="1" x="215"/>
        <item m="1" x="1280"/>
        <item m="1" x="556"/>
        <item m="1" x="1242"/>
        <item m="1" x="808"/>
        <item m="1" x="530"/>
        <item m="1" x="167"/>
        <item m="1" x="175"/>
        <item m="1" x="440"/>
        <item m="1" x="1040"/>
        <item m="1" x="1101"/>
        <item m="1" x="1416"/>
        <item m="1" x="1306"/>
        <item m="1" x="991"/>
        <item m="1" x="794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4"/>
        <item x="35"/>
        <item x="36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</items>
    </pivotField>
    <pivotField compact="0" showAll="0" insertBlankRow="1"/>
    <pivotField dataField="1" compact="0" showAll="0" defaultSubtotal="0"/>
    <pivotField dataField="1" compact="0" showAll="0" defaultSubtotal="0"/>
    <pivotField compact="0" numFmtId="168" showAll="0" defaultSubtotal="0"/>
    <pivotField compact="0" numFmtId="4" showAll="0" defaultSubtotal="0"/>
    <pivotField dataField="1" compact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4">
    <field x="1"/>
    <field x="2"/>
    <field x="3"/>
    <field x="4"/>
  </rowFields>
  <rowItems count="48">
    <i>
      <x/>
    </i>
    <i r="1">
      <x v="42"/>
    </i>
    <i r="2">
      <x v="84"/>
    </i>
    <i r="3">
      <x v="1356"/>
    </i>
    <i r="3">
      <x v="1405"/>
    </i>
    <i t="blank" r="2">
      <x v="84"/>
    </i>
    <i r="1">
      <x v="45"/>
    </i>
    <i r="1">
      <x v="47"/>
    </i>
    <i r="2">
      <x v="84"/>
    </i>
    <i r="3">
      <x v="1380"/>
    </i>
    <i t="blank" r="2">
      <x v="84"/>
    </i>
    <i r="1">
      <x v="48"/>
    </i>
    <i r="1">
      <x v="49"/>
    </i>
    <i r="1">
      <x v="50"/>
    </i>
    <i r="1">
      <x v="52"/>
    </i>
    <i r="1">
      <x v="53"/>
    </i>
    <i r="1">
      <x v="54"/>
    </i>
    <i>
      <x v="1"/>
    </i>
    <i r="1">
      <x v="22"/>
    </i>
    <i r="2">
      <x v="84"/>
    </i>
    <i r="3">
      <x v="1395"/>
    </i>
    <i r="3">
      <x v="1424"/>
    </i>
    <i t="blank" r="2">
      <x v="84"/>
    </i>
    <i r="1">
      <x v="24"/>
    </i>
    <i r="1">
      <x v="25"/>
    </i>
    <i r="1">
      <x v="26"/>
    </i>
    <i>
      <x v="2"/>
    </i>
    <i r="1">
      <x v="59"/>
    </i>
    <i r="1">
      <x v="60"/>
    </i>
    <i r="1">
      <x v="62"/>
    </i>
    <i>
      <x v="3"/>
    </i>
    <i r="1">
      <x v="8"/>
    </i>
    <i r="1">
      <x v="14"/>
    </i>
    <i r="1">
      <x v="17"/>
    </i>
    <i>
      <x v="4"/>
    </i>
    <i r="1">
      <x v="33"/>
    </i>
    <i r="2">
      <x v="84"/>
    </i>
    <i r="3">
      <x v="1415"/>
    </i>
    <i r="3">
      <x v="1416"/>
    </i>
    <i t="blank" r="2">
      <x v="84"/>
    </i>
    <i r="1">
      <x v="35"/>
    </i>
    <i>
      <x v="5"/>
    </i>
    <i r="1">
      <x v="36"/>
    </i>
    <i r="1">
      <x v="37"/>
    </i>
    <i>
      <x v="8"/>
    </i>
    <i>
      <x v="10"/>
    </i>
    <i r="1"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učet z Celková cena bez DPH (CZK)" fld="6" baseField="3" baseItem="1" numFmtId="175"/>
    <dataField name="Součet z Celková cena bez DPH (EUR)" fld="7" baseField="2" baseItem="0" numFmtId="174"/>
    <dataField name="Součet z Celková hmotnost položek [kg]" fld="10" baseField="1" baseItem="1" numFmtId="166"/>
    <dataField name="Součet z Kilogramová cena bez DPH [CZK/kg]" fld="12" baseField="2" baseItem="0" numFmtId="176"/>
    <dataField name="Součet z Kilogramová cena bez DPH [EUR/kg]" fld="11" baseField="2" baseItem="0" numFmtId="177"/>
  </dataFields>
  <formats count="285">
    <format dxfId="295">
      <pivotArea type="all" dataOnly="0" outline="0" fieldPosition="0"/>
    </format>
    <format dxfId="294">
      <pivotArea outline="0" collapsedLevelsAreSubtotals="1" fieldPosition="0"/>
    </format>
    <format dxfId="293">
      <pivotArea dataOnly="0" labelOnly="1" grandRow="1" outline="0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dataOnly="0" labelOnly="1" grandRow="1" outline="0" fieldPosition="0"/>
    </format>
    <format dxfId="289">
      <pivotArea type="all" dataOnly="0" outline="0" fieldPosition="0"/>
    </format>
    <format dxfId="288">
      <pivotArea outline="0" collapsedLevelsAreSubtotals="1" fieldPosition="0"/>
    </format>
    <format dxfId="2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6">
      <pivotArea field="-2" type="button" dataOnly="0" labelOnly="1" outline="0" axis="axisCol" fieldPosition="0"/>
    </format>
    <format dxfId="2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3">
      <pivotArea type="topRight" dataOnly="0" labelOnly="1" outline="0" fieldPosition="0"/>
    </format>
    <format dxfId="28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81">
      <pivotArea type="origin" dataOnly="0" labelOnly="1" outline="0" fieldPosition="0"/>
    </format>
    <format dxfId="280">
      <pivotArea field="2" type="button" dataOnly="0" labelOnly="1" outline="0" axis="axisRow" fieldPosition="1"/>
    </format>
    <format dxfId="279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1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0"/>
          </reference>
          <reference field="3" count="28">
            <x v="0"/>
            <x v="2"/>
            <x v="5"/>
            <x v="6"/>
            <x v="9"/>
            <x v="13"/>
            <x v="14"/>
            <x v="16"/>
            <x v="19"/>
            <x v="21"/>
            <x v="23"/>
            <x v="29"/>
            <x v="35"/>
            <x v="37"/>
            <x v="41"/>
            <x v="47"/>
            <x v="54"/>
            <x v="55"/>
            <x v="57"/>
            <x v="58"/>
            <x v="64"/>
            <x v="65"/>
            <x v="66"/>
            <x v="67"/>
            <x v="73"/>
            <x v="75"/>
            <x v="76"/>
            <x v="77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5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6">
      <pivotArea field="2" type="button" dataOnly="0" labelOnly="1" outline="0" axis="axisRow" fieldPosition="1"/>
    </format>
    <format dxfId="275">
      <pivotArea field="3" type="button" dataOnly="0" labelOnly="1" outline="0" axis="axisRow" fieldPosition="2"/>
    </format>
    <format dxfId="274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73">
      <pivotArea field="2" type="button" dataOnly="0" labelOnly="1" outline="0" axis="axisRow" fieldPosition="1"/>
    </format>
    <format dxfId="272">
      <pivotArea field="3" type="button" dataOnly="0" labelOnly="1" outline="0" axis="axisRow" fieldPosition="2"/>
    </format>
    <format dxfId="271">
      <pivotArea field="4" type="button" dataOnly="0" labelOnly="1" outline="0" axis="axisRow" fieldPosition="3"/>
    </format>
    <format dxfId="270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8">
      <pivotArea type="topRight" dataOnly="0" labelOnly="1" outline="0" fieldPosition="0"/>
    </format>
    <format dxfId="26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6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5">
      <pivotArea field="-2" type="button" dataOnly="0" labelOnly="1" outline="0" axis="axisCol" fieldPosition="0"/>
    </format>
    <format dxfId="2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3">
      <pivotArea type="all" dataOnly="0" outline="0" fieldPosition="0"/>
    </format>
    <format dxfId="262">
      <pivotArea dataOnly="0" labelOnly="1" outline="0" fieldPosition="0">
        <references count="1">
          <reference field="2" count="1">
            <x v="11"/>
          </reference>
        </references>
      </pivotArea>
    </format>
    <format dxfId="261">
      <pivotArea dataOnly="0" labelOnly="1" outline="0" fieldPosition="0">
        <references count="1">
          <reference field="2" count="1">
            <x v="20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20"/>
          </reference>
          <reference field="3" count="1">
            <x v="73"/>
          </reference>
        </references>
      </pivotArea>
    </format>
    <format dxfId="2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5"/>
            <x v="6"/>
            <x v="17"/>
            <x v="18"/>
            <x v="38"/>
            <x v="39"/>
            <x v="87"/>
            <x v="108"/>
            <x v="114"/>
            <x v="146"/>
            <x v="147"/>
            <x v="167"/>
            <x v="201"/>
            <x v="202"/>
            <x v="204"/>
            <x v="246"/>
            <x v="250"/>
            <x v="258"/>
            <x v="280"/>
            <x v="281"/>
            <x v="282"/>
            <x v="293"/>
            <x v="308"/>
            <x v="318"/>
            <x v="363"/>
            <x v="366"/>
            <x v="367"/>
            <x v="380"/>
            <x v="398"/>
            <x v="399"/>
            <x v="403"/>
            <x v="424"/>
            <x v="428"/>
            <x v="431"/>
            <x v="438"/>
            <x v="440"/>
            <x v="454"/>
            <x v="458"/>
            <x v="459"/>
            <x v="460"/>
            <x v="471"/>
            <x v="478"/>
            <x v="481"/>
            <x v="489"/>
            <x v="491"/>
            <x v="492"/>
            <x v="493"/>
            <x v="499"/>
            <x v="500"/>
          </reference>
        </references>
      </pivotArea>
    </format>
    <format dxfId="257">
      <pivotArea dataOnly="0" labelOnly="1" outline="0" fieldPosition="0">
        <references count="3">
          <reference field="2" count="1" selected="0">
            <x v="24"/>
          </reference>
          <reference field="3" count="1" selected="0">
            <x v="0"/>
          </reference>
          <reference field="4" count="49">
            <x v="3"/>
            <x v="9"/>
            <x v="11"/>
            <x v="15"/>
            <x v="16"/>
            <x v="19"/>
            <x v="20"/>
            <x v="21"/>
            <x v="22"/>
            <x v="23"/>
            <x v="24"/>
            <x v="27"/>
            <x v="30"/>
            <x v="31"/>
            <x v="43"/>
            <x v="49"/>
            <x v="54"/>
            <x v="68"/>
            <x v="76"/>
            <x v="82"/>
            <x v="90"/>
            <x v="91"/>
            <x v="101"/>
            <x v="102"/>
            <x v="123"/>
            <x v="127"/>
            <x v="140"/>
            <x v="141"/>
            <x v="142"/>
            <x v="145"/>
            <x v="166"/>
            <x v="187"/>
            <x v="190"/>
            <x v="232"/>
            <x v="270"/>
            <x v="273"/>
            <x v="275"/>
            <x v="276"/>
            <x v="277"/>
            <x v="294"/>
            <x v="310"/>
            <x v="311"/>
            <x v="327"/>
            <x v="329"/>
            <x v="344"/>
            <x v="351"/>
            <x v="362"/>
            <x v="378"/>
            <x v="479"/>
          </reference>
        </references>
      </pivotArea>
    </format>
    <format dxfId="256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"/>
            <x v="7"/>
            <x v="10"/>
            <x v="12"/>
            <x v="13"/>
            <x v="14"/>
            <x v="26"/>
            <x v="28"/>
            <x v="33"/>
            <x v="35"/>
            <x v="36"/>
            <x v="37"/>
            <x v="47"/>
            <x v="48"/>
            <x v="56"/>
            <x v="57"/>
            <x v="58"/>
            <x v="59"/>
            <x v="60"/>
            <x v="61"/>
            <x v="65"/>
            <x v="67"/>
            <x v="69"/>
            <x v="74"/>
            <x v="75"/>
            <x v="77"/>
            <x v="80"/>
            <x v="81"/>
            <x v="83"/>
            <x v="84"/>
            <x v="90"/>
            <x v="92"/>
            <x v="93"/>
            <x v="94"/>
            <x v="95"/>
            <x v="96"/>
            <x v="97"/>
            <x v="98"/>
            <x v="99"/>
            <x v="104"/>
            <x v="105"/>
            <x v="106"/>
            <x v="345"/>
            <x v="352"/>
            <x v="365"/>
            <x v="404"/>
            <x v="406"/>
            <x v="407"/>
            <x v="421"/>
            <x v="423"/>
          </reference>
        </references>
      </pivotArea>
    </format>
    <format dxfId="255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10"/>
            <x v="113"/>
            <x v="115"/>
            <x v="119"/>
            <x v="121"/>
            <x v="125"/>
            <x v="126"/>
            <x v="134"/>
            <x v="135"/>
            <x v="139"/>
            <x v="142"/>
            <x v="143"/>
            <x v="156"/>
            <x v="158"/>
            <x v="160"/>
            <x v="161"/>
            <x v="162"/>
            <x v="163"/>
            <x v="164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8"/>
            <x v="194"/>
            <x v="195"/>
            <x v="196"/>
            <x v="200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</references>
      </pivotArea>
    </format>
    <format dxfId="2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216"/>
            <x v="217"/>
            <x v="218"/>
            <x v="219"/>
            <x v="220"/>
            <x v="231"/>
            <x v="234"/>
            <x v="240"/>
            <x v="241"/>
            <x v="242"/>
            <x v="247"/>
            <x v="248"/>
            <x v="251"/>
            <x v="252"/>
            <x v="259"/>
            <x v="260"/>
            <x v="261"/>
            <x v="262"/>
            <x v="263"/>
            <x v="270"/>
            <x v="271"/>
            <x v="272"/>
            <x v="283"/>
            <x v="295"/>
            <x v="312"/>
            <x v="313"/>
            <x v="314"/>
            <x v="315"/>
            <x v="316"/>
            <x v="320"/>
            <x v="324"/>
            <x v="326"/>
            <x v="332"/>
            <x v="333"/>
            <x v="334"/>
            <x v="335"/>
            <x v="337"/>
            <x v="338"/>
            <x v="339"/>
            <x v="340"/>
            <x v="341"/>
            <x v="342"/>
            <x v="343"/>
            <x v="346"/>
            <x v="350"/>
            <x v="353"/>
            <x v="354"/>
            <x v="364"/>
            <x v="376"/>
            <x v="377"/>
          </reference>
        </references>
      </pivotArea>
    </format>
    <format dxfId="2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49">
            <x v="32"/>
            <x v="33"/>
            <x v="73"/>
            <x v="117"/>
            <x v="118"/>
            <x v="157"/>
            <x v="199"/>
            <x v="224"/>
            <x v="225"/>
            <x v="237"/>
            <x v="238"/>
            <x v="239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17"/>
            <x v="348"/>
            <x v="349"/>
            <x v="368"/>
            <x v="369"/>
            <x v="379"/>
            <x v="385"/>
            <x v="395"/>
            <x v="396"/>
            <x v="414"/>
            <x v="415"/>
            <x v="418"/>
            <x v="420"/>
            <x v="422"/>
            <x v="426"/>
            <x v="427"/>
            <x v="429"/>
            <x v="430"/>
            <x v="437"/>
            <x v="461"/>
            <x v="476"/>
            <x v="477"/>
            <x v="483"/>
            <x v="495"/>
            <x v="496"/>
          </reference>
        </references>
      </pivotArea>
    </format>
    <format dxfId="252">
      <pivotArea dataOnly="0" labelOnly="1" outline="0" fieldPosition="0">
        <references count="3">
          <reference field="2" count="1" selected="0">
            <x v="36"/>
          </reference>
          <reference field="3" count="1" selected="0">
            <x v="77"/>
          </reference>
          <reference field="4" count="50">
            <x v="111"/>
            <x v="203"/>
            <x v="221"/>
            <x v="222"/>
            <x v="223"/>
            <x v="244"/>
            <x v="285"/>
            <x v="286"/>
            <x v="288"/>
            <x v="289"/>
            <x v="292"/>
            <x v="397"/>
            <x v="416"/>
            <x v="432"/>
            <x v="435"/>
            <x v="436"/>
            <x v="439"/>
            <x v="441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6"/>
            <x v="467"/>
            <x v="469"/>
            <x v="470"/>
            <x v="472"/>
            <x v="473"/>
            <x v="474"/>
            <x v="475"/>
            <x v="485"/>
            <x v="486"/>
            <x v="487"/>
            <x v="488"/>
            <x v="494"/>
            <x v="497"/>
            <x v="498"/>
          </reference>
        </references>
      </pivotArea>
    </format>
    <format dxfId="251">
      <pivotArea dataOnly="0" labelOnly="1" outline="0" fieldPosition="0">
        <references count="3">
          <reference field="2" count="1" selected="0">
            <x v="46"/>
          </reference>
          <reference field="3" count="1" selected="0">
            <x v="20"/>
          </reference>
          <reference field="4" count="46">
            <x v="8"/>
            <x v="34"/>
            <x v="50"/>
            <x v="62"/>
            <x v="63"/>
            <x v="64"/>
            <x v="66"/>
            <x v="67"/>
            <x v="69"/>
            <x v="71"/>
            <x v="72"/>
            <x v="75"/>
            <x v="78"/>
            <x v="109"/>
            <x v="132"/>
            <x v="133"/>
            <x v="149"/>
            <x v="183"/>
            <x v="191"/>
            <x v="192"/>
            <x v="197"/>
            <x v="226"/>
            <x v="227"/>
            <x v="228"/>
            <x v="229"/>
            <x v="234"/>
            <x v="235"/>
            <x v="236"/>
            <x v="255"/>
            <x v="256"/>
            <x v="264"/>
            <x v="265"/>
            <x v="266"/>
            <x v="267"/>
            <x v="268"/>
            <x v="269"/>
            <x v="274"/>
            <x v="278"/>
            <x v="279"/>
            <x v="291"/>
            <x v="309"/>
            <x v="319"/>
            <x v="328"/>
            <x v="336"/>
            <x v="409"/>
            <x v="410"/>
          </reference>
        </references>
      </pivotArea>
    </format>
    <format dxfId="250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49">
            <x v="1"/>
            <x v="2"/>
            <x v="3"/>
            <x v="29"/>
            <x v="53"/>
            <x v="67"/>
            <x v="70"/>
            <x v="107"/>
            <x v="128"/>
            <x v="129"/>
            <x v="130"/>
            <x v="132"/>
            <x v="137"/>
            <x v="138"/>
            <x v="144"/>
            <x v="148"/>
            <x v="165"/>
            <x v="184"/>
            <x v="185"/>
            <x v="186"/>
            <x v="197"/>
            <x v="198"/>
            <x v="233"/>
            <x v="253"/>
            <x v="265"/>
            <x v="287"/>
            <x v="322"/>
            <x v="323"/>
            <x v="325"/>
            <x v="330"/>
            <x v="331"/>
            <x v="336"/>
            <x v="355"/>
            <x v="360"/>
            <x v="361"/>
            <x v="375"/>
            <x v="384"/>
            <x v="386"/>
            <x v="394"/>
            <x v="405"/>
            <x v="408"/>
            <x v="411"/>
            <x v="419"/>
            <x v="433"/>
            <x v="434"/>
            <x v="442"/>
            <x v="464"/>
            <x v="480"/>
            <x v="490"/>
          </reference>
        </references>
      </pivotArea>
    </format>
    <format dxfId="249">
      <pivotArea dataOnly="0" labelOnly="1" outline="0" fieldPosition="0">
        <references count="3">
          <reference field="2" count="1" selected="0">
            <x v="50"/>
          </reference>
          <reference field="3" count="1" selected="0">
            <x v="0"/>
          </reference>
          <reference field="4" count="49">
            <x v="42"/>
            <x v="44"/>
            <x v="45"/>
            <x v="46"/>
            <x v="55"/>
            <x v="103"/>
            <x v="112"/>
            <x v="122"/>
            <x v="124"/>
            <x v="131"/>
            <x v="136"/>
            <x v="154"/>
            <x v="155"/>
            <x v="159"/>
            <x v="189"/>
            <x v="193"/>
            <x v="230"/>
            <x v="243"/>
            <x v="245"/>
            <x v="284"/>
            <x v="290"/>
            <x v="321"/>
            <x v="347"/>
            <x v="356"/>
            <x v="357"/>
            <x v="358"/>
            <x v="359"/>
            <x v="370"/>
            <x v="371"/>
            <x v="372"/>
            <x v="373"/>
            <x v="374"/>
            <x v="381"/>
            <x v="382"/>
            <x v="383"/>
            <x v="387"/>
            <x v="388"/>
            <x v="389"/>
            <x v="390"/>
            <x v="391"/>
            <x v="392"/>
            <x v="400"/>
            <x v="401"/>
            <x v="402"/>
            <x v="412"/>
            <x v="413"/>
            <x v="417"/>
            <x v="425"/>
            <x v="484"/>
          </reference>
        </references>
      </pivotArea>
    </format>
    <format dxfId="248">
      <pivotArea dataOnly="0" labelOnly="1" outline="0" fieldPosition="0">
        <references count="3">
          <reference field="2" count="1" selected="0">
            <x v="58"/>
          </reference>
          <reference field="3" count="1" selected="0">
            <x v="22"/>
          </reference>
          <reference field="4" count="23">
            <x v="25"/>
            <x v="40"/>
            <x v="41"/>
            <x v="51"/>
            <x v="52"/>
            <x v="79"/>
            <x v="85"/>
            <x v="86"/>
            <x v="88"/>
            <x v="89"/>
            <x v="100"/>
            <x v="116"/>
            <x v="120"/>
            <x v="150"/>
            <x v="151"/>
            <x v="152"/>
            <x v="153"/>
            <x v="249"/>
            <x v="254"/>
            <x v="257"/>
            <x v="393"/>
            <x v="468"/>
            <x v="482"/>
          </reference>
        </references>
      </pivotArea>
    </format>
    <format dxfId="247">
      <pivotArea field="3" type="button" dataOnly="0" labelOnly="1" outline="0" axis="axisRow" fieldPosition="2"/>
    </format>
    <format dxfId="246">
      <pivotArea grandRow="1" outline="0" collapsedLevelsAreSubtotals="1" fieldPosition="0"/>
    </format>
    <format dxfId="245">
      <pivotArea dataOnly="0" labelOnly="1" grandRow="1" outline="0" fieldPosition="0"/>
    </format>
    <format dxfId="244">
      <pivotArea grandRow="1" outline="0" collapsedLevelsAreSubtotals="1" fieldPosition="0"/>
    </format>
    <format dxfId="243">
      <pivotArea dataOnly="0" labelOnly="1" grandRow="1" outline="0" fieldPosition="0"/>
    </format>
    <format dxfId="242">
      <pivotArea type="all" dataOnly="0" outline="0" fieldPosition="0"/>
    </format>
    <format dxfId="241">
      <pivotArea field="4" type="button" dataOnly="0" labelOnly="1" outline="0" axis="axisRow" fieldPosition="3"/>
    </format>
    <format dxfId="240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73"/>
          </reference>
          <reference field="4" count="1">
            <x v="318"/>
          </reference>
        </references>
      </pivotArea>
    </format>
    <format dxfId="239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38">
      <pivotArea type="origin" dataOnly="0" labelOnly="1" outline="0" fieldPosition="0"/>
    </format>
    <format dxfId="237">
      <pivotArea field="-2" type="button" dataOnly="0" labelOnly="1" outline="0" axis="axisCol" fieldPosition="0"/>
    </format>
    <format dxfId="236">
      <pivotArea type="topRight" dataOnly="0" labelOnly="1" outline="0" fieldPosition="0"/>
    </format>
    <format dxfId="235">
      <pivotArea type="origin" dataOnly="0" labelOnly="1" outline="0" fieldPosition="0"/>
    </format>
    <format dxfId="234">
      <pivotArea field="-2" type="button" dataOnly="0" labelOnly="1" outline="0" axis="axisCol" fieldPosition="0"/>
    </format>
    <format dxfId="233">
      <pivotArea type="topRight" dataOnly="0" labelOnly="1" outline="0" fieldPosition="0"/>
    </format>
    <format dxfId="232">
      <pivotArea type="origin" dataOnly="0" labelOnly="1" outline="0" fieldPosition="0"/>
    </format>
    <format dxfId="231">
      <pivotArea field="-2" type="button" dataOnly="0" labelOnly="1" outline="0" axis="axisCol" fieldPosition="0"/>
    </format>
    <format dxfId="230">
      <pivotArea type="topRight" dataOnly="0" labelOnly="1" outline="0" fieldPosition="0"/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7">
      <pivotArea type="topRight" dataOnly="0" labelOnly="1" outline="0" fieldPosition="0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4">
      <pivotArea type="topRight" dataOnly="0" labelOnly="1" outline="0" fieldPosition="0"/>
    </format>
    <format dxfId="2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1">
      <pivotArea field="-2" type="button" dataOnly="0" labelOnly="1" outline="0" axis="axisCol" fieldPosition="0"/>
    </format>
    <format dxfId="220">
      <pivotArea field="2" type="button" dataOnly="0" labelOnly="1" outline="0" axis="axisRow" fieldPosition="1"/>
    </format>
    <format dxfId="219">
      <pivotArea field="3" type="button" dataOnly="0" labelOnly="1" outline="0" axis="axisRow" fieldPosition="2"/>
    </format>
    <format dxfId="218">
      <pivotArea field="4" type="button" dataOnly="0" labelOnly="1" outline="0" axis="axisRow" fieldPosition="3"/>
    </format>
    <format dxfId="2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40"/>
          </reference>
          <reference field="3" count="1" selected="0">
            <x v="60"/>
          </reference>
          <reference field="4" count="8">
            <x v="432"/>
            <x v="439"/>
            <x v="451"/>
            <x v="469"/>
            <x v="470"/>
            <x v="473"/>
            <x v="474"/>
            <x v="475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45"/>
          </reference>
          <reference field="3" count="1" selected="0">
            <x v="7"/>
          </reference>
          <reference field="4" count="20">
            <x v="549"/>
            <x v="642"/>
            <x v="643"/>
            <x v="644"/>
            <x v="645"/>
            <x v="646"/>
            <x v="653"/>
            <x v="654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1012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631"/>
            <x v="638"/>
            <x v="639"/>
            <x v="640"/>
            <x v="656"/>
            <x v="708"/>
            <x v="709"/>
            <x v="713"/>
            <x v="878"/>
            <x v="990"/>
            <x v="996"/>
            <x v="997"/>
            <x v="998"/>
            <x v="999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9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105"/>
            <x v="1106"/>
            <x v="1107"/>
            <x v="1108"/>
            <x v="1131"/>
            <x v="1134"/>
            <x v="1140"/>
            <x v="1144"/>
            <x v="1145"/>
            <x v="1149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614"/>
            <x v="641"/>
            <x v="1000"/>
            <x v="1037"/>
            <x v="1038"/>
            <x v="1040"/>
            <x v="1041"/>
            <x v="1042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125"/>
            <x v="1141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75"/>
            <x v="579"/>
            <x v="586"/>
            <x v="595"/>
            <x v="604"/>
            <x v="607"/>
            <x v="611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742"/>
            <x v="743"/>
            <x v="841"/>
            <x v="876"/>
            <x v="892"/>
            <x v="903"/>
            <x v="925"/>
            <x v="1006"/>
            <x v="1010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89"/>
            <x v="591"/>
            <x v="592"/>
            <x v="593"/>
            <x v="594"/>
            <x v="596"/>
            <x v="597"/>
            <x v="598"/>
            <x v="599"/>
            <x v="600"/>
            <x v="602"/>
            <x v="605"/>
            <x v="608"/>
            <x v="609"/>
            <x v="610"/>
            <x v="612"/>
            <x v="616"/>
            <x v="617"/>
            <x v="619"/>
            <x v="690"/>
            <x v="757"/>
            <x v="796"/>
            <x v="822"/>
            <x v="842"/>
            <x v="843"/>
            <x v="844"/>
            <x v="845"/>
            <x v="861"/>
            <x v="862"/>
            <x v="899"/>
            <x v="900"/>
            <x v="904"/>
            <x v="906"/>
            <x v="907"/>
            <x v="908"/>
            <x v="955"/>
            <x v="974"/>
            <x v="975"/>
            <x v="978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20"/>
            <x v="623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5"/>
            <x v="736"/>
            <x v="737"/>
            <x v="738"/>
            <x v="739"/>
            <x v="755"/>
            <x v="756"/>
            <x v="757"/>
            <x v="758"/>
            <x v="761"/>
            <x v="763"/>
            <x v="764"/>
            <x v="765"/>
            <x v="766"/>
            <x v="767"/>
            <x v="771"/>
            <x v="772"/>
            <x v="77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8"/>
            <x v="849"/>
            <x v="850"/>
            <x v="851"/>
            <x v="852"/>
            <x v="858"/>
            <x v="863"/>
            <x v="879"/>
            <x v="905"/>
            <x v="909"/>
            <x v="918"/>
            <x v="919"/>
            <x v="920"/>
            <x v="921"/>
            <x v="922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554"/>
            <x v="555"/>
            <x v="601"/>
            <x v="603"/>
            <x v="621"/>
            <x v="661"/>
            <x v="662"/>
            <x v="668"/>
            <x v="680"/>
            <x v="762"/>
            <x v="790"/>
            <x v="791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1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548"/>
            <x v="585"/>
            <x v="664"/>
            <x v="760"/>
            <x v="787"/>
            <x v="788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9"/>
            <x v="1110"/>
            <x v="1111"/>
            <x v="1112"/>
            <x v="1114"/>
            <x v="1115"/>
            <x v="1116"/>
            <x v="1117"/>
            <x v="1118"/>
            <x v="1120"/>
            <x v="1121"/>
            <x v="1122"/>
            <x v="1123"/>
            <x v="1126"/>
            <x v="1135"/>
            <x v="1139"/>
            <x v="1142"/>
            <x v="1146"/>
            <x v="1147"/>
            <x v="1148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79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1"/>
            <x v="1012"/>
            <x v="1124"/>
            <x v="1127"/>
            <x v="1128"/>
            <x v="1129"/>
            <x v="1132"/>
            <x v="1133"/>
            <x v="1136"/>
            <x v="1137"/>
            <x v="1138"/>
            <x v="114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33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50"/>
            <x v="557"/>
            <x v="558"/>
            <x v="559"/>
            <x v="625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17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551"/>
            <x v="556"/>
            <x v="572"/>
            <x v="590"/>
            <x v="606"/>
            <x v="626"/>
            <x v="635"/>
            <x v="652"/>
            <x v="683"/>
            <x v="684"/>
            <x v="685"/>
            <x v="686"/>
            <x v="687"/>
            <x v="688"/>
            <x v="693"/>
            <x v="694"/>
            <x v="695"/>
            <x v="707"/>
            <x v="712"/>
            <x v="723"/>
            <x v="724"/>
            <x v="725"/>
            <x v="726"/>
            <x v="727"/>
            <x v="728"/>
            <x v="729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  <x v="1023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547"/>
            <x v="580"/>
            <x v="632"/>
            <x v="633"/>
            <x v="634"/>
            <x v="651"/>
            <x v="677"/>
            <x v="853"/>
            <x v="854"/>
            <x v="1130"/>
          </reference>
        </references>
      </pivotArea>
    </format>
    <format dxfId="201">
      <pivotArea field="4" type="button" dataOnly="0" labelOnly="1" outline="0" axis="axisRow" fieldPosition="3"/>
    </format>
    <format dxfId="200">
      <pivotArea dataOnly="0" labelOnly="1" outline="0" fieldPosition="0">
        <references count="1">
          <reference field="2" count="1">
            <x v="0"/>
          </reference>
        </references>
      </pivotArea>
    </format>
    <format dxfId="199">
      <pivotArea dataOnly="0" labelOnly="1" outline="0" fieldPosition="0">
        <references count="1">
          <reference field="2" count="1">
            <x v="3"/>
          </reference>
        </references>
      </pivotArea>
    </format>
    <format dxfId="198">
      <pivotArea dataOnly="0" labelOnly="1" outline="0" fieldPosition="0">
        <references count="1">
          <reference field="2" count="1">
            <x v="5"/>
          </reference>
        </references>
      </pivotArea>
    </format>
    <format dxfId="197">
      <pivotArea dataOnly="0" labelOnly="1" outline="0" fieldPosition="0">
        <references count="1">
          <reference field="2" count="1">
            <x v="6"/>
          </reference>
        </references>
      </pivotArea>
    </format>
    <format dxfId="196">
      <pivotArea dataOnly="0" labelOnly="1" outline="0" fieldPosition="0">
        <references count="1">
          <reference field="2" count="1">
            <x v="8"/>
          </reference>
        </references>
      </pivotArea>
    </format>
    <format dxfId="195">
      <pivotArea dataOnly="0" labelOnly="1" outline="0" fieldPosition="0">
        <references count="1">
          <reference field="2" count="1">
            <x v="10"/>
          </reference>
        </references>
      </pivotArea>
    </format>
    <format dxfId="194">
      <pivotArea dataOnly="0" labelOnly="1" outline="0" fieldPosition="0">
        <references count="1">
          <reference field="2" count="1">
            <x v="12"/>
          </reference>
        </references>
      </pivotArea>
    </format>
    <format dxfId="193">
      <pivotArea dataOnly="0" labelOnly="1" outline="0" fieldPosition="0">
        <references count="1">
          <reference field="2" count="1">
            <x v="14"/>
          </reference>
        </references>
      </pivotArea>
    </format>
    <format dxfId="192">
      <pivotArea dataOnly="0" labelOnly="1" outline="0" fieldPosition="0">
        <references count="1">
          <reference field="2" count="1">
            <x v="16"/>
          </reference>
        </references>
      </pivotArea>
    </format>
    <format dxfId="191">
      <pivotArea dataOnly="0" labelOnly="1" outline="0" fieldPosition="0">
        <references count="1">
          <reference field="2" count="1">
            <x v="17"/>
          </reference>
        </references>
      </pivotArea>
    </format>
    <format dxfId="190">
      <pivotArea dataOnly="0" labelOnly="1" outline="0" fieldPosition="0">
        <references count="1">
          <reference field="2" count="1">
            <x v="19"/>
          </reference>
        </references>
      </pivotArea>
    </format>
    <format dxfId="189">
      <pivotArea dataOnly="0" labelOnly="1" outline="0" fieldPosition="0">
        <references count="1">
          <reference field="2" count="1">
            <x v="23"/>
          </reference>
        </references>
      </pivotArea>
    </format>
    <format dxfId="188">
      <pivotArea dataOnly="0" labelOnly="1" outline="0" fieldPosition="0">
        <references count="1">
          <reference field="2" count="1">
            <x v="24"/>
          </reference>
        </references>
      </pivotArea>
    </format>
    <format dxfId="187">
      <pivotArea dataOnly="0" labelOnly="1" outline="0" fieldPosition="0">
        <references count="1">
          <reference field="2" count="1">
            <x v="25"/>
          </reference>
        </references>
      </pivotArea>
    </format>
    <format dxfId="186">
      <pivotArea dataOnly="0" labelOnly="1" outline="0" fieldPosition="0">
        <references count="1">
          <reference field="2" count="1">
            <x v="26"/>
          </reference>
        </references>
      </pivotArea>
    </format>
    <format dxfId="185">
      <pivotArea dataOnly="0" labelOnly="1" outline="0" fieldPosition="0">
        <references count="1">
          <reference field="2" count="1">
            <x v="30"/>
          </reference>
        </references>
      </pivotArea>
    </format>
    <format dxfId="184">
      <pivotArea dataOnly="0" labelOnly="1" outline="0" fieldPosition="0">
        <references count="1">
          <reference field="2" count="1">
            <x v="31"/>
          </reference>
        </references>
      </pivotArea>
    </format>
    <format dxfId="183">
      <pivotArea dataOnly="0" labelOnly="1" outline="0" fieldPosition="0">
        <references count="1">
          <reference field="2" count="1">
            <x v="32"/>
          </reference>
        </references>
      </pivotArea>
    </format>
    <format dxfId="182">
      <pivotArea dataOnly="0" labelOnly="1" outline="0" fieldPosition="0">
        <references count="1">
          <reference field="2" count="1">
            <x v="34"/>
          </reference>
        </references>
      </pivotArea>
    </format>
    <format dxfId="181">
      <pivotArea dataOnly="0" labelOnly="1" outline="0" fieldPosition="0">
        <references count="1">
          <reference field="2" count="1">
            <x v="35"/>
          </reference>
        </references>
      </pivotArea>
    </format>
    <format dxfId="180">
      <pivotArea dataOnly="0" labelOnly="1" outline="0" fieldPosition="0">
        <references count="1">
          <reference field="2" count="1">
            <x v="36"/>
          </reference>
        </references>
      </pivotArea>
    </format>
    <format dxfId="179">
      <pivotArea dataOnly="0" labelOnly="1" outline="0" fieldPosition="0">
        <references count="1">
          <reference field="2" count="1">
            <x v="37"/>
          </reference>
        </references>
      </pivotArea>
    </format>
    <format dxfId="178">
      <pivotArea dataOnly="0" labelOnly="1" outline="0" fieldPosition="0">
        <references count="1">
          <reference field="2" count="1">
            <x v="38"/>
          </reference>
        </references>
      </pivotArea>
    </format>
    <format dxfId="177">
      <pivotArea dataOnly="0" labelOnly="1" outline="0" fieldPosition="0">
        <references count="1">
          <reference field="2" count="1">
            <x v="40"/>
          </reference>
        </references>
      </pivotArea>
    </format>
    <format dxfId="176">
      <pivotArea dataOnly="0" labelOnly="1" outline="0" fieldPosition="0">
        <references count="1">
          <reference field="2" count="1">
            <x v="41"/>
          </reference>
        </references>
      </pivotArea>
    </format>
    <format dxfId="175">
      <pivotArea dataOnly="0" labelOnly="1" outline="0" fieldPosition="0">
        <references count="1">
          <reference field="2" count="1">
            <x v="43"/>
          </reference>
        </references>
      </pivotArea>
    </format>
    <format dxfId="174">
      <pivotArea dataOnly="0" labelOnly="1" outline="0" fieldPosition="0">
        <references count="1">
          <reference field="2" count="1">
            <x v="44"/>
          </reference>
        </references>
      </pivotArea>
    </format>
    <format dxfId="173">
      <pivotArea dataOnly="0" labelOnly="1" outline="0" fieldPosition="0">
        <references count="1">
          <reference field="2" count="1">
            <x v="45"/>
          </reference>
        </references>
      </pivotArea>
    </format>
    <format dxfId="172">
      <pivotArea dataOnly="0" labelOnly="1" outline="0" fieldPosition="0">
        <references count="1">
          <reference field="2" count="1">
            <x v="46"/>
          </reference>
        </references>
      </pivotArea>
    </format>
    <format dxfId="171">
      <pivotArea dataOnly="0" labelOnly="1" outline="0" fieldPosition="0">
        <references count="1">
          <reference field="2" count="1">
            <x v="48"/>
          </reference>
        </references>
      </pivotArea>
    </format>
    <format dxfId="170">
      <pivotArea dataOnly="0" labelOnly="1" outline="0" fieldPosition="0">
        <references count="1">
          <reference field="2" count="1">
            <x v="49"/>
          </reference>
        </references>
      </pivotArea>
    </format>
    <format dxfId="169">
      <pivotArea dataOnly="0" labelOnly="1" outline="0" fieldPosition="0">
        <references count="1">
          <reference field="2" count="1">
            <x v="50"/>
          </reference>
        </references>
      </pivotArea>
    </format>
    <format dxfId="168">
      <pivotArea dataOnly="0" labelOnly="1" outline="0" fieldPosition="0">
        <references count="1">
          <reference field="2" count="1">
            <x v="51"/>
          </reference>
        </references>
      </pivotArea>
    </format>
    <format dxfId="167">
      <pivotArea dataOnly="0" labelOnly="1" outline="0" fieldPosition="0">
        <references count="1">
          <reference field="2" count="1">
            <x v="52"/>
          </reference>
        </references>
      </pivotArea>
    </format>
    <format dxfId="166">
      <pivotArea dataOnly="0" labelOnly="1" outline="0" fieldPosition="0">
        <references count="1">
          <reference field="2" count="1">
            <x v="53"/>
          </reference>
        </references>
      </pivotArea>
    </format>
    <format dxfId="165">
      <pivotArea dataOnly="0" labelOnly="1" outline="0" fieldPosition="0">
        <references count="1">
          <reference field="2" count="1">
            <x v="54"/>
          </reference>
        </references>
      </pivotArea>
    </format>
    <format dxfId="164">
      <pivotArea dataOnly="0" labelOnly="1" outline="0" fieldPosition="0">
        <references count="1">
          <reference field="2" count="1">
            <x v="55"/>
          </reference>
        </references>
      </pivotArea>
    </format>
    <format dxfId="163">
      <pivotArea dataOnly="0" labelOnly="1" outline="0" fieldPosition="0">
        <references count="1">
          <reference field="2" count="1">
            <x v="56"/>
          </reference>
        </references>
      </pivotArea>
    </format>
    <format dxfId="162">
      <pivotArea dataOnly="0" labelOnly="1" outline="0" fieldPosition="0">
        <references count="1">
          <reference field="2" count="1">
            <x v="57"/>
          </reference>
        </references>
      </pivotArea>
    </format>
    <format dxfId="161">
      <pivotArea dataOnly="0" labelOnly="1" outline="0" fieldPosition="0">
        <references count="1">
          <reference field="2" count="1">
            <x v="58"/>
          </reference>
        </references>
      </pivotArea>
    </format>
    <format dxfId="160">
      <pivotArea dataOnly="0" labelOnly="1" outline="0" fieldPosition="0">
        <references count="1">
          <reference field="2" count="1">
            <x v="59"/>
          </reference>
        </references>
      </pivotArea>
    </format>
    <format dxfId="159">
      <pivotArea dataOnly="0" labelOnly="1" outline="0" fieldPosition="0">
        <references count="1">
          <reference field="2" count="1">
            <x v="60"/>
          </reference>
        </references>
      </pivotArea>
    </format>
    <format dxfId="158">
      <pivotArea dataOnly="0" labelOnly="1" outline="0" fieldPosition="0">
        <references count="1">
          <reference field="2" count="1">
            <x v="61"/>
          </reference>
        </references>
      </pivotArea>
    </format>
    <format dxfId="157">
      <pivotArea dataOnly="0" labelOnly="1" outline="0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156">
      <pivotArea dataOnly="0" labelOnly="1" outline="0" fieldPosition="0">
        <references count="2">
          <reference field="2" count="1" selected="0">
            <x v="3"/>
          </reference>
          <reference field="3" count="1">
            <x v="73"/>
          </reference>
        </references>
      </pivotArea>
    </format>
    <format dxfId="155">
      <pivotArea dataOnly="0" labelOnly="1" outline="0" fieldPosition="0">
        <references count="2">
          <reference field="2" count="1" selected="0">
            <x v="5"/>
          </reference>
          <reference field="3" count="1">
            <x v="0"/>
          </reference>
        </references>
      </pivotArea>
    </format>
    <format dxfId="154">
      <pivotArea dataOnly="0" labelOnly="1" outline="0" fieldPosition="0">
        <references count="2">
          <reference field="2" count="1" selected="0">
            <x v="5"/>
          </reference>
          <reference field="3" count="1">
            <x v="54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6"/>
          </reference>
          <reference field="3" count="1">
            <x v="13"/>
          </reference>
        </references>
      </pivotArea>
    </format>
    <format dxfId="152">
      <pivotArea dataOnly="0" labelOnly="1" outline="0" fieldPosition="0">
        <references count="2">
          <reference field="2" count="1" selected="0">
            <x v="8"/>
          </reference>
          <reference field="3" count="1">
            <x v="2"/>
          </reference>
        </references>
      </pivotArea>
    </format>
    <format dxfId="151">
      <pivotArea dataOnly="0" labelOnly="1" outline="0" fieldPosition="0">
        <references count="2">
          <reference field="2" count="1" selected="0">
            <x v="8"/>
          </reference>
          <reference field="3" count="1">
            <x v="21"/>
          </reference>
        </references>
      </pivotArea>
    </format>
    <format dxfId="150">
      <pivotArea dataOnly="0" labelOnly="1" outline="0" fieldPosition="0">
        <references count="2">
          <reference field="2" count="1" selected="0">
            <x v="8"/>
          </reference>
          <reference field="3" count="1">
            <x v="29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8"/>
          </reference>
          <reference field="3" count="1">
            <x v="35"/>
          </reference>
        </references>
      </pivotArea>
    </format>
    <format dxfId="148">
      <pivotArea dataOnly="0" labelOnly="1" outline="0" fieldPosition="0">
        <references count="2">
          <reference field="2" count="1" selected="0">
            <x v="10"/>
          </reference>
          <reference field="3" count="1">
            <x v="35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10"/>
          </reference>
          <reference field="3" count="1">
            <x v="73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12"/>
          </reference>
          <reference field="3" count="1">
            <x v="0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2"/>
          </reference>
          <reference field="3" count="1">
            <x v="35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12"/>
          </reference>
          <reference field="3" count="1">
            <x v="37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12"/>
          </reference>
          <reference field="3" count="1">
            <x v="73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4"/>
          </reference>
          <reference field="3" count="1">
            <x v="0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14"/>
          </reference>
          <reference field="3" count="1">
            <x v="55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16"/>
          </reference>
          <reference field="3" count="1">
            <x v="0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16"/>
          </reference>
          <reference field="3" count="1">
            <x v="73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19"/>
          </reference>
          <reference field="3" count="1">
            <x v="29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19"/>
          </reference>
          <reference field="3" count="1">
            <x v="75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23"/>
          </reference>
          <reference field="3" count="1">
            <x v="0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3"/>
          </reference>
          <reference field="3" count="1">
            <x v="5"/>
          </reference>
        </references>
      </pivotArea>
    </format>
    <format dxfId="132">
      <pivotArea dataOnly="0" labelOnly="1" outline="0" fieldPosition="0">
        <references count="2">
          <reference field="2" count="1" selected="0">
            <x v="24"/>
          </reference>
          <reference field="3" count="1">
            <x v="0"/>
          </reference>
        </references>
      </pivotArea>
    </format>
    <format dxfId="131">
      <pivotArea dataOnly="0" labelOnly="1" outline="0" fieldPosition="0">
        <references count="2">
          <reference field="2" count="1" selected="0">
            <x v="24"/>
          </reference>
          <reference field="3" count="1">
            <x v="14"/>
          </reference>
        </references>
      </pivotArea>
    </format>
    <format dxfId="130">
      <pivotArea dataOnly="0" labelOnly="1" outline="0" fieldPosition="0">
        <references count="2">
          <reference field="2" count="1" selected="0">
            <x v="25"/>
          </reference>
          <reference field="3" count="1">
            <x v="0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25"/>
          </reference>
          <reference field="3" count="1">
            <x v="23"/>
          </reference>
        </references>
      </pivotArea>
    </format>
    <format dxfId="128">
      <pivotArea dataOnly="0" labelOnly="1" outline="0" fieldPosition="0">
        <references count="2">
          <reference field="2" count="1" selected="0">
            <x v="26"/>
          </reference>
          <reference field="3" count="1">
            <x v="0"/>
          </reference>
        </references>
      </pivotArea>
    </format>
    <format dxfId="127">
      <pivotArea dataOnly="0" labelOnly="1" outline="0" fieldPosition="0">
        <references count="2">
          <reference field="2" count="1" selected="0">
            <x v="26"/>
          </reference>
          <reference field="3" count="1">
            <x v="9"/>
          </reference>
        </references>
      </pivotArea>
    </format>
    <format dxfId="126">
      <pivotArea dataOnly="0" labelOnly="1" outline="0" fieldPosition="0">
        <references count="2">
          <reference field="2" count="1" selected="0">
            <x v="30"/>
          </reference>
          <reference field="3" count="1">
            <x v="0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30"/>
          </reference>
          <reference field="3" count="1">
            <x v="16"/>
          </reference>
        </references>
      </pivotArea>
    </format>
    <format dxfId="124">
      <pivotArea dataOnly="0" labelOnly="1" outline="0" fieldPosition="0">
        <references count="2">
          <reference field="2" count="1" selected="0">
            <x v="31"/>
          </reference>
          <reference field="3" count="1">
            <x v="19"/>
          </reference>
        </references>
      </pivotArea>
    </format>
    <format dxfId="123">
      <pivotArea dataOnly="0" labelOnly="1" outline="0" fieldPosition="0">
        <references count="2">
          <reference field="2" count="1" selected="0">
            <x v="31"/>
          </reference>
          <reference field="3" count="1">
            <x v="66"/>
          </reference>
        </references>
      </pivotArea>
    </format>
    <format dxfId="122">
      <pivotArea dataOnly="0" labelOnly="1" outline="0" fieldPosition="0">
        <references count="2">
          <reference field="2" count="1" selected="0">
            <x v="31"/>
          </reference>
          <reference field="3" count="1">
            <x v="67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32"/>
          </reference>
          <reference field="3" count="1">
            <x v="0"/>
          </reference>
        </references>
      </pivotArea>
    </format>
    <format dxfId="120">
      <pivotArea dataOnly="0" labelOnly="1" outline="0" fieldPosition="0">
        <references count="2">
          <reference field="2" count="1" selected="0">
            <x v="34"/>
          </reference>
          <reference field="3" count="1">
            <x v="0"/>
          </reference>
        </references>
      </pivotArea>
    </format>
    <format dxfId="119">
      <pivotArea dataOnly="0" labelOnly="1" outline="0" fieldPosition="0">
        <references count="2">
          <reference field="2" count="1" selected="0">
            <x v="35"/>
          </reference>
          <reference field="3" count="1">
            <x v="0"/>
          </reference>
        </references>
      </pivotArea>
    </format>
    <format dxfId="118">
      <pivotArea dataOnly="0" labelOnly="1" outline="0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36"/>
          </reference>
          <reference field="3" count="1">
            <x v="41"/>
          </reference>
        </references>
      </pivotArea>
    </format>
    <format dxfId="116">
      <pivotArea dataOnly="0" labelOnly="1" outline="0" fieldPosition="0">
        <references count="2">
          <reference field="2" count="1" selected="0">
            <x v="36"/>
          </reference>
          <reference field="3" count="1">
            <x v="47"/>
          </reference>
        </references>
      </pivotArea>
    </format>
    <format dxfId="115">
      <pivotArea dataOnly="0" labelOnly="1" outline="0" fieldPosition="0">
        <references count="2">
          <reference field="2" count="1" selected="0">
            <x v="36"/>
          </reference>
          <reference field="3" count="1">
            <x v="57"/>
          </reference>
        </references>
      </pivotArea>
    </format>
    <format dxfId="114">
      <pivotArea dataOnly="0" labelOnly="1" outline="0" fieldPosition="0">
        <references count="2">
          <reference field="2" count="1" selected="0">
            <x v="36"/>
          </reference>
          <reference field="3" count="1">
            <x v="65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36"/>
          </reference>
          <reference field="3" count="1">
            <x v="76"/>
          </reference>
        </references>
      </pivotArea>
    </format>
    <format dxfId="112">
      <pivotArea dataOnly="0" labelOnly="1" outline="0" fieldPosition="0">
        <references count="2">
          <reference field="2" count="1" selected="0">
            <x v="36"/>
          </reference>
          <reference field="3" count="1">
            <x v="77"/>
          </reference>
        </references>
      </pivotArea>
    </format>
    <format dxfId="111">
      <pivotArea dataOnly="0" labelOnly="1" outline="0" fieldPosition="0">
        <references count="2">
          <reference field="2" count="1" selected="0">
            <x v="37"/>
          </reference>
          <reference field="3" count="1">
            <x v="41"/>
          </reference>
        </references>
      </pivotArea>
    </format>
    <format dxfId="110">
      <pivotArea dataOnly="0" labelOnly="1" outline="0" fieldPosition="0">
        <references count="2">
          <reference field="2" count="1" selected="0">
            <x v="37"/>
          </reference>
          <reference field="3" count="1">
            <x v="58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38"/>
          </reference>
          <reference field="3" count="1">
            <x v="21"/>
          </reference>
        </references>
      </pivotArea>
    </format>
    <format dxfId="108">
      <pivotArea dataOnly="0" labelOnly="1" outline="0" fieldPosition="0">
        <references count="2">
          <reference field="2" count="1" selected="0">
            <x v="38"/>
          </reference>
          <reference field="3" count="1">
            <x v="56"/>
          </reference>
        </references>
      </pivotArea>
    </format>
    <format dxfId="107">
      <pivotArea dataOnly="0" labelOnly="1" outline="0" fieldPosition="0">
        <references count="2">
          <reference field="2" count="1" selected="0">
            <x v="40"/>
          </reference>
          <reference field="3" count="1">
            <x v="60"/>
          </reference>
        </references>
      </pivotArea>
    </format>
    <format dxfId="106">
      <pivotArea dataOnly="0" labelOnly="1" outline="0" fieldPosition="0">
        <references count="2">
          <reference field="2" count="1" selected="0">
            <x v="40"/>
          </reference>
          <reference field="3" count="1">
            <x v="68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40"/>
          </reference>
          <reference field="3" count="1">
            <x v="71"/>
          </reference>
        </references>
      </pivotArea>
    </format>
    <format dxfId="104">
      <pivotArea dataOnly="0" labelOnly="1" outline="0" fieldPosition="0">
        <references count="2">
          <reference field="2" count="1" selected="0">
            <x v="40"/>
          </reference>
          <reference field="3" count="1">
            <x v="72"/>
          </reference>
        </references>
      </pivotArea>
    </format>
    <format dxfId="103">
      <pivotArea dataOnly="0" labelOnly="1" outline="0" fieldPosition="0">
        <references count="2">
          <reference field="2" count="1" selected="0">
            <x v="40"/>
          </reference>
          <reference field="3" count="1">
            <x v="74"/>
          </reference>
        </references>
      </pivotArea>
    </format>
    <format dxfId="102">
      <pivotArea dataOnly="0" labelOnly="1" outline="0" fieldPosition="0">
        <references count="2">
          <reference field="2" count="1" selected="0">
            <x v="41"/>
          </reference>
          <reference field="3" count="1">
            <x v="59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41"/>
          </reference>
          <reference field="3" count="1">
            <x v="70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43"/>
          </reference>
          <reference field="3" count="1">
            <x v="39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44"/>
          </reference>
          <reference field="3" count="1">
            <x v="21"/>
          </reference>
        </references>
      </pivotArea>
    </format>
    <format dxfId="98">
      <pivotArea dataOnly="0" labelOnly="1" outline="0" fieldPosition="0">
        <references count="2">
          <reference field="2" count="1" selected="0">
            <x v="45"/>
          </reference>
          <reference field="3" count="1">
            <x v="7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45"/>
          </reference>
          <reference field="3" count="1">
            <x v="14"/>
          </reference>
        </references>
      </pivotArea>
    </format>
    <format dxfId="96">
      <pivotArea dataOnly="0" labelOnly="1" outline="0" fieldPosition="0">
        <references count="2">
          <reference field="2" count="1" selected="0">
            <x v="45"/>
          </reference>
          <reference field="3" count="1">
            <x v="48"/>
          </reference>
        </references>
      </pivotArea>
    </format>
    <format dxfId="95">
      <pivotArea dataOnly="0" labelOnly="1" outline="0" fieldPosition="0">
        <references count="2">
          <reference field="2" count="1" selected="0">
            <x v="45"/>
          </reference>
          <reference field="3" count="1">
            <x v="49"/>
          </reference>
        </references>
      </pivotArea>
    </format>
    <format dxfId="94">
      <pivotArea dataOnly="0" labelOnly="1" outline="0" fieldPosition="0">
        <references count="2">
          <reference field="2" count="1" selected="0">
            <x v="46"/>
          </reference>
          <reference field="3" count="1">
            <x v="18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46"/>
          </reference>
          <reference field="3" count="1">
            <x v="20"/>
          </reference>
        </references>
      </pivotArea>
    </format>
    <format dxfId="92">
      <pivotArea dataOnly="0" labelOnly="1" outline="0" fieldPosition="0">
        <references count="2">
          <reference field="2" count="1" selected="0">
            <x v="48"/>
          </reference>
          <reference field="3" count="1">
            <x v="0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48"/>
          </reference>
          <reference field="3" count="1">
            <x v="46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49"/>
          </reference>
          <reference field="3" count="1">
            <x v="0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49"/>
          </reference>
          <reference field="3" count="1">
            <x v="14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49"/>
          </reference>
          <reference field="3" count="1">
            <x v="4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50"/>
          </reference>
          <reference field="3" count="1">
            <x v="0"/>
          </reference>
        </references>
      </pivotArea>
    </format>
    <format dxfId="86">
      <pivotArea dataOnly="0" labelOnly="1" outline="0" fieldPosition="0">
        <references count="2">
          <reference field="2" count="1" selected="0">
            <x v="50"/>
          </reference>
          <reference field="3" count="1">
            <x v="53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51"/>
          </reference>
          <reference field="3" count="1">
            <x v="0"/>
          </reference>
        </references>
      </pivotArea>
    </format>
    <format dxfId="84">
      <pivotArea dataOnly="0" labelOnly="1" outline="0" fieldPosition="0">
        <references count="2">
          <reference field="2" count="1" selected="0">
            <x v="51"/>
          </reference>
          <reference field="3" count="1">
            <x v="12"/>
          </reference>
        </references>
      </pivotArea>
    </format>
    <format dxfId="83">
      <pivotArea dataOnly="0" labelOnly="1" outline="0" fieldPosition="0">
        <references count="2">
          <reference field="2" count="1" selected="0">
            <x v="51"/>
          </reference>
          <reference field="3" count="1">
            <x v="20"/>
          </reference>
        </references>
      </pivotArea>
    </format>
    <format dxfId="82">
      <pivotArea dataOnly="0" labelOnly="1" outline="0" fieldPosition="0">
        <references count="2">
          <reference field="2" count="1" selected="0">
            <x v="51"/>
          </reference>
          <reference field="3" count="1">
            <x v="51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52"/>
          </reference>
          <reference field="3" count="1">
            <x v="24"/>
          </reference>
        </references>
      </pivotArea>
    </format>
    <format dxfId="80">
      <pivotArea dataOnly="0" labelOnly="1" outline="0" fieldPosition="0">
        <references count="2">
          <reference field="2" count="1" selected="0">
            <x v="52"/>
          </reference>
          <reference field="3" count="1">
            <x v="50"/>
          </reference>
        </references>
      </pivotArea>
    </format>
    <format dxfId="79">
      <pivotArea dataOnly="0" labelOnly="1" outline="0" fieldPosition="0">
        <references count="2">
          <reference field="2" count="1" selected="0">
            <x v="53"/>
          </reference>
          <reference field="3" count="1">
            <x v="0"/>
          </reference>
        </references>
      </pivotArea>
    </format>
    <format dxfId="78">
      <pivotArea dataOnly="0" labelOnly="1" outline="0" fieldPosition="0">
        <references count="2">
          <reference field="2" count="1" selected="0">
            <x v="54"/>
          </reference>
          <reference field="3" count="1">
            <x v="24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54"/>
          </reference>
          <reference field="3" count="1">
            <x v="26"/>
          </reference>
        </references>
      </pivotArea>
    </format>
    <format dxfId="76">
      <pivotArea dataOnly="0" labelOnly="1" outline="0" fieldPosition="0">
        <references count="2">
          <reference field="2" count="1" selected="0">
            <x v="54"/>
          </reference>
          <reference field="3" count="1">
            <x v="52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55"/>
          </reference>
          <reference field="3" count="1">
            <x v="39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55"/>
          </reference>
          <reference field="3" count="1">
            <x v="41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56"/>
          </reference>
          <reference field="3" count="1">
            <x v="40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57"/>
          </reference>
          <reference field="3" count="1">
            <x v="0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57"/>
          </reference>
          <reference field="3" count="1">
            <x v="14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58"/>
          </reference>
          <reference field="3" count="1">
            <x v="21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58"/>
          </reference>
          <reference field="3" count="1">
            <x v="22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59"/>
          </reference>
          <reference field="3" count="1">
            <x v="10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60"/>
          </reference>
          <reference field="3" count="1">
            <x v="0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60"/>
          </reference>
          <reference field="3" count="1">
            <x v="4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60"/>
          </reference>
          <reference field="3" count="1">
            <x v="11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60"/>
          </reference>
          <reference field="3" count="1">
            <x v="15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60"/>
          </reference>
          <reference field="3" count="1">
            <x v="17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60"/>
          </reference>
          <reference field="3" count="1">
            <x v="44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60"/>
          </reference>
          <reference field="3" count="1">
            <x v="45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60"/>
          </reference>
          <reference field="3" count="1">
            <x v="69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61"/>
          </reference>
          <reference field="3" count="1">
            <x v="6"/>
          </reference>
        </references>
      </pivotArea>
    </format>
    <format dxfId="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250"/>
            <x v="280"/>
            <x v="281"/>
            <x v="282"/>
            <x v="363"/>
            <x v="428"/>
            <x v="438"/>
            <x v="454"/>
            <x v="459"/>
            <x v="460"/>
            <x v="478"/>
            <x v="489"/>
            <x v="493"/>
            <x v="499"/>
            <x v="501"/>
            <x v="502"/>
            <x v="503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631"/>
            <x v="638"/>
            <x v="639"/>
            <x v="640"/>
            <x v="656"/>
            <x v="708"/>
            <x v="709"/>
            <x v="713"/>
            <x v="878"/>
            <x v="1039"/>
            <x v="1105"/>
            <x v="1106"/>
          </reference>
        </references>
      </pivotArea>
    </format>
    <format dxfId="57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146"/>
            <x v="201"/>
            <x v="293"/>
            <x v="458"/>
            <x v="481"/>
            <x v="491"/>
            <x v="492"/>
            <x v="500"/>
            <x v="537"/>
            <x v="538"/>
            <x v="539"/>
            <x v="540"/>
            <x v="541"/>
            <x v="542"/>
            <x v="543"/>
            <x v="544"/>
            <x v="545"/>
            <x v="546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27"/>
            <x v="82"/>
            <x v="127"/>
            <x v="327"/>
            <x v="344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86"/>
            <x v="595"/>
            <x v="604"/>
            <x v="607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841"/>
            <x v="876"/>
            <x v="892"/>
            <x v="903"/>
            <x v="925"/>
            <x v="1006"/>
            <x v="1010"/>
          </reference>
        </references>
      </pivotArea>
    </format>
    <format dxfId="55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7"/>
            <x v="48"/>
            <x v="56"/>
            <x v="83"/>
            <x v="90"/>
            <x v="125"/>
            <x v="324"/>
            <x v="326"/>
            <x v="377"/>
            <x v="379"/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91"/>
            <x v="592"/>
            <x v="593"/>
            <x v="594"/>
            <x v="596"/>
            <x v="597"/>
            <x v="598"/>
            <x v="599"/>
            <x v="600"/>
            <x v="690"/>
            <x v="742"/>
            <x v="743"/>
            <x v="757"/>
            <x v="796"/>
            <x v="822"/>
            <x v="842"/>
            <x v="843"/>
            <x v="844"/>
            <x v="861"/>
            <x v="862"/>
            <x v="899"/>
            <x v="900"/>
            <x v="904"/>
            <x v="906"/>
            <x v="907"/>
            <x v="908"/>
            <x v="955"/>
            <x v="974"/>
            <x v="978"/>
          </reference>
        </references>
      </pivotArea>
    </format>
    <format dxfId="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02"/>
            <x v="608"/>
            <x v="609"/>
            <x v="610"/>
            <x v="616"/>
            <x v="617"/>
            <x v="619"/>
            <x v="620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6"/>
            <x v="737"/>
            <x v="738"/>
            <x v="739"/>
            <x v="755"/>
            <x v="756"/>
            <x v="757"/>
            <x v="758"/>
            <x v="763"/>
            <x v="764"/>
            <x v="765"/>
            <x v="766"/>
          </reference>
        </references>
      </pivotArea>
    </format>
    <format dxfId="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67"/>
            <x v="771"/>
            <x v="772"/>
            <x v="778"/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9"/>
            <x v="850"/>
            <x v="858"/>
            <x v="863"/>
            <x v="879"/>
            <x v="905"/>
            <x v="909"/>
            <x v="918"/>
            <x v="919"/>
            <x v="920"/>
            <x v="921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57"/>
            <x v="317"/>
            <x v="348"/>
            <x v="554"/>
            <x v="601"/>
            <x v="603"/>
            <x v="621"/>
            <x v="661"/>
            <x v="662"/>
            <x v="668"/>
            <x v="790"/>
            <x v="791"/>
            <x v="922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199"/>
            <x v="237"/>
            <x v="244"/>
            <x v="292"/>
            <x v="416"/>
            <x v="432"/>
            <x v="435"/>
            <x v="436"/>
            <x v="437"/>
            <x v="439"/>
            <x v="441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9"/>
            <x v="470"/>
            <x v="473"/>
            <x v="474"/>
            <x v="475"/>
            <x v="476"/>
            <x v="477"/>
            <x v="495"/>
            <x v="585"/>
            <x v="664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</reference>
        </references>
      </pivotArea>
    </format>
    <format dxfId="50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223"/>
            <x v="443"/>
            <x v="466"/>
            <x v="467"/>
            <x v="472"/>
            <x v="485"/>
            <x v="486"/>
            <x v="487"/>
            <x v="488"/>
            <x v="494"/>
            <x v="497"/>
            <x v="498"/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2"/>
          </reference>
        </references>
      </pivotArea>
    </format>
    <format dxfId="49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287"/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3"/>
            <x v="381"/>
            <x v="382"/>
            <x v="383"/>
            <x v="425"/>
            <x v="550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47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46"/>
            <x v="52"/>
            <x v="55"/>
            <x v="79"/>
            <x v="88"/>
            <x v="89"/>
            <x v="120"/>
            <x v="151"/>
            <x v="153"/>
            <x v="155"/>
            <x v="245"/>
            <x v="257"/>
            <x v="370"/>
            <x v="484"/>
            <x v="556"/>
            <x v="572"/>
            <x v="626"/>
            <x v="652"/>
            <x v="684"/>
            <x v="685"/>
            <x v="686"/>
            <x v="687"/>
            <x v="693"/>
            <x v="694"/>
            <x v="695"/>
            <x v="707"/>
            <x v="712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</reference>
        </references>
      </pivotArea>
    </format>
    <format dxfId="46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100"/>
            <x v="547"/>
            <x v="580"/>
            <x v="632"/>
            <x v="633"/>
            <x v="634"/>
            <x v="651"/>
            <x v="677"/>
            <x v="853"/>
            <x v="1130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fieldPosition="0">
        <references count="2">
          <reference field="2" count="1" selected="0">
            <x v="18"/>
          </reference>
          <reference field="3" count="8">
            <x v="0"/>
            <x v="35"/>
            <x v="37"/>
            <x v="38"/>
            <x v="54"/>
            <x v="55"/>
            <x v="64"/>
            <x v="73"/>
          </reference>
        </references>
      </pivotArea>
    </format>
    <format dxfId="43">
      <pivotArea dataOnly="0" labelOnly="1" fieldPosition="0">
        <references count="3">
          <reference field="2" count="1" selected="0">
            <x v="18"/>
          </reference>
          <reference field="3" count="1" selected="0">
            <x v="35"/>
          </reference>
          <reference field="4" count="45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708"/>
            <x v="1034"/>
            <x v="1038"/>
            <x v="1039"/>
            <x v="1040"/>
            <x v="1041"/>
            <x v="1042"/>
            <x v="1043"/>
            <x v="1047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2">
      <pivotArea dataOnly="0" labelOnly="1" fieldPosition="0">
        <references count="2">
          <reference field="2" count="1" selected="0">
            <x v="28"/>
          </reference>
          <reference field="3" count="7">
            <x v="0"/>
            <x v="37"/>
            <x v="38"/>
            <x v="54"/>
            <x v="55"/>
            <x v="64"/>
            <x v="73"/>
          </reference>
        </references>
      </pivotArea>
    </format>
    <format dxfId="41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38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1034"/>
            <x v="1043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0">
      <pivotArea dataOnly="0" labelOnly="1" fieldPosition="0">
        <references count="2">
          <reference field="2" count="1" selected="0">
            <x v="21"/>
          </reference>
          <reference field="3" count="2">
            <x v="0"/>
            <x v="73"/>
          </reference>
        </references>
      </pivotArea>
    </format>
    <format dxfId="39">
      <pivotArea dataOnly="0" labelOnly="1" fieldPosition="0">
        <references count="3">
          <reference field="2" count="1" selected="0">
            <x v="21"/>
          </reference>
          <reference field="3" count="1" selected="0">
            <x v="0"/>
          </reference>
          <reference field="4" count="50">
            <x v="539"/>
            <x v="540"/>
            <x v="541"/>
            <x v="542"/>
            <x v="543"/>
            <x v="544"/>
            <x v="545"/>
            <x v="546"/>
            <x v="1173"/>
            <x v="1174"/>
            <x v="1175"/>
            <x v="1176"/>
            <x v="1177"/>
            <x v="1178"/>
            <x v="1179"/>
            <x v="1180"/>
            <x v="1181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</reference>
        </references>
      </pivotArea>
    </format>
    <format dxfId="38">
      <pivotArea dataOnly="0" labelOnly="1" fieldPosition="0">
        <references count="3">
          <reference field="2" count="1" selected="0">
            <x v="21"/>
          </reference>
          <reference field="3" count="1" selected="0">
            <x v="73"/>
          </reference>
          <reference field="4" count="32"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</reference>
        </references>
      </pivotArea>
    </format>
    <format dxfId="37">
      <pivotArea dataOnly="0" labelOnly="1" fieldPosition="0">
        <references count="2">
          <reference field="2" count="1" selected="0">
            <x v="28"/>
          </reference>
          <reference field="3" count="5">
            <x v="6"/>
            <x v="37"/>
            <x v="38"/>
            <x v="55"/>
            <x v="64"/>
          </reference>
        </references>
      </pivotArea>
    </format>
    <format dxfId="36">
      <pivotArea dataOnly="0" labelOnly="1" fieldPosition="0">
        <references count="3">
          <reference field="2" count="1" selected="0">
            <x v="28"/>
          </reference>
          <reference field="3" count="1" selected="0">
            <x v="6"/>
          </reference>
          <reference field="4" count="14">
            <x v="437"/>
            <x v="458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5">
      <pivotArea field="2" type="button" dataOnly="0" labelOnly="1" outline="0" axis="axisRow" fieldPosition="1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fieldPosition="0">
        <references count="2">
          <reference field="2" count="1" selected="0">
            <x v="28"/>
          </reference>
          <reference field="3" count="5">
            <x v="37"/>
            <x v="38"/>
            <x v="55"/>
            <x v="57"/>
            <x v="64"/>
          </reference>
        </references>
      </pivotArea>
    </format>
    <format dxfId="32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14">
            <x v="458"/>
            <x v="477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1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30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7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4">
      <pivotArea outline="0" fieldPosition="0">
        <references count="1">
          <reference field="4294967294" count="1">
            <x v="3"/>
          </reference>
        </references>
      </pivotArea>
    </format>
    <format dxfId="23">
      <pivotArea outline="0" fieldPosition="0">
        <references count="1">
          <reference field="4294967294" count="1">
            <x v="4"/>
          </reference>
        </references>
      </pivotArea>
    </format>
    <format dxfId="22">
      <pivotArea type="origin" dataOnly="0" labelOnly="1" outline="0" fieldPosition="0"/>
    </format>
    <format dxfId="21">
      <pivotArea field="1" type="button" dataOnly="0" labelOnly="1" outline="0" axis="axisRow" fieldPosition="0"/>
    </format>
    <format dxfId="20">
      <pivotArea dataOnly="0" labelOnly="1" outline="0" fieldPosition="0">
        <references count="1">
          <reference field="1" count="1">
            <x v="8"/>
          </reference>
        </references>
      </pivotArea>
    </format>
    <format dxfId="19">
      <pivotArea dataOnly="0" labelOnly="1" outline="0" fieldPosition="0">
        <references count="1">
          <reference field="1" count="1">
            <x v="3"/>
          </reference>
        </references>
      </pivotArea>
    </format>
    <format dxfId="18">
      <pivotArea dataOnly="0" labelOnly="1" outline="0" fieldPosition="0">
        <references count="1">
          <reference field="1" count="1">
            <x v="1"/>
          </reference>
        </references>
      </pivotArea>
    </format>
    <format dxfId="17">
      <pivotArea dataOnly="0" labelOnly="1" outline="0" fieldPosition="0">
        <references count="1">
          <reference field="1" count="1">
            <x v="7"/>
          </reference>
        </references>
      </pivotArea>
    </format>
    <format dxfId="16">
      <pivotArea dataOnly="0" labelOnly="1" outline="0" fieldPosition="0">
        <references count="1">
          <reference field="1" count="1">
            <x v="4"/>
          </reference>
        </references>
      </pivotArea>
    </format>
    <format dxfId="15">
      <pivotArea dataOnly="0" labelOnly="1" outline="0" fieldPosition="0">
        <references count="1">
          <reference field="1" count="1">
            <x v="5"/>
          </reference>
        </references>
      </pivotArea>
    </format>
    <format dxfId="14">
      <pivotArea dataOnly="0" labelOnly="1" outline="0" fieldPosition="0">
        <references count="1">
          <reference field="1" count="1">
            <x v="6"/>
          </reference>
        </references>
      </pivotArea>
    </format>
    <format dxfId="13">
      <pivotArea dataOnly="0" labelOnly="1" outline="0" fieldPosition="0">
        <references count="1">
          <reference field="1" count="1">
            <x v="0"/>
          </reference>
        </references>
      </pivotArea>
    </format>
    <format dxfId="12">
      <pivotArea dataOnly="0" labelOnly="1" outline="0" fieldPosition="0">
        <references count="1">
          <reference field="1" count="1">
            <x v="2"/>
          </reference>
        </references>
      </pivotArea>
    </format>
    <format dxfId="11">
      <pivotArea dataOnly="0" labelOnly="1" grandRow="1" outline="0" fieldPosition="0"/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Kontingenční tabulka 1" cacheId="0" applyNumberFormats="0" applyBorderFormats="0" applyFontFormats="0" applyPatternFormats="0" applyAlignmentFormats="0" applyWidthHeightFormats="1" dataCaption="Hodnoty" updatedVersion="3" minRefreshableVersion="3" showCalcMbrs="0" useAutoFormatting="1" itemPrintTitles="1" createdVersion="3" indent="0" outline="1" outlineData="1" multipleFieldFilters="0" rowHeaderCaption="Druh zkratka">
  <location ref="G2:J80" firstHeaderRow="1" firstDataRow="2" firstDataCol="2"/>
  <pivotFields count="13">
    <pivotField axis="axisRow" compact="0" showAll="0" insertBlankRow="1">
      <items count="59">
        <item x="0"/>
        <item m="1" x="33"/>
        <item m="1" x="50"/>
        <item m="1" x="29"/>
        <item m="1" x="41"/>
        <item m="1" x="36"/>
        <item m="1" x="44"/>
        <item x="11"/>
        <item m="1" x="47"/>
        <item m="1" x="31"/>
        <item m="1" x="51"/>
        <item m="1" x="28"/>
        <item m="1" x="39"/>
        <item x="20"/>
        <item m="1" x="55"/>
        <item m="1" x="37"/>
        <item x="13"/>
        <item m="1" x="38"/>
        <item m="1" x="30"/>
        <item m="1" x="25"/>
        <item x="1"/>
        <item x="6"/>
        <item x="10"/>
        <item m="1" x="27"/>
        <item m="1" x="48"/>
        <item m="1" x="40"/>
        <item m="1" x="35"/>
        <item x="18"/>
        <item x="24"/>
        <item x="23"/>
        <item m="1" x="43"/>
        <item m="1" x="53"/>
        <item m="1" x="26"/>
        <item m="1" x="34"/>
        <item x="7"/>
        <item m="1" x="45"/>
        <item x="9"/>
        <item x="5"/>
        <item x="15"/>
        <item m="1" x="54"/>
        <item x="12"/>
        <item x="8"/>
        <item x="3"/>
        <item m="1" x="56"/>
        <item m="1" x="52"/>
        <item m="1" x="42"/>
        <item m="1" x="46"/>
        <item x="22"/>
        <item x="2"/>
        <item m="1" x="57"/>
        <item x="21"/>
        <item m="1" x="32"/>
        <item m="1" x="49"/>
        <item x="19"/>
        <item x="4"/>
        <item x="14"/>
        <item x="16"/>
        <item x="17"/>
        <item t="default"/>
      </items>
    </pivotField>
    <pivotField showAll="0"/>
    <pivotField showAll="0"/>
    <pivotField axis="axisRow" compact="0" showAll="0" insertBlankRow="1">
      <items count="88">
        <item x="0"/>
        <item m="1" x="22"/>
        <item m="1" x="78"/>
        <item m="1" x="80"/>
        <item m="1" x="28"/>
        <item m="1" x="6"/>
        <item m="1" x="70"/>
        <item m="1" x="27"/>
        <item m="1" x="35"/>
        <item m="1" x="86"/>
        <item m="1" x="20"/>
        <item m="1" x="62"/>
        <item m="1" x="65"/>
        <item m="1" x="36"/>
        <item m="1" x="67"/>
        <item m="1" x="42"/>
        <item m="1" x="64"/>
        <item m="1" x="47"/>
        <item m="1" x="85"/>
        <item m="1" x="82"/>
        <item m="1" x="4"/>
        <item m="1" x="69"/>
        <item m="1" x="5"/>
        <item m="1" x="16"/>
        <item m="1" x="48"/>
        <item m="1" x="54"/>
        <item m="1" x="45"/>
        <item m="1" x="23"/>
        <item m="1" x="9"/>
        <item m="1" x="7"/>
        <item m="1" x="55"/>
        <item m="1" x="56"/>
        <item m="1" x="10"/>
        <item m="1" x="18"/>
        <item m="1" x="72"/>
        <item m="1" x="51"/>
        <item m="1" x="15"/>
        <item m="1" x="32"/>
        <item m="1" x="58"/>
        <item m="1" x="17"/>
        <item m="1" x="11"/>
        <item m="1" x="76"/>
        <item m="1" x="30"/>
        <item m="1" x="43"/>
        <item m="1" x="13"/>
        <item m="1" x="38"/>
        <item m="1" x="21"/>
        <item m="1" x="39"/>
        <item m="1" x="8"/>
        <item m="1" x="29"/>
        <item m="1" x="74"/>
        <item m="1" x="68"/>
        <item m="1" x="57"/>
        <item m="1" x="26"/>
        <item m="1" x="46"/>
        <item m="1" x="12"/>
        <item m="1" x="40"/>
        <item m="1" x="37"/>
        <item m="1" x="33"/>
        <item m="1" x="53"/>
        <item m="1" x="66"/>
        <item m="1" x="79"/>
        <item m="1" x="19"/>
        <item m="1" x="44"/>
        <item m="1" x="61"/>
        <item m="1" x="41"/>
        <item m="1" x="84"/>
        <item m="1" x="63"/>
        <item m="1" x="77"/>
        <item m="1" x="50"/>
        <item m="1" x="31"/>
        <item m="1" x="60"/>
        <item m="1" x="71"/>
        <item m="1" x="25"/>
        <item m="1" x="14"/>
        <item m="1" x="73"/>
        <item m="1" x="75"/>
        <item m="1" x="59"/>
        <item m="1" x="81"/>
        <item m="1" x="83"/>
        <item m="1" x="24"/>
        <item m="1" x="49"/>
        <item m="1" x="34"/>
        <item m="1" x="52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0"/>
    <field x="3"/>
  </rowFields>
  <rowItems count="77">
    <i>
      <x/>
    </i>
    <i r="1">
      <x/>
    </i>
    <i t="blank">
      <x/>
    </i>
    <i>
      <x v="7"/>
    </i>
    <i r="1">
      <x v="85"/>
    </i>
    <i t="blank">
      <x v="7"/>
    </i>
    <i>
      <x v="13"/>
    </i>
    <i r="1">
      <x v="84"/>
    </i>
    <i t="blank">
      <x v="13"/>
    </i>
    <i>
      <x v="16"/>
    </i>
    <i r="1">
      <x v="84"/>
    </i>
    <i t="blank">
      <x v="16"/>
    </i>
    <i>
      <x v="20"/>
    </i>
    <i r="1">
      <x v="84"/>
    </i>
    <i r="1">
      <x v="86"/>
    </i>
    <i t="blank">
      <x v="20"/>
    </i>
    <i>
      <x v="21"/>
    </i>
    <i r="1">
      <x v="84"/>
    </i>
    <i t="blank">
      <x v="21"/>
    </i>
    <i>
      <x v="22"/>
    </i>
    <i r="1">
      <x v="84"/>
    </i>
    <i t="blank">
      <x v="22"/>
    </i>
    <i>
      <x v="27"/>
    </i>
    <i r="1">
      <x v="84"/>
    </i>
    <i t="blank">
      <x v="27"/>
    </i>
    <i>
      <x v="28"/>
    </i>
    <i r="1">
      <x v="84"/>
    </i>
    <i t="blank">
      <x v="28"/>
    </i>
    <i>
      <x v="29"/>
    </i>
    <i r="1">
      <x v="84"/>
    </i>
    <i t="blank">
      <x v="29"/>
    </i>
    <i>
      <x v="34"/>
    </i>
    <i r="1">
      <x v="84"/>
    </i>
    <i t="blank">
      <x v="34"/>
    </i>
    <i>
      <x v="36"/>
    </i>
    <i r="1">
      <x v="84"/>
    </i>
    <i t="blank">
      <x v="36"/>
    </i>
    <i>
      <x v="37"/>
    </i>
    <i r="1">
      <x v="84"/>
    </i>
    <i t="blank">
      <x v="37"/>
    </i>
    <i>
      <x v="38"/>
    </i>
    <i r="1">
      <x v="84"/>
    </i>
    <i t="blank">
      <x v="38"/>
    </i>
    <i>
      <x v="40"/>
    </i>
    <i r="1">
      <x v="84"/>
    </i>
    <i t="blank">
      <x v="40"/>
    </i>
    <i>
      <x v="41"/>
    </i>
    <i r="1">
      <x v="84"/>
    </i>
    <i t="blank">
      <x v="41"/>
    </i>
    <i>
      <x v="42"/>
    </i>
    <i r="1">
      <x v="84"/>
    </i>
    <i t="blank">
      <x v="42"/>
    </i>
    <i>
      <x v="47"/>
    </i>
    <i r="1">
      <x v="84"/>
    </i>
    <i t="blank">
      <x v="47"/>
    </i>
    <i>
      <x v="48"/>
    </i>
    <i r="1">
      <x v="84"/>
    </i>
    <i t="blank">
      <x v="48"/>
    </i>
    <i>
      <x v="50"/>
    </i>
    <i r="1">
      <x v="84"/>
    </i>
    <i t="blank">
      <x v="50"/>
    </i>
    <i>
      <x v="53"/>
    </i>
    <i r="1">
      <x v="84"/>
    </i>
    <i t="blank">
      <x v="53"/>
    </i>
    <i>
      <x v="54"/>
    </i>
    <i r="1">
      <x v="84"/>
    </i>
    <i t="blank">
      <x v="54"/>
    </i>
    <i>
      <x v="55"/>
    </i>
    <i r="1">
      <x v="84"/>
    </i>
    <i t="blank">
      <x v="55"/>
    </i>
    <i>
      <x v="56"/>
    </i>
    <i r="1">
      <x v="84"/>
    </i>
    <i t="blank">
      <x v="56"/>
    </i>
    <i>
      <x v="57"/>
    </i>
    <i r="1">
      <x v="84"/>
    </i>
    <i t="blank">
      <x v="57"/>
    </i>
    <i t="grand">
      <x/>
    </i>
  </rowItems>
  <colFields count="1">
    <field x="-2"/>
  </colFields>
  <colItems count="2">
    <i>
      <x/>
    </i>
    <i i="1">
      <x v="1"/>
    </i>
  </colItems>
  <dataFields count="2">
    <dataField name="Součet z Celková hmotnost položek [kg]" fld="10" baseField="0" baseItem="0" numFmtId="168"/>
    <dataField name="Součet z Celková cena bez DPH (CZK)" fld="6" baseField="0" baseItem="0" numFmtId="168"/>
  </dataFields>
  <formats count="6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field="-2" type="button" dataOnly="0" labelOnly="1" outline="0" axis="axisCol" fieldPosition="0"/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type="topRight" dataOnly="0" labelOnly="1" outline="0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omocna_Nakup" displayName="Pomocna_Nakup" ref="B4:E87" totalsRowShown="0" headerRowDxfId="786" dataDxfId="784" headerRowBorderDxfId="785" tableBorderDxfId="783" totalsRowBorderDxfId="782">
  <autoFilter ref="B4:E87" xr:uid="{00000000-0009-0000-0100-000002000000}"/>
  <tableColumns count="4">
    <tableColumn id="1" xr3:uid="{00000000-0010-0000-0000-000001000000}" name="Kód položky" dataDxfId="781">
      <calculatedColumnFormula>O5</calculatedColumnFormula>
    </tableColumn>
    <tableColumn id="2" xr3:uid="{00000000-0010-0000-0000-000002000000}" name="Název položky" dataDxfId="780">
      <calculatedColumnFormula>M5</calculatedColumnFormula>
    </tableColumn>
    <tableColumn id="5" xr3:uid="{00000000-0010-0000-0000-000005000000}" name="Kód skupiny" dataDxfId="779">
      <calculatedColumnFormula>J5</calculatedColumnFormula>
    </tableColumn>
    <tableColumn id="6" xr3:uid="{00000000-0010-0000-0000-000006000000}" name="Název skupiny" dataDxfId="778">
      <calculatedColumnFormula>K5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RZ" displayName="RZ" ref="B16:NW150" totalsRowShown="0" headerRowDxfId="727" dataDxfId="726" tableBorderDxfId="725">
  <autoFilter ref="B16:NW150" xr:uid="{00000000-0009-0000-0100-000001000000}"/>
  <tableColumns count="386">
    <tableColumn id="1" xr3:uid="{00000000-0010-0000-0100-000001000000}" name="Et./Skup." dataDxfId="724">
      <calculatedColumnFormula>IF(HF17=0,"",HF17)</calculatedColumnFormula>
    </tableColumn>
    <tableColumn id="188" xr3:uid="{00000000-0010-0000-0100-0000BC000000}" name="Úroveň" dataDxfId="723">
      <calculatedColumnFormula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calculatedColumnFormula>
    </tableColumn>
    <tableColumn id="2" xr3:uid="{00000000-0010-0000-0100-000002000000}" name="Název" dataDxfId="722">
      <calculatedColumnFormula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calculatedColumnFormula>
    </tableColumn>
    <tableColumn id="6" xr3:uid="{00000000-0010-0000-0100-000006000000}" name="Kód položek" dataDxfId="721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calculatedColumnFormula>
    </tableColumn>
    <tableColumn id="8" xr3:uid="{00000000-0010-0000-0100-000008000000}" name="Výrobce / Dodavatel" dataDxfId="720">
      <calculatedColumnFormula>IF(HS17=0,"N/A",HS17)</calculatedColumnFormula>
    </tableColumn>
    <tableColumn id="7" xr3:uid="{00000000-0010-0000-0100-000007000000}" name="Typ / Označení" dataDxfId="719">
      <calculatedColumnFormula>IF(HT17=0,"",HT17)</calculatedColumnFormula>
    </tableColumn>
    <tableColumn id="9" xr3:uid="{00000000-0010-0000-0100-000009000000}" name="Hlavní parametr / Specifikace" dataDxfId="718">
      <calculatedColumnFormula>IF(HU17=0,"",HU17)</calculatedColumnFormula>
    </tableColumn>
    <tableColumn id="11" xr3:uid="{00000000-0010-0000-0100-00000B000000}" name="Měrná jednotka HR [MJHR]" dataDxfId="717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calculatedColumnFormula>
    </tableColumn>
    <tableColumn id="12" xr3:uid="{00000000-0010-0000-0100-00000C000000}" name="Počet MJHR" dataDxfId="716">
      <calculatedColumnFormula>IF(IF17=0,"",IF17)</calculatedColumnFormula>
    </tableColumn>
    <tableColumn id="13" xr3:uid="{00000000-0010-0000-0100-00000D000000}" name="Koeficient odhadu HR [-]" dataDxfId="715">
      <calculatedColumnFormula>RZ[[#This Row],[Koeficient odhadu HR '[-'] (P1)]]</calculatedColumnFormula>
    </tableColumn>
    <tableColumn id="14" xr3:uid="{00000000-0010-0000-0100-00000E000000}" name="Jednotková hmotnost [kg/MJHR]" dataDxfId="714">
      <calculatedColumnFormula>RZ[[#This Row],[Jednotková hmotnost s koef. '[kg/MJHR'] (P0)]]</calculatedColumnFormula>
    </tableColumn>
    <tableColumn id="22" xr3:uid="{00000000-0010-0000-0100-000016000000}" name="Z toho rezerva [kg/MJHR]" dataDxfId="713">
      <calculatedColumnFormula>IF(ISNUMBER(K17),L17/K17*(K17-1),0)</calculatedColumnFormula>
    </tableColumn>
    <tableColumn id="15" xr3:uid="{00000000-0010-0000-0100-00000F000000}" name="Celková hmotnost položek [kg]" dataDxfId="712">
      <calculatedColumnFormula>IF(ISNUMBER(J17),J17*L17,0)</calculatedColumnFormula>
    </tableColumn>
    <tableColumn id="16" xr3:uid="{00000000-0010-0000-0100-000010000000}" name="Z toho rezerva položek [kg]" dataDxfId="711">
      <calculatedColumnFormula>IF(ISNUMBER(J17),J17*M17,0)</calculatedColumnFormula>
    </tableColumn>
    <tableColumn id="10" xr3:uid="{00000000-0010-0000-0100-00000A000000}" name="Řešitel" dataDxfId="710">
      <calculatedColumnFormula>IF(HR17=0,"",HR17)</calculatedColumnFormula>
    </tableColumn>
    <tableColumn id="351" xr3:uid="{00000000-0010-0000-0100-00005F010000}" name="Počet MJHR v rozpadu" dataDxfId="709">
      <calculatedColumnFormula>RZ[[#This Row],[Počet MJHR v rozpadu (P0)]]</calculatedColumnFormula>
    </tableColumn>
    <tableColumn id="17" xr3:uid="{00000000-0010-0000-0100-000011000000}" name="Odpovědná osoba" dataDxfId="708">
      <calculatedColumnFormula>IF(HV17&lt;&gt;0,HV17,"")</calculatedColumnFormula>
    </tableColumn>
    <tableColumn id="18" xr3:uid="{00000000-0010-0000-0100-000012000000}" name="Datum vložení" dataDxfId="707">
      <calculatedColumnFormula>IF(HW17&lt;&gt;0,HW17,"")</calculatedColumnFormula>
    </tableColumn>
    <tableColumn id="19" xr3:uid="{00000000-0010-0000-0100-000013000000}" name="Dodací lhůty [týdny]" dataDxfId="706">
      <calculatedColumnFormula>IF(HX17=0,"",HX17)</calculatedColumnFormula>
    </tableColumn>
    <tableColumn id="240" xr3:uid="{00000000-0010-0000-0100-0000F0000000}" name="Měrná jednotka CR [MJCR]" dataDxfId="705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calculatedColumnFormula>
    </tableColumn>
    <tableColumn id="241" xr3:uid="{00000000-0010-0000-0100-0000F1000000}" name="Počet MJCR" dataDxfId="704">
      <calculatedColumnFormula>IF(IK17=0,"",IK17)</calculatedColumnFormula>
    </tableColumn>
    <tableColumn id="132" xr3:uid="{00000000-0010-0000-0100-000084000000}" name="Koeficient odhadu CR [-]" dataDxfId="703">
      <calculatedColumnFormula>RZ[[#This Row],[Koeficient odhadu CR '[-'] (P1)]]</calculatedColumnFormula>
    </tableColumn>
    <tableColumn id="20" xr3:uid="{00000000-0010-0000-0100-000014000000}" name="Jednotková cena vč. koef. bez DPH [cena/MJCR]" dataDxfId="702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calculatedColumnFormula>
    </tableColumn>
    <tableColumn id="117" xr3:uid="{00000000-0010-0000-0100-000075000000}" name="Z toho rezerva [cena/MJCR]" dataDxfId="701">
      <calculatedColumnFormula>IF(ISNUMBER(X17),-X17/W17*(W17-1),0)</calculatedColumnFormula>
    </tableColumn>
    <tableColumn id="21" xr3:uid="{00000000-0010-0000-0100-000015000000}" name="Měna" dataDxfId="700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calculatedColumnFormula>
    </tableColumn>
    <tableColumn id="24" xr3:uid="{00000000-0010-0000-0100-000018000000}" name="Počet MJCR v rozpadu" dataDxfId="699">
      <calculatedColumnFormula>GJ17</calculatedColumnFormula>
    </tableColumn>
    <tableColumn id="392" xr3:uid="{00000000-0010-0000-0100-000088010000}" name="Kumulovaný koeficient odhadu CR  [-]" dataDxfId="698">
      <calculatedColumnFormula>RZ[[#This Row],[Kumulovaný koeficient v rozpadu (P0)]]</calculatedColumnFormula>
    </tableColumn>
    <tableColumn id="25" xr3:uid="{00000000-0010-0000-0100-000019000000}" name="Sloupec7" dataDxfId="697"/>
    <tableColumn id="26" xr3:uid="{00000000-0010-0000-0100-00001A000000}" name="Jednotková cena vč. kumul. koef. bez DPH [cena/MJCR] (1)" dataDxfId="696">
      <calculatedColumnFormula>RZ[[#This Row],[Jednotková cena bez DPH '[cena/MJCR'] s koef. (P0)]]/RZ[[#This Row],[Koeficient odhadu CR '[-']]]*RZ[[#This Row],[Kumulovaný koeficient odhadu CR  '[-']]]</calculatedColumnFormula>
    </tableColumn>
    <tableColumn id="27" xr3:uid="{00000000-0010-0000-0100-00001B000000}" name="Celková cena bez DPH (1)" dataDxfId="695">
      <calculatedColumnFormula>IF(ISNUMBER(AA17),AA17*AD17,0)*IF(V17="",0,1)</calculatedColumnFormula>
    </tableColumn>
    <tableColumn id="28" xr3:uid="{00000000-0010-0000-0100-00001C000000}" name="Z toho rezerva (1)" dataDxfId="694">
      <calculatedColumnFormula>-IF(ISNUMBER(AA17),RZ[[#This Row],[Celková cena bez DPH (1)]]-RZ[[#This Row],[Jednotková cena bez DPH '[cena/MJCR'] bez koef. (P0)]]*AA17,0)</calculatedColumnFormula>
    </tableColumn>
    <tableColumn id="270" xr3:uid="{00000000-0010-0000-0100-00000E010000}" name="Kilogramová cena bez DPH [cena/kg] (1)" dataDxfId="693">
      <calculatedColumnFormula>IF(RZ[[#This Row],[Jednotková hmotnost '[kg/MJHR']]]*RZ[[#This Row],[Počet MJHR v rozpadu]]=0,0,RZ[[#This Row],[Celková cena bez DPH (1)]]/RZ[[#This Row],[Jednotková hmotnost '[kg/MJHR']]]/RZ[[#This Row],[Počet MJHR v rozpadu]])</calculatedColumnFormula>
    </tableColumn>
    <tableColumn id="29" xr3:uid="{00000000-0010-0000-0100-00001D000000}" name="Sloupec8" dataDxfId="692"/>
    <tableColumn id="30" xr3:uid="{00000000-0010-0000-0100-00001E000000}" name="Jednotková cena bez DPH [cena/MJCR] (2)" dataDxfId="691">
      <calculatedColumnFormula>AD17/VLOOKUP($AJ$13,KURZY,3,FALSE)</calculatedColumnFormula>
    </tableColumn>
    <tableColumn id="31" xr3:uid="{00000000-0010-0000-0100-00001F000000}" name="Celková cena bez DPH (2)" dataDxfId="690">
      <calculatedColumnFormula>AE17/VLOOKUP($AJ$13,KURZY,3,FALSE)*IF(V17="",0,1)</calculatedColumnFormula>
    </tableColumn>
    <tableColumn id="32" xr3:uid="{00000000-0010-0000-0100-000020000000}" name="Z toho rezerva (2)" dataDxfId="689">
      <calculatedColumnFormula>AF17/VLOOKUP($AJ$13,KURZY,3,FALSE)</calculatedColumnFormula>
    </tableColumn>
    <tableColumn id="334" xr3:uid="{00000000-0010-0000-0100-00004E010000}" name="Kilogramová cena bez DPH [cena/kg] (2)" dataDxfId="688">
      <calculatedColumnFormula>RZ[[#This Row],[Kilogramová cena bez DPH '[cena/kg'] (1)]]/$AK$13</calculatedColumnFormula>
    </tableColumn>
    <tableColumn id="33" xr3:uid="{00000000-0010-0000-0100-000021000000}" name="Sloupec9" dataDxfId="687"/>
    <tableColumn id="34" xr3:uid="{00000000-0010-0000-0100-000022000000}" name="Jednotková cena bez DPH [cena/MJCR] (3)" dataDxfId="686">
      <calculatedColumnFormula>AD17/VLOOKUP($AO$13,KURZY,3,FALSE)</calculatedColumnFormula>
    </tableColumn>
    <tableColumn id="35" xr3:uid="{00000000-0010-0000-0100-000023000000}" name="Celková cena bez DPH (3)" dataDxfId="685">
      <calculatedColumnFormula>AE17/VLOOKUP($AO$13,KURZY,3,FALSE)*IF(V17="",0,1)</calculatedColumnFormula>
    </tableColumn>
    <tableColumn id="36" xr3:uid="{00000000-0010-0000-0100-000024000000}" name="Z toho rezerva (3)" dataDxfId="684">
      <calculatedColumnFormula>AF17/VLOOKUP($AO$13,KURZY,3,FALSE)</calculatedColumnFormula>
    </tableColumn>
    <tableColumn id="335" xr3:uid="{00000000-0010-0000-0100-00004F010000}" name="Kilogramová cena bez DPH [cena/kg] (3)" dataDxfId="683">
      <calculatedColumnFormula>RZ[[#This Row],[Kilogramová cena bez DPH '[cena/kg'] (1)]]/$AP$13</calculatedColumnFormula>
    </tableColumn>
    <tableColumn id="37" xr3:uid="{00000000-0010-0000-0100-000025000000}" name="Sloupec10" dataDxfId="682"/>
    <tableColumn id="38" xr3:uid="{00000000-0010-0000-0100-000026000000}" name="Jednotková cena bez DPH [cena/MJCR] (4)" dataDxfId="681">
      <calculatedColumnFormula>AD17/VLOOKUP($AT$13,KURZY,3,FALSE)</calculatedColumnFormula>
    </tableColumn>
    <tableColumn id="39" xr3:uid="{00000000-0010-0000-0100-000027000000}" name="Celková cena bez DPH (4)" dataDxfId="680">
      <calculatedColumnFormula>AE17/VLOOKUP($AT$13,KURZY,3,FALSE)*IF(V17="",0,1)</calculatedColumnFormula>
    </tableColumn>
    <tableColumn id="40" xr3:uid="{00000000-0010-0000-0100-000028000000}" name="Z toho rezerva (4)" dataDxfId="679">
      <calculatedColumnFormula>AF17/VLOOKUP($AT$13,KURZY,3,FALSE)</calculatedColumnFormula>
    </tableColumn>
    <tableColumn id="336" xr3:uid="{00000000-0010-0000-0100-000050010000}" name="Kilogramová cena bez DPH [cena/kg] (4)" dataDxfId="678">
      <calculatedColumnFormula>RZ[[#This Row],[Kilogramová cena bez DPH '[cena/kg'] (1)]]/$AU$13</calculatedColumnFormula>
    </tableColumn>
    <tableColumn id="41" xr3:uid="{00000000-0010-0000-0100-000029000000}" name="Sloupec11" dataDxfId="677"/>
    <tableColumn id="42" xr3:uid="{00000000-0010-0000-0100-00002A000000}" name="0" dataDxfId="676">
      <calculatedColumnFormula>IF($BH17=0,IF(AY17&gt;0,OFFSET(AX17,-1,0,1,1),0),OFFSET(AX17,-1,0,1,1)+1)</calculatedColumnFormula>
    </tableColumn>
    <tableColumn id="43" xr3:uid="{00000000-0010-0000-0100-00002B000000}" name="Úroveň 2 (P0)" dataDxfId="675">
      <calculatedColumnFormula>IF($BI17=0,IF(AZ17&gt;0,OFFSET(AY17,-1,0,1,1),0),OFFSET(AY17,-1,0,1,1)+1)</calculatedColumnFormula>
    </tableColumn>
    <tableColumn id="44" xr3:uid="{00000000-0010-0000-0100-00002C000000}" name="Úroveň 3 (P0)" dataDxfId="674">
      <calculatedColumnFormula>IF($BJ17=0,IF(BA17&gt;0,OFFSET(AZ17,-1,0,1,1),0),OFFSET(AZ17,-1,0,1,1)+1)</calculatedColumnFormula>
    </tableColumn>
    <tableColumn id="45" xr3:uid="{00000000-0010-0000-0100-00002D000000}" name="Úroveň 4 (P0)" dataDxfId="673">
      <calculatedColumnFormula>IF($BK17=0,IF(BB17&gt;0,OFFSET(BA17,-1,0,1,1),0),OFFSET(BA17,-1,0,1,1)+1)</calculatedColumnFormula>
    </tableColumn>
    <tableColumn id="192" xr3:uid="{00000000-0010-0000-0100-0000C0000000}" name="Úroveň 5 (P0)" dataDxfId="672">
      <calculatedColumnFormula>IF($BL17=0,IF(BC17&gt;0,OFFSET(BB17,-1,0,1,1),0),OFFSET(BB17,-1,0,1,1)+1)</calculatedColumnFormula>
    </tableColumn>
    <tableColumn id="193" xr3:uid="{00000000-0010-0000-0100-0000C1000000}" name="Úroveň 6 (P0)" dataDxfId="671">
      <calculatedColumnFormula>IF($BM17=0,IF(BD17&gt;0,OFFSET(BC17,-1,0,1,1),0),OFFSET(BC17,-1,0,1,1)+1)</calculatedColumnFormula>
    </tableColumn>
    <tableColumn id="194" xr3:uid="{00000000-0010-0000-0100-0000C2000000}" name="Úroveň 7 (P0)" dataDxfId="670">
      <calculatedColumnFormula>IF($BN17=0,IF(BE17&gt;0,OFFSET(BD17,-1,0,1,1),0),OFFSET(BD17,-1,0,1,1)+1)</calculatedColumnFormula>
    </tableColumn>
    <tableColumn id="195" xr3:uid="{00000000-0010-0000-0100-0000C3000000}" name="Úroveň 8 (P0)" dataDxfId="669">
      <calculatedColumnFormula>IF($BO17=0,IF(BF17&gt;0,OFFSET(BE17,-1,0,1,1),0),OFFSET(BE17,-1,0,1,1)+1)</calculatedColumnFormula>
    </tableColumn>
    <tableColumn id="196" xr3:uid="{00000000-0010-0000-0100-0000C4000000}" name="Úroveň 9 (P0)" dataDxfId="668">
      <calculatedColumnFormula>IF($BP17=0,IF(BG17&gt;0,OFFSET(BF17,-1,0,1,1),0),OFFSET(BF17,-1,0,1,1)+1)</calculatedColumnFormula>
    </tableColumn>
    <tableColumn id="197" xr3:uid="{00000000-0010-0000-0100-0000C5000000}" name="Úroveň 10 (P0)" dataDxfId="667">
      <calculatedColumnFormula>IF($BQ17=0,0,OFFSET($BG17,-1,0,1,1)+1)</calculatedColumnFormula>
    </tableColumn>
    <tableColumn id="46" xr3:uid="{00000000-0010-0000-0100-00002E000000}" name="Úroveň 1 (P1)" dataDxfId="666">
      <calculatedColumnFormula>IF(HG17="",0,1)</calculatedColumnFormula>
    </tableColumn>
    <tableColumn id="47" xr3:uid="{00000000-0010-0000-0100-00002F000000}" name="Úroveň 2 (P1]" dataDxfId="665">
      <calculatedColumnFormula>IF(HH17="",0,1)</calculatedColumnFormula>
    </tableColumn>
    <tableColumn id="48" xr3:uid="{00000000-0010-0000-0100-000030000000}" name="Úroveň 3 (P1)" dataDxfId="664">
      <calculatedColumnFormula>IF(HI17="",0,1)</calculatedColumnFormula>
    </tableColumn>
    <tableColumn id="49" xr3:uid="{00000000-0010-0000-0100-000031000000}" name="Úroveň 4 (P1)" dataDxfId="663">
      <calculatedColumnFormula>IF(HJ17="",0,1)</calculatedColumnFormula>
    </tableColumn>
    <tableColumn id="3" xr3:uid="{00000000-0010-0000-0100-000003000000}" name="Úroveň 5 (P1)" dataDxfId="662">
      <calculatedColumnFormula>IF(HK17="",0,1)</calculatedColumnFormula>
    </tableColumn>
    <tableColumn id="4" xr3:uid="{00000000-0010-0000-0100-000004000000}" name="Úroveň 6 (P1)" dataDxfId="661">
      <calculatedColumnFormula>IF(HL17="",0,1)</calculatedColumnFormula>
    </tableColumn>
    <tableColumn id="5" xr3:uid="{00000000-0010-0000-0100-000005000000}" name="Úroveň 7 (P1)" dataDxfId="660">
      <calculatedColumnFormula>IF(HM17="",0,1)</calculatedColumnFormula>
    </tableColumn>
    <tableColumn id="189" xr3:uid="{00000000-0010-0000-0100-0000BD000000}" name="Úroveň 8 (P1)" dataDxfId="659">
      <calculatedColumnFormula>IF(HN17="",0,1)</calculatedColumnFormula>
    </tableColumn>
    <tableColumn id="190" xr3:uid="{00000000-0010-0000-0100-0000BE000000}" name="Úroveň 9 (P1)" dataDxfId="658">
      <calculatedColumnFormula>IF(HO17="",0,1)</calculatedColumnFormula>
    </tableColumn>
    <tableColumn id="191" xr3:uid="{00000000-0010-0000-0100-0000BF000000}" name="Úroveň 10 (P1)" dataDxfId="657">
      <calculatedColumnFormula>IF(HP17="",0,1)</calculatedColumnFormula>
    </tableColumn>
    <tableColumn id="50" xr3:uid="{00000000-0010-0000-0100-000032000000}" name="Úroveň 1 s koef. (P2)" dataDxfId="656">
      <calculatedColumnFormula>IF(OFFSET(AY17,1,0,1,1)&lt;&gt;0,RZ[[#This Row],[Koeficient odhadu HR '[-'] (P1)]]*$BH17*SUMIFS(RZ[Úroveň 2 s koef. (P2)],RZ[0],AX17),RZ[[#This Row],[Koeficient odhadu HR '[-'] (P1)]]*$BH17*$IG17)</calculatedColumnFormula>
    </tableColumn>
    <tableColumn id="317" xr3:uid="{00000000-0010-0000-0100-00003D010000}" name="Úroveň 1 bez koef. (P2)" dataDxfId="655">
      <calculatedColumnFormula>IF(OFFSET(AY17,1,0,1,1)&lt;&gt;0,$BH17*SUMIFS(RZ[Úroveň 2 bez koef. (P2)],RZ[0],AX17),$BH17*$IG17)</calculatedColumnFormula>
    </tableColumn>
    <tableColumn id="198" xr3:uid="{00000000-0010-0000-0100-0000C6000000}" name="Úroveň 2 s koef. (P2)" dataDxfId="654">
      <calculatedColumnFormula>RZ[[#This Row],[Úroveň 2 s koef. (P2a)]]*RZ[[#This Row],[Počet MJHR (P0)]]</calculatedColumnFormula>
    </tableColumn>
    <tableColumn id="318" xr3:uid="{00000000-0010-0000-0100-00003E010000}" name="Úroveň 2 bez koef. (P2)" dataDxfId="653">
      <calculatedColumnFormula>RZ[[#This Row],[Úroveň 2 bez koef. (P2a)]]*RZ[[#This Row],[Počet MJHR (P0)]]</calculatedColumnFormula>
    </tableColumn>
    <tableColumn id="52" xr3:uid="{00000000-0010-0000-0100-000034000000}" name="Úroveň 2 s koef. (P2a)" dataDxfId="652">
      <calculatedColumnFormula>IF(OFFSET(AZ17,1,0,1,1)&lt;&gt;0,RZ[[#This Row],[Koeficient odhadu HR '[-'] (P1)]]*$BI17*SUMIFS(RZ[Úroveň 3 s koef. (P2)],RZ[0],AX17,RZ[Úroveň 2 (P0)],AY17),RZ[[#This Row],[Koeficient odhadu HR '[-'] (P1)]]*$BI17*$IG17)</calculatedColumnFormula>
    </tableColumn>
    <tableColumn id="316" xr3:uid="{00000000-0010-0000-0100-00003C010000}" name="Úroveň 2 bez koef. (P2a)" dataDxfId="651">
      <calculatedColumnFormula>IF(OFFSET(AZ17,1,0,1,1)&lt;&gt;0,$BI17*SUMIFS(RZ[Úroveň 3 bez koef. (P2)],RZ[0],AX17,RZ[Úroveň 2 (P0)],AY17),$BI17*$IG17)</calculatedColumnFormula>
    </tableColumn>
    <tableColumn id="199" xr3:uid="{00000000-0010-0000-0100-0000C7000000}" name="Úroveň 3 s koef. (P2)" dataDxfId="650">
      <calculatedColumnFormula>RZ[[#This Row],[Úroveň 3 s koef. (P2a)]]*RZ[[#This Row],[Počet MJHR (P0)]]</calculatedColumnFormula>
    </tableColumn>
    <tableColumn id="319" xr3:uid="{00000000-0010-0000-0100-00003F010000}" name="Úroveň 3 bez koef. (P2)" dataDxfId="649">
      <calculatedColumnFormula>RZ[Úroveň 3 bez koef. (P2a)]*RZ[[#This Row],[Počet MJHR (P0)]]</calculatedColumnFormula>
    </tableColumn>
    <tableColumn id="54" xr3:uid="{00000000-0010-0000-0100-000036000000}" name="Úroveň 3 s koef. (P2a)" dataDxfId="648">
      <calculatedColumnFormula>IF(OFFSET(BA17,1,0,1,1)&lt;&gt;0,RZ[[#This Row],[Koeficient odhadu HR '[-'] (P1)]]*$BJ17*SUMIFS(RZ[Úroveň 4 s koef. (P2)],RZ[0],AX17,RZ[Úroveň 2 (P0)],AY17,RZ[Úroveň 3 (P0)],AZ17),RZ[[#This Row],[Koeficient odhadu HR '[-'] (P1)]]*$BJ17*$IG17)</calculatedColumnFormula>
    </tableColumn>
    <tableColumn id="315" xr3:uid="{00000000-0010-0000-0100-00003B010000}" name="Úroveň 3 bez koef. (P2a)" dataDxfId="647">
      <calculatedColumnFormula>IF(OFFSET(BA17,1,0,1,1)&lt;&gt;0,$BJ17*SUMIFS(RZ[Úroveň 4 bez koef. (P2)],RZ[0],AX17,RZ[Úroveň 2 (P0)],AY17,RZ[Úroveň 3 (P0)],AZ17),$BJ17*$IG17)</calculatedColumnFormula>
    </tableColumn>
    <tableColumn id="200" xr3:uid="{00000000-0010-0000-0100-0000C8000000}" name="Úroveň 4 s koef. (P2)" dataDxfId="646">
      <calculatedColumnFormula>RZ[[#This Row],[Úroveň 4 s koef. (P2a)]]*RZ[[#This Row],[Počet MJHR (P0)]]</calculatedColumnFormula>
    </tableColumn>
    <tableColumn id="144" xr3:uid="{00000000-0010-0000-0100-000090000000}" name="Úroveň 4 bez koef. (P2)" dataDxfId="645">
      <calculatedColumnFormula>RZ[Úroveň 4 bez koef. (P2a)]*RZ[[#This Row],[Počet MJHR (P0)]]</calculatedColumnFormula>
    </tableColumn>
    <tableColumn id="56" xr3:uid="{00000000-0010-0000-0100-000038000000}" name="Úroveň 4 s koef. (P2a)" dataDxfId="644">
      <calculatedColumnFormula>IF(OFFSET(BB17,1,0,1,1)&lt;&gt;0,RZ[[#This Row],[Koeficient odhadu HR '[-'] (P1)]]*$BK17*SUMIFS(RZ[Úroveň 5 s koef. (P2)],RZ[0],AX17,RZ[Úroveň 2 (P0)],AY17,RZ[Úroveň 3 (P0)],AZ17,RZ[Úroveň 4 (P0)],BA17),RZ[[#This Row],[Koeficient odhadu HR '[-'] (P1)]]*$BK17*$IG17)</calculatedColumnFormula>
    </tableColumn>
    <tableColumn id="314" xr3:uid="{00000000-0010-0000-0100-00003A010000}" name="Úroveň 4 bez koef. (P2a)" dataDxfId="643">
      <calculatedColumnFormula>IF(OFFSET(BB17,1,0,1,1)&lt;&gt;0,$BK17*SUMIFS(RZ[Úroveň 5 bez koef. (P2)],RZ[0],AX17,RZ[Úroveň 2 (P0)],AY17,RZ[Úroveň 3 (P0)],AZ17,RZ[Úroveň 4 (P0)],BA17),$BK17*$IG17)</calculatedColumnFormula>
    </tableColumn>
    <tableColumn id="201" xr3:uid="{00000000-0010-0000-0100-0000C9000000}" name="Úroveň 5 s koef. (P2)" dataDxfId="642">
      <calculatedColumnFormula>RZ[[#This Row],[Úroveň 5 s koef. (P2a)]]*RZ[[#This Row],[Počet MJHR (P0)]]</calculatedColumnFormula>
    </tableColumn>
    <tableColumn id="156" xr3:uid="{00000000-0010-0000-0100-00009C000000}" name="Úroveň 5 bez koef. (P2)" dataDxfId="641">
      <calculatedColumnFormula>RZ[Úroveň 5 bez koef. (P2a)]*RZ[[#This Row],[Počet MJHR (P0)]]</calculatedColumnFormula>
    </tableColumn>
    <tableColumn id="210" xr3:uid="{00000000-0010-0000-0100-0000D2000000}" name="Úroveň 5 s koef. (P2a)" dataDxfId="640">
      <calculatedColumnFormula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calculatedColumnFormula>
    </tableColumn>
    <tableColumn id="313" xr3:uid="{00000000-0010-0000-0100-000039010000}" name="Úroveň 5 bez koef. (P2a)" dataDxfId="639">
      <calculatedColumnFormula>IF(OFFSET(BC17,1,0,1,1)&lt;&gt;0,$BL17*SUMIFS(RZ[Úroveň 6 bez koef. (P2)],RZ[0],AX17,RZ[Úroveň 2 (P0)],AY17,RZ[Úroveň 3 (P0)],AZ17,RZ[Úroveň 4 (P0)],BA17,RZ[Úroveň 5 (P0)],BB17),$BL17*$IG17)</calculatedColumnFormula>
    </tableColumn>
    <tableColumn id="202" xr3:uid="{00000000-0010-0000-0100-0000CA000000}" name="Úroveň 6 s koef. (P2)" dataDxfId="638">
      <calculatedColumnFormula>RZ[[#This Row],[Úroveň 6 s koef. (P2a)]]*RZ[[#This Row],[Počet MJHR (P0)]]</calculatedColumnFormula>
    </tableColumn>
    <tableColumn id="168" xr3:uid="{00000000-0010-0000-0100-0000A8000000}" name="Úroveň 6 bez koef. (P2)" dataDxfId="637">
      <calculatedColumnFormula>RZ[Úroveň 6 bez koef. (P2a)]*RZ[[#This Row],[Počet MJHR (P0)]]</calculatedColumnFormula>
    </tableColumn>
    <tableColumn id="211" xr3:uid="{00000000-0010-0000-0100-0000D3000000}" name="Úroveň 6 s koef. (P2a)" dataDxfId="636">
      <calculatedColumnFormula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calculatedColumnFormula>
    </tableColumn>
    <tableColumn id="312" xr3:uid="{00000000-0010-0000-0100-000038010000}" name="Úroveň 6 bez koef. (P2a)" dataDxfId="635">
      <calculatedColumnFormula>IF(OFFSET(BD17,1,0,1,1)&lt;&gt;0,$BM17*SUMIFS(RZ[Úroveň 7 bez koef. (P2)],RZ[0],AX17,RZ[Úroveň 2 (P0)],AY17,RZ[Úroveň 3 (P0)],AZ17,RZ[Úroveň 4 (P0)],BA17,RZ[Úroveň 5 (P0)],BB17,RZ[Úroveň 6 (P0)],BC17),$BM17*$IG17)</calculatedColumnFormula>
    </tableColumn>
    <tableColumn id="203" xr3:uid="{00000000-0010-0000-0100-0000CB000000}" name="Úroveň 7 s koef. (P2)" dataDxfId="634">
      <calculatedColumnFormula>RZ[[#This Row],[Úroveň 7 s koef. (P2a)]]*RZ[[#This Row],[Počet MJHR (P0)]]</calculatedColumnFormula>
    </tableColumn>
    <tableColumn id="274" xr3:uid="{00000000-0010-0000-0100-000012010000}" name="Úroveň 7 bez koef. (P2)" dataDxfId="633">
      <calculatedColumnFormula>RZ[Úroveň 7 bez koef. (P2a)]*RZ[[#This Row],[Počet MJHR (P0)]]</calculatedColumnFormula>
    </tableColumn>
    <tableColumn id="212" xr3:uid="{00000000-0010-0000-0100-0000D4000000}" name="Úroveň 7 s koef. (P2a)" dataDxfId="632">
      <calculatedColumnFormula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calculatedColumnFormula>
    </tableColumn>
    <tableColumn id="311" xr3:uid="{00000000-0010-0000-0100-000037010000}" name="Úroveň 7 bez koef. (P2a)" dataDxfId="631">
      <calculatedColumnFormula>IF(OFFSET(BE17,1,0,1,1)&lt;&gt;0,$BN17*SUMIFS(RZ[Úroveň 8 bez koef. (P2)],RZ[0],AX17,RZ[Úroveň 2 (P0)],AY17,RZ[Úroveň 3 (P0)],AZ17,RZ[Úroveň 4 (P0)],BA17,RZ[Úroveň 5 (P0)],BB17,RZ[Úroveň 6 (P0)],BC17,RZ[Úroveň 7 (P0)],BD17),$BN17*$IG17)</calculatedColumnFormula>
    </tableColumn>
    <tableColumn id="228" xr3:uid="{00000000-0010-0000-0100-0000E4000000}" name="Úroveň 8 s koef. (P2)" dataDxfId="630">
      <calculatedColumnFormula>RZ[[#This Row],[Úroveň 8 s koef. (P2a)]]*RZ[[#This Row],[Počet MJHR (P0)]]</calculatedColumnFormula>
    </tableColumn>
    <tableColumn id="276" xr3:uid="{00000000-0010-0000-0100-000014010000}" name="Úroveň 8 bez koef. (P2)" dataDxfId="629">
      <calculatedColumnFormula>RZ[Úroveň 8 bez koef. (P2a)]*RZ[[#This Row],[Počet MJHR (P0)]]</calculatedColumnFormula>
    </tableColumn>
    <tableColumn id="213" xr3:uid="{00000000-0010-0000-0100-0000D5000000}" name="Úroveň 8 s koef. (P2a)" dataDxfId="628">
      <calculatedColumnFormula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calculatedColumnFormula>
    </tableColumn>
    <tableColumn id="310" xr3:uid="{00000000-0010-0000-0100-000036010000}" name="Úroveň 8 bez koef. (P2a)" dataDxfId="627">
      <calculatedColumnFormula>IF(OFFSET(BF17,1,0,1,1)&lt;&gt;0,$BO17*SUMIFS(RZ[Úroveň 9 bez koef. (P2)],RZ[0],AX17,RZ[Úroveň 2 (P0)],AY17,RZ[Úroveň 3 (P0)],AZ17,RZ[Úroveň 4 (P0)],BA17,RZ[Úroveň 5 (P0)],BB17,RZ[Úroveň 6 (P0)],BC17,RZ[Úroveň 7 (P0)],BD17,RZ[Úroveň 8 (P0)],BE17),$BO17*$IG17)</calculatedColumnFormula>
    </tableColumn>
    <tableColumn id="229" xr3:uid="{00000000-0010-0000-0100-0000E5000000}" name="Úroveň 9 s koef. (P2)" dataDxfId="626">
      <calculatedColumnFormula>RZ[[#This Row],[Úroveň 9 s koef. (P2a)]]*RZ[[#This Row],[Počet MJHR (P0)]]</calculatedColumnFormula>
    </tableColumn>
    <tableColumn id="288" xr3:uid="{00000000-0010-0000-0100-000020010000}" name="Úroveň 9 bez koef. (P2)" dataDxfId="625">
      <calculatedColumnFormula>RZ[Úroveň 9 bez koef. (P2a)]*RZ[[#This Row],[Počet MJHR (P0)]]</calculatedColumnFormula>
    </tableColumn>
    <tableColumn id="214" xr3:uid="{00000000-0010-0000-0100-0000D6000000}" name="Úroveň 9 s koef. (P2a)" dataDxfId="624">
      <calculatedColumnFormula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calculatedColumnFormula>
    </tableColumn>
    <tableColumn id="309" xr3:uid="{00000000-0010-0000-0100-000035010000}" name="Úroveň 9 bez koef. (P2a)" dataDxfId="623">
      <calculatedColumnFormula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calculatedColumnFormula>
    </tableColumn>
    <tableColumn id="230" xr3:uid="{00000000-0010-0000-0100-0000E6000000}" name="Úroveň 10 s koef. (P2)" dataDxfId="622">
      <calculatedColumnFormula>RZ[[#This Row],[Úroveň 10 s koef. (P2a)]]*RZ[[#This Row],[Počet MJHR (P0)]]</calculatedColumnFormula>
    </tableColumn>
    <tableColumn id="290" xr3:uid="{00000000-0010-0000-0100-000022010000}" name="Úroveň 10 bez koef. (P2)" dataDxfId="621">
      <calculatedColumnFormula>RZ[Úroveň 10 bez koef. (P2a)]*RZ[[#This Row],[Počet MJHR (P0)]]</calculatedColumnFormula>
    </tableColumn>
    <tableColumn id="215" xr3:uid="{00000000-0010-0000-0100-0000D7000000}" name="Úroveň 10 s koef. (P2a)" dataDxfId="620">
      <calculatedColumnFormula>RZ[[#This Row],[Koeficient odhadu HR '[-'] (P1)]]*$BQ17*IG17</calculatedColumnFormula>
    </tableColumn>
    <tableColumn id="307" xr3:uid="{00000000-0010-0000-0100-000033010000}" name="Úroveň 10 bez koef. (P2a)" dataDxfId="619">
      <calculatedColumnFormula>$BQ17*IG17</calculatedColumnFormula>
    </tableColumn>
    <tableColumn id="57" xr3:uid="{00000000-0010-0000-0100-000039000000}" name="Jednotková hmotnost s koef. [kg/MJHR] (P0)" dataDxfId="618">
      <calculatedColumnFormula>IF(BH17=1,BR17,IF(BI17=1,BV17,IF(BJ17=1,BZ17,IF(BK17=1,CD17,IF(BL17=1,CH17,IF(BM17=1,CL17,IF(BN17=1,CP17,IF(BO17=1,CT17,IF(BP17=1,CX17,DB17)))))))))</calculatedColumnFormula>
    </tableColumn>
    <tableColumn id="308" xr3:uid="{00000000-0010-0000-0100-000034010000}" name="Jednotková hmotnost bez koef. [kg/MJHR] (P0)" dataDxfId="617">
      <calculatedColumnFormula>IF(BH17=1,BS17,IF(BI17=1,BW17,IF(BJ17=1,CA17,IF(BK17=1,CE17,IF(BL17=1,CI17,IF(BM17=1,CM17,IF(BN17=1,CQ17,IF(BO17=1,CU17,IF(BP17=1,CY17,DC17)))))))))</calculatedColumnFormula>
    </tableColumn>
    <tableColumn id="66" xr3:uid="{00000000-0010-0000-0100-000042000000}" name="Úroveň 1 (P4)" dataDxfId="616">
      <calculatedColumnFormula>BH17*$IF17</calculatedColumnFormula>
    </tableColumn>
    <tableColumn id="67" xr3:uid="{00000000-0010-0000-0100-000043000000}" name="Úroveň 2 (P4)" dataDxfId="615">
      <calculatedColumnFormula>BI17*$IF17</calculatedColumnFormula>
    </tableColumn>
    <tableColumn id="68" xr3:uid="{00000000-0010-0000-0100-000044000000}" name="Úroveň 3 (P4)" dataDxfId="614">
      <calculatedColumnFormula>BJ17*$IF17</calculatedColumnFormula>
    </tableColumn>
    <tableColumn id="69" xr3:uid="{00000000-0010-0000-0100-000045000000}" name="Úroveň 4 (P4)" dataDxfId="613">
      <calculatedColumnFormula>BK17*$IF17</calculatedColumnFormula>
    </tableColumn>
    <tableColumn id="51" xr3:uid="{00000000-0010-0000-0100-000033000000}" name="Úroveň 5 (P4)" dataDxfId="612">
      <calculatedColumnFormula>BL17*$IF17</calculatedColumnFormula>
    </tableColumn>
    <tableColumn id="53" xr3:uid="{00000000-0010-0000-0100-000035000000}" name="Úroveň 6 (P4)" dataDxfId="611">
      <calculatedColumnFormula>BM17*$IF17</calculatedColumnFormula>
    </tableColumn>
    <tableColumn id="55" xr3:uid="{00000000-0010-0000-0100-000037000000}" name="Úroveň 7 (P4)" dataDxfId="610">
      <calculatedColumnFormula>BN17*$IF17</calculatedColumnFormula>
    </tableColumn>
    <tableColumn id="59" xr3:uid="{00000000-0010-0000-0100-00003B000000}" name="Úroveň 8 (P4)" dataDxfId="609">
      <calculatedColumnFormula>BO17*$IF17</calculatedColumnFormula>
    </tableColumn>
    <tableColumn id="61" xr3:uid="{00000000-0010-0000-0100-00003D000000}" name="Úroveň 9 (P4)" dataDxfId="608">
      <calculatedColumnFormula>BP17*$IF17</calculatedColumnFormula>
    </tableColumn>
    <tableColumn id="63" xr3:uid="{00000000-0010-0000-0100-00003F000000}" name="Úroveň 10 (P4)" dataDxfId="607">
      <calculatedColumnFormula>BQ17*$IF17</calculatedColumnFormula>
    </tableColumn>
    <tableColumn id="70" xr3:uid="{00000000-0010-0000-0100-000046000000}" name="Úroveň 1 (P5)" dataDxfId="606">
      <calculatedColumnFormula>SUMIFS(RZ[Úroveň 1 (P4)],RZ[0],AX17)</calculatedColumnFormula>
    </tableColumn>
    <tableColumn id="71" xr3:uid="{00000000-0010-0000-0100-000047000000}" name="Úroveň 2 (P5)" dataDxfId="605">
      <calculatedColumnFormula>SUMIFS(RZ[Úroveň 2 (P4)],RZ[0],AX17,RZ[Úroveň 2 (P0)],AY17)</calculatedColumnFormula>
    </tableColumn>
    <tableColumn id="72" xr3:uid="{00000000-0010-0000-0100-000048000000}" name="Úroveň 3 (P5)" dataDxfId="604">
      <calculatedColumnFormula>SUMIFS(RZ[Úroveň 3 (P4)],RZ[0],AX17,RZ[Úroveň 2 (P0)],AY17,RZ[Úroveň 3 (P0)],AZ17)</calculatedColumnFormula>
    </tableColumn>
    <tableColumn id="73" xr3:uid="{00000000-0010-0000-0100-000049000000}" name="Úroveň 4 (P5)" dataDxfId="603">
      <calculatedColumnFormula>SUMIFS(RZ[Úroveň 4 (P4)],RZ[0],AX17,RZ[Úroveň 2 (P0)],AY17,RZ[Úroveň 3 (P0)],AZ17,RZ[Úroveň 4 (P0)],BA17)</calculatedColumnFormula>
    </tableColumn>
    <tableColumn id="222" xr3:uid="{00000000-0010-0000-0100-0000DE000000}" name="Úroveň 5 (P5)" dataDxfId="602">
      <calculatedColumnFormula>SUMIFS(RZ[Úroveň 5 (P4)],RZ[0],AX17,RZ[Úroveň 2 (P0)],AY17,RZ[Úroveň 3 (P0)],AZ17,RZ[Úroveň 4 (P0)],BA17,RZ[Úroveň 5 (P0)],BB17)</calculatedColumnFormula>
    </tableColumn>
    <tableColumn id="223" xr3:uid="{00000000-0010-0000-0100-0000DF000000}" name="Úroveň 6 (P5)" dataDxfId="601">
      <calculatedColumnFormula>SUMIFS(RZ[Úroveň 6 (P4)],RZ[0],AX17,RZ[Úroveň 2 (P0)],AY17,RZ[Úroveň 3 (P0)],AZ17,RZ[Úroveň 4 (P0)],BA17,RZ[Úroveň 5 (P0)],BB17,RZ[Úroveň 6 (P0)],BC17)</calculatedColumnFormula>
    </tableColumn>
    <tableColumn id="224" xr3:uid="{00000000-0010-0000-0100-0000E0000000}" name="Úroveň 7 (P5)" dataDxfId="600">
      <calculatedColumnFormula>SUMIFS(RZ[Úroveň 7 (P4)],RZ[0],AX17,RZ[Úroveň 2 (P0)],AY17,RZ[Úroveň 3 (P0)],AZ17,RZ[Úroveň 4 (P0)],BA17,RZ[Úroveň 5 (P0)],BB17,RZ[Úroveň 6 (P0)],BC17,RZ[Úroveň 7 (P0)],BD17)</calculatedColumnFormula>
    </tableColumn>
    <tableColumn id="225" xr3:uid="{00000000-0010-0000-0100-0000E1000000}" name="Úroveň 8 (P5)" dataDxfId="599">
      <calculatedColumnFormula>SUMIFS(RZ[Úroveň 8 (P4)],RZ[0],AX17,RZ[Úroveň 2 (P0)],AY17,RZ[Úroveň 3 (P0)],AZ17,RZ[Úroveň 4 (P0)],BA17,RZ[Úroveň 5 (P0)],BB17,RZ[Úroveň 6 (P0)],BC17,RZ[Úroveň 7 (P0)],BD17,RZ[Úroveň 8 (P0)],BE17)</calculatedColumnFormula>
    </tableColumn>
    <tableColumn id="226" xr3:uid="{00000000-0010-0000-0100-0000E2000000}" name="Úroveň 9 (P5)" dataDxfId="598">
      <calculatedColumnFormula>SUMIFS(RZ[Úroveň 9 (P4)],RZ[0],AX17,RZ[Úroveň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27" xr3:uid="{00000000-0010-0000-0100-0000E3000000}" name="Úroveň 10 (P5)" dataDxfId="597">
      <calculatedColumnFormula>SUMIFS(RZ[Úroveň 10 (P4)],RZ[0],AX17,RZ[Úroveň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74" xr3:uid="{00000000-0010-0000-0100-00004A000000}" name="Počet MJHR v rozpadu (P0)" dataDxfId="596">
      <calculatedColumnFormula>IF(DP17&lt;&gt;0,DP17,1)*IF(DQ17&lt;&gt;0,DQ17,1)*IF(DR17&lt;&gt;0,DR17,1)*IF(DS17&lt;&gt;0,DS17,1)*IF(DT17&lt;&gt;0,DT17,1)*IF(DU17&lt;&gt;0,DU17,1)*IF(DV17&lt;&gt;0,DV17,1)*IF(DW17&lt;&gt;0,DW17,1)*IF(DX17&lt;&gt;0,DX17,1)*IF(DY17&lt;&gt;0,DY17,1)</calculatedColumnFormula>
    </tableColumn>
    <tableColumn id="83" xr3:uid="{00000000-0010-0000-0100-000053000000}" name="Celková hmotnost bez koef. [kg] (P0)" dataDxfId="595">
      <calculatedColumnFormula>RZ[[#This Row],[Jednotková hmotnost bez koef. '[kg/MJHR'] (P0)]]*RZ[[#This Row],[Počet MJHR v rozpadu (P0)]]</calculatedColumnFormula>
    </tableColumn>
    <tableColumn id="58" xr3:uid="{00000000-0010-0000-0100-00003A000000}" name="Úroveň 1 s koef. (P3)" dataDxfId="594">
      <calculatedColumnFormula>IF(OFFSET(AY17,1,0,1,1)&lt;&gt;0,RZ[[#This Row],[Koeficient odhadu CR '[-'] (P1)]]*$BH17*SUMIFS(RZ[Úroveň 2 s koef. (P3)],RZ[0],AX17),RZ[[#This Row],[Koeficient odhadu CR '[-'] (P1)]]*$BH17*$IQ17)</calculatedColumnFormula>
    </tableColumn>
    <tableColumn id="292" xr3:uid="{00000000-0010-0000-0100-000024010000}" name="Úroveň 1 bez koef. (P3)" dataDxfId="593">
      <calculatedColumnFormula>IF(OFFSET(AY17,1,0,1,1)&lt;&gt;0,$BH17*SUMIFS(RZ[Úroveň 2 bez koef. (P3)],RZ[0],AX17),$BH17*$IQ17)</calculatedColumnFormula>
    </tableColumn>
    <tableColumn id="231" xr3:uid="{00000000-0010-0000-0100-0000E7000000}" name="Úroveň 2 s koef. (P3)" dataDxfId="592">
      <calculatedColumnFormula>RZ[[#This Row],[Úroveň 2 s koef. (P3a)]]*RZ[[#This Row],[Počet MJCR (P0) pro "kg"]]</calculatedColumnFormula>
    </tableColumn>
    <tableColumn id="293" xr3:uid="{00000000-0010-0000-0100-000025010000}" name="Úroveň 2 bez koef. (P3)" dataDxfId="591">
      <calculatedColumnFormula>RZ[Úroveň 2 bez koef. (P3a)]*RZ[[#This Row],[Počet MJCR (P0) pro "kg"]]</calculatedColumnFormula>
    </tableColumn>
    <tableColumn id="60" xr3:uid="{00000000-0010-0000-0100-00003C000000}" name="Úroveň 2 s koef. (P3a)" dataDxfId="590">
      <calculatedColumnFormula>IF(OFFSET(AZ17,1,0,1,1)&lt;&gt;0,RZ[[#This Row],[Koeficient odhadu CR '[-'] (P1)]]*$BI17*SUMIFS(RZ[Úroveň 3 s koef. (P3)],RZ[0],AX17,RZ[Úroveň 2 (P0)],AY17),RZ[[#This Row],[Koeficient odhadu CR '[-'] (P1)]]*$BI17*$IQ17)</calculatedColumnFormula>
    </tableColumn>
    <tableColumn id="294" xr3:uid="{00000000-0010-0000-0100-000026010000}" name="Úroveň 2 bez koef. (P3a)" dataDxfId="589">
      <calculatedColumnFormula>IF(OFFSET(AZ17,1,0,1,1)&lt;&gt;0,$BI17*SUMIFS(RZ[Úroveň 3 bez koef. (P3)],RZ[0],AX17,RZ[Úroveň 2 (P0)],AY17),$BI17*$IQ17)</calculatedColumnFormula>
    </tableColumn>
    <tableColumn id="232" xr3:uid="{00000000-0010-0000-0100-0000E8000000}" name="Úroveň 3 s koef. (P3)" dataDxfId="588">
      <calculatedColumnFormula>RZ[[#This Row],[Úroveň 3 s koef. (P3a)]]*RZ[[#This Row],[Počet MJCR (P0) pro "kg"]]</calculatedColumnFormula>
    </tableColumn>
    <tableColumn id="295" xr3:uid="{00000000-0010-0000-0100-000027010000}" name="Úroveň 3 bez koef. (P3)" dataDxfId="587">
      <calculatedColumnFormula>RZ[Úroveň 3 bez koef. (P3a)]*RZ[[#This Row],[Počet MJCR (P0) pro "kg"]]</calculatedColumnFormula>
    </tableColumn>
    <tableColumn id="62" xr3:uid="{00000000-0010-0000-0100-00003E000000}" name="Úroveň 3 s koef. (P3a)" dataDxfId="586">
      <calculatedColumnFormula>IF(OFFSET(BA17,1,0,1,1)&lt;&gt;0,RZ[[#This Row],[Koeficient odhadu CR '[-'] (P1)]]*$BJ17*SUMIFS(RZ[Úroveň 4 s koef. (P3)],RZ[0],AX17,RZ[Úroveň 2 (P0)],AY17,RZ[Úroveň 3 (P0)],AZ17),RZ[[#This Row],[Koeficient odhadu CR '[-'] (P1)]]*$BJ17*$IQ17)</calculatedColumnFormula>
    </tableColumn>
    <tableColumn id="296" xr3:uid="{00000000-0010-0000-0100-000028010000}" name="Úroveň 3 bez koef. (P3a)" dataDxfId="585">
      <calculatedColumnFormula>IF(OFFSET(BA17,1,0,1,1)&lt;&gt;0,$BJ17*SUMIFS(RZ[Úroveň 4 bez koef. (P3)],RZ[0],AX17,RZ[Úroveň 2 (P0)],AY17,RZ[Úroveň 3 (P0)],AZ17),$BJ17*$IQ17)</calculatedColumnFormula>
    </tableColumn>
    <tableColumn id="233" xr3:uid="{00000000-0010-0000-0100-0000E9000000}" name="Úroveň 4 s koef. (P3)" dataDxfId="584">
      <calculatedColumnFormula>RZ[[#This Row],[Úroveň 4 s koef. (P3a)]]*RZ[[#This Row],[Počet MJCR (P0) pro "kg"]]</calculatedColumnFormula>
    </tableColumn>
    <tableColumn id="297" xr3:uid="{00000000-0010-0000-0100-000029010000}" name="Úroveň 4 bez koef. (P3)" dataDxfId="583">
      <calculatedColumnFormula>RZ[Úroveň 4 bez koef. (P3a)]*RZ[[#This Row],[Počet MJCR (P0) pro "kg"]]</calculatedColumnFormula>
    </tableColumn>
    <tableColumn id="64" xr3:uid="{00000000-0010-0000-0100-000040000000}" name="Úroveň 4 s koef. (P3a)" dataDxfId="582">
      <calculatedColumnFormula>IF(OFFSET(BB17,1,0,1,1)&lt;&gt;0,RZ[[#This Row],[Koeficient odhadu CR '[-'] (P1)]]*$BK17*SUMIFS(RZ[Úroveň 5 s koef. (P3)],RZ[0],AX17,RZ[Úroveň 2 (P0)],AY17,RZ[Úroveň 3 (P0)],AZ17,RZ[Úroveň 4 (P0)],BA17),RZ[[#This Row],[Koeficient odhadu CR '[-'] (P1)]]*$BK17*$IQ17)</calculatedColumnFormula>
    </tableColumn>
    <tableColumn id="298" xr3:uid="{00000000-0010-0000-0100-00002A010000}" name="Úroveň 4 bez koef. (P3a)" dataDxfId="581">
      <calculatedColumnFormula>IF(OFFSET(BB17,1,0,1,1)&lt;&gt;0,$BK17*SUMIFS(RZ[Úroveň 5 bez koef. (P3)],RZ[0],AX17,RZ[Úroveň 2 (P0)],AY17,RZ[Úroveň 3 (P0)],AZ17,RZ[Úroveň 4 (P0)],BA17),$BK17*$IQ17)</calculatedColumnFormula>
    </tableColumn>
    <tableColumn id="234" xr3:uid="{00000000-0010-0000-0100-0000EA000000}" name="Úroveň 5 s koef. (P3)" dataDxfId="580">
      <calculatedColumnFormula>RZ[[#This Row],[Úroveň 5 s koef. (P3a)]]*RZ[[#This Row],[Počet MJCR (P0) pro "kg"]]</calculatedColumnFormula>
    </tableColumn>
    <tableColumn id="299" xr3:uid="{00000000-0010-0000-0100-00002B010000}" name="Úroveň 5 bez koef. (P3)" dataDxfId="579">
      <calculatedColumnFormula>RZ[Úroveň 5 bez koef. (P3a)]*RZ[[#This Row],[Počet MJCR (P0) pro "kg"]]</calculatedColumnFormula>
    </tableColumn>
    <tableColumn id="216" xr3:uid="{00000000-0010-0000-0100-0000D8000000}" name="Úroveň 5 s koef. (P3a)" dataDxfId="578">
      <calculatedColumnFormula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calculatedColumnFormula>
    </tableColumn>
    <tableColumn id="300" xr3:uid="{00000000-0010-0000-0100-00002C010000}" name="Úroveň 5 bez koef. (P3a)" dataDxfId="577">
      <calculatedColumnFormula>IF(OFFSET(BC17,1,0,1,1)&lt;&gt;0,$BL17*SUMIFS(RZ[Úroveň 6 bez koef. (P3)],RZ[0],AX17,RZ[Úroveň 2 (P0)],AY17,RZ[Úroveň 3 (P0)],AZ17,RZ[Úroveň 4 (P0)],BA17,RZ[Úroveň 5 (P0)],BB17),$BL17*$IQ17)</calculatedColumnFormula>
    </tableColumn>
    <tableColumn id="235" xr3:uid="{00000000-0010-0000-0100-0000EB000000}" name="Úroveň 6 s koef. (P3)" dataDxfId="576">
      <calculatedColumnFormula>RZ[[#This Row],[Úroveň 6 s koef. (P3a)]]*RZ[[#This Row],[Počet MJCR (P0) pro "kg"]]</calculatedColumnFormula>
    </tableColumn>
    <tableColumn id="301" xr3:uid="{00000000-0010-0000-0100-00002D010000}" name="Úroveň 6 bez koef. (P3)" dataDxfId="575">
      <calculatedColumnFormula>RZ[Úroveň 6 bez koef. (P3a)]*RZ[[#This Row],[Počet MJCR (P0) pro "kg"]]</calculatedColumnFormula>
    </tableColumn>
    <tableColumn id="217" xr3:uid="{00000000-0010-0000-0100-0000D9000000}" name="Úroveň 6 s koef. (P3a)" dataDxfId="574">
      <calculatedColumnFormula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calculatedColumnFormula>
    </tableColumn>
    <tableColumn id="302" xr3:uid="{00000000-0010-0000-0100-00002E010000}" name="Úroveň 6 bez koef. (P3a)" dataDxfId="573">
      <calculatedColumnFormula>IF(OFFSET(BD17,1,0,1,1)&lt;&gt;0,$BM17*SUMIFS(RZ[Úroveň 7 bez koef. (P3)],RZ[0],AX17,RZ[Úroveň 2 (P0)],AY17,RZ[Úroveň 3 (P0)],AZ17,RZ[Úroveň 4 (P0)],BA17,RZ[Úroveň 5 (P0)],BB17,RZ[Úroveň 6 (P0)],BC17),$BM17*$IQ17)</calculatedColumnFormula>
    </tableColumn>
    <tableColumn id="236" xr3:uid="{00000000-0010-0000-0100-0000EC000000}" name="Úroveň 7 s koef. (P3)" dataDxfId="572">
      <calculatedColumnFormula>RZ[[#This Row],[Úroveň 7 s koef. (P3a)]]*RZ[[#This Row],[Počet MJCR (P0) pro "kg"]]</calculatedColumnFormula>
    </tableColumn>
    <tableColumn id="303" xr3:uid="{00000000-0010-0000-0100-00002F010000}" name="Úroveň 7 bez koef. (P3)" dataDxfId="571">
      <calculatedColumnFormula>RZ[Úroveň 7 bez koef. (P3a)]*RZ[[#This Row],[Počet MJCR (P0) pro "kg"]]</calculatedColumnFormula>
    </tableColumn>
    <tableColumn id="218" xr3:uid="{00000000-0010-0000-0100-0000DA000000}" name="Úroveň 7 s koef. (P3a)" dataDxfId="570">
      <calculatedColumnFormula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calculatedColumnFormula>
    </tableColumn>
    <tableColumn id="304" xr3:uid="{00000000-0010-0000-0100-000030010000}" name="Úroveň 7 bez koef. (P3a)" dataDxfId="569">
      <calculatedColumnFormula>IF(OFFSET(BE17,1,0,1,1)&lt;&gt;0,$BN17*SUMIFS(RZ[Úroveň 8 bez koef. (P3)],RZ[0],AX17,RZ[Úroveň 2 (P0)],AY17,RZ[Úroveň 3 (P0)],AZ17,RZ[Úroveň 4 (P0)],BA17,RZ[Úroveň 5 (P0)],BB17,RZ[Úroveň 6 (P0)],BC17,RZ[Úroveň 7 (P0)],BD17),$BN17*$IQ17)</calculatedColumnFormula>
    </tableColumn>
    <tableColumn id="237" xr3:uid="{00000000-0010-0000-0100-0000ED000000}" name="Úroveň 8 s koef. (P3)" dataDxfId="568">
      <calculatedColumnFormula>RZ[[#This Row],[Úroveň 8 s koef. (P3a)]]*RZ[[#This Row],[Počet MJCR (P0) pro "kg"]]</calculatedColumnFormula>
    </tableColumn>
    <tableColumn id="305" xr3:uid="{00000000-0010-0000-0100-000031010000}" name="Úroveň 8 bez koef. (P3)" dataDxfId="567">
      <calculatedColumnFormula>RZ[Úroveň 8 bez koef. (P3a)]*RZ[[#This Row],[Počet MJCR (P0) pro "kg"]]</calculatedColumnFormula>
    </tableColumn>
    <tableColumn id="219" xr3:uid="{00000000-0010-0000-0100-0000DB000000}" name="Úroveň 8 s koef. (P3a)" dataDxfId="566">
      <calculatedColumnFormula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calculatedColumnFormula>
    </tableColumn>
    <tableColumn id="306" xr3:uid="{00000000-0010-0000-0100-000032010000}" name="Úroveň 8 bez koef. (P3a)" dataDxfId="565">
      <calculatedColumnFormula>IF(OFFSET(BF17,1,0,1,1)&lt;&gt;0,$BO17*SUMIFS(RZ[Úroveň 9 bez koef. (P3)],RZ[0],AX17,RZ[Úroveň 2 (P0)],AY17,RZ[Úroveň 3 (P0)],AZ17,RZ[Úroveň 4 (P0)],BA17,RZ[Úroveň 5 (P0)],BB17,RZ[Úroveň 6 (P0)],BC17,RZ[Úroveň 7 (P0)],BD17,RZ[Úroveň 8 (P0)],BE17),$BO17*$IQ17)</calculatedColumnFormula>
    </tableColumn>
    <tableColumn id="238" xr3:uid="{00000000-0010-0000-0100-0000EE000000}" name="Úroveň 9 s koef. (P3)" dataDxfId="564">
      <calculatedColumnFormula>RZ[[#This Row],[Úroveň 9 s koef. (P3a)]]*RZ[[#This Row],[Počet MJCR (P0) pro "kg"]]</calculatedColumnFormula>
    </tableColumn>
    <tableColumn id="320" xr3:uid="{00000000-0010-0000-0100-000040010000}" name="Úroveň 9 bez koef. (P3)" dataDxfId="563">
      <calculatedColumnFormula>RZ[Úroveň 9 bez koef. (P3a)]*RZ[[#This Row],[Počet MJCR (P0) pro "kg"]]</calculatedColumnFormula>
    </tableColumn>
    <tableColumn id="220" xr3:uid="{00000000-0010-0000-0100-0000DC000000}" name="Úroveň 9 s koef. (P3a)" dataDxfId="562">
      <calculatedColumnFormula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calculatedColumnFormula>
    </tableColumn>
    <tableColumn id="321" xr3:uid="{00000000-0010-0000-0100-000041010000}" name="Úroveň 9 bez koef. (P3a)" dataDxfId="561">
      <calculatedColumnFormula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calculatedColumnFormula>
    </tableColumn>
    <tableColumn id="239" xr3:uid="{00000000-0010-0000-0100-0000EF000000}" name="Úroveň 10 s koef. (P3)" dataDxfId="560">
      <calculatedColumnFormula>RZ[[#This Row],[Úroveň 10 s koef. (P3a)]]*RZ[[#This Row],[Počet MJCR (P0) pro "kg"]]</calculatedColumnFormula>
    </tableColumn>
    <tableColumn id="322" xr3:uid="{00000000-0010-0000-0100-000042010000}" name="Úroveň 10 bez koef. (P3)" dataDxfId="559">
      <calculatedColumnFormula>RZ[Úroveň 10 bez koef. (P3a)]*RZ[[#This Row],[Počet MJCR (P0) pro "kg"]]</calculatedColumnFormula>
    </tableColumn>
    <tableColumn id="221" xr3:uid="{00000000-0010-0000-0100-0000DD000000}" name="Úroveň 10 s koef. (P3a)" dataDxfId="558">
      <calculatedColumnFormula>RZ[[#This Row],[Koeficient odhadu CR '[-'] (P1)]]*$BQ17*IQ17</calculatedColumnFormula>
    </tableColumn>
    <tableColumn id="323" xr3:uid="{00000000-0010-0000-0100-000043010000}" name="Úroveň 10 bez koef. (P3a)" dataDxfId="557">
      <calculatedColumnFormula>$BQ17*IQ17</calculatedColumnFormula>
    </tableColumn>
    <tableColumn id="65" xr3:uid="{00000000-0010-0000-0100-000041000000}" name="Jednotková cena bez DPH [cena/MJCR] s koef. (P0)" dataDxfId="556">
      <calculatedColumnFormula>IF(BH17=1,EB17,IF(BI17=1,EF17,IF(BJ17=1,EJ17,IF(BK17=1,EN17,IF(BL17=1,ER17,IF(BM17=1,EV17,IF(BN17=1,EZ17,IF(BO17=1,FD17,IF(BP17=1,FH17,FL17)))))))))</calculatedColumnFormula>
    </tableColumn>
    <tableColumn id="324" xr3:uid="{00000000-0010-0000-0100-000044010000}" name="Jednotková cena bez DPH [cena/MJCR] bez koef. (P0)" dataDxfId="555">
      <calculatedColumnFormula>IF(BH17=1,EC17,IF(BI17=1,EG17,IF(BJ17=1,EK17,IF(BK17=1,EO17,IF(BL17=1,ES17,IF(BM17=1,EW17,IF(BN17=1,FA17,IF(BO17=1,FE17,IF(BP17=1,FI17,FM17)))))))))</calculatedColumnFormula>
    </tableColumn>
    <tableColumn id="23" xr3:uid="{00000000-0010-0000-0100-000017000000}" name="Úroveň 1 (P6)" dataDxfId="554">
      <calculatedColumnFormula>BH17*$IK17</calculatedColumnFormula>
    </tableColumn>
    <tableColumn id="77" xr3:uid="{00000000-0010-0000-0100-00004D000000}" name="Úroveň 2 (P6)" dataDxfId="553">
      <calculatedColumnFormula>BI17*$IK17</calculatedColumnFormula>
    </tableColumn>
    <tableColumn id="87" xr3:uid="{00000000-0010-0000-0100-000057000000}" name="Úroveň 3 (P6)" dataDxfId="552">
      <calculatedColumnFormula>BJ17*$IK17</calculatedColumnFormula>
    </tableColumn>
    <tableColumn id="89" xr3:uid="{00000000-0010-0000-0100-000059000000}" name="Úroveň 4 (P6)" dataDxfId="551">
      <calculatedColumnFormula>BK17*$IK17</calculatedColumnFormula>
    </tableColumn>
    <tableColumn id="90" xr3:uid="{00000000-0010-0000-0100-00005A000000}" name="Úroveň 5 (P6)" dataDxfId="550">
      <calculatedColumnFormula>BL17*$IK17</calculatedColumnFormula>
    </tableColumn>
    <tableColumn id="91" xr3:uid="{00000000-0010-0000-0100-00005B000000}" name="Úroveň 6 (P6)" dataDxfId="549">
      <calculatedColumnFormula>BM17*$IK17</calculatedColumnFormula>
    </tableColumn>
    <tableColumn id="107" xr3:uid="{00000000-0010-0000-0100-00006B000000}" name="Úroveň 7 (P6)" dataDxfId="548">
      <calculatedColumnFormula>BN17*$IK17</calculatedColumnFormula>
    </tableColumn>
    <tableColumn id="108" xr3:uid="{00000000-0010-0000-0100-00006C000000}" name="Úroveň 8 (P6)" dataDxfId="547">
      <calculatedColumnFormula>BO17*$IK17</calculatedColumnFormula>
    </tableColumn>
    <tableColumn id="115" xr3:uid="{00000000-0010-0000-0100-000073000000}" name="Úroveň 9 (P6)" dataDxfId="546">
      <calculatedColumnFormula>BP17*$IK17</calculatedColumnFormula>
    </tableColumn>
    <tableColumn id="125" xr3:uid="{00000000-0010-0000-0100-00007D000000}" name="Úroveň 10 (P6)" dataDxfId="545">
      <calculatedColumnFormula>BQ17*$IK17</calculatedColumnFormula>
    </tableColumn>
    <tableColumn id="137" xr3:uid="{00000000-0010-0000-0100-000089000000}" name="Úroveň 1 (P7)" dataDxfId="544">
      <calculatedColumnFormula>SUMIFS(RZ[Úroveň 1 (P6)],RZ[0],AX17)</calculatedColumnFormula>
    </tableColumn>
    <tableColumn id="149" xr3:uid="{00000000-0010-0000-0100-000095000000}" name="Úroveň 2 (P7)" dataDxfId="543">
      <calculatedColumnFormula>SUMIFS(RZ[Úroveň 2 (P6)],RZ[0],AX17,RZ[Úroveň 2 (P0)],AY17)</calculatedColumnFormula>
    </tableColumn>
    <tableColumn id="161" xr3:uid="{00000000-0010-0000-0100-0000A1000000}" name="Úroveň 3 (P7)" dataDxfId="542">
      <calculatedColumnFormula>SUMIFS(RZ[Úroveň 3 (P6)],RZ[0],AX17,RZ[Úroveň 2 (P0)],AY17,RZ[Úroveň 3 (P0)],AZ17)</calculatedColumnFormula>
    </tableColumn>
    <tableColumn id="242" xr3:uid="{00000000-0010-0000-0100-0000F2000000}" name="Úroveň 4 (P7)" dataDxfId="541">
      <calculatedColumnFormula>SUMIFS(RZ[Úroveň 4 (P6)],RZ[0],AX17,RZ[Úroveň 2 (P0)],AY17,RZ[Úroveň 3 (P0)],AZ17,RZ[Úroveň 4 (P0)],BA17)</calculatedColumnFormula>
    </tableColumn>
    <tableColumn id="279" xr3:uid="{00000000-0010-0000-0100-000017010000}" name="Úroveň 5 (P7)" dataDxfId="540">
      <calculatedColumnFormula>SUMIFS(RZ[Úroveň 5 (P6)],RZ[0],AX17,RZ[Úroveň 2 (P0)],AY17,RZ[Úroveň 3 (P0)],AZ17,RZ[Úroveň 4 (P0)],BA17,RZ[Úroveň 5 (P0)],BB17)</calculatedColumnFormula>
    </tableColumn>
    <tableColumn id="282" xr3:uid="{00000000-0010-0000-0100-00001A010000}" name="Úroveň 6 (P7)" dataDxfId="539">
      <calculatedColumnFormula>SUMIFS(RZ[Úroveň 6 (P6)],RZ[0],AX17,RZ[Úroveň 2 (P0)],AY17,RZ[Úroveň 3 (P0)],AZ17,RZ[Úroveň 4 (P0)],BA17,RZ[Úroveň 5 (P0)],BB17,RZ[Úroveň 6 (P0)],BC17)</calculatedColumnFormula>
    </tableColumn>
    <tableColumn id="283" xr3:uid="{00000000-0010-0000-0100-00001B010000}" name="Úroveň 7 (P7)" dataDxfId="538">
      <calculatedColumnFormula>SUMIFS(RZ[Úroveň 7 (P6)],RZ[0],AX17,RZ[Úroveň 2 (P0)],AY17,RZ[Úroveň 3 (P0)],AZ17,RZ[Úroveň 4 (P0)],BA17,RZ[Úroveň 5 (P0)],BB17,RZ[Úroveň 6 (P0)],BC17,RZ[Úroveň 7 (P0)],BD17)</calculatedColumnFormula>
    </tableColumn>
    <tableColumn id="284" xr3:uid="{00000000-0010-0000-0100-00001C010000}" name="Úroveň 8 (P7)" dataDxfId="537">
      <calculatedColumnFormula>SUMIFS(RZ[Úroveň 8 (P6)],RZ[0],AX17,RZ[Úroveň 2 (P0)],AY17,RZ[Úroveň 3 (P0)],AZ17,RZ[Úroveň 4 (P0)],BA17,RZ[Úroveň 5 (P0)],BB17,RZ[Úroveň 6 (P0)],BC17,RZ[Úroveň 7 (P0)],BD17,RZ[Úroveň 8 (P0)],BE17)</calculatedColumnFormula>
    </tableColumn>
    <tableColumn id="285" xr3:uid="{00000000-0010-0000-0100-00001D010000}" name="Úroveň 9 (P7)" dataDxfId="536">
      <calculatedColumnFormula>SUMIFS(RZ[Úroveň 9 (P6)],RZ[0],AX17,RZ[Úroveň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86" xr3:uid="{00000000-0010-0000-0100-00001E010000}" name="Úroveň 10 (P7)" dataDxfId="535">
      <calculatedColumnFormula>SUMIFS(RZ[Úroveň 10 (P6)],RZ[0],AX17,RZ[Úroveň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287" xr3:uid="{00000000-0010-0000-0100-00001F010000}" name="Počet MJCR v rozpadu (P0)" dataDxfId="534">
      <calculatedColumnFormula>IF(FZ17&lt;&gt;0,FZ17,1)*IF(GA17&lt;&gt;0,GA17,1)*IF(GB17&lt;&gt;0,GB17,1)*IF(GC17&lt;&gt;0,GC17,1)*IF(GD17&lt;&gt;0,GD17,1)*IF(GE17&lt;&gt;0,GE17,1)*IF(GF17&lt;&gt;0,GF17,1)*IF(GG17&lt;&gt;0,GG17,1)*IF(GH17&lt;&gt;0,GH17,1)*IF(GI17&lt;&gt;0,GI17,1)</calculatedColumnFormula>
    </tableColumn>
    <tableColumn id="337" xr3:uid="{00000000-0010-0000-0100-000051010000}" name="Sloupec1" dataDxfId="533">
      <calculatedColumnFormula>BH17*$IO17</calculatedColumnFormula>
    </tableColumn>
    <tableColumn id="338" xr3:uid="{00000000-0010-0000-0100-000052010000}" name="Sloupec2" dataDxfId="532">
      <calculatedColumnFormula>BI17*$IO17</calculatedColumnFormula>
    </tableColumn>
    <tableColumn id="339" xr3:uid="{00000000-0010-0000-0100-000053010000}" name="Sloupec3" dataDxfId="531">
      <calculatedColumnFormula>BJ17*$IO17</calculatedColumnFormula>
    </tableColumn>
    <tableColumn id="341" xr3:uid="{00000000-0010-0000-0100-000055010000}" name="Sloupec4" dataDxfId="530">
      <calculatedColumnFormula>BK17*$IO17</calculatedColumnFormula>
    </tableColumn>
    <tableColumn id="342" xr3:uid="{00000000-0010-0000-0100-000056010000}" name="Sloupec5" dataDxfId="529">
      <calculatedColumnFormula>BL17*$IO17</calculatedColumnFormula>
    </tableColumn>
    <tableColumn id="343" xr3:uid="{00000000-0010-0000-0100-000057010000}" name="Sloupec6" dataDxfId="528">
      <calculatedColumnFormula>BM17*$IO17</calculatedColumnFormula>
    </tableColumn>
    <tableColumn id="350" xr3:uid="{00000000-0010-0000-0100-00005E010000}" name="Sloupec62" dataDxfId="527">
      <calculatedColumnFormula>BN17*$IO17</calculatedColumnFormula>
    </tableColumn>
    <tableColumn id="352" xr3:uid="{00000000-0010-0000-0100-000060010000}" name="Sloupec63" dataDxfId="526">
      <calculatedColumnFormula>BO17*$IO17</calculatedColumnFormula>
    </tableColumn>
    <tableColumn id="353" xr3:uid="{00000000-0010-0000-0100-000061010000}" name="Sloupec64" dataDxfId="525">
      <calculatedColumnFormula>BP17*$IO17</calculatedColumnFormula>
    </tableColumn>
    <tableColumn id="354" xr3:uid="{00000000-0010-0000-0100-000062010000}" name="Sloupec65" dataDxfId="524">
      <calculatedColumnFormula>BQ17*$IO17</calculatedColumnFormula>
    </tableColumn>
    <tableColumn id="355" xr3:uid="{00000000-0010-0000-0100-000063010000}" name="Sloupec66" dataDxfId="523">
      <calculatedColumnFormula>SUMIFS(RZ[Sloupec1],RZ[0],AX17)</calculatedColumnFormula>
    </tableColumn>
    <tableColumn id="356" xr3:uid="{00000000-0010-0000-0100-000064010000}" name="Sloupec67" dataDxfId="522">
      <calculatedColumnFormula>SUMIFS(RZ[Sloupec2],RZ[0],AX17,RZ[Úroveň 2 (P0)],AY17)</calculatedColumnFormula>
    </tableColumn>
    <tableColumn id="357" xr3:uid="{00000000-0010-0000-0100-000065010000}" name="Sloupec68" dataDxfId="521">
      <calculatedColumnFormula>SUMIFS(RZ[Sloupec3],RZ[0],AX17,RZ[Úroveň 2 (P0)],AY17,RZ[Úroveň 3 (P0)],AZ17)</calculatedColumnFormula>
    </tableColumn>
    <tableColumn id="358" xr3:uid="{00000000-0010-0000-0100-000066010000}" name="Sloupec69" dataDxfId="520">
      <calculatedColumnFormula>SUMIFS(RZ[Sloupec4],RZ[0],AX17,RZ[Úroveň 2 (P0)],AY17,RZ[Úroveň 3 (P0)],AZ17,RZ[Úroveň 4 (P0)],BA17)</calculatedColumnFormula>
    </tableColumn>
    <tableColumn id="359" xr3:uid="{00000000-0010-0000-0100-000067010000}" name="Sloupec70" dataDxfId="519">
      <calculatedColumnFormula>SUMIFS(RZ[Sloupec5],RZ[0],AX17,RZ[Úroveň 2 (P0)],AY17,RZ[Úroveň 3 (P0)],AZ17,RZ[Úroveň 4 (P0)],BA17,RZ[Úroveň 5 (P0)],BB17)</calculatedColumnFormula>
    </tableColumn>
    <tableColumn id="360" xr3:uid="{00000000-0010-0000-0100-000068010000}" name="Sloupec71" dataDxfId="518">
      <calculatedColumnFormula>SUMIFS(RZ[Sloupec6],RZ[0],AX17,RZ[Úroveň 2 (P0)],AY17,RZ[Úroveň 3 (P0)],AZ17,RZ[Úroveň 4 (P0)],BA17,RZ[Úroveň 5 (P0)],BB17,RZ[Úroveň 6 (P0)],BC17)</calculatedColumnFormula>
    </tableColumn>
    <tableColumn id="361" xr3:uid="{00000000-0010-0000-0100-000069010000}" name="Sloupec72" dataDxfId="517">
      <calculatedColumnFormula>SUMIFS(RZ[Sloupec62],RZ[0],AX17,RZ[Úroveň 2 (P0)],AY17,RZ[Úroveň 3 (P0)],AZ17,RZ[Úroveň 4 (P0)],BA17,RZ[Úroveň 5 (P0)],BB17,RZ[Úroveň 6 (P0)],BC17,RZ[Úroveň 7 (P0)],BD17)</calculatedColumnFormula>
    </tableColumn>
    <tableColumn id="362" xr3:uid="{00000000-0010-0000-0100-00006A010000}" name="Sloupec73" dataDxfId="516">
      <calculatedColumnFormula>SUMIFS(RZ[Sloupec63],RZ[0],AX17,RZ[Úroveň 2 (P0)],AY17,RZ[Úroveň 3 (P0)],AZ17,RZ[Úroveň 4 (P0)],BA17,RZ[Úroveň 5 (P0)],BB17,RZ[Úroveň 6 (P0)],BC17,RZ[Úroveň 7 (P0)],BD17,RZ[Úroveň 8 (P0)],BE17)</calculatedColumnFormula>
    </tableColumn>
    <tableColumn id="363" xr3:uid="{00000000-0010-0000-0100-00006B010000}" name="Sloupec74" dataDxfId="515">
      <calculatedColumnFormula>SUMIFS(RZ[Sloupec64],RZ[0],AX17,RZ[Úroveň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364" xr3:uid="{00000000-0010-0000-0100-00006C010000}" name="Sloupec75" dataDxfId="514">
      <calculatedColumnFormula>SUMIFS(RZ[Sloupec65],RZ[0],AX17,RZ[Úroveň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365" xr3:uid="{00000000-0010-0000-0100-00006D010000}" name="Kumulovaný koeficient v rozpadu (P0)" dataDxfId="513">
      <calculatedColumnFormula>IF(GU17&lt;&gt;0,GU17,1)*IF(GV17&lt;&gt;0,GV17,1)*IF(GW17&lt;&gt;0,GW17,1)*IF(GX17&lt;&gt;0,GX17,1)*IF(GY17&lt;&gt;0,GY17,1)*IF(GZ17&lt;&gt;0,GZ17,1)*IF(HA17&lt;&gt;0,HA17,1)*IF(HB17&lt;&gt;0,HB17,1)*IF(HC17&lt;&gt;0,HC17,1)*IF(HD17&lt;&gt;0,HD17,1)</calculatedColumnFormula>
    </tableColumn>
    <tableColumn id="325" xr3:uid="{00000000-0010-0000-0100-000045010000}" name="Et. / Skup.(P2)" dataDxfId="512">
      <calculatedColumnFormula>IF($IW17=$MJ$15,IF(MK17="","",MK17),IF(IY17="","",IY17))</calculatedColumnFormula>
    </tableColumn>
    <tableColumn id="326" xr3:uid="{00000000-0010-0000-0100-000046010000}" name="Úroveň 1 (P2)" dataDxfId="511">
      <calculatedColumnFormula>IF($IW17=$MJ$15,IF($MJ17=1,$MS17,""),IF(IZ17="","",IZ17))</calculatedColumnFormula>
    </tableColumn>
    <tableColumn id="327" xr3:uid="{00000000-0010-0000-0100-000047010000}" name="Úroveň 2 (P2)" dataDxfId="510">
      <calculatedColumnFormula>IF($IW17=$MJ$15,IF($MJ17=2,$MS17,""),IF(JA17="","",JA17))</calculatedColumnFormula>
    </tableColumn>
    <tableColumn id="328" xr3:uid="{00000000-0010-0000-0100-000048010000}" name="Úroveň 3 (P2)" dataDxfId="509">
      <calculatedColumnFormula>IF($IW17=$MJ$15,IF($MJ17=3,$MS17,""),IF(JB17="","",JB17))</calculatedColumnFormula>
    </tableColumn>
    <tableColumn id="329" xr3:uid="{00000000-0010-0000-0100-000049010000}" name="Úroveň 4 (P2)" dataDxfId="508">
      <calculatedColumnFormula>IF($IW17=$MJ$15,IF($MJ17=4,$MS17,""),IF(JC17="","",JC17))</calculatedColumnFormula>
    </tableColumn>
    <tableColumn id="330" xr3:uid="{00000000-0010-0000-0100-00004A010000}" name="Úroveň 5 (P2)" dataDxfId="507">
      <calculatedColumnFormula>IF($IW17=$MJ$15,IF($MJ17=5,$MS17,""),IF(JD17="","",JD17))</calculatedColumnFormula>
    </tableColumn>
    <tableColumn id="331" xr3:uid="{00000000-0010-0000-0100-00004B010000}" name="Úroveň 6 (P2)" dataDxfId="506">
      <calculatedColumnFormula>IF($IW17=$MJ$15,IF($MJ17=6,$MS17,""),IF(JE17="","",JE17))</calculatedColumnFormula>
    </tableColumn>
    <tableColumn id="332" xr3:uid="{00000000-0010-0000-0100-00004C010000}" name="Úroveň 7 (P2)" dataDxfId="505">
      <calculatedColumnFormula>IF($IW17=$MJ$15,IF($MJ17=7,$MS17,""),IF(JF17="","",JF17))</calculatedColumnFormula>
    </tableColumn>
    <tableColumn id="333" xr3:uid="{00000000-0010-0000-0100-00004D010000}" name="Úroveň 8 (V0)" dataDxfId="504">
      <calculatedColumnFormula>IF($IW17=$MJ$15,IF($MJ17=8,$MS17,""),IF(JG17="","",JG17))</calculatedColumnFormula>
    </tableColumn>
    <tableColumn id="344" xr3:uid="{00000000-0010-0000-0100-000058010000}" name="Úroveň 9 (P2)" dataDxfId="503">
      <calculatedColumnFormula>IF($IW17=$MJ$15,IF($MJ17=9,$MS17,""),IF(JH17="","",JH17))</calculatedColumnFormula>
    </tableColumn>
    <tableColumn id="345" xr3:uid="{00000000-0010-0000-0100-000059010000}" name="Úroveň 10 (P2)" dataDxfId="502">
      <calculatedColumnFormula>IF($IW17=$MJ$15,IF($MJ17=10,$MS17,""),IF(JI17="","",JI17))</calculatedColumnFormula>
    </tableColumn>
    <tableColumn id="346" xr3:uid="{00000000-0010-0000-0100-00005A010000}" name="Kód položek (P2)" dataDxfId="501">
      <calculatedColumnFormula>IF($IW17=$MJ$15,IF(ML17="","N/A",ML17),IF(JJ17="","N/A",JJ17))</calculatedColumnFormula>
    </tableColumn>
    <tableColumn id="347" xr3:uid="{00000000-0010-0000-0100-00005B010000}" name="Řešitel (P2)" dataDxfId="500">
      <calculatedColumnFormula>IF($IW17=$MJ$15,IF(MM17="","",MM17),IF(JK17="","",JK17))</calculatedColumnFormula>
    </tableColumn>
    <tableColumn id="84" xr3:uid="{00000000-0010-0000-0100-000054000000}" name="Výrobce / Dodavatel (P0)" dataDxfId="499">
      <calculatedColumnFormula>IF($IW17=$JL$15,JL17,IF($IW17=$KE$15,KE17,IF($IW17=$KX$15,KX17,IF($IW17=$LQ$15,LQ17,IF($IW17=$MJ$15,NE17,0)))))</calculatedColumnFormula>
    </tableColumn>
    <tableColumn id="85" xr3:uid="{00000000-0010-0000-0100-000055000000}" name="Typ / Označení (P0)" dataDxfId="498">
      <calculatedColumnFormula>IF($IW17=$JL$15,JM17,IF($IW17=$KE$15,KF17,IF($IW17=$KX$15,KY17,IF($IW17=$LQ$15,LR17,IF($IW17=$MJ$15,NF17,0)))))</calculatedColumnFormula>
    </tableColumn>
    <tableColumn id="86" xr3:uid="{00000000-0010-0000-0100-000056000000}" name="Hlavní parametr / Specifikace (P0)" dataDxfId="497">
      <calculatedColumnFormula>IF($IW17=$JL$15,JN17,IF($IW17=$KE$15,KG17,IF($IW17=$KX$15,KZ17,IF($IW17=$LQ$15,LS17,IF($IW17=$MJ$15,NG17,0)))))</calculatedColumnFormula>
    </tableColumn>
    <tableColumn id="92" xr3:uid="{00000000-0010-0000-0100-00005C000000}" name="Odpovědná osoba za NOEN (P0)" dataDxfId="496">
      <calculatedColumnFormula>IF($IW17=$JL$15,JU17,IF($IW17=$KE$15,KN17,IF($IW17=$KX$15,LG17,IF($IW17=$LQ$15,LZ17,IF($IW17=$MJ$15,NN17,0)))))</calculatedColumnFormula>
    </tableColumn>
    <tableColumn id="93" xr3:uid="{00000000-0010-0000-0100-00005D000000}" name="Datum vložení (P0)" dataDxfId="495">
      <calculatedColumnFormula>IF($IW17=$JL$15,JV17,IF($IW17=$KE$15,KO17,IF($IW17=$KX$15,LH17,IF($IW17=$LQ$15,MA17,IF($IW17=$MJ$15,NO17,0)))))</calculatedColumnFormula>
    </tableColumn>
    <tableColumn id="88" xr3:uid="{00000000-0010-0000-0100-000058000000}" name="Dodací lhůty [týdny] (P0)" dataDxfId="494">
      <calculatedColumnFormula>IF($IW17=$JL$15,JW17,IF($IW17=$KE$15,KP17,IF($IW17=$KX$15,LI17,IF($IW17=$LQ$15,MB17,IF($IW17=$MJ$15,NP17,0)))))</calculatedColumnFormula>
    </tableColumn>
    <tableColumn id="94" xr3:uid="{00000000-0010-0000-0100-00005E000000}" name="Stav Projekce (P0)" dataDxfId="493">
      <calculatedColumnFormula>IF($IW17=$JL$15,JS17,IF($IW17=$KE$15,KL17,IF($IW17=$KX$15,LE17,IF($IW17=$LQ$15,LX17,IF($IW17=$MJ$15,NL17,0)))))</calculatedColumnFormula>
    </tableColumn>
    <tableColumn id="163" xr3:uid="{00000000-0010-0000-0100-0000A3000000}" name="Stav Nákup (P0)" dataDxfId="492">
      <calculatedColumnFormula>IF($IW17=$JL$15,KC17,IF($IW17=$KE$15,KV17,IF($IW17=$KX$15,LO17,IF($IW17=$LQ$15,MH17,IF($IW17=$MJ$15,NV17,0)))))</calculatedColumnFormula>
    </tableColumn>
    <tableColumn id="289" xr3:uid="{00000000-0010-0000-0100-000021010000}" name="Koeficient odhadu HR [-] (P0)" dataDxfId="491">
      <calculatedColumnFormula>IF($IW17=$JL$15,JR17,IF($IW17=$KE$15,KK17,IF($IW17=$KX$15,LD17,IF($IW17=$LQ$15,LW17,IF($IW17=$MJ$15,NK17,0)))))</calculatedColumnFormula>
    </tableColumn>
    <tableColumn id="340" xr3:uid="{00000000-0010-0000-0100-000054010000}" name="Jednotková cena bez DPH [cena/MJCR] (P0)" dataDxfId="490">
      <calculatedColumnFormula>IF($IW17=$JL$15,JZ17,IF($IW17=$KE$15,KS17,IF($IW17=$KX$15,LL17,IF($IW17=$LQ$15,ME17,IF($IW17=$MJ$15,NS17,0)))))</calculatedColumnFormula>
    </tableColumn>
    <tableColumn id="79" xr3:uid="{00000000-0010-0000-0100-00004F000000}" name="Koeficient odhadu CR [-] (P0)" dataDxfId="489">
      <calculatedColumnFormula>IF($IW17=$JL$15,KB17,IF($IW17=$KE$15,KU17,IF($IW17=$KX$15,LN17,IF($IW17=$LQ$15,MG17,IF($IW17=$MJ$15,NU17,0)))))</calculatedColumnFormula>
    </tableColumn>
    <tableColumn id="291" xr3:uid="{00000000-0010-0000-0100-000023010000}" name="Rozhodný sloupec sestavy" dataDxfId="488">
      <calculatedColumnFormula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calculatedColumnFormula>
    </tableColumn>
    <tableColumn id="275" xr3:uid="{00000000-0010-0000-0100-000013010000}" name="Měrná jednotka HR [MJHR] (P0)" dataDxfId="487">
      <calculatedColumnFormula>IF($IW17=$JL$15,JO17,IF($IW17=$KE$15,KH17,IF($IW17=$KX$15,LA17,IF($IW17=$LQ$15,LT17,IF($IW17=$MJ$15,NH17,0)))))</calculatedColumnFormula>
    </tableColumn>
    <tableColumn id="272" xr3:uid="{00000000-0010-0000-0100-000010010000}" name="Počet MJHR (P0)" dataDxfId="486">
      <calculatedColumnFormula>IF($IW17=$JL$15,JP17,IF($IW17=$KE$15,KI17,IF($IW17=$KX$15,LB17,IF($IW17=$LQ$15,LU17,IF($IW17=$MJ$15,NI17,0)))))</calculatedColumnFormula>
    </tableColumn>
    <tableColumn id="273" xr3:uid="{00000000-0010-0000-0100-000011010000}" name="Jednotková hmotnost [kg/MJHR] (P1)" dataDxfId="485">
      <calculatedColumnFormula>IF($IW17=$JL$15,JQ17,IF($IW17=$KE$15,KJ17,IF($IW17=$KX$15,LC17,IF($IW17=$LQ$15,LV17,IF($IW17=$MJ$15,NJ17,0)))))</calculatedColumnFormula>
    </tableColumn>
    <tableColumn id="75" xr3:uid="{00000000-0010-0000-0100-00004B000000}" name="Koeficient odhadu HR [-] (P1)" dataDxfId="484">
      <calculatedColumnFormula>IF(IA17=0,1,IA17)</calculatedColumnFormula>
    </tableColumn>
    <tableColumn id="277" xr3:uid="{00000000-0010-0000-0100-000015010000}" name="Měrná jednotka CR (MJCR) (P0)" dataDxfId="483">
      <calculatedColumnFormula>IF(RZ[[#This Row],[Rozhodný sloupec indikativní ceny]]=1,"kg",IF($IW17=$JL$15,IF(JX17=0,JO17,JX17),IF($IW17=$KE$15,IF(KQ17=0,KH17,KQ17),IF($IW17=$KX$15,IF(LJ17=0,LA17,LJ17),IF($IW17=$LQ$15,IF(MC17=0,LT17,MC17),IF($IW17=$MJ$15,IF(NQ17=0,NH17,NQ17),0))))))</calculatedColumnFormula>
    </tableColumn>
    <tableColumn id="349" xr3:uid="{00000000-0010-0000-0100-00005D010000}" name="Počet MJCR (P1)" dataDxfId="482">
      <calculatedColumnFormula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calculatedColumnFormula>
    </tableColumn>
    <tableColumn id="278" xr3:uid="{00000000-0010-0000-0100-000016010000}" name="Počet MJCR (P0) pro &quot;kg&quot;" dataDxfId="481">
      <calculatedColumnFormula>IF(RZ[[#This Row],[Měrná jednotka CR (MJCR) (P0)]]="kg",RZ[[#This Row],[Počet MJHR (P0)]]*RZ[[#This Row],[Jednotková hmotnost '[kg/MJHR'] (P1)]]*RZ[[#This Row],[Koeficient odhadu HR '[-'] (P1)]],RZ[[#This Row],[Počet MJCR (P1)]])</calculatedColumnFormula>
    </tableColumn>
    <tableColumn id="348" xr3:uid="{00000000-0010-0000-0100-00005C010000}" name="Rozhodný sloupec indikativní ceny" dataDxfId="480">
      <calculatedColumnFormula>IF(AND(RZ[[#This Row],[Jednotková cena bez DPH '[cena/MJCR'] (P0)]]=0,RZ[[#This Row],[Indikativní jednotková cena '[CZK/kg'] (P1)]]&lt;&gt;0),1,0)</calculatedColumnFormula>
    </tableColumn>
    <tableColumn id="271" xr3:uid="{00000000-0010-0000-0100-00000F010000}" name="Indikativní jednotková cena [CZK/kg] (P1)" dataDxfId="479">
      <calculatedColumnFormula>VLOOKUP(RZ[[#This Row],[Kód položek]],INDIKAT_CENA,2,FALSE)</calculatedColumnFormula>
    </tableColumn>
    <tableColumn id="78" xr3:uid="{00000000-0010-0000-0100-00004E000000}" name="Jednotková cena bez DPH [cena/MJCR] (P1)" dataDxfId="478">
      <calculatedColumnFormula>IF(RZ[[#This Row],[Rozhodný sloupec indikativní ceny]]=1,RZ[[#This Row],[Indikativní jednotková cena '[CZK/kg'] (P1)]],RZ[[#This Row],[Jednotková cena bez DPH '[cena/MJCR'] (P0)]])</calculatedColumnFormula>
    </tableColumn>
    <tableColumn id="98" xr3:uid="{00000000-0010-0000-0100-000062000000}" name="Koeficient odhadu CR [-] (P1)" dataDxfId="477">
      <calculatedColumnFormula>IF(IC17=0,1,IC17)</calculatedColumnFormula>
    </tableColumn>
    <tableColumn id="280" xr3:uid="{00000000-0010-0000-0100-000018010000}" name="Měna (P0)" dataDxfId="476">
      <calculatedColumnFormula>IF(RZ[[#This Row],[Rozhodný sloupec indikativní ceny]]=1,1,IF($IW17=$JL$15,KA17,IF($IW17=$KE$15,KT17,IF($IW17=$KX$15,LM17,IF($IW17=$LQ$15,MF17,IF($IW17=$MJ$15,NT17,0))))))</calculatedColumnFormula>
    </tableColumn>
    <tableColumn id="281" xr3:uid="{00000000-0010-0000-0100-000019010000}" name="Jednotková cena bez DPH [CZK/MJCR] (P2)" dataDxfId="475">
      <calculatedColumnFormula>IF(RZ[[#This Row],[Jednotková cena bez DPH '[cena/MJCR'] (P1)]]="",0,IF(IP17=0,0,(RZ[[#This Row],[Jednotková cena bez DPH '[cena/MJCR'] (P1)]]*VLOOKUP(IP17,$BR$7:$BT$10,3))))</calculatedColumnFormula>
    </tableColumn>
    <tableColumn id="96" xr3:uid="{00000000-0010-0000-0100-000060000000}" name="Sloupec53" dataDxfId="474"/>
    <tableColumn id="97" xr3:uid="{00000000-0010-0000-0100-000061000000}" name="Procento dokončení [%] (V0)" dataDxfId="473">
      <calculatedColumnFormula>IF(HY17=0,"",VLOOKUP(RZ[[#This Row],[Stav Projekce (P0)]],Vstupy!$E$11:'Vstupy'!$E$11:$H$17,4,FALSE))</calculatedColumnFormula>
    </tableColumn>
    <tableColumn id="158" xr3:uid="{00000000-0010-0000-0100-00009E000000}" name="Stav Projekce (V0)" dataDxfId="472">
      <calculatedColumnFormula>IF(RZ[[#This Row],[Stav Projekce (P0)]]=0,"",RZ[[#This Row],[Stav Projekce (P0)]])</calculatedColumnFormula>
    </tableColumn>
    <tableColumn id="160" xr3:uid="{00000000-0010-0000-0100-0000A0000000}" name="Stav Nákup (V0)" dataDxfId="471">
      <calculatedColumnFormula>IF(RZ[[#This Row],[Stav Nákup (P0)]]=0,"",RZ[[#This Row],[Stav Nákup (P0)]])</calculatedColumnFormula>
    </tableColumn>
    <tableColumn id="169" xr3:uid="{00000000-0010-0000-0100-0000A9000000}" name="Odpovědná osoba za NOEN (V0)" dataDxfId="470">
      <calculatedColumnFormula>IF(HV17=0,"",HV17)</calculatedColumnFormula>
    </tableColumn>
    <tableColumn id="99" xr3:uid="{00000000-0010-0000-0100-000063000000}" name="Volba Varianty (V0)" dataDxfId="469"/>
    <tableColumn id="95" xr3:uid="{00000000-0010-0000-0100-00005F000000}" name="Číslo společné položky" dataDxfId="468"/>
    <tableColumn id="100" xr3:uid="{00000000-0010-0000-0100-000064000000}" name="Et. / Skup.(V0)" dataDxfId="467"/>
    <tableColumn id="101" xr3:uid="{00000000-0010-0000-0100-000065000000}" name="Úroveň 1 (V0)" dataDxfId="466"/>
    <tableColumn id="102" xr3:uid="{00000000-0010-0000-0100-000066000000}" name="Úroveň 2 (V0)" dataDxfId="465"/>
    <tableColumn id="103" xr3:uid="{00000000-0010-0000-0100-000067000000}" name="Úroveň 3 (V0)" dataDxfId="464"/>
    <tableColumn id="104" xr3:uid="{00000000-0010-0000-0100-000068000000}" name="Úroveň 4 (V0)" dataDxfId="463"/>
    <tableColumn id="204" xr3:uid="{00000000-0010-0000-0100-0000CC000000}" name="Úroveň 5 (V0)" dataDxfId="462"/>
    <tableColumn id="205" xr3:uid="{00000000-0010-0000-0100-0000CD000000}" name="Úroveň 6 (V0)" dataDxfId="461"/>
    <tableColumn id="206" xr3:uid="{00000000-0010-0000-0100-0000CE000000}" name="Úroveň 7 (V0)" dataDxfId="460"/>
    <tableColumn id="207" xr3:uid="{00000000-0010-0000-0100-0000CF000000}" name="Úroveň 8 (V0)2" dataDxfId="459"/>
    <tableColumn id="208" xr3:uid="{00000000-0010-0000-0100-0000D0000000}" name="Úroveň 9 (V0)" dataDxfId="458"/>
    <tableColumn id="209" xr3:uid="{00000000-0010-0000-0100-0000D1000000}" name="Úroveň 10 (V0)" dataDxfId="457"/>
    <tableColumn id="105" xr3:uid="{00000000-0010-0000-0100-000069000000}" name="Kód položek (V0)" dataDxfId="456"/>
    <tableColumn id="106" xr3:uid="{00000000-0010-0000-0100-00006A000000}" name="Řešitel (V0)" dataDxfId="455"/>
    <tableColumn id="110" xr3:uid="{00000000-0010-0000-0100-00006E000000}" name="Výrobce / Dodavatel (V1)" dataDxfId="454"/>
    <tableColumn id="111" xr3:uid="{00000000-0010-0000-0100-00006F000000}" name="Typ / Označení (V1)" dataDxfId="453"/>
    <tableColumn id="112" xr3:uid="{00000000-0010-0000-0100-000070000000}" name="Hlavní parametr / Specifikace (V1)" dataDxfId="452"/>
    <tableColumn id="243" xr3:uid="{00000000-0010-0000-0100-0000F3000000}" name="Měrná jednotka HR [MJHR] (V1)" dataDxfId="451"/>
    <tableColumn id="244" xr3:uid="{00000000-0010-0000-0100-0000F4000000}" name="Počet MJHR (V1)" dataDxfId="450"/>
    <tableColumn id="113" xr3:uid="{00000000-0010-0000-0100-000071000000}" name="Jednotková hmotnost [kg/MJHR] (V1)" dataDxfId="449"/>
    <tableColumn id="109" xr3:uid="{00000000-0010-0000-0100-00006D000000}" name="Koeficient odhadu HR [-] (V1)" dataDxfId="448"/>
    <tableColumn id="120" xr3:uid="{00000000-0010-0000-0100-000078000000}" name="Stav Projekce (V1)" dataDxfId="447"/>
    <tableColumn id="181" xr3:uid="{00000000-0010-0000-0100-0000B5000000}" name="Odkaz na podklady Projekce (V1)" dataDxfId="446"/>
    <tableColumn id="118" xr3:uid="{00000000-0010-0000-0100-000076000000}" name="Odpovědná osoba za NOEN (V1)" dataDxfId="445"/>
    <tableColumn id="119" xr3:uid="{00000000-0010-0000-0100-000077000000}" name="Datum vložení (V1)" dataDxfId="444"/>
    <tableColumn id="114" xr3:uid="{00000000-0010-0000-0100-000072000000}" name="Dodací lhůty [týdny] (V1)" dataDxfId="443"/>
    <tableColumn id="245" xr3:uid="{00000000-0010-0000-0100-0000F5000000}" name="Měrná jednotka CR [MJCR] (V1)" dataDxfId="442"/>
    <tableColumn id="246" xr3:uid="{00000000-0010-0000-0100-0000F6000000}" name="Počet MJCR (V1)" dataDxfId="441"/>
    <tableColumn id="247" xr3:uid="{00000000-0010-0000-0100-0000F7000000}" name="Jednotková cena bez DPH CR [cena/MJCR] (V1)" dataDxfId="440"/>
    <tableColumn id="116" xr3:uid="{00000000-0010-0000-0100-000074000000}" name="Měna (V1)" dataDxfId="439"/>
    <tableColumn id="76" xr3:uid="{00000000-0010-0000-0100-00004C000000}" name="Koeficient odhadu CR [-] (V1)" dataDxfId="438"/>
    <tableColumn id="162" xr3:uid="{00000000-0010-0000-0100-0000A2000000}" name="Stav Nákup (V1)" dataDxfId="437"/>
    <tableColumn id="121" xr3:uid="{00000000-0010-0000-0100-000079000000}" name="Odkaz na podklady Nákup (V1)" dataDxfId="436"/>
    <tableColumn id="122" xr3:uid="{00000000-0010-0000-0100-00007A000000}" name="Výrobce / Dodavatel (V2)" dataDxfId="435"/>
    <tableColumn id="123" xr3:uid="{00000000-0010-0000-0100-00007B000000}" name="Typ / Označení (V2)" dataDxfId="434"/>
    <tableColumn id="124" xr3:uid="{00000000-0010-0000-0100-00007C000000}" name="Hlavní parametr / Specifikace (V2)" dataDxfId="433"/>
    <tableColumn id="248" xr3:uid="{00000000-0010-0000-0100-0000F8000000}" name="Měrná jednotka HR [MJHR] (V2)" dataDxfId="432"/>
    <tableColumn id="249" xr3:uid="{00000000-0010-0000-0100-0000F9000000}" name="Počet MJHR (V2)" dataDxfId="431"/>
    <tableColumn id="250" xr3:uid="{00000000-0010-0000-0100-0000FA000000}" name="Jednotková hmotnost [kg/MJHR] (V2)" dataDxfId="430"/>
    <tableColumn id="251" xr3:uid="{00000000-0010-0000-0100-0000FB000000}" name="Koeficient odhadu HR [-] (V2)" dataDxfId="429"/>
    <tableColumn id="252" xr3:uid="{00000000-0010-0000-0100-0000FC000000}" name="Stav Projekce (V2)" dataDxfId="428"/>
    <tableColumn id="266" xr3:uid="{00000000-0010-0000-0100-00000A010000}" name="Odkaz na podklady Projekce (V1)2" dataDxfId="427"/>
    <tableColumn id="130" xr3:uid="{00000000-0010-0000-0100-000082000000}" name="Odpovědná osoba za NOEN (V2)" dataDxfId="426"/>
    <tableColumn id="131" xr3:uid="{00000000-0010-0000-0100-000083000000}" name="Datum vložení (V2)" dataDxfId="425"/>
    <tableColumn id="126" xr3:uid="{00000000-0010-0000-0100-00007E000000}" name="Dodací lhůty [týdny] (V2)" dataDxfId="424"/>
    <tableColumn id="127" xr3:uid="{00000000-0010-0000-0100-00007F000000}" name="Měrná jednotka CR [MJCR] (V2)" dataDxfId="423"/>
    <tableColumn id="253" xr3:uid="{00000000-0010-0000-0100-0000FD000000}" name="Počet MJCR (V2)" dataDxfId="422"/>
    <tableColumn id="129" xr3:uid="{00000000-0010-0000-0100-000081000000}" name="Jednotková cena bez DPH CR [cena/MJCR] (V2)" dataDxfId="421"/>
    <tableColumn id="128" xr3:uid="{00000000-0010-0000-0100-000080000000}" name="Měna (V2)" dataDxfId="420"/>
    <tableColumn id="80" xr3:uid="{00000000-0010-0000-0100-000050000000}" name="Koeficient odhadu CR [-] (V2)" dataDxfId="419"/>
    <tableColumn id="164" xr3:uid="{00000000-0010-0000-0100-0000A4000000}" name="Stav Nákup (V2)" dataDxfId="418"/>
    <tableColumn id="133" xr3:uid="{00000000-0010-0000-0100-000085000000}" name="Odkaz na podklady (V2)" dataDxfId="417"/>
    <tableColumn id="134" xr3:uid="{00000000-0010-0000-0100-000086000000}" name="Výrobce / Dodavatel (V3)" dataDxfId="416"/>
    <tableColumn id="135" xr3:uid="{00000000-0010-0000-0100-000087000000}" name="Typ / Označení (V3)" dataDxfId="415"/>
    <tableColumn id="136" xr3:uid="{00000000-0010-0000-0100-000088000000}" name="Hlavní parametr / Specifikace ((V3)  " dataDxfId="414"/>
    <tableColumn id="254" xr3:uid="{00000000-0010-0000-0100-0000FE000000}" name="Měrná jednotka HR [MJHR] (V3)" dataDxfId="413"/>
    <tableColumn id="255" xr3:uid="{00000000-0010-0000-0100-0000FF000000}" name="Počet MJHR (V3)" dataDxfId="412"/>
    <tableColumn id="256" xr3:uid="{00000000-0010-0000-0100-000000010000}" name="Jednotková hmotnost [kg/MJHR] (V3)" dataDxfId="411"/>
    <tableColumn id="257" xr3:uid="{00000000-0010-0000-0100-000001010000}" name="Koeficient odhadu HR [-] (V3)" dataDxfId="410"/>
    <tableColumn id="258" xr3:uid="{00000000-0010-0000-0100-000002010000}" name="Stav Projekce (V3)" dataDxfId="409"/>
    <tableColumn id="267" xr3:uid="{00000000-0010-0000-0100-00000B010000}" name="Odkaz na podklady Projekce (V1)3" dataDxfId="408"/>
    <tableColumn id="142" xr3:uid="{00000000-0010-0000-0100-00008E000000}" name="Odpovědná osoba za NOEN (V3)" dataDxfId="407"/>
    <tableColumn id="143" xr3:uid="{00000000-0010-0000-0100-00008F000000}" name="Datum vložení (V3)" dataDxfId="406"/>
    <tableColumn id="138" xr3:uid="{00000000-0010-0000-0100-00008A000000}" name="Dodací lhůty [týdny] (V3)" dataDxfId="405"/>
    <tableColumn id="139" xr3:uid="{00000000-0010-0000-0100-00008B000000}" name="Měrná jednotka CR [MJCR] (V3)" dataDxfId="404"/>
    <tableColumn id="141" xr3:uid="{00000000-0010-0000-0100-00008D000000}" name="Počet MJCR (V3)" dataDxfId="403"/>
    <tableColumn id="259" xr3:uid="{00000000-0010-0000-0100-000003010000}" name="Jednotková cena bez DPH CR [cena/MJCR] (V3)" dataDxfId="402"/>
    <tableColumn id="140" xr3:uid="{00000000-0010-0000-0100-00008C000000}" name="Měna (V3)" dataDxfId="401"/>
    <tableColumn id="81" xr3:uid="{00000000-0010-0000-0100-000051000000}" name="Koeficient odhadu CR [-] (V3)" dataDxfId="400"/>
    <tableColumn id="165" xr3:uid="{00000000-0010-0000-0100-0000A5000000}" name="Stav Nákup (V3)" dataDxfId="399"/>
    <tableColumn id="145" xr3:uid="{00000000-0010-0000-0100-000091000000}" name="Odkaz na podklady (V3)" dataDxfId="398"/>
    <tableColumn id="146" xr3:uid="{00000000-0010-0000-0100-000092000000}" name="Výrobce / Dodavatel (V4)" dataDxfId="397"/>
    <tableColumn id="147" xr3:uid="{00000000-0010-0000-0100-000093000000}" name="Typ / Označení (V4)" dataDxfId="396"/>
    <tableColumn id="148" xr3:uid="{00000000-0010-0000-0100-000094000000}" name="Hlavní parametr / Specifikace (V4)" dataDxfId="395"/>
    <tableColumn id="260" xr3:uid="{00000000-0010-0000-0100-000004010000}" name="Měrná jednotka HR [MJHR] (V4)" dataDxfId="394"/>
    <tableColumn id="261" xr3:uid="{00000000-0010-0000-0100-000005010000}" name="Počet MJHR (V4)" dataDxfId="393"/>
    <tableColumn id="262" xr3:uid="{00000000-0010-0000-0100-000006010000}" name="Jednotková hmotnost [kg/MJHR] (V4)" dataDxfId="392"/>
    <tableColumn id="263" xr3:uid="{00000000-0010-0000-0100-000007010000}" name="Koeficient odhadu HR [-] (V4)" dataDxfId="391"/>
    <tableColumn id="264" xr3:uid="{00000000-0010-0000-0100-000008010000}" name="Stav Projekce (V4)" dataDxfId="390"/>
    <tableColumn id="268" xr3:uid="{00000000-0010-0000-0100-00000C010000}" name="Odkaz na podklady Projekce (V1)4" dataDxfId="389"/>
    <tableColumn id="154" xr3:uid="{00000000-0010-0000-0100-00009A000000}" name="Odpovědná osoba za NOEN (V4)" dataDxfId="388"/>
    <tableColumn id="155" xr3:uid="{00000000-0010-0000-0100-00009B000000}" name="Datum vložení (V4)" dataDxfId="387"/>
    <tableColumn id="150" xr3:uid="{00000000-0010-0000-0100-000096000000}" name="Dodací lhůty [týdny] (V4)" dataDxfId="386"/>
    <tableColumn id="151" xr3:uid="{00000000-0010-0000-0100-000097000000}" name="Měrná jednotka CR [MJCR] (V4)" dataDxfId="385"/>
    <tableColumn id="153" xr3:uid="{00000000-0010-0000-0100-000099000000}" name="Počet MJCR (V4)" dataDxfId="384"/>
    <tableColumn id="265" xr3:uid="{00000000-0010-0000-0100-000009010000}" name="Jednotková cena bez DPH CR [cena/MJCR] (V4)" dataDxfId="383"/>
    <tableColumn id="152" xr3:uid="{00000000-0010-0000-0100-000098000000}" name="Měna (V4)" dataDxfId="382"/>
    <tableColumn id="82" xr3:uid="{00000000-0010-0000-0100-000052000000}" name="Koeficient odhadu CR [-] (V4)" dataDxfId="381"/>
    <tableColumn id="166" xr3:uid="{00000000-0010-0000-0100-0000A6000000}" name="Stav Nákup (V4)" dataDxfId="380"/>
    <tableColumn id="157" xr3:uid="{00000000-0010-0000-0100-00009D000000}" name="Odkaz na podklady (V4)" dataDxfId="379"/>
    <tableColumn id="170" xr3:uid="{00000000-0010-0000-0100-0000AA000000}" name="Úroveň (K) (1-10)" dataDxfId="378"/>
    <tableColumn id="366" xr3:uid="{00000000-0010-0000-0100-00006E010000}" name="Et. / Skup.(K)" dataDxfId="377"/>
    <tableColumn id="367" xr3:uid="{00000000-0010-0000-0100-00006F010000}" name="Kód položek (K)" dataDxfId="376"/>
    <tableColumn id="368" xr3:uid="{00000000-0010-0000-0100-000070010000}" name="Řešitel (K)" dataDxfId="375"/>
    <tableColumn id="171" xr3:uid="{00000000-0010-0000-0100-0000AB000000}" name="Poz. (K)" dataDxfId="374"/>
    <tableColumn id="172" xr3:uid="{00000000-0010-0000-0100-0000AC000000}" name="Výkres č. (K)" dataDxfId="373"/>
    <tableColumn id="173" xr3:uid="{00000000-0010-0000-0100-0000AD000000}" name="Počet ks (K)" dataDxfId="372"/>
    <tableColumn id="174" xr3:uid="{00000000-0010-0000-0100-0000AE000000}" name="Pravé ks (K)" dataDxfId="371"/>
    <tableColumn id="175" xr3:uid="{00000000-0010-0000-0100-0000AF000000}" name="Levé ks (K)" dataDxfId="370"/>
    <tableColumn id="176" xr3:uid="{00000000-0010-0000-0100-0000B0000000}" name="Název - rozměr - dodavatel (K)" dataDxfId="369"/>
    <tableColumn id="177" xr3:uid="{00000000-0010-0000-0100-0000B1000000}" name="Úroveň 2 (KS)" dataDxfId="368"/>
    <tableColumn id="178" xr3:uid="{00000000-0010-0000-0100-0000B2000000}" name="Úroveň 3 (KS)" dataDxfId="367"/>
    <tableColumn id="179" xr3:uid="{00000000-0010-0000-0100-0000B3000000}" name="Úroveň 4 (KS)" dataDxfId="366"/>
    <tableColumn id="180" xr3:uid="{00000000-0010-0000-0100-0000B4000000}" name="Úroveň 5 (KS)" dataDxfId="365"/>
    <tableColumn id="159" xr3:uid="{00000000-0010-0000-0100-00009F000000}" name="Úroveň 6 (KS)" dataDxfId="364"/>
    <tableColumn id="182" xr3:uid="{00000000-0010-0000-0100-0000B6000000}" name="Norma-TDP (K)" dataDxfId="363"/>
    <tableColumn id="183" xr3:uid="{00000000-0010-0000-0100-0000B7000000}" name="Polotovar (K)" dataDxfId="362"/>
    <tableColumn id="184" xr3:uid="{00000000-0010-0000-0100-0000B8000000}" name="Materiál vých./konečný (K)" dataDxfId="361"/>
    <tableColumn id="185" xr3:uid="{00000000-0010-0000-0100-0000B9000000}" name="Hmotnost [kg/ks] (K)" dataDxfId="360"/>
    <tableColumn id="186" xr3:uid="{00000000-0010-0000-0100-0000BA000000}" name="Hmotnost celková [kg] (K)" dataDxfId="359"/>
    <tableColumn id="187" xr3:uid="{00000000-0010-0000-0100-0000BB000000}" name="Změna (K)" dataDxfId="358"/>
    <tableColumn id="369" xr3:uid="{00000000-0010-0000-0100-000071010000}" name="Výrobce / Dodavatel (K)" dataDxfId="357"/>
    <tableColumn id="370" xr3:uid="{00000000-0010-0000-0100-000072010000}" name="Typ / Označení (K)" dataDxfId="356"/>
    <tableColumn id="371" xr3:uid="{00000000-0010-0000-0100-000073010000}" name="Hlavní parametr / Specifikace (K)" dataDxfId="355"/>
    <tableColumn id="372" xr3:uid="{00000000-0010-0000-0100-000074010000}" name="Měrná jednotka HR [MJHR] (K)" dataDxfId="354">
      <calculatedColumnFormula>"ks"</calculatedColumnFormula>
    </tableColumn>
    <tableColumn id="373" xr3:uid="{00000000-0010-0000-0100-000075010000}" name="Počet MJHR (K)" dataDxfId="353">
      <calculatedColumnFormula>RZ[[#This Row],[Počet ks (K)]]</calculatedColumnFormula>
    </tableColumn>
    <tableColumn id="374" xr3:uid="{00000000-0010-0000-0100-000076010000}" name="Jednotková hmotnost [kg/MJHR] (K)" dataDxfId="352">
      <calculatedColumnFormula>RZ[[#This Row],[Hmotnost '[kg/ks'] (K)]]</calculatedColumnFormula>
    </tableColumn>
    <tableColumn id="375" xr3:uid="{00000000-0010-0000-0100-000077010000}" name="Koeficient odhadu HR [-] (K)" dataDxfId="351"/>
    <tableColumn id="376" xr3:uid="{00000000-0010-0000-0100-000078010000}" name="Stav Projekce (K)" dataDxfId="350"/>
    <tableColumn id="269" xr3:uid="{00000000-0010-0000-0100-00000D010000}" name="Odkaz na podklady Projekce (V1)5" dataDxfId="349"/>
    <tableColumn id="377" xr3:uid="{00000000-0010-0000-0100-000079010000}" name="Odpovědná osoba za NOEN (K)" dataDxfId="348"/>
    <tableColumn id="378" xr3:uid="{00000000-0010-0000-0100-00007A010000}" name="Datum vložení (K)" dataDxfId="347"/>
    <tableColumn id="379" xr3:uid="{00000000-0010-0000-0100-00007B010000}" name="Dodací lhůty [týdny] (K)" dataDxfId="346"/>
    <tableColumn id="380" xr3:uid="{00000000-0010-0000-0100-00007C010000}" name="Měrná jednotka CR [MJCR] (K)" dataDxfId="345"/>
    <tableColumn id="381" xr3:uid="{00000000-0010-0000-0100-00007D010000}" name="Počet MJCR (K)" dataDxfId="344"/>
    <tableColumn id="382" xr3:uid="{00000000-0010-0000-0100-00007E010000}" name="Jednotková cena bez DPH CR [cena/MJCR] (K)" dataDxfId="343"/>
    <tableColumn id="383" xr3:uid="{00000000-0010-0000-0100-00007F010000}" name="Měna (K)" dataDxfId="342"/>
    <tableColumn id="384" xr3:uid="{00000000-0010-0000-0100-000080010000}" name="Koeficient odhadu CR [-] (K)" dataDxfId="341"/>
    <tableColumn id="167" xr3:uid="{00000000-0010-0000-0100-0000A7000000}" name="Stav Nákup (K)" dataDxfId="340"/>
    <tableColumn id="385" xr3:uid="{00000000-0010-0000-0100-000081010000}" name="Odkaz na podklady (K)" dataDxfId="33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ulka5" displayName="Tabulka5" ref="B6:W106" totalsRowShown="0" headerRowDxfId="338" dataDxfId="337" tableBorderDxfId="336">
  <autoFilter ref="B6:W106" xr:uid="{00000000-0009-0000-0100-000005000000}"/>
  <tableColumns count="22">
    <tableColumn id="1" xr3:uid="{00000000-0010-0000-0200-000001000000}" name="Duplicita" dataDxfId="335"/>
    <tableColumn id="2" xr3:uid="{00000000-0010-0000-0200-000002000000}" name="Úroveň X (V0)" dataDxfId="334"/>
    <tableColumn id="3" xr3:uid="{00000000-0010-0000-0200-000003000000}" name="Kód položek (V0)" dataDxfId="333"/>
    <tableColumn id="4" xr3:uid="{00000000-0010-0000-0200-000004000000}" name="Řešitel (V0)" dataDxfId="332"/>
    <tableColumn id="5" xr3:uid="{00000000-0010-0000-0200-000005000000}" name="Výrobce / Dodavatel (V1)" dataDxfId="331"/>
    <tableColumn id="6" xr3:uid="{00000000-0010-0000-0200-000006000000}" name="Typ / Označení (V1)" dataDxfId="330"/>
    <tableColumn id="7" xr3:uid="{00000000-0010-0000-0200-000007000000}" name="Hlavní parametr / Specifikace (V1)" dataDxfId="329"/>
    <tableColumn id="8" xr3:uid="{00000000-0010-0000-0200-000008000000}" name="Měrná jednotka HR [MJHR] (V1)" dataDxfId="328"/>
    <tableColumn id="9" xr3:uid="{00000000-0010-0000-0200-000009000000}" name="Jednotková hmotnost [kg/MJHR] (V1)" dataDxfId="327"/>
    <tableColumn id="10" xr3:uid="{00000000-0010-0000-0200-00000A000000}" name="Koeficient odhadu HR [-] (V1)" dataDxfId="326"/>
    <tableColumn id="11" xr3:uid="{00000000-0010-0000-0200-00000B000000}" name="Stav Projekce (V1)" dataDxfId="325"/>
    <tableColumn id="12" xr3:uid="{00000000-0010-0000-0200-00000C000000}" name="Odkaz na podklady Projekce (V1)" dataDxfId="324"/>
    <tableColumn id="13" xr3:uid="{00000000-0010-0000-0200-00000D000000}" name="Odpovědná osoba za NOEN (V1)" dataDxfId="323"/>
    <tableColumn id="14" xr3:uid="{00000000-0010-0000-0200-00000E000000}" name="Datum vložení (V1)" dataDxfId="322"/>
    <tableColumn id="15" xr3:uid="{00000000-0010-0000-0200-00000F000000}" name="Dodací lhůty [týdny] (V1)" dataDxfId="321"/>
    <tableColumn id="16" xr3:uid="{00000000-0010-0000-0200-000010000000}" name="Měrná jednotka CR [MJCR] (V1)" dataDxfId="320"/>
    <tableColumn id="17" xr3:uid="{00000000-0010-0000-0200-000011000000}" name="Jednotková cena bez DPH CR [cena/MJCR] (V1)" dataDxfId="319"/>
    <tableColumn id="18" xr3:uid="{00000000-0010-0000-0200-000012000000}" name="Měna (V1)" dataDxfId="318"/>
    <tableColumn id="19" xr3:uid="{00000000-0010-0000-0200-000013000000}" name="Koeficient odhadu CR [-] (V1)" dataDxfId="317"/>
    <tableColumn id="20" xr3:uid="{00000000-0010-0000-0200-000014000000}" name="Stav Nákup (V1)" dataDxfId="316"/>
    <tableColumn id="21" xr3:uid="{00000000-0010-0000-0200-000015000000}" name="Odkaz na podklady Nákup (V1)" dataDxfId="315"/>
    <tableColumn id="22" xr3:uid="{00000000-0010-0000-0200-000016000000}" name="Vyplnit" dataDxfId="314">
      <calculatedColumnFormula>"Vyplnit!"</calculatedColumnFormula>
    </tableColumn>
  </tableColumns>
  <tableStyleInfo name="Styl tabulky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ulka_nakup_Vonka" displayName="Tabulka_nakup_Vonka" ref="A1:K1003" totalsRowShown="0" headerRowDxfId="312" dataDxfId="310" headerRowBorderDxfId="311" tableBorderDxfId="309" totalsRowBorderDxfId="308">
  <autoFilter ref="A1:K1003" xr:uid="{00000000-0009-0000-0100-000006000000}"/>
  <tableColumns count="11">
    <tableColumn id="2" xr3:uid="{00000000-0010-0000-0300-000002000000}" name="Zkratka kalkulační položky" dataDxfId="307">
      <calculatedColumnFormula>IF('Rozpad zakázky'!E18=0,"",IF('Rozpad zakázky'!E18="-","",'Rozpad zakázky'!E18))</calculatedColumnFormula>
    </tableColumn>
    <tableColumn id="10" xr3:uid="{00000000-0010-0000-0300-00000A000000}" name="Zkratka a název skupiny" dataDxfId="306">
      <calculatedColumnFormula>IF(A2="","",IF(A2="","",VLOOKUP(A:A,Pomocna_Nakup[],3,0))&amp;" | "&amp;IF(A2="","",VLOOKUP(A:A,Pomocna_Nakup[],4,0)))</calculatedColumnFormula>
    </tableColumn>
    <tableColumn id="6" xr3:uid="{00000000-0010-0000-0300-000006000000}" name="Zkratka a název kalkulační položky" dataDxfId="305">
      <calculatedColumnFormula>IF(Tabulka_nakup_Vonka[[#This Row],[Zkratka kalkulační položky]]="","",Tabulka_nakup_Vonka[[#This Row],[Zkratka kalkulační položky]]&amp;" | "&amp;IF(A2="","",VLOOKUP(A:A,Pomocna_Nakup[],2,0)))</calculatedColumnFormula>
    </tableColumn>
    <tableColumn id="4" xr3:uid="{00000000-0010-0000-0300-000004000000}" name="Výrobce / Dodavatel" dataDxfId="304">
      <calculatedColumnFormula>IF(A2="","",'Rozpad zakázky'!F18)</calculatedColumnFormula>
    </tableColumn>
    <tableColumn id="8" xr3:uid="{00000000-0010-0000-0300-000008000000}" name="Název" dataDxfId="303">
      <calculatedColumnFormula>IF(A2="","",'Rozpad zakázky'!D18&amp;IF('Rozpad zakázky'!G18="",""," ("&amp;'Rozpad zakázky'!G18&amp;")"))</calculatedColumnFormula>
    </tableColumn>
    <tableColumn id="5" xr3:uid="{00000000-0010-0000-0300-000005000000}" name="Varianta" dataDxfId="302">
      <calculatedColumnFormula>IF(A2="","",'Rozpad zakázky'!IW18)</calculatedColumnFormula>
    </tableColumn>
    <tableColumn id="3" xr3:uid="{00000000-0010-0000-0300-000003000000}" name="Celková cena bez DPH (CZK)" dataDxfId="301">
      <calculatedColumnFormula>IF(A2="","",'Rozpad zakázky'!AE18)</calculatedColumnFormula>
    </tableColumn>
    <tableColumn id="9" xr3:uid="{00000000-0010-0000-0300-000009000000}" name="Celková cena bez DPH (EUR)" dataDxfId="300">
      <calculatedColumnFormula>IF(A2="","",'Rozpad zakázky'!AJ18)</calculatedColumnFormula>
    </tableColumn>
    <tableColumn id="13" xr3:uid="{00000000-0010-0000-0300-00000D000000}" name="Počet MJHR v rozpadu" dataDxfId="299">
      <calculatedColumnFormula>IF(A2="","",'Rozpad zakázky'!Q18)</calculatedColumnFormula>
    </tableColumn>
    <tableColumn id="12" xr3:uid="{00000000-0010-0000-0300-00000C000000}" name="Jedn. hmotnost [kg/MJHR]" dataDxfId="298">
      <calculatedColumnFormula>IF(A2="","",ROUNDDOWN('Rozpad zakázky'!L18,1))</calculatedColumnFormula>
    </tableColumn>
    <tableColumn id="7" xr3:uid="{00000000-0010-0000-0300-000007000000}" name="Celková hmotnost položek [kg]" dataDxfId="297">
      <calculatedColumnFormula>IF(A2="","",Tabulka_nakup_Vonka[[#This Row],[Počet MJHR v rozpadu]]*Tabulka_nakup_Vonka[[#This Row],[Jedn. hmotnost '[kg/MJHR']]])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ulka4" displayName="Tabulka4" ref="A3:E1500" totalsRowShown="0">
  <autoFilter ref="A3:E1500" xr:uid="{00000000-0009-0000-0100-000003000000}"/>
  <tableColumns count="5">
    <tableColumn id="1" xr3:uid="{00000000-0010-0000-0400-000001000000}" name="Typ úlohy" dataDxfId="4">
      <calculatedColumnFormula>IF(H4="",IF(G4="","","Součet"),"Účet")</calculatedColumnFormula>
    </tableColumn>
    <tableColumn id="2" xr3:uid="{00000000-0010-0000-0400-000002000000}" name="Kód položky" dataDxfId="3">
      <calculatedColumnFormula>IF(Tabulka4[[#This Row],[Typ úlohy]]="Součet",G4,IF(Tabulka4[[#This Row],[Typ úlohy]]="Účet",B3,""))</calculatedColumnFormula>
    </tableColumn>
    <tableColumn id="3" xr3:uid="{00000000-0010-0000-0400-000003000000}" name="Typ" dataDxfId="2">
      <calculatedColumnFormula>IF(Tabulka4[[#This Row],[Typ úlohy]]="Účet",H4,"")</calculatedColumnFormula>
    </tableColumn>
    <tableColumn id="4" xr3:uid="{00000000-0010-0000-0400-000004000000}" name="Hmotnost" dataDxfId="1">
      <calculatedColumnFormula>IF(Tabulka4[[#This Row],[Typ úlohy]]="Účet",GETPIVOTDATA("Součet z Celková hmotnost položek [kg]",$G$2,"Zkratka kalkulační položky",B4,"Výrobce / Dodavatel",C4),"")</calculatedColumnFormula>
    </tableColumn>
    <tableColumn id="5" xr3:uid="{00000000-0010-0000-0400-000005000000}" name="Cena" dataDxfId="0">
      <calculatedColumnFormula>IF(Tabulka4[[#This Row],[Typ úlohy]]="Účet",GETPIVOTDATA("Součet z Celková cena bez DPH (CZK)",$G$3,"Zkratka kalkulační položky",B4,"Výrobce / Dodavatel",C4),"")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table" Target="../tables/table3.xml"/><Relationship Id="rId5" Type="http://schemas.openxmlformats.org/officeDocument/2006/relationships/ctrlProp" Target="../ctrlProps/ctrlProp21.xml"/><Relationship Id="rId4" Type="http://schemas.openxmlformats.org/officeDocument/2006/relationships/ctrlProp" Target="../ctrlProps/ctrlProp2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2">
    <tabColor rgb="FFFF0000"/>
  </sheetPr>
  <dimension ref="A1:I3"/>
  <sheetViews>
    <sheetView workbookViewId="0">
      <selection activeCell="F3" sqref="F3"/>
    </sheetView>
  </sheetViews>
  <sheetFormatPr defaultColWidth="9.1328125" defaultRowHeight="12.75" x14ac:dyDescent="0.35"/>
  <cols>
    <col min="1" max="1" width="4.3984375" style="1" customWidth="1"/>
    <col min="2" max="3" width="9.73046875" style="1" customWidth="1"/>
    <col min="4" max="4" width="9.73046875" style="8" customWidth="1"/>
    <col min="5" max="5" width="9.73046875" style="1" customWidth="1"/>
    <col min="6" max="6" width="11.3984375" style="1" customWidth="1"/>
    <col min="7" max="16384" width="9.1328125" style="1"/>
  </cols>
  <sheetData>
    <row r="1" spans="1:9" ht="13.15" thickBot="1" x14ac:dyDescent="0.4"/>
    <row r="2" spans="1:9" ht="24" customHeight="1" x14ac:dyDescent="0.35">
      <c r="A2" s="63"/>
      <c r="B2" s="64" t="s">
        <v>85</v>
      </c>
      <c r="C2" s="65"/>
      <c r="D2" s="934" t="s">
        <v>684</v>
      </c>
      <c r="E2" s="935"/>
      <c r="F2" s="935"/>
      <c r="G2" s="935"/>
      <c r="H2" s="935"/>
      <c r="I2" s="936"/>
    </row>
    <row r="3" spans="1:9" ht="45.75" customHeight="1" thickBot="1" x14ac:dyDescent="0.4">
      <c r="B3" s="66"/>
      <c r="C3" s="67" t="s">
        <v>82</v>
      </c>
      <c r="D3" s="73">
        <v>14</v>
      </c>
      <c r="E3" s="68" t="s">
        <v>83</v>
      </c>
      <c r="F3" s="74">
        <v>42664</v>
      </c>
      <c r="G3" s="68" t="s">
        <v>84</v>
      </c>
      <c r="H3" s="932" t="s">
        <v>64</v>
      </c>
      <c r="I3" s="933"/>
    </row>
  </sheetData>
  <sheetProtection sheet="1" objects="1" scenarios="1" selectLockedCells="1"/>
  <mergeCells count="2">
    <mergeCell ref="H3:I3"/>
    <mergeCell ref="D2:I2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3">
    <tabColor rgb="FFFFC000"/>
  </sheetPr>
  <dimension ref="A2:L126"/>
  <sheetViews>
    <sheetView workbookViewId="0">
      <selection activeCell="B33" sqref="B33"/>
    </sheetView>
  </sheetViews>
  <sheetFormatPr defaultRowHeight="12.75" x14ac:dyDescent="0.35"/>
  <cols>
    <col min="1" max="1" width="4.3984375" customWidth="1"/>
    <col min="2" max="3" width="9.59765625" customWidth="1"/>
    <col min="4" max="4" width="9.59765625" style="8" customWidth="1"/>
    <col min="5" max="9" width="9.59765625" customWidth="1"/>
  </cols>
  <sheetData>
    <row r="2" spans="2:12" s="1" customFormat="1" ht="13.15" x14ac:dyDescent="0.4">
      <c r="B2" s="69" t="s">
        <v>86</v>
      </c>
      <c r="D2" s="8"/>
    </row>
    <row r="3" spans="2:12" s="1" customFormat="1" x14ac:dyDescent="0.35">
      <c r="D3" s="8"/>
    </row>
    <row r="4" spans="2:12" ht="13.15" x14ac:dyDescent="0.4">
      <c r="B4" s="12" t="s">
        <v>54</v>
      </c>
      <c r="C4" s="13"/>
      <c r="D4" s="14"/>
      <c r="E4" s="15"/>
    </row>
    <row r="5" spans="2:12" x14ac:dyDescent="0.35">
      <c r="B5" s="314" t="s">
        <v>55</v>
      </c>
      <c r="C5" s="6">
        <v>1</v>
      </c>
      <c r="D5" s="9" t="str">
        <f>$B$5&amp;"/"&amp;B5</f>
        <v>CZK/CZK</v>
      </c>
      <c r="E5" s="7">
        <v>1</v>
      </c>
    </row>
    <row r="6" spans="2:12" x14ac:dyDescent="0.35">
      <c r="B6" s="72" t="s">
        <v>56</v>
      </c>
      <c r="C6" s="71">
        <v>27</v>
      </c>
      <c r="D6" s="9" t="str">
        <f>$B$5&amp;"/"&amp;B6</f>
        <v>CZK/EUR</v>
      </c>
      <c r="E6" s="7">
        <v>2</v>
      </c>
    </row>
    <row r="7" spans="2:12" x14ac:dyDescent="0.35">
      <c r="B7" s="72" t="s">
        <v>57</v>
      </c>
      <c r="C7" s="71">
        <v>20.7</v>
      </c>
      <c r="D7" s="9" t="str">
        <f>$B$5&amp;"/"&amp;B7</f>
        <v>CZK/USD</v>
      </c>
      <c r="E7" s="7">
        <v>3</v>
      </c>
    </row>
    <row r="8" spans="2:12" x14ac:dyDescent="0.35">
      <c r="B8" s="72" t="s">
        <v>58</v>
      </c>
      <c r="C8" s="71">
        <v>36.56</v>
      </c>
      <c r="D8" s="9" t="str">
        <f>$B$5&amp;"/"&amp;B8</f>
        <v>CZK/RUB</v>
      </c>
      <c r="E8" s="7">
        <v>4</v>
      </c>
    </row>
    <row r="9" spans="2:12" s="1" customFormat="1" x14ac:dyDescent="0.35">
      <c r="B9" s="3"/>
      <c r="C9" s="4"/>
      <c r="D9" s="10"/>
      <c r="E9" s="2"/>
    </row>
    <row r="10" spans="2:12" s="1" customFormat="1" ht="13.15" x14ac:dyDescent="0.4">
      <c r="B10" s="16" t="s">
        <v>375</v>
      </c>
      <c r="C10" s="212"/>
      <c r="E10" s="16" t="s">
        <v>595</v>
      </c>
      <c r="F10" s="288"/>
      <c r="G10" s="288"/>
      <c r="H10" s="299" t="s">
        <v>613</v>
      </c>
      <c r="J10" s="16" t="s">
        <v>596</v>
      </c>
      <c r="K10" s="288"/>
      <c r="L10" s="287"/>
    </row>
    <row r="11" spans="2:12" s="1" customFormat="1" x14ac:dyDescent="0.35">
      <c r="B11" s="18">
        <v>1</v>
      </c>
      <c r="C11" s="213"/>
      <c r="E11" s="295" t="s">
        <v>597</v>
      </c>
      <c r="F11" s="289" t="s">
        <v>603</v>
      </c>
      <c r="G11" s="213"/>
      <c r="H11" s="296">
        <v>1</v>
      </c>
      <c r="J11" s="577" t="s">
        <v>609</v>
      </c>
      <c r="K11" s="289" t="s">
        <v>610</v>
      </c>
      <c r="L11" s="213"/>
    </row>
    <row r="12" spans="2:12" s="1" customFormat="1" x14ac:dyDescent="0.35">
      <c r="B12" s="18">
        <v>2</v>
      </c>
      <c r="C12" s="213"/>
      <c r="E12" s="292" t="s">
        <v>598</v>
      </c>
      <c r="F12" s="289" t="s">
        <v>604</v>
      </c>
      <c r="G12" s="213"/>
      <c r="H12" s="306">
        <v>25</v>
      </c>
      <c r="J12" s="560" t="s">
        <v>611</v>
      </c>
      <c r="K12" s="289" t="s">
        <v>612</v>
      </c>
      <c r="L12" s="213"/>
    </row>
    <row r="13" spans="2:12" s="1" customFormat="1" x14ac:dyDescent="0.35">
      <c r="B13" s="18">
        <v>3</v>
      </c>
      <c r="C13" s="213"/>
      <c r="E13" s="291" t="s">
        <v>599</v>
      </c>
      <c r="F13" s="289" t="s">
        <v>605</v>
      </c>
      <c r="G13" s="213"/>
      <c r="H13" s="297">
        <v>50</v>
      </c>
      <c r="J13" s="561" t="s">
        <v>630</v>
      </c>
      <c r="K13" s="289" t="s">
        <v>663</v>
      </c>
      <c r="L13" s="213"/>
    </row>
    <row r="14" spans="2:12" s="1" customFormat="1" x14ac:dyDescent="0.35">
      <c r="B14" s="18">
        <v>4</v>
      </c>
      <c r="C14" s="213"/>
      <c r="E14" s="294" t="s">
        <v>600</v>
      </c>
      <c r="F14" s="289" t="s">
        <v>606</v>
      </c>
      <c r="G14" s="213"/>
      <c r="H14" s="307">
        <v>75</v>
      </c>
      <c r="J14" s="578" t="s">
        <v>637</v>
      </c>
      <c r="K14" s="289" t="s">
        <v>638</v>
      </c>
      <c r="L14" s="213"/>
    </row>
    <row r="15" spans="2:12" s="1" customFormat="1" x14ac:dyDescent="0.35">
      <c r="B15" s="19" t="s">
        <v>601</v>
      </c>
      <c r="C15" s="213"/>
      <c r="E15" s="290" t="s">
        <v>601</v>
      </c>
      <c r="F15" s="289" t="s">
        <v>607</v>
      </c>
      <c r="G15" s="213"/>
      <c r="H15" s="308">
        <v>90</v>
      </c>
      <c r="J15" s="18"/>
      <c r="K15" s="18"/>
      <c r="L15" s="213"/>
    </row>
    <row r="16" spans="2:12" s="1" customFormat="1" x14ac:dyDescent="0.35">
      <c r="E16" s="293" t="s">
        <v>602</v>
      </c>
      <c r="F16" s="289" t="s">
        <v>608</v>
      </c>
      <c r="G16" s="213"/>
      <c r="H16" s="298">
        <v>100</v>
      </c>
      <c r="J16" s="18"/>
      <c r="K16" s="18"/>
      <c r="L16" s="213"/>
    </row>
    <row r="17" spans="1:12" s="1" customFormat="1" x14ac:dyDescent="0.35">
      <c r="B17"/>
      <c r="C17"/>
      <c r="D17"/>
      <c r="E17" s="18"/>
      <c r="F17" s="18"/>
      <c r="G17" s="213"/>
      <c r="H17" s="309"/>
      <c r="J17" s="18"/>
      <c r="K17" s="18"/>
      <c r="L17" s="213"/>
    </row>
    <row r="18" spans="1:12" s="1" customFormat="1" x14ac:dyDescent="0.35">
      <c r="B18" s="3"/>
      <c r="C18" s="4"/>
      <c r="D18" s="10"/>
      <c r="E18" s="2"/>
    </row>
    <row r="19" spans="1:12" s="1" customFormat="1" ht="13.15" x14ac:dyDescent="0.4">
      <c r="B19" s="16" t="s">
        <v>34</v>
      </c>
      <c r="C19" s="13"/>
      <c r="D19" s="17"/>
      <c r="E19" s="2"/>
    </row>
    <row r="20" spans="1:12" s="1" customFormat="1" ht="13.15" x14ac:dyDescent="0.4">
      <c r="B20" s="19" t="s">
        <v>0</v>
      </c>
      <c r="C20" s="11"/>
      <c r="D20" s="143" t="s">
        <v>320</v>
      </c>
      <c r="E20" s="2"/>
    </row>
    <row r="21" spans="1:12" s="1" customFormat="1" x14ac:dyDescent="0.35">
      <c r="B21" s="19" t="s">
        <v>35</v>
      </c>
      <c r="C21" s="11"/>
      <c r="D21" s="144" t="s">
        <v>231</v>
      </c>
      <c r="E21" s="2"/>
    </row>
    <row r="22" spans="1:12" s="1" customFormat="1" x14ac:dyDescent="0.35">
      <c r="B22" s="19" t="s">
        <v>44</v>
      </c>
      <c r="C22" s="11"/>
      <c r="D22" s="5"/>
      <c r="E22" s="2"/>
    </row>
    <row r="23" spans="1:12" s="1" customFormat="1" x14ac:dyDescent="0.35">
      <c r="B23" s="19" t="s">
        <v>225</v>
      </c>
      <c r="C23" s="11"/>
      <c r="D23" s="5"/>
      <c r="E23" s="2"/>
    </row>
    <row r="24" spans="1:12" s="1" customFormat="1" ht="14.25" x14ac:dyDescent="0.35">
      <c r="B24" s="19" t="s">
        <v>224</v>
      </c>
      <c r="C24" s="11"/>
      <c r="D24" s="5"/>
      <c r="E24" s="2"/>
    </row>
    <row r="25" spans="1:12" s="1" customFormat="1" ht="14.25" x14ac:dyDescent="0.35">
      <c r="B25" s="19" t="s">
        <v>655</v>
      </c>
      <c r="C25" s="11"/>
      <c r="D25" s="5"/>
      <c r="E25" s="2"/>
    </row>
    <row r="26" spans="1:12" s="1" customFormat="1" x14ac:dyDescent="0.35">
      <c r="B26" s="19" t="s">
        <v>226</v>
      </c>
      <c r="C26" s="11"/>
      <c r="D26" s="5"/>
      <c r="E26" s="2"/>
    </row>
    <row r="27" spans="1:12" s="1" customFormat="1" x14ac:dyDescent="0.35">
      <c r="B27" s="19" t="s">
        <v>664</v>
      </c>
      <c r="C27" s="11"/>
      <c r="D27" s="5"/>
      <c r="E27" s="2"/>
    </row>
    <row r="28" spans="1:12" s="1" customFormat="1" x14ac:dyDescent="0.35">
      <c r="B28" s="19" t="s">
        <v>227</v>
      </c>
      <c r="C28" s="11"/>
      <c r="D28" s="5"/>
      <c r="E28" s="2"/>
    </row>
    <row r="29" spans="1:12" s="1" customFormat="1" x14ac:dyDescent="0.35">
      <c r="B29" s="3"/>
      <c r="C29" s="4"/>
      <c r="D29" s="10"/>
      <c r="E29" s="2"/>
    </row>
    <row r="30" spans="1:12" s="1" customFormat="1" ht="13.15" x14ac:dyDescent="0.4">
      <c r="B30" s="16" t="s">
        <v>63</v>
      </c>
      <c r="C30" s="15"/>
      <c r="E30" s="16" t="s">
        <v>71</v>
      </c>
      <c r="F30" s="15"/>
    </row>
    <row r="31" spans="1:12" s="1" customFormat="1" x14ac:dyDescent="0.35">
      <c r="A31" s="1">
        <v>1</v>
      </c>
      <c r="B31" s="70" t="s">
        <v>64</v>
      </c>
      <c r="C31" s="5"/>
      <c r="D31" s="1">
        <v>1</v>
      </c>
      <c r="E31" s="70" t="s">
        <v>64</v>
      </c>
      <c r="F31" s="5"/>
    </row>
    <row r="32" spans="1:12" s="1" customFormat="1" x14ac:dyDescent="0.35">
      <c r="A32" s="1">
        <v>2</v>
      </c>
      <c r="B32" s="70" t="s">
        <v>65</v>
      </c>
      <c r="C32" s="5"/>
      <c r="D32" s="1">
        <v>2</v>
      </c>
      <c r="E32" s="70" t="s">
        <v>65</v>
      </c>
      <c r="F32" s="5"/>
    </row>
    <row r="33" spans="1:6" s="1" customFormat="1" x14ac:dyDescent="0.35">
      <c r="A33" s="1">
        <v>3</v>
      </c>
      <c r="B33" s="70" t="s">
        <v>853</v>
      </c>
      <c r="C33" s="5"/>
      <c r="D33" s="1">
        <v>3</v>
      </c>
      <c r="E33" s="70" t="s">
        <v>67</v>
      </c>
      <c r="F33" s="5"/>
    </row>
    <row r="34" spans="1:6" s="1" customFormat="1" x14ac:dyDescent="0.35">
      <c r="A34" s="1">
        <v>4</v>
      </c>
      <c r="B34" s="70" t="s">
        <v>66</v>
      </c>
      <c r="C34" s="5"/>
      <c r="D34" s="1">
        <v>4</v>
      </c>
      <c r="E34" s="70" t="s">
        <v>68</v>
      </c>
      <c r="F34" s="5"/>
    </row>
    <row r="35" spans="1:6" s="1" customFormat="1" x14ac:dyDescent="0.35">
      <c r="A35" s="1">
        <v>5</v>
      </c>
      <c r="B35" s="70" t="s">
        <v>665</v>
      </c>
      <c r="C35" s="5"/>
      <c r="D35" s="1">
        <v>5</v>
      </c>
      <c r="E35" s="70" t="s">
        <v>69</v>
      </c>
      <c r="F35" s="5"/>
    </row>
    <row r="36" spans="1:6" s="1" customFormat="1" x14ac:dyDescent="0.35">
      <c r="A36" s="1">
        <v>6</v>
      </c>
      <c r="B36" s="70"/>
      <c r="C36" s="5"/>
      <c r="D36" s="1">
        <v>6</v>
      </c>
      <c r="E36" s="70" t="s">
        <v>70</v>
      </c>
      <c r="F36" s="5"/>
    </row>
    <row r="37" spans="1:6" s="1" customFormat="1" x14ac:dyDescent="0.35">
      <c r="A37" s="1">
        <v>7</v>
      </c>
      <c r="B37" s="70"/>
      <c r="C37" s="5"/>
      <c r="D37" s="1">
        <v>7</v>
      </c>
      <c r="E37" s="70" t="s">
        <v>666</v>
      </c>
      <c r="F37" s="5"/>
    </row>
    <row r="38" spans="1:6" s="1" customFormat="1" x14ac:dyDescent="0.35">
      <c r="A38" s="1">
        <v>8</v>
      </c>
      <c r="B38" s="70"/>
      <c r="C38" s="5"/>
      <c r="D38" s="1">
        <v>8</v>
      </c>
      <c r="E38" s="70" t="s">
        <v>73</v>
      </c>
      <c r="F38" s="5"/>
    </row>
    <row r="39" spans="1:6" s="1" customFormat="1" x14ac:dyDescent="0.35">
      <c r="A39" s="1">
        <v>9</v>
      </c>
      <c r="B39" s="70"/>
      <c r="C39" s="5"/>
      <c r="D39" s="1">
        <v>9</v>
      </c>
      <c r="E39" s="70" t="s">
        <v>74</v>
      </c>
      <c r="F39" s="5"/>
    </row>
    <row r="40" spans="1:6" s="1" customFormat="1" x14ac:dyDescent="0.35">
      <c r="A40" s="1">
        <v>10</v>
      </c>
      <c r="B40" s="70"/>
      <c r="C40" s="5"/>
      <c r="D40" s="1">
        <v>10</v>
      </c>
      <c r="E40" s="70" t="s">
        <v>75</v>
      </c>
      <c r="F40" s="5"/>
    </row>
    <row r="41" spans="1:6" s="1" customFormat="1" x14ac:dyDescent="0.35">
      <c r="A41" s="1">
        <v>11</v>
      </c>
      <c r="B41" s="70"/>
      <c r="C41" s="5"/>
      <c r="D41" s="1">
        <v>11</v>
      </c>
      <c r="E41" s="70" t="s">
        <v>76</v>
      </c>
      <c r="F41" s="5"/>
    </row>
    <row r="42" spans="1:6" s="1" customFormat="1" x14ac:dyDescent="0.35">
      <c r="A42" s="1">
        <v>12</v>
      </c>
      <c r="B42" s="70"/>
      <c r="C42" s="5"/>
      <c r="D42" s="1">
        <v>12</v>
      </c>
      <c r="E42" s="70" t="s">
        <v>77</v>
      </c>
      <c r="F42" s="5"/>
    </row>
    <row r="43" spans="1:6" s="1" customFormat="1" x14ac:dyDescent="0.35">
      <c r="A43" s="1">
        <v>13</v>
      </c>
      <c r="B43" s="70"/>
      <c r="C43" s="5"/>
      <c r="D43" s="1">
        <v>13</v>
      </c>
      <c r="E43" s="70" t="s">
        <v>78</v>
      </c>
      <c r="F43" s="5"/>
    </row>
    <row r="44" spans="1:6" s="1" customFormat="1" x14ac:dyDescent="0.35">
      <c r="A44" s="1">
        <v>14</v>
      </c>
      <c r="B44" s="70"/>
      <c r="C44" s="5"/>
      <c r="D44" s="1">
        <v>14</v>
      </c>
      <c r="E44" s="70" t="s">
        <v>79</v>
      </c>
      <c r="F44" s="5"/>
    </row>
    <row r="45" spans="1:6" s="1" customFormat="1" x14ac:dyDescent="0.35">
      <c r="A45" s="1">
        <v>15</v>
      </c>
      <c r="B45" s="70"/>
      <c r="C45" s="5"/>
      <c r="D45" s="1">
        <v>15</v>
      </c>
      <c r="E45" s="70" t="s">
        <v>228</v>
      </c>
      <c r="F45" s="5"/>
    </row>
    <row r="46" spans="1:6" s="1" customFormat="1" x14ac:dyDescent="0.35">
      <c r="A46" s="1">
        <v>16</v>
      </c>
      <c r="B46" s="70"/>
      <c r="C46" s="5"/>
      <c r="D46" s="1">
        <v>16</v>
      </c>
      <c r="E46" s="70" t="s">
        <v>80</v>
      </c>
      <c r="F46" s="5"/>
    </row>
    <row r="47" spans="1:6" s="1" customFormat="1" x14ac:dyDescent="0.35">
      <c r="A47" s="1">
        <v>17</v>
      </c>
      <c r="B47" s="70"/>
      <c r="C47" s="5"/>
      <c r="D47" s="1">
        <v>17</v>
      </c>
      <c r="E47" s="70" t="s">
        <v>229</v>
      </c>
      <c r="F47" s="5"/>
    </row>
    <row r="48" spans="1:6" s="1" customFormat="1" x14ac:dyDescent="0.35">
      <c r="A48" s="1">
        <v>18</v>
      </c>
      <c r="B48" s="70"/>
      <c r="C48" s="5"/>
      <c r="D48" s="1">
        <v>18</v>
      </c>
      <c r="E48" s="70" t="s">
        <v>230</v>
      </c>
      <c r="F48" s="5"/>
    </row>
    <row r="49" spans="1:6" s="1" customFormat="1" x14ac:dyDescent="0.35">
      <c r="A49" s="1">
        <v>19</v>
      </c>
      <c r="B49" s="70"/>
      <c r="C49" s="5"/>
      <c r="D49" s="1">
        <v>19</v>
      </c>
      <c r="E49" s="70" t="s">
        <v>590</v>
      </c>
      <c r="F49" s="5"/>
    </row>
    <row r="50" spans="1:6" s="1" customFormat="1" x14ac:dyDescent="0.35">
      <c r="A50" s="1">
        <v>20</v>
      </c>
      <c r="B50" s="70"/>
      <c r="C50" s="5"/>
      <c r="D50" s="1">
        <v>20</v>
      </c>
      <c r="E50" s="70"/>
      <c r="F50" s="5"/>
    </row>
    <row r="51" spans="1:6" s="1" customFormat="1" x14ac:dyDescent="0.35">
      <c r="A51" s="1">
        <v>21</v>
      </c>
      <c r="B51" s="70"/>
      <c r="C51" s="5"/>
      <c r="D51" s="1">
        <v>21</v>
      </c>
      <c r="E51" s="70"/>
      <c r="F51" s="5"/>
    </row>
    <row r="52" spans="1:6" s="1" customFormat="1" x14ac:dyDescent="0.35">
      <c r="A52" s="1">
        <v>22</v>
      </c>
      <c r="B52" s="70"/>
      <c r="C52" s="5"/>
      <c r="D52" s="1">
        <v>22</v>
      </c>
      <c r="E52" s="70"/>
      <c r="F52" s="5"/>
    </row>
    <row r="53" spans="1:6" s="1" customFormat="1" x14ac:dyDescent="0.35">
      <c r="A53" s="1">
        <v>23</v>
      </c>
      <c r="B53" s="70"/>
      <c r="C53" s="5"/>
      <c r="D53" s="1">
        <v>23</v>
      </c>
      <c r="E53" s="70"/>
      <c r="F53" s="5"/>
    </row>
    <row r="54" spans="1:6" s="1" customFormat="1" x14ac:dyDescent="0.35">
      <c r="A54" s="1">
        <v>24</v>
      </c>
      <c r="B54" s="70"/>
      <c r="C54" s="5"/>
      <c r="D54" s="1">
        <v>24</v>
      </c>
      <c r="E54" s="70"/>
      <c r="F54" s="5"/>
    </row>
    <row r="55" spans="1:6" s="1" customFormat="1" x14ac:dyDescent="0.35">
      <c r="A55" s="1">
        <v>25</v>
      </c>
      <c r="B55" s="70"/>
      <c r="C55" s="5"/>
      <c r="D55" s="1">
        <v>25</v>
      </c>
      <c r="E55" s="70"/>
      <c r="F55" s="5"/>
    </row>
    <row r="56" spans="1:6" s="1" customFormat="1" x14ac:dyDescent="0.35">
      <c r="A56" s="1">
        <v>26</v>
      </c>
      <c r="B56" s="70"/>
      <c r="C56" s="5"/>
      <c r="D56" s="1">
        <v>26</v>
      </c>
      <c r="E56" s="70"/>
      <c r="F56" s="5"/>
    </row>
    <row r="57" spans="1:6" s="1" customFormat="1" x14ac:dyDescent="0.35">
      <c r="A57" s="1">
        <v>27</v>
      </c>
      <c r="B57" s="70"/>
      <c r="C57" s="5"/>
      <c r="D57" s="1">
        <v>27</v>
      </c>
      <c r="E57" s="70"/>
      <c r="F57" s="5"/>
    </row>
    <row r="58" spans="1:6" s="1" customFormat="1" x14ac:dyDescent="0.35">
      <c r="A58" s="1">
        <v>28</v>
      </c>
      <c r="B58" s="70"/>
      <c r="C58" s="5"/>
      <c r="D58" s="1">
        <v>28</v>
      </c>
      <c r="E58" s="70"/>
      <c r="F58" s="5"/>
    </row>
    <row r="59" spans="1:6" s="1" customFormat="1" x14ac:dyDescent="0.35">
      <c r="A59" s="1">
        <v>29</v>
      </c>
      <c r="B59" s="70"/>
      <c r="C59" s="5"/>
      <c r="D59" s="1">
        <v>29</v>
      </c>
      <c r="E59" s="70"/>
      <c r="F59" s="5"/>
    </row>
    <row r="60" spans="1:6" s="1" customFormat="1" x14ac:dyDescent="0.35">
      <c r="A60" s="1">
        <v>30</v>
      </c>
      <c r="B60" s="70"/>
      <c r="C60" s="5"/>
      <c r="D60" s="1">
        <v>30</v>
      </c>
      <c r="E60" s="70"/>
      <c r="F60" s="5"/>
    </row>
    <row r="61" spans="1:6" s="1" customFormat="1" x14ac:dyDescent="0.35">
      <c r="A61" s="1">
        <v>31</v>
      </c>
      <c r="B61" s="70"/>
      <c r="C61" s="5"/>
      <c r="D61" s="1">
        <v>31</v>
      </c>
      <c r="E61" s="70"/>
      <c r="F61" s="5"/>
    </row>
    <row r="62" spans="1:6" s="1" customFormat="1" x14ac:dyDescent="0.35">
      <c r="A62" s="1">
        <v>32</v>
      </c>
      <c r="B62" s="70"/>
      <c r="C62" s="5"/>
      <c r="D62" s="1">
        <v>32</v>
      </c>
      <c r="E62" s="70"/>
      <c r="F62" s="5"/>
    </row>
    <row r="63" spans="1:6" s="1" customFormat="1" x14ac:dyDescent="0.35">
      <c r="A63" s="1">
        <v>33</v>
      </c>
      <c r="B63" s="70"/>
      <c r="C63" s="5"/>
      <c r="D63" s="1">
        <v>33</v>
      </c>
      <c r="E63" s="70"/>
      <c r="F63" s="5"/>
    </row>
    <row r="64" spans="1:6" s="1" customFormat="1" x14ac:dyDescent="0.35">
      <c r="A64" s="1">
        <v>34</v>
      </c>
      <c r="B64" s="70"/>
      <c r="C64" s="5"/>
      <c r="D64" s="1">
        <v>34</v>
      </c>
      <c r="E64" s="70"/>
      <c r="F64" s="5"/>
    </row>
    <row r="65" spans="1:10" s="1" customFormat="1" x14ac:dyDescent="0.35">
      <c r="A65" s="1">
        <v>35</v>
      </c>
      <c r="B65" s="70"/>
      <c r="C65" s="5"/>
      <c r="D65" s="1">
        <v>35</v>
      </c>
      <c r="E65" s="70"/>
      <c r="F65" s="5"/>
    </row>
    <row r="66" spans="1:10" s="1" customFormat="1" x14ac:dyDescent="0.35">
      <c r="A66" s="1">
        <v>36</v>
      </c>
      <c r="B66" s="70"/>
      <c r="C66" s="5"/>
      <c r="D66" s="1">
        <v>36</v>
      </c>
      <c r="E66" s="70"/>
      <c r="F66" s="5"/>
    </row>
    <row r="67" spans="1:10" s="1" customFormat="1" x14ac:dyDescent="0.35">
      <c r="A67" s="1">
        <v>37</v>
      </c>
      <c r="B67" s="70"/>
      <c r="C67" s="5"/>
      <c r="D67" s="1">
        <v>37</v>
      </c>
      <c r="E67" s="70"/>
      <c r="F67" s="5"/>
    </row>
    <row r="68" spans="1:10" s="1" customFormat="1" x14ac:dyDescent="0.35">
      <c r="A68" s="1">
        <v>38</v>
      </c>
      <c r="B68" s="70"/>
      <c r="C68" s="5"/>
      <c r="D68" s="1">
        <v>38</v>
      </c>
      <c r="E68" s="70"/>
      <c r="F68" s="5"/>
    </row>
    <row r="69" spans="1:10" s="1" customFormat="1" x14ac:dyDescent="0.35">
      <c r="A69" s="1">
        <v>39</v>
      </c>
      <c r="B69" s="70"/>
      <c r="C69" s="5"/>
      <c r="D69" s="1">
        <v>39</v>
      </c>
      <c r="E69" s="70"/>
      <c r="F69" s="5"/>
    </row>
    <row r="70" spans="1:10" s="1" customFormat="1" x14ac:dyDescent="0.35">
      <c r="A70" s="1">
        <v>40</v>
      </c>
      <c r="B70" s="70"/>
      <c r="C70" s="5"/>
      <c r="D70" s="1">
        <v>40</v>
      </c>
      <c r="E70" s="70"/>
      <c r="F70" s="5"/>
    </row>
    <row r="71" spans="1:10" s="1" customFormat="1" x14ac:dyDescent="0.35">
      <c r="B71" s="3"/>
      <c r="C71" s="4"/>
    </row>
    <row r="72" spans="1:10" x14ac:dyDescent="0.35">
      <c r="A72" s="1"/>
      <c r="B72" s="1"/>
      <c r="C72" s="1"/>
      <c r="D72" s="1"/>
      <c r="E72" s="1"/>
      <c r="F72" s="1"/>
      <c r="J72" s="1"/>
    </row>
    <row r="73" spans="1:10" x14ac:dyDescent="0.35">
      <c r="A73" s="1"/>
      <c r="B73" s="1"/>
      <c r="C73" s="1"/>
      <c r="D73" s="1"/>
      <c r="E73" s="1"/>
      <c r="F73" s="1"/>
      <c r="J73" s="1"/>
    </row>
    <row r="74" spans="1:10" x14ac:dyDescent="0.35">
      <c r="A74" s="1"/>
      <c r="B74" s="1"/>
      <c r="C74" s="1"/>
      <c r="D74" s="1"/>
      <c r="E74" s="1"/>
      <c r="F74" s="1"/>
      <c r="J74" s="1"/>
    </row>
    <row r="75" spans="1:10" x14ac:dyDescent="0.35">
      <c r="A75" s="1"/>
      <c r="B75" s="1"/>
      <c r="C75" s="1"/>
      <c r="D75" s="1"/>
      <c r="E75" s="1"/>
      <c r="F75" s="1"/>
      <c r="J75" s="1"/>
    </row>
    <row r="76" spans="1:10" x14ac:dyDescent="0.35">
      <c r="A76" s="1"/>
      <c r="B76" s="1"/>
      <c r="C76" s="1"/>
      <c r="D76" s="1"/>
      <c r="E76" s="1"/>
      <c r="F76" s="1"/>
    </row>
    <row r="77" spans="1:10" x14ac:dyDescent="0.35">
      <c r="A77" s="1"/>
      <c r="B77" s="1"/>
      <c r="C77" s="1"/>
      <c r="D77" s="1"/>
      <c r="E77" s="1"/>
      <c r="F77" s="1"/>
    </row>
    <row r="78" spans="1:10" x14ac:dyDescent="0.35">
      <c r="A78" s="1"/>
      <c r="B78" s="1"/>
      <c r="C78" s="1"/>
      <c r="D78" s="1"/>
      <c r="E78" s="1"/>
      <c r="F78" s="1"/>
    </row>
    <row r="79" spans="1:10" x14ac:dyDescent="0.35">
      <c r="A79" s="1"/>
      <c r="B79" s="1"/>
      <c r="C79" s="1"/>
      <c r="D79" s="1"/>
      <c r="E79" s="1"/>
      <c r="F79" s="1"/>
    </row>
    <row r="80" spans="1:10" x14ac:dyDescent="0.35">
      <c r="A80" s="1"/>
      <c r="B80" s="1"/>
      <c r="C80" s="1"/>
      <c r="D80" s="1"/>
      <c r="E80" s="1"/>
      <c r="F80" s="1"/>
    </row>
    <row r="81" spans="1:9" x14ac:dyDescent="0.35">
      <c r="A81" s="1"/>
      <c r="B81" s="1"/>
      <c r="C81" s="1"/>
      <c r="D81" s="1"/>
      <c r="E81" s="1"/>
      <c r="F81" s="1"/>
    </row>
    <row r="82" spans="1:9" x14ac:dyDescent="0.35">
      <c r="A82" s="1"/>
      <c r="B82" s="1"/>
      <c r="C82" s="1"/>
      <c r="D82" s="1"/>
      <c r="E82" s="1"/>
      <c r="F82" s="1"/>
    </row>
    <row r="83" spans="1:9" x14ac:dyDescent="0.35">
      <c r="A83" s="1"/>
      <c r="B83" s="1"/>
      <c r="C83" s="1"/>
      <c r="D83" s="1"/>
      <c r="E83" s="1"/>
      <c r="F83" s="1"/>
    </row>
    <row r="84" spans="1:9" x14ac:dyDescent="0.35">
      <c r="A84" s="1"/>
      <c r="B84" s="1"/>
      <c r="C84" s="1"/>
      <c r="D84" s="1"/>
      <c r="E84" s="1"/>
      <c r="F84" s="1"/>
    </row>
    <row r="85" spans="1:9" x14ac:dyDescent="0.3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3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3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3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35">
      <c r="A89" s="1"/>
      <c r="B89" s="1"/>
      <c r="C89" s="1"/>
      <c r="D89" s="1"/>
      <c r="E89" s="1"/>
      <c r="F89" s="1"/>
    </row>
    <row r="90" spans="1:9" x14ac:dyDescent="0.35">
      <c r="A90" s="1"/>
      <c r="B90" s="1"/>
      <c r="C90" s="1"/>
      <c r="D90" s="1"/>
      <c r="E90" s="1"/>
      <c r="F90" s="1"/>
    </row>
    <row r="91" spans="1:9" x14ac:dyDescent="0.35">
      <c r="A91" s="1"/>
      <c r="B91" s="1"/>
      <c r="C91" s="1"/>
      <c r="D91" s="1"/>
      <c r="E91" s="1"/>
      <c r="F91" s="1"/>
    </row>
    <row r="92" spans="1:9" x14ac:dyDescent="0.35">
      <c r="A92" s="1"/>
      <c r="B92" s="1"/>
      <c r="C92" s="1"/>
      <c r="D92" s="1"/>
      <c r="E92" s="1"/>
      <c r="F92" s="1"/>
    </row>
    <row r="93" spans="1:9" x14ac:dyDescent="0.35">
      <c r="A93" s="1"/>
      <c r="B93" s="1"/>
      <c r="C93" s="1"/>
      <c r="D93" s="1"/>
      <c r="E93" s="1"/>
      <c r="F93" s="1"/>
    </row>
    <row r="94" spans="1:9" s="1" customFormat="1" x14ac:dyDescent="0.35"/>
    <row r="95" spans="1:9" x14ac:dyDescent="0.35">
      <c r="A95" s="1"/>
      <c r="B95" s="1"/>
      <c r="C95" s="1"/>
      <c r="D95" s="1"/>
      <c r="E95" s="1"/>
      <c r="F95" s="1"/>
    </row>
    <row r="96" spans="1:9" x14ac:dyDescent="0.35">
      <c r="A96" s="1"/>
      <c r="B96" s="1"/>
      <c r="C96" s="1"/>
      <c r="D96" s="1"/>
      <c r="E96" s="1"/>
      <c r="F96" s="1"/>
    </row>
    <row r="97" spans="1:9" x14ac:dyDescent="0.35">
      <c r="A97" s="1"/>
      <c r="B97" s="1"/>
      <c r="C97" s="1"/>
      <c r="D97" s="1"/>
      <c r="E97" s="1"/>
      <c r="F97" s="1"/>
    </row>
    <row r="98" spans="1:9" x14ac:dyDescent="0.35">
      <c r="A98" s="1"/>
      <c r="B98" s="1"/>
      <c r="C98" s="1"/>
      <c r="D98" s="1"/>
      <c r="E98" s="1"/>
      <c r="F98" s="1"/>
    </row>
    <row r="99" spans="1:9" x14ac:dyDescent="0.3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35">
      <c r="A100" s="1"/>
      <c r="B100" s="1"/>
      <c r="C100" s="1"/>
      <c r="D100" s="1"/>
      <c r="E100" s="1"/>
      <c r="F100" s="1"/>
    </row>
    <row r="101" spans="1:9" x14ac:dyDescent="0.35">
      <c r="A101" s="1"/>
      <c r="B101" s="1"/>
      <c r="C101" s="1"/>
      <c r="D101" s="1"/>
      <c r="E101" s="1"/>
      <c r="F101" s="1"/>
    </row>
    <row r="102" spans="1:9" x14ac:dyDescent="0.35">
      <c r="A102" s="1"/>
      <c r="B102" s="1"/>
      <c r="C102" s="1"/>
      <c r="D102" s="1"/>
      <c r="E102" s="1"/>
      <c r="F102" s="1"/>
    </row>
    <row r="103" spans="1:9" x14ac:dyDescent="0.35">
      <c r="A103" s="1"/>
      <c r="B103" s="1"/>
      <c r="C103" s="1"/>
      <c r="D103" s="1"/>
      <c r="E103" s="1"/>
      <c r="F103" s="1"/>
    </row>
    <row r="104" spans="1:9" x14ac:dyDescent="0.35">
      <c r="A104" s="1"/>
      <c r="B104" s="1"/>
      <c r="C104" s="1"/>
      <c r="D104" s="1"/>
      <c r="E104" s="1"/>
      <c r="F104" s="1"/>
    </row>
    <row r="105" spans="1:9" s="1" customFormat="1" x14ac:dyDescent="0.35">
      <c r="G105"/>
      <c r="H105"/>
      <c r="I105"/>
    </row>
    <row r="106" spans="1:9" x14ac:dyDescent="0.35">
      <c r="A106" s="1"/>
      <c r="B106" s="1"/>
      <c r="C106" s="1"/>
      <c r="D106" s="1"/>
      <c r="E106" s="1"/>
      <c r="F106" s="1"/>
    </row>
    <row r="107" spans="1:9" x14ac:dyDescent="0.35">
      <c r="A107" s="1"/>
      <c r="B107" s="1"/>
      <c r="C107" s="1"/>
      <c r="D107" s="1"/>
      <c r="E107" s="1"/>
      <c r="F107" s="1"/>
    </row>
    <row r="108" spans="1:9" x14ac:dyDescent="0.35">
      <c r="A108" s="1"/>
      <c r="B108" s="1"/>
      <c r="C108" s="1"/>
      <c r="D108" s="1"/>
      <c r="E108" s="1"/>
      <c r="F108" s="1"/>
    </row>
    <row r="109" spans="1:9" x14ac:dyDescent="0.35">
      <c r="A109" s="1"/>
      <c r="B109" s="1"/>
      <c r="C109" s="1"/>
      <c r="D109" s="1"/>
      <c r="E109" s="1"/>
      <c r="F109" s="1"/>
    </row>
    <row r="110" spans="1:9" x14ac:dyDescent="0.3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35">
      <c r="A111" s="1"/>
      <c r="B111" s="1"/>
      <c r="C111" s="1"/>
      <c r="D111" s="1"/>
      <c r="E111" s="1"/>
      <c r="F111" s="1"/>
    </row>
    <row r="112" spans="1:9" x14ac:dyDescent="0.35">
      <c r="A112" s="1"/>
      <c r="B112" s="1"/>
      <c r="C112" s="1"/>
      <c r="D112" s="1"/>
      <c r="E112" s="1"/>
      <c r="F112" s="1"/>
    </row>
    <row r="113" spans="1:9" x14ac:dyDescent="0.35">
      <c r="A113" s="1"/>
      <c r="B113" s="1"/>
      <c r="C113" s="1"/>
      <c r="D113" s="1"/>
      <c r="E113" s="1"/>
      <c r="F113" s="1"/>
    </row>
    <row r="114" spans="1:9" x14ac:dyDescent="0.35">
      <c r="A114" s="1"/>
      <c r="B114" s="1"/>
      <c r="C114" s="1"/>
      <c r="D114" s="1"/>
      <c r="E114" s="1"/>
      <c r="F114" s="1"/>
    </row>
    <row r="115" spans="1:9" s="1" customFormat="1" x14ac:dyDescent="0.35">
      <c r="G115"/>
      <c r="H115"/>
      <c r="I115"/>
    </row>
    <row r="116" spans="1:9" x14ac:dyDescent="0.35">
      <c r="A116" s="1"/>
      <c r="B116" s="1"/>
      <c r="C116" s="1"/>
      <c r="D116" s="1"/>
      <c r="E116" s="1"/>
      <c r="F116" s="1"/>
    </row>
    <row r="117" spans="1:9" x14ac:dyDescent="0.35">
      <c r="A117" s="1"/>
      <c r="B117" s="1"/>
      <c r="C117" s="1"/>
      <c r="D117" s="1"/>
      <c r="E117" s="1"/>
      <c r="F117" s="1"/>
    </row>
    <row r="118" spans="1:9" x14ac:dyDescent="0.35">
      <c r="A118" s="1"/>
      <c r="B118" s="1"/>
      <c r="C118" s="1"/>
      <c r="D118" s="1"/>
      <c r="E118" s="1"/>
      <c r="F118" s="1"/>
    </row>
    <row r="119" spans="1:9" x14ac:dyDescent="0.35">
      <c r="A119" s="1"/>
      <c r="B119" s="1"/>
      <c r="C119" s="1"/>
      <c r="D119" s="1"/>
      <c r="E119" s="1"/>
      <c r="F119" s="1"/>
    </row>
    <row r="120" spans="1:9" s="1" customFormat="1" x14ac:dyDescent="0.35"/>
    <row r="121" spans="1:9" x14ac:dyDescent="0.35">
      <c r="A121" s="1"/>
      <c r="B121" s="1"/>
      <c r="C121" s="1"/>
      <c r="D121" s="1"/>
      <c r="E121" s="1"/>
      <c r="F121" s="1"/>
    </row>
    <row r="122" spans="1:9" x14ac:dyDescent="0.35">
      <c r="A122" s="1"/>
      <c r="B122" s="1"/>
      <c r="C122" s="1"/>
      <c r="D122" s="1"/>
      <c r="E122" s="1"/>
      <c r="F122" s="1"/>
    </row>
    <row r="126" spans="1:9" x14ac:dyDescent="0.35">
      <c r="G126" s="1"/>
      <c r="H126" s="1"/>
      <c r="I126" s="1"/>
    </row>
  </sheetData>
  <sheetProtection sheet="1" objects="1" scenarios="1" selectLockedCells="1"/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List4">
    <tabColor rgb="FF7030A0"/>
  </sheetPr>
  <dimension ref="B1:S88"/>
  <sheetViews>
    <sheetView tabSelected="1" topLeftCell="A61" zoomScale="85" zoomScaleNormal="85" workbookViewId="0">
      <selection activeCell="N88" sqref="N88"/>
    </sheetView>
  </sheetViews>
  <sheetFormatPr defaultColWidth="9.1328125" defaultRowHeight="12.75" outlineLevelCol="1" x14ac:dyDescent="0.35"/>
  <cols>
    <col min="1" max="1" width="9.1328125" style="21"/>
    <col min="2" max="2" width="14.86328125" style="21" hidden="1" customWidth="1" outlineLevel="1"/>
    <col min="3" max="3" width="24.59765625" style="847" hidden="1" customWidth="1" outlineLevel="1"/>
    <col min="4" max="4" width="14.86328125" style="21" hidden="1" customWidth="1" outlineLevel="1"/>
    <col min="5" max="5" width="24.59765625" style="847" hidden="1" customWidth="1" outlineLevel="1"/>
    <col min="6" max="6" width="2" style="21" hidden="1" customWidth="1" outlineLevel="1"/>
    <col min="7" max="7" width="6" style="21" customWidth="1" collapsed="1"/>
    <col min="8" max="8" width="7.73046875" style="21" customWidth="1"/>
    <col min="9" max="9" width="8.265625" style="21" customWidth="1"/>
    <col min="10" max="10" width="8.265625" style="21" hidden="1" customWidth="1"/>
    <col min="11" max="11" width="19.86328125" style="21" hidden="1" customWidth="1"/>
    <col min="12" max="12" width="8.265625" style="21" customWidth="1"/>
    <col min="13" max="13" width="25.1328125" style="21" customWidth="1"/>
    <col min="14" max="14" width="55.73046875" style="21" customWidth="1"/>
    <col min="15" max="15" width="13.86328125" style="21" customWidth="1"/>
    <col min="16" max="16" width="15.1328125" style="332" customWidth="1"/>
    <col min="17" max="17" width="9.1328125" style="21"/>
    <col min="18" max="18" width="17.3984375" style="333" customWidth="1"/>
    <col min="19" max="19" width="23.3984375" style="333" customWidth="1"/>
    <col min="20" max="16384" width="9.1328125" style="21"/>
  </cols>
  <sheetData>
    <row r="1" spans="2:19" ht="9" customHeight="1" x14ac:dyDescent="0.35"/>
    <row r="2" spans="2:19" ht="23.25" customHeight="1" x14ac:dyDescent="0.5">
      <c r="G2" s="334" t="s">
        <v>513</v>
      </c>
      <c r="M2" s="335"/>
    </row>
    <row r="3" spans="2:19" ht="20.100000000000001" customHeight="1" thickBot="1" x14ac:dyDescent="0.45">
      <c r="B3" s="819" t="s">
        <v>647</v>
      </c>
      <c r="C3" s="848"/>
      <c r="D3" s="819"/>
      <c r="E3" s="848"/>
      <c r="G3" s="336"/>
      <c r="H3" s="337" t="s">
        <v>514</v>
      </c>
      <c r="L3" s="337" t="s">
        <v>515</v>
      </c>
      <c r="R3" s="953"/>
      <c r="S3" s="954"/>
    </row>
    <row r="4" spans="2:19" ht="33.75" customHeight="1" thickTop="1" thickBot="1" x14ac:dyDescent="0.4">
      <c r="B4" s="338" t="s">
        <v>98</v>
      </c>
      <c r="C4" s="851" t="s">
        <v>720</v>
      </c>
      <c r="D4" s="845" t="s">
        <v>718</v>
      </c>
      <c r="E4" s="849" t="s">
        <v>719</v>
      </c>
      <c r="G4" s="339" t="s">
        <v>151</v>
      </c>
      <c r="H4" s="340" t="s">
        <v>152</v>
      </c>
      <c r="I4" s="340" t="s">
        <v>30</v>
      </c>
      <c r="J4" s="340"/>
      <c r="K4" s="340"/>
      <c r="L4" s="341" t="s">
        <v>152</v>
      </c>
      <c r="M4" s="342" t="s">
        <v>30</v>
      </c>
      <c r="N4" s="342" t="s">
        <v>153</v>
      </c>
      <c r="O4" s="343" t="s">
        <v>98</v>
      </c>
      <c r="P4" s="344" t="s">
        <v>644</v>
      </c>
    </row>
    <row r="5" spans="2:19" ht="16.149999999999999" thickTop="1" x14ac:dyDescent="0.35">
      <c r="B5" s="846" t="str">
        <f>O5</f>
        <v>ELDK</v>
      </c>
      <c r="C5" s="850" t="str">
        <f>M5</f>
        <v>Dokumentace</v>
      </c>
      <c r="D5" s="846" t="str">
        <f t="shared" ref="D5:D36" si="0">J5</f>
        <v>EL</v>
      </c>
      <c r="E5" s="850" t="str">
        <f t="shared" ref="E5:E36" si="1">K5</f>
        <v>Elektro</v>
      </c>
      <c r="G5" s="345">
        <v>1</v>
      </c>
      <c r="H5" s="965" t="str">
        <f>J5</f>
        <v>EL</v>
      </c>
      <c r="I5" s="968" t="str">
        <f>K5</f>
        <v>Elektro</v>
      </c>
      <c r="J5" s="825" t="s">
        <v>3</v>
      </c>
      <c r="K5" s="826" t="s">
        <v>176</v>
      </c>
      <c r="L5" s="346" t="s">
        <v>592</v>
      </c>
      <c r="M5" s="666" t="s">
        <v>249</v>
      </c>
      <c r="N5" s="1056" t="s">
        <v>249</v>
      </c>
      <c r="O5" s="347" t="str">
        <f>J5&amp;L5</f>
        <v>ELDK</v>
      </c>
      <c r="P5" s="348"/>
    </row>
    <row r="6" spans="2:19" ht="15.75" x14ac:dyDescent="0.35">
      <c r="B6" s="846" t="str">
        <f t="shared" ref="B6:B69" si="2">O6</f>
        <v>ELDP</v>
      </c>
      <c r="C6" s="850" t="str">
        <f t="shared" ref="C6:C69" si="3">M6</f>
        <v>Doprava</v>
      </c>
      <c r="D6" s="846" t="str">
        <f t="shared" si="0"/>
        <v>EL</v>
      </c>
      <c r="E6" s="850" t="str">
        <f t="shared" si="1"/>
        <v>Elektro</v>
      </c>
      <c r="G6" s="349">
        <v>2</v>
      </c>
      <c r="H6" s="966"/>
      <c r="I6" s="969"/>
      <c r="J6" s="827" t="str">
        <f>J5</f>
        <v>EL</v>
      </c>
      <c r="K6" s="828" t="str">
        <f>K5</f>
        <v>Elektro</v>
      </c>
      <c r="L6" s="350" t="s">
        <v>205</v>
      </c>
      <c r="M6" s="667" t="s">
        <v>213</v>
      </c>
      <c r="N6" s="351" t="s">
        <v>213</v>
      </c>
      <c r="O6" s="352" t="str">
        <f t="shared" ref="O6:O69" si="4">J6&amp;L6</f>
        <v>ELDP</v>
      </c>
      <c r="P6" s="353"/>
    </row>
    <row r="7" spans="2:19" ht="15.75" x14ac:dyDescent="0.35">
      <c r="B7" s="846" t="str">
        <f t="shared" si="2"/>
        <v>ELDV</v>
      </c>
      <c r="C7" s="850" t="str">
        <f t="shared" si="3"/>
        <v>Dálkové ovládání</v>
      </c>
      <c r="D7" s="846" t="str">
        <f t="shared" si="0"/>
        <v>EL</v>
      </c>
      <c r="E7" s="850" t="str">
        <f t="shared" si="1"/>
        <v>Elektro</v>
      </c>
      <c r="G7" s="349">
        <v>3</v>
      </c>
      <c r="H7" s="966"/>
      <c r="I7" s="969"/>
      <c r="J7" s="827" t="str">
        <f t="shared" ref="J7:J33" si="5">J6</f>
        <v>EL</v>
      </c>
      <c r="K7" s="828" t="str">
        <f t="shared" ref="K7:K33" si="6">K6</f>
        <v>Elektro</v>
      </c>
      <c r="L7" s="350" t="s">
        <v>591</v>
      </c>
      <c r="M7" s="667" t="s">
        <v>188</v>
      </c>
      <c r="N7" s="354" t="s">
        <v>579</v>
      </c>
      <c r="O7" s="352" t="str">
        <f t="shared" si="4"/>
        <v>ELDV</v>
      </c>
      <c r="P7" s="353"/>
    </row>
    <row r="8" spans="2:19" ht="38.25" x14ac:dyDescent="0.35">
      <c r="B8" s="846" t="str">
        <f t="shared" si="2"/>
        <v>ELFM</v>
      </c>
      <c r="C8" s="850" t="str">
        <f t="shared" si="3"/>
        <v>Frekvenční měniče</v>
      </c>
      <c r="D8" s="846" t="str">
        <f t="shared" si="0"/>
        <v>EL</v>
      </c>
      <c r="E8" s="850" t="str">
        <f t="shared" si="1"/>
        <v>Elektro</v>
      </c>
      <c r="G8" s="349">
        <v>4</v>
      </c>
      <c r="H8" s="966"/>
      <c r="I8" s="969"/>
      <c r="J8" s="827" t="str">
        <f t="shared" si="5"/>
        <v>EL</v>
      </c>
      <c r="K8" s="828" t="str">
        <f t="shared" si="6"/>
        <v>Elektro</v>
      </c>
      <c r="L8" s="350" t="s">
        <v>178</v>
      </c>
      <c r="M8" s="667" t="s">
        <v>256</v>
      </c>
      <c r="N8" s="354" t="s">
        <v>583</v>
      </c>
      <c r="O8" s="352" t="str">
        <f t="shared" si="4"/>
        <v>ELFM</v>
      </c>
      <c r="P8" s="353"/>
    </row>
    <row r="9" spans="2:19" ht="15.75" x14ac:dyDescent="0.35">
      <c r="B9" s="846" t="str">
        <f t="shared" si="2"/>
        <v>ELIC</v>
      </c>
      <c r="C9" s="850" t="str">
        <f t="shared" si="3"/>
        <v>Inženýrská činnost</v>
      </c>
      <c r="D9" s="846" t="str">
        <f t="shared" si="0"/>
        <v>EL</v>
      </c>
      <c r="E9" s="850" t="str">
        <f t="shared" si="1"/>
        <v>Elektro</v>
      </c>
      <c r="G9" s="355">
        <v>5</v>
      </c>
      <c r="H9" s="966"/>
      <c r="I9" s="969"/>
      <c r="J9" s="827" t="str">
        <f t="shared" si="5"/>
        <v>EL</v>
      </c>
      <c r="K9" s="828" t="str">
        <f t="shared" si="6"/>
        <v>Elektro</v>
      </c>
      <c r="L9" s="350" t="s">
        <v>250</v>
      </c>
      <c r="M9" s="667" t="s">
        <v>251</v>
      </c>
      <c r="N9" s="351" t="s">
        <v>518</v>
      </c>
      <c r="O9" s="352" t="str">
        <f t="shared" si="4"/>
        <v>ELIC</v>
      </c>
      <c r="P9" s="353"/>
    </row>
    <row r="10" spans="2:19" ht="25.5" x14ac:dyDescent="0.35">
      <c r="B10" s="846" t="str">
        <f t="shared" si="2"/>
        <v>ELKA</v>
      </c>
      <c r="C10" s="850" t="str">
        <f t="shared" si="3"/>
        <v>Kabely</v>
      </c>
      <c r="D10" s="846" t="str">
        <f t="shared" si="0"/>
        <v>EL</v>
      </c>
      <c r="E10" s="850" t="str">
        <f t="shared" si="1"/>
        <v>Elektro</v>
      </c>
      <c r="G10" s="356">
        <v>6</v>
      </c>
      <c r="H10" s="966"/>
      <c r="I10" s="969"/>
      <c r="J10" s="827" t="str">
        <f t="shared" si="5"/>
        <v>EL</v>
      </c>
      <c r="K10" s="828" t="str">
        <f t="shared" si="6"/>
        <v>Elektro</v>
      </c>
      <c r="L10" s="350" t="s">
        <v>4</v>
      </c>
      <c r="M10" s="667" t="s">
        <v>177</v>
      </c>
      <c r="N10" s="351" t="s">
        <v>577</v>
      </c>
      <c r="O10" s="352" t="str">
        <f t="shared" si="4"/>
        <v>ELKA</v>
      </c>
      <c r="P10" s="353"/>
    </row>
    <row r="11" spans="2:19" ht="25.5" x14ac:dyDescent="0.35">
      <c r="B11" s="846" t="str">
        <f t="shared" si="2"/>
        <v>ELKL</v>
      </c>
      <c r="C11" s="850" t="str">
        <f t="shared" si="3"/>
        <v>Klimatizace</v>
      </c>
      <c r="D11" s="846" t="str">
        <f t="shared" si="0"/>
        <v>EL</v>
      </c>
      <c r="E11" s="850" t="str">
        <f t="shared" si="1"/>
        <v>Elektro</v>
      </c>
      <c r="G11" s="349">
        <v>7</v>
      </c>
      <c r="H11" s="966"/>
      <c r="I11" s="969"/>
      <c r="J11" s="827" t="str">
        <f t="shared" si="5"/>
        <v>EL</v>
      </c>
      <c r="K11" s="828" t="str">
        <f t="shared" si="6"/>
        <v>Elektro</v>
      </c>
      <c r="L11" s="350" t="s">
        <v>270</v>
      </c>
      <c r="M11" s="667" t="s">
        <v>261</v>
      </c>
      <c r="N11" s="354" t="s">
        <v>581</v>
      </c>
      <c r="O11" s="352" t="str">
        <f t="shared" si="4"/>
        <v>ELKL</v>
      </c>
      <c r="P11" s="353"/>
    </row>
    <row r="12" spans="2:19" ht="25.5" x14ac:dyDescent="0.35">
      <c r="B12" s="846" t="str">
        <f t="shared" si="2"/>
        <v>ELKO</v>
      </c>
      <c r="C12" s="850" t="str">
        <f t="shared" si="3"/>
        <v>Kompenzace</v>
      </c>
      <c r="D12" s="846" t="str">
        <f t="shared" si="0"/>
        <v>EL</v>
      </c>
      <c r="E12" s="850" t="str">
        <f t="shared" si="1"/>
        <v>Elektro</v>
      </c>
      <c r="G12" s="349">
        <v>8</v>
      </c>
      <c r="H12" s="966"/>
      <c r="I12" s="969"/>
      <c r="J12" s="827" t="str">
        <f t="shared" si="5"/>
        <v>EL</v>
      </c>
      <c r="K12" s="828" t="str">
        <f t="shared" si="6"/>
        <v>Elektro</v>
      </c>
      <c r="L12" s="350" t="s">
        <v>5</v>
      </c>
      <c r="M12" s="667" t="s">
        <v>189</v>
      </c>
      <c r="N12" s="351" t="s">
        <v>522</v>
      </c>
      <c r="O12" s="352" t="str">
        <f t="shared" si="4"/>
        <v>ELKO</v>
      </c>
      <c r="P12" s="353"/>
    </row>
    <row r="13" spans="2:19" ht="25.5" x14ac:dyDescent="0.35">
      <c r="B13" s="846" t="str">
        <f t="shared" si="2"/>
        <v>ELKS</v>
      </c>
      <c r="C13" s="850" t="str">
        <f t="shared" si="3"/>
        <v>Kamerový systém</v>
      </c>
      <c r="D13" s="846" t="str">
        <f t="shared" si="0"/>
        <v>EL</v>
      </c>
      <c r="E13" s="850" t="str">
        <f t="shared" si="1"/>
        <v>Elektro</v>
      </c>
      <c r="G13" s="349">
        <v>9</v>
      </c>
      <c r="H13" s="966"/>
      <c r="I13" s="969"/>
      <c r="J13" s="827" t="str">
        <f t="shared" si="5"/>
        <v>EL</v>
      </c>
      <c r="K13" s="828" t="str">
        <f t="shared" si="6"/>
        <v>Elektro</v>
      </c>
      <c r="L13" s="350" t="s">
        <v>42</v>
      </c>
      <c r="M13" s="667" t="s">
        <v>187</v>
      </c>
      <c r="N13" s="351" t="s">
        <v>580</v>
      </c>
      <c r="O13" s="352" t="str">
        <f t="shared" si="4"/>
        <v>ELKS</v>
      </c>
      <c r="P13" s="353"/>
    </row>
    <row r="14" spans="2:19" ht="25.5" x14ac:dyDescent="0.35">
      <c r="B14" s="846" t="str">
        <f t="shared" si="2"/>
        <v>ELKT</v>
      </c>
      <c r="C14" s="850" t="str">
        <f t="shared" si="3"/>
        <v>Kabelové trasy</v>
      </c>
      <c r="D14" s="846" t="str">
        <f t="shared" si="0"/>
        <v>EL</v>
      </c>
      <c r="E14" s="850" t="str">
        <f t="shared" si="1"/>
        <v>Elektro</v>
      </c>
      <c r="G14" s="355">
        <v>10</v>
      </c>
      <c r="H14" s="966"/>
      <c r="I14" s="969"/>
      <c r="J14" s="827" t="str">
        <f t="shared" si="5"/>
        <v>EL</v>
      </c>
      <c r="K14" s="828" t="str">
        <f t="shared" si="6"/>
        <v>Elektro</v>
      </c>
      <c r="L14" s="350" t="s">
        <v>6</v>
      </c>
      <c r="M14" s="667" t="s">
        <v>186</v>
      </c>
      <c r="N14" s="351" t="s">
        <v>571</v>
      </c>
      <c r="O14" s="352" t="str">
        <f t="shared" si="4"/>
        <v>ELKT</v>
      </c>
      <c r="P14" s="353"/>
    </row>
    <row r="15" spans="2:19" ht="25.5" x14ac:dyDescent="0.35">
      <c r="B15" s="846" t="str">
        <f t="shared" si="2"/>
        <v>ELMO</v>
      </c>
      <c r="C15" s="850" t="str">
        <f t="shared" si="3"/>
        <v>Motory</v>
      </c>
      <c r="D15" s="846" t="str">
        <f t="shared" si="0"/>
        <v>EL</v>
      </c>
      <c r="E15" s="850" t="str">
        <f t="shared" si="1"/>
        <v>Elektro</v>
      </c>
      <c r="G15" s="356">
        <v>11</v>
      </c>
      <c r="H15" s="966"/>
      <c r="I15" s="969"/>
      <c r="J15" s="827" t="str">
        <f t="shared" si="5"/>
        <v>EL</v>
      </c>
      <c r="K15" s="828" t="str">
        <f t="shared" si="6"/>
        <v>Elektro</v>
      </c>
      <c r="L15" s="350" t="s">
        <v>12</v>
      </c>
      <c r="M15" s="667" t="s">
        <v>11</v>
      </c>
      <c r="N15" s="351" t="s">
        <v>519</v>
      </c>
      <c r="O15" s="352" t="str">
        <f t="shared" si="4"/>
        <v>ELMO</v>
      </c>
      <c r="P15" s="353"/>
    </row>
    <row r="16" spans="2:19" ht="15.75" x14ac:dyDescent="0.35">
      <c r="B16" s="846" t="str">
        <f t="shared" si="2"/>
        <v>ELMT</v>
      </c>
      <c r="C16" s="850" t="str">
        <f t="shared" si="3"/>
        <v>Montáž</v>
      </c>
      <c r="D16" s="846" t="str">
        <f t="shared" si="0"/>
        <v>EL</v>
      </c>
      <c r="E16" s="850" t="str">
        <f t="shared" si="1"/>
        <v>Elektro</v>
      </c>
      <c r="G16" s="349">
        <v>12</v>
      </c>
      <c r="H16" s="966"/>
      <c r="I16" s="969"/>
      <c r="J16" s="827" t="str">
        <f t="shared" si="5"/>
        <v>EL</v>
      </c>
      <c r="K16" s="828" t="str">
        <f t="shared" si="6"/>
        <v>Elektro</v>
      </c>
      <c r="L16" s="350" t="s">
        <v>593</v>
      </c>
      <c r="M16" s="667" t="s">
        <v>1</v>
      </c>
      <c r="N16" s="351" t="s">
        <v>1</v>
      </c>
      <c r="O16" s="352" t="str">
        <f t="shared" si="4"/>
        <v>ELMT</v>
      </c>
      <c r="P16" s="353"/>
    </row>
    <row r="17" spans="2:19" ht="15.75" x14ac:dyDescent="0.35">
      <c r="B17" s="846" t="str">
        <f t="shared" si="2"/>
        <v>ELND</v>
      </c>
      <c r="C17" s="850" t="str">
        <f t="shared" si="3"/>
        <v>Náhradní díly</v>
      </c>
      <c r="D17" s="846" t="str">
        <f t="shared" si="0"/>
        <v>EL</v>
      </c>
      <c r="E17" s="850" t="str">
        <f t="shared" si="1"/>
        <v>Elektro</v>
      </c>
      <c r="G17" s="349">
        <v>13</v>
      </c>
      <c r="H17" s="966"/>
      <c r="I17" s="969"/>
      <c r="J17" s="827" t="str">
        <f t="shared" si="5"/>
        <v>EL</v>
      </c>
      <c r="K17" s="828" t="str">
        <f t="shared" si="6"/>
        <v>Elektro</v>
      </c>
      <c r="L17" s="350" t="s">
        <v>272</v>
      </c>
      <c r="M17" s="667" t="s">
        <v>263</v>
      </c>
      <c r="N17" s="351" t="s">
        <v>263</v>
      </c>
      <c r="O17" s="352" t="str">
        <f t="shared" si="4"/>
        <v>ELND</v>
      </c>
      <c r="P17" s="353"/>
    </row>
    <row r="18" spans="2:19" ht="25.5" x14ac:dyDescent="0.35">
      <c r="B18" s="846" t="str">
        <f t="shared" si="2"/>
        <v>ELNN</v>
      </c>
      <c r="C18" s="850" t="str">
        <f t="shared" si="3"/>
        <v>Rozvaděče NN</v>
      </c>
      <c r="D18" s="846" t="str">
        <f t="shared" si="0"/>
        <v>EL</v>
      </c>
      <c r="E18" s="850" t="str">
        <f t="shared" si="1"/>
        <v>Elektro</v>
      </c>
      <c r="G18" s="349">
        <v>14</v>
      </c>
      <c r="H18" s="966"/>
      <c r="I18" s="969"/>
      <c r="J18" s="827" t="str">
        <f t="shared" si="5"/>
        <v>EL</v>
      </c>
      <c r="K18" s="828" t="str">
        <f t="shared" si="6"/>
        <v>Elektro</v>
      </c>
      <c r="L18" s="350" t="s">
        <v>268</v>
      </c>
      <c r="M18" s="667" t="s">
        <v>179</v>
      </c>
      <c r="N18" s="351" t="s">
        <v>584</v>
      </c>
      <c r="O18" s="352" t="str">
        <f t="shared" si="4"/>
        <v>ELNN</v>
      </c>
      <c r="P18" s="353"/>
    </row>
    <row r="19" spans="2:19" ht="38.25" x14ac:dyDescent="0.35">
      <c r="B19" s="846" t="str">
        <f t="shared" si="2"/>
        <v>ELOS</v>
      </c>
      <c r="C19" s="850" t="str">
        <f t="shared" si="3"/>
        <v>Osvětlení</v>
      </c>
      <c r="D19" s="846" t="str">
        <f t="shared" si="0"/>
        <v>EL</v>
      </c>
      <c r="E19" s="850" t="str">
        <f t="shared" si="1"/>
        <v>Elektro</v>
      </c>
      <c r="G19" s="355">
        <v>15</v>
      </c>
      <c r="H19" s="966"/>
      <c r="I19" s="969"/>
      <c r="J19" s="827" t="str">
        <f t="shared" si="5"/>
        <v>EL</v>
      </c>
      <c r="K19" s="828" t="str">
        <f t="shared" si="6"/>
        <v>Elektro</v>
      </c>
      <c r="L19" s="350" t="s">
        <v>95</v>
      </c>
      <c r="M19" s="667" t="s">
        <v>258</v>
      </c>
      <c r="N19" s="351" t="s">
        <v>570</v>
      </c>
      <c r="O19" s="352" t="str">
        <f t="shared" si="4"/>
        <v>ELOS</v>
      </c>
      <c r="P19" s="353"/>
    </row>
    <row r="20" spans="2:19" ht="15.75" x14ac:dyDescent="0.35">
      <c r="B20" s="846" t="str">
        <f t="shared" si="2"/>
        <v>ELOZ</v>
      </c>
      <c r="C20" s="850" t="str">
        <f t="shared" si="3"/>
        <v>Ostatní zařízení</v>
      </c>
      <c r="D20" s="846" t="str">
        <f t="shared" si="0"/>
        <v>EL</v>
      </c>
      <c r="E20" s="850" t="str">
        <f t="shared" si="1"/>
        <v>Elektro</v>
      </c>
      <c r="G20" s="356">
        <v>16</v>
      </c>
      <c r="H20" s="966"/>
      <c r="I20" s="969"/>
      <c r="J20" s="827" t="str">
        <f t="shared" si="5"/>
        <v>EL</v>
      </c>
      <c r="K20" s="828" t="str">
        <f t="shared" si="6"/>
        <v>Elektro</v>
      </c>
      <c r="L20" s="350" t="s">
        <v>271</v>
      </c>
      <c r="M20" s="667" t="s">
        <v>262</v>
      </c>
      <c r="N20" s="351" t="s">
        <v>578</v>
      </c>
      <c r="O20" s="352" t="str">
        <f t="shared" si="4"/>
        <v>ELOZ</v>
      </c>
      <c r="P20" s="353"/>
    </row>
    <row r="21" spans="2:19" ht="15.75" x14ac:dyDescent="0.35">
      <c r="B21" s="846" t="str">
        <f t="shared" si="2"/>
        <v>ELPM</v>
      </c>
      <c r="C21" s="850" t="str">
        <f t="shared" si="3"/>
        <v>Podružný montážní materiál</v>
      </c>
      <c r="D21" s="846" t="str">
        <f t="shared" si="0"/>
        <v>EL</v>
      </c>
      <c r="E21" s="850" t="str">
        <f t="shared" si="1"/>
        <v>Elektro</v>
      </c>
      <c r="G21" s="349">
        <v>17</v>
      </c>
      <c r="H21" s="966"/>
      <c r="I21" s="969"/>
      <c r="J21" s="827" t="str">
        <f t="shared" si="5"/>
        <v>EL</v>
      </c>
      <c r="K21" s="828" t="str">
        <f t="shared" si="6"/>
        <v>Elektro</v>
      </c>
      <c r="L21" s="350" t="s">
        <v>267</v>
      </c>
      <c r="M21" s="667" t="s">
        <v>255</v>
      </c>
      <c r="N21" s="351" t="s">
        <v>255</v>
      </c>
      <c r="O21" s="352" t="str">
        <f t="shared" si="4"/>
        <v>ELPM</v>
      </c>
      <c r="P21" s="353"/>
    </row>
    <row r="22" spans="2:19" ht="25.5" x14ac:dyDescent="0.35">
      <c r="B22" s="846" t="str">
        <f t="shared" si="2"/>
        <v>ELRO</v>
      </c>
      <c r="C22" s="850" t="str">
        <f t="shared" si="3"/>
        <v>Rozvodna</v>
      </c>
      <c r="D22" s="846" t="str">
        <f t="shared" si="0"/>
        <v>EL</v>
      </c>
      <c r="E22" s="850" t="str">
        <f t="shared" si="1"/>
        <v>Elektro</v>
      </c>
      <c r="G22" s="355">
        <v>18</v>
      </c>
      <c r="H22" s="966"/>
      <c r="I22" s="969"/>
      <c r="J22" s="827" t="str">
        <f t="shared" si="5"/>
        <v>EL</v>
      </c>
      <c r="K22" s="828" t="str">
        <f t="shared" si="6"/>
        <v>Elektro</v>
      </c>
      <c r="L22" s="357" t="s">
        <v>53</v>
      </c>
      <c r="M22" s="668" t="s">
        <v>190</v>
      </c>
      <c r="N22" s="694" t="s">
        <v>523</v>
      </c>
      <c r="O22" s="352" t="str">
        <f t="shared" si="4"/>
        <v>ELRO</v>
      </c>
      <c r="P22" s="358"/>
    </row>
    <row r="23" spans="2:19" ht="25.5" x14ac:dyDescent="0.35">
      <c r="B23" s="846" t="str">
        <f t="shared" si="2"/>
        <v>ELRS</v>
      </c>
      <c r="C23" s="850" t="str">
        <f t="shared" si="3"/>
        <v>Řídící systém</v>
      </c>
      <c r="D23" s="846" t="str">
        <f t="shared" si="0"/>
        <v>EL</v>
      </c>
      <c r="E23" s="850" t="str">
        <f t="shared" si="1"/>
        <v>Elektro</v>
      </c>
      <c r="G23" s="356">
        <v>19</v>
      </c>
      <c r="H23" s="966"/>
      <c r="I23" s="969"/>
      <c r="J23" s="827" t="str">
        <f t="shared" si="5"/>
        <v>EL</v>
      </c>
      <c r="K23" s="828" t="str">
        <f t="shared" si="6"/>
        <v>Elektro</v>
      </c>
      <c r="L23" s="359" t="s">
        <v>193</v>
      </c>
      <c r="M23" s="669" t="s">
        <v>19</v>
      </c>
      <c r="N23" s="360" t="s">
        <v>582</v>
      </c>
      <c r="O23" s="352" t="str">
        <f t="shared" si="4"/>
        <v>ELRS</v>
      </c>
      <c r="P23" s="361"/>
    </row>
    <row r="24" spans="2:19" ht="15.75" x14ac:dyDescent="0.35">
      <c r="B24" s="846" t="str">
        <f t="shared" si="2"/>
        <v>ELSE</v>
      </c>
      <c r="C24" s="850" t="str">
        <f t="shared" si="3"/>
        <v>Šéfmontáž</v>
      </c>
      <c r="D24" s="846" t="str">
        <f t="shared" si="0"/>
        <v>EL</v>
      </c>
      <c r="E24" s="850" t="str">
        <f t="shared" si="1"/>
        <v>Elektro</v>
      </c>
      <c r="G24" s="355">
        <v>20</v>
      </c>
      <c r="H24" s="966"/>
      <c r="I24" s="969"/>
      <c r="J24" s="827" t="str">
        <f t="shared" si="5"/>
        <v>EL</v>
      </c>
      <c r="K24" s="828" t="str">
        <f t="shared" si="6"/>
        <v>Elektro</v>
      </c>
      <c r="L24" s="350" t="s">
        <v>266</v>
      </c>
      <c r="M24" s="667" t="s">
        <v>254</v>
      </c>
      <c r="N24" s="351" t="s">
        <v>254</v>
      </c>
      <c r="O24" s="352" t="str">
        <f t="shared" si="4"/>
        <v>ELSE</v>
      </c>
      <c r="P24" s="353"/>
      <c r="R24" s="21"/>
      <c r="S24" s="21"/>
    </row>
    <row r="25" spans="2:19" ht="15.75" x14ac:dyDescent="0.35">
      <c r="B25" s="846" t="str">
        <f t="shared" si="2"/>
        <v>ELSI</v>
      </c>
      <c r="C25" s="850" t="str">
        <f t="shared" si="3"/>
        <v>Signalizace</v>
      </c>
      <c r="D25" s="846" t="str">
        <f t="shared" si="0"/>
        <v>EL</v>
      </c>
      <c r="E25" s="850" t="str">
        <f t="shared" si="1"/>
        <v>Elektro</v>
      </c>
      <c r="G25" s="356">
        <v>21</v>
      </c>
      <c r="H25" s="966"/>
      <c r="I25" s="969"/>
      <c r="J25" s="827" t="str">
        <f t="shared" si="5"/>
        <v>EL</v>
      </c>
      <c r="K25" s="828" t="str">
        <f t="shared" si="6"/>
        <v>Elektro</v>
      </c>
      <c r="L25" s="350" t="s">
        <v>269</v>
      </c>
      <c r="M25" s="667" t="s">
        <v>260</v>
      </c>
      <c r="N25" s="351" t="s">
        <v>260</v>
      </c>
      <c r="O25" s="352" t="str">
        <f t="shared" si="4"/>
        <v>ELSI</v>
      </c>
      <c r="P25" s="353"/>
    </row>
    <row r="26" spans="2:19" ht="25.5" x14ac:dyDescent="0.35">
      <c r="B26" s="846" t="str">
        <f t="shared" si="2"/>
        <v>ELSN</v>
      </c>
      <c r="C26" s="850" t="str">
        <f t="shared" si="3"/>
        <v>Snímače</v>
      </c>
      <c r="D26" s="846" t="str">
        <f t="shared" si="0"/>
        <v>EL</v>
      </c>
      <c r="E26" s="850" t="str">
        <f t="shared" si="1"/>
        <v>Elektro</v>
      </c>
      <c r="G26" s="349">
        <v>22</v>
      </c>
      <c r="H26" s="966"/>
      <c r="I26" s="969"/>
      <c r="J26" s="827" t="str">
        <f t="shared" si="5"/>
        <v>EL</v>
      </c>
      <c r="K26" s="828" t="str">
        <f t="shared" si="6"/>
        <v>Elektro</v>
      </c>
      <c r="L26" s="350" t="s">
        <v>183</v>
      </c>
      <c r="M26" s="667" t="s">
        <v>184</v>
      </c>
      <c r="N26" s="351" t="s">
        <v>521</v>
      </c>
      <c r="O26" s="352" t="str">
        <f t="shared" si="4"/>
        <v>ELSN</v>
      </c>
      <c r="P26" s="353"/>
    </row>
    <row r="27" spans="2:19" ht="15.75" x14ac:dyDescent="0.35">
      <c r="B27" s="846" t="str">
        <f t="shared" si="2"/>
        <v>ELSP</v>
      </c>
      <c r="C27" s="850" t="str">
        <f t="shared" si="3"/>
        <v>Spínače</v>
      </c>
      <c r="D27" s="846" t="str">
        <f t="shared" si="0"/>
        <v>EL</v>
      </c>
      <c r="E27" s="850" t="str">
        <f t="shared" si="1"/>
        <v>Elektro</v>
      </c>
      <c r="G27" s="349">
        <v>23</v>
      </c>
      <c r="H27" s="966"/>
      <c r="I27" s="969"/>
      <c r="J27" s="827" t="str">
        <f t="shared" si="5"/>
        <v>EL</v>
      </c>
      <c r="K27" s="828" t="str">
        <f t="shared" si="6"/>
        <v>Elektro</v>
      </c>
      <c r="L27" s="350" t="s">
        <v>22</v>
      </c>
      <c r="M27" s="667" t="s">
        <v>259</v>
      </c>
      <c r="N27" s="351" t="s">
        <v>259</v>
      </c>
      <c r="O27" s="352" t="str">
        <f t="shared" si="4"/>
        <v>ELSP</v>
      </c>
      <c r="P27" s="353"/>
    </row>
    <row r="28" spans="2:19" ht="25.5" x14ac:dyDescent="0.35">
      <c r="B28" s="846" t="str">
        <f t="shared" si="2"/>
        <v>ELTR</v>
      </c>
      <c r="C28" s="850" t="str">
        <f t="shared" si="3"/>
        <v>Transformátory</v>
      </c>
      <c r="D28" s="846" t="str">
        <f t="shared" si="0"/>
        <v>EL</v>
      </c>
      <c r="E28" s="850" t="str">
        <f t="shared" si="1"/>
        <v>Elektro</v>
      </c>
      <c r="G28" s="355">
        <v>24</v>
      </c>
      <c r="H28" s="966"/>
      <c r="I28" s="969"/>
      <c r="J28" s="827" t="str">
        <f t="shared" si="5"/>
        <v>EL</v>
      </c>
      <c r="K28" s="828" t="str">
        <f t="shared" si="6"/>
        <v>Elektro</v>
      </c>
      <c r="L28" s="357" t="s">
        <v>182</v>
      </c>
      <c r="M28" s="668" t="s">
        <v>257</v>
      </c>
      <c r="N28" s="695" t="s">
        <v>520</v>
      </c>
      <c r="O28" s="352" t="str">
        <f t="shared" si="4"/>
        <v>ELTR</v>
      </c>
      <c r="P28" s="358"/>
    </row>
    <row r="29" spans="2:19" ht="25.5" x14ac:dyDescent="0.35">
      <c r="B29" s="846" t="str">
        <f t="shared" si="2"/>
        <v>ELVN</v>
      </c>
      <c r="C29" s="850" t="str">
        <f t="shared" si="3"/>
        <v>Rozvaděče VN</v>
      </c>
      <c r="D29" s="846" t="str">
        <f t="shared" si="0"/>
        <v>EL</v>
      </c>
      <c r="E29" s="850" t="str">
        <f t="shared" si="1"/>
        <v>Elektro</v>
      </c>
      <c r="G29" s="362">
        <v>25</v>
      </c>
      <c r="H29" s="966"/>
      <c r="I29" s="969"/>
      <c r="J29" s="827" t="str">
        <f t="shared" si="5"/>
        <v>EL</v>
      </c>
      <c r="K29" s="828" t="str">
        <f t="shared" si="6"/>
        <v>Elektro</v>
      </c>
      <c r="L29" s="363" t="s">
        <v>180</v>
      </c>
      <c r="M29" s="670" t="s">
        <v>181</v>
      </c>
      <c r="N29" s="360" t="s">
        <v>585</v>
      </c>
      <c r="O29" s="352" t="str">
        <f t="shared" si="4"/>
        <v>ELVN</v>
      </c>
      <c r="P29" s="361"/>
    </row>
    <row r="30" spans="2:19" ht="25.5" x14ac:dyDescent="0.35">
      <c r="B30" s="846" t="str">
        <f t="shared" si="2"/>
        <v>ELVY</v>
      </c>
      <c r="C30" s="850" t="str">
        <f t="shared" si="3"/>
        <v>Vypínače</v>
      </c>
      <c r="D30" s="846" t="str">
        <f t="shared" si="0"/>
        <v>EL</v>
      </c>
      <c r="E30" s="850" t="str">
        <f t="shared" si="1"/>
        <v>Elektro</v>
      </c>
      <c r="G30" s="356">
        <v>26</v>
      </c>
      <c r="H30" s="966"/>
      <c r="I30" s="969"/>
      <c r="J30" s="827" t="str">
        <f t="shared" si="5"/>
        <v>EL</v>
      </c>
      <c r="K30" s="828" t="str">
        <f t="shared" si="6"/>
        <v>Elektro</v>
      </c>
      <c r="L30" s="364" t="s">
        <v>156</v>
      </c>
      <c r="M30" s="671" t="s">
        <v>185</v>
      </c>
      <c r="N30" s="351" t="s">
        <v>569</v>
      </c>
      <c r="O30" s="352" t="str">
        <f t="shared" si="4"/>
        <v>ELVY</v>
      </c>
      <c r="P30" s="353"/>
    </row>
    <row r="31" spans="2:19" ht="15.75" x14ac:dyDescent="0.35">
      <c r="B31" s="846" t="str">
        <f t="shared" si="2"/>
        <v>ELZP</v>
      </c>
      <c r="C31" s="850" t="str">
        <f t="shared" si="3"/>
        <v>Zkušební provoz (10 dnů)</v>
      </c>
      <c r="D31" s="846" t="str">
        <f t="shared" si="0"/>
        <v>EL</v>
      </c>
      <c r="E31" s="850" t="str">
        <f t="shared" si="1"/>
        <v>Elektro</v>
      </c>
      <c r="G31" s="349">
        <v>27</v>
      </c>
      <c r="H31" s="966"/>
      <c r="I31" s="969"/>
      <c r="J31" s="827" t="str">
        <f t="shared" si="5"/>
        <v>EL</v>
      </c>
      <c r="K31" s="828" t="str">
        <f t="shared" si="6"/>
        <v>Elektro</v>
      </c>
      <c r="L31" s="364" t="s">
        <v>264</v>
      </c>
      <c r="M31" s="671" t="s">
        <v>253</v>
      </c>
      <c r="N31" s="351" t="s">
        <v>253</v>
      </c>
      <c r="O31" s="352" t="str">
        <f t="shared" si="4"/>
        <v>ELZP</v>
      </c>
      <c r="P31" s="353"/>
    </row>
    <row r="32" spans="2:19" ht="15.75" x14ac:dyDescent="0.35">
      <c r="B32" s="846" t="str">
        <f t="shared" si="2"/>
        <v>ELZR</v>
      </c>
      <c r="C32" s="850" t="str">
        <f t="shared" si="3"/>
        <v>Zprovoznění</v>
      </c>
      <c r="D32" s="846" t="str">
        <f t="shared" si="0"/>
        <v>EL</v>
      </c>
      <c r="E32" s="850" t="str">
        <f t="shared" si="1"/>
        <v>Elektro</v>
      </c>
      <c r="G32" s="349">
        <v>28</v>
      </c>
      <c r="H32" s="966"/>
      <c r="I32" s="969"/>
      <c r="J32" s="827" t="str">
        <f t="shared" si="5"/>
        <v>EL</v>
      </c>
      <c r="K32" s="828" t="str">
        <f t="shared" si="6"/>
        <v>Elektro</v>
      </c>
      <c r="L32" s="364" t="s">
        <v>265</v>
      </c>
      <c r="M32" s="671" t="s">
        <v>252</v>
      </c>
      <c r="N32" s="351" t="s">
        <v>252</v>
      </c>
      <c r="O32" s="352" t="str">
        <f t="shared" si="4"/>
        <v>ELZR</v>
      </c>
      <c r="P32" s="353"/>
    </row>
    <row r="33" spans="2:19" ht="25.9" thickBot="1" x14ac:dyDescent="0.4">
      <c r="B33" s="846" t="str">
        <f t="shared" si="2"/>
        <v>ELZZ</v>
      </c>
      <c r="C33" s="850" t="str">
        <f t="shared" si="3"/>
        <v>Záložní zdroj</v>
      </c>
      <c r="D33" s="846" t="str">
        <f t="shared" si="0"/>
        <v>EL</v>
      </c>
      <c r="E33" s="850" t="str">
        <f t="shared" si="1"/>
        <v>Elektro</v>
      </c>
      <c r="G33" s="365">
        <v>29</v>
      </c>
      <c r="H33" s="967"/>
      <c r="I33" s="970"/>
      <c r="J33" s="829" t="str">
        <f t="shared" si="5"/>
        <v>EL</v>
      </c>
      <c r="K33" s="830" t="str">
        <f t="shared" si="6"/>
        <v>Elektro</v>
      </c>
      <c r="L33" s="366" t="s">
        <v>191</v>
      </c>
      <c r="M33" s="672" t="s">
        <v>192</v>
      </c>
      <c r="N33" s="367" t="s">
        <v>524</v>
      </c>
      <c r="O33" s="368" t="str">
        <f t="shared" si="4"/>
        <v>ELZZ</v>
      </c>
      <c r="P33" s="369"/>
    </row>
    <row r="34" spans="2:19" ht="76.900000000000006" thickTop="1" x14ac:dyDescent="0.35">
      <c r="B34" s="846" t="str">
        <f t="shared" si="2"/>
        <v>OKHM</v>
      </c>
      <c r="C34" s="850" t="str">
        <f t="shared" si="3"/>
        <v>Hutní materiál</v>
      </c>
      <c r="D34" s="846" t="str">
        <f t="shared" si="0"/>
        <v>OK</v>
      </c>
      <c r="E34" s="850" t="str">
        <f t="shared" si="1"/>
        <v>Ocelové kosntrukce</v>
      </c>
      <c r="G34" s="370">
        <v>30</v>
      </c>
      <c r="H34" s="961" t="str">
        <f>J34</f>
        <v>OK</v>
      </c>
      <c r="I34" s="963" t="str">
        <f>K34</f>
        <v>Ocelové kosntrukce</v>
      </c>
      <c r="J34" s="821" t="s">
        <v>13</v>
      </c>
      <c r="K34" s="822" t="s">
        <v>594</v>
      </c>
      <c r="L34" s="371" t="s">
        <v>94</v>
      </c>
      <c r="M34" s="673" t="s">
        <v>175</v>
      </c>
      <c r="N34" s="372" t="s">
        <v>550</v>
      </c>
      <c r="O34" s="347" t="str">
        <f t="shared" si="4"/>
        <v>OKHM</v>
      </c>
      <c r="P34" s="361">
        <v>40</v>
      </c>
    </row>
    <row r="35" spans="2:19" ht="76.5" x14ac:dyDescent="0.35">
      <c r="B35" s="846" t="str">
        <f t="shared" si="2"/>
        <v>OKOS</v>
      </c>
      <c r="C35" s="850" t="str">
        <f t="shared" si="3"/>
        <v>Ostatní</v>
      </c>
      <c r="D35" s="846" t="str">
        <f t="shared" si="0"/>
        <v>OK</v>
      </c>
      <c r="E35" s="850" t="str">
        <f t="shared" si="1"/>
        <v>Ocelové kosntrukce</v>
      </c>
      <c r="G35" s="373">
        <v>31</v>
      </c>
      <c r="H35" s="961"/>
      <c r="I35" s="963"/>
      <c r="J35" s="823" t="str">
        <f t="shared" ref="J35:J84" si="7">J34</f>
        <v>OK</v>
      </c>
      <c r="K35" s="824" t="str">
        <f t="shared" ref="K35:K84" si="8">K34</f>
        <v>Ocelové kosntrukce</v>
      </c>
      <c r="L35" s="374" t="s">
        <v>95</v>
      </c>
      <c r="M35" s="674" t="s">
        <v>97</v>
      </c>
      <c r="N35" s="375" t="s">
        <v>552</v>
      </c>
      <c r="O35" s="352" t="str">
        <f t="shared" si="4"/>
        <v>OKOS</v>
      </c>
      <c r="P35" s="353">
        <v>100</v>
      </c>
    </row>
    <row r="36" spans="2:19" ht="14.25" x14ac:dyDescent="0.35">
      <c r="B36" s="846" t="str">
        <f t="shared" si="2"/>
        <v>OKRO</v>
      </c>
      <c r="C36" s="850" t="str">
        <f t="shared" si="3"/>
        <v>Rošty</v>
      </c>
      <c r="D36" s="846" t="str">
        <f t="shared" si="0"/>
        <v>OK</v>
      </c>
      <c r="E36" s="850" t="str">
        <f t="shared" si="1"/>
        <v>Ocelové kosntrukce</v>
      </c>
      <c r="G36" s="376">
        <v>32</v>
      </c>
      <c r="H36" s="961"/>
      <c r="I36" s="963"/>
      <c r="J36" s="823" t="str">
        <f t="shared" si="7"/>
        <v>OK</v>
      </c>
      <c r="K36" s="824" t="str">
        <f t="shared" si="8"/>
        <v>Ocelové kosntrukce</v>
      </c>
      <c r="L36" s="374" t="s">
        <v>53</v>
      </c>
      <c r="M36" s="674" t="s">
        <v>52</v>
      </c>
      <c r="N36" s="375" t="s">
        <v>551</v>
      </c>
      <c r="O36" s="352" t="str">
        <f t="shared" si="4"/>
        <v>OKRO</v>
      </c>
      <c r="P36" s="651">
        <v>80</v>
      </c>
    </row>
    <row r="37" spans="2:19" ht="102" x14ac:dyDescent="0.35">
      <c r="B37" s="846" t="str">
        <f t="shared" si="2"/>
        <v>OKS1</v>
      </c>
      <c r="C37" s="850" t="str">
        <f t="shared" si="3"/>
        <v>Svařenec třída 1</v>
      </c>
      <c r="D37" s="846" t="str">
        <f t="shared" ref="D37:D68" si="9">J37</f>
        <v>OK</v>
      </c>
      <c r="E37" s="850" t="str">
        <f t="shared" ref="E37:E68" si="10">K37</f>
        <v>Ocelové kosntrukce</v>
      </c>
      <c r="G37" s="376">
        <v>33</v>
      </c>
      <c r="H37" s="961"/>
      <c r="I37" s="963"/>
      <c r="J37" s="823" t="str">
        <f t="shared" si="7"/>
        <v>OK</v>
      </c>
      <c r="K37" s="824" t="str">
        <f t="shared" si="8"/>
        <v>Ocelové kosntrukce</v>
      </c>
      <c r="L37" s="374" t="s">
        <v>169</v>
      </c>
      <c r="M37" s="674" t="s">
        <v>170</v>
      </c>
      <c r="N37" s="375" t="s">
        <v>547</v>
      </c>
      <c r="O37" s="352" t="str">
        <f t="shared" si="4"/>
        <v>OKS1</v>
      </c>
      <c r="P37" s="353">
        <v>140</v>
      </c>
    </row>
    <row r="38" spans="2:19" ht="63.75" x14ac:dyDescent="0.35">
      <c r="B38" s="846" t="str">
        <f t="shared" si="2"/>
        <v>OKS2</v>
      </c>
      <c r="C38" s="850" t="str">
        <f t="shared" si="3"/>
        <v>Svařenec třída 2</v>
      </c>
      <c r="D38" s="846" t="str">
        <f t="shared" si="9"/>
        <v>OK</v>
      </c>
      <c r="E38" s="850" t="str">
        <f t="shared" si="10"/>
        <v>Ocelové kosntrukce</v>
      </c>
      <c r="G38" s="376">
        <v>34</v>
      </c>
      <c r="H38" s="961"/>
      <c r="I38" s="963"/>
      <c r="J38" s="823" t="str">
        <f t="shared" si="7"/>
        <v>OK</v>
      </c>
      <c r="K38" s="824" t="str">
        <f t="shared" si="8"/>
        <v>Ocelové kosntrukce</v>
      </c>
      <c r="L38" s="374" t="s">
        <v>171</v>
      </c>
      <c r="M38" s="674" t="s">
        <v>172</v>
      </c>
      <c r="N38" s="375" t="s">
        <v>548</v>
      </c>
      <c r="O38" s="352" t="str">
        <f t="shared" si="4"/>
        <v>OKS2</v>
      </c>
      <c r="P38" s="353">
        <v>110</v>
      </c>
    </row>
    <row r="39" spans="2:19" ht="115.15" thickBot="1" x14ac:dyDescent="0.4">
      <c r="B39" s="846" t="str">
        <f t="shared" si="2"/>
        <v>OKS3</v>
      </c>
      <c r="C39" s="850" t="str">
        <f t="shared" si="3"/>
        <v>Svařenec třída 3</v>
      </c>
      <c r="D39" s="846" t="str">
        <f t="shared" si="9"/>
        <v>OK</v>
      </c>
      <c r="E39" s="850" t="str">
        <f t="shared" si="10"/>
        <v>Ocelové kosntrukce</v>
      </c>
      <c r="G39" s="377">
        <v>35</v>
      </c>
      <c r="H39" s="962"/>
      <c r="I39" s="964"/>
      <c r="J39" s="378" t="str">
        <f t="shared" si="7"/>
        <v>OK</v>
      </c>
      <c r="K39" s="675" t="str">
        <f t="shared" si="8"/>
        <v>Ocelové kosntrukce</v>
      </c>
      <c r="L39" s="378" t="s">
        <v>173</v>
      </c>
      <c r="M39" s="675" t="s">
        <v>174</v>
      </c>
      <c r="N39" s="379" t="s">
        <v>549</v>
      </c>
      <c r="O39" s="368" t="str">
        <f t="shared" si="4"/>
        <v>OKS3</v>
      </c>
      <c r="P39" s="369">
        <v>80</v>
      </c>
    </row>
    <row r="40" spans="2:19" ht="16.5" customHeight="1" thickTop="1" x14ac:dyDescent="0.35">
      <c r="B40" s="846" t="str">
        <f t="shared" si="2"/>
        <v>OSDP</v>
      </c>
      <c r="C40" s="850" t="str">
        <f t="shared" si="3"/>
        <v>Dopravní pásy</v>
      </c>
      <c r="D40" s="846" t="str">
        <f t="shared" si="9"/>
        <v>OS</v>
      </c>
      <c r="E40" s="850" t="str">
        <f t="shared" si="10"/>
        <v>Ostatní</v>
      </c>
      <c r="G40" s="380">
        <v>36</v>
      </c>
      <c r="H40" s="941" t="str">
        <f>J40</f>
        <v>OS</v>
      </c>
      <c r="I40" s="943" t="str">
        <f>K40</f>
        <v>Ostatní</v>
      </c>
      <c r="J40" s="831" t="s">
        <v>95</v>
      </c>
      <c r="K40" s="832" t="s">
        <v>97</v>
      </c>
      <c r="L40" s="381" t="s">
        <v>205</v>
      </c>
      <c r="M40" s="676" t="s">
        <v>206</v>
      </c>
      <c r="N40" s="382" t="s">
        <v>573</v>
      </c>
      <c r="O40" s="347" t="str">
        <f t="shared" si="4"/>
        <v>OSDP</v>
      </c>
      <c r="P40" s="726">
        <v>1170</v>
      </c>
    </row>
    <row r="41" spans="2:19" ht="16.5" customHeight="1" x14ac:dyDescent="0.35">
      <c r="B41" s="846" t="str">
        <f t="shared" si="2"/>
        <v>OSNA</v>
      </c>
      <c r="C41" s="850" t="str">
        <f t="shared" si="3"/>
        <v>Náplně</v>
      </c>
      <c r="D41" s="846" t="str">
        <f t="shared" si="9"/>
        <v>OS</v>
      </c>
      <c r="E41" s="850" t="str">
        <f t="shared" si="10"/>
        <v>Ostatní</v>
      </c>
      <c r="G41" s="383">
        <v>37</v>
      </c>
      <c r="H41" s="941"/>
      <c r="I41" s="943"/>
      <c r="J41" s="384" t="str">
        <f t="shared" si="7"/>
        <v>OS</v>
      </c>
      <c r="K41" s="677" t="str">
        <f t="shared" si="8"/>
        <v>Ostatní</v>
      </c>
      <c r="L41" s="384" t="s">
        <v>39</v>
      </c>
      <c r="M41" s="677" t="s">
        <v>37</v>
      </c>
      <c r="N41" s="677" t="s">
        <v>37</v>
      </c>
      <c r="O41" s="352" t="str">
        <f t="shared" si="4"/>
        <v>OSNA</v>
      </c>
      <c r="P41" s="353"/>
    </row>
    <row r="42" spans="2:19" ht="16.5" customHeight="1" x14ac:dyDescent="0.35">
      <c r="B42" s="846" t="str">
        <f t="shared" si="2"/>
        <v>OSOB</v>
      </c>
      <c r="C42" s="850" t="str">
        <f t="shared" si="3"/>
        <v>Obložení</v>
      </c>
      <c r="D42" s="846" t="str">
        <f t="shared" si="9"/>
        <v>OS</v>
      </c>
      <c r="E42" s="850" t="str">
        <f t="shared" si="10"/>
        <v>Ostatní</v>
      </c>
      <c r="G42" s="386">
        <v>38</v>
      </c>
      <c r="H42" s="941"/>
      <c r="I42" s="943"/>
      <c r="J42" s="384" t="str">
        <f t="shared" si="7"/>
        <v>OS</v>
      </c>
      <c r="K42" s="677" t="str">
        <f t="shared" si="8"/>
        <v>Ostatní</v>
      </c>
      <c r="L42" s="384" t="s">
        <v>207</v>
      </c>
      <c r="M42" s="677" t="s">
        <v>208</v>
      </c>
      <c r="N42" s="677" t="s">
        <v>208</v>
      </c>
      <c r="O42" s="352" t="str">
        <f t="shared" si="4"/>
        <v>OSOB</v>
      </c>
      <c r="P42" s="651">
        <v>150</v>
      </c>
    </row>
    <row r="43" spans="2:19" ht="25.5" x14ac:dyDescent="0.35">
      <c r="B43" s="846" t="str">
        <f t="shared" si="2"/>
        <v>OSTS</v>
      </c>
      <c r="C43" s="850" t="str">
        <f t="shared" si="3"/>
        <v>Tabulky a štítky</v>
      </c>
      <c r="D43" s="846" t="str">
        <f t="shared" si="9"/>
        <v>OS</v>
      </c>
      <c r="E43" s="850" t="str">
        <f t="shared" si="10"/>
        <v>Ostatní</v>
      </c>
      <c r="G43" s="380">
        <v>39</v>
      </c>
      <c r="H43" s="941"/>
      <c r="I43" s="943"/>
      <c r="J43" s="384" t="str">
        <f t="shared" si="7"/>
        <v>OS</v>
      </c>
      <c r="K43" s="677" t="str">
        <f t="shared" si="8"/>
        <v>Ostatní</v>
      </c>
      <c r="L43" s="384" t="s">
        <v>203</v>
      </c>
      <c r="M43" s="677" t="s">
        <v>204</v>
      </c>
      <c r="N43" s="385" t="s">
        <v>572</v>
      </c>
      <c r="O43" s="352" t="str">
        <f t="shared" si="4"/>
        <v>OSTS</v>
      </c>
      <c r="P43" s="353"/>
    </row>
    <row r="44" spans="2:19" ht="16.5" customHeight="1" x14ac:dyDescent="0.35">
      <c r="B44" s="846" t="str">
        <f t="shared" si="2"/>
        <v>OSZB</v>
      </c>
      <c r="C44" s="850" t="str">
        <f t="shared" si="3"/>
        <v>Závaží - Beton</v>
      </c>
      <c r="D44" s="846" t="str">
        <f t="shared" si="9"/>
        <v>OS</v>
      </c>
      <c r="E44" s="850" t="str">
        <f t="shared" si="10"/>
        <v>Ostatní</v>
      </c>
      <c r="G44" s="383">
        <v>40</v>
      </c>
      <c r="H44" s="941"/>
      <c r="I44" s="943"/>
      <c r="J44" s="384" t="str">
        <f t="shared" si="7"/>
        <v>OS</v>
      </c>
      <c r="K44" s="677" t="str">
        <f t="shared" si="8"/>
        <v>Ostatní</v>
      </c>
      <c r="L44" s="384" t="s">
        <v>531</v>
      </c>
      <c r="M44" s="677" t="s">
        <v>528</v>
      </c>
      <c r="N44" s="677" t="s">
        <v>528</v>
      </c>
      <c r="O44" s="352" t="str">
        <f t="shared" si="4"/>
        <v>OSZB</v>
      </c>
      <c r="P44" s="353">
        <v>8</v>
      </c>
    </row>
    <row r="45" spans="2:19" ht="16.5" customHeight="1" x14ac:dyDescent="0.35">
      <c r="B45" s="846" t="str">
        <f t="shared" si="2"/>
        <v>OSZO</v>
      </c>
      <c r="C45" s="850" t="str">
        <f t="shared" si="3"/>
        <v>Závaží - Ocel</v>
      </c>
      <c r="D45" s="846" t="str">
        <f t="shared" si="9"/>
        <v>OS</v>
      </c>
      <c r="E45" s="850" t="str">
        <f t="shared" si="10"/>
        <v>Ostatní</v>
      </c>
      <c r="G45" s="383">
        <v>41</v>
      </c>
      <c r="H45" s="941"/>
      <c r="I45" s="943"/>
      <c r="J45" s="384" t="str">
        <f t="shared" si="7"/>
        <v>OS</v>
      </c>
      <c r="K45" s="677" t="str">
        <f t="shared" si="8"/>
        <v>Ostatní</v>
      </c>
      <c r="L45" s="384" t="s">
        <v>532</v>
      </c>
      <c r="M45" s="677" t="s">
        <v>529</v>
      </c>
      <c r="N45" s="677" t="s">
        <v>529</v>
      </c>
      <c r="O45" s="352" t="str">
        <f t="shared" si="4"/>
        <v>OSZO</v>
      </c>
      <c r="P45" s="651">
        <v>50</v>
      </c>
    </row>
    <row r="46" spans="2:19" ht="16.5" customHeight="1" thickBot="1" x14ac:dyDescent="0.4">
      <c r="B46" s="846" t="str">
        <f t="shared" si="2"/>
        <v>OSZS</v>
      </c>
      <c r="C46" s="850" t="str">
        <f t="shared" si="3"/>
        <v>Závaží - Štěrk</v>
      </c>
      <c r="D46" s="846" t="str">
        <f t="shared" si="9"/>
        <v>OS</v>
      </c>
      <c r="E46" s="850" t="str">
        <f t="shared" si="10"/>
        <v>Ostatní</v>
      </c>
      <c r="G46" s="387">
        <v>42</v>
      </c>
      <c r="H46" s="942"/>
      <c r="I46" s="944"/>
      <c r="J46" s="388" t="str">
        <f t="shared" si="7"/>
        <v>OS</v>
      </c>
      <c r="K46" s="678" t="str">
        <f t="shared" si="8"/>
        <v>Ostatní</v>
      </c>
      <c r="L46" s="388" t="s">
        <v>533</v>
      </c>
      <c r="M46" s="678" t="s">
        <v>530</v>
      </c>
      <c r="N46" s="678" t="s">
        <v>530</v>
      </c>
      <c r="O46" s="368" t="str">
        <f t="shared" si="4"/>
        <v>OSZS</v>
      </c>
      <c r="P46" s="369">
        <v>10</v>
      </c>
    </row>
    <row r="47" spans="2:19" ht="27" customHeight="1" thickTop="1" x14ac:dyDescent="0.35">
      <c r="B47" s="846" t="str">
        <f t="shared" si="2"/>
        <v>SABE</v>
      </c>
      <c r="C47" s="850" t="str">
        <f t="shared" si="3"/>
        <v>Betony</v>
      </c>
      <c r="D47" s="846" t="str">
        <f t="shared" si="9"/>
        <v>SA</v>
      </c>
      <c r="E47" s="850" t="str">
        <f t="shared" si="10"/>
        <v>Stavební</v>
      </c>
      <c r="G47" s="389">
        <v>43</v>
      </c>
      <c r="H47" s="945" t="str">
        <f>J47</f>
        <v>SA</v>
      </c>
      <c r="I47" s="947" t="str">
        <f>K47</f>
        <v>Stavební</v>
      </c>
      <c r="J47" s="833" t="s">
        <v>194</v>
      </c>
      <c r="K47" s="834" t="s">
        <v>195</v>
      </c>
      <c r="L47" s="390" t="s">
        <v>40</v>
      </c>
      <c r="M47" s="679" t="s">
        <v>41</v>
      </c>
      <c r="N47" s="391" t="s">
        <v>576</v>
      </c>
      <c r="O47" s="347" t="str">
        <f t="shared" si="4"/>
        <v>SABE</v>
      </c>
      <c r="P47" s="392">
        <v>8</v>
      </c>
    </row>
    <row r="48" spans="2:19" ht="16.5" customHeight="1" x14ac:dyDescent="0.35">
      <c r="B48" s="846" t="str">
        <f t="shared" si="2"/>
        <v>SAKD</v>
      </c>
      <c r="C48" s="850" t="str">
        <f t="shared" si="3"/>
        <v>Kolejová dráha</v>
      </c>
      <c r="D48" s="846" t="str">
        <f t="shared" si="9"/>
        <v>SA</v>
      </c>
      <c r="E48" s="850" t="str">
        <f t="shared" si="10"/>
        <v>Stavební</v>
      </c>
      <c r="G48" s="393">
        <v>44</v>
      </c>
      <c r="H48" s="945"/>
      <c r="I48" s="947"/>
      <c r="J48" s="394" t="str">
        <f t="shared" si="7"/>
        <v>SA</v>
      </c>
      <c r="K48" s="680" t="str">
        <f t="shared" si="8"/>
        <v>Stavební</v>
      </c>
      <c r="L48" s="394" t="s">
        <v>196</v>
      </c>
      <c r="M48" s="680" t="s">
        <v>197</v>
      </c>
      <c r="N48" s="395" t="s">
        <v>575</v>
      </c>
      <c r="O48" s="352" t="str">
        <f t="shared" si="4"/>
        <v>SAKD</v>
      </c>
      <c r="P48" s="396">
        <v>80</v>
      </c>
      <c r="R48" s="21"/>
      <c r="S48" s="21"/>
    </row>
    <row r="49" spans="2:19" ht="16.5" customHeight="1" x14ac:dyDescent="0.35">
      <c r="B49" s="846" t="str">
        <f t="shared" si="2"/>
        <v>SAOP</v>
      </c>
      <c r="C49" s="850" t="str">
        <f t="shared" si="3"/>
        <v>Opláštění</v>
      </c>
      <c r="D49" s="846" t="str">
        <f t="shared" si="9"/>
        <v>SA</v>
      </c>
      <c r="E49" s="850" t="str">
        <f t="shared" si="10"/>
        <v>Stavební</v>
      </c>
      <c r="G49" s="397">
        <v>45</v>
      </c>
      <c r="H49" s="945"/>
      <c r="I49" s="947"/>
      <c r="J49" s="394" t="str">
        <f t="shared" si="7"/>
        <v>SA</v>
      </c>
      <c r="K49" s="680" t="str">
        <f t="shared" si="8"/>
        <v>Stavební</v>
      </c>
      <c r="L49" s="394" t="s">
        <v>15</v>
      </c>
      <c r="M49" s="680" t="s">
        <v>14</v>
      </c>
      <c r="N49" s="395" t="s">
        <v>525</v>
      </c>
      <c r="O49" s="352" t="str">
        <f t="shared" si="4"/>
        <v>SAOP</v>
      </c>
      <c r="P49" s="396">
        <v>70</v>
      </c>
      <c r="R49" s="21"/>
      <c r="S49" s="21"/>
    </row>
    <row r="50" spans="2:19" ht="16.5" customHeight="1" x14ac:dyDescent="0.35">
      <c r="B50" s="846" t="str">
        <f t="shared" si="2"/>
        <v>SAOS</v>
      </c>
      <c r="C50" s="850" t="str">
        <f t="shared" si="3"/>
        <v>Ostatní</v>
      </c>
      <c r="D50" s="846" t="str">
        <f t="shared" si="9"/>
        <v>SA</v>
      </c>
      <c r="E50" s="850" t="str">
        <f t="shared" si="10"/>
        <v>Stavební</v>
      </c>
      <c r="G50" s="398">
        <v>46</v>
      </c>
      <c r="H50" s="945"/>
      <c r="I50" s="947"/>
      <c r="J50" s="394" t="str">
        <f t="shared" si="7"/>
        <v>SA</v>
      </c>
      <c r="K50" s="680" t="str">
        <f t="shared" si="8"/>
        <v>Stavební</v>
      </c>
      <c r="L50" s="394" t="s">
        <v>95</v>
      </c>
      <c r="M50" s="680" t="s">
        <v>97</v>
      </c>
      <c r="N50" s="680" t="s">
        <v>97</v>
      </c>
      <c r="O50" s="352" t="str">
        <f t="shared" si="4"/>
        <v>SAOS</v>
      </c>
      <c r="P50" s="396"/>
      <c r="R50" s="21"/>
      <c r="S50" s="21"/>
    </row>
    <row r="51" spans="2:19" ht="14.65" thickBot="1" x14ac:dyDescent="0.4">
      <c r="B51" s="846" t="str">
        <f t="shared" si="2"/>
        <v>SAZA</v>
      </c>
      <c r="C51" s="850" t="str">
        <f t="shared" si="3"/>
        <v>Zateplení</v>
      </c>
      <c r="D51" s="846" t="str">
        <f t="shared" si="9"/>
        <v>SA</v>
      </c>
      <c r="E51" s="850" t="str">
        <f t="shared" si="10"/>
        <v>Stavební</v>
      </c>
      <c r="G51" s="393">
        <v>47</v>
      </c>
      <c r="H51" s="946"/>
      <c r="I51" s="948"/>
      <c r="J51" s="399" t="str">
        <f t="shared" si="7"/>
        <v>SA</v>
      </c>
      <c r="K51" s="681" t="str">
        <f t="shared" si="8"/>
        <v>Stavební</v>
      </c>
      <c r="L51" s="399" t="s">
        <v>28</v>
      </c>
      <c r="M51" s="681" t="s">
        <v>29</v>
      </c>
      <c r="N51" s="681" t="s">
        <v>29</v>
      </c>
      <c r="O51" s="368" t="str">
        <f t="shared" si="4"/>
        <v>SAZA</v>
      </c>
      <c r="P51" s="369"/>
      <c r="R51" s="21"/>
      <c r="S51" s="21"/>
    </row>
    <row r="52" spans="2:19" ht="25.9" thickTop="1" x14ac:dyDescent="0.35">
      <c r="B52" s="846" t="str">
        <f t="shared" si="2"/>
        <v>STBR</v>
      </c>
      <c r="C52" s="850" t="str">
        <f t="shared" si="3"/>
        <v>Brzdy</v>
      </c>
      <c r="D52" s="846" t="str">
        <f t="shared" si="9"/>
        <v>ST</v>
      </c>
      <c r="E52" s="850" t="str">
        <f t="shared" si="10"/>
        <v>Strojní</v>
      </c>
      <c r="G52" s="400">
        <v>48</v>
      </c>
      <c r="H52" s="951" t="str">
        <f>J52</f>
        <v>ST</v>
      </c>
      <c r="I52" s="949" t="str">
        <f>K52</f>
        <v>Strojní</v>
      </c>
      <c r="J52" s="835" t="s">
        <v>23</v>
      </c>
      <c r="K52" s="836" t="s">
        <v>154</v>
      </c>
      <c r="L52" s="401" t="s">
        <v>47</v>
      </c>
      <c r="M52" s="682" t="s">
        <v>46</v>
      </c>
      <c r="N52" s="402" t="s">
        <v>516</v>
      </c>
      <c r="O52" s="347" t="str">
        <f t="shared" si="4"/>
        <v>STBR</v>
      </c>
      <c r="P52" s="392"/>
      <c r="R52" s="21"/>
      <c r="S52" s="21"/>
    </row>
    <row r="53" spans="2:19" ht="14.25" x14ac:dyDescent="0.35">
      <c r="B53" s="846" t="str">
        <f t="shared" si="2"/>
        <v>STBU</v>
      </c>
      <c r="C53" s="850" t="str">
        <f t="shared" si="3"/>
        <v>Bubny</v>
      </c>
      <c r="D53" s="846" t="str">
        <f t="shared" si="9"/>
        <v>ST</v>
      </c>
      <c r="E53" s="850" t="str">
        <f t="shared" si="10"/>
        <v>Strojní</v>
      </c>
      <c r="G53" s="400">
        <v>49</v>
      </c>
      <c r="H53" s="951"/>
      <c r="I53" s="949"/>
      <c r="J53" s="403" t="str">
        <f t="shared" si="7"/>
        <v>ST</v>
      </c>
      <c r="K53" s="683" t="str">
        <f t="shared" si="8"/>
        <v>Strojní</v>
      </c>
      <c r="L53" s="403" t="s">
        <v>2</v>
      </c>
      <c r="M53" s="683" t="s">
        <v>155</v>
      </c>
      <c r="N53" s="404" t="s">
        <v>534</v>
      </c>
      <c r="O53" s="352" t="str">
        <f t="shared" si="4"/>
        <v>STBU</v>
      </c>
      <c r="P53" s="396">
        <v>230</v>
      </c>
      <c r="R53" s="21"/>
      <c r="S53" s="21"/>
    </row>
    <row r="54" spans="2:19" ht="14.25" x14ac:dyDescent="0.35">
      <c r="B54" s="846" t="str">
        <f t="shared" si="2"/>
        <v>STHV</v>
      </c>
      <c r="C54" s="850" t="str">
        <f t="shared" si="3"/>
        <v>Hydraulické válce</v>
      </c>
      <c r="D54" s="846" t="str">
        <f t="shared" si="9"/>
        <v>ST</v>
      </c>
      <c r="E54" s="850" t="str">
        <f t="shared" si="10"/>
        <v>Strojní</v>
      </c>
      <c r="G54" s="400">
        <v>50</v>
      </c>
      <c r="H54" s="951"/>
      <c r="I54" s="949"/>
      <c r="J54" s="403" t="str">
        <f t="shared" si="7"/>
        <v>ST</v>
      </c>
      <c r="K54" s="683" t="str">
        <f t="shared" si="8"/>
        <v>Strojní</v>
      </c>
      <c r="L54" s="403" t="s">
        <v>50</v>
      </c>
      <c r="M54" s="683" t="s">
        <v>160</v>
      </c>
      <c r="N54" s="404" t="s">
        <v>535</v>
      </c>
      <c r="O54" s="352" t="str">
        <f t="shared" si="4"/>
        <v>STHV</v>
      </c>
      <c r="P54" s="396"/>
      <c r="R54" s="21"/>
      <c r="S54" s="21"/>
    </row>
    <row r="55" spans="2:19" ht="14.25" x14ac:dyDescent="0.35">
      <c r="B55" s="846" t="str">
        <f t="shared" si="2"/>
        <v>STLO</v>
      </c>
      <c r="C55" s="850" t="str">
        <f t="shared" si="3"/>
        <v>Ložiska</v>
      </c>
      <c r="D55" s="846" t="str">
        <f t="shared" si="9"/>
        <v>ST</v>
      </c>
      <c r="E55" s="850" t="str">
        <f t="shared" si="10"/>
        <v>Strojní</v>
      </c>
      <c r="G55" s="405">
        <v>51</v>
      </c>
      <c r="H55" s="951"/>
      <c r="I55" s="949"/>
      <c r="J55" s="403" t="str">
        <f t="shared" si="7"/>
        <v>ST</v>
      </c>
      <c r="K55" s="683" t="str">
        <f t="shared" si="8"/>
        <v>Strojní</v>
      </c>
      <c r="L55" s="403" t="s">
        <v>8</v>
      </c>
      <c r="M55" s="683" t="s">
        <v>7</v>
      </c>
      <c r="N55" s="404" t="s">
        <v>536</v>
      </c>
      <c r="O55" s="352" t="str">
        <f t="shared" si="4"/>
        <v>STLO</v>
      </c>
      <c r="P55" s="396"/>
      <c r="R55" s="21"/>
      <c r="S55" s="21"/>
    </row>
    <row r="56" spans="2:19" ht="14.25" x14ac:dyDescent="0.35">
      <c r="B56" s="846" t="str">
        <f t="shared" si="2"/>
        <v>STMA</v>
      </c>
      <c r="C56" s="850" t="str">
        <f t="shared" si="3"/>
        <v>Mazání</v>
      </c>
      <c r="D56" s="846" t="str">
        <f t="shared" si="9"/>
        <v>ST</v>
      </c>
      <c r="E56" s="850" t="str">
        <f t="shared" si="10"/>
        <v>Strojní</v>
      </c>
      <c r="G56" s="406">
        <v>52</v>
      </c>
      <c r="H56" s="951"/>
      <c r="I56" s="949"/>
      <c r="J56" s="403" t="str">
        <f t="shared" si="7"/>
        <v>ST</v>
      </c>
      <c r="K56" s="683" t="str">
        <f t="shared" si="8"/>
        <v>Strojní</v>
      </c>
      <c r="L56" s="403" t="s">
        <v>10</v>
      </c>
      <c r="M56" s="683" t="s">
        <v>9</v>
      </c>
      <c r="N56" s="404" t="s">
        <v>517</v>
      </c>
      <c r="O56" s="352" t="str">
        <f t="shared" si="4"/>
        <v>STMA</v>
      </c>
      <c r="P56" s="396"/>
      <c r="R56" s="21"/>
      <c r="S56" s="21"/>
    </row>
    <row r="57" spans="2:19" ht="14.25" x14ac:dyDescent="0.35">
      <c r="B57" s="846" t="str">
        <f t="shared" si="2"/>
        <v>STNO</v>
      </c>
      <c r="C57" s="850" t="str">
        <f t="shared" si="3"/>
        <v>Normalizované</v>
      </c>
      <c r="D57" s="846" t="str">
        <f t="shared" si="9"/>
        <v>ST</v>
      </c>
      <c r="E57" s="850" t="str">
        <f t="shared" si="10"/>
        <v>Strojní</v>
      </c>
      <c r="G57" s="405">
        <v>53</v>
      </c>
      <c r="H57" s="951"/>
      <c r="I57" s="949"/>
      <c r="J57" s="403" t="str">
        <f t="shared" si="7"/>
        <v>ST</v>
      </c>
      <c r="K57" s="683" t="str">
        <f t="shared" si="8"/>
        <v>Strojní</v>
      </c>
      <c r="L57" s="403" t="s">
        <v>161</v>
      </c>
      <c r="M57" s="683" t="s">
        <v>162</v>
      </c>
      <c r="N57" s="404" t="s">
        <v>538</v>
      </c>
      <c r="O57" s="352" t="str">
        <f t="shared" si="4"/>
        <v>STNO</v>
      </c>
      <c r="P57" s="358"/>
      <c r="R57" s="21"/>
      <c r="S57" s="21"/>
    </row>
    <row r="58" spans="2:19" ht="25.5" x14ac:dyDescent="0.35">
      <c r="B58" s="846" t="str">
        <f t="shared" si="2"/>
        <v>STO1</v>
      </c>
      <c r="C58" s="850" t="str">
        <f t="shared" si="3"/>
        <v>Obrobky třída 1</v>
      </c>
      <c r="D58" s="846" t="str">
        <f t="shared" si="9"/>
        <v>ST</v>
      </c>
      <c r="E58" s="850" t="str">
        <f t="shared" si="10"/>
        <v>Strojní</v>
      </c>
      <c r="G58" s="407">
        <v>54</v>
      </c>
      <c r="H58" s="951"/>
      <c r="I58" s="949"/>
      <c r="J58" s="408" t="str">
        <f t="shared" si="7"/>
        <v>ST</v>
      </c>
      <c r="K58" s="684" t="str">
        <f t="shared" si="8"/>
        <v>Strojní</v>
      </c>
      <c r="L58" s="408" t="s">
        <v>163</v>
      </c>
      <c r="M58" s="684" t="s">
        <v>164</v>
      </c>
      <c r="N58" s="409" t="s">
        <v>544</v>
      </c>
      <c r="O58" s="352" t="str">
        <f t="shared" si="4"/>
        <v>STO1</v>
      </c>
      <c r="P58" s="361">
        <v>145</v>
      </c>
    </row>
    <row r="59" spans="2:19" ht="38.25" x14ac:dyDescent="0.35">
      <c r="B59" s="846" t="str">
        <f t="shared" si="2"/>
        <v>STO2</v>
      </c>
      <c r="C59" s="850" t="str">
        <f t="shared" si="3"/>
        <v>Obrobky třída 2</v>
      </c>
      <c r="D59" s="846" t="str">
        <f t="shared" si="9"/>
        <v>ST</v>
      </c>
      <c r="E59" s="850" t="str">
        <f t="shared" si="10"/>
        <v>Strojní</v>
      </c>
      <c r="G59" s="406">
        <v>55</v>
      </c>
      <c r="H59" s="951"/>
      <c r="I59" s="949"/>
      <c r="J59" s="410" t="str">
        <f t="shared" si="7"/>
        <v>ST</v>
      </c>
      <c r="K59" s="685" t="str">
        <f t="shared" si="8"/>
        <v>Strojní</v>
      </c>
      <c r="L59" s="410" t="s">
        <v>165</v>
      </c>
      <c r="M59" s="685" t="s">
        <v>166</v>
      </c>
      <c r="N59" s="411" t="s">
        <v>545</v>
      </c>
      <c r="O59" s="352" t="str">
        <f t="shared" si="4"/>
        <v>STO2</v>
      </c>
      <c r="P59" s="353">
        <v>115</v>
      </c>
    </row>
    <row r="60" spans="2:19" ht="25.5" x14ac:dyDescent="0.35">
      <c r="B60" s="846" t="str">
        <f t="shared" si="2"/>
        <v>STO3</v>
      </c>
      <c r="C60" s="850" t="str">
        <f t="shared" si="3"/>
        <v>Obrobky třída 3</v>
      </c>
      <c r="D60" s="846" t="str">
        <f t="shared" si="9"/>
        <v>ST</v>
      </c>
      <c r="E60" s="850" t="str">
        <f t="shared" si="10"/>
        <v>Strojní</v>
      </c>
      <c r="G60" s="400">
        <v>56</v>
      </c>
      <c r="H60" s="951"/>
      <c r="I60" s="949"/>
      <c r="J60" s="410" t="str">
        <f t="shared" si="7"/>
        <v>ST</v>
      </c>
      <c r="K60" s="685" t="str">
        <f t="shared" si="8"/>
        <v>Strojní</v>
      </c>
      <c r="L60" s="410" t="s">
        <v>167</v>
      </c>
      <c r="M60" s="685" t="s">
        <v>168</v>
      </c>
      <c r="N60" s="411" t="s">
        <v>546</v>
      </c>
      <c r="O60" s="352" t="str">
        <f t="shared" si="4"/>
        <v>STO3</v>
      </c>
      <c r="P60" s="353">
        <v>85</v>
      </c>
    </row>
    <row r="61" spans="2:19" ht="14.25" x14ac:dyDescent="0.35">
      <c r="B61" s="846" t="str">
        <f t="shared" si="2"/>
        <v>STOD</v>
      </c>
      <c r="C61" s="850" t="str">
        <f t="shared" si="3"/>
        <v>Odlitky</v>
      </c>
      <c r="D61" s="846" t="str">
        <f t="shared" si="9"/>
        <v>ST</v>
      </c>
      <c r="E61" s="850" t="str">
        <f t="shared" si="10"/>
        <v>Strojní</v>
      </c>
      <c r="G61" s="400">
        <v>57</v>
      </c>
      <c r="H61" s="951"/>
      <c r="I61" s="949"/>
      <c r="J61" s="410" t="str">
        <f t="shared" si="7"/>
        <v>ST</v>
      </c>
      <c r="K61" s="685" t="str">
        <f t="shared" si="8"/>
        <v>Strojní</v>
      </c>
      <c r="L61" s="410" t="s">
        <v>158</v>
      </c>
      <c r="M61" s="685" t="s">
        <v>159</v>
      </c>
      <c r="N61" s="685" t="s">
        <v>159</v>
      </c>
      <c r="O61" s="352" t="str">
        <f t="shared" si="4"/>
        <v>STOD</v>
      </c>
      <c r="P61" s="353">
        <v>115</v>
      </c>
    </row>
    <row r="62" spans="2:19" ht="14.25" x14ac:dyDescent="0.35">
      <c r="B62" s="846" t="str">
        <f t="shared" si="2"/>
        <v>STOS</v>
      </c>
      <c r="C62" s="850" t="str">
        <f t="shared" si="3"/>
        <v>Ostatní</v>
      </c>
      <c r="D62" s="846" t="str">
        <f t="shared" si="9"/>
        <v>ST</v>
      </c>
      <c r="E62" s="850" t="str">
        <f t="shared" si="10"/>
        <v>Strojní</v>
      </c>
      <c r="G62" s="400">
        <v>58</v>
      </c>
      <c r="H62" s="951"/>
      <c r="I62" s="949"/>
      <c r="J62" s="412" t="str">
        <f t="shared" si="7"/>
        <v>ST</v>
      </c>
      <c r="K62" s="686" t="str">
        <f t="shared" si="8"/>
        <v>Strojní</v>
      </c>
      <c r="L62" s="412" t="s">
        <v>95</v>
      </c>
      <c r="M62" s="686" t="s">
        <v>97</v>
      </c>
      <c r="N62" s="686" t="s">
        <v>97</v>
      </c>
      <c r="O62" s="352" t="str">
        <f t="shared" si="4"/>
        <v>STOS</v>
      </c>
      <c r="P62" s="358"/>
    </row>
    <row r="63" spans="2:19" ht="25.5" x14ac:dyDescent="0.35">
      <c r="B63" s="846" t="str">
        <f t="shared" si="2"/>
        <v>STPO</v>
      </c>
      <c r="C63" s="850" t="str">
        <f t="shared" si="3"/>
        <v>Pohony</v>
      </c>
      <c r="D63" s="846" t="str">
        <f t="shared" si="9"/>
        <v>ST</v>
      </c>
      <c r="E63" s="850" t="str">
        <f t="shared" si="10"/>
        <v>Strojní</v>
      </c>
      <c r="G63" s="405">
        <v>59</v>
      </c>
      <c r="H63" s="951"/>
      <c r="I63" s="949"/>
      <c r="J63" s="408" t="str">
        <f t="shared" si="7"/>
        <v>ST</v>
      </c>
      <c r="K63" s="684" t="str">
        <f t="shared" si="8"/>
        <v>Strojní</v>
      </c>
      <c r="L63" s="408" t="s">
        <v>17</v>
      </c>
      <c r="M63" s="684" t="s">
        <v>16</v>
      </c>
      <c r="N63" s="413" t="s">
        <v>537</v>
      </c>
      <c r="O63" s="352" t="str">
        <f t="shared" si="4"/>
        <v>STPO</v>
      </c>
      <c r="P63" s="361"/>
    </row>
    <row r="64" spans="2:19" ht="38.25" x14ac:dyDescent="0.35">
      <c r="B64" s="846" t="str">
        <f t="shared" si="2"/>
        <v>STPR</v>
      </c>
      <c r="C64" s="850" t="str">
        <f t="shared" si="3"/>
        <v>Převodovky</v>
      </c>
      <c r="D64" s="846" t="str">
        <f t="shared" si="9"/>
        <v>ST</v>
      </c>
      <c r="E64" s="850" t="str">
        <f t="shared" si="10"/>
        <v>Strojní</v>
      </c>
      <c r="G64" s="406">
        <v>60</v>
      </c>
      <c r="H64" s="951"/>
      <c r="I64" s="949"/>
      <c r="J64" s="410" t="str">
        <f t="shared" si="7"/>
        <v>ST</v>
      </c>
      <c r="K64" s="685" t="str">
        <f t="shared" si="8"/>
        <v>Strojní</v>
      </c>
      <c r="L64" s="410" t="s">
        <v>51</v>
      </c>
      <c r="M64" s="685" t="s">
        <v>18</v>
      </c>
      <c r="N64" s="411" t="s">
        <v>539</v>
      </c>
      <c r="O64" s="352" t="str">
        <f t="shared" si="4"/>
        <v>STPR</v>
      </c>
      <c r="P64" s="353"/>
    </row>
    <row r="65" spans="2:19" ht="14.25" x14ac:dyDescent="0.35">
      <c r="B65" s="846" t="str">
        <f t="shared" si="2"/>
        <v>STSM</v>
      </c>
      <c r="C65" s="850" t="str">
        <f t="shared" si="3"/>
        <v>Spojovací materiál</v>
      </c>
      <c r="D65" s="846" t="str">
        <f t="shared" si="9"/>
        <v>ST</v>
      </c>
      <c r="E65" s="850" t="str">
        <f t="shared" si="10"/>
        <v>Strojní</v>
      </c>
      <c r="G65" s="400">
        <v>61</v>
      </c>
      <c r="H65" s="951"/>
      <c r="I65" s="949"/>
      <c r="J65" s="410" t="str">
        <f t="shared" si="7"/>
        <v>ST</v>
      </c>
      <c r="K65" s="685" t="str">
        <f t="shared" si="8"/>
        <v>Strojní</v>
      </c>
      <c r="L65" s="410" t="s">
        <v>38</v>
      </c>
      <c r="M65" s="685" t="s">
        <v>36</v>
      </c>
      <c r="N65" s="411" t="s">
        <v>542</v>
      </c>
      <c r="O65" s="352" t="str">
        <f t="shared" si="4"/>
        <v>STSM</v>
      </c>
      <c r="P65" s="353">
        <v>110</v>
      </c>
    </row>
    <row r="66" spans="2:19" ht="14.25" x14ac:dyDescent="0.35">
      <c r="B66" s="846" t="str">
        <f t="shared" si="2"/>
        <v>STSP</v>
      </c>
      <c r="C66" s="850" t="str">
        <f t="shared" si="3"/>
        <v>Spojky</v>
      </c>
      <c r="D66" s="846" t="str">
        <f t="shared" si="9"/>
        <v>ST</v>
      </c>
      <c r="E66" s="850" t="str">
        <f t="shared" si="10"/>
        <v>Strojní</v>
      </c>
      <c r="G66" s="405">
        <v>62</v>
      </c>
      <c r="H66" s="951"/>
      <c r="I66" s="949"/>
      <c r="J66" s="410" t="str">
        <f t="shared" si="7"/>
        <v>ST</v>
      </c>
      <c r="K66" s="685" t="str">
        <f t="shared" si="8"/>
        <v>Strojní</v>
      </c>
      <c r="L66" s="410" t="s">
        <v>22</v>
      </c>
      <c r="M66" s="685" t="s">
        <v>21</v>
      </c>
      <c r="N66" s="411" t="s">
        <v>541</v>
      </c>
      <c r="O66" s="352" t="str">
        <f t="shared" si="4"/>
        <v>STSP</v>
      </c>
      <c r="P66" s="353"/>
    </row>
    <row r="67" spans="2:19" ht="14.25" x14ac:dyDescent="0.35">
      <c r="B67" s="846" t="str">
        <f t="shared" si="2"/>
        <v>STST</v>
      </c>
      <c r="C67" s="850" t="str">
        <f t="shared" si="3"/>
        <v>Stěrače</v>
      </c>
      <c r="D67" s="846" t="str">
        <f t="shared" si="9"/>
        <v>ST</v>
      </c>
      <c r="E67" s="850" t="str">
        <f t="shared" si="10"/>
        <v>Strojní</v>
      </c>
      <c r="G67" s="406">
        <v>63</v>
      </c>
      <c r="H67" s="951"/>
      <c r="I67" s="949"/>
      <c r="J67" s="410" t="str">
        <f t="shared" si="7"/>
        <v>ST</v>
      </c>
      <c r="K67" s="685" t="str">
        <f t="shared" si="8"/>
        <v>Strojní</v>
      </c>
      <c r="L67" s="410" t="s">
        <v>23</v>
      </c>
      <c r="M67" s="685" t="s">
        <v>20</v>
      </c>
      <c r="N67" s="411" t="s">
        <v>540</v>
      </c>
      <c r="O67" s="352" t="str">
        <f t="shared" si="4"/>
        <v>STST</v>
      </c>
      <c r="P67" s="353"/>
    </row>
    <row r="68" spans="2:19" ht="14.25" x14ac:dyDescent="0.35">
      <c r="B68" s="846" t="str">
        <f t="shared" si="2"/>
        <v>STVA</v>
      </c>
      <c r="C68" s="850" t="str">
        <f t="shared" si="3"/>
        <v>Válečky</v>
      </c>
      <c r="D68" s="846" t="str">
        <f t="shared" si="9"/>
        <v>ST</v>
      </c>
      <c r="E68" s="850" t="str">
        <f t="shared" si="10"/>
        <v>Strojní</v>
      </c>
      <c r="G68" s="405">
        <v>64</v>
      </c>
      <c r="H68" s="951"/>
      <c r="I68" s="949"/>
      <c r="J68" s="412" t="str">
        <f t="shared" si="7"/>
        <v>ST</v>
      </c>
      <c r="K68" s="686" t="str">
        <f t="shared" si="8"/>
        <v>Strojní</v>
      </c>
      <c r="L68" s="412" t="s">
        <v>27</v>
      </c>
      <c r="M68" s="686" t="s">
        <v>26</v>
      </c>
      <c r="N68" s="404" t="s">
        <v>543</v>
      </c>
      <c r="O68" s="414" t="str">
        <f t="shared" si="4"/>
        <v>STVA</v>
      </c>
      <c r="P68" s="358"/>
    </row>
    <row r="69" spans="2:19" ht="14.65" thickBot="1" x14ac:dyDescent="0.4">
      <c r="B69" s="846" t="str">
        <f t="shared" si="2"/>
        <v>STVY</v>
      </c>
      <c r="C69" s="850" t="str">
        <f t="shared" si="3"/>
        <v>Výkovky</v>
      </c>
      <c r="D69" s="846" t="str">
        <f t="shared" ref="D69:D87" si="11">J69</f>
        <v>ST</v>
      </c>
      <c r="E69" s="850" t="str">
        <f t="shared" ref="E69:E87" si="12">K69</f>
        <v>Strojní</v>
      </c>
      <c r="G69" s="415">
        <v>65</v>
      </c>
      <c r="H69" s="952"/>
      <c r="I69" s="950"/>
      <c r="J69" s="416" t="str">
        <f t="shared" si="7"/>
        <v>ST</v>
      </c>
      <c r="K69" s="687" t="str">
        <f t="shared" si="8"/>
        <v>Strojní</v>
      </c>
      <c r="L69" s="416" t="s">
        <v>156</v>
      </c>
      <c r="M69" s="687" t="s">
        <v>157</v>
      </c>
      <c r="N69" s="687" t="s">
        <v>157</v>
      </c>
      <c r="O69" s="368" t="str">
        <f t="shared" si="4"/>
        <v>STVY</v>
      </c>
      <c r="P69" s="417">
        <v>160</v>
      </c>
    </row>
    <row r="70" spans="2:19" ht="15.75" customHeight="1" thickTop="1" x14ac:dyDescent="0.35">
      <c r="B70" s="846" t="str">
        <f t="shared" ref="B70:B87" si="13">O70</f>
        <v>SUDR</v>
      </c>
      <c r="C70" s="850" t="str">
        <f t="shared" ref="C70:C87" si="14">M70</f>
        <v>Drtiče</v>
      </c>
      <c r="D70" s="846" t="str">
        <f t="shared" si="11"/>
        <v>SU</v>
      </c>
      <c r="E70" s="850" t="str">
        <f t="shared" si="12"/>
        <v>Subdodávky</v>
      </c>
      <c r="G70" s="418">
        <v>66</v>
      </c>
      <c r="H70" s="971" t="str">
        <f>J70</f>
        <v>SU</v>
      </c>
      <c r="I70" s="974" t="str">
        <f>K70</f>
        <v>Subdodávky</v>
      </c>
      <c r="J70" s="837" t="s">
        <v>25</v>
      </c>
      <c r="K70" s="838" t="s">
        <v>24</v>
      </c>
      <c r="L70" s="419" t="s">
        <v>49</v>
      </c>
      <c r="M70" s="688" t="s">
        <v>48</v>
      </c>
      <c r="N70" s="688" t="s">
        <v>48</v>
      </c>
      <c r="O70" s="347" t="str">
        <f t="shared" ref="O70:O85" si="15">J70&amp;L70</f>
        <v>SUDR</v>
      </c>
      <c r="P70" s="361"/>
    </row>
    <row r="71" spans="2:19" ht="15" customHeight="1" x14ac:dyDescent="0.35">
      <c r="B71" s="846" t="str">
        <f t="shared" si="13"/>
        <v>SUHY</v>
      </c>
      <c r="C71" s="850" t="str">
        <f t="shared" si="14"/>
        <v>Hydraulika</v>
      </c>
      <c r="D71" s="846" t="str">
        <f t="shared" si="11"/>
        <v>SU</v>
      </c>
      <c r="E71" s="850" t="str">
        <f t="shared" si="12"/>
        <v>Subdodávky</v>
      </c>
      <c r="G71" s="420">
        <v>67</v>
      </c>
      <c r="H71" s="972"/>
      <c r="I71" s="975"/>
      <c r="J71" s="421" t="str">
        <f t="shared" si="7"/>
        <v>SU</v>
      </c>
      <c r="K71" s="689" t="str">
        <f t="shared" si="8"/>
        <v>Subdodávky</v>
      </c>
      <c r="L71" s="421" t="s">
        <v>200</v>
      </c>
      <c r="M71" s="689" t="s">
        <v>201</v>
      </c>
      <c r="N71" s="689" t="s">
        <v>201</v>
      </c>
      <c r="O71" s="352" t="str">
        <f t="shared" si="15"/>
        <v>SUHY</v>
      </c>
      <c r="P71" s="353"/>
    </row>
    <row r="72" spans="2:19" ht="15" customHeight="1" x14ac:dyDescent="0.35">
      <c r="B72" s="846" t="str">
        <f t="shared" si="13"/>
        <v>SUKA</v>
      </c>
      <c r="C72" s="850" t="str">
        <f t="shared" si="14"/>
        <v>Kabina</v>
      </c>
      <c r="D72" s="846" t="str">
        <f t="shared" si="11"/>
        <v>SU</v>
      </c>
      <c r="E72" s="850" t="str">
        <f t="shared" si="12"/>
        <v>Subdodávky</v>
      </c>
      <c r="G72" s="420">
        <v>68</v>
      </c>
      <c r="H72" s="972"/>
      <c r="I72" s="975"/>
      <c r="J72" s="421" t="str">
        <f t="shared" si="7"/>
        <v>SU</v>
      </c>
      <c r="K72" s="689" t="str">
        <f t="shared" si="8"/>
        <v>Subdodávky</v>
      </c>
      <c r="L72" s="421" t="s">
        <v>4</v>
      </c>
      <c r="M72" s="689" t="s">
        <v>199</v>
      </c>
      <c r="N72" s="689" t="s">
        <v>199</v>
      </c>
      <c r="O72" s="352" t="str">
        <f t="shared" si="15"/>
        <v>SUKA</v>
      </c>
      <c r="P72" s="353"/>
    </row>
    <row r="73" spans="2:19" ht="25.5" x14ac:dyDescent="0.35">
      <c r="B73" s="846" t="str">
        <f t="shared" si="13"/>
        <v>SUOS</v>
      </c>
      <c r="C73" s="850" t="str">
        <f t="shared" si="14"/>
        <v>Ostatní</v>
      </c>
      <c r="D73" s="846" t="str">
        <f t="shared" si="11"/>
        <v>SU</v>
      </c>
      <c r="E73" s="850" t="str">
        <f t="shared" si="12"/>
        <v>Subdodávky</v>
      </c>
      <c r="G73" s="420">
        <v>69</v>
      </c>
      <c r="H73" s="972"/>
      <c r="I73" s="975"/>
      <c r="J73" s="423" t="str">
        <f t="shared" si="7"/>
        <v>SU</v>
      </c>
      <c r="K73" s="689" t="str">
        <f t="shared" si="8"/>
        <v>Subdodávky</v>
      </c>
      <c r="L73" s="423" t="s">
        <v>95</v>
      </c>
      <c r="M73" s="689" t="s">
        <v>97</v>
      </c>
      <c r="N73" s="422" t="s">
        <v>722</v>
      </c>
      <c r="O73" s="352" t="str">
        <f t="shared" si="15"/>
        <v>SUOS</v>
      </c>
      <c r="P73" s="353"/>
      <c r="R73" s="21"/>
      <c r="S73" s="21"/>
    </row>
    <row r="74" spans="2:19" ht="15" customHeight="1" x14ac:dyDescent="0.35">
      <c r="B74" s="846" t="str">
        <f t="shared" si="13"/>
        <v>SUPD</v>
      </c>
      <c r="C74" s="850" t="str">
        <f t="shared" si="14"/>
        <v>Podvozky</v>
      </c>
      <c r="D74" s="846" t="str">
        <f t="shared" si="11"/>
        <v>SU</v>
      </c>
      <c r="E74" s="850" t="str">
        <f t="shared" si="12"/>
        <v>Subdodávky</v>
      </c>
      <c r="G74" s="418">
        <v>70</v>
      </c>
      <c r="H74" s="972"/>
      <c r="I74" s="975"/>
      <c r="J74" s="423" t="str">
        <f t="shared" si="7"/>
        <v>SU</v>
      </c>
      <c r="K74" s="689" t="str">
        <f t="shared" si="8"/>
        <v>Subdodávky</v>
      </c>
      <c r="L74" s="423" t="s">
        <v>96</v>
      </c>
      <c r="M74" s="689" t="s">
        <v>198</v>
      </c>
      <c r="N74" s="689" t="s">
        <v>198</v>
      </c>
      <c r="O74" s="352" t="str">
        <f t="shared" si="15"/>
        <v>SUPD</v>
      </c>
      <c r="P74" s="353"/>
      <c r="R74" s="21"/>
      <c r="S74" s="21"/>
    </row>
    <row r="75" spans="2:19" ht="15.75" customHeight="1" thickBot="1" x14ac:dyDescent="0.4">
      <c r="B75" s="846" t="str">
        <f t="shared" si="13"/>
        <v>SUSM</v>
      </c>
      <c r="C75" s="850" t="str">
        <f t="shared" si="14"/>
        <v>CMS</v>
      </c>
      <c r="D75" s="846" t="str">
        <f t="shared" si="11"/>
        <v>SU</v>
      </c>
      <c r="E75" s="850" t="str">
        <f t="shared" si="12"/>
        <v>Subdodávky</v>
      </c>
      <c r="G75" s="420">
        <v>71</v>
      </c>
      <c r="H75" s="972"/>
      <c r="I75" s="975"/>
      <c r="J75" s="423" t="str">
        <f t="shared" si="7"/>
        <v>SU</v>
      </c>
      <c r="K75" s="888" t="str">
        <f t="shared" si="8"/>
        <v>Subdodávky</v>
      </c>
      <c r="L75" s="889" t="s">
        <v>38</v>
      </c>
      <c r="M75" s="888" t="s">
        <v>202</v>
      </c>
      <c r="N75" s="890" t="s">
        <v>667</v>
      </c>
      <c r="O75" s="368" t="str">
        <f t="shared" si="15"/>
        <v>SUSM</v>
      </c>
      <c r="P75" s="425"/>
    </row>
    <row r="76" spans="2:19" ht="17.25" customHeight="1" thickTop="1" thickBot="1" x14ac:dyDescent="0.4">
      <c r="B76" s="885" t="str">
        <f>O76</f>
        <v>SUTO</v>
      </c>
      <c r="C76" s="850" t="str">
        <f>M76</f>
        <v>Těžební orgán</v>
      </c>
      <c r="D76" s="885" t="str">
        <f>J76</f>
        <v>SU</v>
      </c>
      <c r="E76" s="886" t="str">
        <f>K76</f>
        <v>Subdodávky</v>
      </c>
      <c r="G76" s="424">
        <v>72</v>
      </c>
      <c r="H76" s="973"/>
      <c r="I76" s="976"/>
      <c r="J76" s="882" t="str">
        <f>J75</f>
        <v>SU</v>
      </c>
      <c r="K76" s="688" t="str">
        <f>K75</f>
        <v>Subdodávky</v>
      </c>
      <c r="L76" s="882" t="s">
        <v>723</v>
      </c>
      <c r="M76" s="887" t="s">
        <v>724</v>
      </c>
      <c r="N76" s="883" t="s">
        <v>725</v>
      </c>
      <c r="O76" s="884" t="str">
        <f t="shared" si="15"/>
        <v>SUTO</v>
      </c>
      <c r="P76" s="361"/>
    </row>
    <row r="77" spans="2:19" ht="14.65" thickTop="1" x14ac:dyDescent="0.35">
      <c r="B77" s="846" t="str">
        <f t="shared" si="13"/>
        <v>PRDP</v>
      </c>
      <c r="C77" s="850" t="str">
        <f t="shared" si="14"/>
        <v>Doprava</v>
      </c>
      <c r="D77" s="846" t="str">
        <f t="shared" si="11"/>
        <v>PR</v>
      </c>
      <c r="E77" s="850" t="str">
        <f t="shared" si="12"/>
        <v>Profese a služby</v>
      </c>
      <c r="G77" s="426">
        <v>73</v>
      </c>
      <c r="H77" s="955" t="str">
        <f>J77</f>
        <v>PR</v>
      </c>
      <c r="I77" s="958" t="str">
        <f>K77</f>
        <v>Profese a služby</v>
      </c>
      <c r="J77" s="839" t="s">
        <v>51</v>
      </c>
      <c r="K77" s="840" t="s">
        <v>209</v>
      </c>
      <c r="L77" s="427" t="s">
        <v>205</v>
      </c>
      <c r="M77" s="690" t="s">
        <v>213</v>
      </c>
      <c r="N77" s="690" t="s">
        <v>213</v>
      </c>
      <c r="O77" s="347" t="str">
        <f t="shared" si="15"/>
        <v>PRDP</v>
      </c>
      <c r="P77" s="348"/>
    </row>
    <row r="78" spans="2:19" ht="14.25" x14ac:dyDescent="0.35">
      <c r="B78" s="846" t="str">
        <f t="shared" si="13"/>
        <v>PRMZ</v>
      </c>
      <c r="C78" s="850" t="str">
        <f t="shared" si="14"/>
        <v>Montáž</v>
      </c>
      <c r="D78" s="846" t="str">
        <f t="shared" si="11"/>
        <v>PR</v>
      </c>
      <c r="E78" s="850" t="str">
        <f t="shared" si="12"/>
        <v>Profese a služby</v>
      </c>
      <c r="G78" s="428">
        <v>74</v>
      </c>
      <c r="H78" s="956"/>
      <c r="I78" s="959"/>
      <c r="J78" s="429" t="str">
        <f t="shared" si="7"/>
        <v>PR</v>
      </c>
      <c r="K78" s="691" t="str">
        <f t="shared" si="8"/>
        <v>Profese a služby</v>
      </c>
      <c r="L78" s="429" t="s">
        <v>212</v>
      </c>
      <c r="M78" s="691" t="s">
        <v>1</v>
      </c>
      <c r="N78" s="691" t="s">
        <v>1</v>
      </c>
      <c r="O78" s="352" t="str">
        <f t="shared" si="15"/>
        <v>PRMZ</v>
      </c>
      <c r="P78" s="353"/>
    </row>
    <row r="79" spans="2:19" ht="14.25" x14ac:dyDescent="0.35">
      <c r="B79" s="846" t="str">
        <f t="shared" si="13"/>
        <v>PRNP</v>
      </c>
      <c r="C79" s="850" t="str">
        <f t="shared" si="14"/>
        <v>Nátěry - Pozink</v>
      </c>
      <c r="D79" s="846" t="str">
        <f t="shared" si="11"/>
        <v>PR</v>
      </c>
      <c r="E79" s="850" t="str">
        <f t="shared" si="12"/>
        <v>Profese a služby</v>
      </c>
      <c r="G79" s="431">
        <v>75</v>
      </c>
      <c r="H79" s="956"/>
      <c r="I79" s="959"/>
      <c r="J79" s="432" t="str">
        <f t="shared" si="7"/>
        <v>PR</v>
      </c>
      <c r="K79" s="691" t="str">
        <f t="shared" si="8"/>
        <v>Profese a služby</v>
      </c>
      <c r="L79" s="432" t="s">
        <v>527</v>
      </c>
      <c r="M79" s="691" t="s">
        <v>526</v>
      </c>
      <c r="N79" s="691" t="s">
        <v>526</v>
      </c>
      <c r="O79" s="352" t="str">
        <f t="shared" si="15"/>
        <v>PRNP</v>
      </c>
      <c r="P79" s="353"/>
    </row>
    <row r="80" spans="2:19" ht="14.25" x14ac:dyDescent="0.35">
      <c r="B80" s="846" t="str">
        <f t="shared" si="13"/>
        <v>PRNT</v>
      </c>
      <c r="C80" s="850" t="str">
        <f t="shared" si="14"/>
        <v>Nátěry</v>
      </c>
      <c r="D80" s="846" t="str">
        <f t="shared" si="11"/>
        <v>PR</v>
      </c>
      <c r="E80" s="850" t="str">
        <f t="shared" si="12"/>
        <v>Profese a služby</v>
      </c>
      <c r="G80" s="431">
        <v>76</v>
      </c>
      <c r="H80" s="956"/>
      <c r="I80" s="959"/>
      <c r="J80" s="429" t="str">
        <f t="shared" si="7"/>
        <v>PR</v>
      </c>
      <c r="K80" s="691" t="str">
        <f t="shared" si="8"/>
        <v>Profese a služby</v>
      </c>
      <c r="L80" s="429" t="s">
        <v>216</v>
      </c>
      <c r="M80" s="691" t="s">
        <v>217</v>
      </c>
      <c r="N80" s="691" t="s">
        <v>217</v>
      </c>
      <c r="O80" s="352" t="str">
        <f t="shared" si="15"/>
        <v>PRNT</v>
      </c>
      <c r="P80" s="353"/>
    </row>
    <row r="81" spans="2:19" ht="38.25" x14ac:dyDescent="0.35">
      <c r="B81" s="846" t="str">
        <f t="shared" si="13"/>
        <v>PROI</v>
      </c>
      <c r="C81" s="850" t="str">
        <f t="shared" si="14"/>
        <v>Oživení a instalace</v>
      </c>
      <c r="D81" s="846" t="str">
        <f t="shared" si="11"/>
        <v>PR</v>
      </c>
      <c r="E81" s="850" t="str">
        <f t="shared" si="12"/>
        <v>Profese a služby</v>
      </c>
      <c r="G81" s="431">
        <v>77</v>
      </c>
      <c r="H81" s="956"/>
      <c r="I81" s="959"/>
      <c r="J81" s="432" t="str">
        <f t="shared" si="7"/>
        <v>PR</v>
      </c>
      <c r="K81" s="691" t="str">
        <f t="shared" si="8"/>
        <v>Profese a služby</v>
      </c>
      <c r="L81" s="432" t="s">
        <v>210</v>
      </c>
      <c r="M81" s="691" t="s">
        <v>211</v>
      </c>
      <c r="N81" s="430" t="s">
        <v>574</v>
      </c>
      <c r="O81" s="352" t="str">
        <f t="shared" si="15"/>
        <v>PROI</v>
      </c>
      <c r="P81" s="353"/>
      <c r="R81" s="21"/>
      <c r="S81" s="21"/>
    </row>
    <row r="82" spans="2:19" ht="14.65" thickBot="1" x14ac:dyDescent="0.4">
      <c r="B82" s="846" t="str">
        <f t="shared" si="13"/>
        <v>PRSR</v>
      </c>
      <c r="C82" s="850" t="str">
        <f t="shared" si="14"/>
        <v>Servis</v>
      </c>
      <c r="D82" s="846" t="str">
        <f t="shared" si="11"/>
        <v>PR</v>
      </c>
      <c r="E82" s="850" t="str">
        <f t="shared" si="12"/>
        <v>Profese a služby</v>
      </c>
      <c r="G82" s="433">
        <v>78</v>
      </c>
      <c r="H82" s="957"/>
      <c r="I82" s="960"/>
      <c r="J82" s="434" t="str">
        <f t="shared" si="7"/>
        <v>PR</v>
      </c>
      <c r="K82" s="692" t="str">
        <f t="shared" si="8"/>
        <v>Profese a služby</v>
      </c>
      <c r="L82" s="434" t="s">
        <v>214</v>
      </c>
      <c r="M82" s="692" t="s">
        <v>215</v>
      </c>
      <c r="N82" s="692" t="s">
        <v>215</v>
      </c>
      <c r="O82" s="368" t="str">
        <f t="shared" si="15"/>
        <v>PRSR</v>
      </c>
      <c r="P82" s="425"/>
    </row>
    <row r="83" spans="2:19" ht="33" customHeight="1" thickTop="1" x14ac:dyDescent="0.35">
      <c r="B83" s="846" t="str">
        <f t="shared" si="13"/>
        <v>RENO</v>
      </c>
      <c r="C83" s="850" t="str">
        <f t="shared" si="14"/>
        <v>Noen</v>
      </c>
      <c r="D83" s="846" t="str">
        <f t="shared" si="11"/>
        <v>RE</v>
      </c>
      <c r="E83" s="850" t="str">
        <f t="shared" si="12"/>
        <v>Režie</v>
      </c>
      <c r="G83" s="891">
        <v>79</v>
      </c>
      <c r="H83" s="937" t="str">
        <f>J83</f>
        <v>RE</v>
      </c>
      <c r="I83" s="939" t="str">
        <f>K83</f>
        <v>Režie</v>
      </c>
      <c r="J83" s="841" t="s">
        <v>669</v>
      </c>
      <c r="K83" s="842" t="s">
        <v>668</v>
      </c>
      <c r="L83" s="697" t="s">
        <v>161</v>
      </c>
      <c r="M83" s="698" t="s">
        <v>670</v>
      </c>
      <c r="N83" s="699" t="s">
        <v>673</v>
      </c>
      <c r="O83" s="347" t="str">
        <f t="shared" si="15"/>
        <v>RENO</v>
      </c>
      <c r="P83" s="820"/>
    </row>
    <row r="84" spans="2:19" ht="14.65" thickBot="1" x14ac:dyDescent="0.4">
      <c r="B84" s="846" t="str">
        <f t="shared" si="13"/>
        <v>REEX</v>
      </c>
      <c r="C84" s="850" t="str">
        <f t="shared" si="14"/>
        <v>Externí</v>
      </c>
      <c r="D84" s="846" t="str">
        <f t="shared" si="11"/>
        <v>RE</v>
      </c>
      <c r="E84" s="850" t="str">
        <f t="shared" si="12"/>
        <v>Režie</v>
      </c>
      <c r="G84" s="696">
        <v>80</v>
      </c>
      <c r="H84" s="938"/>
      <c r="I84" s="940"/>
      <c r="J84" s="700" t="str">
        <f t="shared" si="7"/>
        <v>RE</v>
      </c>
      <c r="K84" s="701" t="str">
        <f t="shared" si="8"/>
        <v>Režie</v>
      </c>
      <c r="L84" s="700" t="s">
        <v>671</v>
      </c>
      <c r="M84" s="701" t="s">
        <v>672</v>
      </c>
      <c r="N84" s="702" t="s">
        <v>674</v>
      </c>
      <c r="O84" s="368" t="str">
        <f t="shared" si="15"/>
        <v>REEX</v>
      </c>
      <c r="P84" s="369"/>
    </row>
    <row r="85" spans="2:19" ht="15" thickTop="1" thickBot="1" x14ac:dyDescent="0.4">
      <c r="B85" s="846" t="str">
        <f t="shared" si="13"/>
        <v>OPTN</v>
      </c>
      <c r="C85" s="850" t="str">
        <f t="shared" si="14"/>
        <v>Options</v>
      </c>
      <c r="D85" s="846" t="str">
        <f t="shared" si="11"/>
        <v>OP</v>
      </c>
      <c r="E85" s="850" t="str">
        <f t="shared" si="12"/>
        <v>Options</v>
      </c>
      <c r="G85" s="435">
        <v>81</v>
      </c>
      <c r="H85" s="724" t="str">
        <f>J85</f>
        <v>OP</v>
      </c>
      <c r="I85" s="437" t="str">
        <f>K85</f>
        <v>Options</v>
      </c>
      <c r="J85" s="843" t="s">
        <v>15</v>
      </c>
      <c r="K85" s="844" t="s">
        <v>680</v>
      </c>
      <c r="L85" s="818" t="s">
        <v>726</v>
      </c>
      <c r="M85" s="693" t="str">
        <f>K85</f>
        <v>Options</v>
      </c>
      <c r="N85" s="1057" t="s">
        <v>680</v>
      </c>
      <c r="O85" s="368" t="str">
        <f t="shared" si="15"/>
        <v>OPTN</v>
      </c>
      <c r="P85" s="417"/>
    </row>
    <row r="86" spans="2:19" ht="13.9" thickTop="1" thickBot="1" x14ac:dyDescent="0.4">
      <c r="B86" s="846" t="str">
        <f t="shared" si="13"/>
        <v>N/A</v>
      </c>
      <c r="C86" s="850" t="str">
        <f t="shared" si="14"/>
        <v>Bez kalkulační položky</v>
      </c>
      <c r="D86" s="846" t="str">
        <f t="shared" si="11"/>
        <v>N/A</v>
      </c>
      <c r="E86" s="850" t="str">
        <f t="shared" si="12"/>
        <v>Bez kalkulační položky</v>
      </c>
      <c r="G86" s="435">
        <v>82</v>
      </c>
      <c r="H86" s="724" t="str">
        <f>J86</f>
        <v>N/A</v>
      </c>
      <c r="I86" s="853" t="str">
        <f>K86</f>
        <v>Bez kalkulační položky</v>
      </c>
      <c r="J86" s="843" t="s">
        <v>681</v>
      </c>
      <c r="K86" s="844" t="s">
        <v>682</v>
      </c>
      <c r="L86" s="438"/>
      <c r="M86" s="725" t="str">
        <f>K86</f>
        <v>Bez kalkulační položky</v>
      </c>
      <c r="N86" s="1057" t="s">
        <v>682</v>
      </c>
      <c r="O86" s="738" t="str">
        <f>H86</f>
        <v>N/A</v>
      </c>
      <c r="P86" s="417"/>
    </row>
    <row r="87" spans="2:19" ht="13.9" thickTop="1" thickBot="1" x14ac:dyDescent="0.4">
      <c r="B87" s="846" t="str">
        <f t="shared" si="13"/>
        <v>-</v>
      </c>
      <c r="C87" s="850" t="str">
        <f t="shared" si="14"/>
        <v>-</v>
      </c>
      <c r="D87" s="846" t="str">
        <f t="shared" si="11"/>
        <v>-</v>
      </c>
      <c r="E87" s="850" t="str">
        <f t="shared" si="12"/>
        <v>-</v>
      </c>
      <c r="G87" s="435">
        <v>83</v>
      </c>
      <c r="H87" s="436" t="s">
        <v>218</v>
      </c>
      <c r="I87" s="437" t="s">
        <v>218</v>
      </c>
      <c r="J87" s="818" t="s">
        <v>231</v>
      </c>
      <c r="K87" s="725" t="s">
        <v>231</v>
      </c>
      <c r="L87" s="438"/>
      <c r="M87" s="693" t="str">
        <f>K87</f>
        <v>-</v>
      </c>
      <c r="N87" s="1057" t="s">
        <v>231</v>
      </c>
      <c r="O87" s="738" t="s">
        <v>231</v>
      </c>
      <c r="P87" s="417"/>
    </row>
    <row r="88" spans="2:19" ht="13.15" thickTop="1" x14ac:dyDescent="0.35"/>
  </sheetData>
  <sheetProtection selectLockedCells="1"/>
  <mergeCells count="17">
    <mergeCell ref="R3:S3"/>
    <mergeCell ref="H77:H82"/>
    <mergeCell ref="I77:I82"/>
    <mergeCell ref="H34:H39"/>
    <mergeCell ref="I34:I39"/>
    <mergeCell ref="H5:H33"/>
    <mergeCell ref="I5:I33"/>
    <mergeCell ref="H70:H76"/>
    <mergeCell ref="I70:I76"/>
    <mergeCell ref="H83:H84"/>
    <mergeCell ref="I83:I84"/>
    <mergeCell ref="H40:H46"/>
    <mergeCell ref="I40:I46"/>
    <mergeCell ref="H47:H51"/>
    <mergeCell ref="I47:I51"/>
    <mergeCell ref="I52:I69"/>
    <mergeCell ref="H52:H69"/>
  </mergeCells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1">
    <tabColor rgb="FF92D050"/>
    <outlinePr summaryBelow="0" summaryRight="0"/>
    <pageSetUpPr fitToPage="1"/>
  </sheetPr>
  <dimension ref="A1:NW200"/>
  <sheetViews>
    <sheetView showGridLines="0" zoomScale="70" zoomScaleNormal="70" zoomScaleSheetLayoutView="100" zoomScalePageLayoutView="125" workbookViewId="0">
      <pane ySplit="16" topLeftCell="A17" activePane="bottomLeft" state="frozen"/>
      <selection pane="bottomLeft" activeCell="I34" sqref="I34:I36"/>
    </sheetView>
  </sheetViews>
  <sheetFormatPr defaultColWidth="9.1328125" defaultRowHeight="13.15" outlineLevelRow="1" outlineLevelCol="1" x14ac:dyDescent="0.4"/>
  <cols>
    <col min="1" max="1" width="4.3984375" style="22" customWidth="1"/>
    <col min="2" max="2" width="10.73046875" style="40" customWidth="1"/>
    <col min="3" max="3" width="10.73046875" style="105" customWidth="1"/>
    <col min="4" max="4" width="55.73046875" style="50" customWidth="1"/>
    <col min="5" max="5" width="10.73046875" style="50" customWidth="1"/>
    <col min="6" max="8" width="35.73046875" style="50" customWidth="1"/>
    <col min="9" max="10" width="10.73046875" style="50" customWidth="1"/>
    <col min="11" max="11" width="10.73046875" style="40" customWidth="1"/>
    <col min="12" max="12" width="11.73046875" style="51" customWidth="1"/>
    <col min="13" max="13" width="10.73046875" style="51" customWidth="1"/>
    <col min="14" max="15" width="14.73046875" style="40" customWidth="1"/>
    <col min="16" max="16" width="14.73046875" style="52" customWidth="1"/>
    <col min="17" max="17" width="10.73046875" style="170" customWidth="1"/>
    <col min="18" max="19" width="14.73046875" style="52" customWidth="1" outlineLevel="1"/>
    <col min="20" max="21" width="10.73046875" style="40" customWidth="1" outlineLevel="1"/>
    <col min="22" max="22" width="10.73046875" style="576" customWidth="1" outlineLevel="1"/>
    <col min="23" max="23" width="10.73046875" style="40" customWidth="1" outlineLevel="1"/>
    <col min="24" max="24" width="16.265625" style="800" customWidth="1" outlineLevel="1"/>
    <col min="25" max="26" width="14.73046875" style="53" customWidth="1" outlineLevel="1"/>
    <col min="27" max="27" width="10.73046875" style="40" customWidth="1" outlineLevel="1"/>
    <col min="28" max="28" width="12.86328125" style="170" customWidth="1" outlineLevel="1"/>
    <col min="29" max="29" width="2.73046875" style="81" customWidth="1"/>
    <col min="30" max="32" width="18.73046875" style="54" customWidth="1" outlineLevel="1"/>
    <col min="33" max="33" width="18.73046875" style="754" customWidth="1" outlineLevel="1"/>
    <col min="34" max="34" width="2.73046875" style="81" customWidth="1" collapsed="1"/>
    <col min="35" max="37" width="18.73046875" style="54" hidden="1" customWidth="1" outlineLevel="1"/>
    <col min="38" max="38" width="18.73046875" style="754" hidden="1" customWidth="1" outlineLevel="1"/>
    <col min="39" max="39" width="2.73046875" style="81" customWidth="1" collapsed="1"/>
    <col min="40" max="42" width="18.73046875" style="54" hidden="1" customWidth="1" outlineLevel="1"/>
    <col min="43" max="43" width="18.73046875" style="754" hidden="1" customWidth="1" outlineLevel="1"/>
    <col min="44" max="44" width="2.73046875" style="81" customWidth="1" collapsed="1"/>
    <col min="45" max="47" width="18.73046875" style="54" hidden="1" customWidth="1" outlineLevel="1"/>
    <col min="48" max="48" width="18.73046875" style="768" hidden="1" customWidth="1" outlineLevel="1"/>
    <col min="49" max="49" width="4.3984375" style="167" customWidth="1" collapsed="1"/>
    <col min="50" max="69" width="3" style="55" hidden="1" customWidth="1" outlineLevel="1"/>
    <col min="70" max="107" width="11.3984375" style="55" hidden="1" customWidth="1" outlineLevel="1"/>
    <col min="108" max="109" width="14.59765625" style="55" hidden="1" customWidth="1" outlineLevel="1"/>
    <col min="110" max="129" width="6" style="55" hidden="1" customWidth="1" outlineLevel="1"/>
    <col min="130" max="131" width="12.265625" style="55" hidden="1" customWidth="1" outlineLevel="1"/>
    <col min="132" max="169" width="11.3984375" style="55" hidden="1" customWidth="1" outlineLevel="1"/>
    <col min="170" max="171" width="14.59765625" style="76" hidden="1" customWidth="1" outlineLevel="1"/>
    <col min="172" max="173" width="6.3984375" style="76" hidden="1" customWidth="1" outlineLevel="1"/>
    <col min="174" max="191" width="6.3984375" style="21" hidden="1" customWidth="1" outlineLevel="1"/>
    <col min="192" max="192" width="12.265625" style="21" hidden="1" customWidth="1" outlineLevel="1"/>
    <col min="193" max="194" width="6.3984375" style="76" hidden="1" customWidth="1" outlineLevel="1"/>
    <col min="195" max="212" width="6.3984375" style="21" hidden="1" customWidth="1" outlineLevel="1"/>
    <col min="213" max="213" width="12.265625" style="21" hidden="1" customWidth="1" outlineLevel="1"/>
    <col min="214" max="214" width="11.73046875" style="56" hidden="1" customWidth="1" outlineLevel="1"/>
    <col min="215" max="215" width="4.265625" style="56" hidden="1" customWidth="1" outlineLevel="1"/>
    <col min="216" max="224" width="4.265625" style="97" hidden="1" customWidth="1" outlineLevel="1"/>
    <col min="225" max="225" width="11.73046875" style="49" hidden="1" customWidth="1" outlineLevel="1"/>
    <col min="226" max="226" width="16.59765625" style="49" hidden="1" customWidth="1" outlineLevel="1"/>
    <col min="227" max="227" width="24.265625" style="49" hidden="1" customWidth="1" outlineLevel="1"/>
    <col min="228" max="228" width="35.73046875" style="97" hidden="1" customWidth="1" outlineLevel="1"/>
    <col min="229" max="229" width="35.73046875" style="49" hidden="1" customWidth="1" outlineLevel="1"/>
    <col min="230" max="231" width="12.59765625" style="40" hidden="1" customWidth="1" outlineLevel="1"/>
    <col min="232" max="234" width="11" style="40" hidden="1" customWidth="1" outlineLevel="1"/>
    <col min="235" max="235" width="12.265625" style="40" hidden="1" customWidth="1" outlineLevel="1"/>
    <col min="236" max="236" width="13.59765625" style="320" hidden="1" customWidth="1" outlineLevel="1"/>
    <col min="237" max="237" width="12.265625" style="40" hidden="1" customWidth="1" outlineLevel="1"/>
    <col min="238" max="238" width="11" style="40" hidden="1" customWidth="1" outlineLevel="1"/>
    <col min="239" max="240" width="12.73046875" style="49" hidden="1" customWidth="1" outlineLevel="1"/>
    <col min="241" max="245" width="12.73046875" style="40" hidden="1" customWidth="1" outlineLevel="1"/>
    <col min="246" max="246" width="11" style="40" hidden="1" customWidth="1" outlineLevel="1"/>
    <col min="247" max="247" width="12.73046875" style="40" hidden="1" customWidth="1" outlineLevel="1"/>
    <col min="248" max="248" width="12.73046875" style="55" hidden="1" customWidth="1" outlineLevel="1"/>
    <col min="249" max="251" width="12.73046875" style="40" hidden="1" customWidth="1" outlineLevel="1"/>
    <col min="252" max="252" width="7.73046875" style="23" hidden="1" customWidth="1" outlineLevel="1"/>
    <col min="253" max="253" width="11.73046875" style="302" customWidth="1"/>
    <col min="254" max="255" width="9.59765625" style="302" customWidth="1"/>
    <col min="256" max="256" width="15.73046875" style="313" customWidth="1"/>
    <col min="257" max="258" width="11.73046875" style="163" customWidth="1"/>
    <col min="259" max="259" width="11.73046875" customWidth="1" outlineLevel="1"/>
    <col min="260" max="260" width="4.265625" style="559" customWidth="1" outlineLevel="1"/>
    <col min="261" max="268" width="4.265625" style="537" customWidth="1" outlineLevel="1"/>
    <col min="269" max="269" width="29.1328125" style="537" customWidth="1" outlineLevel="1"/>
    <col min="270" max="270" width="11.73046875" style="8" customWidth="1" outlineLevel="1"/>
    <col min="271" max="271" width="16.59765625" customWidth="1" outlineLevel="1"/>
    <col min="272" max="272" width="23.1328125" style="49" customWidth="1"/>
    <col min="273" max="273" width="35.73046875" style="97" customWidth="1" outlineLevel="1"/>
    <col min="274" max="274" width="35.73046875" style="49" customWidth="1" outlineLevel="1"/>
    <col min="275" max="276" width="10.73046875" style="49" customWidth="1" outlineLevel="1"/>
    <col min="277" max="277" width="12" style="49" customWidth="1" outlineLevel="1"/>
    <col min="278" max="280" width="10.73046875" style="49" customWidth="1" outlineLevel="1"/>
    <col min="281" max="281" width="15.73046875" style="49" customWidth="1" outlineLevel="1"/>
    <col min="282" max="282" width="17.3984375" style="49" customWidth="1" outlineLevel="1"/>
    <col min="283" max="285" width="10.73046875" style="49" customWidth="1" outlineLevel="1"/>
    <col min="286" max="286" width="12.73046875" style="663" customWidth="1" outlineLevel="1"/>
    <col min="287" max="290" width="10.73046875" style="49" customWidth="1" outlineLevel="1"/>
    <col min="291" max="291" width="23.1328125" style="49" customWidth="1"/>
    <col min="292" max="292" width="35.73046875" style="97" customWidth="1" outlineLevel="1"/>
    <col min="293" max="293" width="35.73046875" style="49" customWidth="1" outlineLevel="1"/>
    <col min="294" max="295" width="10.73046875" style="49" customWidth="1" outlineLevel="1"/>
    <col min="296" max="296" width="12" style="49" customWidth="1" outlineLevel="1"/>
    <col min="297" max="299" width="10.73046875" style="49" customWidth="1" outlineLevel="1"/>
    <col min="300" max="300" width="15.73046875" style="49" customWidth="1" outlineLevel="1"/>
    <col min="301" max="301" width="17.3984375" style="49" customWidth="1" outlineLevel="1"/>
    <col min="302" max="304" width="10.73046875" style="49" customWidth="1" outlineLevel="1"/>
    <col min="305" max="305" width="12.73046875" style="49" customWidth="1" outlineLevel="1"/>
    <col min="306" max="309" width="10.73046875" style="49" customWidth="1" outlineLevel="1"/>
    <col min="310" max="310" width="23.1328125" style="49" customWidth="1"/>
    <col min="311" max="311" width="35.73046875" style="97" customWidth="1" outlineLevel="1"/>
    <col min="312" max="312" width="35.73046875" style="49" customWidth="1" outlineLevel="1"/>
    <col min="313" max="314" width="10.73046875" style="49" customWidth="1" outlineLevel="1"/>
    <col min="315" max="315" width="12" style="49" customWidth="1" outlineLevel="1"/>
    <col min="316" max="318" width="10.73046875" style="49" customWidth="1" outlineLevel="1"/>
    <col min="319" max="319" width="15.73046875" style="49" customWidth="1" outlineLevel="1"/>
    <col min="320" max="320" width="17.3984375" style="49" customWidth="1" outlineLevel="1"/>
    <col min="321" max="323" width="10.73046875" style="49" customWidth="1" outlineLevel="1"/>
    <col min="324" max="324" width="12.73046875" style="49" customWidth="1" outlineLevel="1"/>
    <col min="325" max="328" width="10.73046875" style="49" customWidth="1" outlineLevel="1"/>
    <col min="329" max="329" width="23.1328125" style="49" customWidth="1"/>
    <col min="330" max="330" width="35.73046875" style="97" customWidth="1" outlineLevel="1"/>
    <col min="331" max="331" width="35.73046875" style="49" customWidth="1" outlineLevel="1"/>
    <col min="332" max="333" width="10.73046875" style="49" customWidth="1" outlineLevel="1"/>
    <col min="334" max="334" width="12" style="49" customWidth="1" outlineLevel="1"/>
    <col min="335" max="337" width="10.73046875" style="49" customWidth="1" outlineLevel="1"/>
    <col min="338" max="338" width="15.73046875" style="49" customWidth="1" outlineLevel="1"/>
    <col min="339" max="339" width="17.3984375" style="49" customWidth="1" outlineLevel="1"/>
    <col min="340" max="342" width="10.73046875" style="49" customWidth="1" outlineLevel="1"/>
    <col min="343" max="343" width="12.73046875" style="49" customWidth="1" outlineLevel="1"/>
    <col min="344" max="347" width="10.73046875" style="49" customWidth="1" outlineLevel="1"/>
    <col min="348" max="348" width="23.1328125" style="214" customWidth="1"/>
    <col min="349" max="350" width="12.3984375" style="214" customWidth="1" outlineLevel="1"/>
    <col min="351" max="351" width="16" style="214" customWidth="1" outlineLevel="1"/>
    <col min="352" max="352" width="8.59765625" style="214" customWidth="1" outlineLevel="1"/>
    <col min="353" max="353" width="15.265625" style="214" customWidth="1" outlineLevel="1"/>
    <col min="354" max="354" width="12.265625" style="214" customWidth="1" outlineLevel="1"/>
    <col min="355" max="355" width="5.86328125" style="214" customWidth="1" outlineLevel="1"/>
    <col min="356" max="356" width="5.73046875" style="214" customWidth="1" outlineLevel="1"/>
    <col min="357" max="357" width="31.265625" style="98" customWidth="1" outlineLevel="1"/>
    <col min="358" max="362" width="3" style="98" customWidth="1" outlineLevel="1"/>
    <col min="363" max="363" width="14.73046875" style="214" customWidth="1" outlineLevel="1"/>
    <col min="364" max="364" width="14.1328125" style="214" customWidth="1" outlineLevel="1"/>
    <col min="365" max="365" width="15.86328125" style="214" customWidth="1" outlineLevel="1"/>
    <col min="366" max="367" width="12.3984375" style="214" customWidth="1" outlineLevel="1"/>
    <col min="368" max="368" width="8" style="214" customWidth="1" outlineLevel="1"/>
    <col min="369" max="369" width="23.1328125" style="49" customWidth="1" outlineLevel="1"/>
    <col min="370" max="370" width="35.73046875" style="97" customWidth="1" outlineLevel="1"/>
    <col min="371" max="371" width="35.73046875" style="49" customWidth="1" outlineLevel="1"/>
    <col min="372" max="372" width="10.73046875" style="49" customWidth="1" outlineLevel="1"/>
    <col min="373" max="373" width="10.73046875" style="276" customWidth="1" outlineLevel="1"/>
    <col min="374" max="374" width="12" style="49" customWidth="1" outlineLevel="1"/>
    <col min="375" max="377" width="10.73046875" style="49" customWidth="1" outlineLevel="1"/>
    <col min="378" max="378" width="15.73046875" style="49" customWidth="1" outlineLevel="1"/>
    <col min="379" max="379" width="17.3984375" style="49" customWidth="1" outlineLevel="1"/>
    <col min="380" max="382" width="10.73046875" style="49" customWidth="1" outlineLevel="1"/>
    <col min="383" max="383" width="12.73046875" style="49" customWidth="1" outlineLevel="1"/>
    <col min="384" max="387" width="10.73046875" style="49" customWidth="1" outlineLevel="1"/>
    <col min="388" max="16384" width="9.1328125" style="49"/>
  </cols>
  <sheetData>
    <row r="1" spans="1:387" s="26" customFormat="1" ht="15" customHeight="1" outlineLevel="1" thickBot="1" x14ac:dyDescent="0.4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107"/>
      <c r="R1" s="23"/>
      <c r="S1" s="23"/>
      <c r="T1" s="22"/>
      <c r="U1" s="22"/>
      <c r="V1" s="572"/>
      <c r="W1" s="22"/>
      <c r="X1" s="22"/>
      <c r="Y1" s="24"/>
      <c r="Z1" s="24"/>
      <c r="AA1" s="22"/>
      <c r="AB1" s="107"/>
      <c r="AC1" s="77"/>
      <c r="AD1" s="24"/>
      <c r="AE1" s="24"/>
      <c r="AF1" s="24"/>
      <c r="AG1" s="24"/>
      <c r="AH1" s="77"/>
      <c r="AI1" s="24"/>
      <c r="AJ1" s="24"/>
      <c r="AK1" s="24"/>
      <c r="AL1" s="24"/>
      <c r="AM1" s="77"/>
      <c r="AN1" s="24"/>
      <c r="AO1" s="24"/>
      <c r="AP1" s="24"/>
      <c r="AQ1" s="24"/>
      <c r="AR1" s="77"/>
      <c r="AS1" s="24"/>
      <c r="AT1" s="24"/>
      <c r="AU1" s="107"/>
      <c r="AV1" s="107"/>
      <c r="AW1" s="164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75"/>
      <c r="FO1" s="75"/>
      <c r="FP1" s="75"/>
      <c r="FQ1" s="75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75"/>
      <c r="GL1" s="75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5"/>
      <c r="HG1" s="25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2"/>
      <c r="HW1" s="22"/>
      <c r="HX1" s="22"/>
      <c r="HY1" s="22"/>
      <c r="HZ1" s="22"/>
      <c r="IA1" s="22"/>
      <c r="IB1" s="316"/>
      <c r="IC1" s="22"/>
      <c r="ID1" s="22"/>
      <c r="IE1" s="23"/>
      <c r="IF1" s="23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3"/>
      <c r="IS1" s="23"/>
      <c r="IT1" s="23"/>
      <c r="IU1" s="23"/>
      <c r="IV1" s="310"/>
      <c r="IW1" s="303"/>
      <c r="IX1" s="303"/>
      <c r="IY1" s="268"/>
      <c r="IZ1" s="556"/>
      <c r="JA1" s="533"/>
      <c r="JB1" s="533"/>
      <c r="JC1" s="533"/>
      <c r="JD1" s="533"/>
      <c r="JE1" s="533"/>
      <c r="JF1" s="533"/>
      <c r="JG1" s="533"/>
      <c r="JH1" s="533"/>
      <c r="JI1" s="533"/>
      <c r="JJ1" s="268"/>
      <c r="JK1" s="268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652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70"/>
      <c r="MT1" s="270"/>
      <c r="MU1" s="270"/>
      <c r="MV1" s="270"/>
      <c r="MW1" s="270"/>
      <c r="MX1" s="270"/>
      <c r="MY1" s="269"/>
      <c r="MZ1" s="269"/>
      <c r="NA1" s="269"/>
      <c r="NB1" s="269"/>
      <c r="NC1" s="269"/>
      <c r="ND1" s="269"/>
      <c r="NE1" s="269"/>
      <c r="NF1" s="269"/>
      <c r="NG1" s="269"/>
      <c r="NH1" s="465"/>
      <c r="NI1" s="466"/>
      <c r="NJ1" s="465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</row>
    <row r="2" spans="1:387" s="26" customFormat="1" ht="24.95" customHeight="1" outlineLevel="1" thickBot="1" x14ac:dyDescent="0.4">
      <c r="A2" s="22"/>
      <c r="B2" s="22"/>
      <c r="C2" s="22"/>
      <c r="D2" s="993" t="s">
        <v>684</v>
      </c>
      <c r="E2" s="994"/>
      <c r="F2" s="994"/>
      <c r="G2" s="994"/>
      <c r="H2" s="994"/>
      <c r="I2" s="994"/>
      <c r="J2" s="995"/>
      <c r="K2" s="22"/>
      <c r="L2" s="22"/>
      <c r="M2" s="22"/>
      <c r="N2" s="22"/>
      <c r="O2" s="22"/>
      <c r="P2" s="22"/>
      <c r="Q2" s="107"/>
      <c r="R2" s="23"/>
      <c r="S2" s="23"/>
      <c r="T2" s="22"/>
      <c r="U2" s="22"/>
      <c r="V2" s="572"/>
      <c r="W2" s="22"/>
      <c r="X2" s="22"/>
      <c r="Y2" s="24"/>
      <c r="Z2" s="24"/>
      <c r="AA2" s="22"/>
      <c r="AB2" s="107"/>
      <c r="AC2" s="77"/>
      <c r="AD2" s="24"/>
      <c r="AE2" s="24"/>
      <c r="AF2" s="24"/>
      <c r="AG2" s="24"/>
      <c r="AH2" s="77"/>
      <c r="AI2" s="24"/>
      <c r="AJ2" s="24"/>
      <c r="AK2" s="24"/>
      <c r="AL2" s="24"/>
      <c r="AM2" s="77"/>
      <c r="AN2" s="24"/>
      <c r="AO2" s="24"/>
      <c r="AP2" s="24"/>
      <c r="AQ2" s="24"/>
      <c r="AR2" s="77"/>
      <c r="AS2" s="24"/>
      <c r="AT2" s="24"/>
      <c r="AU2" s="107"/>
      <c r="AV2" s="107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75"/>
      <c r="FO2" s="75"/>
      <c r="FP2" s="75"/>
      <c r="FQ2" s="75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75"/>
      <c r="GL2" s="75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3"/>
      <c r="HU2" s="23"/>
      <c r="HV2" s="22"/>
      <c r="HW2" s="22"/>
      <c r="HX2" s="22"/>
      <c r="HY2" s="22"/>
      <c r="HZ2" s="22"/>
      <c r="IA2" s="22"/>
      <c r="IB2" s="316"/>
      <c r="IC2" s="22"/>
      <c r="ID2" s="22"/>
      <c r="IE2" s="23"/>
      <c r="IF2" s="23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3"/>
      <c r="IS2" s="23"/>
      <c r="IT2" s="23"/>
      <c r="IU2" s="23"/>
      <c r="IV2" s="310"/>
      <c r="IW2" s="304" t="s">
        <v>510</v>
      </c>
      <c r="IX2" s="304"/>
      <c r="IY2" s="272"/>
      <c r="IZ2" s="556"/>
      <c r="JA2" s="533"/>
      <c r="JB2" s="533"/>
      <c r="JC2" s="533"/>
      <c r="JD2" s="533"/>
      <c r="JE2" s="533"/>
      <c r="JF2" s="533"/>
      <c r="JG2" s="533"/>
      <c r="JH2" s="533"/>
      <c r="JI2" s="533"/>
      <c r="JJ2" s="268"/>
      <c r="JK2" s="268"/>
      <c r="JL2" s="271"/>
      <c r="JM2" s="271"/>
      <c r="JN2" s="271"/>
      <c r="JO2" s="271"/>
      <c r="JP2" s="271"/>
      <c r="JQ2" s="271"/>
      <c r="JR2" s="271"/>
      <c r="JS2" s="271"/>
      <c r="JT2" s="271"/>
      <c r="JU2" s="271"/>
      <c r="JV2" s="271"/>
      <c r="JW2" s="271"/>
      <c r="JX2" s="271"/>
      <c r="JY2" s="271"/>
      <c r="JZ2" s="653"/>
      <c r="KA2" s="271"/>
      <c r="KB2" s="271"/>
      <c r="KC2" s="271"/>
      <c r="KD2" s="271"/>
      <c r="KE2" s="271"/>
      <c r="KF2" s="271"/>
      <c r="KG2" s="271"/>
      <c r="KH2" s="271"/>
      <c r="KI2" s="271"/>
      <c r="KJ2" s="271"/>
      <c r="KK2" s="271"/>
      <c r="KL2" s="271"/>
      <c r="KM2" s="271"/>
      <c r="KN2" s="271"/>
      <c r="KO2" s="271"/>
      <c r="KP2" s="271"/>
      <c r="KQ2" s="271"/>
      <c r="KR2" s="271"/>
      <c r="KS2" s="271"/>
      <c r="KT2" s="271"/>
      <c r="KU2" s="271"/>
      <c r="KV2" s="271"/>
      <c r="KW2" s="271"/>
      <c r="KX2" s="271"/>
      <c r="KY2" s="271"/>
      <c r="KZ2" s="271"/>
      <c r="LA2" s="271"/>
      <c r="LB2" s="271"/>
      <c r="LC2" s="271"/>
      <c r="LD2" s="271"/>
      <c r="LE2" s="271"/>
      <c r="LF2" s="271"/>
      <c r="LG2" s="271"/>
      <c r="LH2" s="271"/>
      <c r="LI2" s="271"/>
      <c r="LJ2" s="271"/>
      <c r="LK2" s="271"/>
      <c r="LL2" s="271"/>
      <c r="LM2" s="271"/>
      <c r="LN2" s="271"/>
      <c r="LO2" s="271"/>
      <c r="LP2" s="271"/>
      <c r="LQ2" s="271"/>
      <c r="LR2" s="271"/>
      <c r="LS2" s="271"/>
      <c r="LT2" s="271"/>
      <c r="LU2" s="271"/>
      <c r="LV2" s="271"/>
      <c r="LW2" s="271"/>
      <c r="LX2" s="271"/>
      <c r="LY2" s="271"/>
      <c r="LZ2" s="271"/>
      <c r="MA2" s="271"/>
      <c r="MB2" s="271"/>
      <c r="MC2" s="271"/>
      <c r="MD2" s="271"/>
      <c r="ME2" s="271"/>
      <c r="MF2" s="271"/>
      <c r="MG2" s="271"/>
      <c r="MH2" s="271"/>
      <c r="MI2" s="271"/>
      <c r="MJ2" s="271"/>
      <c r="MK2" s="271"/>
      <c r="ML2" s="271"/>
      <c r="MM2" s="271"/>
      <c r="MN2" s="269"/>
      <c r="MO2" s="269"/>
      <c r="MP2" s="269"/>
      <c r="MQ2" s="269"/>
      <c r="MR2" s="269"/>
      <c r="MS2" s="270"/>
      <c r="MT2" s="270"/>
      <c r="MU2" s="270"/>
      <c r="MV2" s="270"/>
      <c r="MW2" s="270"/>
      <c r="MX2" s="270"/>
      <c r="MY2" s="269"/>
      <c r="MZ2" s="269"/>
      <c r="NA2" s="269"/>
      <c r="NB2" s="269"/>
      <c r="NC2" s="269"/>
      <c r="ND2" s="269"/>
      <c r="NE2" s="271"/>
      <c r="NF2" s="271"/>
      <c r="NG2" s="271"/>
      <c r="NH2" s="467"/>
      <c r="NI2" s="468" t="s">
        <v>507</v>
      </c>
      <c r="NJ2" s="467"/>
      <c r="NK2" s="271"/>
      <c r="NL2" s="271"/>
      <c r="NM2" s="271"/>
      <c r="NN2" s="271"/>
      <c r="NO2" s="271"/>
      <c r="NP2" s="271"/>
      <c r="NQ2" s="271"/>
      <c r="NR2" s="271"/>
      <c r="NS2" s="271"/>
      <c r="NT2" s="271"/>
      <c r="NU2" s="271"/>
      <c r="NV2" s="271"/>
      <c r="NW2" s="271"/>
    </row>
    <row r="3" spans="1:387" s="26" customFormat="1" ht="15" customHeight="1" outlineLevel="1" x14ac:dyDescent="0.35">
      <c r="A3" s="22"/>
      <c r="B3" s="22"/>
      <c r="C3" s="22"/>
      <c r="D3" s="243" t="s">
        <v>511</v>
      </c>
      <c r="E3" s="244"/>
      <c r="F3" s="245" t="s">
        <v>312</v>
      </c>
      <c r="G3" s="246" t="s">
        <v>512</v>
      </c>
      <c r="H3" s="247"/>
      <c r="I3" s="248" t="s">
        <v>312</v>
      </c>
      <c r="J3" s="249"/>
      <c r="K3" s="22"/>
      <c r="L3" s="22"/>
      <c r="M3" s="22"/>
      <c r="N3" s="22"/>
      <c r="O3" s="22"/>
      <c r="P3" s="22"/>
      <c r="Q3" s="107"/>
      <c r="R3" s="23"/>
      <c r="S3" s="23"/>
      <c r="T3" s="22"/>
      <c r="U3" s="22"/>
      <c r="V3" s="572"/>
      <c r="W3" s="22"/>
      <c r="X3" s="22"/>
      <c r="Y3" s="24"/>
      <c r="Z3" s="24"/>
      <c r="AA3" s="22"/>
      <c r="AB3" s="107"/>
      <c r="AC3" s="77"/>
      <c r="AD3" s="24"/>
      <c r="AE3" s="24"/>
      <c r="AF3" s="24"/>
      <c r="AG3" s="24"/>
      <c r="AH3" s="77"/>
      <c r="AI3" s="24"/>
      <c r="AJ3" s="24"/>
      <c r="AK3" s="24"/>
      <c r="AL3" s="24"/>
      <c r="AM3" s="77"/>
      <c r="AN3" s="24"/>
      <c r="AO3" s="24"/>
      <c r="AP3" s="24"/>
      <c r="AQ3" s="24"/>
      <c r="AR3" s="77"/>
      <c r="AS3" s="24"/>
      <c r="AT3" s="24"/>
      <c r="AU3" s="107"/>
      <c r="AV3" s="107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75"/>
      <c r="FO3" s="75"/>
      <c r="FP3" s="75"/>
      <c r="FQ3" s="75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75"/>
      <c r="GL3" s="75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5"/>
      <c r="HG3" s="25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2"/>
      <c r="HW3" s="22"/>
      <c r="HX3" s="22"/>
      <c r="HY3" s="22"/>
      <c r="HZ3" s="22"/>
      <c r="IA3" s="22"/>
      <c r="IB3" s="316"/>
      <c r="IC3" s="22"/>
      <c r="ID3" s="22"/>
      <c r="IE3" s="23"/>
      <c r="IF3" s="23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3"/>
      <c r="IS3" s="23"/>
      <c r="IT3" s="23"/>
      <c r="IU3" s="23"/>
      <c r="IV3" s="310"/>
      <c r="IW3" s="83"/>
      <c r="IZ3" s="506"/>
      <c r="JA3" s="506"/>
      <c r="JB3" s="506"/>
      <c r="JC3" s="506"/>
      <c r="JD3" s="506"/>
      <c r="JE3" s="506"/>
      <c r="JF3" s="506"/>
      <c r="JG3" s="506"/>
      <c r="JH3" s="506"/>
      <c r="JI3" s="506"/>
      <c r="JZ3" s="654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5"/>
      <c r="MT3" s="25"/>
      <c r="MU3" s="25"/>
      <c r="MV3" s="25"/>
      <c r="MW3" s="25"/>
      <c r="MX3" s="25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75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</row>
    <row r="4" spans="1:387" s="26" customFormat="1" ht="18" customHeight="1" outlineLevel="1" x14ac:dyDescent="0.35">
      <c r="A4" s="22"/>
      <c r="B4" s="22"/>
      <c r="C4" s="22"/>
      <c r="D4" s="996" t="s">
        <v>78</v>
      </c>
      <c r="E4" s="997"/>
      <c r="F4" s="649">
        <v>42951</v>
      </c>
      <c r="G4" s="998" t="s">
        <v>853</v>
      </c>
      <c r="H4" s="999"/>
      <c r="I4" s="1000">
        <v>42951</v>
      </c>
      <c r="J4" s="1001"/>
      <c r="K4" s="22"/>
      <c r="L4" s="22"/>
      <c r="M4" s="22"/>
      <c r="N4" s="22"/>
      <c r="O4" s="22"/>
      <c r="P4" s="22"/>
      <c r="Q4" s="107"/>
      <c r="R4" s="23"/>
      <c r="S4" s="23"/>
      <c r="T4" s="22"/>
      <c r="U4" s="22"/>
      <c r="V4" s="572"/>
      <c r="W4" s="22"/>
      <c r="X4" s="22"/>
      <c r="Y4" s="24"/>
      <c r="Z4" s="24"/>
      <c r="AA4" s="22"/>
      <c r="AB4" s="107"/>
      <c r="AC4" s="77"/>
      <c r="AD4" s="24"/>
      <c r="AE4" s="24"/>
      <c r="AF4" s="24"/>
      <c r="AG4" s="24"/>
      <c r="AH4" s="77"/>
      <c r="AI4" s="24"/>
      <c r="AJ4" s="24"/>
      <c r="AK4" s="24"/>
      <c r="AL4" s="24"/>
      <c r="AM4" s="77"/>
      <c r="AN4" s="24"/>
      <c r="AO4" s="24"/>
      <c r="AP4" s="24"/>
      <c r="AQ4" s="24"/>
      <c r="AR4" s="77"/>
      <c r="AS4" s="24"/>
      <c r="AT4" s="24"/>
      <c r="AU4" s="107"/>
      <c r="AV4" s="107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75"/>
      <c r="FO4" s="75"/>
      <c r="FP4" s="75"/>
      <c r="FQ4" s="75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75"/>
      <c r="GL4" s="75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5"/>
      <c r="HG4" s="25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2"/>
      <c r="HW4" s="22"/>
      <c r="HX4" s="22"/>
      <c r="HY4" s="22"/>
      <c r="HZ4" s="22"/>
      <c r="IA4" s="22"/>
      <c r="IB4" s="316"/>
      <c r="IC4" s="22"/>
      <c r="ID4" s="22"/>
      <c r="IE4" s="23"/>
      <c r="IF4" s="23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3"/>
      <c r="IS4" s="23"/>
      <c r="IT4" s="23"/>
      <c r="IU4" s="23"/>
      <c r="IV4" s="310"/>
      <c r="IW4" s="83"/>
      <c r="IX4" s="542" t="s">
        <v>662</v>
      </c>
      <c r="IY4" s="543"/>
      <c r="IZ4" s="506"/>
      <c r="JA4" s="506"/>
      <c r="JB4" s="506"/>
      <c r="JC4" s="506"/>
      <c r="JD4" s="506"/>
      <c r="JE4" s="506"/>
      <c r="JF4" s="506"/>
      <c r="JG4" s="506"/>
      <c r="JH4" s="506"/>
      <c r="JI4" s="506"/>
      <c r="JZ4" s="654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5"/>
      <c r="MT4" s="25"/>
      <c r="MU4" s="25"/>
      <c r="MV4" s="25"/>
      <c r="MW4" s="25"/>
      <c r="MX4" s="25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75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</row>
    <row r="5" spans="1:387" s="26" customFormat="1" ht="15" customHeight="1" outlineLevel="1" x14ac:dyDescent="0.35">
      <c r="A5" s="22"/>
      <c r="B5" s="22"/>
      <c r="C5" s="22"/>
      <c r="D5" s="1004" t="s">
        <v>234</v>
      </c>
      <c r="E5" s="1005"/>
      <c r="F5" s="250" t="s">
        <v>480</v>
      </c>
      <c r="G5" s="256" t="s">
        <v>313</v>
      </c>
      <c r="H5" s="255" t="s">
        <v>481</v>
      </c>
      <c r="I5" s="1002" t="s">
        <v>475</v>
      </c>
      <c r="J5" s="1003"/>
      <c r="K5" s="22"/>
      <c r="L5" s="22"/>
      <c r="M5" s="22"/>
      <c r="N5" s="22"/>
      <c r="O5" s="22"/>
      <c r="P5" s="22"/>
      <c r="Q5" s="107"/>
      <c r="R5" s="23"/>
      <c r="S5" s="23"/>
      <c r="T5" s="22"/>
      <c r="U5" s="22"/>
      <c r="V5" s="572"/>
      <c r="W5" s="22"/>
      <c r="X5" s="22"/>
      <c r="Y5" s="24"/>
      <c r="Z5" s="24"/>
      <c r="AA5" s="22"/>
      <c r="AB5" s="107"/>
      <c r="AC5" s="77"/>
      <c r="AD5" s="24"/>
      <c r="AE5" s="24"/>
      <c r="AF5" s="24"/>
      <c r="AG5" s="24"/>
      <c r="AH5" s="77"/>
      <c r="AI5" s="24"/>
      <c r="AJ5" s="24"/>
      <c r="AK5" s="24"/>
      <c r="AL5" s="24"/>
      <c r="AM5" s="77"/>
      <c r="AN5" s="24"/>
      <c r="AO5" s="24"/>
      <c r="AP5" s="24"/>
      <c r="AQ5" s="24"/>
      <c r="AR5" s="77"/>
      <c r="AS5" s="24"/>
      <c r="AT5" s="24"/>
      <c r="AU5" s="107"/>
      <c r="AV5" s="107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75"/>
      <c r="FO5" s="75"/>
      <c r="FP5" s="75"/>
      <c r="FQ5" s="75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75"/>
      <c r="GL5" s="75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5"/>
      <c r="HG5" s="25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2"/>
      <c r="HW5" s="22"/>
      <c r="HX5" s="22"/>
      <c r="HY5" s="22"/>
      <c r="HZ5" s="22"/>
      <c r="IA5" s="22"/>
      <c r="IB5" s="316"/>
      <c r="IC5" s="22"/>
      <c r="ID5" s="22"/>
      <c r="IE5" s="23"/>
      <c r="IF5" s="23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3"/>
      <c r="IS5" s="23"/>
      <c r="IT5" s="23"/>
      <c r="IU5" s="23"/>
      <c r="IV5" s="310"/>
      <c r="IW5" s="83"/>
      <c r="IX5" s="534" t="s">
        <v>661</v>
      </c>
      <c r="IY5" s="509">
        <v>22</v>
      </c>
      <c r="IZ5" s="534">
        <v>2</v>
      </c>
      <c r="JA5" s="534">
        <v>2</v>
      </c>
      <c r="JB5" s="534">
        <v>2</v>
      </c>
      <c r="JC5" s="534">
        <v>2</v>
      </c>
      <c r="JD5" s="534">
        <v>2</v>
      </c>
      <c r="JE5" s="534">
        <v>2</v>
      </c>
      <c r="JF5" s="534">
        <v>2</v>
      </c>
      <c r="JG5" s="534">
        <v>2</v>
      </c>
      <c r="JH5" s="534">
        <v>2</v>
      </c>
      <c r="JI5" s="534">
        <v>2</v>
      </c>
      <c r="JJ5" s="503">
        <v>3</v>
      </c>
      <c r="JK5" s="503">
        <v>4</v>
      </c>
      <c r="JL5" s="503">
        <v>5</v>
      </c>
      <c r="JM5" s="503">
        <v>6</v>
      </c>
      <c r="JN5" s="503">
        <v>7</v>
      </c>
      <c r="JO5" s="503">
        <v>8</v>
      </c>
      <c r="JP5" s="509">
        <v>22</v>
      </c>
      <c r="JQ5" s="503">
        <v>9</v>
      </c>
      <c r="JR5" s="503">
        <v>10</v>
      </c>
      <c r="JS5" s="503">
        <v>11</v>
      </c>
      <c r="JT5" s="503">
        <v>12</v>
      </c>
      <c r="JU5" s="503">
        <v>13</v>
      </c>
      <c r="JV5" s="503">
        <v>14</v>
      </c>
      <c r="JW5" s="503">
        <v>15</v>
      </c>
      <c r="JX5" s="503">
        <v>16</v>
      </c>
      <c r="JY5" s="509">
        <v>22</v>
      </c>
      <c r="JZ5" s="655">
        <v>17</v>
      </c>
      <c r="KA5" s="503">
        <v>18</v>
      </c>
      <c r="KB5" s="503">
        <v>19</v>
      </c>
      <c r="KC5" s="503">
        <v>20</v>
      </c>
      <c r="KD5" s="503">
        <v>21</v>
      </c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5"/>
      <c r="MT5" s="25"/>
      <c r="MU5" s="25"/>
      <c r="MV5" s="25"/>
      <c r="MW5" s="25"/>
      <c r="MX5" s="25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75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</row>
    <row r="6" spans="1:387" s="26" customFormat="1" ht="18" customHeight="1" outlineLevel="1" x14ac:dyDescent="0.35">
      <c r="A6" s="22"/>
      <c r="B6" s="22"/>
      <c r="C6" s="22"/>
      <c r="D6" s="989">
        <f ca="1">N15</f>
        <v>143873.86199999999</v>
      </c>
      <c r="E6" s="990"/>
      <c r="F6" s="254">
        <f ca="1">O15</f>
        <v>0</v>
      </c>
      <c r="G6" s="444">
        <f ca="1">AE15</f>
        <v>32418584.280000001</v>
      </c>
      <c r="H6" s="257">
        <f ca="1">AF15</f>
        <v>-97000</v>
      </c>
      <c r="I6" s="1006">
        <f>IS14/100</f>
        <v>1</v>
      </c>
      <c r="J6" s="1007"/>
      <c r="K6" s="22"/>
      <c r="L6" s="22"/>
      <c r="M6" s="22"/>
      <c r="N6" s="22"/>
      <c r="O6" s="22"/>
      <c r="P6" s="22"/>
      <c r="Q6" s="107"/>
      <c r="R6" s="23"/>
      <c r="S6" s="23"/>
      <c r="T6" s="22"/>
      <c r="U6" s="22"/>
      <c r="V6" s="572"/>
      <c r="W6" s="22"/>
      <c r="X6" s="22"/>
      <c r="Y6" s="24"/>
      <c r="Z6" s="24"/>
      <c r="AA6" s="22"/>
      <c r="AB6" s="107"/>
      <c r="AC6" s="77"/>
      <c r="AD6" s="24"/>
      <c r="AE6" s="24"/>
      <c r="AF6" s="24"/>
      <c r="AG6" s="24"/>
      <c r="AH6" s="77"/>
      <c r="AI6" s="24"/>
      <c r="AJ6" s="24"/>
      <c r="AK6" s="24"/>
      <c r="AL6" s="24"/>
      <c r="AM6" s="77"/>
      <c r="AN6" s="24"/>
      <c r="AO6" s="24"/>
      <c r="AP6" s="24"/>
      <c r="AQ6" s="24"/>
      <c r="AR6" s="77"/>
      <c r="AS6" s="24"/>
      <c r="AT6" s="24"/>
      <c r="AU6" s="107"/>
      <c r="AV6" s="107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323"/>
      <c r="BS6" s="324" t="s">
        <v>60</v>
      </c>
      <c r="BT6" s="3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75"/>
      <c r="FO6" s="75"/>
      <c r="FP6" s="75"/>
      <c r="FQ6" s="75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75"/>
      <c r="GL6" s="75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5"/>
      <c r="HG6" s="25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2"/>
      <c r="HW6" s="22"/>
      <c r="HX6" s="22"/>
      <c r="HY6" s="22"/>
      <c r="HZ6" s="22"/>
      <c r="IA6" s="22"/>
      <c r="IB6" s="316"/>
      <c r="IC6" s="22"/>
      <c r="ID6" s="22"/>
      <c r="IE6" s="23"/>
      <c r="IF6" s="23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3"/>
      <c r="IS6" s="23"/>
      <c r="IT6" s="23"/>
      <c r="IU6" s="23"/>
      <c r="IV6" s="310"/>
      <c r="IW6" s="83"/>
      <c r="IX6" s="530">
        <v>0</v>
      </c>
      <c r="IY6" s="538" t="e">
        <f t="shared" ref="IY6:KD6" si="0">VLOOKUP($IX6,SPOLECNE_POLOZKY,IY$5,FALSE)</f>
        <v>#N/A</v>
      </c>
      <c r="IZ6" s="535" t="e">
        <f t="shared" si="0"/>
        <v>#N/A</v>
      </c>
      <c r="JA6" s="535" t="e">
        <f t="shared" si="0"/>
        <v>#N/A</v>
      </c>
      <c r="JB6" s="535" t="e">
        <f t="shared" si="0"/>
        <v>#N/A</v>
      </c>
      <c r="JC6" s="535" t="e">
        <f t="shared" si="0"/>
        <v>#N/A</v>
      </c>
      <c r="JD6" s="535" t="e">
        <f t="shared" si="0"/>
        <v>#N/A</v>
      </c>
      <c r="JE6" s="535" t="e">
        <f t="shared" si="0"/>
        <v>#N/A</v>
      </c>
      <c r="JF6" s="535" t="e">
        <f t="shared" si="0"/>
        <v>#N/A</v>
      </c>
      <c r="JG6" s="535" t="e">
        <f t="shared" si="0"/>
        <v>#N/A</v>
      </c>
      <c r="JH6" s="535" t="e">
        <f t="shared" si="0"/>
        <v>#N/A</v>
      </c>
      <c r="JI6" s="535" t="e">
        <f t="shared" si="0"/>
        <v>#N/A</v>
      </c>
      <c r="JJ6" s="531" t="e">
        <f t="shared" si="0"/>
        <v>#N/A</v>
      </c>
      <c r="JK6" s="531" t="e">
        <f t="shared" si="0"/>
        <v>#N/A</v>
      </c>
      <c r="JL6" s="531" t="e">
        <f t="shared" si="0"/>
        <v>#N/A</v>
      </c>
      <c r="JM6" s="531" t="e">
        <f t="shared" si="0"/>
        <v>#N/A</v>
      </c>
      <c r="JN6" s="531" t="e">
        <f t="shared" si="0"/>
        <v>#N/A</v>
      </c>
      <c r="JO6" s="531" t="e">
        <f t="shared" si="0"/>
        <v>#N/A</v>
      </c>
      <c r="JP6" s="538" t="e">
        <f t="shared" si="0"/>
        <v>#N/A</v>
      </c>
      <c r="JQ6" s="531" t="e">
        <f t="shared" si="0"/>
        <v>#N/A</v>
      </c>
      <c r="JR6" s="531" t="e">
        <f t="shared" si="0"/>
        <v>#N/A</v>
      </c>
      <c r="JS6" s="531" t="e">
        <f t="shared" si="0"/>
        <v>#N/A</v>
      </c>
      <c r="JT6" s="531" t="e">
        <f t="shared" si="0"/>
        <v>#N/A</v>
      </c>
      <c r="JU6" s="531" t="e">
        <f t="shared" si="0"/>
        <v>#N/A</v>
      </c>
      <c r="JV6" s="532" t="e">
        <f t="shared" si="0"/>
        <v>#N/A</v>
      </c>
      <c r="JW6" s="531" t="e">
        <f t="shared" si="0"/>
        <v>#N/A</v>
      </c>
      <c r="JX6" s="531" t="e">
        <f t="shared" si="0"/>
        <v>#N/A</v>
      </c>
      <c r="JY6" s="538" t="e">
        <f t="shared" si="0"/>
        <v>#N/A</v>
      </c>
      <c r="JZ6" s="656" t="e">
        <f t="shared" si="0"/>
        <v>#N/A</v>
      </c>
      <c r="KA6" s="531" t="e">
        <f t="shared" si="0"/>
        <v>#N/A</v>
      </c>
      <c r="KB6" s="531" t="e">
        <f t="shared" si="0"/>
        <v>#N/A</v>
      </c>
      <c r="KC6" s="531" t="e">
        <f t="shared" si="0"/>
        <v>#N/A</v>
      </c>
      <c r="KD6" s="531" t="e">
        <f t="shared" si="0"/>
        <v>#N/A</v>
      </c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5"/>
      <c r="MT6" s="25"/>
      <c r="MU6" s="25"/>
      <c r="MV6" s="25"/>
      <c r="MW6" s="25"/>
      <c r="MX6" s="25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75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</row>
    <row r="7" spans="1:387" s="26" customFormat="1" ht="15" customHeight="1" outlineLevel="1" x14ac:dyDescent="0.35">
      <c r="A7" s="22"/>
      <c r="B7" s="22"/>
      <c r="C7" s="22"/>
      <c r="D7" s="1008" t="s">
        <v>314</v>
      </c>
      <c r="E7" s="1010"/>
      <c r="F7" s="871" t="s">
        <v>311</v>
      </c>
      <c r="G7" s="1013" t="s">
        <v>310</v>
      </c>
      <c r="H7" s="1014"/>
      <c r="I7" s="1014"/>
      <c r="J7" s="1015"/>
      <c r="K7" s="22"/>
      <c r="L7" s="22"/>
      <c r="M7" s="22"/>
      <c r="N7" s="22"/>
      <c r="O7" s="22"/>
      <c r="P7" s="22"/>
      <c r="Q7" s="107"/>
      <c r="R7" s="23"/>
      <c r="S7" s="23"/>
      <c r="T7" s="22"/>
      <c r="U7" s="22"/>
      <c r="V7" s="572"/>
      <c r="W7" s="22"/>
      <c r="X7" s="22"/>
      <c r="Y7" s="24"/>
      <c r="Z7" s="24"/>
      <c r="AA7" s="22"/>
      <c r="AB7" s="107"/>
      <c r="AC7" s="77"/>
      <c r="AD7" s="24"/>
      <c r="AE7" s="24"/>
      <c r="AF7" s="24"/>
      <c r="AG7" s="24"/>
      <c r="AH7" s="77"/>
      <c r="AI7" s="24"/>
      <c r="AJ7" s="24"/>
      <c r="AK7" s="24"/>
      <c r="AL7" s="24"/>
      <c r="AM7" s="77"/>
      <c r="AN7" s="24"/>
      <c r="AO7" s="24"/>
      <c r="AP7" s="24"/>
      <c r="AQ7" s="24"/>
      <c r="AR7" s="77"/>
      <c r="AS7" s="24"/>
      <c r="AT7" s="24"/>
      <c r="AU7" s="107"/>
      <c r="AV7" s="107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45">
        <f>Vstupy!E5</f>
        <v>1</v>
      </c>
      <c r="BS7" s="45" t="str">
        <f>Vstupy!B5</f>
        <v>CZK</v>
      </c>
      <c r="BT7" s="45">
        <f>Vstupy!C5</f>
        <v>1</v>
      </c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75"/>
      <c r="FO7" s="75"/>
      <c r="FP7" s="75"/>
      <c r="FQ7" s="75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75"/>
      <c r="GL7" s="75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5"/>
      <c r="HG7" s="25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2"/>
      <c r="HW7" s="22"/>
      <c r="HX7" s="22"/>
      <c r="HY7" s="22"/>
      <c r="HZ7" s="22"/>
      <c r="IA7" s="22"/>
      <c r="IB7" s="316"/>
      <c r="IC7" s="22"/>
      <c r="ID7" s="22"/>
      <c r="IE7" s="23"/>
      <c r="IF7" s="23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3"/>
      <c r="IS7" s="23"/>
      <c r="IT7" s="23"/>
      <c r="IU7" s="23"/>
      <c r="IV7" s="310"/>
      <c r="IW7" s="83"/>
      <c r="IX7" s="83"/>
      <c r="IZ7" s="505"/>
      <c r="JA7" s="506"/>
      <c r="JB7" s="506"/>
      <c r="JC7" s="506"/>
      <c r="JD7" s="506"/>
      <c r="JE7" s="506"/>
      <c r="JF7" s="506"/>
      <c r="JG7" s="506"/>
      <c r="JH7" s="506"/>
      <c r="JI7" s="506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657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5"/>
      <c r="MT7" s="25"/>
      <c r="MU7" s="25"/>
      <c r="MV7" s="25"/>
      <c r="MW7" s="25"/>
      <c r="MX7" s="25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75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</row>
    <row r="8" spans="1:387" s="26" customFormat="1" ht="18" customHeight="1" outlineLevel="1" x14ac:dyDescent="0.35">
      <c r="A8" s="22"/>
      <c r="B8" s="22"/>
      <c r="C8" s="22"/>
      <c r="D8" s="1008"/>
      <c r="E8" s="1011"/>
      <c r="F8" s="872" t="s">
        <v>855</v>
      </c>
      <c r="G8" s="1016" t="s">
        <v>856</v>
      </c>
      <c r="H8" s="1017"/>
      <c r="I8" s="1017"/>
      <c r="J8" s="1018"/>
      <c r="K8" s="22"/>
      <c r="L8" s="22"/>
      <c r="M8" s="22"/>
      <c r="N8" s="22"/>
      <c r="O8" s="22"/>
      <c r="P8" s="22"/>
      <c r="Q8" s="107"/>
      <c r="R8" s="23"/>
      <c r="S8" s="23"/>
      <c r="T8" s="22"/>
      <c r="U8" s="22"/>
      <c r="V8" s="572"/>
      <c r="W8" s="22"/>
      <c r="X8" s="22"/>
      <c r="Y8" s="24"/>
      <c r="Z8" s="24"/>
      <c r="AA8" s="22"/>
      <c r="AB8" s="107"/>
      <c r="AC8" s="77"/>
      <c r="AD8" s="24"/>
      <c r="AE8" s="977" t="str">
        <f>"Indikativní část ceny bez DPH ("&amp;VLOOKUP(AE13,$BR$7:$BS$10,2)&amp;")"</f>
        <v>Indikativní část ceny bez DPH (CZK)</v>
      </c>
      <c r="AF8" s="24"/>
      <c r="AG8" s="24"/>
      <c r="AH8" s="77"/>
      <c r="AI8" s="24"/>
      <c r="AJ8" s="977" t="str">
        <f>"Indikativní část ceny bez DPH ("&amp;VLOOKUP(AJ13,$BR$7:$BS$10,2)&amp;")"</f>
        <v>Indikativní část ceny bez DPH (EUR)</v>
      </c>
      <c r="AK8" s="24"/>
      <c r="AL8" s="24"/>
      <c r="AM8" s="77"/>
      <c r="AN8" s="24"/>
      <c r="AO8" s="977" t="str">
        <f>"Indikativní část ceny bez DPH ("&amp;VLOOKUP(AO13,$BR$7:$BS$10,2)&amp;")"</f>
        <v>Indikativní část ceny bez DPH (USD)</v>
      </c>
      <c r="AP8" s="24"/>
      <c r="AQ8" s="24"/>
      <c r="AR8" s="77"/>
      <c r="AS8" s="24"/>
      <c r="AT8" s="977" t="str">
        <f>"Indikativní část ceny bez DPH ("&amp;VLOOKUP(AT13,$BR$7:$BS$10,2)&amp;")"</f>
        <v>Indikativní část ceny bez DPH (RUB)</v>
      </c>
      <c r="AU8" s="107"/>
      <c r="AV8" s="107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45">
        <f>Vstupy!E6</f>
        <v>2</v>
      </c>
      <c r="BS8" s="45" t="str">
        <f>Vstupy!B6</f>
        <v>EUR</v>
      </c>
      <c r="BT8" s="45">
        <f>Vstupy!C6</f>
        <v>27</v>
      </c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75"/>
      <c r="FO8" s="75"/>
      <c r="FP8" s="75"/>
      <c r="FQ8" s="75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75"/>
      <c r="GL8" s="75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5"/>
      <c r="HG8" s="25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2"/>
      <c r="HW8" s="22"/>
      <c r="HX8" s="22"/>
      <c r="HY8" s="22"/>
      <c r="HZ8" s="22"/>
      <c r="IA8" s="22"/>
      <c r="IB8" s="316"/>
      <c r="IC8" s="22"/>
      <c r="ID8" s="22"/>
      <c r="IE8" s="23"/>
      <c r="IF8" s="23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3"/>
      <c r="IS8" s="23"/>
      <c r="IT8" s="23"/>
      <c r="IU8" s="23"/>
      <c r="IV8" s="310"/>
      <c r="IW8" s="83"/>
      <c r="IX8" s="83"/>
      <c r="IZ8" s="505"/>
      <c r="JA8" s="506"/>
      <c r="JB8" s="506"/>
      <c r="JC8" s="506"/>
      <c r="JD8" s="506"/>
      <c r="JE8" s="506"/>
      <c r="JF8" s="506"/>
      <c r="JG8" s="506"/>
      <c r="JH8" s="506"/>
      <c r="JI8" s="506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657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5"/>
      <c r="MT8" s="25"/>
      <c r="MU8" s="25"/>
      <c r="MV8" s="25"/>
      <c r="MW8" s="25"/>
      <c r="MX8" s="25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75"/>
      <c r="NJ8" s="23"/>
      <c r="NK8" s="23"/>
      <c r="NL8" s="23"/>
      <c r="NM8" s="285"/>
      <c r="NN8" s="23"/>
      <c r="NO8" s="23"/>
      <c r="NP8" s="23"/>
      <c r="NQ8" s="23"/>
      <c r="NR8" s="23"/>
      <c r="NS8" s="23"/>
      <c r="NT8" s="23"/>
      <c r="NU8" s="23"/>
      <c r="NV8" s="23"/>
      <c r="NW8" s="23"/>
    </row>
    <row r="9" spans="1:387" s="26" customFormat="1" ht="15" customHeight="1" outlineLevel="1" x14ac:dyDescent="0.35">
      <c r="A9" s="22"/>
      <c r="B9" s="22"/>
      <c r="C9" s="22"/>
      <c r="D9" s="1008"/>
      <c r="E9" s="1011"/>
      <c r="F9" s="251" t="s">
        <v>476</v>
      </c>
      <c r="G9" s="1014" t="s">
        <v>477</v>
      </c>
      <c r="H9" s="1019"/>
      <c r="I9" s="1020" t="s">
        <v>478</v>
      </c>
      <c r="J9" s="1015"/>
      <c r="K9" s="22"/>
      <c r="L9" s="22"/>
      <c r="M9" s="22"/>
      <c r="N9" s="22"/>
      <c r="O9" s="22"/>
      <c r="P9" s="22"/>
      <c r="Q9" s="107"/>
      <c r="R9" s="23"/>
      <c r="S9" s="23"/>
      <c r="T9" s="22"/>
      <c r="U9" s="22"/>
      <c r="V9" s="572"/>
      <c r="W9" s="22"/>
      <c r="X9" s="22"/>
      <c r="Y9" s="24"/>
      <c r="Z9" s="24"/>
      <c r="AA9" s="22"/>
      <c r="AB9" s="107"/>
      <c r="AC9" s="77"/>
      <c r="AD9" s="24"/>
      <c r="AE9" s="978"/>
      <c r="AF9" s="24"/>
      <c r="AG9" s="24"/>
      <c r="AH9" s="77"/>
      <c r="AI9" s="24"/>
      <c r="AJ9" s="978"/>
      <c r="AK9" s="24"/>
      <c r="AL9" s="24"/>
      <c r="AM9" s="77"/>
      <c r="AN9" s="24"/>
      <c r="AO9" s="978"/>
      <c r="AP9" s="24"/>
      <c r="AQ9" s="24"/>
      <c r="AR9" s="77"/>
      <c r="AS9" s="24"/>
      <c r="AT9" s="978"/>
      <c r="AU9" s="107"/>
      <c r="AV9" s="107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45">
        <f>Vstupy!E7</f>
        <v>3</v>
      </c>
      <c r="BS9" s="45" t="str">
        <f>Vstupy!B7</f>
        <v>USD</v>
      </c>
      <c r="BT9" s="45">
        <f>Vstupy!C7</f>
        <v>20.7</v>
      </c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75"/>
      <c r="FO9" s="75"/>
      <c r="FP9" s="75"/>
      <c r="FQ9" s="75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75"/>
      <c r="GL9" s="75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5"/>
      <c r="HG9" s="25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2"/>
      <c r="HW9" s="22"/>
      <c r="HX9" s="22"/>
      <c r="HY9" s="22"/>
      <c r="HZ9" s="22"/>
      <c r="IA9" s="22"/>
      <c r="IB9" s="316"/>
      <c r="IC9" s="22"/>
      <c r="ID9" s="22"/>
      <c r="IE9" s="23"/>
      <c r="IF9" s="23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3"/>
      <c r="IS9" s="23"/>
      <c r="IT9" s="23"/>
      <c r="IU9" s="23"/>
      <c r="IV9" s="310"/>
      <c r="IW9" s="83"/>
      <c r="IX9" s="83"/>
      <c r="IZ9" s="505"/>
      <c r="JA9" s="506"/>
      <c r="JB9" s="506"/>
      <c r="JC9" s="506"/>
      <c r="JD9" s="506"/>
      <c r="JE9" s="506"/>
      <c r="JF9" s="506"/>
      <c r="JG9" s="506"/>
      <c r="JH9" s="506"/>
      <c r="JI9" s="506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657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5"/>
      <c r="MT9" s="25"/>
      <c r="MU9" s="25"/>
      <c r="MV9" s="25"/>
      <c r="MW9" s="25"/>
      <c r="MX9" s="25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75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</row>
    <row r="10" spans="1:387" s="26" customFormat="1" ht="18" customHeight="1" outlineLevel="1" thickBot="1" x14ac:dyDescent="0.4">
      <c r="A10" s="22"/>
      <c r="B10" s="22"/>
      <c r="C10" s="22"/>
      <c r="D10" s="1009"/>
      <c r="E10" s="1012"/>
      <c r="F10" s="252" t="s">
        <v>858</v>
      </c>
      <c r="G10" s="985"/>
      <c r="H10" s="986"/>
      <c r="I10" s="987" t="s">
        <v>857</v>
      </c>
      <c r="J10" s="988"/>
      <c r="K10" s="22"/>
      <c r="L10" s="22"/>
      <c r="M10" s="22"/>
      <c r="N10" s="22"/>
      <c r="O10" s="22"/>
      <c r="P10" s="22"/>
      <c r="Q10" s="107"/>
      <c r="R10" s="23"/>
      <c r="S10" s="23"/>
      <c r="T10" s="22"/>
      <c r="U10" s="22"/>
      <c r="V10" s="572"/>
      <c r="W10" s="22"/>
      <c r="X10" s="22"/>
      <c r="Y10" s="24"/>
      <c r="Z10" s="24"/>
      <c r="AA10" s="22"/>
      <c r="AB10" s="107"/>
      <c r="AC10" s="77"/>
      <c r="AD10" s="24"/>
      <c r="AE10" s="441">
        <f ca="1">SUMIFS(RZ[Celková cena bez DPH (1)],RZ[Rozhodný sloupec indikativní ceny],1)</f>
        <v>17687941.859999999</v>
      </c>
      <c r="AF10" s="442">
        <f ca="1">IF(AE10=0,0,AE10/AE15)</f>
        <v>0.5456111749738628</v>
      </c>
      <c r="AG10" s="758"/>
      <c r="AH10" s="77"/>
      <c r="AI10" s="24"/>
      <c r="AJ10" s="441">
        <f ca="1">$AE$10/VLOOKUP(AJ13,KURZY,3,FALSE)</f>
        <v>655108.9577777778</v>
      </c>
      <c r="AK10" s="442">
        <f ca="1">IF(AJ10=0,0,AJ10/AJ15)</f>
        <v>0.54561117497386291</v>
      </c>
      <c r="AL10" s="758"/>
      <c r="AM10" s="77"/>
      <c r="AN10" s="24"/>
      <c r="AO10" s="441">
        <f ca="1">$AE$10/VLOOKUP(AO13,KURZY,3,FALSE)</f>
        <v>854489.94492753618</v>
      </c>
      <c r="AP10" s="442">
        <f ca="1">AO10/AO15</f>
        <v>0.5456111749738628</v>
      </c>
      <c r="AQ10" s="758"/>
      <c r="AR10" s="77"/>
      <c r="AS10" s="24"/>
      <c r="AT10" s="441">
        <f ca="1">$AE$10/VLOOKUP(AT13,KURZY,3,FALSE)</f>
        <v>483805.84956236318</v>
      </c>
      <c r="AU10" s="442">
        <f ca="1">AT10/AT15</f>
        <v>0.5456111749738628</v>
      </c>
      <c r="AV10" s="758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3"/>
      <c r="BP10" s="23"/>
      <c r="BQ10" s="23"/>
      <c r="BR10" s="253">
        <f>Vstupy!E8</f>
        <v>4</v>
      </c>
      <c r="BS10" s="253" t="str">
        <f>Vstupy!B8</f>
        <v>RUB</v>
      </c>
      <c r="BT10" s="253">
        <f>Vstupy!C8</f>
        <v>36.56</v>
      </c>
      <c r="BU10" s="23"/>
      <c r="BV10" s="23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75"/>
      <c r="FO10" s="75"/>
      <c r="FP10" s="75"/>
      <c r="FQ10" s="75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75"/>
      <c r="GL10" s="75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5"/>
      <c r="HG10" s="25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2"/>
      <c r="HW10" s="22"/>
      <c r="HX10" s="22"/>
      <c r="HY10" s="22"/>
      <c r="HZ10" s="22"/>
      <c r="IA10" s="22"/>
      <c r="IB10" s="316"/>
      <c r="IC10" s="22"/>
      <c r="ID10" s="22"/>
      <c r="IE10" s="23"/>
      <c r="IF10" s="23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3"/>
      <c r="IS10" s="23"/>
      <c r="IT10" s="23"/>
      <c r="IU10" s="23"/>
      <c r="IV10" s="310"/>
      <c r="IW10" s="83"/>
      <c r="IX10" s="83"/>
      <c r="IZ10" s="505"/>
      <c r="JA10" s="506"/>
      <c r="JB10" s="506"/>
      <c r="JC10" s="506"/>
      <c r="JD10" s="506"/>
      <c r="JE10" s="506"/>
      <c r="JF10" s="506"/>
      <c r="JG10" s="506"/>
      <c r="JH10" s="506"/>
      <c r="JI10" s="506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657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5"/>
      <c r="MT10" s="25"/>
      <c r="MU10" s="25"/>
      <c r="MV10" s="25"/>
      <c r="MW10" s="25"/>
      <c r="MX10" s="25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75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</row>
    <row r="11" spans="1:387" s="26" customFormat="1" ht="15" customHeight="1" outlineLevel="1" thickBot="1" x14ac:dyDescent="0.4">
      <c r="A11" s="22"/>
      <c r="B11" s="27"/>
      <c r="C11" s="102"/>
      <c r="D11" s="28"/>
      <c r="E11" s="29"/>
      <c r="F11" s="29"/>
      <c r="G11" s="30"/>
      <c r="H11" s="30"/>
      <c r="I11" s="30"/>
      <c r="J11" s="30"/>
      <c r="K11" s="30"/>
      <c r="L11" s="31"/>
      <c r="M11" s="31"/>
      <c r="N11" s="30"/>
      <c r="O11" s="30"/>
      <c r="P11" s="169"/>
      <c r="Q11" s="739"/>
      <c r="R11" s="23"/>
      <c r="S11" s="22"/>
      <c r="T11" s="22"/>
      <c r="U11" s="22"/>
      <c r="V11" s="572"/>
      <c r="W11" s="22"/>
      <c r="X11" s="22"/>
      <c r="Y11" s="24"/>
      <c r="Z11" s="24"/>
      <c r="AA11" s="22"/>
      <c r="AB11" s="107"/>
      <c r="AC11" s="78"/>
      <c r="AD11" s="22"/>
      <c r="AE11" s="22"/>
      <c r="AF11" s="22"/>
      <c r="AG11" s="22"/>
      <c r="AH11" s="78"/>
      <c r="AI11" s="22"/>
      <c r="AJ11" s="22"/>
      <c r="AK11" s="22"/>
      <c r="AL11" s="22"/>
      <c r="AM11" s="78"/>
      <c r="AN11" s="22"/>
      <c r="AO11" s="22"/>
      <c r="AP11" s="22"/>
      <c r="AQ11" s="22"/>
      <c r="AR11" s="78"/>
      <c r="AS11" s="22"/>
      <c r="AT11" s="22"/>
      <c r="AU11" s="171"/>
      <c r="AV11" s="171"/>
      <c r="AW11" s="16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3"/>
      <c r="BP11" s="23"/>
      <c r="BQ11" s="23"/>
      <c r="BR11" s="253">
        <v>0</v>
      </c>
      <c r="BS11" s="253" t="str">
        <f>""</f>
        <v/>
      </c>
      <c r="BT11" s="253"/>
      <c r="BU11" s="23"/>
      <c r="BV11" s="23"/>
      <c r="BW11" s="23"/>
      <c r="BX11" s="23"/>
      <c r="BY11" s="23"/>
      <c r="BZ11" s="22"/>
      <c r="CA11" s="22"/>
      <c r="CB11" s="22"/>
      <c r="CC11" s="22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75"/>
      <c r="FO11" s="75"/>
      <c r="FP11" s="75"/>
      <c r="FQ11" s="75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75"/>
      <c r="GL11" s="75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5"/>
      <c r="HG11" s="25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2"/>
      <c r="HW11" s="22"/>
      <c r="HX11" s="22"/>
      <c r="HY11" s="22"/>
      <c r="HZ11" s="22"/>
      <c r="IA11" s="22"/>
      <c r="IB11" s="316"/>
      <c r="IC11" s="22"/>
      <c r="ID11" s="22"/>
      <c r="IE11" s="23"/>
      <c r="IF11" s="23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3"/>
      <c r="IT11" s="23"/>
      <c r="IU11" s="23"/>
      <c r="IV11" s="310"/>
      <c r="IW11" s="83"/>
      <c r="IX11" s="83"/>
      <c r="IZ11" s="505"/>
      <c r="JA11" s="506"/>
      <c r="JB11" s="506"/>
      <c r="JC11" s="506"/>
      <c r="JD11" s="506"/>
      <c r="JE11" s="506"/>
      <c r="JF11" s="506"/>
      <c r="JG11" s="506"/>
      <c r="JH11" s="506"/>
      <c r="JI11" s="506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657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5"/>
      <c r="MT11" s="25"/>
      <c r="MU11" s="25"/>
      <c r="MV11" s="25"/>
      <c r="MW11" s="25"/>
      <c r="MX11" s="25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75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</row>
    <row r="12" spans="1:387" s="26" customFormat="1" ht="21" customHeight="1" thickBot="1" x14ac:dyDescent="0.4">
      <c r="A12" s="22"/>
      <c r="B12" s="91" t="s">
        <v>482</v>
      </c>
      <c r="C12" s="103"/>
      <c r="D12" s="32"/>
      <c r="E12" s="32"/>
      <c r="F12" s="32"/>
      <c r="G12" s="32"/>
      <c r="H12" s="32"/>
      <c r="I12" s="32"/>
      <c r="J12" s="32"/>
      <c r="K12" s="32"/>
      <c r="L12" s="33"/>
      <c r="M12" s="33"/>
      <c r="N12" s="32"/>
      <c r="O12" s="32"/>
      <c r="P12" s="32"/>
      <c r="Q12" s="740"/>
      <c r="R12" s="168" t="s">
        <v>483</v>
      </c>
      <c r="S12" s="34"/>
      <c r="T12" s="34"/>
      <c r="U12" s="34"/>
      <c r="V12" s="573"/>
      <c r="W12" s="34"/>
      <c r="X12" s="34"/>
      <c r="Y12" s="106"/>
      <c r="Z12" s="106"/>
      <c r="AA12" s="34"/>
      <c r="AB12" s="106"/>
      <c r="AC12" s="79"/>
      <c r="AD12" s="34"/>
      <c r="AE12" s="34"/>
      <c r="AF12" s="34"/>
      <c r="AG12" s="196"/>
      <c r="AH12" s="79"/>
      <c r="AI12" s="34"/>
      <c r="AJ12" s="34"/>
      <c r="AK12" s="34"/>
      <c r="AL12" s="196"/>
      <c r="AM12" s="79"/>
      <c r="AN12" s="34"/>
      <c r="AO12" s="34"/>
      <c r="AP12" s="34"/>
      <c r="AQ12" s="196"/>
      <c r="AR12" s="283"/>
      <c r="AS12" s="34"/>
      <c r="AT12" s="34"/>
      <c r="AU12" s="769"/>
      <c r="AV12" s="197"/>
      <c r="AW12" s="16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3"/>
      <c r="BP12" s="23"/>
      <c r="BQ12" s="23"/>
      <c r="BU12" s="23"/>
      <c r="BV12" s="23"/>
      <c r="BW12" s="23"/>
      <c r="BX12" s="23"/>
      <c r="BY12" s="23"/>
      <c r="BZ12" s="22"/>
      <c r="CA12" s="22"/>
      <c r="CB12" s="22"/>
      <c r="CC12" s="22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75"/>
      <c r="FO12" s="75"/>
      <c r="FP12" s="75"/>
      <c r="FQ12" s="75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75"/>
      <c r="GL12" s="75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5"/>
      <c r="HG12" s="25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2"/>
      <c r="HW12" s="22"/>
      <c r="HX12" s="22"/>
      <c r="HY12" s="22"/>
      <c r="HZ12" s="22"/>
      <c r="IA12" s="22"/>
      <c r="IB12" s="316"/>
      <c r="IC12" s="22"/>
      <c r="ID12" s="22"/>
      <c r="IE12" s="23"/>
      <c r="IF12" s="23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3"/>
      <c r="IT12" s="23"/>
      <c r="IU12" s="23"/>
      <c r="IV12" s="310"/>
      <c r="IW12" s="83"/>
      <c r="IX12" s="83"/>
      <c r="IZ12" s="505"/>
      <c r="JA12" s="506"/>
      <c r="JB12" s="506"/>
      <c r="JC12" s="506"/>
      <c r="JD12" s="506"/>
      <c r="JE12" s="506"/>
      <c r="JF12" s="506"/>
      <c r="JG12" s="506"/>
      <c r="JH12" s="506"/>
      <c r="JI12" s="506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657"/>
      <c r="KA12" s="23"/>
      <c r="KB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85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92"/>
      <c r="MK12" s="92"/>
      <c r="ML12" s="92"/>
      <c r="MM12" s="92"/>
      <c r="MN12" s="93"/>
      <c r="MO12" s="92"/>
      <c r="MP12" s="93"/>
      <c r="MQ12" s="92"/>
      <c r="MR12" s="93"/>
      <c r="MS12" s="92"/>
      <c r="MT12" s="93"/>
      <c r="MU12" s="92"/>
      <c r="MV12" s="93"/>
      <c r="MW12" s="92"/>
      <c r="MX12" s="92"/>
      <c r="MY12" s="92"/>
      <c r="MZ12" s="93"/>
      <c r="NA12" s="23"/>
      <c r="NB12" s="23"/>
      <c r="NC12" s="23"/>
      <c r="ND12" s="23"/>
      <c r="NE12" s="23"/>
      <c r="NF12" s="23"/>
      <c r="NG12" s="23"/>
      <c r="NH12" s="23"/>
      <c r="NI12" s="275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</row>
    <row r="13" spans="1:387" s="40" customFormat="1" ht="24" customHeight="1" thickBot="1" x14ac:dyDescent="0.4">
      <c r="A13" s="22"/>
      <c r="B13" s="35"/>
      <c r="C13" s="104"/>
      <c r="D13" s="23"/>
      <c r="E13" s="23"/>
      <c r="F13" s="23"/>
      <c r="G13" s="23"/>
      <c r="H13" s="23"/>
      <c r="I13" s="23"/>
      <c r="J13" s="23"/>
      <c r="K13" s="23"/>
      <c r="L13" s="36"/>
      <c r="M13" s="36"/>
      <c r="N13" s="23"/>
      <c r="O13" s="23"/>
      <c r="P13" s="23"/>
      <c r="Q13" s="741"/>
      <c r="R13" s="23"/>
      <c r="S13" s="23"/>
      <c r="T13" s="23"/>
      <c r="U13" s="23"/>
      <c r="V13" s="574"/>
      <c r="W13" s="23"/>
      <c r="X13" s="23"/>
      <c r="Y13" s="107"/>
      <c r="Z13" s="107"/>
      <c r="AA13" s="23"/>
      <c r="AB13" s="812"/>
      <c r="AC13" s="80"/>
      <c r="AD13" s="57" t="s">
        <v>72</v>
      </c>
      <c r="AE13" s="37">
        <v>1</v>
      </c>
      <c r="AF13" s="38">
        <f>VLOOKUP(AE13,KURZY,3,FALSE)</f>
        <v>1</v>
      </c>
      <c r="AG13" s="755"/>
      <c r="AH13" s="80"/>
      <c r="AI13" s="57" t="s">
        <v>72</v>
      </c>
      <c r="AJ13" s="39">
        <v>2</v>
      </c>
      <c r="AK13" s="38">
        <f>VLOOKUP(AJ13,KURZY,3,FALSE)</f>
        <v>27</v>
      </c>
      <c r="AL13" s="755"/>
      <c r="AM13" s="80"/>
      <c r="AN13" s="57" t="s">
        <v>72</v>
      </c>
      <c r="AO13" s="39">
        <v>3</v>
      </c>
      <c r="AP13" s="38">
        <f>VLOOKUP(AO13,KURZY,3,FALSE)</f>
        <v>20.7</v>
      </c>
      <c r="AQ13" s="755"/>
      <c r="AR13" s="284"/>
      <c r="AS13" s="282" t="s">
        <v>72</v>
      </c>
      <c r="AT13" s="39">
        <v>4</v>
      </c>
      <c r="AU13" s="760">
        <f>VLOOKUP(AT13,KURZY,3,FALSE)</f>
        <v>36.56</v>
      </c>
      <c r="AV13" s="763"/>
      <c r="AW13" s="16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3"/>
      <c r="BP13" s="23"/>
      <c r="BQ13" s="23"/>
      <c r="BU13" s="23"/>
      <c r="BV13" s="23"/>
      <c r="BW13" s="23"/>
      <c r="BX13" s="23"/>
      <c r="BY13" s="23"/>
      <c r="BZ13" s="22"/>
      <c r="CA13" s="22"/>
      <c r="CB13" s="22"/>
      <c r="CC13" s="22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75"/>
      <c r="FO13" s="75"/>
      <c r="FP13" s="75"/>
      <c r="FQ13" s="75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75"/>
      <c r="GL13" s="75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5"/>
      <c r="HG13" s="25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2"/>
      <c r="HW13" s="22"/>
      <c r="HX13" s="22"/>
      <c r="HY13" s="22"/>
      <c r="HZ13" s="22"/>
      <c r="IA13" s="22"/>
      <c r="IB13" s="316"/>
      <c r="IC13" s="22"/>
      <c r="ID13" s="22"/>
      <c r="IE13" s="23"/>
      <c r="IF13" s="23"/>
      <c r="IG13" s="22"/>
      <c r="IH13" s="22"/>
      <c r="II13" s="22"/>
      <c r="IJ13" s="22"/>
      <c r="IK13" s="22"/>
      <c r="IL13" s="22"/>
      <c r="IM13" s="22"/>
      <c r="IN13" s="20"/>
      <c r="IO13" s="22"/>
      <c r="IP13" s="22"/>
      <c r="IQ13" s="22"/>
      <c r="IR13" s="23"/>
      <c r="IS13" s="305" t="s">
        <v>619</v>
      </c>
      <c r="IT13" s="23"/>
      <c r="IU13" s="23"/>
      <c r="IV13" s="310"/>
      <c r="IW13" s="83"/>
      <c r="IX13" s="83"/>
      <c r="IZ13" s="557"/>
      <c r="JA13" s="50"/>
      <c r="JB13" s="50"/>
      <c r="JC13" s="50"/>
      <c r="JD13" s="50"/>
      <c r="JE13" s="50"/>
      <c r="JF13" s="50"/>
      <c r="JG13" s="50"/>
      <c r="JH13" s="50"/>
      <c r="JI13" s="50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657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171"/>
      <c r="LP13" s="171"/>
      <c r="LQ13" s="171"/>
      <c r="LR13" s="171"/>
      <c r="LS13" s="171"/>
      <c r="LT13" s="171"/>
      <c r="LU13" s="171"/>
      <c r="LV13" s="171"/>
      <c r="LW13" s="171"/>
      <c r="LX13" s="171"/>
      <c r="LY13" s="171"/>
      <c r="LZ13" s="171"/>
      <c r="MA13" s="171"/>
      <c r="MB13" s="171"/>
      <c r="MC13" s="171"/>
      <c r="MD13" s="171"/>
      <c r="ME13" s="171"/>
      <c r="MF13" s="171"/>
      <c r="MG13" s="171"/>
      <c r="MH13" s="171"/>
      <c r="MI13" s="171"/>
      <c r="MJ13" s="786"/>
      <c r="MK13" s="786"/>
      <c r="ML13" s="786"/>
      <c r="MM13" s="786"/>
      <c r="MN13" s="787"/>
      <c r="MO13" s="786"/>
      <c r="MP13" s="787"/>
      <c r="MQ13" s="786"/>
      <c r="MR13" s="787"/>
      <c r="MS13" s="786"/>
      <c r="MT13" s="787"/>
      <c r="MU13" s="786"/>
      <c r="MV13" s="787"/>
      <c r="MW13" s="786"/>
      <c r="MX13" s="786"/>
      <c r="MY13" s="786"/>
      <c r="MZ13" s="787"/>
      <c r="NA13" s="171"/>
      <c r="NB13" s="171"/>
      <c r="NC13" s="171"/>
      <c r="ND13" s="171"/>
      <c r="NE13" s="171"/>
      <c r="NF13" s="171"/>
      <c r="NG13" s="171"/>
      <c r="NH13" s="171"/>
      <c r="NI13" s="788"/>
      <c r="NJ13" s="171"/>
      <c r="NK13" s="171"/>
      <c r="NL13" s="171"/>
      <c r="NM13" s="171"/>
      <c r="NN13" s="171"/>
      <c r="NO13" s="171"/>
      <c r="NP13" s="171"/>
      <c r="NQ13" s="171"/>
      <c r="NR13" s="171"/>
      <c r="NS13" s="171"/>
      <c r="NT13" s="171"/>
      <c r="NU13" s="171"/>
      <c r="NV13" s="171"/>
      <c r="NW13" s="171"/>
    </row>
    <row r="14" spans="1:387" s="40" customFormat="1" ht="40.5" customHeight="1" thickBot="1" x14ac:dyDescent="0.4">
      <c r="A14" s="22"/>
      <c r="B14" s="35"/>
      <c r="C14" s="104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41" t="s">
        <v>234</v>
      </c>
      <c r="O14" s="242" t="s">
        <v>235</v>
      </c>
      <c r="P14" s="23"/>
      <c r="Q14" s="741"/>
      <c r="R14" s="23"/>
      <c r="S14" s="23"/>
      <c r="T14" s="23"/>
      <c r="U14" s="23"/>
      <c r="V14" s="574"/>
      <c r="W14" s="23"/>
      <c r="X14" s="23"/>
      <c r="Y14" s="107"/>
      <c r="Z14" s="107"/>
      <c r="AA14" s="23"/>
      <c r="AB14" s="741"/>
      <c r="AC14" s="80"/>
      <c r="AD14" s="991" t="str">
        <f>VLOOKUP(AE13,$BR$7:$BS$10,2)</f>
        <v>CZK</v>
      </c>
      <c r="AE14" s="42" t="str">
        <f>"Celková cena bez DPH ("&amp;VLOOKUP(AE13,$BR$7:$BS$10,2)&amp;")"</f>
        <v>Celková cena bez DPH (CZK)</v>
      </c>
      <c r="AF14" s="43" t="str">
        <f>"Z toho celková rezerva ("&amp;VLOOKUP(AE13,$BR$7:$BS$10,2)&amp;")"</f>
        <v>Z toho celková rezerva (CZK)</v>
      </c>
      <c r="AG14" s="756"/>
      <c r="AH14" s="80"/>
      <c r="AI14" s="991" t="str">
        <f>VLOOKUP(AJ13,$BR$7:$BS$10,2)</f>
        <v>EUR</v>
      </c>
      <c r="AJ14" s="42" t="str">
        <f>"Celková cena bez DPH ("&amp;VLOOKUP(AJ13,$BR$7:$BS$10,2)&amp;")"</f>
        <v>Celková cena bez DPH (EUR)</v>
      </c>
      <c r="AK14" s="43" t="str">
        <f>"Z toho celková rezerva ("&amp;VLOOKUP(AJ13,$BR$7:$BS$10,2)&amp;")"</f>
        <v>Z toho celková rezerva (EUR)</v>
      </c>
      <c r="AL14" s="756"/>
      <c r="AM14" s="80"/>
      <c r="AN14" s="991" t="str">
        <f>VLOOKUP(AO13,$BR$7:$BS$10,2)</f>
        <v>USD</v>
      </c>
      <c r="AO14" s="42" t="str">
        <f>"Celková cena bez DPH ("&amp;VLOOKUP(AO13,$BR$7:$BS$10,2)&amp;")"</f>
        <v>Celková cena bez DPH (USD)</v>
      </c>
      <c r="AP14" s="43" t="str">
        <f>"Z toho celková rezerva ("&amp;VLOOKUP(AO13,$BR$7:$BS$10,2)&amp;")"</f>
        <v>Z toho celková rezerva (USD)</v>
      </c>
      <c r="AQ14" s="756"/>
      <c r="AR14" s="284"/>
      <c r="AS14" s="983" t="str">
        <f>VLOOKUP(AT13,$BR$7:$BS$10,2)</f>
        <v>RUB</v>
      </c>
      <c r="AT14" s="42" t="str">
        <f>"Celková cena bez DPH ("&amp;VLOOKUP(AT13,$BR$7:$BS$10,2)&amp;")"</f>
        <v>Celková cena bez DPH (RUB)</v>
      </c>
      <c r="AU14" s="761" t="str">
        <f>"Z toho celková rezerva ("&amp;VLOOKUP(AT13,$BR$7:$BS$10,2)&amp;")"</f>
        <v>Z toho celková rezerva (RUB)</v>
      </c>
      <c r="AV14" s="764"/>
      <c r="AW14" s="165"/>
      <c r="AX14" s="205" t="s">
        <v>59</v>
      </c>
      <c r="AY14" s="204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  <c r="BL14" s="180"/>
      <c r="BM14" s="180"/>
      <c r="BN14" s="180"/>
      <c r="BO14" s="180"/>
      <c r="BP14" s="180"/>
      <c r="BQ14" s="187"/>
      <c r="BR14" s="203" t="s">
        <v>323</v>
      </c>
      <c r="BS14" s="203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202" t="s">
        <v>324</v>
      </c>
      <c r="EC14" s="207"/>
      <c r="ED14" s="196"/>
      <c r="EE14" s="196"/>
      <c r="EF14" s="196"/>
      <c r="EG14" s="196"/>
      <c r="EH14" s="196"/>
      <c r="EI14" s="196"/>
      <c r="EJ14" s="196"/>
      <c r="EK14" s="196"/>
      <c r="EL14" s="196"/>
      <c r="EM14" s="196"/>
      <c r="EN14" s="196"/>
      <c r="EO14" s="196"/>
      <c r="EP14" s="196"/>
      <c r="EQ14" s="196"/>
      <c r="ER14" s="196"/>
      <c r="ES14" s="196"/>
      <c r="ET14" s="196"/>
      <c r="EU14" s="196"/>
      <c r="EV14" s="196"/>
      <c r="EW14" s="196"/>
      <c r="EX14" s="196"/>
      <c r="EY14" s="196"/>
      <c r="EZ14" s="196"/>
      <c r="FA14" s="196"/>
      <c r="FB14" s="196"/>
      <c r="FC14" s="196"/>
      <c r="FD14" s="196"/>
      <c r="FE14" s="196"/>
      <c r="FF14" s="196"/>
      <c r="FG14" s="196"/>
      <c r="FH14" s="196"/>
      <c r="FI14" s="196"/>
      <c r="FJ14" s="196"/>
      <c r="FK14" s="196"/>
      <c r="FL14" s="196"/>
      <c r="FM14" s="196"/>
      <c r="FN14" s="196"/>
      <c r="FO14" s="196"/>
      <c r="FP14" s="196"/>
      <c r="FQ14" s="196"/>
      <c r="FR14" s="196"/>
      <c r="FS14" s="196"/>
      <c r="FT14" s="196"/>
      <c r="FU14" s="196"/>
      <c r="FV14" s="196"/>
      <c r="FW14" s="196"/>
      <c r="FX14" s="196"/>
      <c r="FY14" s="196"/>
      <c r="FZ14" s="196"/>
      <c r="GA14" s="196"/>
      <c r="GB14" s="196"/>
      <c r="GC14" s="196"/>
      <c r="GD14" s="196"/>
      <c r="GE14" s="196"/>
      <c r="GF14" s="196"/>
      <c r="GG14" s="196"/>
      <c r="GH14" s="196"/>
      <c r="GI14" s="196"/>
      <c r="GJ14" s="197"/>
      <c r="GK14" s="196"/>
      <c r="GL14" s="196"/>
      <c r="GM14" s="196"/>
      <c r="GN14" s="196"/>
      <c r="GO14" s="196"/>
      <c r="GP14" s="196"/>
      <c r="GQ14" s="196"/>
      <c r="GR14" s="196"/>
      <c r="GS14" s="196"/>
      <c r="GT14" s="196"/>
      <c r="GU14" s="196"/>
      <c r="GV14" s="196"/>
      <c r="GW14" s="196"/>
      <c r="GX14" s="196"/>
      <c r="GY14" s="196"/>
      <c r="GZ14" s="196"/>
      <c r="HA14" s="196"/>
      <c r="HB14" s="196"/>
      <c r="HC14" s="196"/>
      <c r="HD14" s="196"/>
      <c r="HE14" s="197"/>
      <c r="HF14" s="157" t="s">
        <v>331</v>
      </c>
      <c r="HG14" s="158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60"/>
      <c r="HS14" s="208" t="s">
        <v>59</v>
      </c>
      <c r="HT14" s="199"/>
      <c r="HU14" s="199"/>
      <c r="HV14" s="199"/>
      <c r="HW14" s="199"/>
      <c r="HX14" s="199"/>
      <c r="HY14" s="199"/>
      <c r="HZ14" s="199"/>
      <c r="IA14" s="199"/>
      <c r="IB14" s="317"/>
      <c r="IC14" s="199"/>
      <c r="ID14" s="199"/>
      <c r="IE14" s="206" t="s">
        <v>323</v>
      </c>
      <c r="IF14" s="182"/>
      <c r="IG14" s="182"/>
      <c r="IH14" s="218"/>
      <c r="II14" s="207" t="s">
        <v>324</v>
      </c>
      <c r="IJ14" s="207"/>
      <c r="IK14" s="196"/>
      <c r="IL14" s="196"/>
      <c r="IM14" s="196"/>
      <c r="IN14" s="196"/>
      <c r="IO14" s="196"/>
      <c r="IP14" s="196"/>
      <c r="IQ14" s="197"/>
      <c r="IR14" s="734"/>
      <c r="IS14" s="981">
        <f>IF(SUM(IS17:IS150)=0,0,SUM(IS17:IS150)/COUNTIF(IS17:IS150,"&gt;0"))</f>
        <v>100</v>
      </c>
      <c r="IT14" s="300"/>
      <c r="IU14" s="300"/>
      <c r="IV14" s="311"/>
      <c r="IW14" s="83"/>
      <c r="IX14" s="979"/>
      <c r="IY14" s="484" t="s">
        <v>509</v>
      </c>
      <c r="IZ14" s="443"/>
      <c r="JA14" s="158"/>
      <c r="JB14" s="158"/>
      <c r="JC14" s="158"/>
      <c r="JD14" s="158"/>
      <c r="JE14" s="158"/>
      <c r="JF14" s="158"/>
      <c r="JG14" s="158"/>
      <c r="JH14" s="158"/>
      <c r="JI14" s="158"/>
      <c r="JJ14" s="159"/>
      <c r="JK14" s="160"/>
      <c r="JL14" s="445" t="s">
        <v>61</v>
      </c>
      <c r="JM14" s="446"/>
      <c r="JN14" s="446"/>
      <c r="JO14" s="446"/>
      <c r="JP14" s="446"/>
      <c r="JQ14" s="446"/>
      <c r="JR14" s="446"/>
      <c r="JS14" s="446"/>
      <c r="JT14" s="447"/>
      <c r="JU14" s="446"/>
      <c r="JV14" s="650"/>
      <c r="JW14" s="446"/>
      <c r="JX14" s="446"/>
      <c r="JY14" s="446"/>
      <c r="JZ14" s="658"/>
      <c r="KA14" s="446"/>
      <c r="KB14" s="446"/>
      <c r="KC14" s="446"/>
      <c r="KD14" s="446"/>
      <c r="KE14" s="449" t="s">
        <v>61</v>
      </c>
      <c r="KF14" s="450"/>
      <c r="KG14" s="450"/>
      <c r="KH14" s="450"/>
      <c r="KI14" s="450"/>
      <c r="KJ14" s="450"/>
      <c r="KK14" s="450"/>
      <c r="KL14" s="450"/>
      <c r="KM14" s="450"/>
      <c r="KN14" s="450"/>
      <c r="KO14" s="450"/>
      <c r="KP14" s="450"/>
      <c r="KQ14" s="450"/>
      <c r="KR14" s="450"/>
      <c r="KS14" s="450"/>
      <c r="KT14" s="450"/>
      <c r="KU14" s="450"/>
      <c r="KV14" s="450"/>
      <c r="KW14" s="450"/>
      <c r="KX14" s="452" t="s">
        <v>61</v>
      </c>
      <c r="KY14" s="453"/>
      <c r="KZ14" s="453"/>
      <c r="LA14" s="453"/>
      <c r="LB14" s="453"/>
      <c r="LC14" s="453"/>
      <c r="LD14" s="453"/>
      <c r="LE14" s="453"/>
      <c r="LF14" s="453"/>
      <c r="LG14" s="453"/>
      <c r="LH14" s="453"/>
      <c r="LI14" s="453"/>
      <c r="LJ14" s="453"/>
      <c r="LK14" s="453"/>
      <c r="LL14" s="453"/>
      <c r="LM14" s="453"/>
      <c r="LN14" s="453"/>
      <c r="LO14" s="453"/>
      <c r="LP14" s="454"/>
      <c r="LQ14" s="455" t="s">
        <v>61</v>
      </c>
      <c r="LR14" s="456"/>
      <c r="LS14" s="456"/>
      <c r="LT14" s="456"/>
      <c r="LU14" s="456"/>
      <c r="LV14" s="456"/>
      <c r="LW14" s="456"/>
      <c r="LX14" s="456"/>
      <c r="LY14" s="456"/>
      <c r="LZ14" s="456"/>
      <c r="MA14" s="456"/>
      <c r="MB14" s="456"/>
      <c r="MC14" s="456"/>
      <c r="MD14" s="456"/>
      <c r="ME14" s="456"/>
      <c r="MF14" s="456"/>
      <c r="MG14" s="456"/>
      <c r="MH14" s="456"/>
      <c r="MI14" s="457"/>
      <c r="MJ14" s="273" t="s">
        <v>500</v>
      </c>
      <c r="MK14" s="267"/>
      <c r="ML14" s="267"/>
      <c r="MM14" s="267"/>
      <c r="MN14" s="461" t="s">
        <v>508</v>
      </c>
      <c r="MO14" s="458"/>
      <c r="MP14" s="458"/>
      <c r="MQ14" s="458"/>
      <c r="MR14" s="458"/>
      <c r="MS14" s="459"/>
      <c r="MT14" s="459"/>
      <c r="MU14" s="459"/>
      <c r="MV14" s="459"/>
      <c r="MW14" s="459"/>
      <c r="MX14" s="459"/>
      <c r="MY14" s="458"/>
      <c r="MZ14" s="458"/>
      <c r="NA14" s="458"/>
      <c r="NB14" s="458"/>
      <c r="NC14" s="458"/>
      <c r="ND14" s="460"/>
      <c r="NE14" s="266"/>
      <c r="NF14" s="266"/>
      <c r="NG14" s="266"/>
      <c r="NH14" s="462"/>
      <c r="NI14" s="463" t="s">
        <v>507</v>
      </c>
      <c r="NJ14" s="464"/>
      <c r="NK14" s="266"/>
      <c r="NL14" s="266"/>
      <c r="NM14" s="266"/>
      <c r="NN14" s="266"/>
      <c r="NO14" s="266"/>
      <c r="NP14" s="266"/>
      <c r="NQ14" s="266"/>
      <c r="NR14" s="266"/>
      <c r="NS14" s="266"/>
      <c r="NT14" s="266"/>
      <c r="NU14" s="266"/>
      <c r="NV14" s="266"/>
      <c r="NW14" s="277"/>
    </row>
    <row r="15" spans="1:387" s="40" customFormat="1" ht="21" customHeight="1" thickBot="1" x14ac:dyDescent="0.4">
      <c r="A15" s="22"/>
      <c r="B15" s="35"/>
      <c r="C15" s="10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562">
        <f ca="1">SUMIFS(RZ[Celková hmotnost položek '[kg']],RZ[Úroveň 1 (P1)],1)</f>
        <v>143873.86199999999</v>
      </c>
      <c r="O15" s="563">
        <f ca="1">N15-SUMIFS(RZ[Celková hmotnost bez koef. '[kg'] (P0)],RZ[Úroveň 1 (P1)],1)</f>
        <v>0</v>
      </c>
      <c r="P15" s="564">
        <f ca="1">IF(O15=0,0,O15/N15)</f>
        <v>0</v>
      </c>
      <c r="Q15" s="742"/>
      <c r="R15" s="23"/>
      <c r="S15" s="23"/>
      <c r="T15" s="45">
        <v>52</v>
      </c>
      <c r="U15" s="23"/>
      <c r="V15" s="574"/>
      <c r="W15" s="23"/>
      <c r="X15" s="23"/>
      <c r="Y15" s="107"/>
      <c r="Z15" s="107"/>
      <c r="AA15" s="23"/>
      <c r="AB15" s="813"/>
      <c r="AC15" s="80"/>
      <c r="AD15" s="992"/>
      <c r="AE15" s="44">
        <f ca="1">SUMIFS(RZ[Celková cena bez DPH (1)],RZ[Úroveň 1 (P1)],1)</f>
        <v>32418584.280000001</v>
      </c>
      <c r="AF15" s="816">
        <f ca="1">SUMIFS(RZ[Z toho rezerva (1)],RZ[Úroveň 1 (P1)],1)</f>
        <v>-97000</v>
      </c>
      <c r="AG15" s="757"/>
      <c r="AH15" s="80"/>
      <c r="AI15" s="992"/>
      <c r="AJ15" s="44">
        <f ca="1">$AE$15/VLOOKUP(AJ13,KURZY,3,FALSE)</f>
        <v>1200688.3066666666</v>
      </c>
      <c r="AK15" s="816">
        <f ca="1">$AF$15/VLOOKUP(AJ13,KURZY,3,FALSE)</f>
        <v>-3592.5925925925926</v>
      </c>
      <c r="AL15" s="757"/>
      <c r="AM15" s="80"/>
      <c r="AN15" s="992"/>
      <c r="AO15" s="44">
        <f ca="1">$AE$15/VLOOKUP(AO13,KURZY,3,FALSE)</f>
        <v>1566115.1826086957</v>
      </c>
      <c r="AP15" s="816">
        <f ca="1">$AF$15/VLOOKUP(AO13,KURZY,3,FALSE)</f>
        <v>-4685.9903381642516</v>
      </c>
      <c r="AQ15" s="757"/>
      <c r="AR15" s="284"/>
      <c r="AS15" s="984"/>
      <c r="AT15" s="44">
        <f ca="1">$AE$15/VLOOKUP(AT13,KURZY,3,FALSE)</f>
        <v>886722.76477024064</v>
      </c>
      <c r="AU15" s="817">
        <f ca="1">$AF$15/VLOOKUP(AT13,KURZY,3,FALSE)</f>
        <v>-2653.1728665207875</v>
      </c>
      <c r="AV15" s="765"/>
      <c r="AW15" s="165"/>
      <c r="AX15" s="181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88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77"/>
      <c r="CF15" s="177"/>
      <c r="CG15" s="177"/>
      <c r="CH15" s="177"/>
      <c r="CI15" s="177"/>
      <c r="CJ15" s="177"/>
      <c r="CK15" s="177"/>
      <c r="CL15" s="177"/>
      <c r="CM15" s="177"/>
      <c r="CN15" s="177"/>
      <c r="CO15" s="177"/>
      <c r="CP15" s="177"/>
      <c r="CQ15" s="177"/>
      <c r="CR15" s="177"/>
      <c r="CS15" s="177"/>
      <c r="CT15" s="177"/>
      <c r="CU15" s="177"/>
      <c r="CV15" s="177"/>
      <c r="CW15" s="177"/>
      <c r="CX15" s="177"/>
      <c r="CY15" s="177"/>
      <c r="CZ15" s="177"/>
      <c r="DA15" s="177"/>
      <c r="DB15" s="177"/>
      <c r="DC15" s="177"/>
      <c r="DD15" s="177"/>
      <c r="DE15" s="177"/>
      <c r="DF15" s="177"/>
      <c r="DG15" s="177"/>
      <c r="DH15" s="177"/>
      <c r="DI15" s="177"/>
      <c r="DJ15" s="177"/>
      <c r="DK15" s="177"/>
      <c r="DL15" s="177"/>
      <c r="DM15" s="177"/>
      <c r="DN15" s="177"/>
      <c r="DO15" s="177"/>
      <c r="DP15" s="177"/>
      <c r="DQ15" s="177"/>
      <c r="DR15" s="177"/>
      <c r="DS15" s="177"/>
      <c r="DT15" s="177"/>
      <c r="DU15" s="177"/>
      <c r="DV15" s="177"/>
      <c r="DW15" s="177"/>
      <c r="DX15" s="177"/>
      <c r="DY15" s="177"/>
      <c r="DZ15" s="177"/>
      <c r="EA15" s="177"/>
      <c r="EB15" s="19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  <c r="EX15" s="178"/>
      <c r="EY15" s="178"/>
      <c r="EZ15" s="178"/>
      <c r="FA15" s="178"/>
      <c r="FB15" s="178"/>
      <c r="FC15" s="178"/>
      <c r="FD15" s="178"/>
      <c r="FE15" s="178"/>
      <c r="FF15" s="178"/>
      <c r="FG15" s="178"/>
      <c r="FH15" s="178"/>
      <c r="FI15" s="178"/>
      <c r="FJ15" s="178"/>
      <c r="FK15" s="178"/>
      <c r="FL15" s="178"/>
      <c r="FM15" s="178"/>
      <c r="FN15" s="178"/>
      <c r="FO15" s="178"/>
      <c r="FP15" s="178"/>
      <c r="FQ15" s="178"/>
      <c r="FR15" s="178"/>
      <c r="FS15" s="178"/>
      <c r="FT15" s="178"/>
      <c r="FU15" s="178"/>
      <c r="FV15" s="178"/>
      <c r="FW15" s="178"/>
      <c r="FX15" s="178"/>
      <c r="FY15" s="178"/>
      <c r="FZ15" s="178"/>
      <c r="GA15" s="178"/>
      <c r="GB15" s="178"/>
      <c r="GC15" s="178"/>
      <c r="GD15" s="178"/>
      <c r="GE15" s="178"/>
      <c r="GF15" s="178"/>
      <c r="GG15" s="178"/>
      <c r="GH15" s="178"/>
      <c r="GI15" s="178"/>
      <c r="GJ15" s="192"/>
      <c r="GK15" s="178"/>
      <c r="GL15" s="178"/>
      <c r="GM15" s="178"/>
      <c r="GN15" s="178"/>
      <c r="GO15" s="178"/>
      <c r="GP15" s="178"/>
      <c r="GQ15" s="178"/>
      <c r="GR15" s="178"/>
      <c r="GS15" s="178"/>
      <c r="GT15" s="178"/>
      <c r="GU15" s="178"/>
      <c r="GV15" s="178"/>
      <c r="GW15" s="178"/>
      <c r="GX15" s="178"/>
      <c r="GY15" s="178"/>
      <c r="GZ15" s="178"/>
      <c r="HA15" s="178"/>
      <c r="HB15" s="178"/>
      <c r="HC15" s="178"/>
      <c r="HD15" s="178"/>
      <c r="HE15" s="192"/>
      <c r="HF15" s="161"/>
      <c r="HG15" s="162"/>
      <c r="HH15" s="162"/>
      <c r="HI15" s="162"/>
      <c r="HJ15" s="162"/>
      <c r="HK15" s="162"/>
      <c r="HL15" s="162"/>
      <c r="HM15" s="162"/>
      <c r="HN15" s="162"/>
      <c r="HO15" s="162"/>
      <c r="HP15" s="172"/>
      <c r="HQ15" s="172"/>
      <c r="HR15" s="174"/>
      <c r="HS15" s="179"/>
      <c r="HT15" s="179"/>
      <c r="HU15" s="179"/>
      <c r="HV15" s="179"/>
      <c r="HW15" s="179"/>
      <c r="HX15" s="179"/>
      <c r="HY15" s="179"/>
      <c r="HZ15" s="179"/>
      <c r="IA15" s="179"/>
      <c r="IB15" s="318"/>
      <c r="IC15" s="179"/>
      <c r="ID15" s="179"/>
      <c r="IE15" s="183"/>
      <c r="IF15" s="177"/>
      <c r="IG15" s="177"/>
      <c r="IH15" s="219"/>
      <c r="II15" s="178"/>
      <c r="IJ15" s="178"/>
      <c r="IK15" s="178"/>
      <c r="IL15" s="178"/>
      <c r="IM15" s="178"/>
      <c r="IN15" s="178"/>
      <c r="IO15" s="178"/>
      <c r="IP15" s="178"/>
      <c r="IQ15" s="192"/>
      <c r="IR15" s="734"/>
      <c r="IS15" s="982"/>
      <c r="IT15" s="301"/>
      <c r="IU15" s="301"/>
      <c r="IV15" s="312"/>
      <c r="IW15" s="83"/>
      <c r="IX15" s="980"/>
      <c r="IY15" s="485"/>
      <c r="IZ15" s="558"/>
      <c r="JA15" s="536"/>
      <c r="JB15" s="536"/>
      <c r="JC15" s="536"/>
      <c r="JD15" s="536"/>
      <c r="JE15" s="536"/>
      <c r="JF15" s="536"/>
      <c r="JG15" s="536"/>
      <c r="JH15" s="536"/>
      <c r="JI15" s="536"/>
      <c r="JJ15" s="172"/>
      <c r="JK15" s="174"/>
      <c r="JL15" s="580">
        <v>1</v>
      </c>
      <c r="JM15" s="581"/>
      <c r="JN15" s="581"/>
      <c r="JO15" s="581"/>
      <c r="JP15" s="581"/>
      <c r="JQ15" s="581"/>
      <c r="JR15" s="581"/>
      <c r="JS15" s="581"/>
      <c r="JT15" s="581"/>
      <c r="JU15" s="581"/>
      <c r="JV15" s="581"/>
      <c r="JW15" s="581"/>
      <c r="JX15" s="581"/>
      <c r="JY15" s="581"/>
      <c r="JZ15" s="659"/>
      <c r="KA15" s="581"/>
      <c r="KB15" s="581"/>
      <c r="KC15" s="581"/>
      <c r="KD15" s="581"/>
      <c r="KE15" s="582">
        <v>2</v>
      </c>
      <c r="KF15" s="451"/>
      <c r="KG15" s="451"/>
      <c r="KH15" s="451"/>
      <c r="KI15" s="451"/>
      <c r="KJ15" s="451"/>
      <c r="KK15" s="451"/>
      <c r="KL15" s="451"/>
      <c r="KM15" s="451"/>
      <c r="KN15" s="451"/>
      <c r="KO15" s="451"/>
      <c r="KP15" s="451"/>
      <c r="KQ15" s="451"/>
      <c r="KR15" s="451"/>
      <c r="KS15" s="451"/>
      <c r="KT15" s="451"/>
      <c r="KU15" s="451"/>
      <c r="KV15" s="451"/>
      <c r="KW15" s="451"/>
      <c r="KX15" s="582">
        <v>3</v>
      </c>
      <c r="KY15" s="583"/>
      <c r="KZ15" s="583"/>
      <c r="LA15" s="583"/>
      <c r="LB15" s="583"/>
      <c r="LC15" s="583"/>
      <c r="LD15" s="583"/>
      <c r="LE15" s="583"/>
      <c r="LF15" s="583"/>
      <c r="LG15" s="583"/>
      <c r="LH15" s="583"/>
      <c r="LI15" s="583"/>
      <c r="LJ15" s="583"/>
      <c r="LK15" s="583"/>
      <c r="LL15" s="583"/>
      <c r="LM15" s="583"/>
      <c r="LN15" s="583"/>
      <c r="LO15" s="583"/>
      <c r="LP15" s="583"/>
      <c r="LQ15" s="582">
        <v>4</v>
      </c>
      <c r="LR15" s="584"/>
      <c r="LS15" s="584"/>
      <c r="LT15" s="584"/>
      <c r="LU15" s="584"/>
      <c r="LV15" s="584"/>
      <c r="LW15" s="584"/>
      <c r="LX15" s="584"/>
      <c r="LY15" s="584"/>
      <c r="LZ15" s="584"/>
      <c r="MA15" s="584"/>
      <c r="MB15" s="584"/>
      <c r="MC15" s="584"/>
      <c r="MD15" s="584"/>
      <c r="ME15" s="584"/>
      <c r="MF15" s="584"/>
      <c r="MG15" s="584"/>
      <c r="MH15" s="584"/>
      <c r="MI15" s="584"/>
      <c r="MJ15" s="582" t="s">
        <v>601</v>
      </c>
      <c r="MK15" s="585"/>
      <c r="ML15" s="585"/>
      <c r="MM15" s="585"/>
      <c r="MN15" s="586"/>
      <c r="MO15" s="587"/>
      <c r="MP15" s="587"/>
      <c r="MQ15" s="587"/>
      <c r="MR15" s="587"/>
      <c r="MS15" s="588"/>
      <c r="MT15" s="588"/>
      <c r="MU15" s="588"/>
      <c r="MV15" s="588"/>
      <c r="MW15" s="588"/>
      <c r="MX15" s="588"/>
      <c r="MY15" s="587"/>
      <c r="MZ15" s="587"/>
      <c r="NA15" s="587"/>
      <c r="NB15" s="587"/>
      <c r="NC15" s="587"/>
      <c r="ND15" s="589"/>
      <c r="NE15" s="215"/>
      <c r="NF15" s="215"/>
      <c r="NG15" s="215"/>
      <c r="NH15" s="590"/>
      <c r="NI15" s="591"/>
      <c r="NJ15" s="592"/>
      <c r="NK15" s="215"/>
      <c r="NL15" s="215"/>
      <c r="NM15" s="215"/>
      <c r="NN15" s="215"/>
      <c r="NO15" s="215"/>
      <c r="NP15" s="215"/>
      <c r="NQ15" s="215"/>
      <c r="NR15" s="215"/>
      <c r="NS15" s="215"/>
      <c r="NT15" s="215"/>
      <c r="NU15" s="215"/>
      <c r="NV15" s="215"/>
      <c r="NW15" s="593"/>
    </row>
    <row r="16" spans="1:387" s="62" customFormat="1" ht="65.25" customHeight="1" thickBot="1" x14ac:dyDescent="0.4">
      <c r="A16" s="58"/>
      <c r="B16" s="565" t="s">
        <v>43</v>
      </c>
      <c r="C16" s="566" t="s">
        <v>93</v>
      </c>
      <c r="D16" s="567" t="s">
        <v>30</v>
      </c>
      <c r="E16" s="568" t="s">
        <v>316</v>
      </c>
      <c r="F16" s="568" t="s">
        <v>32</v>
      </c>
      <c r="G16" s="568" t="s">
        <v>31</v>
      </c>
      <c r="H16" s="568" t="s">
        <v>45</v>
      </c>
      <c r="I16" s="568" t="s">
        <v>395</v>
      </c>
      <c r="J16" s="568" t="s">
        <v>317</v>
      </c>
      <c r="K16" s="568" t="s">
        <v>387</v>
      </c>
      <c r="L16" s="568" t="s">
        <v>318</v>
      </c>
      <c r="M16" s="568" t="s">
        <v>378</v>
      </c>
      <c r="N16" s="568" t="s">
        <v>232</v>
      </c>
      <c r="O16" s="569" t="s">
        <v>233</v>
      </c>
      <c r="P16" s="568" t="s">
        <v>33</v>
      </c>
      <c r="Q16" s="226" t="s">
        <v>645</v>
      </c>
      <c r="R16" s="570" t="s">
        <v>309</v>
      </c>
      <c r="S16" s="127" t="s">
        <v>62</v>
      </c>
      <c r="T16" s="128" t="s">
        <v>236</v>
      </c>
      <c r="U16" s="127" t="s">
        <v>396</v>
      </c>
      <c r="V16" s="571" t="s">
        <v>319</v>
      </c>
      <c r="W16" s="127" t="s">
        <v>388</v>
      </c>
      <c r="X16" s="127" t="s">
        <v>716</v>
      </c>
      <c r="Y16" s="127" t="s">
        <v>386</v>
      </c>
      <c r="Z16" s="141" t="s">
        <v>54</v>
      </c>
      <c r="AA16" s="810" t="s">
        <v>321</v>
      </c>
      <c r="AB16" s="815" t="s">
        <v>717</v>
      </c>
      <c r="AC16" s="82" t="s">
        <v>81</v>
      </c>
      <c r="AD16" s="84" t="s">
        <v>715</v>
      </c>
      <c r="AE16" s="85" t="s">
        <v>330</v>
      </c>
      <c r="AF16" s="232" t="s">
        <v>99</v>
      </c>
      <c r="AG16" s="751" t="s">
        <v>686</v>
      </c>
      <c r="AH16" s="82" t="s">
        <v>87</v>
      </c>
      <c r="AI16" s="84" t="s">
        <v>649</v>
      </c>
      <c r="AJ16" s="85" t="s">
        <v>652</v>
      </c>
      <c r="AK16" s="86" t="s">
        <v>100</v>
      </c>
      <c r="AL16" s="751" t="s">
        <v>687</v>
      </c>
      <c r="AM16" s="82" t="s">
        <v>88</v>
      </c>
      <c r="AN16" s="84" t="s">
        <v>650</v>
      </c>
      <c r="AO16" s="85" t="s">
        <v>653</v>
      </c>
      <c r="AP16" s="86" t="s">
        <v>101</v>
      </c>
      <c r="AQ16" s="759" t="s">
        <v>688</v>
      </c>
      <c r="AR16" s="82" t="s">
        <v>89</v>
      </c>
      <c r="AS16" s="84" t="s">
        <v>651</v>
      </c>
      <c r="AT16" s="85" t="s">
        <v>654</v>
      </c>
      <c r="AU16" s="762" t="s">
        <v>102</v>
      </c>
      <c r="AV16" s="766" t="s">
        <v>689</v>
      </c>
      <c r="AW16" s="166" t="s">
        <v>90</v>
      </c>
      <c r="AX16" s="184" t="s">
        <v>92</v>
      </c>
      <c r="AY16" s="101" t="s">
        <v>103</v>
      </c>
      <c r="AZ16" s="101" t="s">
        <v>104</v>
      </c>
      <c r="BA16" s="101" t="s">
        <v>105</v>
      </c>
      <c r="BB16" s="101" t="s">
        <v>237</v>
      </c>
      <c r="BC16" s="101" t="s">
        <v>238</v>
      </c>
      <c r="BD16" s="101" t="s">
        <v>239</v>
      </c>
      <c r="BE16" s="101" t="s">
        <v>240</v>
      </c>
      <c r="BF16" s="101" t="s">
        <v>241</v>
      </c>
      <c r="BG16" s="101" t="s">
        <v>242</v>
      </c>
      <c r="BH16" s="101" t="s">
        <v>273</v>
      </c>
      <c r="BI16" s="101" t="s">
        <v>274</v>
      </c>
      <c r="BJ16" s="101" t="s">
        <v>275</v>
      </c>
      <c r="BK16" s="101" t="s">
        <v>276</v>
      </c>
      <c r="BL16" s="101" t="s">
        <v>277</v>
      </c>
      <c r="BM16" s="101" t="s">
        <v>278</v>
      </c>
      <c r="BN16" s="101" t="s">
        <v>279</v>
      </c>
      <c r="BO16" s="101" t="s">
        <v>280</v>
      </c>
      <c r="BP16" s="101" t="s">
        <v>281</v>
      </c>
      <c r="BQ16" s="189" t="s">
        <v>282</v>
      </c>
      <c r="BR16" s="234" t="s">
        <v>399</v>
      </c>
      <c r="BS16" s="234" t="s">
        <v>410</v>
      </c>
      <c r="BT16" s="234" t="s">
        <v>403</v>
      </c>
      <c r="BU16" s="234" t="s">
        <v>401</v>
      </c>
      <c r="BV16" s="234" t="s">
        <v>402</v>
      </c>
      <c r="BW16" s="234" t="s">
        <v>400</v>
      </c>
      <c r="BX16" s="234" t="s">
        <v>406</v>
      </c>
      <c r="BY16" s="234" t="s">
        <v>404</v>
      </c>
      <c r="BZ16" s="234" t="s">
        <v>405</v>
      </c>
      <c r="CA16" s="234" t="s">
        <v>411</v>
      </c>
      <c r="CB16" s="234" t="s">
        <v>409</v>
      </c>
      <c r="CC16" s="234" t="s">
        <v>408</v>
      </c>
      <c r="CD16" s="234" t="s">
        <v>407</v>
      </c>
      <c r="CE16" s="234" t="s">
        <v>412</v>
      </c>
      <c r="CF16" s="234" t="s">
        <v>416</v>
      </c>
      <c r="CG16" s="234" t="s">
        <v>414</v>
      </c>
      <c r="CH16" s="234" t="s">
        <v>415</v>
      </c>
      <c r="CI16" s="234" t="s">
        <v>413</v>
      </c>
      <c r="CJ16" s="234" t="s">
        <v>420</v>
      </c>
      <c r="CK16" s="234" t="s">
        <v>418</v>
      </c>
      <c r="CL16" s="234" t="s">
        <v>419</v>
      </c>
      <c r="CM16" s="234" t="s">
        <v>417</v>
      </c>
      <c r="CN16" s="234" t="s">
        <v>424</v>
      </c>
      <c r="CO16" s="234" t="s">
        <v>422</v>
      </c>
      <c r="CP16" s="234" t="s">
        <v>423</v>
      </c>
      <c r="CQ16" s="234" t="s">
        <v>421</v>
      </c>
      <c r="CR16" s="234" t="s">
        <v>428</v>
      </c>
      <c r="CS16" s="234" t="s">
        <v>426</v>
      </c>
      <c r="CT16" s="234" t="s">
        <v>427</v>
      </c>
      <c r="CU16" s="234" t="s">
        <v>425</v>
      </c>
      <c r="CV16" s="234" t="s">
        <v>432</v>
      </c>
      <c r="CW16" s="234" t="s">
        <v>430</v>
      </c>
      <c r="CX16" s="234" t="s">
        <v>431</v>
      </c>
      <c r="CY16" s="234" t="s">
        <v>429</v>
      </c>
      <c r="CZ16" s="234" t="s">
        <v>433</v>
      </c>
      <c r="DA16" s="234" t="s">
        <v>435</v>
      </c>
      <c r="DB16" s="234" t="s">
        <v>434</v>
      </c>
      <c r="DC16" s="234" t="s">
        <v>436</v>
      </c>
      <c r="DD16" s="239" t="s">
        <v>397</v>
      </c>
      <c r="DE16" s="227" t="s">
        <v>398</v>
      </c>
      <c r="DF16" s="113" t="s">
        <v>283</v>
      </c>
      <c r="DG16" s="113" t="s">
        <v>284</v>
      </c>
      <c r="DH16" s="113" t="s">
        <v>285</v>
      </c>
      <c r="DI16" s="113" t="s">
        <v>286</v>
      </c>
      <c r="DJ16" s="113" t="s">
        <v>287</v>
      </c>
      <c r="DK16" s="113" t="s">
        <v>289</v>
      </c>
      <c r="DL16" s="113" t="s">
        <v>290</v>
      </c>
      <c r="DM16" s="113" t="s">
        <v>291</v>
      </c>
      <c r="DN16" s="113" t="s">
        <v>292</v>
      </c>
      <c r="DO16" s="113" t="s">
        <v>293</v>
      </c>
      <c r="DP16" s="113" t="s">
        <v>294</v>
      </c>
      <c r="DQ16" s="113" t="s">
        <v>295</v>
      </c>
      <c r="DR16" s="113" t="s">
        <v>296</v>
      </c>
      <c r="DS16" s="113" t="s">
        <v>297</v>
      </c>
      <c r="DT16" s="113" t="s">
        <v>298</v>
      </c>
      <c r="DU16" s="113" t="s">
        <v>288</v>
      </c>
      <c r="DV16" s="113" t="s">
        <v>299</v>
      </c>
      <c r="DW16" s="113" t="s">
        <v>300</v>
      </c>
      <c r="DX16" s="113" t="s">
        <v>301</v>
      </c>
      <c r="DY16" s="113" t="s">
        <v>302</v>
      </c>
      <c r="DZ16" s="239" t="s">
        <v>322</v>
      </c>
      <c r="EA16" s="274" t="s">
        <v>501</v>
      </c>
      <c r="EB16" s="233" t="s">
        <v>437</v>
      </c>
      <c r="EC16" s="234" t="s">
        <v>438</v>
      </c>
      <c r="ED16" s="234" t="s">
        <v>439</v>
      </c>
      <c r="EE16" s="234" t="s">
        <v>441</v>
      </c>
      <c r="EF16" s="233" t="s">
        <v>440</v>
      </c>
      <c r="EG16" s="234" t="s">
        <v>442</v>
      </c>
      <c r="EH16" s="234" t="s">
        <v>443</v>
      </c>
      <c r="EI16" s="234" t="s">
        <v>444</v>
      </c>
      <c r="EJ16" s="234" t="s">
        <v>445</v>
      </c>
      <c r="EK16" s="234" t="s">
        <v>446</v>
      </c>
      <c r="EL16" s="234" t="s">
        <v>454</v>
      </c>
      <c r="EM16" s="234" t="s">
        <v>453</v>
      </c>
      <c r="EN16" s="234" t="s">
        <v>452</v>
      </c>
      <c r="EO16" s="234" t="s">
        <v>451</v>
      </c>
      <c r="EP16" s="234" t="s">
        <v>450</v>
      </c>
      <c r="EQ16" s="234" t="s">
        <v>449</v>
      </c>
      <c r="ER16" s="234" t="s">
        <v>448</v>
      </c>
      <c r="ES16" s="234" t="s">
        <v>447</v>
      </c>
      <c r="ET16" s="234" t="s">
        <v>462</v>
      </c>
      <c r="EU16" s="234" t="s">
        <v>461</v>
      </c>
      <c r="EV16" s="234" t="s">
        <v>460</v>
      </c>
      <c r="EW16" s="234" t="s">
        <v>459</v>
      </c>
      <c r="EX16" s="234" t="s">
        <v>458</v>
      </c>
      <c r="EY16" s="234" t="s">
        <v>457</v>
      </c>
      <c r="EZ16" s="234" t="s">
        <v>456</v>
      </c>
      <c r="FA16" s="234" t="s">
        <v>455</v>
      </c>
      <c r="FB16" s="234" t="s">
        <v>474</v>
      </c>
      <c r="FC16" s="234" t="s">
        <v>473</v>
      </c>
      <c r="FD16" s="234" t="s">
        <v>472</v>
      </c>
      <c r="FE16" s="234" t="s">
        <v>471</v>
      </c>
      <c r="FF16" s="234" t="s">
        <v>470</v>
      </c>
      <c r="FG16" s="234" t="s">
        <v>469</v>
      </c>
      <c r="FH16" s="234" t="s">
        <v>468</v>
      </c>
      <c r="FI16" s="234" t="s">
        <v>467</v>
      </c>
      <c r="FJ16" s="234" t="s">
        <v>466</v>
      </c>
      <c r="FK16" s="234" t="s">
        <v>465</v>
      </c>
      <c r="FL16" s="234" t="s">
        <v>464</v>
      </c>
      <c r="FM16" s="234" t="s">
        <v>463</v>
      </c>
      <c r="FN16" s="176" t="s">
        <v>713</v>
      </c>
      <c r="FO16" s="176" t="s">
        <v>714</v>
      </c>
      <c r="FP16" s="116" t="s">
        <v>355</v>
      </c>
      <c r="FQ16" s="116" t="s">
        <v>356</v>
      </c>
      <c r="FR16" s="116" t="s">
        <v>357</v>
      </c>
      <c r="FS16" s="116" t="s">
        <v>358</v>
      </c>
      <c r="FT16" s="116" t="s">
        <v>359</v>
      </c>
      <c r="FU16" s="116" t="s">
        <v>360</v>
      </c>
      <c r="FV16" s="116" t="s">
        <v>361</v>
      </c>
      <c r="FW16" s="116" t="s">
        <v>362</v>
      </c>
      <c r="FX16" s="116" t="s">
        <v>363</v>
      </c>
      <c r="FY16" s="116" t="s">
        <v>364</v>
      </c>
      <c r="FZ16" s="116" t="s">
        <v>365</v>
      </c>
      <c r="GA16" s="116" t="s">
        <v>366</v>
      </c>
      <c r="GB16" s="116" t="s">
        <v>367</v>
      </c>
      <c r="GC16" s="116" t="s">
        <v>368</v>
      </c>
      <c r="GD16" s="116" t="s">
        <v>369</v>
      </c>
      <c r="GE16" s="116" t="s">
        <v>370</v>
      </c>
      <c r="GF16" s="116" t="s">
        <v>371</v>
      </c>
      <c r="GG16" s="116" t="s">
        <v>372</v>
      </c>
      <c r="GH16" s="116" t="s">
        <v>373</v>
      </c>
      <c r="GI16" s="116" t="s">
        <v>374</v>
      </c>
      <c r="GJ16" s="176" t="s">
        <v>325</v>
      </c>
      <c r="GK16" s="116" t="s">
        <v>692</v>
      </c>
      <c r="GL16" s="116" t="s">
        <v>693</v>
      </c>
      <c r="GM16" s="116" t="s">
        <v>694</v>
      </c>
      <c r="GN16" s="116" t="s">
        <v>695</v>
      </c>
      <c r="GO16" s="116" t="s">
        <v>696</v>
      </c>
      <c r="GP16" s="116" t="s">
        <v>697</v>
      </c>
      <c r="GQ16" s="116" t="s">
        <v>698</v>
      </c>
      <c r="GR16" s="116" t="s">
        <v>699</v>
      </c>
      <c r="GS16" s="116" t="s">
        <v>700</v>
      </c>
      <c r="GT16" s="116" t="s">
        <v>701</v>
      </c>
      <c r="GU16" s="116" t="s">
        <v>702</v>
      </c>
      <c r="GV16" s="116" t="s">
        <v>703</v>
      </c>
      <c r="GW16" s="116" t="s">
        <v>704</v>
      </c>
      <c r="GX16" s="116" t="s">
        <v>705</v>
      </c>
      <c r="GY16" s="116" t="s">
        <v>706</v>
      </c>
      <c r="GZ16" s="116" t="s">
        <v>707</v>
      </c>
      <c r="HA16" s="116" t="s">
        <v>708</v>
      </c>
      <c r="HB16" s="116" t="s">
        <v>709</v>
      </c>
      <c r="HC16" s="116" t="s">
        <v>710</v>
      </c>
      <c r="HD16" s="116" t="s">
        <v>711</v>
      </c>
      <c r="HE16" s="176" t="s">
        <v>712</v>
      </c>
      <c r="HF16" s="59" t="s">
        <v>496</v>
      </c>
      <c r="HG16" s="278" t="s">
        <v>488</v>
      </c>
      <c r="HH16" s="279" t="s">
        <v>489</v>
      </c>
      <c r="HI16" s="279" t="s">
        <v>490</v>
      </c>
      <c r="HJ16" s="280" t="s">
        <v>487</v>
      </c>
      <c r="HK16" s="280" t="s">
        <v>491</v>
      </c>
      <c r="HL16" s="280" t="s">
        <v>492</v>
      </c>
      <c r="HM16" s="280" t="s">
        <v>493</v>
      </c>
      <c r="HN16" s="280" t="s">
        <v>246</v>
      </c>
      <c r="HO16" s="280" t="s">
        <v>494</v>
      </c>
      <c r="HP16" s="280" t="s">
        <v>495</v>
      </c>
      <c r="HQ16" s="280" t="s">
        <v>497</v>
      </c>
      <c r="HR16" s="281" t="s">
        <v>498</v>
      </c>
      <c r="HS16" s="59" t="s">
        <v>106</v>
      </c>
      <c r="HT16" s="59" t="s">
        <v>107</v>
      </c>
      <c r="HU16" s="59" t="s">
        <v>108</v>
      </c>
      <c r="HV16" s="61" t="s">
        <v>110</v>
      </c>
      <c r="HW16" s="60" t="s">
        <v>111</v>
      </c>
      <c r="HX16" s="59" t="s">
        <v>393</v>
      </c>
      <c r="HY16" s="59" t="s">
        <v>615</v>
      </c>
      <c r="HZ16" s="127" t="s">
        <v>621</v>
      </c>
      <c r="IA16" s="127" t="s">
        <v>377</v>
      </c>
      <c r="IB16" s="315" t="s">
        <v>640</v>
      </c>
      <c r="IC16" s="221" t="s">
        <v>381</v>
      </c>
      <c r="ID16" s="329" t="s">
        <v>646</v>
      </c>
      <c r="IE16" s="156" t="s">
        <v>394</v>
      </c>
      <c r="IF16" s="152" t="s">
        <v>326</v>
      </c>
      <c r="IG16" s="152" t="s">
        <v>327</v>
      </c>
      <c r="IH16" s="152" t="s">
        <v>376</v>
      </c>
      <c r="II16" s="146" t="s">
        <v>328</v>
      </c>
      <c r="IJ16" s="146" t="s">
        <v>642</v>
      </c>
      <c r="IK16" s="146" t="s">
        <v>643</v>
      </c>
      <c r="IL16" s="331" t="s">
        <v>641</v>
      </c>
      <c r="IM16" s="321" t="s">
        <v>639</v>
      </c>
      <c r="IN16" s="147" t="s">
        <v>329</v>
      </c>
      <c r="IO16" s="147" t="s">
        <v>385</v>
      </c>
      <c r="IP16" s="147" t="s">
        <v>109</v>
      </c>
      <c r="IQ16" s="176" t="s">
        <v>648</v>
      </c>
      <c r="IR16" s="735" t="s">
        <v>91</v>
      </c>
      <c r="IS16" s="594" t="s">
        <v>479</v>
      </c>
      <c r="IT16" s="595" t="s">
        <v>617</v>
      </c>
      <c r="IU16" s="595" t="s">
        <v>618</v>
      </c>
      <c r="IV16" s="634" t="s">
        <v>629</v>
      </c>
      <c r="IW16" s="637" t="s">
        <v>112</v>
      </c>
      <c r="IX16" s="596" t="s">
        <v>660</v>
      </c>
      <c r="IY16" s="597" t="s">
        <v>223</v>
      </c>
      <c r="IZ16" s="598" t="s">
        <v>219</v>
      </c>
      <c r="JA16" s="599" t="s">
        <v>220</v>
      </c>
      <c r="JB16" s="599" t="s">
        <v>221</v>
      </c>
      <c r="JC16" s="599" t="s">
        <v>222</v>
      </c>
      <c r="JD16" s="599" t="s">
        <v>243</v>
      </c>
      <c r="JE16" s="599" t="s">
        <v>244</v>
      </c>
      <c r="JF16" s="599" t="s">
        <v>245</v>
      </c>
      <c r="JG16" s="599" t="s">
        <v>499</v>
      </c>
      <c r="JH16" s="599" t="s">
        <v>247</v>
      </c>
      <c r="JI16" s="599" t="s">
        <v>248</v>
      </c>
      <c r="JJ16" s="600" t="s">
        <v>315</v>
      </c>
      <c r="JK16" s="638" t="s">
        <v>113</v>
      </c>
      <c r="JL16" s="642" t="s">
        <v>114</v>
      </c>
      <c r="JM16" s="601" t="s">
        <v>115</v>
      </c>
      <c r="JN16" s="601" t="s">
        <v>116</v>
      </c>
      <c r="JO16" s="602" t="s">
        <v>392</v>
      </c>
      <c r="JP16" s="602" t="s">
        <v>332</v>
      </c>
      <c r="JQ16" s="602" t="s">
        <v>333</v>
      </c>
      <c r="JR16" s="601" t="s">
        <v>379</v>
      </c>
      <c r="JS16" s="601" t="s">
        <v>616</v>
      </c>
      <c r="JT16" s="601" t="s">
        <v>632</v>
      </c>
      <c r="JU16" s="603" t="s">
        <v>118</v>
      </c>
      <c r="JV16" s="604" t="s">
        <v>119</v>
      </c>
      <c r="JW16" s="604" t="s">
        <v>304</v>
      </c>
      <c r="JX16" s="605" t="s">
        <v>334</v>
      </c>
      <c r="JY16" s="605" t="s">
        <v>335</v>
      </c>
      <c r="JZ16" s="660" t="s">
        <v>336</v>
      </c>
      <c r="KA16" s="605" t="s">
        <v>117</v>
      </c>
      <c r="KB16" s="604" t="s">
        <v>380</v>
      </c>
      <c r="KC16" s="604" t="s">
        <v>620</v>
      </c>
      <c r="KD16" s="617" t="s">
        <v>631</v>
      </c>
      <c r="KE16" s="642" t="s">
        <v>120</v>
      </c>
      <c r="KF16" s="601" t="s">
        <v>121</v>
      </c>
      <c r="KG16" s="601" t="s">
        <v>122</v>
      </c>
      <c r="KH16" s="602" t="s">
        <v>337</v>
      </c>
      <c r="KI16" s="602" t="s">
        <v>338</v>
      </c>
      <c r="KJ16" s="602" t="s">
        <v>339</v>
      </c>
      <c r="KK16" s="601" t="s">
        <v>390</v>
      </c>
      <c r="KL16" s="601" t="s">
        <v>622</v>
      </c>
      <c r="KM16" s="601" t="s">
        <v>633</v>
      </c>
      <c r="KN16" s="603" t="s">
        <v>124</v>
      </c>
      <c r="KO16" s="604" t="s">
        <v>125</v>
      </c>
      <c r="KP16" s="604" t="s">
        <v>303</v>
      </c>
      <c r="KQ16" s="605" t="s">
        <v>340</v>
      </c>
      <c r="KR16" s="605" t="s">
        <v>341</v>
      </c>
      <c r="KS16" s="605" t="s">
        <v>342</v>
      </c>
      <c r="KT16" s="605" t="s">
        <v>123</v>
      </c>
      <c r="KU16" s="604" t="s">
        <v>382</v>
      </c>
      <c r="KV16" s="604" t="s">
        <v>626</v>
      </c>
      <c r="KW16" s="617" t="s">
        <v>126</v>
      </c>
      <c r="KX16" s="642" t="s">
        <v>127</v>
      </c>
      <c r="KY16" s="601" t="s">
        <v>128</v>
      </c>
      <c r="KZ16" s="601" t="s">
        <v>129</v>
      </c>
      <c r="LA16" s="602" t="s">
        <v>343</v>
      </c>
      <c r="LB16" s="602" t="s">
        <v>344</v>
      </c>
      <c r="LC16" s="602" t="s">
        <v>345</v>
      </c>
      <c r="LD16" s="601" t="s">
        <v>389</v>
      </c>
      <c r="LE16" s="601" t="s">
        <v>623</v>
      </c>
      <c r="LF16" s="601" t="s">
        <v>634</v>
      </c>
      <c r="LG16" s="603" t="s">
        <v>131</v>
      </c>
      <c r="LH16" s="604" t="s">
        <v>132</v>
      </c>
      <c r="LI16" s="604" t="s">
        <v>305</v>
      </c>
      <c r="LJ16" s="605" t="s">
        <v>346</v>
      </c>
      <c r="LK16" s="605" t="s">
        <v>347</v>
      </c>
      <c r="LL16" s="605" t="s">
        <v>348</v>
      </c>
      <c r="LM16" s="605" t="s">
        <v>130</v>
      </c>
      <c r="LN16" s="604" t="s">
        <v>383</v>
      </c>
      <c r="LO16" s="604" t="s">
        <v>627</v>
      </c>
      <c r="LP16" s="617" t="s">
        <v>133</v>
      </c>
      <c r="LQ16" s="642" t="s">
        <v>134</v>
      </c>
      <c r="LR16" s="601" t="s">
        <v>135</v>
      </c>
      <c r="LS16" s="601" t="s">
        <v>136</v>
      </c>
      <c r="LT16" s="602" t="s">
        <v>350</v>
      </c>
      <c r="LU16" s="602" t="s">
        <v>349</v>
      </c>
      <c r="LV16" s="602" t="s">
        <v>351</v>
      </c>
      <c r="LW16" s="601" t="s">
        <v>391</v>
      </c>
      <c r="LX16" s="601" t="s">
        <v>624</v>
      </c>
      <c r="LY16" s="601" t="s">
        <v>635</v>
      </c>
      <c r="LZ16" s="603" t="s">
        <v>138</v>
      </c>
      <c r="MA16" s="604" t="s">
        <v>139</v>
      </c>
      <c r="MB16" s="604" t="s">
        <v>306</v>
      </c>
      <c r="MC16" s="605" t="s">
        <v>352</v>
      </c>
      <c r="MD16" s="605" t="s">
        <v>353</v>
      </c>
      <c r="ME16" s="605" t="s">
        <v>354</v>
      </c>
      <c r="MF16" s="605" t="s">
        <v>137</v>
      </c>
      <c r="MG16" s="604" t="s">
        <v>384</v>
      </c>
      <c r="MH16" s="604" t="s">
        <v>628</v>
      </c>
      <c r="MI16" s="617" t="s">
        <v>140</v>
      </c>
      <c r="MJ16" s="645" t="s">
        <v>587</v>
      </c>
      <c r="MK16" s="607" t="s">
        <v>586</v>
      </c>
      <c r="ML16" s="606" t="s">
        <v>588</v>
      </c>
      <c r="MM16" s="607" t="s">
        <v>589</v>
      </c>
      <c r="MN16" s="608" t="s">
        <v>141</v>
      </c>
      <c r="MO16" s="608" t="s">
        <v>142</v>
      </c>
      <c r="MP16" s="609" t="s">
        <v>143</v>
      </c>
      <c r="MQ16" s="610" t="s">
        <v>144</v>
      </c>
      <c r="MR16" s="610" t="s">
        <v>145</v>
      </c>
      <c r="MS16" s="611" t="s">
        <v>146</v>
      </c>
      <c r="MT16" s="612" t="s">
        <v>502</v>
      </c>
      <c r="MU16" s="612" t="s">
        <v>503</v>
      </c>
      <c r="MV16" s="612" t="s">
        <v>504</v>
      </c>
      <c r="MW16" s="612" t="s">
        <v>505</v>
      </c>
      <c r="MX16" s="612" t="s">
        <v>506</v>
      </c>
      <c r="MY16" s="608" t="s">
        <v>147</v>
      </c>
      <c r="MZ16" s="608" t="s">
        <v>148</v>
      </c>
      <c r="NA16" s="608" t="s">
        <v>149</v>
      </c>
      <c r="NB16" s="613" t="s">
        <v>308</v>
      </c>
      <c r="NC16" s="614" t="s">
        <v>307</v>
      </c>
      <c r="ND16" s="608" t="s">
        <v>150</v>
      </c>
      <c r="NE16" s="601" t="s">
        <v>568</v>
      </c>
      <c r="NF16" s="601" t="s">
        <v>567</v>
      </c>
      <c r="NG16" s="601" t="s">
        <v>566</v>
      </c>
      <c r="NH16" s="601" t="s">
        <v>565</v>
      </c>
      <c r="NI16" s="615" t="s">
        <v>564</v>
      </c>
      <c r="NJ16" s="601" t="s">
        <v>563</v>
      </c>
      <c r="NK16" s="601" t="s">
        <v>562</v>
      </c>
      <c r="NL16" s="616" t="s">
        <v>614</v>
      </c>
      <c r="NM16" s="601" t="s">
        <v>636</v>
      </c>
      <c r="NN16" s="604" t="s">
        <v>561</v>
      </c>
      <c r="NO16" s="604" t="s">
        <v>560</v>
      </c>
      <c r="NP16" s="604" t="s">
        <v>559</v>
      </c>
      <c r="NQ16" s="605" t="s">
        <v>558</v>
      </c>
      <c r="NR16" s="605" t="s">
        <v>557</v>
      </c>
      <c r="NS16" s="605" t="s">
        <v>556</v>
      </c>
      <c r="NT16" s="605" t="s">
        <v>555</v>
      </c>
      <c r="NU16" s="604" t="s">
        <v>554</v>
      </c>
      <c r="NV16" s="604" t="s">
        <v>625</v>
      </c>
      <c r="NW16" s="617" t="s">
        <v>553</v>
      </c>
    </row>
    <row r="17" spans="2:387" ht="0.95" customHeight="1" thickBot="1" x14ac:dyDescent="0.4">
      <c r="B17" s="118" t="str">
        <f t="shared" ref="B17:B146" si="1">IF(HF17=0,"",HF17)</f>
        <v/>
      </c>
      <c r="C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7" s="262">
        <f t="shared" ref="D17:D146" si="2"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f>
        <v>0</v>
      </c>
      <c r="E17" s="120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f>
        <v>-</v>
      </c>
      <c r="F17" s="122" t="str">
        <f t="shared" ref="F17:F146" si="3">IF(HS17=0,"N/A",HS17)</f>
        <v>N/A</v>
      </c>
      <c r="G17" s="121" t="str">
        <f t="shared" ref="G17:G146" si="4">IF(HT17=0,"",HT17)</f>
        <v/>
      </c>
      <c r="H17" s="122" t="str">
        <f t="shared" ref="H17:H146" si="5">IF(HU17=0,"",HU17)</f>
        <v/>
      </c>
      <c r="I17" s="123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f>
        <v>0</v>
      </c>
      <c r="J17" s="123" t="str">
        <f t="shared" ref="J17:J146" si="6">IF(IF17=0,"",IF17)</f>
        <v/>
      </c>
      <c r="K17" s="151">
        <f>RZ[[#This Row],[Koeficient odhadu HR '[-'] (P1)]]</f>
        <v>1</v>
      </c>
      <c r="L17" s="124">
        <f ca="1">RZ[[#This Row],[Jednotková hmotnost s koef. '[kg/MJHR'] (P0)]]</f>
        <v>0</v>
      </c>
      <c r="M17" s="124">
        <f t="shared" ref="M17:M146" ca="1" si="7">IF(ISNUMBER(K17),L17/K17*(K17-1),0)</f>
        <v>0</v>
      </c>
      <c r="N17" s="125">
        <f t="shared" ref="N17:N146" si="8">IF(ISNUMBER(J17),J17*L17,0)</f>
        <v>0</v>
      </c>
      <c r="O17" s="125">
        <f t="shared" ref="O17:O146" si="9">IF(ISNUMBER(J17),J17*M17,0)</f>
        <v>0</v>
      </c>
      <c r="P17" s="328" t="str">
        <f t="shared" ref="P17:P146" si="10">IF(HR17=0,"",HR17)</f>
        <v>Vonka</v>
      </c>
      <c r="Q17" s="743">
        <f ca="1">RZ[[#This Row],[Počet MJHR v rozpadu (P0)]]</f>
        <v>1</v>
      </c>
      <c r="R17" s="439" t="str">
        <f t="shared" ref="R17:R146" si="11">IF(HV17&lt;&gt;0,HV17,"")</f>
        <v/>
      </c>
      <c r="S17" s="129" t="str">
        <f t="shared" ref="S17:S146" si="12">IF(HW17&lt;&gt;0,HW17,"")</f>
        <v/>
      </c>
      <c r="T17" s="130" t="str">
        <f t="shared" ref="T17:T146" si="13">IF(HX17=0,"",HX17)</f>
        <v/>
      </c>
      <c r="U17" s="126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f>
        <v>0</v>
      </c>
      <c r="V17" s="575" t="str">
        <f t="shared" ref="V17:V146" ca="1" si="14">IF(IK17=0,"",IK17)</f>
        <v/>
      </c>
      <c r="W17" s="322">
        <f>RZ[[#This Row],[Koeficient odhadu CR '[-'] (P1)]]</f>
        <v>1</v>
      </c>
      <c r="X17" s="440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f>
        <v>0</v>
      </c>
      <c r="Y17" s="440">
        <f t="shared" ref="Y17" ca="1" si="15">IF(ISNUMBER(X17),-X17/W17*(W17-1),0)</f>
        <v>0</v>
      </c>
      <c r="Z17" s="142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f>
        <v/>
      </c>
      <c r="AA17" s="811">
        <f t="shared" ref="AA17:AA146" ca="1" si="16">GJ17</f>
        <v>1</v>
      </c>
      <c r="AB17" s="814">
        <f ca="1">RZ[[#This Row],[Kumulovaný koeficient v rozpadu (P0)]]</f>
        <v>1</v>
      </c>
      <c r="AC17" s="258"/>
      <c r="AD17" s="510">
        <f ca="1">RZ[[#This Row],[Jednotková cena bez DPH '[cena/MJCR'] s koef. (P0)]]/RZ[[#This Row],[Koeficient odhadu CR '[-']]]*RZ[[#This Row],[Kumulovaný koeficient odhadu CR  '[-']]]</f>
        <v>0</v>
      </c>
      <c r="AE17" s="511">
        <f t="shared" ref="AE17:AE146" ca="1" si="17">IF(ISNUMBER(AA17),AA17*AD17,0)*IF(V17="",0,1)</f>
        <v>0</v>
      </c>
      <c r="AF17" s="512">
        <f ca="1">-IF(ISNUMBER(AA17),RZ[[#This Row],[Celková cena bez DPH (1)]]-RZ[[#This Row],[Jednotková cena bez DPH '[cena/MJCR'] bez koef. (P0)]]*AA17,0)</f>
        <v>0</v>
      </c>
      <c r="AG17" s="752">
        <f ca="1">IF(RZ[[#This Row],[Jednotková hmotnost '[kg/MJHR']]]*RZ[[#This Row],[Počet MJHR v rozpadu]]=0,0,RZ[[#This Row],[Celková cena bez DPH (1)]]/RZ[[#This Row],[Jednotková hmotnost '[kg/MJHR']]]/RZ[[#This Row],[Počet MJHR v rozpadu]])</f>
        <v>0</v>
      </c>
      <c r="AH17" s="259"/>
      <c r="AI17" s="510">
        <f t="shared" ref="AI17:AI146" ca="1" si="18">AD17/VLOOKUP($AJ$13,KURZY,3,FALSE)</f>
        <v>0</v>
      </c>
      <c r="AJ17" s="511">
        <f t="shared" ref="AJ17:AJ146" ca="1" si="19">AE17/VLOOKUP($AJ$13,KURZY,3,FALSE)*IF(V17="",0,1)</f>
        <v>0</v>
      </c>
      <c r="AK17" s="512">
        <f t="shared" ref="AK17:AK146" ca="1" si="20">AF17/VLOOKUP($AJ$13,KURZY,3,FALSE)</f>
        <v>0</v>
      </c>
      <c r="AL17" s="752">
        <f ca="1">RZ[[#This Row],[Kilogramová cena bez DPH '[cena/kg'] (1)]]/$AK$13</f>
        <v>0</v>
      </c>
      <c r="AM17" s="259"/>
      <c r="AN17" s="510">
        <f t="shared" ref="AN17:AN146" ca="1" si="21">AD17/VLOOKUP($AO$13,KURZY,3,FALSE)</f>
        <v>0</v>
      </c>
      <c r="AO17" s="511">
        <f t="shared" ref="AO17:AO146" ca="1" si="22">AE17/VLOOKUP($AO$13,KURZY,3,FALSE)*IF(V17="",0,1)</f>
        <v>0</v>
      </c>
      <c r="AP17" s="512">
        <f t="shared" ref="AP17:AP146" ca="1" si="23">AF17/VLOOKUP($AO$13,KURZY,3,FALSE)</f>
        <v>0</v>
      </c>
      <c r="AQ17" s="752">
        <f ca="1">RZ[[#This Row],[Kilogramová cena bez DPH '[cena/kg'] (1)]]/$AP$13</f>
        <v>0</v>
      </c>
      <c r="AR17" s="259"/>
      <c r="AS17" s="510">
        <f t="shared" ref="AS17:AS146" ca="1" si="24">AD17/VLOOKUP($AT$13,KURZY,3,FALSE)</f>
        <v>0</v>
      </c>
      <c r="AT17" s="511">
        <f t="shared" ref="AT17:AT146" ca="1" si="25">AE17/VLOOKUP($AT$13,KURZY,3,FALSE)*IF(V17="",0,1)</f>
        <v>0</v>
      </c>
      <c r="AU17" s="511">
        <f t="shared" ref="AU17:AU146" ca="1" si="26">AF17/VLOOKUP($AT$13,KURZY,3,FALSE)</f>
        <v>0</v>
      </c>
      <c r="AV17" s="767">
        <f ca="1">RZ[[#This Row],[Kilogramová cena bez DPH '[cena/kg'] (1)]]/$AU$13</f>
        <v>0</v>
      </c>
      <c r="AW17" s="165"/>
      <c r="AX17" s="108">
        <f t="shared" ref="AX17:AX146" ca="1" si="27">IF($BH17=0,IF(AY17&gt;0,OFFSET(AX17,-1,0,1,1),0),OFFSET(AX17,-1,0,1,1)+1)</f>
        <v>1</v>
      </c>
      <c r="AY17" s="109" t="e">
        <f t="shared" ref="AY17:AY146" ca="1" si="28">IF($BI17=0,IF(AZ17&gt;0,OFFSET(AY17,-1,0,1,1),0),OFFSET(AY17,-1,0,1,1)+1)</f>
        <v>#VALUE!</v>
      </c>
      <c r="AZ17" s="115" t="e">
        <f t="shared" ref="AZ17:AZ146" ca="1" si="29">IF($BJ17=0,IF(BA17&gt;0,OFFSET(AZ17,-1,0,1,1),0),OFFSET(AZ17,-1,0,1,1)+1)</f>
        <v>#VALUE!</v>
      </c>
      <c r="BA17" s="115" t="e">
        <f t="shared" ref="BA17:BA146" ca="1" si="30">IF($BK17=0,IF(BB17&gt;0,OFFSET(BA17,-1,0,1,1),0),OFFSET(BA17,-1,0,1,1)+1)</f>
        <v>#VALUE!</v>
      </c>
      <c r="BB17" s="115" t="e">
        <f t="shared" ref="BB17:BB146" ca="1" si="31">IF($BL17=0,IF(BC17&gt;0,OFFSET(BB17,-1,0,1,1),0),OFFSET(BB17,-1,0,1,1)+1)</f>
        <v>#VALUE!</v>
      </c>
      <c r="BC17" s="115" t="e">
        <f t="shared" ref="BC17:BC146" ca="1" si="32">IF($BM17=0,IF(BD17&gt;0,OFFSET(BC17,-1,0,1,1),0),OFFSET(BC17,-1,0,1,1)+1)</f>
        <v>#VALUE!</v>
      </c>
      <c r="BD17" s="115" t="e">
        <f t="shared" ref="BD17:BD146" ca="1" si="33">IF($BN17=0,IF(BE17&gt;0,OFFSET(BD17,-1,0,1,1),0),OFFSET(BD17,-1,0,1,1)+1)</f>
        <v>#VALUE!</v>
      </c>
      <c r="BE17" s="115" t="e">
        <f ca="1">IF($BO17=0,IF(BF17&gt;0,OFFSET(BE17,-1,0,1,1),0),OFFSET(BE17,-1,0,1,1)+1)</f>
        <v>#VALUE!</v>
      </c>
      <c r="BF17" s="115" t="e">
        <f t="shared" ref="BF17:BF146" ca="1" si="34">IF($BP17=0,IF(BG17&gt;0,OFFSET(BF17,-1,0,1,1),0),OFFSET(BF17,-1,0,1,1)+1)</f>
        <v>#VALUE!</v>
      </c>
      <c r="BG17" s="114" t="e">
        <f t="shared" ref="BG17:BG146" ca="1" si="35">IF($BQ17=0,0,OFFSET($BG17,-1,0,1,1)+1)</f>
        <v>#VALUE!</v>
      </c>
      <c r="BH17" s="108">
        <f t="shared" ref="BH17:BQ18" si="36">IF(HG17="",0,1)</f>
        <v>1</v>
      </c>
      <c r="BI17" s="109">
        <f t="shared" si="36"/>
        <v>1</v>
      </c>
      <c r="BJ17" s="109">
        <f t="shared" si="36"/>
        <v>1</v>
      </c>
      <c r="BK17" s="115">
        <f t="shared" si="36"/>
        <v>1</v>
      </c>
      <c r="BL17" s="115">
        <f t="shared" si="36"/>
        <v>1</v>
      </c>
      <c r="BM17" s="115">
        <f t="shared" si="36"/>
        <v>1</v>
      </c>
      <c r="BN17" s="115">
        <f t="shared" si="36"/>
        <v>1</v>
      </c>
      <c r="BO17" s="115">
        <f t="shared" si="36"/>
        <v>1</v>
      </c>
      <c r="BP17" s="115">
        <f t="shared" si="36"/>
        <v>1</v>
      </c>
      <c r="BQ17" s="114">
        <f t="shared" si="36"/>
        <v>1</v>
      </c>
      <c r="BR17" s="185">
        <f ca="1">IF(OFFSET(AY17,1,0,1,1)&lt;&gt;0,RZ[[#This Row],[Koeficient odhadu HR '[-'] (P1)]]*$BH17*SUMIFS(RZ[Úroveň 2 s koef. (P2)],RZ[0],AX17),RZ[[#This Row],[Koeficient odhadu HR '[-'] (P1)]]*$BH17*$IG17)</f>
        <v>0</v>
      </c>
      <c r="BS17" s="185">
        <f ca="1">IF(OFFSET(AY17,1,0,1,1)&lt;&gt;0,$BH17*SUMIFS(RZ[Úroveň 2 bez koef. (P2)],RZ[0],AX17),$BH17*$IG17)</f>
        <v>0</v>
      </c>
      <c r="BT17" s="136">
        <f ca="1">RZ[[#This Row],[Úroveň 2 s koef. (P2a)]]*RZ[[#This Row],[Počet MJHR (P0)]]</f>
        <v>0</v>
      </c>
      <c r="BU17" s="137">
        <f ca="1">RZ[Úroveň 2 bez koef. (P2a)]*RZ[[#This Row],[Počet MJHR (P0)]]</f>
        <v>0</v>
      </c>
      <c r="BV17" s="137">
        <f ca="1">IF(OFFSET(AZ17,1,0,1,1)&lt;&gt;0,RZ[[#This Row],[Koeficient odhadu HR '[-'] (P1)]]*$BI17*SUMIFS(RZ[Úroveň 3 s koef. (P2)],RZ[0],AX17,RZ[Úroveň 2 (P0)],AY17),RZ[[#This Row],[Koeficient odhadu HR '[-'] (P1)]]*$BI17*$IG17)</f>
        <v>0</v>
      </c>
      <c r="BW17" s="137">
        <f ca="1">IF(OFFSET(AZ17,1,0,1,1)&lt;&gt;0,$BI17*SUMIFS(RZ[Úroveň 3 bez koef. (P2)],RZ[0],AX17,RZ[Úroveň 2 (P0)],AY17),$BI17*$IG17)</f>
        <v>0</v>
      </c>
      <c r="BX17" s="133">
        <f ca="1">RZ[[#This Row],[Úroveň 3 s koef. (P2a)]]*RZ[[#This Row],[Počet MJHR (P0)]]</f>
        <v>0</v>
      </c>
      <c r="BY17" s="133">
        <f ca="1">RZ[Úroveň 3 bez koef. (P2a)]*RZ[[#This Row],[Počet MJHR (P0)]]</f>
        <v>0</v>
      </c>
      <c r="BZ17" s="131">
        <f ca="1">IF(OFFSET(BA17,1,0,1,1)&lt;&gt;0,RZ[[#This Row],[Koeficient odhadu HR '[-'] (P1)]]*$BJ17*SUMIFS(RZ[Úroveň 4 s koef. (P2)],RZ[0],AX17,RZ[Úroveň 2 (P0)],AY17,RZ[Úroveň 3 (P0)],AZ17),RZ[[#This Row],[Koeficient odhadu HR '[-'] (P1)]]*$BJ17*$IG17)</f>
        <v>0</v>
      </c>
      <c r="CA17" s="131">
        <f ca="1">IF(OFFSET(BA17,1,0,1,1)&lt;&gt;0,$BJ17*SUMIFS(RZ[Úroveň 4 bez koef. (P2)],RZ[0],AX17,RZ[Úroveň 2 (P0)],AY17,RZ[Úroveň 3 (P0)],AZ17),$BJ17*$IG17)</f>
        <v>0</v>
      </c>
      <c r="CB17" s="136">
        <f ca="1">RZ[[#This Row],[Úroveň 4 s koef. (P2a)]]*RZ[[#This Row],[Počet MJHR (P0)]]</f>
        <v>0</v>
      </c>
      <c r="CC17" s="136">
        <f ca="1">RZ[Úroveň 4 bez koef. (P2a)]*RZ[[#This Row],[Počet MJHR (P0)]]</f>
        <v>0</v>
      </c>
      <c r="CD17" s="137">
        <f ca="1">IF(OFFSET(BB17,1,0,1,1)&lt;&gt;0,RZ[[#This Row],[Koeficient odhadu HR '[-'] (P1)]]*$BK17*SUMIFS(RZ[Úroveň 5 s koef. (P2)],RZ[0],AX17,RZ[Úroveň 2 (P0)],AY17,RZ[Úroveň 3 (P0)],AZ17,RZ[Úroveň 4 (P0)],BA17),RZ[[#This Row],[Koeficient odhadu HR '[-'] (P1)]]*$BK17*$IG17)</f>
        <v>0</v>
      </c>
      <c r="CE17" s="137">
        <f ca="1">IF(OFFSET(BB17,1,0,1,1)&lt;&gt;0,$BK17*SUMIFS(RZ[Úroveň 5 bez koef. (P2)],RZ[0],AX17,RZ[Úroveň 2 (P0)],AY17,RZ[Úroveň 3 (P0)],AZ17,RZ[Úroveň 4 (P0)],BA17),$BK17*$IG17)</f>
        <v>0</v>
      </c>
      <c r="CF17" s="133">
        <f ca="1">RZ[[#This Row],[Úroveň 5 s koef. (P2a)]]*RZ[[#This Row],[Počet MJHR (P0)]]</f>
        <v>0</v>
      </c>
      <c r="CG17" s="133">
        <f ca="1">RZ[Úroveň 5 bez koef. (P2a)]*RZ[[#This Row],[Počet MJHR (P0)]]</f>
        <v>0</v>
      </c>
      <c r="CH17" s="133">
        <f ca="1"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f>
        <v>0</v>
      </c>
      <c r="CI17" s="133">
        <f ca="1">IF(OFFSET(BC17,1,0,1,1)&lt;&gt;0,$BL17*SUMIFS(RZ[Úroveň 6 bez koef. (P2)],RZ[0],AX17,RZ[Úroveň 2 (P0)],AY17,RZ[Úroveň 3 (P0)],AZ17,RZ[Úroveň 4 (P0)],BA17,RZ[Úroveň 5 (P0)],BB17),$BL17*$IG17)</f>
        <v>0</v>
      </c>
      <c r="CJ17" s="136">
        <f ca="1">RZ[[#This Row],[Úroveň 6 s koef. (P2a)]]*RZ[[#This Row],[Počet MJHR (P0)]]</f>
        <v>0</v>
      </c>
      <c r="CK17" s="136">
        <f ca="1">RZ[Úroveň 6 bez koef. (P2a)]*RZ[[#This Row],[Počet MJHR (P0)]]</f>
        <v>0</v>
      </c>
      <c r="CL17" s="137">
        <f ca="1"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f>
        <v>0</v>
      </c>
      <c r="CM17" s="137">
        <f ca="1">IF(OFFSET(BD17,1,0,1,1)&lt;&gt;0,$BM17*SUMIFS(RZ[Úroveň 7 bez koef. (P2)],RZ[0],AX17,RZ[Úroveň 2 (P0)],AY17,RZ[Úroveň 3 (P0)],AZ17,RZ[Úroveň 4 (P0)],BA17,RZ[Úroveň 5 (P0)],BB17,RZ[Úroveň 6 (P0)],BC17),$BM17*$IG17)</f>
        <v>0</v>
      </c>
      <c r="CN17" s="133">
        <f ca="1">RZ[[#This Row],[Úroveň 7 s koef. (P2a)]]*RZ[[#This Row],[Počet MJHR (P0)]]</f>
        <v>0</v>
      </c>
      <c r="CO17" s="133">
        <f ca="1">RZ[Úroveň 7 bez koef. (P2a)]*RZ[[#This Row],[Počet MJHR (P0)]]</f>
        <v>0</v>
      </c>
      <c r="CP17" s="133">
        <f ca="1"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f>
        <v>0</v>
      </c>
      <c r="CQ17" s="133">
        <f ca="1">IF(OFFSET(BE17,1,0,1,1)&lt;&gt;0,$BN17*SUMIFS(RZ[Úroveň 8 bez koef. (P2)],RZ[0],AX17,RZ[Úroveň 2 (P0)],AY17,RZ[Úroveň 3 (P0)],AZ17,RZ[Úroveň 4 (P0)],BA17,RZ[Úroveň 5 (P0)],BB17,RZ[Úroveň 6 (P0)],BC17,RZ[Úroveň 7 (P0)],BD17),$BN17*$IG17)</f>
        <v>0</v>
      </c>
      <c r="CR17" s="136">
        <f ca="1">RZ[[#This Row],[Úroveň 8 s koef. (P2a)]]*RZ[[#This Row],[Počet MJHR (P0)]]</f>
        <v>0</v>
      </c>
      <c r="CS17" s="136">
        <f ca="1">RZ[Úroveň 8 bez koef. (P2a)]*RZ[[#This Row],[Počet MJHR (P0)]]</f>
        <v>0</v>
      </c>
      <c r="CT17" s="137">
        <f ca="1"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f>
        <v>0</v>
      </c>
      <c r="CU17" s="137">
        <f ca="1">IF(OFFSET(BF17,1,0,1,1)&lt;&gt;0,$BO17*SUMIFS(RZ[Úroveň 9 bez koef. (P2)],RZ[0],AX17,RZ[Úroveň 2 (P0)],AY17,RZ[Úroveň 3 (P0)],AZ17,RZ[Úroveň 4 (P0)],BA17,RZ[Úroveň 5 (P0)],BB17,RZ[Úroveň 6 (P0)],BC17,RZ[Úroveň 7 (P0)],BD17,RZ[Úroveň 8 (P0)],BE17),$BO17*$IG17)</f>
        <v>0</v>
      </c>
      <c r="CV17" s="133">
        <f ca="1">RZ[[#This Row],[Úroveň 9 s koef. (P2a)]]*RZ[[#This Row],[Počet MJHR (P0)]]</f>
        <v>0</v>
      </c>
      <c r="CW17" s="133">
        <f ca="1">RZ[Úroveň 9 bez koef. (P2a)]*RZ[[#This Row],[Počet MJHR (P0)]]</f>
        <v>0</v>
      </c>
      <c r="CX17" s="133">
        <f ca="1"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f>
        <v>0</v>
      </c>
      <c r="CY17" s="133">
        <f ca="1"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f>
        <v>0</v>
      </c>
      <c r="CZ17" s="136">
        <f>RZ[[#This Row],[Úroveň 10 s koef. (P2a)]]*RZ[[#This Row],[Počet MJHR (P0)]]</f>
        <v>0</v>
      </c>
      <c r="DA17" s="136">
        <f>RZ[Úroveň 10 bez koef. (P2a)]*RZ[[#This Row],[Počet MJHR (P0)]]</f>
        <v>0</v>
      </c>
      <c r="DB17" s="137">
        <f>RZ[[#This Row],[Koeficient odhadu HR '[-'] (P1)]]*$BQ17*IG17</f>
        <v>0</v>
      </c>
      <c r="DC17" s="230">
        <f t="shared" ref="DC17:DC146" si="37">$BQ17*IG17</f>
        <v>0</v>
      </c>
      <c r="DD17" s="240">
        <f t="shared" ref="DD17:DD18" ca="1" si="38">IF(BH17=1,BR17,IF(BI17=1,BV17,IF(BJ17=1,BZ17,IF(BK17=1,CD17,IF(BL17=1,CH17,IF(BM17=1,CL17,IF(BN17=1,CP17,IF(BO17=1,CT17,IF(BP17=1,CX17,DB17)))))))))</f>
        <v>0</v>
      </c>
      <c r="DE17" s="228">
        <f t="shared" ref="DE17:DE18" ca="1" si="39">IF(BH17=1,BS17,IF(BI17=1,BW17,IF(BJ17=1,CA17,IF(BK17=1,CE17,IF(BL17=1,CI17,IF(BM17=1,CM17,IF(BN17=1,CQ17,IF(BO17=1,CU17,IF(BP17=1,CY17,DC17)))))))))</f>
        <v>0</v>
      </c>
      <c r="DF17" s="513">
        <f t="shared" ref="DF17:DF146" si="40">BH17*$IF17</f>
        <v>0</v>
      </c>
      <c r="DG17" s="514">
        <f t="shared" ref="DG17:DG146" si="41">BI17*$IF17</f>
        <v>0</v>
      </c>
      <c r="DH17" s="514">
        <f t="shared" ref="DH17:DH146" si="42">BJ17*$IF17</f>
        <v>0</v>
      </c>
      <c r="DI17" s="515">
        <f t="shared" ref="DI17:DI146" si="43">BK17*$IF17</f>
        <v>0</v>
      </c>
      <c r="DJ17" s="516">
        <f t="shared" ref="DJ17:DJ146" si="44">BL17*$IF17</f>
        <v>0</v>
      </c>
      <c r="DK17" s="516">
        <f t="shared" ref="DK17:DK146" si="45">BM17*$IF17</f>
        <v>0</v>
      </c>
      <c r="DL17" s="516">
        <f t="shared" ref="DL17:DL146" si="46">BN17*$IF17</f>
        <v>0</v>
      </c>
      <c r="DM17" s="516">
        <f t="shared" ref="DM17:DM146" si="47">BO17*$IF17</f>
        <v>0</v>
      </c>
      <c r="DN17" s="516">
        <f t="shared" ref="DN17:DN146" si="48">BP17*$IF17</f>
        <v>0</v>
      </c>
      <c r="DO17" s="515">
        <f t="shared" ref="DO17:DO146" si="49">BQ17*$IF17</f>
        <v>0</v>
      </c>
      <c r="DP17" s="517">
        <f ca="1">SUMIFS(RZ[Úroveň 1 (P4)],RZ[0],AX17)</f>
        <v>0</v>
      </c>
      <c r="DQ17" s="517">
        <f ca="1">SUMIFS(RZ[Úroveň 2 (P4)],RZ[0],AX17,RZ[Úroveň 2 (P0)],AY17)</f>
        <v>0</v>
      </c>
      <c r="DR17" s="517">
        <f ca="1">SUMIFS(RZ[Úroveň 3 (P4)],RZ[0],AX17,RZ[Úroveň 2 (P0)],AY17,RZ[Úroveň 3 (P0)],AZ17)</f>
        <v>0</v>
      </c>
      <c r="DS17" s="517">
        <f ca="1">SUMIFS(RZ[Úroveň 4 (P4)],RZ[0],AX17,RZ[Úroveň 2 (P0)],AY17,RZ[Úroveň 3 (P0)],AZ17,RZ[Úroveň 4 (P0)],BA17)</f>
        <v>0</v>
      </c>
      <c r="DT17" s="518">
        <f ca="1">SUMIFS(RZ[Úroveň 5 (P4)],RZ[0],AX17,RZ[Úroveň 2 (P0)],AY17,RZ[Úroveň 3 (P0)],AZ17,RZ[Úroveň 4 (P0)],BA17,RZ[Úroveň 5 (P0)],BB17)</f>
        <v>0</v>
      </c>
      <c r="DU17" s="518">
        <f ca="1">SUMIFS(RZ[Úroveň 6 (P4)],RZ[0],AX17,RZ[Úroveň 2 (P0)],AY17,RZ[Úroveň 3 (P0)],AZ17,RZ[Úroveň 4 (P0)],BA17,RZ[Úroveň 5 (P0)],BB17,RZ[Úroveň 6 (P0)],BC17)</f>
        <v>0</v>
      </c>
      <c r="DV17" s="518">
        <f ca="1">SUMIFS(RZ[Úroveň 7 (P4)],RZ[0],AX17,RZ[Úroveň 2 (P0)],AY17,RZ[Úroveň 3 (P0)],AZ17,RZ[Úroveň 4 (P0)],BA17,RZ[Úroveň 5 (P0)],BB17,RZ[Úroveň 6 (P0)],BC17,RZ[Úroveň 7 (P0)],BD17)</f>
        <v>0</v>
      </c>
      <c r="DW17" s="518">
        <f ca="1">SUMIFS(RZ[Úroveň 8 (P4)],RZ[0],AX17,RZ[Úroveň 2 (P0)],AY17,RZ[Úroveň 3 (P0)],AZ17,RZ[Úroveň 4 (P0)],BA17,RZ[Úroveň 5 (P0)],BB17,RZ[Úroveň 6 (P0)],BC17,RZ[Úroveň 7 (P0)],BD17,RZ[Úroveň 8 (P0)],BE17)</f>
        <v>0</v>
      </c>
      <c r="DX17" s="518">
        <f ca="1">SUMIFS(RZ[Úroveň 9 (P4)],RZ[0],AX17,RZ[Úroveň 2 (P0)],AY17,RZ[Úroveň 3 (P0)],AZ17,RZ[Úroveň 4 (P0)],BA17,RZ[Úroveň 5 (P0)],BB17,RZ[Úroveň 6 (P0)],BC17,RZ[Úroveň 7 (P0)],BD17,RZ[Úroveň 8 (P0)],BE17,RZ[Úroveň 9 (P0)],BF17)</f>
        <v>0</v>
      </c>
      <c r="DY17" s="518">
        <f ca="1">SUMIFS(RZ[Úroveň 10 (P4)],RZ[0],AX17,RZ[Úroveň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DZ17" s="519">
        <f t="shared" ref="DZ17:DZ18" ca="1" si="50">IF(DP17&lt;&gt;0,DP17,1)*IF(DQ17&lt;&gt;0,DQ17,1)*IF(DR17&lt;&gt;0,DR17,1)*IF(DS17&lt;&gt;0,DS17,1)*IF(DT17&lt;&gt;0,DT17,1)*IF(DU17&lt;&gt;0,DU17,1)*IF(DV17&lt;&gt;0,DV17,1)*IF(DW17&lt;&gt;0,DW17,1)*IF(DX17&lt;&gt;0,DX17,1)*IF(DY17&lt;&gt;0,DY17,1)</f>
        <v>1</v>
      </c>
      <c r="EA17" s="520">
        <f ca="1">RZ[[#This Row],[Jednotková hmotnost bez koef. '[kg/MJHR'] (P0)]]*RZ[[#This Row],[Počet MJHR v rozpadu (P0)]]</f>
        <v>0</v>
      </c>
      <c r="EB17" s="190">
        <f ca="1">IF(OFFSET(AY17,1,0,1,1)&lt;&gt;0,RZ[[#This Row],[Koeficient odhadu CR '[-'] (P1)]]*$BH17*SUMIFS(RZ[Úroveň 2 s koef. (P3)],RZ[0],AX17),RZ[[#This Row],[Koeficient odhadu CR '[-'] (P1)]]*$BH17*$IQ17)</f>
        <v>0</v>
      </c>
      <c r="EC17" s="190">
        <f ca="1">IF(OFFSET(AY17,1,0,1,1)&lt;&gt;0,$BH17*SUMIFS(RZ[Úroveň 2 bez koef. (P3)],RZ[0],AX17),$BH17*$IQ17)</f>
        <v>0</v>
      </c>
      <c r="ED17" s="139">
        <f ca="1">RZ[[#This Row],[Úroveň 2 s koef. (P3a)]]*RZ[[#This Row],[Počet MJCR (P0) pro "kg"]]</f>
        <v>0</v>
      </c>
      <c r="EE17" s="139">
        <f ca="1">RZ[Úroveň 2 bez koef. (P3a)]*RZ[[#This Row],[Počet MJCR (P0) pro "kg"]]</f>
        <v>0</v>
      </c>
      <c r="EF17" s="139">
        <f ca="1">IF(OFFSET(AZ17,1,0,1,1)&lt;&gt;0,RZ[[#This Row],[Koeficient odhadu CR '[-'] (P1)]]*$BI17*SUMIFS(RZ[Úroveň 3 s koef. (P3)],RZ[0],AX17,RZ[Úroveň 2 (P0)],AY17),RZ[[#This Row],[Koeficient odhadu CR '[-'] (P1)]]*$BI17*$IQ17)</f>
        <v>0</v>
      </c>
      <c r="EG17" s="139">
        <f ca="1">IF(OFFSET(AZ17,1,0,1,1)&lt;&gt;0,$BI17*SUMIFS(RZ[Úroveň 3 bez koef. (P3)],RZ[0],AX17,RZ[Úroveň 2 (P0)],AY17),$BI17*$IQ17)</f>
        <v>0</v>
      </c>
      <c r="EH17" s="134">
        <f ca="1">RZ[[#This Row],[Úroveň 3 s koef. (P3a)]]*RZ[[#This Row],[Počet MJCR (P0) pro "kg"]]</f>
        <v>0</v>
      </c>
      <c r="EI17" s="134">
        <f ca="1">RZ[Úroveň 3 bez koef. (P3a)]*RZ[[#This Row],[Počet MJCR (P0) pro "kg"]]</f>
        <v>0</v>
      </c>
      <c r="EJ17" s="134">
        <f ca="1">IF(OFFSET(BA17,1,0,1,1)&lt;&gt;0,RZ[[#This Row],[Koeficient odhadu CR '[-'] (P1)]]*$BJ17*SUMIFS(RZ[Úroveň 4 s koef. (P3)],RZ[0],AX17,RZ[Úroveň 2 (P0)],AY17,RZ[Úroveň 3 (P0)],AZ17),RZ[[#This Row],[Koeficient odhadu CR '[-'] (P1)]]*$BJ17*$IQ17)</f>
        <v>0</v>
      </c>
      <c r="EK17" s="134">
        <f ca="1">IF(OFFSET(BA17,1,0,1,1)&lt;&gt;0,$BJ17*SUMIFS(RZ[Úroveň 4 bez koef. (P3)],RZ[0],AX17,RZ[Úroveň 2 (P0)],AY17,RZ[Úroveň 3 (P0)],AZ17),$BJ17*$IQ17)</f>
        <v>0</v>
      </c>
      <c r="EL17" s="139">
        <f ca="1">RZ[[#This Row],[Úroveň 4 s koef. (P3a)]]*RZ[[#This Row],[Počet MJCR (P0) pro "kg"]]</f>
        <v>0</v>
      </c>
      <c r="EM17" s="139">
        <f ca="1">RZ[Úroveň 4 bez koef. (P3a)]*RZ[[#This Row],[Počet MJCR (P0) pro "kg"]]</f>
        <v>0</v>
      </c>
      <c r="EN17" s="139">
        <f ca="1">IF(OFFSET(BB17,1,0,1,1)&lt;&gt;0,RZ[[#This Row],[Koeficient odhadu CR '[-'] (P1)]]*$BK17*SUMIFS(RZ[Úroveň 5 s koef. (P3)],RZ[0],AX17,RZ[Úroveň 2 (P0)],AY17,RZ[Úroveň 3 (P0)],AZ17,RZ[Úroveň 4 (P0)],BA17),RZ[[#This Row],[Koeficient odhadu CR '[-'] (P1)]]*$BK17*$IQ17)</f>
        <v>0</v>
      </c>
      <c r="EO17" s="139">
        <f ca="1">IF(OFFSET(BB17,1,0,1,1)&lt;&gt;0,$BK17*SUMIFS(RZ[Úroveň 5 bez koef. (P3)],RZ[0],AX17,RZ[Úroveň 2 (P0)],AY17,RZ[Úroveň 3 (P0)],AZ17,RZ[Úroveň 4 (P0)],BA17),$BK17*$IQ17)</f>
        <v>0</v>
      </c>
      <c r="EP17" s="134">
        <f ca="1">RZ[[#This Row],[Úroveň 5 s koef. (P3a)]]*RZ[[#This Row],[Počet MJCR (P0) pro "kg"]]</f>
        <v>0</v>
      </c>
      <c r="EQ17" s="134">
        <f ca="1">RZ[Úroveň 5 bez koef. (P3a)]*RZ[[#This Row],[Počet MJCR (P0) pro "kg"]]</f>
        <v>0</v>
      </c>
      <c r="ER17" s="134">
        <f ca="1"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f>
        <v>0</v>
      </c>
      <c r="ES17" s="134">
        <f ca="1">IF(OFFSET(BC17,1,0,1,1)&lt;&gt;0,$BL17*SUMIFS(RZ[Úroveň 6 bez koef. (P3)],RZ[0],AX17,RZ[Úroveň 2 (P0)],AY17,RZ[Úroveň 3 (P0)],AZ17,RZ[Úroveň 4 (P0)],BA17,RZ[Úroveň 5 (P0)],BB17),$BL17*$IQ17)</f>
        <v>0</v>
      </c>
      <c r="ET17" s="139">
        <f ca="1">RZ[[#This Row],[Úroveň 6 s koef. (P3a)]]*RZ[[#This Row],[Počet MJCR (P0) pro "kg"]]</f>
        <v>0</v>
      </c>
      <c r="EU17" s="139">
        <f ca="1">RZ[Úroveň 6 bez koef. (P3a)]*RZ[[#This Row],[Počet MJCR (P0) pro "kg"]]</f>
        <v>0</v>
      </c>
      <c r="EV17" s="139">
        <f ca="1"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f>
        <v>0</v>
      </c>
      <c r="EW17" s="139">
        <f ca="1">IF(OFFSET(BD17,1,0,1,1)&lt;&gt;0,$BM17*SUMIFS(RZ[Úroveň 7 bez koef. (P3)],RZ[0],AX17,RZ[Úroveň 2 (P0)],AY17,RZ[Úroveň 3 (P0)],AZ17,RZ[Úroveň 4 (P0)],BA17,RZ[Úroveň 5 (P0)],BB17,RZ[Úroveň 6 (P0)],BC17),$BM17*$IQ17)</f>
        <v>0</v>
      </c>
      <c r="EX17" s="134">
        <f ca="1">RZ[[#This Row],[Úroveň 7 s koef. (P3a)]]*RZ[[#This Row],[Počet MJCR (P0) pro "kg"]]</f>
        <v>0</v>
      </c>
      <c r="EY17" s="134">
        <f ca="1">RZ[Úroveň 7 bez koef. (P3a)]*RZ[[#This Row],[Počet MJCR (P0) pro "kg"]]</f>
        <v>0</v>
      </c>
      <c r="EZ17" s="134">
        <f ca="1"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f>
        <v>0</v>
      </c>
      <c r="FA17" s="134">
        <f ca="1">IF(OFFSET(BE17,1,0,1,1)&lt;&gt;0,$BN17*SUMIFS(RZ[Úroveň 8 bez koef. (P3)],RZ[0],AX17,RZ[Úroveň 2 (P0)],AY17,RZ[Úroveň 3 (P0)],AZ17,RZ[Úroveň 4 (P0)],BA17,RZ[Úroveň 5 (P0)],BB17,RZ[Úroveň 6 (P0)],BC17,RZ[Úroveň 7 (P0)],BD17),$BN17*$IQ17)</f>
        <v>0</v>
      </c>
      <c r="FB17" s="139">
        <f ca="1">RZ[[#This Row],[Úroveň 8 s koef. (P3a)]]*RZ[[#This Row],[Počet MJCR (P0) pro "kg"]]</f>
        <v>0</v>
      </c>
      <c r="FC17" s="139">
        <f ca="1">RZ[Úroveň 8 bez koef. (P3a)]*RZ[[#This Row],[Počet MJCR (P0) pro "kg"]]</f>
        <v>0</v>
      </c>
      <c r="FD17" s="139">
        <f ca="1"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f>
        <v>0</v>
      </c>
      <c r="FE17" s="139">
        <f ca="1">IF(OFFSET(BF17,1,0,1,1)&lt;&gt;0,$BO17*SUMIFS(RZ[Úroveň 9 bez koef. (P3)],RZ[0],AX17,RZ[Úroveň 2 (P0)],AY17,RZ[Úroveň 3 (P0)],AZ17,RZ[Úroveň 4 (P0)],BA17,RZ[Úroveň 5 (P0)],BB17,RZ[Úroveň 6 (P0)],BC17,RZ[Úroveň 7 (P0)],BD17,RZ[Úroveň 8 (P0)],BE17),$BO17*$IQ17)</f>
        <v>0</v>
      </c>
      <c r="FF17" s="134">
        <f ca="1">RZ[[#This Row],[Úroveň 9 s koef. (P3a)]]*RZ[[#This Row],[Počet MJCR (P0) pro "kg"]]</f>
        <v>0</v>
      </c>
      <c r="FG17" s="134">
        <f ca="1">RZ[Úroveň 9 bez koef. (P3a)]*RZ[[#This Row],[Počet MJCR (P0) pro "kg"]]</f>
        <v>0</v>
      </c>
      <c r="FH17" s="134">
        <f ca="1"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f>
        <v>0</v>
      </c>
      <c r="FI17" s="134">
        <f ca="1"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f>
        <v>0</v>
      </c>
      <c r="FJ17" s="139">
        <f ca="1">RZ[[#This Row],[Úroveň 10 s koef. (P3a)]]*RZ[[#This Row],[Počet MJCR (P0) pro "kg"]]</f>
        <v>0</v>
      </c>
      <c r="FK17" s="139">
        <f ca="1">RZ[Úroveň 10 bez koef. (P3a)]*RZ[[#This Row],[Počet MJCR (P0) pro "kg"]]</f>
        <v>0</v>
      </c>
      <c r="FL17" s="139">
        <f ca="1">RZ[[#This Row],[Koeficient odhadu CR '[-'] (P1)]]*$BQ17*IQ17</f>
        <v>0</v>
      </c>
      <c r="FM17" s="235">
        <f t="shared" ref="FM17:FM146" ca="1" si="51">$BQ17*IQ17</f>
        <v>0</v>
      </c>
      <c r="FN17" s="195">
        <f t="shared" ref="FN17:FN18" ca="1" si="52">IF(BH17=1,EB17,IF(BI17=1,EF17,IF(BJ17=1,EJ17,IF(BK17=1,EN17,IF(BL17=1,ER17,IF(BM17=1,EV17,IF(BN17=1,EZ17,IF(BO17=1,FD17,IF(BP17=1,FH17,FL17)))))))))</f>
        <v>0</v>
      </c>
      <c r="FO17" s="237">
        <f t="shared" ref="FO17:FO18" ca="1" si="53">IF(BH17=1,EC17,IF(BI17=1,EG17,IF(BJ17=1,EK17,IF(BK17=1,EO17,IF(BL17=1,ES17,IF(BM17=1,EW17,IF(BN17=1,FA17,IF(BO17=1,FE17,IF(BP17=1,FI17,FM17)))))))))</f>
        <v>0</v>
      </c>
      <c r="FP17" s="190">
        <f t="shared" ref="FP17:FP146" ca="1" si="54">BH17*$IK17</f>
        <v>0</v>
      </c>
      <c r="FQ17" s="134">
        <f t="shared" ref="FQ17:FQ146" ca="1" si="55">BI17*$IK17</f>
        <v>0</v>
      </c>
      <c r="FR17" s="134">
        <f t="shared" ref="FR17:FR146" ca="1" si="56">BJ17*$IK17</f>
        <v>0</v>
      </c>
      <c r="FS17" s="134">
        <f t="shared" ref="FS17:FS146" ca="1" si="57">BK17*$IK17</f>
        <v>0</v>
      </c>
      <c r="FT17" s="134">
        <f t="shared" ref="FT17:FT146" ca="1" si="58">BL17*$IK17</f>
        <v>0</v>
      </c>
      <c r="FU17" s="134">
        <f t="shared" ref="FU17:FU146" ca="1" si="59">BM17*$IK17</f>
        <v>0</v>
      </c>
      <c r="FV17" s="134">
        <f t="shared" ref="FV17:FV146" ca="1" si="60">BN17*$IK17</f>
        <v>0</v>
      </c>
      <c r="FW17" s="134">
        <f t="shared" ref="FW17:FW146" ca="1" si="61">BO17*$IK17</f>
        <v>0</v>
      </c>
      <c r="FX17" s="134">
        <f t="shared" ref="FX17:FX146" ca="1" si="62">BP17*$IK17</f>
        <v>0</v>
      </c>
      <c r="FY17" s="134">
        <f t="shared" ref="FY17:FY146" ca="1" si="63">BQ17*$IK17</f>
        <v>0</v>
      </c>
      <c r="FZ17" s="139">
        <f ca="1">SUMIFS(RZ[Úroveň 1 (P6)],RZ[0],AX17)</f>
        <v>0</v>
      </c>
      <c r="GA17" s="139">
        <f ca="1">SUMIFS(RZ[Úroveň 2 (P6)],RZ[0],AX17,RZ[Úroveň 2 (P0)],AY17)</f>
        <v>0</v>
      </c>
      <c r="GB17" s="139">
        <f ca="1">SUMIFS(RZ[Úroveň 3 (P6)],RZ[0],AX17,RZ[Úroveň 2 (P0)],AY17,RZ[Úroveň 3 (P0)],AZ17)</f>
        <v>0</v>
      </c>
      <c r="GC17" s="139">
        <f ca="1">SUMIFS(RZ[Úroveň 4 (P6)],RZ[0],AX17,RZ[Úroveň 2 (P0)],AY17,RZ[Úroveň 3 (P0)],AZ17,RZ[Úroveň 4 (P0)],BA17)</f>
        <v>0</v>
      </c>
      <c r="GD17" s="139">
        <f ca="1">SUMIFS(RZ[Úroveň 5 (P6)],RZ[0],AX17,RZ[Úroveň 2 (P0)],AY17,RZ[Úroveň 3 (P0)],AZ17,RZ[Úroveň 4 (P0)],BA17,RZ[Úroveň 5 (P0)],BB17)</f>
        <v>0</v>
      </c>
      <c r="GE17" s="139">
        <f ca="1">SUMIFS(RZ[Úroveň 6 (P6)],RZ[0],AX17,RZ[Úroveň 2 (P0)],AY17,RZ[Úroveň 3 (P0)],AZ17,RZ[Úroveň 4 (P0)],BA17,RZ[Úroveň 5 (P0)],BB17,RZ[Úroveň 6 (P0)],BC17)</f>
        <v>0</v>
      </c>
      <c r="GF17" s="139">
        <f ca="1">SUMIFS(RZ[Úroveň 7 (P6)],RZ[0],AX17,RZ[Úroveň 2 (P0)],AY17,RZ[Úroveň 3 (P0)],AZ17,RZ[Úroveň 4 (P0)],BA17,RZ[Úroveň 5 (P0)],BB17,RZ[Úroveň 6 (P0)],BC17,RZ[Úroveň 7 (P0)],BD17)</f>
        <v>0</v>
      </c>
      <c r="GG17" s="139">
        <f ca="1">SUMIFS(RZ[Úroveň 8 (P6)],RZ[0],AX17,RZ[Úroveň 2 (P0)],AY17,RZ[Úroveň 3 (P0)],AZ17,RZ[Úroveň 4 (P0)],BA17,RZ[Úroveň 5 (P0)],BB17,RZ[Úroveň 6 (P0)],BC17,RZ[Úroveň 7 (P0)],BD17,RZ[Úroveň 8 (P0)],BE17)</f>
        <v>0</v>
      </c>
      <c r="GH17" s="139">
        <f ca="1">SUMIFS(RZ[Úroveň 9 (P6)],RZ[0],AX17,RZ[Úroveň 2 (P0)],AY17,RZ[Úroveň 3 (P0)],AZ17,RZ[Úroveň 4 (P0)],BA17,RZ[Úroveň 5 (P0)],BB17,RZ[Úroveň 6 (P0)],BC17,RZ[Úroveň 7 (P0)],BD17,RZ[Úroveň 8 (P0)],BE17,RZ[Úroveň 9 (P0)],BF17)</f>
        <v>0</v>
      </c>
      <c r="GI17" s="139">
        <f ca="1">SUMIFS(RZ[Úroveň 10 (P6)],RZ[0],AX17,RZ[Úroveň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GJ17" s="193">
        <f t="shared" ref="GJ17:GJ18" ca="1" si="64">IF(FZ17&lt;&gt;0,FZ17,1)*IF(GA17&lt;&gt;0,GA17,1)*IF(GB17&lt;&gt;0,GB17,1)*IF(GC17&lt;&gt;0,GC17,1)*IF(GD17&lt;&gt;0,GD17,1)*IF(GE17&lt;&gt;0,GE17,1)*IF(GF17&lt;&gt;0,GF17,1)*IF(GG17&lt;&gt;0,GG17,1)*IF(GH17&lt;&gt;0,GH17,1)*IF(GI17&lt;&gt;0,GI17,1)</f>
        <v>1</v>
      </c>
      <c r="GK17" s="804">
        <f t="shared" ref="GK17:GK146" si="65">BH17*$IO17</f>
        <v>1</v>
      </c>
      <c r="GL17" s="805">
        <f t="shared" ref="GL17:GL146" si="66">BI17*$IO17</f>
        <v>1</v>
      </c>
      <c r="GM17" s="805">
        <f t="shared" ref="GM17:GM146" si="67">BJ17*$IO17</f>
        <v>1</v>
      </c>
      <c r="GN17" s="805">
        <f t="shared" ref="GN17:GN146" si="68">BK17*$IO17</f>
        <v>1</v>
      </c>
      <c r="GO17" s="805">
        <f t="shared" ref="GO17:GO146" si="69">BL17*$IO17</f>
        <v>1</v>
      </c>
      <c r="GP17" s="805">
        <f t="shared" ref="GP17:GP146" si="70">BM17*$IO17</f>
        <v>1</v>
      </c>
      <c r="GQ17" s="805">
        <f t="shared" ref="GQ17:GQ146" si="71">BN17*$IO17</f>
        <v>1</v>
      </c>
      <c r="GR17" s="805">
        <f t="shared" ref="GR17:GR146" si="72">BO17*$IO17</f>
        <v>1</v>
      </c>
      <c r="GS17" s="805">
        <f t="shared" ref="GS17:GS146" si="73">BP17*$IO17</f>
        <v>1</v>
      </c>
      <c r="GT17" s="805">
        <f t="shared" ref="GT17:GT146" si="74">BQ17*$IO17</f>
        <v>1</v>
      </c>
      <c r="GU17" s="806">
        <f ca="1">SUMIFS(RZ[Sloupec1],RZ[0],AX17)</f>
        <v>1</v>
      </c>
      <c r="GV17" s="806">
        <f ca="1">SUMIFS(RZ[Sloupec2],RZ[0],AX17,RZ[Úroveň 2 (P0)],AY17)</f>
        <v>1</v>
      </c>
      <c r="GW17" s="806">
        <f ca="1">SUMIFS(RZ[Sloupec3],RZ[0],AX17,RZ[Úroveň 2 (P0)],AY17,RZ[Úroveň 3 (P0)],AZ17)</f>
        <v>1</v>
      </c>
      <c r="GX17" s="806">
        <f ca="1">SUMIFS(RZ[Sloupec4],RZ[0],AX17,RZ[Úroveň 2 (P0)],AY17,RZ[Úroveň 3 (P0)],AZ17,RZ[Úroveň 4 (P0)],BA17)</f>
        <v>1</v>
      </c>
      <c r="GY17" s="806">
        <f ca="1">SUMIFS(RZ[Sloupec5],RZ[0],AX17,RZ[Úroveň 2 (P0)],AY17,RZ[Úroveň 3 (P0)],AZ17,RZ[Úroveň 4 (P0)],BA17,RZ[Úroveň 5 (P0)],BB17)</f>
        <v>1</v>
      </c>
      <c r="GZ17" s="806">
        <f ca="1">SUMIFS(RZ[Sloupec6],RZ[0],AX17,RZ[Úroveň 2 (P0)],AY17,RZ[Úroveň 3 (P0)],AZ17,RZ[Úroveň 4 (P0)],BA17,RZ[Úroveň 5 (P0)],BB17,RZ[Úroveň 6 (P0)],BC17)</f>
        <v>1</v>
      </c>
      <c r="HA17" s="806">
        <f ca="1">SUMIFS(RZ[Sloupec62],RZ[0],AX17,RZ[Úroveň 2 (P0)],AY17,RZ[Úroveň 3 (P0)],AZ17,RZ[Úroveň 4 (P0)],BA17,RZ[Úroveň 5 (P0)],BB17,RZ[Úroveň 6 (P0)],BC17,RZ[Úroveň 7 (P0)],BD17)</f>
        <v>1</v>
      </c>
      <c r="HB17" s="806">
        <f ca="1">SUMIFS(RZ[Sloupec63],RZ[0],AX17,RZ[Úroveň 2 (P0)],AY17,RZ[Úroveň 3 (P0)],AZ17,RZ[Úroveň 4 (P0)],BA17,RZ[Úroveň 5 (P0)],BB17,RZ[Úroveň 6 (P0)],BC17,RZ[Úroveň 7 (P0)],BD17,RZ[Úroveň 8 (P0)],BE17)</f>
        <v>1</v>
      </c>
      <c r="HC17" s="806">
        <f ca="1">SUMIFS(RZ[Sloupec64],RZ[0],AX17,RZ[Úroveň 2 (P0)],AY17,RZ[Úroveň 3 (P0)],AZ17,RZ[Úroveň 4 (P0)],BA17,RZ[Úroveň 5 (P0)],BB17,RZ[Úroveň 6 (P0)],BC17,RZ[Úroveň 7 (P0)],BD17,RZ[Úroveň 8 (P0)],BE17,RZ[Úroveň 9 (P0)],BF17)</f>
        <v>1</v>
      </c>
      <c r="HD17" s="806">
        <f ca="1">SUMIFS(RZ[Sloupec65],RZ[0],AX17,RZ[Úroveň 2 (P0)],AY17,RZ[Úroveň 3 (P0)],AZ17,RZ[Úroveň 4 (P0)],BA17,RZ[Úroveň 5 (P0)],BB17,RZ[Úroveň 6 (P0)],BC17,RZ[Úroveň 7 (P0)],BD17,RZ[Úroveň 8 (P0)],BE17,RZ[Úroveň 9 (P0)],BF17,RZ[Úroveň 10 (P0)],BG17)</f>
        <v>1</v>
      </c>
      <c r="HE17" s="802">
        <f t="shared" ref="HE17:HE146" ca="1" si="75">IF(GU17&lt;&gt;0,GU17,1)*IF(GV17&lt;&gt;0,GV17,1)*IF(GW17&lt;&gt;0,GW17,1)*IF(GX17&lt;&gt;0,GX17,1)*IF(GY17&lt;&gt;0,GY17,1)*IF(GZ17&lt;&gt;0,GZ17,1)*IF(HA17&lt;&gt;0,HA17,1)*IF(HB17&lt;&gt;0,HB17,1)*IF(HC17&lt;&gt;0,HC17,1)*IF(HD17&lt;&gt;0,HD17,1)</f>
        <v>1</v>
      </c>
      <c r="HF17" s="48">
        <f t="shared" ref="HF17:HF146" si="76">IF($IW17=$MJ$15,IF(MK17="","",MK17),IF(IY17="","",IY17))</f>
        <v>0</v>
      </c>
      <c r="HG17" s="94">
        <f t="shared" ref="HG17:HG146" si="77">IF($IW17=$MJ$15,IF($MJ17=1,$MS17,""),IF(IZ17="","",IZ17))</f>
        <v>0</v>
      </c>
      <c r="HH17" s="95">
        <f t="shared" ref="HH17:HH146" si="78">IF($IW17=$MJ$15,IF($MJ17=2,$MS17,""),IF(JA17="","",JA17))</f>
        <v>0</v>
      </c>
      <c r="HI17" s="95">
        <f t="shared" ref="HI17:HI146" si="79">IF($IW17=$MJ$15,IF($MJ17=3,$MS17,""),IF(JB17="","",JB17))</f>
        <v>0</v>
      </c>
      <c r="HJ17" s="96">
        <f t="shared" ref="HJ17:HJ146" si="80">IF($IW17=$MJ$15,IF($MJ17=4,$MS17,""),IF(JC17="","",JC17))</f>
        <v>0</v>
      </c>
      <c r="HK17" s="96">
        <f t="shared" ref="HK17:HK146" si="81">IF($IW17=$MJ$15,IF($MJ17=5,$MS17,""),IF(JD17="","",JD17))</f>
        <v>0</v>
      </c>
      <c r="HL17" s="96">
        <f t="shared" ref="HL17:HL146" si="82">IF($IW17=$MJ$15,IF($MJ17=6,$MS17,""),IF(JE17="","",JE17))</f>
        <v>0</v>
      </c>
      <c r="HM17" s="96">
        <f t="shared" ref="HM17:HM146" si="83">IF($IW17=$MJ$15,IF($MJ17=7,$MS17,""),IF(JF17="","",JF17))</f>
        <v>0</v>
      </c>
      <c r="HN17" s="96">
        <f t="shared" ref="HN17:HN146" si="84">IF($IW17=$MJ$15,IF($MJ17=8,$MS17,""),IF(JG17="","",JG17))</f>
        <v>0</v>
      </c>
      <c r="HO17" s="96">
        <f t="shared" ref="HO17:HO146" si="85">IF($IW17=$MJ$15,IF($MJ17=9,$MS17,""),IF(JH17="","",JH17))</f>
        <v>0</v>
      </c>
      <c r="HP17" s="96">
        <f t="shared" ref="HP17:HP146" si="86">IF($IW17=$MJ$15,IF($MJ17=10,$MS17,""),IF(JI17="","",JI17))</f>
        <v>0</v>
      </c>
      <c r="HQ17" s="145" t="str">
        <f t="shared" ref="HQ17:HQ146" si="87">IF($IW17=$MJ$15,IF(ML17="","N/A",ML17),IF(JJ17="","N/A",JJ17))</f>
        <v>-</v>
      </c>
      <c r="HR17" s="175" t="str">
        <f t="shared" ref="HR17:HR146" si="88">IF($IW17=$MJ$15,IF(MM17="","",MM17),IF(JK17="","",JK17))</f>
        <v>Vonka</v>
      </c>
      <c r="HS17" s="173">
        <f t="shared" ref="HS17:HS146" si="89">IF($IW17=$JL$15,JL17,IF($IW17=$KE$15,KE17,IF($IW17=$KX$15,KX17,IF($IW17=$LQ$15,LQ17,IF($IW17=$MJ$15,NE17,0)))))</f>
        <v>0</v>
      </c>
      <c r="HT17" s="99">
        <f t="shared" ref="HT17:HT146" si="90">IF($IW17=$JL$15,JM17,IF($IW17=$KE$15,KF17,IF($IW17=$KX$15,KY17,IF($IW17=$LQ$15,LR17,IF($IW17=$MJ$15,NF17,0)))))</f>
        <v>0</v>
      </c>
      <c r="HU17" s="99">
        <f t="shared" ref="HU17:HU146" si="91">IF($IW17=$JL$15,JN17,IF($IW17=$KE$15,KG17,IF($IW17=$KX$15,KZ17,IF($IW17=$LQ$15,LS17,IF($IW17=$MJ$15,NG17,0)))))</f>
        <v>0</v>
      </c>
      <c r="HV17" s="209">
        <f t="shared" ref="HV17:HV146" si="92">IF($IW17=$JL$15,JU17,IF($IW17=$KE$15,KN17,IF($IW17=$KX$15,LG17,IF($IW17=$LQ$15,LZ17,IF($IW17=$MJ$15,NN17,0)))))</f>
        <v>0</v>
      </c>
      <c r="HW17" s="47">
        <f t="shared" ref="HW17:HW146" si="93">IF($IW17=$JL$15,JV17,IF($IW17=$KE$15,KO17,IF($IW17=$KX$15,LH17,IF($IW17=$LQ$15,MA17,IF($IW17=$MJ$15,NO17,0)))))</f>
        <v>0</v>
      </c>
      <c r="HX17" s="46">
        <f t="shared" ref="HX17:HX146" si="94">IF($IW17=$JL$15,JW17,IF($IW17=$KE$15,KP17,IF($IW17=$KX$15,LI17,IF($IW17=$LQ$15,MB17,IF($IW17=$MJ$15,NP17,0)))))</f>
        <v>0</v>
      </c>
      <c r="HY17" s="149">
        <f t="shared" ref="HY17:HY146" si="95">IF($IW17=$JL$15,JS17,IF($IW17=$KE$15,KL17,IF($IW17=$KX$15,LE17,IF($IW17=$LQ$15,LX17,IF($IW17=$MJ$15,NL17,0)))))</f>
        <v>0</v>
      </c>
      <c r="HZ17" s="263">
        <f t="shared" ref="HZ17:HZ146" si="96">IF($IW17=$JL$15,KC17,IF($IW17=$KE$15,KV17,IF($IW17=$KX$15,LO17,IF($IW17=$LQ$15,MH17,IF($IW17=$MJ$15,NV17,0)))))</f>
        <v>0</v>
      </c>
      <c r="IA17" s="150">
        <f t="shared" ref="IA17:IA146" si="97">IF($IW17=$JL$15,JR17,IF($IW17=$KE$15,KK17,IF($IW17=$KX$15,LD17,IF($IW17=$LQ$15,LW17,IF($IW17=$MJ$15,NK17,0)))))</f>
        <v>0</v>
      </c>
      <c r="IB17" s="319">
        <f t="shared" ref="IB17:IB146" si="98">IF($IW17=$JL$15,JZ17,IF($IW17=$KE$15,KS17,IF($IW17=$KX$15,LL17,IF($IW17=$LQ$15,ME17,IF($IW17=$MJ$15,NS17,0)))))</f>
        <v>0</v>
      </c>
      <c r="IC17" s="220">
        <f t="shared" ref="IC17:IC146" si="99">IF($IW17=$JL$15,KB17,IF($IW17=$KE$15,KU17,IF($IW17=$KX$15,LN17,IF($IW17=$LQ$15,MG17,IF($IW17=$MJ$15,NU17,0)))))</f>
        <v>0</v>
      </c>
      <c r="ID17" s="200" t="str">
        <f t="shared" ref="ID17:ID146" ca="1" si="100"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f>
        <v>OK</v>
      </c>
      <c r="IE17" s="201">
        <f t="shared" ref="IE17:IE146" si="101">IF($IW17=$JL$15,JO17,IF($IW17=$KE$15,KH17,IF($IW17=$KX$15,LA17,IF($IW17=$LQ$15,LT17,IF($IW17=$MJ$15,NH17,0)))))</f>
        <v>0</v>
      </c>
      <c r="IF17" s="145">
        <f t="shared" ref="IF17:IF146" si="102">IF($IW17=$JL$15,JP17,IF($IW17=$KE$15,KI17,IF($IW17=$KX$15,LB17,IF($IW17=$LQ$15,LU17,IF($IW17=$MJ$15,NI17,0)))))</f>
        <v>0</v>
      </c>
      <c r="IG17" s="216">
        <f t="shared" ref="IG17:IG146" si="103">IF($IW17=$JL$15,JQ17,IF($IW17=$KE$15,KJ17,IF($IW17=$KX$15,LC17,IF($IW17=$LQ$15,LV17,IF($IW17=$MJ$15,NJ17,0)))))</f>
        <v>0</v>
      </c>
      <c r="IH17" s="217">
        <f t="shared" ref="IH17:IH18" si="104">IF(IA17=0,1,IA17)</f>
        <v>1</v>
      </c>
      <c r="II17" s="224">
        <f ca="1">IF(RZ[[#This Row],[Rozhodný sloupec indikativní ceny]]=1,"kg",IF($IW17=$JL$15,IF(JX17=0,JO17,JX17),IF($IW17=$KE$15,IF(KQ17=0,KH17,KQ17),IF($IW17=$KX$15,IF(LJ17=0,LA17,LJ17),IF($IW17=$LQ$15,IF(MC17=0,LT17,MC17),IF($IW17=$MJ$15,IF(NQ17=0,NH17,NQ17),0))))))</f>
        <v>0</v>
      </c>
      <c r="IJ17" s="224">
        <f ca="1"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f>
        <v>0</v>
      </c>
      <c r="IK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</v>
      </c>
      <c r="IL17" s="330">
        <f ca="1">IF(AND(RZ[[#This Row],[Jednotková cena bez DPH '[cena/MJCR'] (P0)]]=0,RZ[[#This Row],[Indikativní jednotková cena '[CZK/kg'] (P1)]]&lt;&gt;0),1,0)</f>
        <v>0</v>
      </c>
      <c r="IM17" s="217">
        <f ca="1">VLOOKUP(RZ[[#This Row],[Kód položek]],INDIKAT_CENA,2,FALSE)</f>
        <v>0</v>
      </c>
      <c r="IN17" s="222">
        <f ca="1">IF(RZ[[#This Row],[Rozhodný sloupec indikativní ceny]]=1,RZ[[#This Row],[Indikativní jednotková cena '[CZK/kg'] (P1)]],RZ[[#This Row],[Jednotková cena bez DPH '[cena/MJCR'] (P0)]])</f>
        <v>0</v>
      </c>
      <c r="IO17" s="222">
        <f t="shared" ref="IO17:IO18" si="105">IF(IC17=0,1,IC17)</f>
        <v>1</v>
      </c>
      <c r="IP17" s="223">
        <f ca="1">IF(RZ[[#This Row],[Rozhodný sloupec indikativní ceny]]=1,1,IF($IW17=$JL$15,KA17,IF($IW17=$KE$15,KT17,IF($IW17=$KX$15,LM17,IF($IW17=$LQ$15,MF17,IF($IW17=$MJ$15,NT17,0))))))</f>
        <v>0</v>
      </c>
      <c r="IQ17" s="225">
        <f ca="1">IF(RZ[[#This Row],[Jednotková cena bez DPH '[cena/MJCR'] (P1)]]="",0,IF(IP17=0,0,(RZ[[#This Row],[Jednotková cena bez DPH '[cena/MJCR'] (P1)]]*VLOOKUP(IP17,$BR$7:$BT$10,3))))</f>
        <v>0</v>
      </c>
      <c r="IR17" s="736"/>
      <c r="IS17" s="618" t="str">
        <f>IF(HY17=0,"",VLOOKUP(RZ[[#This Row],[Stav Projekce (P0)]],Vstupy!$E$11:'Vstupy'!$E$11:$H$17,4,FALSE))</f>
        <v/>
      </c>
      <c r="IT17" s="619" t="str">
        <f>IF(RZ[[#This Row],[Stav Projekce (P0)]]=0,"",RZ[[#This Row],[Stav Projekce (P0)]])</f>
        <v/>
      </c>
      <c r="IU17" s="619" t="str">
        <f>IF(RZ[[#This Row],[Stav Nákup (P0)]]=0,"",RZ[[#This Row],[Stav Nákup (P0)]])</f>
        <v/>
      </c>
      <c r="IV17" s="635" t="str">
        <f t="shared" ref="IV17:IV18" si="106">IF(HV17=0,"",HV17)</f>
        <v/>
      </c>
      <c r="IW17" s="639"/>
      <c r="IX17" s="620"/>
      <c r="IY17" s="621">
        <v>0</v>
      </c>
      <c r="IZ17" s="622">
        <v>0</v>
      </c>
      <c r="JA17" s="623">
        <v>0</v>
      </c>
      <c r="JB17" s="623">
        <v>0</v>
      </c>
      <c r="JC17" s="623">
        <v>0</v>
      </c>
      <c r="JD17" s="623">
        <v>0</v>
      </c>
      <c r="JE17" s="623">
        <v>0</v>
      </c>
      <c r="JF17" s="623">
        <v>0</v>
      </c>
      <c r="JG17" s="623">
        <v>0</v>
      </c>
      <c r="JH17" s="623">
        <v>0</v>
      </c>
      <c r="JI17" s="623">
        <v>0</v>
      </c>
      <c r="JJ17" s="624" t="s">
        <v>231</v>
      </c>
      <c r="JK17" s="640" t="s">
        <v>64</v>
      </c>
      <c r="JL17" s="643">
        <v>0</v>
      </c>
      <c r="JM17" s="544">
        <v>0</v>
      </c>
      <c r="JN17" s="544">
        <v>0</v>
      </c>
      <c r="JO17" s="545" t="s">
        <v>35</v>
      </c>
      <c r="JP17" s="546">
        <v>0</v>
      </c>
      <c r="JQ17" s="546">
        <v>0</v>
      </c>
      <c r="JR17" s="547">
        <v>0</v>
      </c>
      <c r="JS17" s="548" t="s">
        <v>597</v>
      </c>
      <c r="JT17" s="548">
        <v>0</v>
      </c>
      <c r="JU17" s="547" t="s">
        <v>64</v>
      </c>
      <c r="JV17" s="550">
        <v>0</v>
      </c>
      <c r="JW17" s="545">
        <v>0</v>
      </c>
      <c r="JX17" s="551" t="s">
        <v>35</v>
      </c>
      <c r="JY17" s="546">
        <v>0</v>
      </c>
      <c r="JZ17" s="661">
        <v>0</v>
      </c>
      <c r="KA17" s="548">
        <v>1</v>
      </c>
      <c r="KB17" s="547">
        <v>0</v>
      </c>
      <c r="KC17" s="547" t="s">
        <v>637</v>
      </c>
      <c r="KD17" s="549">
        <v>0</v>
      </c>
      <c r="KE17" s="643"/>
      <c r="KF17" s="544"/>
      <c r="KG17" s="544"/>
      <c r="KH17" s="545"/>
      <c r="KI17" s="546"/>
      <c r="KJ17" s="546"/>
      <c r="KK17" s="547"/>
      <c r="KL17" s="548"/>
      <c r="KM17" s="547"/>
      <c r="KN17" s="547"/>
      <c r="KO17" s="550"/>
      <c r="KP17" s="545"/>
      <c r="KQ17" s="551"/>
      <c r="KR17" s="546"/>
      <c r="KS17" s="552"/>
      <c r="KT17" s="548"/>
      <c r="KU17" s="547"/>
      <c r="KV17" s="547"/>
      <c r="KW17" s="553"/>
      <c r="KX17" s="643"/>
      <c r="KY17" s="544"/>
      <c r="KZ17" s="544"/>
      <c r="LA17" s="545"/>
      <c r="LB17" s="546"/>
      <c r="LC17" s="546"/>
      <c r="LD17" s="547"/>
      <c r="LE17" s="548"/>
      <c r="LF17" s="547"/>
      <c r="LG17" s="547"/>
      <c r="LH17" s="550"/>
      <c r="LI17" s="545"/>
      <c r="LJ17" s="545"/>
      <c r="LK17" s="546"/>
      <c r="LL17" s="552"/>
      <c r="LM17" s="551"/>
      <c r="LN17" s="547"/>
      <c r="LO17" s="547"/>
      <c r="LP17" s="553"/>
      <c r="LQ17" s="643"/>
      <c r="LR17" s="544"/>
      <c r="LS17" s="544"/>
      <c r="LT17" s="545"/>
      <c r="LU17" s="546"/>
      <c r="LV17" s="546"/>
      <c r="LW17" s="547"/>
      <c r="LX17" s="548"/>
      <c r="LY17" s="547"/>
      <c r="LZ17" s="547"/>
      <c r="MA17" s="550"/>
      <c r="MB17" s="545"/>
      <c r="MC17" s="545"/>
      <c r="MD17" s="546"/>
      <c r="ME17" s="552"/>
      <c r="MF17" s="551"/>
      <c r="MG17" s="547"/>
      <c r="MH17" s="547"/>
      <c r="MI17" s="553"/>
      <c r="MJ17" s="646"/>
      <c r="MK17" s="625"/>
      <c r="ML17" s="545"/>
      <c r="MM17" s="545"/>
      <c r="MN17" s="545"/>
      <c r="MO17" s="626"/>
      <c r="MP17" s="545"/>
      <c r="MQ17" s="545"/>
      <c r="MR17" s="545"/>
      <c r="MS17" s="544"/>
      <c r="MT17" s="544"/>
      <c r="MU17" s="544"/>
      <c r="MV17" s="544"/>
      <c r="MW17" s="544"/>
      <c r="MX17" s="544"/>
      <c r="MY17" s="545"/>
      <c r="MZ17" s="545"/>
      <c r="NA17" s="545"/>
      <c r="NB17" s="548"/>
      <c r="NC17" s="548"/>
      <c r="ND17" s="551"/>
      <c r="NE17" s="547"/>
      <c r="NF17" s="545"/>
      <c r="NG17" s="545"/>
      <c r="NH17" s="548" t="str">
        <f t="shared" ref="NH17:NH100" si="107">"ks"</f>
        <v>ks</v>
      </c>
      <c r="NI17" s="554">
        <f>RZ[[#This Row],[Počet ks (K)]]</f>
        <v>0</v>
      </c>
      <c r="NJ17" s="551">
        <f>RZ[[#This Row],[Hmotnost '[kg/ks'] (K)]]</f>
        <v>0</v>
      </c>
      <c r="NK17" s="547"/>
      <c r="NL17" s="548"/>
      <c r="NM17" s="547"/>
      <c r="NN17" s="547"/>
      <c r="NO17" s="550"/>
      <c r="NP17" s="545"/>
      <c r="NQ17" s="545"/>
      <c r="NR17" s="551"/>
      <c r="NS17" s="547"/>
      <c r="NT17" s="551"/>
      <c r="NU17" s="547"/>
      <c r="NV17" s="547"/>
      <c r="NW17" s="553"/>
    </row>
    <row r="18" spans="2:387" ht="15.95" customHeight="1" thickBot="1" x14ac:dyDescent="0.4">
      <c r="B18" s="118" t="str">
        <f t="shared" si="1"/>
        <v/>
      </c>
      <c r="C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8" s="262" t="str">
        <f t="shared" si="2"/>
        <v>Rotační výklopník</v>
      </c>
      <c r="E18" s="12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Row],[Kód položek (P2)]]))))))))))</f>
        <v>-</v>
      </c>
      <c r="F18" s="122" t="str">
        <f t="shared" si="3"/>
        <v>N/A</v>
      </c>
      <c r="G18" s="121" t="str">
        <f t="shared" si="4"/>
        <v/>
      </c>
      <c r="H18" s="122" t="str">
        <f t="shared" si="5"/>
        <v/>
      </c>
      <c r="I18" s="123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HR '[MJHR'] (P0)]]))))))))))</f>
        <v>sest</v>
      </c>
      <c r="J18" s="123">
        <f t="shared" si="6"/>
        <v>1</v>
      </c>
      <c r="K18" s="151">
        <f>RZ[[#This Row],[Koeficient odhadu HR '[-'] (P1)]]</f>
        <v>1</v>
      </c>
      <c r="L18" s="124">
        <f ca="1">RZ[[#This Row],[Jednotková hmotnost s koef. '[kg/MJHR'] (P0)]]</f>
        <v>143873.86199999999</v>
      </c>
      <c r="M18" s="124">
        <f t="shared" ca="1" si="7"/>
        <v>0</v>
      </c>
      <c r="N18" s="125">
        <f t="shared" ca="1" si="8"/>
        <v>143873.86199999999</v>
      </c>
      <c r="O18" s="125">
        <f t="shared" ca="1" si="9"/>
        <v>0</v>
      </c>
      <c r="P18" s="328" t="str">
        <f t="shared" si="10"/>
        <v/>
      </c>
      <c r="Q18" s="743">
        <f ca="1">RZ[[#This Row],[Počet MJHR v rozpadu (P0)]]</f>
        <v>1</v>
      </c>
      <c r="R18" s="439" t="str">
        <f t="shared" si="11"/>
        <v/>
      </c>
      <c r="S18" s="129" t="str">
        <f t="shared" si="12"/>
        <v/>
      </c>
      <c r="T18" s="130" t="str">
        <f t="shared" si="13"/>
        <v/>
      </c>
      <c r="U18" s="126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CR (MJCR) (P0)]]))))))))))</f>
        <v>sest</v>
      </c>
      <c r="V18" s="575">
        <f t="shared" ca="1" si="14"/>
        <v>1</v>
      </c>
      <c r="W18" s="322">
        <f>RZ[[#This Row],[Koeficient odhadu CR '[-'] (P1)]]</f>
        <v>1</v>
      </c>
      <c r="X18" s="44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Row],[Jednotková cena bez DPH '[cena/MJCR'] (P1)]]*RZ[[#This Row],[Koeficient odhadu CR '[-']]]))))))))))</f>
        <v>-</v>
      </c>
      <c r="Y18" s="440">
        <f ca="1">IF(ISNUMBER(X18),-X18/W18*(W18-1),0)</f>
        <v>0</v>
      </c>
      <c r="Z18" s="142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VLOOKUP(IP18,$BR$7:$BS$11,2,FALSE)))))))))))</f>
        <v>-</v>
      </c>
      <c r="AA18" s="811">
        <f t="shared" ca="1" si="16"/>
        <v>1</v>
      </c>
      <c r="AB18" s="814">
        <f ca="1">RZ[[#This Row],[Kumulovaný koeficient v rozpadu (P0)]]</f>
        <v>1</v>
      </c>
      <c r="AC18" s="260"/>
      <c r="AD18" s="510">
        <f ca="1">RZ[[#This Row],[Jednotková cena bez DPH '[cena/MJCR'] s koef. (P0)]]/RZ[[#This Row],[Koeficient odhadu CR '[-']]]*RZ[[#This Row],[Kumulovaný koeficient odhadu CR  '[-']]]</f>
        <v>32418584.280000001</v>
      </c>
      <c r="AE18" s="511">
        <f t="shared" ca="1" si="17"/>
        <v>32418584.280000001</v>
      </c>
      <c r="AF18" s="512">
        <f ca="1">-IF(ISNUMBER(AA18),RZ[[#This Row],[Celková cena bez DPH (1)]]-RZ[[#This Row],[Jednotková cena bez DPH '[cena/MJCR'] bez koef. (P0)]]*AA18,0)</f>
        <v>-97000</v>
      </c>
      <c r="AG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225.32643406764186</v>
      </c>
      <c r="AH18" s="261"/>
      <c r="AI18" s="510">
        <f t="shared" ca="1" si="18"/>
        <v>1200688.3066666666</v>
      </c>
      <c r="AJ18" s="511">
        <f t="shared" ca="1" si="19"/>
        <v>1200688.3066666666</v>
      </c>
      <c r="AK18" s="512">
        <f t="shared" ca="1" si="20"/>
        <v>-3592.5925925925926</v>
      </c>
      <c r="AL18" s="753">
        <f ca="1">RZ[[#This Row],[Kilogramová cena bez DPH '[cena/kg'] (1)]]/$AK$13</f>
        <v>8.3454234839867354</v>
      </c>
      <c r="AM18" s="261"/>
      <c r="AN18" s="510">
        <f t="shared" ca="1" si="21"/>
        <v>1566115.1826086957</v>
      </c>
      <c r="AO18" s="511">
        <f t="shared" ca="1" si="22"/>
        <v>1566115.1826086957</v>
      </c>
      <c r="AP18" s="512">
        <f t="shared" ca="1" si="23"/>
        <v>-4685.9903381642516</v>
      </c>
      <c r="AQ18" s="753">
        <f ca="1">RZ[[#This Row],[Kilogramová cena bez DPH '[cena/kg'] (1)]]/$AP$13</f>
        <v>10.885334979113134</v>
      </c>
      <c r="AR18" s="261"/>
      <c r="AS18" s="510">
        <f t="shared" ca="1" si="24"/>
        <v>886722.76477024064</v>
      </c>
      <c r="AT18" s="511">
        <f t="shared" ca="1" si="25"/>
        <v>886722.76477024064</v>
      </c>
      <c r="AU18" s="511">
        <f t="shared" ca="1" si="26"/>
        <v>-2653.1728665207875</v>
      </c>
      <c r="AV18" s="767">
        <f ca="1">RZ[[#This Row],[Kilogramová cena bez DPH '[cena/kg'] (1)]]/$AU$13</f>
        <v>6.1631956801871404</v>
      </c>
      <c r="AW18" s="165"/>
      <c r="AX18" s="110">
        <f t="shared" ca="1" si="27"/>
        <v>2</v>
      </c>
      <c r="AY18" s="55">
        <f t="shared" ca="1" si="28"/>
        <v>0</v>
      </c>
      <c r="AZ18" s="111">
        <f t="shared" ca="1" si="29"/>
        <v>0</v>
      </c>
      <c r="BA18" s="111">
        <f t="shared" ca="1" si="30"/>
        <v>0</v>
      </c>
      <c r="BB18" s="111">
        <f t="shared" ca="1" si="31"/>
        <v>0</v>
      </c>
      <c r="BC18" s="111">
        <f t="shared" ca="1" si="32"/>
        <v>0</v>
      </c>
      <c r="BD18" s="111">
        <f t="shared" ca="1" si="33"/>
        <v>0</v>
      </c>
      <c r="BE18" s="111">
        <f ca="1">IF($BO18=0,IF(BF18&gt;0,OFFSET(BE18,-1,0,1,1),0),OFFSET(BE18,-1,0,1,1)+1)</f>
        <v>0</v>
      </c>
      <c r="BF18" s="111">
        <f t="shared" ca="1" si="34"/>
        <v>0</v>
      </c>
      <c r="BG18" s="112">
        <f t="shared" ca="1" si="35"/>
        <v>0</v>
      </c>
      <c r="BH18" s="110">
        <f t="shared" si="36"/>
        <v>1</v>
      </c>
      <c r="BI18" s="55">
        <f t="shared" si="36"/>
        <v>0</v>
      </c>
      <c r="BJ18" s="55">
        <f t="shared" si="36"/>
        <v>0</v>
      </c>
      <c r="BK18" s="111">
        <f t="shared" si="36"/>
        <v>0</v>
      </c>
      <c r="BL18" s="111">
        <f t="shared" si="36"/>
        <v>0</v>
      </c>
      <c r="BM18" s="111">
        <f t="shared" si="36"/>
        <v>0</v>
      </c>
      <c r="BN18" s="111">
        <f t="shared" si="36"/>
        <v>0</v>
      </c>
      <c r="BO18" s="111">
        <f t="shared" si="36"/>
        <v>0</v>
      </c>
      <c r="BP18" s="111">
        <f t="shared" si="36"/>
        <v>0</v>
      </c>
      <c r="BQ18" s="112">
        <f t="shared" si="36"/>
        <v>0</v>
      </c>
      <c r="BR18" s="186">
        <f ca="1">IF(OFFSET(AY18,1,0,1,1)&lt;&gt;0,RZ[[#This Row],[Koeficient odhadu HR '[-'] (P1)]]*$BH18*SUMIFS(RZ[Úroveň 2 s koef. (P2)],RZ[0],AX18),RZ[[#This Row],[Koeficient odhadu HR '[-'] (P1)]]*$BH18*$IG18)</f>
        <v>143873.86199999999</v>
      </c>
      <c r="BS18" s="186">
        <f ca="1">IF(OFFSET(AY18,1,0,1,1)&lt;&gt;0,$BH18*SUMIFS(RZ[Úroveň 2 bez koef. (P2)],RZ[0],AX18),$BH18*$IG18)</f>
        <v>143873.86199999999</v>
      </c>
      <c r="BT18" s="138">
        <f ca="1">RZ[[#This Row],[Úroveň 2 s koef. (P2a)]]*RZ[[#This Row],[Počet MJHR (P0)]]</f>
        <v>0</v>
      </c>
      <c r="BU18" s="138">
        <f ca="1">RZ[[#This Row],[Úroveň 2 bez koef. (P2a)]]*RZ[[#This Row],[Počet MJHR (P0)]]</f>
        <v>0</v>
      </c>
      <c r="BV18" s="138">
        <f ca="1">IF(OFFSET(AZ18,1,0,1,1)&lt;&gt;0,RZ[[#This Row],[Koeficient odhadu HR '[-'] (P1)]]*$BI18*SUMIFS(RZ[Úroveň 3 s koef. (P2)],RZ[0],AX18,RZ[Úroveň 2 (P0)],AY18),RZ[[#This Row],[Koeficient odhadu HR '[-'] (P1)]]*$BI18*$IG18)</f>
        <v>0</v>
      </c>
      <c r="BW18" s="138">
        <f ca="1">IF(OFFSET(AZ18,1,0,1,1)&lt;&gt;0,$BI18*SUMIFS(RZ[Úroveň 3 bez koef. (P2)],RZ[0],AX18,RZ[Úroveň 2 (P0)],AY18),$BI18*$IG18)</f>
        <v>0</v>
      </c>
      <c r="BX18" s="132">
        <f ca="1">RZ[[#This Row],[Úroveň 3 s koef. (P2a)]]*RZ[[#This Row],[Počet MJHR (P0)]]</f>
        <v>0</v>
      </c>
      <c r="BY18" s="132">
        <f ca="1">RZ[Úroveň 3 bez koef. (P2a)]*RZ[[#This Row],[Počet MJHR (P0)]]</f>
        <v>0</v>
      </c>
      <c r="BZ18" s="132">
        <f ca="1">IF(OFFSET(BA18,1,0,1,1)&lt;&gt;0,RZ[[#This Row],[Koeficient odhadu HR '[-'] (P1)]]*$BJ18*SUMIFS(RZ[Úroveň 4 s koef. (P2)],RZ[0],AX18,RZ[Úroveň 2 (P0)],AY18,RZ[Úroveň 3 (P0)],AZ18),RZ[[#This Row],[Koeficient odhadu HR '[-'] (P1)]]*$BJ18*$IG18)</f>
        <v>0</v>
      </c>
      <c r="CA18" s="132">
        <f ca="1">IF(OFFSET(BA18,1,0,1,1)&lt;&gt;0,$BJ18*SUMIFS(RZ[Úroveň 4 bez koef. (P2)],RZ[0],AX18,RZ[Úroveň 2 (P0)],AY18,RZ[Úroveň 3 (P0)],AZ18),$BJ18*$IG18)</f>
        <v>0</v>
      </c>
      <c r="CB18" s="138">
        <f ca="1">RZ[[#This Row],[Úroveň 4 s koef. (P2a)]]*RZ[[#This Row],[Počet MJHR (P0)]]</f>
        <v>0</v>
      </c>
      <c r="CC18" s="138">
        <f ca="1">RZ[Úroveň 4 bez koef. (P2a)]*RZ[[#This Row],[Počet MJHR (P0)]]</f>
        <v>0</v>
      </c>
      <c r="CD18" s="138">
        <f ca="1">IF(OFFSET(BB18,1,0,1,1)&lt;&gt;0,RZ[[#This Row],[Koeficient odhadu HR '[-'] (P1)]]*$BK18*SUMIFS(RZ[Úroveň 5 s koef. (P2)],RZ[0],AX18,RZ[Úroveň 2 (P0)],AY18,RZ[Úroveň 3 (P0)],AZ18,RZ[Úroveň 4 (P0)],BA18),RZ[[#This Row],[Koeficient odhadu HR '[-'] (P1)]]*$BK18*$IG18)</f>
        <v>0</v>
      </c>
      <c r="CE18" s="138">
        <f ca="1">IF(OFFSET(BB18,1,0,1,1)&lt;&gt;0,$BK18*SUMIFS(RZ[Úroveň 5 bez koef. (P2)],RZ[0],AX18,RZ[Úroveň 2 (P0)],AY18,RZ[Úroveň 3 (P0)],AZ18,RZ[Úroveň 4 (P0)],BA18),$BK18*$IG18)</f>
        <v>0</v>
      </c>
      <c r="CF18" s="132">
        <f ca="1">RZ[[#This Row],[Úroveň 5 s koef. (P2a)]]*RZ[[#This Row],[Počet MJHR (P0)]]</f>
        <v>0</v>
      </c>
      <c r="CG18" s="132">
        <f ca="1">RZ[Úroveň 5 bez koef. (P2a)]*RZ[[#This Row],[Počet MJHR (P0)]]</f>
        <v>0</v>
      </c>
      <c r="CH18" s="132">
        <f ca="1">IF(OFFSET(BC18,1,0,1,1)&lt;&gt;0,RZ[[#This Row],[Koeficient odhadu HR '[-'] (P1)]]*$BL18*SUMIFS(RZ[Úroveň 6 s koef. (P2)],RZ[0],AX18,RZ[Úroveň 2 (P0)],AY18,RZ[Úroveň 3 (P0)],AZ18,RZ[Úroveň 4 (P0)],BA18,RZ[Úroveň 5 (P0)],BB18),RZ[[#This Row],[Koeficient odhadu HR '[-'] (P1)]]*$BL18*$IG18)</f>
        <v>0</v>
      </c>
      <c r="CI18" s="132">
        <f ca="1">IF(OFFSET(BC18,1,0,1,1)&lt;&gt;0,$BL18*SUMIFS(RZ[Úroveň 6 bez koef. (P2)],RZ[0],AX18,RZ[Úroveň 2 (P0)],AY18,RZ[Úroveň 3 (P0)],AZ18,RZ[Úroveň 4 (P0)],BA18,RZ[Úroveň 5 (P0)],BB18),$BL18*$IG18)</f>
        <v>0</v>
      </c>
      <c r="CJ18" s="138">
        <f ca="1">RZ[[#This Row],[Úroveň 6 s koef. (P2a)]]*RZ[[#This Row],[Počet MJHR (P0)]]</f>
        <v>0</v>
      </c>
      <c r="CK18" s="138">
        <f ca="1">RZ[Úroveň 6 bez koef. (P2a)]*RZ[[#This Row],[Počet MJHR (P0)]]</f>
        <v>0</v>
      </c>
      <c r="CL18" s="138">
        <f ca="1">IF(OFFSET(BD18,1,0,1,1)&lt;&gt;0,RZ[[#This Row],[Koeficient odhadu HR '[-'] (P1)]]*$BM18*SUMIFS(RZ[Úroveň 7 s koef. (P2)],RZ[0],AX18,RZ[Úroveň 2 (P0)],AY18,RZ[Úroveň 3 (P0)],AZ18,RZ[Úroveň 4 (P0)],BA18,RZ[Úroveň 5 (P0)],BB18,RZ[Úroveň 6 (P0)],BC18),RZ[[#This Row],[Koeficient odhadu HR '[-'] (P1)]]*$BM18*$IG18)</f>
        <v>0</v>
      </c>
      <c r="CM18" s="138">
        <f ca="1">IF(OFFSET(BD18,1,0,1,1)&lt;&gt;0,$BM18*SUMIFS(RZ[Úroveň 7 bez koef. (P2)],RZ[0],AX18,RZ[Úroveň 2 (P0)],AY18,RZ[Úroveň 3 (P0)],AZ18,RZ[Úroveň 4 (P0)],BA18,RZ[Úroveň 5 (P0)],BB18,RZ[Úroveň 6 (P0)],BC18),$BM18*$IG18)</f>
        <v>0</v>
      </c>
      <c r="CN18" s="132">
        <f ca="1">RZ[[#This Row],[Úroveň 7 s koef. (P2a)]]*RZ[[#This Row],[Počet MJHR (P0)]]</f>
        <v>0</v>
      </c>
      <c r="CO18" s="132">
        <f ca="1">RZ[Úroveň 7 bez koef. (P2a)]*RZ[[#This Row],[Počet MJHR (P0)]]</f>
        <v>0</v>
      </c>
      <c r="CP18" s="132">
        <f ca="1">IF(OFFSET(BE18,1,0,1,1)&lt;&gt;0,RZ[[#This Row],[Koeficient odhadu HR '[-'] (P1)]]*$BN18*SUMIFS(RZ[Úroveň 8 s koef. (P2)],RZ[0],AX18,RZ[Úroveň 2 (P0)],AY18,RZ[Úroveň 3 (P0)],AZ18,RZ[Úroveň 4 (P0)],BA18,RZ[Úroveň 5 (P0)],BB18,RZ[Úroveň 6 (P0)],BC18,RZ[Úroveň 7 (P0)],BD18),RZ[[#This Row],[Koeficient odhadu HR '[-'] (P1)]]*$BN18*$IG18)</f>
        <v>0</v>
      </c>
      <c r="CQ18" s="132">
        <f ca="1">IF(OFFSET(BE18,1,0,1,1)&lt;&gt;0,$BN18*SUMIFS(RZ[Úroveň 8 bez koef. (P2)],RZ[0],AX18,RZ[Úroveň 2 (P0)],AY18,RZ[Úroveň 3 (P0)],AZ18,RZ[Úroveň 4 (P0)],BA18,RZ[Úroveň 5 (P0)],BB18,RZ[Úroveň 6 (P0)],BC18,RZ[Úroveň 7 (P0)],BD18),$BN18*$IG18)</f>
        <v>0</v>
      </c>
      <c r="CR18" s="138">
        <f ca="1">RZ[[#This Row],[Úroveň 8 s koef. (P2a)]]*RZ[[#This Row],[Počet MJHR (P0)]]</f>
        <v>0</v>
      </c>
      <c r="CS18" s="138">
        <f ca="1">RZ[Úroveň 8 bez koef. (P2a)]*RZ[[#This Row],[Počet MJHR (P0)]]</f>
        <v>0</v>
      </c>
      <c r="CT18" s="138">
        <f ca="1">IF(OFFSET(BF18,1,0,1,1)&lt;&gt;0,RZ[[#This Row],[Koeficient odhadu HR '[-'] (P1)]]*$BO18*SUMIFS(RZ[Úroveň 9 s koef. (P2)],RZ[0],AX18,RZ[Úroveň 2 (P0)],AY18,RZ[Úroveň 3 (P0)],AZ18,RZ[Úroveň 4 (P0)],BA18,RZ[Úroveň 5 (P0)],BB18,RZ[Úroveň 6 (P0)],BC18,RZ[Úroveň 7 (P0)],BD18,RZ[Úroveň 8 (P0)],BE18),RZ[[#This Row],[Koeficient odhadu HR '[-'] (P1)]]*$BO18*$IG18)</f>
        <v>0</v>
      </c>
      <c r="CU18" s="138">
        <f ca="1">IF(OFFSET(BF18,1,0,1,1)&lt;&gt;0,$BO18*SUMIFS(RZ[Úroveň 9 bez koef. (P2)],RZ[0],AX18,RZ[Úroveň 2 (P0)],AY18,RZ[Úroveň 3 (P0)],AZ18,RZ[Úroveň 4 (P0)],BA18,RZ[Úroveň 5 (P0)],BB18,RZ[Úroveň 6 (P0)],BC18,RZ[Úroveň 7 (P0)],BD18,RZ[Úroveň 8 (P0)],BE18),$BO18*$IG18)</f>
        <v>0</v>
      </c>
      <c r="CV18" s="132">
        <f ca="1">RZ[[#This Row],[Úroveň 9 s koef. (P2a)]]*RZ[[#This Row],[Počet MJHR (P0)]]</f>
        <v>0</v>
      </c>
      <c r="CW18" s="132">
        <f ca="1">RZ[Úroveň 9 bez koef. (P2a)]*RZ[[#This Row],[Počet MJHR (P0)]]</f>
        <v>0</v>
      </c>
      <c r="CX18" s="132">
        <f ca="1">IF(OFFSET(BG18,1,0,1,1)&lt;&gt;0,RZ[[#This Row],[Koeficient odhadu HR '[-'] (P1)]]*$BP18*SUMIFS(RZ[Úroveň 10 s koef. (P2)],RZ[0],AX18,RZ[Úroveň 2 (P0)],AY18,RZ[Úroveň 3 (P0)],AZ18,RZ[Úroveň 4 (P0)],BA18,RZ[Úroveň 5 (P0)],BB18,RZ[Úroveň 6 (P0)],BC18,RZ[Úroveň 7 (P0)],BD18,RZ[Úroveň 8 (P0)],BE18,RZ[Úroveň 9 (P0)],BF18),RZ[[#This Row],[Koeficient odhadu HR '[-'] (P1)]]*$BP18*$IG18)</f>
        <v>0</v>
      </c>
      <c r="CY18" s="132">
        <f ca="1">IF(OFFSET(BG18,1,0,1,1)&lt;&gt;0,$BP18*SUMIFS(RZ[Úroveň 10 bez koef. (P2)],RZ[0],AX18,RZ[Úroveň 2 (P0)],AY18,RZ[Úroveň 3 (P0)],AZ18,RZ[Úroveň 4 (P0)],BA18,RZ[Úroveň 5 (P0)],BB18,RZ[Úroveň 6 (P0)],BC18,RZ[Úroveň 7 (P0)],BD18,RZ[Úroveň 8 (P0)],BE18,RZ[Úroveň 9 (P0)],BF18),$BP18*$IG18)</f>
        <v>0</v>
      </c>
      <c r="CZ18" s="138">
        <f>RZ[[#This Row],[Úroveň 10 s koef. (P2a)]]*RZ[[#This Row],[Počet MJHR (P0)]]</f>
        <v>0</v>
      </c>
      <c r="DA18" s="138">
        <f>RZ[Úroveň 10 bez koef. (P2a)]*RZ[[#This Row],[Počet MJHR (P0)]]</f>
        <v>0</v>
      </c>
      <c r="DB18" s="138">
        <f>RZ[[#This Row],[Koeficient odhadu HR '[-'] (P1)]]*$BQ18*IG18</f>
        <v>0</v>
      </c>
      <c r="DC18" s="231">
        <f t="shared" si="37"/>
        <v>0</v>
      </c>
      <c r="DD18" s="241">
        <f t="shared" ca="1" si="38"/>
        <v>143873.86199999999</v>
      </c>
      <c r="DE18" s="229">
        <f t="shared" ca="1" si="39"/>
        <v>143873.86199999999</v>
      </c>
      <c r="DF18" s="521">
        <f t="shared" si="40"/>
        <v>1</v>
      </c>
      <c r="DG18" s="522">
        <f t="shared" si="41"/>
        <v>0</v>
      </c>
      <c r="DH18" s="522">
        <f t="shared" si="42"/>
        <v>0</v>
      </c>
      <c r="DI18" s="523">
        <f t="shared" si="43"/>
        <v>0</v>
      </c>
      <c r="DJ18" s="524">
        <f t="shared" si="44"/>
        <v>0</v>
      </c>
      <c r="DK18" s="524">
        <f t="shared" si="45"/>
        <v>0</v>
      </c>
      <c r="DL18" s="524">
        <f t="shared" si="46"/>
        <v>0</v>
      </c>
      <c r="DM18" s="524">
        <f t="shared" si="47"/>
        <v>0</v>
      </c>
      <c r="DN18" s="524">
        <f t="shared" si="48"/>
        <v>0</v>
      </c>
      <c r="DO18" s="523">
        <f t="shared" si="49"/>
        <v>0</v>
      </c>
      <c r="DP18" s="525">
        <f ca="1">SUMIFS(RZ[Úroveň 1 (P4)],RZ[0],AX18)</f>
        <v>1</v>
      </c>
      <c r="DQ18" s="525">
        <f ca="1">SUMIFS(RZ[Úroveň 2 (P4)],RZ[0],AX18,RZ[Úroveň 2 (P0)],AY18)</f>
        <v>0</v>
      </c>
      <c r="DR18" s="525">
        <f ca="1">SUMIFS(RZ[Úroveň 3 (P4)],RZ[0],AX18,RZ[Úroveň 2 (P0)],AY18,RZ[Úroveň 3 (P0)],AZ18)</f>
        <v>0</v>
      </c>
      <c r="DS18" s="525">
        <f ca="1">SUMIFS(RZ[Úroveň 4 (P4)],RZ[0],AX18,RZ[Úroveň 2 (P0)],AY18,RZ[Úroveň 3 (P0)],AZ18,RZ[Úroveň 4 (P0)],BA18)</f>
        <v>0</v>
      </c>
      <c r="DT18" s="526">
        <f ca="1">SUMIFS(RZ[Úroveň 5 (P4)],RZ[0],AX18,RZ[Úroveň 2 (P0)],AY18,RZ[Úroveň 3 (P0)],AZ18,RZ[Úroveň 4 (P0)],BA18,RZ[Úroveň 5 (P0)],BB18)</f>
        <v>0</v>
      </c>
      <c r="DU18" s="526">
        <f ca="1">SUMIFS(RZ[Úroveň 6 (P4)],RZ[0],AX18,RZ[Úroveň 2 (P0)],AY18,RZ[Úroveň 3 (P0)],AZ18,RZ[Úroveň 4 (P0)],BA18,RZ[Úroveň 5 (P0)],BB18,RZ[Úroveň 6 (P0)],BC18)</f>
        <v>0</v>
      </c>
      <c r="DV18" s="526">
        <f ca="1">SUMIFS(RZ[Úroveň 7 (P4)],RZ[0],AX18,RZ[Úroveň 2 (P0)],AY18,RZ[Úroveň 3 (P0)],AZ18,RZ[Úroveň 4 (P0)],BA18,RZ[Úroveň 5 (P0)],BB18,RZ[Úroveň 6 (P0)],BC18,RZ[Úroveň 7 (P0)],BD18)</f>
        <v>0</v>
      </c>
      <c r="DW18" s="526">
        <f ca="1">SUMIFS(RZ[Úroveň 8 (P4)],RZ[0],AX18,RZ[Úroveň 2 (P0)],AY18,RZ[Úroveň 3 (P0)],AZ18,RZ[Úroveň 4 (P0)],BA18,RZ[Úroveň 5 (P0)],BB18,RZ[Úroveň 6 (P0)],BC18,RZ[Úroveň 7 (P0)],BD18,RZ[Úroveň 8 (P0)],BE18)</f>
        <v>0</v>
      </c>
      <c r="DX18" s="526">
        <f ca="1">SUMIFS(RZ[Úroveň 9 (P4)],RZ[0],AX18,RZ[Úroveň 2 (P0)],AY18,RZ[Úroveň 3 (P0)],AZ18,RZ[Úroveň 4 (P0)],BA18,RZ[Úroveň 5 (P0)],BB18,RZ[Úroveň 6 (P0)],BC18,RZ[Úroveň 7 (P0)],BD18,RZ[Úroveň 8 (P0)],BE18,RZ[Úroveň 9 (P0)],BF18)</f>
        <v>0</v>
      </c>
      <c r="DY18" s="526">
        <f ca="1">SUMIFS(RZ[Úroveň 10 (P4)],RZ[0],AX18,RZ[Úroveň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DZ18" s="527">
        <f t="shared" ca="1" si="50"/>
        <v>1</v>
      </c>
      <c r="EA18" s="528">
        <f ca="1">RZ[[#This Row],[Jednotková hmotnost bez koef. '[kg/MJHR'] (P0)]]*RZ[[#This Row],[Počet MJHR v rozpadu (P0)]]</f>
        <v>143873.86199999999</v>
      </c>
      <c r="EB18" s="191">
        <f ca="1">IF(OFFSET(AY18,1,0,1,1)&lt;&gt;0,RZ[[#This Row],[Koeficient odhadu CR '[-'] (P1)]]*$BH18*SUMIFS(RZ[Úroveň 2 s koef. (P3)],RZ[0],AX18),RZ[[#This Row],[Koeficient odhadu CR '[-'] (P1)]]*$BH18*$IQ18)</f>
        <v>32418584.280000001</v>
      </c>
      <c r="EC18" s="191">
        <f ca="1">IF(OFFSET(AY18,1,0,1,1)&lt;&gt;0,$BH18*SUMIFS(RZ[Úroveň 2 bez koef. (P3)],RZ[0],AX18),$BH18*$IQ18)</f>
        <v>32321584.280000001</v>
      </c>
      <c r="ED18" s="140">
        <f ca="1">RZ[[#This Row],[Úroveň 2 s koef. (P3a)]]*RZ[[#This Row],[Počet MJCR (P0) pro "kg"]]</f>
        <v>0</v>
      </c>
      <c r="EE18" s="140">
        <f ca="1">RZ[Úroveň 2 bez koef. (P3a)]*RZ[[#This Row],[Počet MJCR (P0) pro "kg"]]</f>
        <v>0</v>
      </c>
      <c r="EF18" s="140">
        <f ca="1">IF(OFFSET(AZ18,1,0,1,1)&lt;&gt;0,RZ[[#This Row],[Koeficient odhadu CR '[-'] (P1)]]*$BI18*SUMIFS(RZ[Úroveň 3 s koef. (P3)],RZ[0],AX18,RZ[Úroveň 2 (P0)],AY18),RZ[[#This Row],[Koeficient odhadu CR '[-'] (P1)]]*$BI18*$IQ18)</f>
        <v>0</v>
      </c>
      <c r="EG18" s="140">
        <f ca="1">IF(OFFSET(AZ18,1,0,1,1)&lt;&gt;0,$BI18*SUMIFS(RZ[Úroveň 3 bez koef. (P3)],RZ[0],AX18,RZ[Úroveň 2 (P0)],AY18),$BI18*$IQ18)</f>
        <v>0</v>
      </c>
      <c r="EH18" s="135">
        <f ca="1">RZ[[#This Row],[Úroveň 3 s koef. (P3a)]]*RZ[[#This Row],[Počet MJCR (P0) pro "kg"]]</f>
        <v>0</v>
      </c>
      <c r="EI18" s="135">
        <f ca="1">RZ[Úroveň 3 bez koef. (P3a)]*RZ[[#This Row],[Počet MJCR (P0) pro "kg"]]</f>
        <v>0</v>
      </c>
      <c r="EJ18" s="135">
        <f ca="1">IF(OFFSET(BA18,1,0,1,1)&lt;&gt;0,RZ[[#This Row],[Koeficient odhadu CR '[-'] (P1)]]*$BJ18*SUMIFS(RZ[Úroveň 4 s koef. (P3)],RZ[0],AX18,RZ[Úroveň 2 (P0)],AY18,RZ[Úroveň 3 (P0)],AZ18),RZ[[#This Row],[Koeficient odhadu CR '[-'] (P1)]]*$BJ18*$IQ18)</f>
        <v>0</v>
      </c>
      <c r="EK18" s="135">
        <f ca="1">IF(OFFSET(BA18,1,0,1,1)&lt;&gt;0,$BJ18*SUMIFS(RZ[Úroveň 4 bez koef. (P3)],RZ[0],AX18,RZ[Úroveň 2 (P0)],AY18,RZ[Úroveň 3 (P0)],AZ18),$BJ18*$IQ18)</f>
        <v>0</v>
      </c>
      <c r="EL18" s="140">
        <f ca="1">RZ[[#This Row],[Úroveň 4 s koef. (P3a)]]*RZ[[#This Row],[Počet MJCR (P0) pro "kg"]]</f>
        <v>0</v>
      </c>
      <c r="EM18" s="140">
        <f ca="1">RZ[Úroveň 4 bez koef. (P3a)]*RZ[[#This Row],[Počet MJCR (P0) pro "kg"]]</f>
        <v>0</v>
      </c>
      <c r="EN18" s="140">
        <f ca="1">IF(OFFSET(BB18,1,0,1,1)&lt;&gt;0,RZ[[#This Row],[Koeficient odhadu CR '[-'] (P1)]]*$BK18*SUMIFS(RZ[Úroveň 5 s koef. (P3)],RZ[0],AX18,RZ[Úroveň 2 (P0)],AY18,RZ[Úroveň 3 (P0)],AZ18,RZ[Úroveň 4 (P0)],BA18),RZ[[#This Row],[Koeficient odhadu CR '[-'] (P1)]]*$BK18*$IQ18)</f>
        <v>0</v>
      </c>
      <c r="EO18" s="140">
        <f ca="1">IF(OFFSET(BB18,1,0,1,1)&lt;&gt;0,$BK18*SUMIFS(RZ[Úroveň 5 bez koef. (P3)],RZ[0],AX18,RZ[Úroveň 2 (P0)],AY18,RZ[Úroveň 3 (P0)],AZ18,RZ[Úroveň 4 (P0)],BA18),$BK18*$IQ18)</f>
        <v>0</v>
      </c>
      <c r="EP18" s="135">
        <f ca="1">RZ[[#This Row],[Úroveň 5 s koef. (P3a)]]*RZ[[#This Row],[Počet MJCR (P0) pro "kg"]]</f>
        <v>0</v>
      </c>
      <c r="EQ18" s="135">
        <f ca="1">RZ[Úroveň 5 bez koef. (P3a)]*RZ[[#This Row],[Počet MJCR (P0) pro "kg"]]</f>
        <v>0</v>
      </c>
      <c r="ER18" s="135">
        <f ca="1">IF(OFFSET(BC18,1,0,1,1)&lt;&gt;0,RZ[[#This Row],[Koeficient odhadu CR '[-'] (P1)]]*$BL18*SUMIFS(RZ[Úroveň 6 s koef. (P3)],RZ[0],AX18,RZ[Úroveň 2 (P0)],AY18,RZ[Úroveň 3 (P0)],AZ18,RZ[Úroveň 4 (P0)],BA18,RZ[Úroveň 5 (P0)],BB18),RZ[[#This Row],[Koeficient odhadu CR '[-'] (P1)]]*$BL18*$IQ18)</f>
        <v>0</v>
      </c>
      <c r="ES18" s="135">
        <f ca="1">IF(OFFSET(BC18,1,0,1,1)&lt;&gt;0,$BL18*SUMIFS(RZ[Úroveň 6 bez koef. (P3)],RZ[0],AX18,RZ[Úroveň 2 (P0)],AY18,RZ[Úroveň 3 (P0)],AZ18,RZ[Úroveň 4 (P0)],BA18,RZ[Úroveň 5 (P0)],BB18),$BL18*$IQ18)</f>
        <v>0</v>
      </c>
      <c r="ET18" s="140">
        <f ca="1">RZ[[#This Row],[Úroveň 6 s koef. (P3a)]]*RZ[[#This Row],[Počet MJCR (P0) pro "kg"]]</f>
        <v>0</v>
      </c>
      <c r="EU18" s="140">
        <f ca="1">RZ[Úroveň 6 bez koef. (P3a)]*RZ[[#This Row],[Počet MJCR (P0) pro "kg"]]</f>
        <v>0</v>
      </c>
      <c r="EV18" s="140">
        <f ca="1">IF(OFFSET(BD18,1,0,1,1)&lt;&gt;0,RZ[[#This Row],[Koeficient odhadu CR '[-'] (P1)]]*$BM18*SUMIFS(RZ[Úroveň 7 s koef. (P3)],RZ[0],AX18,RZ[Úroveň 2 (P0)],AY18,RZ[Úroveň 3 (P0)],AZ18,RZ[Úroveň 4 (P0)],BA18,RZ[Úroveň 5 (P0)],BB18,RZ[Úroveň 6 (P0)],BC18),RZ[[#This Row],[Koeficient odhadu CR '[-'] (P1)]]*$BM18*$IQ18)</f>
        <v>0</v>
      </c>
      <c r="EW18" s="140">
        <f ca="1">IF(OFFSET(BD18,1,0,1,1)&lt;&gt;0,$BM18*SUMIFS(RZ[Úroveň 7 bez koef. (P3)],RZ[0],AX18,RZ[Úroveň 2 (P0)],AY18,RZ[Úroveň 3 (P0)],AZ18,RZ[Úroveň 4 (P0)],BA18,RZ[Úroveň 5 (P0)],BB18,RZ[Úroveň 6 (P0)],BC18),$BM18*$IQ18)</f>
        <v>0</v>
      </c>
      <c r="EX18" s="135">
        <f ca="1">RZ[[#This Row],[Úroveň 7 s koef. (P3a)]]*RZ[[#This Row],[Počet MJCR (P0) pro "kg"]]</f>
        <v>0</v>
      </c>
      <c r="EY18" s="135">
        <f ca="1">RZ[Úroveň 7 bez koef. (P3a)]*RZ[[#This Row],[Počet MJCR (P0) pro "kg"]]</f>
        <v>0</v>
      </c>
      <c r="EZ18" s="135">
        <f ca="1">IF(OFFSET(BE18,1,0,1,1)&lt;&gt;0,RZ[[#This Row],[Koeficient odhadu CR '[-'] (P1)]]*$BN18*SUMIFS(RZ[Úroveň 8 s koef. (P3)],RZ[0],AX18,RZ[Úroveň 2 (P0)],AY18,RZ[Úroveň 3 (P0)],AZ18,RZ[Úroveň 4 (P0)],BA18,RZ[Úroveň 5 (P0)],BB18,RZ[Úroveň 6 (P0)],BC18,RZ[Úroveň 7 (P0)],BD18),RZ[[#This Row],[Koeficient odhadu CR '[-'] (P1)]]*$BN18*$IQ18)</f>
        <v>0</v>
      </c>
      <c r="FA18" s="135">
        <f ca="1">IF(OFFSET(BE18,1,0,1,1)&lt;&gt;0,$BN18*SUMIFS(RZ[Úroveň 8 bez koef. (P3)],RZ[0],AX18,RZ[Úroveň 2 (P0)],AY18,RZ[Úroveň 3 (P0)],AZ18,RZ[Úroveň 4 (P0)],BA18,RZ[Úroveň 5 (P0)],BB18,RZ[Úroveň 6 (P0)],BC18,RZ[Úroveň 7 (P0)],BD18),$BN18*$IQ18)</f>
        <v>0</v>
      </c>
      <c r="FB18" s="140">
        <f ca="1">RZ[[#This Row],[Úroveň 8 s koef. (P3a)]]*RZ[[#This Row],[Počet MJCR (P0) pro "kg"]]</f>
        <v>0</v>
      </c>
      <c r="FC18" s="140">
        <f ca="1">RZ[Úroveň 8 bez koef. (P3a)]*RZ[[#This Row],[Počet MJCR (P0) pro "kg"]]</f>
        <v>0</v>
      </c>
      <c r="FD18" s="140">
        <f ca="1">IF(OFFSET(BF18,1,0,1,1)&lt;&gt;0,RZ[[#This Row],[Koeficient odhadu CR '[-'] (P1)]]*$BO18*SUMIFS(RZ[Úroveň 9 s koef. (P3)],RZ[0],AX18,RZ[Úroveň 2 (P0)],AY18,RZ[Úroveň 3 (P0)],AZ18,RZ[Úroveň 4 (P0)],BA18,RZ[Úroveň 5 (P0)],BB18,RZ[Úroveň 6 (P0)],BC18,RZ[Úroveň 7 (P0)],BD18,RZ[Úroveň 8 (P0)],BE18),RZ[[#This Row],[Koeficient odhadu CR '[-'] (P1)]]*$BO18*$IQ18)</f>
        <v>0</v>
      </c>
      <c r="FE18" s="140">
        <f ca="1">IF(OFFSET(BF18,1,0,1,1)&lt;&gt;0,$BO18*SUMIFS(RZ[Úroveň 9 bez koef. (P3)],RZ[0],AX18,RZ[Úroveň 2 (P0)],AY18,RZ[Úroveň 3 (P0)],AZ18,RZ[Úroveň 4 (P0)],BA18,RZ[Úroveň 5 (P0)],BB18,RZ[Úroveň 6 (P0)],BC18,RZ[Úroveň 7 (P0)],BD18,RZ[Úroveň 8 (P0)],BE18),$BO18*$IQ18)</f>
        <v>0</v>
      </c>
      <c r="FF18" s="135">
        <f ca="1">RZ[[#This Row],[Úroveň 9 s koef. (P3a)]]*RZ[[#This Row],[Počet MJCR (P0) pro "kg"]]</f>
        <v>0</v>
      </c>
      <c r="FG18" s="135">
        <f ca="1">RZ[Úroveň 9 bez koef. (P3a)]*RZ[[#This Row],[Počet MJCR (P0) pro "kg"]]</f>
        <v>0</v>
      </c>
      <c r="FH18" s="135">
        <f ca="1">IF(OFFSET(BG18,1,0,1,1)&lt;&gt;0,RZ[[#This Row],[Koeficient odhadu CR '[-'] (P1)]]*$BP18*SUMIFS(RZ[Úroveň 10 s koef. (P3)],RZ[0],AX18,RZ[Úroveň 2 (P0)],AY18,RZ[Úroveň 3 (P0)],AZ18,RZ[Úroveň 4 (P0)],BA18,RZ[Úroveň 5 (P0)],BB18,RZ[Úroveň 6 (P0)],BC18,RZ[Úroveň 7 (P0)],BD18,RZ[Úroveň 8 (P0)],BE18,RZ[Úroveň 9 (P0)],BF18),RZ[[#This Row],[Koeficient odhadu CR '[-'] (P1)]]*$BP18*$IQ18)</f>
        <v>0</v>
      </c>
      <c r="FI18" s="135">
        <f ca="1">IF(OFFSET(BG18,1,0,1,1)&lt;&gt;0,$BP18*SUMIFS(RZ[Úroveň 10 bez koef. (P3)],RZ[0],AX18,RZ[Úroveň 2 (P0)],AY18,RZ[Úroveň 3 (P0)],AZ18,RZ[Úroveň 4 (P0)],BA18,RZ[Úroveň 5 (P0)],BB18,RZ[Úroveň 6 (P0)],BC18,RZ[Úroveň 7 (P0)],BD18,RZ[Úroveň 8 (P0)],BE18,RZ[Úroveň 9 (P0)],BF18),$BP18*$IQ18)</f>
        <v>0</v>
      </c>
      <c r="FJ18" s="140">
        <f ca="1">RZ[[#This Row],[Úroveň 10 s koef. (P3a)]]*RZ[[#This Row],[Počet MJCR (P0) pro "kg"]]</f>
        <v>0</v>
      </c>
      <c r="FK18" s="140">
        <f ca="1">RZ[Úroveň 10 bez koef. (P3a)]*RZ[[#This Row],[Počet MJCR (P0) pro "kg"]]</f>
        <v>0</v>
      </c>
      <c r="FL18" s="140">
        <f ca="1">RZ[[#This Row],[Koeficient odhadu CR '[-'] (P1)]]*$BQ18*IQ18</f>
        <v>0</v>
      </c>
      <c r="FM18" s="236">
        <f t="shared" ca="1" si="51"/>
        <v>0</v>
      </c>
      <c r="FN18" s="194">
        <f t="shared" ca="1" si="52"/>
        <v>32418584.280000001</v>
      </c>
      <c r="FO18" s="238">
        <f t="shared" ca="1" si="53"/>
        <v>32321584.280000001</v>
      </c>
      <c r="FP18" s="191">
        <f t="shared" ca="1" si="54"/>
        <v>1</v>
      </c>
      <c r="FQ18" s="135">
        <f t="shared" ca="1" si="55"/>
        <v>0</v>
      </c>
      <c r="FR18" s="135">
        <f t="shared" ca="1" si="56"/>
        <v>0</v>
      </c>
      <c r="FS18" s="135">
        <f t="shared" ca="1" si="57"/>
        <v>0</v>
      </c>
      <c r="FT18" s="135">
        <f t="shared" ca="1" si="58"/>
        <v>0</v>
      </c>
      <c r="FU18" s="135">
        <f t="shared" ca="1" si="59"/>
        <v>0</v>
      </c>
      <c r="FV18" s="135">
        <f t="shared" ca="1" si="60"/>
        <v>0</v>
      </c>
      <c r="FW18" s="135">
        <f t="shared" ca="1" si="61"/>
        <v>0</v>
      </c>
      <c r="FX18" s="135">
        <f t="shared" ca="1" si="62"/>
        <v>0</v>
      </c>
      <c r="FY18" s="135">
        <f t="shared" ca="1" si="63"/>
        <v>0</v>
      </c>
      <c r="FZ18" s="140">
        <f ca="1">SUMIFS(RZ[Úroveň 1 (P6)],RZ[0],AX18)</f>
        <v>1</v>
      </c>
      <c r="GA18" s="140">
        <f ca="1">SUMIFS(RZ[Úroveň 2 (P6)],RZ[0],AX18,RZ[Úroveň 2 (P0)],AY18)</f>
        <v>0</v>
      </c>
      <c r="GB18" s="140">
        <f ca="1">SUMIFS(RZ[Úroveň 3 (P6)],RZ[0],AX18,RZ[Úroveň 2 (P0)],AY18,RZ[Úroveň 3 (P0)],AZ18)</f>
        <v>0</v>
      </c>
      <c r="GC18" s="140">
        <f ca="1">SUMIFS(RZ[Úroveň 4 (P6)],RZ[0],AX18,RZ[Úroveň 2 (P0)],AY18,RZ[Úroveň 3 (P0)],AZ18,RZ[Úroveň 4 (P0)],BA18)</f>
        <v>0</v>
      </c>
      <c r="GD18" s="140">
        <f ca="1">SUMIFS(RZ[Úroveň 5 (P6)],RZ[0],AX18,RZ[Úroveň 2 (P0)],AY18,RZ[Úroveň 3 (P0)],AZ18,RZ[Úroveň 4 (P0)],BA18,RZ[Úroveň 5 (P0)],BB18)</f>
        <v>0</v>
      </c>
      <c r="GE18" s="140">
        <f ca="1">SUMIFS(RZ[Úroveň 6 (P6)],RZ[0],AX18,RZ[Úroveň 2 (P0)],AY18,RZ[Úroveň 3 (P0)],AZ18,RZ[Úroveň 4 (P0)],BA18,RZ[Úroveň 5 (P0)],BB18,RZ[Úroveň 6 (P0)],BC18)</f>
        <v>0</v>
      </c>
      <c r="GF18" s="140">
        <f ca="1">SUMIFS(RZ[Úroveň 7 (P6)],RZ[0],AX18,RZ[Úroveň 2 (P0)],AY18,RZ[Úroveň 3 (P0)],AZ18,RZ[Úroveň 4 (P0)],BA18,RZ[Úroveň 5 (P0)],BB18,RZ[Úroveň 6 (P0)],BC18,RZ[Úroveň 7 (P0)],BD18)</f>
        <v>0</v>
      </c>
      <c r="GG18" s="140">
        <f ca="1">SUMIFS(RZ[Úroveň 8 (P6)],RZ[0],AX18,RZ[Úroveň 2 (P0)],AY18,RZ[Úroveň 3 (P0)],AZ18,RZ[Úroveň 4 (P0)],BA18,RZ[Úroveň 5 (P0)],BB18,RZ[Úroveň 6 (P0)],BC18,RZ[Úroveň 7 (P0)],BD18,RZ[Úroveň 8 (P0)],BE18)</f>
        <v>0</v>
      </c>
      <c r="GH18" s="140">
        <f ca="1">SUMIFS(RZ[Úroveň 9 (P6)],RZ[0],AX18,RZ[Úroveň 2 (P0)],AY18,RZ[Úroveň 3 (P0)],AZ18,RZ[Úroveň 4 (P0)],BA18,RZ[Úroveň 5 (P0)],BB18,RZ[Úroveň 6 (P0)],BC18,RZ[Úroveň 7 (P0)],BD18,RZ[Úroveň 8 (P0)],BE18,RZ[Úroveň 9 (P0)],BF18)</f>
        <v>0</v>
      </c>
      <c r="GI18" s="140">
        <f ca="1">SUMIFS(RZ[Úroveň 10 (P6)],RZ[0],AX18,RZ[Úroveň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GJ18" s="194">
        <f t="shared" ca="1" si="64"/>
        <v>1</v>
      </c>
      <c r="GK18" s="807">
        <f t="shared" si="65"/>
        <v>1</v>
      </c>
      <c r="GL18" s="808">
        <f t="shared" si="66"/>
        <v>0</v>
      </c>
      <c r="GM18" s="808">
        <f t="shared" si="67"/>
        <v>0</v>
      </c>
      <c r="GN18" s="808">
        <f t="shared" si="68"/>
        <v>0</v>
      </c>
      <c r="GO18" s="808">
        <f t="shared" si="69"/>
        <v>0</v>
      </c>
      <c r="GP18" s="808">
        <f t="shared" si="70"/>
        <v>0</v>
      </c>
      <c r="GQ18" s="808">
        <f t="shared" si="71"/>
        <v>0</v>
      </c>
      <c r="GR18" s="808">
        <f t="shared" si="72"/>
        <v>0</v>
      </c>
      <c r="GS18" s="808">
        <f t="shared" si="73"/>
        <v>0</v>
      </c>
      <c r="GT18" s="808">
        <f t="shared" si="74"/>
        <v>0</v>
      </c>
      <c r="GU18" s="809">
        <f ca="1">SUMIFS(RZ[Sloupec1],RZ[0],AX18)</f>
        <v>1</v>
      </c>
      <c r="GV18" s="809">
        <f ca="1">SUMIFS(RZ[Sloupec2],RZ[0],AX18,RZ[Úroveň 2 (P0)],AY18)</f>
        <v>0</v>
      </c>
      <c r="GW18" s="809">
        <f ca="1">SUMIFS(RZ[Sloupec3],RZ[0],AX18,RZ[Úroveň 2 (P0)],AY18,RZ[Úroveň 3 (P0)],AZ18)</f>
        <v>0</v>
      </c>
      <c r="GX18" s="809">
        <f ca="1">SUMIFS(RZ[Sloupec4],RZ[0],AX18,RZ[Úroveň 2 (P0)],AY18,RZ[Úroveň 3 (P0)],AZ18,RZ[Úroveň 4 (P0)],BA18)</f>
        <v>0</v>
      </c>
      <c r="GY18" s="809">
        <f ca="1">SUMIFS(RZ[Sloupec5],RZ[0],AX18,RZ[Úroveň 2 (P0)],AY18,RZ[Úroveň 3 (P0)],AZ18,RZ[Úroveň 4 (P0)],BA18,RZ[Úroveň 5 (P0)],BB18)</f>
        <v>0</v>
      </c>
      <c r="GZ18" s="809">
        <f ca="1">SUMIFS(RZ[Sloupec6],RZ[0],AX18,RZ[Úroveň 2 (P0)],AY18,RZ[Úroveň 3 (P0)],AZ18,RZ[Úroveň 4 (P0)],BA18,RZ[Úroveň 5 (P0)],BB18,RZ[Úroveň 6 (P0)],BC18)</f>
        <v>0</v>
      </c>
      <c r="HA18" s="809">
        <f ca="1">SUMIFS(RZ[Sloupec62],RZ[0],AX18,RZ[Úroveň 2 (P0)],AY18,RZ[Úroveň 3 (P0)],AZ18,RZ[Úroveň 4 (P0)],BA18,RZ[Úroveň 5 (P0)],BB18,RZ[Úroveň 6 (P0)],BC18,RZ[Úroveň 7 (P0)],BD18)</f>
        <v>0</v>
      </c>
      <c r="HB18" s="809">
        <f ca="1">SUMIFS(RZ[Sloupec63],RZ[0],AX18,RZ[Úroveň 2 (P0)],AY18,RZ[Úroveň 3 (P0)],AZ18,RZ[Úroveň 4 (P0)],BA18,RZ[Úroveň 5 (P0)],BB18,RZ[Úroveň 6 (P0)],BC18,RZ[Úroveň 7 (P0)],BD18,RZ[Úroveň 8 (P0)],BE18)</f>
        <v>0</v>
      </c>
      <c r="HC18" s="809">
        <f ca="1">SUMIFS(RZ[Sloupec64],RZ[0],AX18,RZ[Úroveň 2 (P0)],AY18,RZ[Úroveň 3 (P0)],AZ18,RZ[Úroveň 4 (P0)],BA18,RZ[Úroveň 5 (P0)],BB18,RZ[Úroveň 6 (P0)],BC18,RZ[Úroveň 7 (P0)],BD18,RZ[Úroveň 8 (P0)],BE18,RZ[Úroveň 9 (P0)],BF18)</f>
        <v>0</v>
      </c>
      <c r="HD18" s="809">
        <f ca="1">SUMIFS(RZ[Sloupec65],RZ[0],AX18,RZ[Úroveň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HE18" s="803">
        <f t="shared" ca="1" si="75"/>
        <v>1</v>
      </c>
      <c r="HF18" s="48" t="str">
        <f t="shared" si="76"/>
        <v/>
      </c>
      <c r="HG18" s="94" t="str">
        <f t="shared" si="77"/>
        <v>Rotační výklopník</v>
      </c>
      <c r="HH18" s="95" t="str">
        <f t="shared" si="78"/>
        <v/>
      </c>
      <c r="HI18" s="95" t="str">
        <f t="shared" si="79"/>
        <v/>
      </c>
      <c r="HJ18" s="96" t="str">
        <f t="shared" si="80"/>
        <v/>
      </c>
      <c r="HK18" s="96" t="str">
        <f t="shared" si="81"/>
        <v/>
      </c>
      <c r="HL18" s="96" t="str">
        <f t="shared" si="82"/>
        <v/>
      </c>
      <c r="HM18" s="96" t="str">
        <f t="shared" si="83"/>
        <v/>
      </c>
      <c r="HN18" s="96" t="str">
        <f t="shared" si="84"/>
        <v/>
      </c>
      <c r="HO18" s="96" t="str">
        <f t="shared" si="85"/>
        <v/>
      </c>
      <c r="HP18" s="96" t="str">
        <f t="shared" si="86"/>
        <v/>
      </c>
      <c r="HQ18" s="145" t="str">
        <f t="shared" si="87"/>
        <v>-</v>
      </c>
      <c r="HR18" s="175" t="str">
        <f t="shared" si="88"/>
        <v/>
      </c>
      <c r="HS18" s="173">
        <f t="shared" si="89"/>
        <v>0</v>
      </c>
      <c r="HT18" s="99">
        <f t="shared" si="90"/>
        <v>0</v>
      </c>
      <c r="HU18" s="99">
        <f t="shared" si="91"/>
        <v>0</v>
      </c>
      <c r="HV18" s="209">
        <f t="shared" si="92"/>
        <v>0</v>
      </c>
      <c r="HW18" s="47">
        <f t="shared" si="93"/>
        <v>0</v>
      </c>
      <c r="HX18" s="46">
        <f t="shared" si="94"/>
        <v>0</v>
      </c>
      <c r="HY18" s="149" t="str">
        <f t="shared" si="95"/>
        <v>S</v>
      </c>
      <c r="HZ18" s="263">
        <f t="shared" si="96"/>
        <v>0</v>
      </c>
      <c r="IA18" s="150">
        <f t="shared" si="97"/>
        <v>1</v>
      </c>
      <c r="IB18" s="319">
        <f t="shared" si="98"/>
        <v>0</v>
      </c>
      <c r="IC18" s="220">
        <f t="shared" si="99"/>
        <v>0</v>
      </c>
      <c r="ID18" s="200" t="str">
        <f t="shared" ca="1" si="100"/>
        <v>--</v>
      </c>
      <c r="IE18" s="201">
        <f t="shared" si="101"/>
        <v>0</v>
      </c>
      <c r="IF18" s="145">
        <f t="shared" si="102"/>
        <v>1</v>
      </c>
      <c r="IG18" s="216">
        <f t="shared" si="103"/>
        <v>0</v>
      </c>
      <c r="IH18" s="217">
        <f t="shared" si="104"/>
        <v>1</v>
      </c>
      <c r="II18" s="224">
        <f ca="1">IF(RZ[[#This Row],[Rozhodný sloupec indikativní ceny]]=1,"kg",IF($IW18=$JL$15,IF(JX18=0,JO18,JX18),IF($IW18=$KE$15,IF(KQ18=0,KH18,KQ18),IF($IW18=$KX$15,IF(LJ18=0,LA18,LJ18),IF($IW18=$LQ$15,IF(MC18=0,LT18,MC18),IF($IW18=$MJ$15,IF(NQ18=0,NH18,NQ18),0))))))</f>
        <v>0</v>
      </c>
      <c r="IJ18" s="224">
        <f ca="1">IF((BH18+OFFSET(BH18,1,1,1,1))=2,RZ[[#This Row],[Počet MJHR (P0)]],IF((BI18+OFFSET(BI18,1,1,1,1))=2,RZ[[#This Row],[Počet MJHR (P0)]],IF((BJ18+OFFSET(BJ18,1,1,1,1))=2,RZ[[#This Row],[Počet MJHR (P0)]],IF((BK18+OFFSET(BK18,1,1,1,1))=2,RZ[[#This Row],[Počet MJHR (P0)]],IF((BL18+OFFSET(BL18,1,1,1,1))=2,RZ[[#This Row],[Počet MJHR (P0)]],IF((BM18+OFFSET(BM18,1,1,1,1))=2,RZ[[#This Row],[Počet MJHR (P0)]],IF((BN18+OFFSET(BN18,1,1,1,1))=2,RZ[[#This Row],[Počet MJHR (P0)]],IF((BO18+OFFSET(BO18,1,1,1,1))=2,RZ[[#This Row],[Počet MJHR (P0)]],IF((BP18+OFFSET(BP18,1,1,1,1))=2,RZ[[#This Row],[Počet MJHR (P0)]],IF((BQ18+OFFSET(BQ18,1,1,1,1))=2,RZ[[#This Row],[Počet MJHR (P0)]],IF(RZ[[#This Row],[Měrná jednotka CR (MJCR) (P0)]]=RZ[[#This Row],[Měrná jednotka HR '[MJHR'] (P0)]],RZ[[#This Row],[Počet MJHR (P0)]],IF($IW18=$JL$15,JY18,IF($IW18=$KE$15,KR18,IF($IW18=$KX$15,LK18,IF($IW18=$LQ$15,MD18,IF($IW18=$MJ$15,NR18,0))))))))))))))))</f>
        <v>1</v>
      </c>
      <c r="IK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8" s="330">
        <f ca="1">IF(AND(RZ[[#This Row],[Jednotková cena bez DPH '[cena/MJCR'] (P0)]]=0,RZ[[#This Row],[Indikativní jednotková cena '[CZK/kg'] (P1)]]&lt;&gt;0),1,0)</f>
        <v>0</v>
      </c>
      <c r="IM18" s="217">
        <f ca="1">VLOOKUP(RZ[[#This Row],[Kód položek]],INDIKAT_CENA,2,FALSE)</f>
        <v>0</v>
      </c>
      <c r="IN18" s="222">
        <f ca="1">IF(RZ[[#This Row],[Rozhodný sloupec indikativní ceny]]=1,RZ[[#This Row],[Indikativní jednotková cena '[CZK/kg'] (P1)]],RZ[[#This Row],[Jednotková cena bez DPH '[cena/MJCR'] (P0)]])</f>
        <v>0</v>
      </c>
      <c r="IO18" s="222">
        <f t="shared" si="105"/>
        <v>1</v>
      </c>
      <c r="IP18" s="223">
        <f ca="1">IF(RZ[[#This Row],[Rozhodný sloupec indikativní ceny]]=1,1,IF($IW18=$JL$15,KA18,IF($IW18=$KE$15,KT18,IF($IW18=$KX$15,LM18,IF($IW18=$LQ$15,MF18,IF($IW18=$MJ$15,NT18,0))))))</f>
        <v>0</v>
      </c>
      <c r="IQ18" s="225">
        <f ca="1">IF(RZ[[#This Row],[Jednotková cena bez DPH '[cena/MJCR'] (P1)]]="",0,IF(IP18=0,0,(RZ[[#This Row],[Jednotková cena bez DPH '[cena/MJCR'] (P1)]]*VLOOKUP(IP18,$BR$7:$BT$10,3))))</f>
        <v>0</v>
      </c>
      <c r="IR18" s="736"/>
      <c r="IS18" s="627">
        <f>IF(HY18=0,"",VLOOKUP(RZ[[#This Row],[Stav Projekce (P0)]],Vstupy!$E$11:'Vstupy'!$E$11:$H$17,4,FALSE))</f>
        <v>100</v>
      </c>
      <c r="IT18" s="628" t="str">
        <f>IF(RZ[[#This Row],[Stav Projekce (P0)]]=0,"",RZ[[#This Row],[Stav Projekce (P0)]])</f>
        <v>S</v>
      </c>
      <c r="IU18" s="628" t="str">
        <f>IF(RZ[[#This Row],[Stav Nákup (P0)]]=0,"",RZ[[#This Row],[Stav Nákup (P0)]])</f>
        <v/>
      </c>
      <c r="IV18" s="636" t="str">
        <f t="shared" si="106"/>
        <v/>
      </c>
      <c r="IW18" s="641">
        <v>1</v>
      </c>
      <c r="IX18" s="629"/>
      <c r="IY18" s="781"/>
      <c r="IZ18" s="776" t="s">
        <v>736</v>
      </c>
      <c r="JA18" s="777"/>
      <c r="JB18" s="777"/>
      <c r="JC18" s="777"/>
      <c r="JD18" s="777"/>
      <c r="JE18" s="777"/>
      <c r="JF18" s="777"/>
      <c r="JG18" s="777"/>
      <c r="JH18" s="777"/>
      <c r="JI18" s="777"/>
      <c r="JJ18" s="778" t="s">
        <v>231</v>
      </c>
      <c r="JK18" s="782"/>
      <c r="JL18" s="286"/>
      <c r="JM18" s="99"/>
      <c r="JN18" s="99"/>
      <c r="JO18" s="153"/>
      <c r="JP18" s="117">
        <v>1</v>
      </c>
      <c r="JQ18" s="117"/>
      <c r="JR18" s="148">
        <v>1</v>
      </c>
      <c r="JS18" s="145" t="s">
        <v>602</v>
      </c>
      <c r="JT18" s="145"/>
      <c r="JU18" s="148"/>
      <c r="JV18" s="154"/>
      <c r="JW18" s="153"/>
      <c r="JX18" s="210"/>
      <c r="JY18" s="117"/>
      <c r="JZ18" s="662"/>
      <c r="KA18" s="145"/>
      <c r="KB18" s="148"/>
      <c r="KC18" s="148"/>
      <c r="KD18" s="529"/>
      <c r="KE18" s="286"/>
      <c r="KF18" s="99"/>
      <c r="KG18" s="99"/>
      <c r="KH18" s="153"/>
      <c r="KI18" s="117"/>
      <c r="KJ18" s="117"/>
      <c r="KK18" s="148"/>
      <c r="KL18" s="145"/>
      <c r="KM18" s="148"/>
      <c r="KN18" s="148"/>
      <c r="KO18" s="154"/>
      <c r="KP18" s="153"/>
      <c r="KQ18" s="210"/>
      <c r="KR18" s="117"/>
      <c r="KS18" s="211"/>
      <c r="KT18" s="145"/>
      <c r="KU18" s="148"/>
      <c r="KV18" s="148"/>
      <c r="KW18" s="175"/>
      <c r="KX18" s="286"/>
      <c r="KY18" s="99"/>
      <c r="KZ18" s="99"/>
      <c r="LA18" s="153"/>
      <c r="LB18" s="117"/>
      <c r="LC18" s="117"/>
      <c r="LD18" s="148"/>
      <c r="LE18" s="145"/>
      <c r="LF18" s="148"/>
      <c r="LG18" s="148"/>
      <c r="LH18" s="154"/>
      <c r="LI18" s="153"/>
      <c r="LJ18" s="153"/>
      <c r="LK18" s="117"/>
      <c r="LL18" s="211"/>
      <c r="LM18" s="210"/>
      <c r="LN18" s="148"/>
      <c r="LO18" s="148"/>
      <c r="LP18" s="175"/>
      <c r="LQ18" s="286"/>
      <c r="LR18" s="99"/>
      <c r="LS18" s="99"/>
      <c r="LT18" s="153"/>
      <c r="LU18" s="117"/>
      <c r="LV18" s="117"/>
      <c r="LW18" s="148"/>
      <c r="LX18" s="145"/>
      <c r="LY18" s="148"/>
      <c r="LZ18" s="148"/>
      <c r="MA18" s="154"/>
      <c r="MB18" s="153"/>
      <c r="MC18" s="153"/>
      <c r="MD18" s="117"/>
      <c r="ME18" s="211"/>
      <c r="MF18" s="210"/>
      <c r="MG18" s="148"/>
      <c r="MH18" s="148"/>
      <c r="MI18" s="175"/>
      <c r="MJ18" s="647"/>
      <c r="MK18" s="264"/>
      <c r="ML18" s="153"/>
      <c r="MM18" s="153"/>
      <c r="MN18" s="153"/>
      <c r="MO18" s="153"/>
      <c r="MP18" s="153"/>
      <c r="MQ18" s="153"/>
      <c r="MR18" s="153"/>
      <c r="MS18" s="99"/>
      <c r="MT18" s="99"/>
      <c r="MU18" s="99"/>
      <c r="MV18" s="99"/>
      <c r="MW18" s="99"/>
      <c r="MX18" s="99"/>
      <c r="MY18" s="153"/>
      <c r="MZ18" s="153"/>
      <c r="NA18" s="153"/>
      <c r="NB18" s="153"/>
      <c r="NC18" s="153"/>
      <c r="ND18" s="153"/>
      <c r="NE18" s="148"/>
      <c r="NF18" s="153"/>
      <c r="NG18" s="153"/>
      <c r="NH18" s="145" t="str">
        <f t="shared" si="107"/>
        <v>ks</v>
      </c>
      <c r="NI18" s="779">
        <f>RZ[[#This Row],[Počet ks (K)]]</f>
        <v>0</v>
      </c>
      <c r="NJ18" s="210">
        <f>RZ[[#This Row],[Hmotnost '[kg/ks'] (K)]]</f>
        <v>0</v>
      </c>
      <c r="NK18" s="148"/>
      <c r="NL18" s="145"/>
      <c r="NM18" s="148"/>
      <c r="NN18" s="148"/>
      <c r="NO18" s="154"/>
      <c r="NP18" s="153"/>
      <c r="NQ18" s="153"/>
      <c r="NR18" s="210"/>
      <c r="NS18" s="148"/>
      <c r="NT18" s="210"/>
      <c r="NU18" s="148"/>
      <c r="NV18" s="148"/>
      <c r="NW18" s="175"/>
    </row>
    <row r="19" spans="2:387" ht="15.95" customHeight="1" x14ac:dyDescent="0.35">
      <c r="B19" s="118" t="str">
        <f t="shared" si="1"/>
        <v/>
      </c>
      <c r="C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9" s="262" t="str">
        <f t="shared" si="2"/>
        <v xml:space="preserve">  Pohon rotačního výklopníku</v>
      </c>
      <c r="E19" s="12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Row],[Kód položek (P2)]]))))))))))</f>
        <v>-</v>
      </c>
      <c r="F19" s="122" t="str">
        <f t="shared" si="3"/>
        <v>N/A</v>
      </c>
      <c r="G19" s="121" t="str">
        <f t="shared" si="4"/>
        <v/>
      </c>
      <c r="H19" s="122" t="str">
        <f t="shared" si="5"/>
        <v/>
      </c>
      <c r="I19" s="123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HR '[MJHR'] (P0)]]))))))))))</f>
        <v>sest</v>
      </c>
      <c r="J19" s="123">
        <f t="shared" si="6"/>
        <v>1</v>
      </c>
      <c r="K19" s="151">
        <f>RZ[[#This Row],[Koeficient odhadu HR '[-'] (P1)]]</f>
        <v>1</v>
      </c>
      <c r="L19" s="124">
        <f ca="1">RZ[[#This Row],[Jednotková hmotnost s koef. '[kg/MJHR'] (P0)]]</f>
        <v>17765.815999999999</v>
      </c>
      <c r="M19" s="124">
        <f t="shared" ca="1" si="7"/>
        <v>0</v>
      </c>
      <c r="N19" s="125">
        <f t="shared" ca="1" si="8"/>
        <v>17765.815999999999</v>
      </c>
      <c r="O19" s="125">
        <f t="shared" ca="1" si="9"/>
        <v>0</v>
      </c>
      <c r="P19" s="328" t="str">
        <f t="shared" si="10"/>
        <v/>
      </c>
      <c r="Q19" s="743">
        <f ca="1">RZ[[#This Row],[Počet MJHR v rozpadu (P0)]]</f>
        <v>1</v>
      </c>
      <c r="R19" s="439" t="str">
        <f t="shared" si="11"/>
        <v/>
      </c>
      <c r="S19" s="129" t="str">
        <f t="shared" si="12"/>
        <v/>
      </c>
      <c r="T19" s="130" t="str">
        <f t="shared" si="13"/>
        <v/>
      </c>
      <c r="U19" s="126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CR (MJCR) (P0)]]))))))))))</f>
        <v>sest</v>
      </c>
      <c r="V19" s="575">
        <f t="shared" ca="1" si="14"/>
        <v>1</v>
      </c>
      <c r="W19" s="322">
        <f>RZ[[#This Row],[Koeficient odhadu CR '[-'] (P1)]]</f>
        <v>1</v>
      </c>
      <c r="X19" s="44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Row],[Jednotková cena bez DPH '[cena/MJCR'] (P1)]]*RZ[[#This Row],[Koeficient odhadu CR '[-']]]))))))))))</f>
        <v>-</v>
      </c>
      <c r="Y19" s="440">
        <f t="shared" ref="Y19:Y146" ca="1" si="108">IF(ISNUMBER(X19),-X19/W19*(W19-1),0)</f>
        <v>0</v>
      </c>
      <c r="Z19" s="142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VLOOKUP(IP19,$BR$7:$BS$11,2,FALSE)))))))))))</f>
        <v>-</v>
      </c>
      <c r="AA19" s="811">
        <f t="shared" ca="1" si="16"/>
        <v>1</v>
      </c>
      <c r="AB19" s="814">
        <f ca="1">RZ[[#This Row],[Kumulovaný koeficient v rozpadu (P0)]]</f>
        <v>1</v>
      </c>
      <c r="AC19" s="260"/>
      <c r="AD19" s="510">
        <f ca="1">RZ[[#This Row],[Jednotková cena bez DPH '[cena/MJCR'] s koef. (P0)]]/RZ[[#This Row],[Koeficient odhadu CR '[-']]]*RZ[[#This Row],[Kumulovaný koeficient odhadu CR  '[-']]]</f>
        <v>3871561.5599999996</v>
      </c>
      <c r="AE19" s="511">
        <f t="shared" ca="1" si="17"/>
        <v>3871561.5599999996</v>
      </c>
      <c r="AF19" s="512">
        <f ca="1">-IF(ISNUMBER(AA19),RZ[[#This Row],[Celková cena bez DPH (1)]]-RZ[[#This Row],[Jednotková cena bez DPH '[cena/MJCR'] bez koef. (P0)]]*AA19,0)</f>
        <v>-37000</v>
      </c>
      <c r="AG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217.92196654518992</v>
      </c>
      <c r="AH19" s="261"/>
      <c r="AI19" s="510">
        <f t="shared" ca="1" si="18"/>
        <v>143391.16888888887</v>
      </c>
      <c r="AJ19" s="511">
        <f t="shared" ca="1" si="19"/>
        <v>143391.16888888887</v>
      </c>
      <c r="AK19" s="512">
        <f t="shared" ca="1" si="20"/>
        <v>-1370.3703703703704</v>
      </c>
      <c r="AL19" s="753">
        <f ca="1">RZ[[#This Row],[Kilogramová cena bez DPH '[cena/kg'] (1)]]/$AK$13</f>
        <v>8.0711839461181452</v>
      </c>
      <c r="AM19" s="261"/>
      <c r="AN19" s="510">
        <f t="shared" ca="1" si="21"/>
        <v>187031.95942028984</v>
      </c>
      <c r="AO19" s="511">
        <f t="shared" ca="1" si="22"/>
        <v>187031.95942028984</v>
      </c>
      <c r="AP19" s="512">
        <f t="shared" ca="1" si="23"/>
        <v>-1787.4396135265702</v>
      </c>
      <c r="AQ19" s="753">
        <f ca="1">RZ[[#This Row],[Kilogramová cena bez DPH '[cena/kg'] (1)]]/$AP$13</f>
        <v>10.527631234067146</v>
      </c>
      <c r="AR19" s="261"/>
      <c r="AS19" s="510">
        <f t="shared" ca="1" si="24"/>
        <v>105896.10393873084</v>
      </c>
      <c r="AT19" s="511">
        <f t="shared" ca="1" si="25"/>
        <v>105896.10393873084</v>
      </c>
      <c r="AU19" s="511">
        <f t="shared" ca="1" si="26"/>
        <v>-1012.0350109409189</v>
      </c>
      <c r="AV19" s="767">
        <f ca="1">RZ[[#This Row],[Kilogramová cena bez DPH '[cena/kg'] (1)]]/$AU$13</f>
        <v>5.9606664809953473</v>
      </c>
      <c r="AW19" s="165"/>
      <c r="AX19" s="110">
        <f t="shared" ca="1" si="27"/>
        <v>2</v>
      </c>
      <c r="AY19" s="55">
        <f t="shared" ca="1" si="28"/>
        <v>1</v>
      </c>
      <c r="AZ19" s="111">
        <f t="shared" ca="1" si="29"/>
        <v>0</v>
      </c>
      <c r="BA19" s="111">
        <f t="shared" ca="1" si="30"/>
        <v>0</v>
      </c>
      <c r="BB19" s="111">
        <f t="shared" ca="1" si="31"/>
        <v>0</v>
      </c>
      <c r="BC19" s="111">
        <f t="shared" ca="1" si="32"/>
        <v>0</v>
      </c>
      <c r="BD19" s="111">
        <f t="shared" ca="1" si="33"/>
        <v>0</v>
      </c>
      <c r="BE19" s="111">
        <f t="shared" ref="BE19:BE146" ca="1" si="109">IF($BO19=0,IF(BF19&gt;0,OFFSET(BE19,-1,0,1,1),0),OFFSET(BE19,-1,0,1,1)+1)</f>
        <v>0</v>
      </c>
      <c r="BF19" s="111">
        <f t="shared" ca="1" si="34"/>
        <v>0</v>
      </c>
      <c r="BG19" s="112">
        <f t="shared" ca="1" si="35"/>
        <v>0</v>
      </c>
      <c r="BH19" s="110">
        <f t="shared" ref="BH19:BH146" si="110">IF(HG19="",0,1)</f>
        <v>0</v>
      </c>
      <c r="BI19" s="55">
        <f t="shared" ref="BI19:BI146" si="111">IF(HH19="",0,1)</f>
        <v>1</v>
      </c>
      <c r="BJ19" s="55">
        <f t="shared" ref="BJ19:BJ146" si="112">IF(HI19="",0,1)</f>
        <v>0</v>
      </c>
      <c r="BK19" s="111">
        <f t="shared" ref="BK19:BK146" si="113">IF(HJ19="",0,1)</f>
        <v>0</v>
      </c>
      <c r="BL19" s="111">
        <f t="shared" ref="BL19:BL146" si="114">IF(HK19="",0,1)</f>
        <v>0</v>
      </c>
      <c r="BM19" s="111">
        <f t="shared" ref="BM19:BM146" si="115">IF(HL19="",0,1)</f>
        <v>0</v>
      </c>
      <c r="BN19" s="111">
        <f t="shared" ref="BN19:BN146" si="116">IF(HM19="",0,1)</f>
        <v>0</v>
      </c>
      <c r="BO19" s="111">
        <f t="shared" ref="BO19:BO146" si="117">IF(HN19="",0,1)</f>
        <v>0</v>
      </c>
      <c r="BP19" s="111">
        <f t="shared" ref="BP19:BP146" si="118">IF(HO19="",0,1)</f>
        <v>0</v>
      </c>
      <c r="BQ19" s="112">
        <f t="shared" ref="BQ19:BQ146" si="119">IF(HP19="",0,1)</f>
        <v>0</v>
      </c>
      <c r="BR19" s="186">
        <f ca="1">IF(OFFSET(AY19,1,0,1,1)&lt;&gt;0,RZ[[#This Row],[Koeficient odhadu HR '[-'] (P1)]]*$BH19*SUMIFS(RZ[Úroveň 2 s koef. (P2)],RZ[0],AX19),RZ[[#This Row],[Koeficient odhadu HR '[-'] (P1)]]*$BH19*$IG19)</f>
        <v>0</v>
      </c>
      <c r="BS19" s="186">
        <f ca="1">IF(OFFSET(AY19,1,0,1,1)&lt;&gt;0,$BH19*SUMIFS(RZ[Úroveň 2 bez koef. (P2)],RZ[0],AX19),$BH19*$IG19)</f>
        <v>0</v>
      </c>
      <c r="BT19" s="138">
        <f ca="1">RZ[[#This Row],[Úroveň 2 s koef. (P2a)]]*RZ[[#This Row],[Počet MJHR (P0)]]</f>
        <v>17765.815999999999</v>
      </c>
      <c r="BU19" s="138">
        <f ca="1">RZ[[#This Row],[Úroveň 2 bez koef. (P2a)]]*RZ[[#This Row],[Počet MJHR (P0)]]</f>
        <v>17765.815999999999</v>
      </c>
      <c r="BV19" s="138">
        <f ca="1">IF(OFFSET(AZ19,1,0,1,1)&lt;&gt;0,RZ[[#This Row],[Koeficient odhadu HR '[-'] (P1)]]*$BI19*SUMIFS(RZ[Úroveň 3 s koef. (P2)],RZ[0],AX19,RZ[Úroveň 2 (P0)],AY19),RZ[[#This Row],[Koeficient odhadu HR '[-'] (P1)]]*$BI19*$IG19)</f>
        <v>17765.815999999999</v>
      </c>
      <c r="BW19" s="138">
        <f ca="1">IF(OFFSET(AZ19,1,0,1,1)&lt;&gt;0,$BI19*SUMIFS(RZ[Úroveň 3 bez koef. (P2)],RZ[0],AX19,RZ[Úroveň 2 (P0)],AY19),$BI19*$IG19)</f>
        <v>17765.815999999999</v>
      </c>
      <c r="BX19" s="132">
        <f ca="1">RZ[[#This Row],[Úroveň 3 s koef. (P2a)]]*RZ[[#This Row],[Počet MJHR (P0)]]</f>
        <v>0</v>
      </c>
      <c r="BY19" s="132">
        <f ca="1">RZ[Úroveň 3 bez koef. (P2a)]*RZ[[#This Row],[Počet MJHR (P0)]]</f>
        <v>0</v>
      </c>
      <c r="BZ19" s="132">
        <f ca="1">IF(OFFSET(BA19,1,0,1,1)&lt;&gt;0,RZ[[#This Row],[Koeficient odhadu HR '[-'] (P1)]]*$BJ19*SUMIFS(RZ[Úroveň 4 s koef. (P2)],RZ[0],AX19,RZ[Úroveň 2 (P0)],AY19,RZ[Úroveň 3 (P0)],AZ19),RZ[[#This Row],[Koeficient odhadu HR '[-'] (P1)]]*$BJ19*$IG19)</f>
        <v>0</v>
      </c>
      <c r="CA19" s="132">
        <f ca="1">IF(OFFSET(BA19,1,0,1,1)&lt;&gt;0,$BJ19*SUMIFS(RZ[Úroveň 4 bez koef. (P2)],RZ[0],AX19,RZ[Úroveň 2 (P0)],AY19,RZ[Úroveň 3 (P0)],AZ19),$BJ19*$IG19)</f>
        <v>0</v>
      </c>
      <c r="CB19" s="138">
        <f ca="1">RZ[[#This Row],[Úroveň 4 s koef. (P2a)]]*RZ[[#This Row],[Počet MJHR (P0)]]</f>
        <v>0</v>
      </c>
      <c r="CC19" s="138">
        <f ca="1">RZ[Úroveň 4 bez koef. (P2a)]*RZ[[#This Row],[Počet MJHR (P0)]]</f>
        <v>0</v>
      </c>
      <c r="CD19" s="138">
        <f ca="1">IF(OFFSET(BB19,1,0,1,1)&lt;&gt;0,RZ[[#This Row],[Koeficient odhadu HR '[-'] (P1)]]*$BK19*SUMIFS(RZ[Úroveň 5 s koef. (P2)],RZ[0],AX19,RZ[Úroveň 2 (P0)],AY19,RZ[Úroveň 3 (P0)],AZ19,RZ[Úroveň 4 (P0)],BA19),RZ[[#This Row],[Koeficient odhadu HR '[-'] (P1)]]*$BK19*$IG19)</f>
        <v>0</v>
      </c>
      <c r="CE19" s="138">
        <f ca="1">IF(OFFSET(BB19,1,0,1,1)&lt;&gt;0,$BK19*SUMIFS(RZ[Úroveň 5 bez koef. (P2)],RZ[0],AX19,RZ[Úroveň 2 (P0)],AY19,RZ[Úroveň 3 (P0)],AZ19,RZ[Úroveň 4 (P0)],BA19),$BK19*$IG19)</f>
        <v>0</v>
      </c>
      <c r="CF19" s="132">
        <f ca="1">RZ[[#This Row],[Úroveň 5 s koef. (P2a)]]*RZ[[#This Row],[Počet MJHR (P0)]]</f>
        <v>0</v>
      </c>
      <c r="CG19" s="132">
        <f ca="1">RZ[Úroveň 5 bez koef. (P2a)]*RZ[[#This Row],[Počet MJHR (P0)]]</f>
        <v>0</v>
      </c>
      <c r="CH19" s="132">
        <f ca="1">IF(OFFSET(BC19,1,0,1,1)&lt;&gt;0,RZ[[#This Row],[Koeficient odhadu HR '[-'] (P1)]]*$BL19*SUMIFS(RZ[Úroveň 6 s koef. (P2)],RZ[0],AX19,RZ[Úroveň 2 (P0)],AY19,RZ[Úroveň 3 (P0)],AZ19,RZ[Úroveň 4 (P0)],BA19,RZ[Úroveň 5 (P0)],BB19),RZ[[#This Row],[Koeficient odhadu HR '[-'] (P1)]]*$BL19*$IG19)</f>
        <v>0</v>
      </c>
      <c r="CI19" s="132">
        <f ca="1">IF(OFFSET(BC19,1,0,1,1)&lt;&gt;0,$BL19*SUMIFS(RZ[Úroveň 6 bez koef. (P2)],RZ[0],AX19,RZ[Úroveň 2 (P0)],AY19,RZ[Úroveň 3 (P0)],AZ19,RZ[Úroveň 4 (P0)],BA19,RZ[Úroveň 5 (P0)],BB19),$BL19*$IG19)</f>
        <v>0</v>
      </c>
      <c r="CJ19" s="138">
        <f ca="1">RZ[[#This Row],[Úroveň 6 s koef. (P2a)]]*RZ[[#This Row],[Počet MJHR (P0)]]</f>
        <v>0</v>
      </c>
      <c r="CK19" s="138">
        <f ca="1">RZ[Úroveň 6 bez koef. (P2a)]*RZ[[#This Row],[Počet MJHR (P0)]]</f>
        <v>0</v>
      </c>
      <c r="CL19" s="138">
        <f ca="1">IF(OFFSET(BD19,1,0,1,1)&lt;&gt;0,RZ[[#This Row],[Koeficient odhadu HR '[-'] (P1)]]*$BM19*SUMIFS(RZ[Úroveň 7 s koef. (P2)],RZ[0],AX19,RZ[Úroveň 2 (P0)],AY19,RZ[Úroveň 3 (P0)],AZ19,RZ[Úroveň 4 (P0)],BA19,RZ[Úroveň 5 (P0)],BB19,RZ[Úroveň 6 (P0)],BC19),RZ[[#This Row],[Koeficient odhadu HR '[-'] (P1)]]*$BM19*$IG19)</f>
        <v>0</v>
      </c>
      <c r="CM19" s="138">
        <f ca="1">IF(OFFSET(BD19,1,0,1,1)&lt;&gt;0,$BM19*SUMIFS(RZ[Úroveň 7 bez koef. (P2)],RZ[0],AX19,RZ[Úroveň 2 (P0)],AY19,RZ[Úroveň 3 (P0)],AZ19,RZ[Úroveň 4 (P0)],BA19,RZ[Úroveň 5 (P0)],BB19,RZ[Úroveň 6 (P0)],BC19),$BM19*$IG19)</f>
        <v>0</v>
      </c>
      <c r="CN19" s="132">
        <f ca="1">RZ[[#This Row],[Úroveň 7 s koef. (P2a)]]*RZ[[#This Row],[Počet MJHR (P0)]]</f>
        <v>0</v>
      </c>
      <c r="CO19" s="132">
        <f ca="1">RZ[Úroveň 7 bez koef. (P2a)]*RZ[[#This Row],[Počet MJHR (P0)]]</f>
        <v>0</v>
      </c>
      <c r="CP19" s="132">
        <f ca="1">IF(OFFSET(BE19,1,0,1,1)&lt;&gt;0,RZ[[#This Row],[Koeficient odhadu HR '[-'] (P1)]]*$BN19*SUMIFS(RZ[Úroveň 8 s koef. (P2)],RZ[0],AX19,RZ[Úroveň 2 (P0)],AY19,RZ[Úroveň 3 (P0)],AZ19,RZ[Úroveň 4 (P0)],BA19,RZ[Úroveň 5 (P0)],BB19,RZ[Úroveň 6 (P0)],BC19,RZ[Úroveň 7 (P0)],BD19),RZ[[#This Row],[Koeficient odhadu HR '[-'] (P1)]]*$BN19*$IG19)</f>
        <v>0</v>
      </c>
      <c r="CQ19" s="132">
        <f ca="1">IF(OFFSET(BE19,1,0,1,1)&lt;&gt;0,$BN19*SUMIFS(RZ[Úroveň 8 bez koef. (P2)],RZ[0],AX19,RZ[Úroveň 2 (P0)],AY19,RZ[Úroveň 3 (P0)],AZ19,RZ[Úroveň 4 (P0)],BA19,RZ[Úroveň 5 (P0)],BB19,RZ[Úroveň 6 (P0)],BC19,RZ[Úroveň 7 (P0)],BD19),$BN19*$IG19)</f>
        <v>0</v>
      </c>
      <c r="CR19" s="138">
        <f ca="1">RZ[[#This Row],[Úroveň 8 s koef. (P2a)]]*RZ[[#This Row],[Počet MJHR (P0)]]</f>
        <v>0</v>
      </c>
      <c r="CS19" s="138">
        <f ca="1">RZ[Úroveň 8 bez koef. (P2a)]*RZ[[#This Row],[Počet MJHR (P0)]]</f>
        <v>0</v>
      </c>
      <c r="CT19" s="138">
        <f ca="1">IF(OFFSET(BF19,1,0,1,1)&lt;&gt;0,RZ[[#This Row],[Koeficient odhadu HR '[-'] (P1)]]*$BO19*SUMIFS(RZ[Úroveň 9 s koef. (P2)],RZ[0],AX19,RZ[Úroveň 2 (P0)],AY19,RZ[Úroveň 3 (P0)],AZ19,RZ[Úroveň 4 (P0)],BA19,RZ[Úroveň 5 (P0)],BB19,RZ[Úroveň 6 (P0)],BC19,RZ[Úroveň 7 (P0)],BD19,RZ[Úroveň 8 (P0)],BE19),RZ[[#This Row],[Koeficient odhadu HR '[-'] (P1)]]*$BO19*$IG19)</f>
        <v>0</v>
      </c>
      <c r="CU19" s="138">
        <f ca="1">IF(OFFSET(BF19,1,0,1,1)&lt;&gt;0,$BO19*SUMIFS(RZ[Úroveň 9 bez koef. (P2)],RZ[0],AX19,RZ[Úroveň 2 (P0)],AY19,RZ[Úroveň 3 (P0)],AZ19,RZ[Úroveň 4 (P0)],BA19,RZ[Úroveň 5 (P0)],BB19,RZ[Úroveň 6 (P0)],BC19,RZ[Úroveň 7 (P0)],BD19,RZ[Úroveň 8 (P0)],BE19),$BO19*$IG19)</f>
        <v>0</v>
      </c>
      <c r="CV19" s="132">
        <f ca="1">RZ[[#This Row],[Úroveň 9 s koef. (P2a)]]*RZ[[#This Row],[Počet MJHR (P0)]]</f>
        <v>0</v>
      </c>
      <c r="CW19" s="132">
        <f ca="1">RZ[Úroveň 9 bez koef. (P2a)]*RZ[[#This Row],[Počet MJHR (P0)]]</f>
        <v>0</v>
      </c>
      <c r="CX19" s="132">
        <f ca="1">IF(OFFSET(BG19,1,0,1,1)&lt;&gt;0,RZ[[#This Row],[Koeficient odhadu HR '[-'] (P1)]]*$BP19*SUMIFS(RZ[Úroveň 10 s koef. (P2)],RZ[0],AX19,RZ[Úroveň 2 (P0)],AY19,RZ[Úroveň 3 (P0)],AZ19,RZ[Úroveň 4 (P0)],BA19,RZ[Úroveň 5 (P0)],BB19,RZ[Úroveň 6 (P0)],BC19,RZ[Úroveň 7 (P0)],BD19,RZ[Úroveň 8 (P0)],BE19,RZ[Úroveň 9 (P0)],BF19),RZ[[#This Row],[Koeficient odhadu HR '[-'] (P1)]]*$BP19*$IG19)</f>
        <v>0</v>
      </c>
      <c r="CY19" s="132">
        <f ca="1">IF(OFFSET(BG19,1,0,1,1)&lt;&gt;0,$BP19*SUMIFS(RZ[Úroveň 10 bez koef. (P2)],RZ[0],AX19,RZ[Úroveň 2 (P0)],AY19,RZ[Úroveň 3 (P0)],AZ19,RZ[Úroveň 4 (P0)],BA19,RZ[Úroveň 5 (P0)],BB19,RZ[Úroveň 6 (P0)],BC19,RZ[Úroveň 7 (P0)],BD19,RZ[Úroveň 8 (P0)],BE19,RZ[Úroveň 9 (P0)],BF19),$BP19*$IG19)</f>
        <v>0</v>
      </c>
      <c r="CZ19" s="138">
        <f>RZ[[#This Row],[Úroveň 10 s koef. (P2a)]]*RZ[[#This Row],[Počet MJHR (P0)]]</f>
        <v>0</v>
      </c>
      <c r="DA19" s="138">
        <f>RZ[Úroveň 10 bez koef. (P2a)]*RZ[[#This Row],[Počet MJHR (P0)]]</f>
        <v>0</v>
      </c>
      <c r="DB19" s="138">
        <f>RZ[[#This Row],[Koeficient odhadu HR '[-'] (P1)]]*$BQ19*IG19</f>
        <v>0</v>
      </c>
      <c r="DC19" s="231">
        <f t="shared" si="37"/>
        <v>0</v>
      </c>
      <c r="DD19" s="241">
        <f t="shared" ref="DD19:DD146" ca="1" si="120">IF(BH19=1,BR19,IF(BI19=1,BV19,IF(BJ19=1,BZ19,IF(BK19=1,CD19,IF(BL19=1,CH19,IF(BM19=1,CL19,IF(BN19=1,CP19,IF(BO19=1,CT19,IF(BP19=1,CX19,DB19)))))))))</f>
        <v>17765.815999999999</v>
      </c>
      <c r="DE19" s="229">
        <f t="shared" ref="DE19:DE146" ca="1" si="121">IF(BH19=1,BS19,IF(BI19=1,BW19,IF(BJ19=1,CA19,IF(BK19=1,CE19,IF(BL19=1,CI19,IF(BM19=1,CM19,IF(BN19=1,CQ19,IF(BO19=1,CU19,IF(BP19=1,CY19,DC19)))))))))</f>
        <v>17765.815999999999</v>
      </c>
      <c r="DF19" s="521">
        <f t="shared" si="40"/>
        <v>0</v>
      </c>
      <c r="DG19" s="522">
        <f t="shared" si="41"/>
        <v>1</v>
      </c>
      <c r="DH19" s="522">
        <f t="shared" si="42"/>
        <v>0</v>
      </c>
      <c r="DI19" s="523">
        <f t="shared" si="43"/>
        <v>0</v>
      </c>
      <c r="DJ19" s="524">
        <f t="shared" si="44"/>
        <v>0</v>
      </c>
      <c r="DK19" s="524">
        <f t="shared" si="45"/>
        <v>0</v>
      </c>
      <c r="DL19" s="524">
        <f t="shared" si="46"/>
        <v>0</v>
      </c>
      <c r="DM19" s="524">
        <f t="shared" si="47"/>
        <v>0</v>
      </c>
      <c r="DN19" s="524">
        <f t="shared" si="48"/>
        <v>0</v>
      </c>
      <c r="DO19" s="523">
        <f t="shared" si="49"/>
        <v>0</v>
      </c>
      <c r="DP19" s="525">
        <f ca="1">SUMIFS(RZ[Úroveň 1 (P4)],RZ[0],AX19)</f>
        <v>1</v>
      </c>
      <c r="DQ19" s="525">
        <f ca="1">SUMIFS(RZ[Úroveň 2 (P4)],RZ[0],AX19,RZ[Úroveň 2 (P0)],AY19)</f>
        <v>1</v>
      </c>
      <c r="DR19" s="525">
        <f ca="1">SUMIFS(RZ[Úroveň 3 (P4)],RZ[0],AX19,RZ[Úroveň 2 (P0)],AY19,RZ[Úroveň 3 (P0)],AZ19)</f>
        <v>0</v>
      </c>
      <c r="DS19" s="525">
        <f ca="1">SUMIFS(RZ[Úroveň 4 (P4)],RZ[0],AX19,RZ[Úroveň 2 (P0)],AY19,RZ[Úroveň 3 (P0)],AZ19,RZ[Úroveň 4 (P0)],BA19)</f>
        <v>0</v>
      </c>
      <c r="DT19" s="526">
        <f ca="1">SUMIFS(RZ[Úroveň 5 (P4)],RZ[0],AX19,RZ[Úroveň 2 (P0)],AY19,RZ[Úroveň 3 (P0)],AZ19,RZ[Úroveň 4 (P0)],BA19,RZ[Úroveň 5 (P0)],BB19)</f>
        <v>0</v>
      </c>
      <c r="DU19" s="526">
        <f ca="1">SUMIFS(RZ[Úroveň 6 (P4)],RZ[0],AX19,RZ[Úroveň 2 (P0)],AY19,RZ[Úroveň 3 (P0)],AZ19,RZ[Úroveň 4 (P0)],BA19,RZ[Úroveň 5 (P0)],BB19,RZ[Úroveň 6 (P0)],BC19)</f>
        <v>0</v>
      </c>
      <c r="DV19" s="526">
        <f ca="1">SUMIFS(RZ[Úroveň 7 (P4)],RZ[0],AX19,RZ[Úroveň 2 (P0)],AY19,RZ[Úroveň 3 (P0)],AZ19,RZ[Úroveň 4 (P0)],BA19,RZ[Úroveň 5 (P0)],BB19,RZ[Úroveň 6 (P0)],BC19,RZ[Úroveň 7 (P0)],BD19)</f>
        <v>0</v>
      </c>
      <c r="DW19" s="526">
        <f ca="1">SUMIFS(RZ[Úroveň 8 (P4)],RZ[0],AX19,RZ[Úroveň 2 (P0)],AY19,RZ[Úroveň 3 (P0)],AZ19,RZ[Úroveň 4 (P0)],BA19,RZ[Úroveň 5 (P0)],BB19,RZ[Úroveň 6 (P0)],BC19,RZ[Úroveň 7 (P0)],BD19,RZ[Úroveň 8 (P0)],BE19)</f>
        <v>0</v>
      </c>
      <c r="DX19" s="526">
        <f ca="1">SUMIFS(RZ[Úroveň 9 (P4)],RZ[0],AX19,RZ[Úroveň 2 (P0)],AY19,RZ[Úroveň 3 (P0)],AZ19,RZ[Úroveň 4 (P0)],BA19,RZ[Úroveň 5 (P0)],BB19,RZ[Úroveň 6 (P0)],BC19,RZ[Úroveň 7 (P0)],BD19,RZ[Úroveň 8 (P0)],BE19,RZ[Úroveň 9 (P0)],BF19)</f>
        <v>0</v>
      </c>
      <c r="DY19" s="526">
        <f ca="1">SUMIFS(RZ[Úroveň 10 (P4)],RZ[0],AX19,RZ[Úroveň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DZ19" s="527">
        <f t="shared" ref="DZ19:DZ146" ca="1" si="122">IF(DP19&lt;&gt;0,DP19,1)*IF(DQ19&lt;&gt;0,DQ19,1)*IF(DR19&lt;&gt;0,DR19,1)*IF(DS19&lt;&gt;0,DS19,1)*IF(DT19&lt;&gt;0,DT19,1)*IF(DU19&lt;&gt;0,DU19,1)*IF(DV19&lt;&gt;0,DV19,1)*IF(DW19&lt;&gt;0,DW19,1)*IF(DX19&lt;&gt;0,DX19,1)*IF(DY19&lt;&gt;0,DY19,1)</f>
        <v>1</v>
      </c>
      <c r="EA19" s="528">
        <f ca="1">RZ[[#This Row],[Jednotková hmotnost bez koef. '[kg/MJHR'] (P0)]]*RZ[[#This Row],[Počet MJHR v rozpadu (P0)]]</f>
        <v>17765.815999999999</v>
      </c>
      <c r="EB19" s="191">
        <f ca="1">IF(OFFSET(AY19,1,0,1,1)&lt;&gt;0,RZ[[#This Row],[Koeficient odhadu CR '[-'] (P1)]]*$BH19*SUMIFS(RZ[Úroveň 2 s koef. (P3)],RZ[0],AX19),RZ[[#This Row],[Koeficient odhadu CR '[-'] (P1)]]*$BH19*$IQ19)</f>
        <v>0</v>
      </c>
      <c r="EC19" s="191">
        <f ca="1">IF(OFFSET(AY19,1,0,1,1)&lt;&gt;0,$BH19*SUMIFS(RZ[Úroveň 2 bez koef. (P3)],RZ[0],AX19),$BH19*$IQ19)</f>
        <v>0</v>
      </c>
      <c r="ED19" s="140">
        <f ca="1">RZ[[#This Row],[Úroveň 2 s koef. (P3a)]]*RZ[[#This Row],[Počet MJCR (P0) pro "kg"]]</f>
        <v>3871561.5599999996</v>
      </c>
      <c r="EE19" s="140">
        <f ca="1">RZ[Úroveň 2 bez koef. (P3a)]*RZ[[#This Row],[Počet MJCR (P0) pro "kg"]]</f>
        <v>3834561.5599999996</v>
      </c>
      <c r="EF19" s="140">
        <f ca="1">IF(OFFSET(AZ19,1,0,1,1)&lt;&gt;0,RZ[[#This Row],[Koeficient odhadu CR '[-'] (P1)]]*$BI19*SUMIFS(RZ[Úroveň 3 s koef. (P3)],RZ[0],AX19,RZ[Úroveň 2 (P0)],AY19),RZ[[#This Row],[Koeficient odhadu CR '[-'] (P1)]]*$BI19*$IQ19)</f>
        <v>3871561.5599999996</v>
      </c>
      <c r="EG19" s="140">
        <f ca="1">IF(OFFSET(AZ19,1,0,1,1)&lt;&gt;0,$BI19*SUMIFS(RZ[Úroveň 3 bez koef. (P3)],RZ[0],AX19,RZ[Úroveň 2 (P0)],AY19),$BI19*$IQ19)</f>
        <v>3834561.5599999996</v>
      </c>
      <c r="EH19" s="135">
        <f ca="1">RZ[[#This Row],[Úroveň 3 s koef. (P3a)]]*RZ[[#This Row],[Počet MJCR (P0) pro "kg"]]</f>
        <v>0</v>
      </c>
      <c r="EI19" s="135">
        <f ca="1">RZ[Úroveň 3 bez koef. (P3a)]*RZ[[#This Row],[Počet MJCR (P0) pro "kg"]]</f>
        <v>0</v>
      </c>
      <c r="EJ19" s="135">
        <f ca="1">IF(OFFSET(BA19,1,0,1,1)&lt;&gt;0,RZ[[#This Row],[Koeficient odhadu CR '[-'] (P1)]]*$BJ19*SUMIFS(RZ[Úroveň 4 s koef. (P3)],RZ[0],AX19,RZ[Úroveň 2 (P0)],AY19,RZ[Úroveň 3 (P0)],AZ19),RZ[[#This Row],[Koeficient odhadu CR '[-'] (P1)]]*$BJ19*$IQ19)</f>
        <v>0</v>
      </c>
      <c r="EK19" s="135">
        <f ca="1">IF(OFFSET(BA19,1,0,1,1)&lt;&gt;0,$BJ19*SUMIFS(RZ[Úroveň 4 bez koef. (P3)],RZ[0],AX19,RZ[Úroveň 2 (P0)],AY19,RZ[Úroveň 3 (P0)],AZ19),$BJ19*$IQ19)</f>
        <v>0</v>
      </c>
      <c r="EL19" s="140">
        <f ca="1">RZ[[#This Row],[Úroveň 4 s koef. (P3a)]]*RZ[[#This Row],[Počet MJCR (P0) pro "kg"]]</f>
        <v>0</v>
      </c>
      <c r="EM19" s="140">
        <f ca="1">RZ[Úroveň 4 bez koef. (P3a)]*RZ[[#This Row],[Počet MJCR (P0) pro "kg"]]</f>
        <v>0</v>
      </c>
      <c r="EN19" s="140">
        <f ca="1">IF(OFFSET(BB19,1,0,1,1)&lt;&gt;0,RZ[[#This Row],[Koeficient odhadu CR '[-'] (P1)]]*$BK19*SUMIFS(RZ[Úroveň 5 s koef. (P3)],RZ[0],AX19,RZ[Úroveň 2 (P0)],AY19,RZ[Úroveň 3 (P0)],AZ19,RZ[Úroveň 4 (P0)],BA19),RZ[[#This Row],[Koeficient odhadu CR '[-'] (P1)]]*$BK19*$IQ19)</f>
        <v>0</v>
      </c>
      <c r="EO19" s="140">
        <f ca="1">IF(OFFSET(BB19,1,0,1,1)&lt;&gt;0,$BK19*SUMIFS(RZ[Úroveň 5 bez koef. (P3)],RZ[0],AX19,RZ[Úroveň 2 (P0)],AY19,RZ[Úroveň 3 (P0)],AZ19,RZ[Úroveň 4 (P0)],BA19),$BK19*$IQ19)</f>
        <v>0</v>
      </c>
      <c r="EP19" s="135">
        <f ca="1">RZ[[#This Row],[Úroveň 5 s koef. (P3a)]]*RZ[[#This Row],[Počet MJCR (P0) pro "kg"]]</f>
        <v>0</v>
      </c>
      <c r="EQ19" s="135">
        <f ca="1">RZ[Úroveň 5 bez koef. (P3a)]*RZ[[#This Row],[Počet MJCR (P0) pro "kg"]]</f>
        <v>0</v>
      </c>
      <c r="ER19" s="135">
        <f ca="1">IF(OFFSET(BC19,1,0,1,1)&lt;&gt;0,RZ[[#This Row],[Koeficient odhadu CR '[-'] (P1)]]*$BL19*SUMIFS(RZ[Úroveň 6 s koef. (P3)],RZ[0],AX19,RZ[Úroveň 2 (P0)],AY19,RZ[Úroveň 3 (P0)],AZ19,RZ[Úroveň 4 (P0)],BA19,RZ[Úroveň 5 (P0)],BB19),RZ[[#This Row],[Koeficient odhadu CR '[-'] (P1)]]*$BL19*$IQ19)</f>
        <v>0</v>
      </c>
      <c r="ES19" s="135">
        <f ca="1">IF(OFFSET(BC19,1,0,1,1)&lt;&gt;0,$BL19*SUMIFS(RZ[Úroveň 6 bez koef. (P3)],RZ[0],AX19,RZ[Úroveň 2 (P0)],AY19,RZ[Úroveň 3 (P0)],AZ19,RZ[Úroveň 4 (P0)],BA19,RZ[Úroveň 5 (P0)],BB19),$BL19*$IQ19)</f>
        <v>0</v>
      </c>
      <c r="ET19" s="140">
        <f ca="1">RZ[[#This Row],[Úroveň 6 s koef. (P3a)]]*RZ[[#This Row],[Počet MJCR (P0) pro "kg"]]</f>
        <v>0</v>
      </c>
      <c r="EU19" s="140">
        <f ca="1">RZ[Úroveň 6 bez koef. (P3a)]*RZ[[#This Row],[Počet MJCR (P0) pro "kg"]]</f>
        <v>0</v>
      </c>
      <c r="EV19" s="140">
        <f ca="1">IF(OFFSET(BD19,1,0,1,1)&lt;&gt;0,RZ[[#This Row],[Koeficient odhadu CR '[-'] (P1)]]*$BM19*SUMIFS(RZ[Úroveň 7 s koef. (P3)],RZ[0],AX19,RZ[Úroveň 2 (P0)],AY19,RZ[Úroveň 3 (P0)],AZ19,RZ[Úroveň 4 (P0)],BA19,RZ[Úroveň 5 (P0)],BB19,RZ[Úroveň 6 (P0)],BC19),RZ[[#This Row],[Koeficient odhadu CR '[-'] (P1)]]*$BM19*$IQ19)</f>
        <v>0</v>
      </c>
      <c r="EW19" s="140">
        <f ca="1">IF(OFFSET(BD19,1,0,1,1)&lt;&gt;0,$BM19*SUMIFS(RZ[Úroveň 7 bez koef. (P3)],RZ[0],AX19,RZ[Úroveň 2 (P0)],AY19,RZ[Úroveň 3 (P0)],AZ19,RZ[Úroveň 4 (P0)],BA19,RZ[Úroveň 5 (P0)],BB19,RZ[Úroveň 6 (P0)],BC19),$BM19*$IQ19)</f>
        <v>0</v>
      </c>
      <c r="EX19" s="135">
        <f ca="1">RZ[[#This Row],[Úroveň 7 s koef. (P3a)]]*RZ[[#This Row],[Počet MJCR (P0) pro "kg"]]</f>
        <v>0</v>
      </c>
      <c r="EY19" s="135">
        <f ca="1">RZ[Úroveň 7 bez koef. (P3a)]*RZ[[#This Row],[Počet MJCR (P0) pro "kg"]]</f>
        <v>0</v>
      </c>
      <c r="EZ19" s="135">
        <f ca="1">IF(OFFSET(BE19,1,0,1,1)&lt;&gt;0,RZ[[#This Row],[Koeficient odhadu CR '[-'] (P1)]]*$BN19*SUMIFS(RZ[Úroveň 8 s koef. (P3)],RZ[0],AX19,RZ[Úroveň 2 (P0)],AY19,RZ[Úroveň 3 (P0)],AZ19,RZ[Úroveň 4 (P0)],BA19,RZ[Úroveň 5 (P0)],BB19,RZ[Úroveň 6 (P0)],BC19,RZ[Úroveň 7 (P0)],BD19),RZ[[#This Row],[Koeficient odhadu CR '[-'] (P1)]]*$BN19*$IQ19)</f>
        <v>0</v>
      </c>
      <c r="FA19" s="135">
        <f ca="1">IF(OFFSET(BE19,1,0,1,1)&lt;&gt;0,$BN19*SUMIFS(RZ[Úroveň 8 bez koef. (P3)],RZ[0],AX19,RZ[Úroveň 2 (P0)],AY19,RZ[Úroveň 3 (P0)],AZ19,RZ[Úroveň 4 (P0)],BA19,RZ[Úroveň 5 (P0)],BB19,RZ[Úroveň 6 (P0)],BC19,RZ[Úroveň 7 (P0)],BD19),$BN19*$IQ19)</f>
        <v>0</v>
      </c>
      <c r="FB19" s="140">
        <f ca="1">RZ[[#This Row],[Úroveň 8 s koef. (P3a)]]*RZ[[#This Row],[Počet MJCR (P0) pro "kg"]]</f>
        <v>0</v>
      </c>
      <c r="FC19" s="140">
        <f ca="1">RZ[Úroveň 8 bez koef. (P3a)]*RZ[[#This Row],[Počet MJCR (P0) pro "kg"]]</f>
        <v>0</v>
      </c>
      <c r="FD19" s="140">
        <f ca="1">IF(OFFSET(BF19,1,0,1,1)&lt;&gt;0,RZ[[#This Row],[Koeficient odhadu CR '[-'] (P1)]]*$BO19*SUMIFS(RZ[Úroveň 9 s koef. (P3)],RZ[0],AX19,RZ[Úroveň 2 (P0)],AY19,RZ[Úroveň 3 (P0)],AZ19,RZ[Úroveň 4 (P0)],BA19,RZ[Úroveň 5 (P0)],BB19,RZ[Úroveň 6 (P0)],BC19,RZ[Úroveň 7 (P0)],BD19,RZ[Úroveň 8 (P0)],BE19),RZ[[#This Row],[Koeficient odhadu CR '[-'] (P1)]]*$BO19*$IQ19)</f>
        <v>0</v>
      </c>
      <c r="FE19" s="140">
        <f ca="1">IF(OFFSET(BF19,1,0,1,1)&lt;&gt;0,$BO19*SUMIFS(RZ[Úroveň 9 bez koef. (P3)],RZ[0],AX19,RZ[Úroveň 2 (P0)],AY19,RZ[Úroveň 3 (P0)],AZ19,RZ[Úroveň 4 (P0)],BA19,RZ[Úroveň 5 (P0)],BB19,RZ[Úroveň 6 (P0)],BC19,RZ[Úroveň 7 (P0)],BD19,RZ[Úroveň 8 (P0)],BE19),$BO19*$IQ19)</f>
        <v>0</v>
      </c>
      <c r="FF19" s="135">
        <f ca="1">RZ[[#This Row],[Úroveň 9 s koef. (P3a)]]*RZ[[#This Row],[Počet MJCR (P0) pro "kg"]]</f>
        <v>0</v>
      </c>
      <c r="FG19" s="135">
        <f ca="1">RZ[Úroveň 9 bez koef. (P3a)]*RZ[[#This Row],[Počet MJCR (P0) pro "kg"]]</f>
        <v>0</v>
      </c>
      <c r="FH19" s="135">
        <f ca="1">IF(OFFSET(BG19,1,0,1,1)&lt;&gt;0,RZ[[#This Row],[Koeficient odhadu CR '[-'] (P1)]]*$BP19*SUMIFS(RZ[Úroveň 10 s koef. (P3)],RZ[0],AX19,RZ[Úroveň 2 (P0)],AY19,RZ[Úroveň 3 (P0)],AZ19,RZ[Úroveň 4 (P0)],BA19,RZ[Úroveň 5 (P0)],BB19,RZ[Úroveň 6 (P0)],BC19,RZ[Úroveň 7 (P0)],BD19,RZ[Úroveň 8 (P0)],BE19,RZ[Úroveň 9 (P0)],BF19),RZ[[#This Row],[Koeficient odhadu CR '[-'] (P1)]]*$BP19*$IQ19)</f>
        <v>0</v>
      </c>
      <c r="FI19" s="135">
        <f ca="1">IF(OFFSET(BG19,1,0,1,1)&lt;&gt;0,$BP19*SUMIFS(RZ[Úroveň 10 bez koef. (P3)],RZ[0],AX19,RZ[Úroveň 2 (P0)],AY19,RZ[Úroveň 3 (P0)],AZ19,RZ[Úroveň 4 (P0)],BA19,RZ[Úroveň 5 (P0)],BB19,RZ[Úroveň 6 (P0)],BC19,RZ[Úroveň 7 (P0)],BD19,RZ[Úroveň 8 (P0)],BE19,RZ[Úroveň 9 (P0)],BF19),$BP19*$IQ19)</f>
        <v>0</v>
      </c>
      <c r="FJ19" s="140">
        <f ca="1">RZ[[#This Row],[Úroveň 10 s koef. (P3a)]]*RZ[[#This Row],[Počet MJCR (P0) pro "kg"]]</f>
        <v>0</v>
      </c>
      <c r="FK19" s="140">
        <f ca="1">RZ[Úroveň 10 bez koef. (P3a)]*RZ[[#This Row],[Počet MJCR (P0) pro "kg"]]</f>
        <v>0</v>
      </c>
      <c r="FL19" s="140">
        <f ca="1">RZ[[#This Row],[Koeficient odhadu CR '[-'] (P1)]]*$BQ19*IQ19</f>
        <v>0</v>
      </c>
      <c r="FM19" s="236">
        <f t="shared" ca="1" si="51"/>
        <v>0</v>
      </c>
      <c r="FN19" s="194">
        <f t="shared" ref="FN19:FN146" ca="1" si="123">IF(BH19=1,EB19,IF(BI19=1,EF19,IF(BJ19=1,EJ19,IF(BK19=1,EN19,IF(BL19=1,ER19,IF(BM19=1,EV19,IF(BN19=1,EZ19,IF(BO19=1,FD19,IF(BP19=1,FH19,FL19)))))))))</f>
        <v>3871561.5599999996</v>
      </c>
      <c r="FO19" s="238">
        <f t="shared" ref="FO19:FO146" ca="1" si="124">IF(BH19=1,EC19,IF(BI19=1,EG19,IF(BJ19=1,EK19,IF(BK19=1,EO19,IF(BL19=1,ES19,IF(BM19=1,EW19,IF(BN19=1,FA19,IF(BO19=1,FE19,IF(BP19=1,FI19,FM19)))))))))</f>
        <v>3834561.5599999996</v>
      </c>
      <c r="FP19" s="191">
        <f t="shared" ca="1" si="54"/>
        <v>0</v>
      </c>
      <c r="FQ19" s="135">
        <f t="shared" ca="1" si="55"/>
        <v>1</v>
      </c>
      <c r="FR19" s="135">
        <f t="shared" ca="1" si="56"/>
        <v>0</v>
      </c>
      <c r="FS19" s="135">
        <f t="shared" ca="1" si="57"/>
        <v>0</v>
      </c>
      <c r="FT19" s="135">
        <f t="shared" ca="1" si="58"/>
        <v>0</v>
      </c>
      <c r="FU19" s="135">
        <f t="shared" ca="1" si="59"/>
        <v>0</v>
      </c>
      <c r="FV19" s="135">
        <f t="shared" ca="1" si="60"/>
        <v>0</v>
      </c>
      <c r="FW19" s="135">
        <f t="shared" ca="1" si="61"/>
        <v>0</v>
      </c>
      <c r="FX19" s="135">
        <f t="shared" ca="1" si="62"/>
        <v>0</v>
      </c>
      <c r="FY19" s="135">
        <f t="shared" ca="1" si="63"/>
        <v>0</v>
      </c>
      <c r="FZ19" s="140">
        <f ca="1">SUMIFS(RZ[Úroveň 1 (P6)],RZ[0],AX19)</f>
        <v>1</v>
      </c>
      <c r="GA19" s="140">
        <f ca="1">SUMIFS(RZ[Úroveň 2 (P6)],RZ[0],AX19,RZ[Úroveň 2 (P0)],AY19)</f>
        <v>1</v>
      </c>
      <c r="GB19" s="140">
        <f ca="1">SUMIFS(RZ[Úroveň 3 (P6)],RZ[0],AX19,RZ[Úroveň 2 (P0)],AY19,RZ[Úroveň 3 (P0)],AZ19)</f>
        <v>0</v>
      </c>
      <c r="GC19" s="140">
        <f ca="1">SUMIFS(RZ[Úroveň 4 (P6)],RZ[0],AX19,RZ[Úroveň 2 (P0)],AY19,RZ[Úroveň 3 (P0)],AZ19,RZ[Úroveň 4 (P0)],BA19)</f>
        <v>0</v>
      </c>
      <c r="GD19" s="140">
        <f ca="1">SUMIFS(RZ[Úroveň 5 (P6)],RZ[0],AX19,RZ[Úroveň 2 (P0)],AY19,RZ[Úroveň 3 (P0)],AZ19,RZ[Úroveň 4 (P0)],BA19,RZ[Úroveň 5 (P0)],BB19)</f>
        <v>0</v>
      </c>
      <c r="GE19" s="140">
        <f ca="1">SUMIFS(RZ[Úroveň 6 (P6)],RZ[0],AX19,RZ[Úroveň 2 (P0)],AY19,RZ[Úroveň 3 (P0)],AZ19,RZ[Úroveň 4 (P0)],BA19,RZ[Úroveň 5 (P0)],BB19,RZ[Úroveň 6 (P0)],BC19)</f>
        <v>0</v>
      </c>
      <c r="GF19" s="140">
        <f ca="1">SUMIFS(RZ[Úroveň 7 (P6)],RZ[0],AX19,RZ[Úroveň 2 (P0)],AY19,RZ[Úroveň 3 (P0)],AZ19,RZ[Úroveň 4 (P0)],BA19,RZ[Úroveň 5 (P0)],BB19,RZ[Úroveň 6 (P0)],BC19,RZ[Úroveň 7 (P0)],BD19)</f>
        <v>0</v>
      </c>
      <c r="GG19" s="140">
        <f ca="1">SUMIFS(RZ[Úroveň 8 (P6)],RZ[0],AX19,RZ[Úroveň 2 (P0)],AY19,RZ[Úroveň 3 (P0)],AZ19,RZ[Úroveň 4 (P0)],BA19,RZ[Úroveň 5 (P0)],BB19,RZ[Úroveň 6 (P0)],BC19,RZ[Úroveň 7 (P0)],BD19,RZ[Úroveň 8 (P0)],BE19)</f>
        <v>0</v>
      </c>
      <c r="GH19" s="140">
        <f ca="1">SUMIFS(RZ[Úroveň 9 (P6)],RZ[0],AX19,RZ[Úroveň 2 (P0)],AY19,RZ[Úroveň 3 (P0)],AZ19,RZ[Úroveň 4 (P0)],BA19,RZ[Úroveň 5 (P0)],BB19,RZ[Úroveň 6 (P0)],BC19,RZ[Úroveň 7 (P0)],BD19,RZ[Úroveň 8 (P0)],BE19,RZ[Úroveň 9 (P0)],BF19)</f>
        <v>0</v>
      </c>
      <c r="GI19" s="140">
        <f ca="1">SUMIFS(RZ[Úroveň 10 (P6)],RZ[0],AX19,RZ[Úroveň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GJ19" s="194">
        <f t="shared" ref="GJ19:GJ146" ca="1" si="125">IF(FZ19&lt;&gt;0,FZ19,1)*IF(GA19&lt;&gt;0,GA19,1)*IF(GB19&lt;&gt;0,GB19,1)*IF(GC19&lt;&gt;0,GC19,1)*IF(GD19&lt;&gt;0,GD19,1)*IF(GE19&lt;&gt;0,GE19,1)*IF(GF19&lt;&gt;0,GF19,1)*IF(GG19&lt;&gt;0,GG19,1)*IF(GH19&lt;&gt;0,GH19,1)*IF(GI19&lt;&gt;0,GI19,1)</f>
        <v>1</v>
      </c>
      <c r="GK19" s="807">
        <f t="shared" si="65"/>
        <v>0</v>
      </c>
      <c r="GL19" s="808">
        <f t="shared" si="66"/>
        <v>1</v>
      </c>
      <c r="GM19" s="808">
        <f t="shared" si="67"/>
        <v>0</v>
      </c>
      <c r="GN19" s="808">
        <f t="shared" si="68"/>
        <v>0</v>
      </c>
      <c r="GO19" s="808">
        <f t="shared" si="69"/>
        <v>0</v>
      </c>
      <c r="GP19" s="808">
        <f t="shared" si="70"/>
        <v>0</v>
      </c>
      <c r="GQ19" s="808">
        <f t="shared" si="71"/>
        <v>0</v>
      </c>
      <c r="GR19" s="808">
        <f t="shared" si="72"/>
        <v>0</v>
      </c>
      <c r="GS19" s="808">
        <f t="shared" si="73"/>
        <v>0</v>
      </c>
      <c r="GT19" s="808">
        <f t="shared" si="74"/>
        <v>0</v>
      </c>
      <c r="GU19" s="809">
        <f ca="1">SUMIFS(RZ[Sloupec1],RZ[0],AX19)</f>
        <v>1</v>
      </c>
      <c r="GV19" s="809">
        <f ca="1">SUMIFS(RZ[Sloupec2],RZ[0],AX19,RZ[Úroveň 2 (P0)],AY19)</f>
        <v>1</v>
      </c>
      <c r="GW19" s="809">
        <f ca="1">SUMIFS(RZ[Sloupec3],RZ[0],AX19,RZ[Úroveň 2 (P0)],AY19,RZ[Úroveň 3 (P0)],AZ19)</f>
        <v>0</v>
      </c>
      <c r="GX19" s="809">
        <f ca="1">SUMIFS(RZ[Sloupec4],RZ[0],AX19,RZ[Úroveň 2 (P0)],AY19,RZ[Úroveň 3 (P0)],AZ19,RZ[Úroveň 4 (P0)],BA19)</f>
        <v>0</v>
      </c>
      <c r="GY19" s="809">
        <f ca="1">SUMIFS(RZ[Sloupec5],RZ[0],AX19,RZ[Úroveň 2 (P0)],AY19,RZ[Úroveň 3 (P0)],AZ19,RZ[Úroveň 4 (P0)],BA19,RZ[Úroveň 5 (P0)],BB19)</f>
        <v>0</v>
      </c>
      <c r="GZ19" s="809">
        <f ca="1">SUMIFS(RZ[Sloupec6],RZ[0],AX19,RZ[Úroveň 2 (P0)],AY19,RZ[Úroveň 3 (P0)],AZ19,RZ[Úroveň 4 (P0)],BA19,RZ[Úroveň 5 (P0)],BB19,RZ[Úroveň 6 (P0)],BC19)</f>
        <v>0</v>
      </c>
      <c r="HA19" s="809">
        <f ca="1">SUMIFS(RZ[Sloupec62],RZ[0],AX19,RZ[Úroveň 2 (P0)],AY19,RZ[Úroveň 3 (P0)],AZ19,RZ[Úroveň 4 (P0)],BA19,RZ[Úroveň 5 (P0)],BB19,RZ[Úroveň 6 (P0)],BC19,RZ[Úroveň 7 (P0)],BD19)</f>
        <v>0</v>
      </c>
      <c r="HB19" s="809">
        <f ca="1">SUMIFS(RZ[Sloupec63],RZ[0],AX19,RZ[Úroveň 2 (P0)],AY19,RZ[Úroveň 3 (P0)],AZ19,RZ[Úroveň 4 (P0)],BA19,RZ[Úroveň 5 (P0)],BB19,RZ[Úroveň 6 (P0)],BC19,RZ[Úroveň 7 (P0)],BD19,RZ[Úroveň 8 (P0)],BE19)</f>
        <v>0</v>
      </c>
      <c r="HC19" s="809">
        <f ca="1">SUMIFS(RZ[Sloupec64],RZ[0],AX19,RZ[Úroveň 2 (P0)],AY19,RZ[Úroveň 3 (P0)],AZ19,RZ[Úroveň 4 (P0)],BA19,RZ[Úroveň 5 (P0)],BB19,RZ[Úroveň 6 (P0)],BC19,RZ[Úroveň 7 (P0)],BD19,RZ[Úroveň 8 (P0)],BE19,RZ[Úroveň 9 (P0)],BF19)</f>
        <v>0</v>
      </c>
      <c r="HD19" s="809">
        <f ca="1">SUMIFS(RZ[Sloupec65],RZ[0],AX19,RZ[Úroveň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HE19" s="803">
        <f t="shared" ca="1" si="75"/>
        <v>1</v>
      </c>
      <c r="HF19" s="48" t="str">
        <f t="shared" si="76"/>
        <v/>
      </c>
      <c r="HG19" s="94" t="str">
        <f t="shared" si="77"/>
        <v/>
      </c>
      <c r="HH19" s="95" t="str">
        <f t="shared" si="78"/>
        <v>Pohon rotačního výklopníku</v>
      </c>
      <c r="HI19" s="95" t="str">
        <f t="shared" si="79"/>
        <v/>
      </c>
      <c r="HJ19" s="96" t="str">
        <f t="shared" si="80"/>
        <v/>
      </c>
      <c r="HK19" s="96" t="str">
        <f t="shared" si="81"/>
        <v/>
      </c>
      <c r="HL19" s="96" t="str">
        <f t="shared" si="82"/>
        <v/>
      </c>
      <c r="HM19" s="96" t="str">
        <f t="shared" si="83"/>
        <v/>
      </c>
      <c r="HN19" s="96" t="str">
        <f t="shared" si="84"/>
        <v/>
      </c>
      <c r="HO19" s="96" t="str">
        <f t="shared" si="85"/>
        <v/>
      </c>
      <c r="HP19" s="96" t="str">
        <f t="shared" si="86"/>
        <v/>
      </c>
      <c r="HQ19" s="145" t="str">
        <f t="shared" si="87"/>
        <v>-</v>
      </c>
      <c r="HR19" s="175" t="str">
        <f t="shared" si="88"/>
        <v/>
      </c>
      <c r="HS19" s="173">
        <f t="shared" si="89"/>
        <v>0</v>
      </c>
      <c r="HT19" s="99">
        <f t="shared" si="90"/>
        <v>0</v>
      </c>
      <c r="HU19" s="99">
        <f t="shared" si="91"/>
        <v>0</v>
      </c>
      <c r="HV19" s="209">
        <f t="shared" si="92"/>
        <v>0</v>
      </c>
      <c r="HW19" s="47">
        <f t="shared" si="93"/>
        <v>0</v>
      </c>
      <c r="HX19" s="46">
        <f t="shared" si="94"/>
        <v>0</v>
      </c>
      <c r="HY19" s="149" t="str">
        <f t="shared" si="95"/>
        <v>S</v>
      </c>
      <c r="HZ19" s="263">
        <f t="shared" si="96"/>
        <v>0</v>
      </c>
      <c r="IA19" s="150">
        <f t="shared" si="97"/>
        <v>1</v>
      </c>
      <c r="IB19" s="319">
        <f t="shared" si="98"/>
        <v>0</v>
      </c>
      <c r="IC19" s="220">
        <f t="shared" si="99"/>
        <v>0</v>
      </c>
      <c r="ID19" s="200" t="str">
        <f t="shared" ca="1" si="100"/>
        <v>--</v>
      </c>
      <c r="IE19" s="201">
        <f t="shared" si="101"/>
        <v>0</v>
      </c>
      <c r="IF19" s="145">
        <f t="shared" si="102"/>
        <v>1</v>
      </c>
      <c r="IG19" s="216">
        <f t="shared" si="103"/>
        <v>0</v>
      </c>
      <c r="IH19" s="217">
        <f t="shared" ref="IH19:IH146" si="126">IF(IA19=0,1,IA19)</f>
        <v>1</v>
      </c>
      <c r="II19" s="224">
        <f ca="1">IF(RZ[[#This Row],[Rozhodný sloupec indikativní ceny]]=1,"kg",IF($IW19=$JL$15,IF(JX19=0,JO19,JX19),IF($IW19=$KE$15,IF(KQ19=0,KH19,KQ19),IF($IW19=$KX$15,IF(LJ19=0,LA19,LJ19),IF($IW19=$LQ$15,IF(MC19=0,LT19,MC19),IF($IW19=$MJ$15,IF(NQ19=0,NH19,NQ19),0))))))</f>
        <v>0</v>
      </c>
      <c r="IJ19" s="224">
        <f ca="1">IF((BH19+OFFSET(BH19,1,1,1,1))=2,RZ[[#This Row],[Počet MJHR (P0)]],IF((BI19+OFFSET(BI19,1,1,1,1))=2,RZ[[#This Row],[Počet MJHR (P0)]],IF((BJ19+OFFSET(BJ19,1,1,1,1))=2,RZ[[#This Row],[Počet MJHR (P0)]],IF((BK19+OFFSET(BK19,1,1,1,1))=2,RZ[[#This Row],[Počet MJHR (P0)]],IF((BL19+OFFSET(BL19,1,1,1,1))=2,RZ[[#This Row],[Počet MJHR (P0)]],IF((BM19+OFFSET(BM19,1,1,1,1))=2,RZ[[#This Row],[Počet MJHR (P0)]],IF((BN19+OFFSET(BN19,1,1,1,1))=2,RZ[[#This Row],[Počet MJHR (P0)]],IF((BO19+OFFSET(BO19,1,1,1,1))=2,RZ[[#This Row],[Počet MJHR (P0)]],IF((BP19+OFFSET(BP19,1,1,1,1))=2,RZ[[#This Row],[Počet MJHR (P0)]],IF((BQ19+OFFSET(BQ19,1,1,1,1))=2,RZ[[#This Row],[Počet MJHR (P0)]],IF(RZ[[#This Row],[Měrná jednotka CR (MJCR) (P0)]]=RZ[[#This Row],[Měrná jednotka HR '[MJHR'] (P0)]],RZ[[#This Row],[Počet MJHR (P0)]],IF($IW19=$JL$15,JY19,IF($IW19=$KE$15,KR19,IF($IW19=$KX$15,LK19,IF($IW19=$LQ$15,MD19,IF($IW19=$MJ$15,NR19,0))))))))))))))))</f>
        <v>1</v>
      </c>
      <c r="IK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9" s="330">
        <f ca="1">IF(AND(RZ[[#This Row],[Jednotková cena bez DPH '[cena/MJCR'] (P0)]]=0,RZ[[#This Row],[Indikativní jednotková cena '[CZK/kg'] (P1)]]&lt;&gt;0),1,0)</f>
        <v>0</v>
      </c>
      <c r="IM19" s="217">
        <f ca="1">VLOOKUP(RZ[[#This Row],[Kód položek]],INDIKAT_CENA,2,FALSE)</f>
        <v>0</v>
      </c>
      <c r="IN19" s="222">
        <f ca="1">IF(RZ[[#This Row],[Rozhodný sloupec indikativní ceny]]=1,RZ[[#This Row],[Indikativní jednotková cena '[CZK/kg'] (P1)]],RZ[[#This Row],[Jednotková cena bez DPH '[cena/MJCR'] (P0)]])</f>
        <v>0</v>
      </c>
      <c r="IO19" s="222">
        <f t="shared" ref="IO19:IO146" si="127">IF(IC19=0,1,IC19)</f>
        <v>1</v>
      </c>
      <c r="IP19" s="223">
        <f ca="1">IF(RZ[[#This Row],[Rozhodný sloupec indikativní ceny]]=1,1,IF($IW19=$JL$15,KA19,IF($IW19=$KE$15,KT19,IF($IW19=$KX$15,LM19,IF($IW19=$LQ$15,MF19,IF($IW19=$MJ$15,NT19,0))))))</f>
        <v>0</v>
      </c>
      <c r="IQ19" s="225">
        <f ca="1">IF(RZ[[#This Row],[Jednotková cena bez DPH '[cena/MJCR'] (P1)]]="",0,IF(IP19=0,0,(RZ[[#This Row],[Jednotková cena bez DPH '[cena/MJCR'] (P1)]]*VLOOKUP(IP19,$BR$7:$BT$10,3))))</f>
        <v>0</v>
      </c>
      <c r="IR19" s="736"/>
      <c r="IS19" s="627">
        <f>IF(HY19=0,"",VLOOKUP(RZ[[#This Row],[Stav Projekce (P0)]],Vstupy!$E$11:'Vstupy'!$E$11:$H$17,4,FALSE))</f>
        <v>100</v>
      </c>
      <c r="IT19" s="628" t="str">
        <f>IF(RZ[[#This Row],[Stav Projekce (P0)]]=0,"",RZ[[#This Row],[Stav Projekce (P0)]])</f>
        <v>S</v>
      </c>
      <c r="IU19" s="628" t="str">
        <f>IF(RZ[[#This Row],[Stav Nákup (P0)]]=0,"",RZ[[#This Row],[Stav Nákup (P0)]])</f>
        <v/>
      </c>
      <c r="IV19" s="636" t="str">
        <f t="shared" ref="IV19:IV146" si="128">IF(HV19=0,"",HV19)</f>
        <v/>
      </c>
      <c r="IW19" s="641">
        <v>1</v>
      </c>
      <c r="IX19" s="629"/>
      <c r="IY19" s="781"/>
      <c r="IZ19" s="776"/>
      <c r="JA19" s="780" t="s">
        <v>737</v>
      </c>
      <c r="JB19" s="780"/>
      <c r="JC19" s="780"/>
      <c r="JD19" s="780"/>
      <c r="JE19" s="780"/>
      <c r="JF19" s="780"/>
      <c r="JG19" s="780"/>
      <c r="JH19" s="780"/>
      <c r="JI19" s="780"/>
      <c r="JJ19" s="778" t="s">
        <v>231</v>
      </c>
      <c r="JK19" s="782"/>
      <c r="JL19" s="286"/>
      <c r="JM19" s="99"/>
      <c r="JN19" s="99"/>
      <c r="JO19" s="153"/>
      <c r="JP19" s="117">
        <v>1</v>
      </c>
      <c r="JQ19" s="117"/>
      <c r="JR19" s="148">
        <v>1</v>
      </c>
      <c r="JS19" s="145" t="s">
        <v>602</v>
      </c>
      <c r="JT19" s="783"/>
      <c r="JU19" s="148"/>
      <c r="JV19" s="154"/>
      <c r="JW19" s="153"/>
      <c r="JX19" s="210"/>
      <c r="JY19" s="117"/>
      <c r="JZ19" s="662"/>
      <c r="KA19" s="145"/>
      <c r="KB19" s="148"/>
      <c r="KC19" s="148"/>
      <c r="KD19" s="529"/>
      <c r="KE19" s="286"/>
      <c r="KF19" s="99"/>
      <c r="KG19" s="99"/>
      <c r="KH19" s="153"/>
      <c r="KI19" s="117"/>
      <c r="KJ19" s="117"/>
      <c r="KK19" s="148"/>
      <c r="KL19" s="145"/>
      <c r="KM19" s="784"/>
      <c r="KN19" s="148"/>
      <c r="KO19" s="154"/>
      <c r="KP19" s="153"/>
      <c r="KQ19" s="210"/>
      <c r="KR19" s="117"/>
      <c r="KS19" s="211"/>
      <c r="KT19" s="145"/>
      <c r="KU19" s="148"/>
      <c r="KV19" s="148"/>
      <c r="KW19" s="785"/>
      <c r="KX19" s="286"/>
      <c r="KY19" s="99"/>
      <c r="KZ19" s="99"/>
      <c r="LA19" s="153"/>
      <c r="LB19" s="117"/>
      <c r="LC19" s="117"/>
      <c r="LD19" s="148"/>
      <c r="LE19" s="145"/>
      <c r="LF19" s="784"/>
      <c r="LG19" s="148"/>
      <c r="LH19" s="154"/>
      <c r="LI19" s="153"/>
      <c r="LJ19" s="153"/>
      <c r="LK19" s="117"/>
      <c r="LL19" s="211"/>
      <c r="LM19" s="210"/>
      <c r="LN19" s="148"/>
      <c r="LO19" s="148"/>
      <c r="LP19" s="175"/>
      <c r="LQ19" s="286"/>
      <c r="LR19" s="99"/>
      <c r="LS19" s="99"/>
      <c r="LT19" s="153"/>
      <c r="LU19" s="117"/>
      <c r="LV19" s="117"/>
      <c r="LW19" s="148"/>
      <c r="LX19" s="145"/>
      <c r="LY19" s="784"/>
      <c r="LZ19" s="148"/>
      <c r="MA19" s="154"/>
      <c r="MB19" s="153"/>
      <c r="MC19" s="153"/>
      <c r="MD19" s="117"/>
      <c r="ME19" s="211"/>
      <c r="MF19" s="210"/>
      <c r="MG19" s="148"/>
      <c r="MH19" s="148"/>
      <c r="MI19" s="175"/>
      <c r="MJ19" s="647"/>
      <c r="MK19" s="264"/>
      <c r="ML19" s="153"/>
      <c r="MM19" s="153"/>
      <c r="MN19" s="153"/>
      <c r="MO19" s="153"/>
      <c r="MP19" s="153"/>
      <c r="MQ19" s="153"/>
      <c r="MR19" s="153"/>
      <c r="MS19" s="99"/>
      <c r="MT19" s="99"/>
      <c r="MU19" s="99"/>
      <c r="MV19" s="99"/>
      <c r="MW19" s="99"/>
      <c r="MX19" s="99"/>
      <c r="MY19" s="153"/>
      <c r="MZ19" s="153"/>
      <c r="NA19" s="153"/>
      <c r="NB19" s="153"/>
      <c r="NC19" s="153"/>
      <c r="ND19" s="153"/>
      <c r="NE19" s="148"/>
      <c r="NF19" s="153"/>
      <c r="NG19" s="153"/>
      <c r="NH19" s="145" t="str">
        <f t="shared" si="107"/>
        <v>ks</v>
      </c>
      <c r="NI19" s="779">
        <f>RZ[[#This Row],[Počet ks (K)]]</f>
        <v>0</v>
      </c>
      <c r="NJ19" s="210">
        <f>RZ[[#This Row],[Hmotnost '[kg/ks'] (K)]]</f>
        <v>0</v>
      </c>
      <c r="NK19" s="148"/>
      <c r="NL19" s="145"/>
      <c r="NM19" s="784"/>
      <c r="NN19" s="148"/>
      <c r="NO19" s="154"/>
      <c r="NP19" s="153"/>
      <c r="NQ19" s="153"/>
      <c r="NR19" s="210"/>
      <c r="NS19" s="148"/>
      <c r="NT19" s="210"/>
      <c r="NU19" s="148"/>
      <c r="NV19" s="148"/>
      <c r="NW19" s="175"/>
    </row>
    <row r="20" spans="2:387" ht="15.95" customHeight="1" x14ac:dyDescent="0.35">
      <c r="B20" s="118" t="str">
        <f t="shared" ref="B20:B54" si="129">IF(HF20=0,"",HF20)</f>
        <v/>
      </c>
      <c r="C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0" s="262" t="str">
        <f t="shared" ref="D20:D54" si="130">IF(HG20&lt;&gt;"",HG20,IF(HH20&lt;&gt;"","  "&amp;HH20,IF(HI20&lt;&gt;"","  "&amp;"  "&amp;HI20,IF(HJ20&lt;&gt;"","  "&amp;"  "&amp;"  "&amp;HJ20,IF(HK20&lt;&gt;"","  "&amp;"  "&amp;"  "&amp;"  "&amp;HK20,IF(HL20&lt;&gt;"","  "&amp;"  "&amp;"  "&amp;"  "&amp;"  "&amp;HL20,IF(HM20&lt;&gt;"","  "&amp;"  "&amp;"  "&amp;"  "&amp;"  "&amp;"  "&amp;HM20,IF(HN20&lt;&gt;"","  "&amp;"  "&amp;"  "&amp;"  "&amp;"  "&amp;"  "&amp;"  "&amp;HN20,IF(HO20&lt;&gt;"","  "&amp;"  "&amp;"  "&amp;"  "&amp;"  "&amp;"  "&amp;"  "&amp;"  "&amp;HO20,IF(HP20&lt;&gt;"","  "&amp;"  "&amp;"  "&amp;"  "&amp;"  "&amp;"  "&amp;"  "&amp;"  "&amp;"  "&amp;HP20,0))))))))))</f>
        <v xml:space="preserve">    Rám pohonu</v>
      </c>
      <c r="E20" s="120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Row],[Kód položek (P2)]]))))))))))</f>
        <v>OKS1</v>
      </c>
      <c r="F20" s="791" t="str">
        <f t="shared" ref="F20:F54" si="131">IF(HS20=0,"N/A",HS20)</f>
        <v>N/A</v>
      </c>
      <c r="G20" s="792" t="str">
        <f t="shared" ref="G20:G54" si="132">IF(HT20=0,"",HT20)</f>
        <v/>
      </c>
      <c r="H20" s="262" t="str">
        <f t="shared" ref="H20:H54" si="133">IF(HU20=0,"",HU20)</f>
        <v/>
      </c>
      <c r="I20" s="123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HR '[MJHR'] (P0)]]))))))))))</f>
        <v>ks</v>
      </c>
      <c r="J20" s="123">
        <f t="shared" ref="J20:J54" si="134">IF(IF20=0,"",IF20)</f>
        <v>1</v>
      </c>
      <c r="K20" s="793">
        <f>RZ[[#This Row],[Koeficient odhadu HR '[-'] (P1)]]</f>
        <v>1</v>
      </c>
      <c r="L20" s="124">
        <f ca="1">RZ[[#This Row],[Jednotková hmotnost s koef. '[kg/MJHR'] (P0)]]</f>
        <v>683</v>
      </c>
      <c r="M20" s="794">
        <f t="shared" ref="M20:M54" ca="1" si="135">IF(ISNUMBER(K20),L20/K20*(K20-1),0)</f>
        <v>0</v>
      </c>
      <c r="N20" s="125">
        <f t="shared" ref="N20:N54" ca="1" si="136">IF(ISNUMBER(J20),J20*L20,0)</f>
        <v>683</v>
      </c>
      <c r="O20" s="125">
        <f t="shared" ref="O20:O54" ca="1" si="137">IF(ISNUMBER(J20),J20*M20,0)</f>
        <v>0</v>
      </c>
      <c r="P20" s="126" t="str">
        <f t="shared" ref="P20:P54" si="138">IF(HR20=0,"",HR20)</f>
        <v/>
      </c>
      <c r="Q20" s="795">
        <f ca="1">RZ[[#This Row],[Počet MJHR v rozpadu (P0)]]</f>
        <v>1</v>
      </c>
      <c r="R20" s="439" t="str">
        <f t="shared" ref="R20:R54" si="139">IF(HV20&lt;&gt;0,HV20,"")</f>
        <v/>
      </c>
      <c r="S20" s="129" t="str">
        <f t="shared" ref="S20:S54" si="140">IF(HW20&lt;&gt;0,HW20,"")</f>
        <v/>
      </c>
      <c r="T20" s="126" t="str">
        <f t="shared" ref="T20:T54" si="141">IF(HX20=0,"",HX20)</f>
        <v/>
      </c>
      <c r="U20" s="126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CR (MJCR) (P0)]]))))))))))</f>
        <v>kg</v>
      </c>
      <c r="V20" s="575">
        <f t="shared" ref="V20:V54" ca="1" si="142">IF(IK20=0,"",IK20)</f>
        <v>683</v>
      </c>
      <c r="W20" s="322">
        <f>RZ[[#This Row],[Koeficient odhadu CR '[-'] (P1)]]</f>
        <v>1</v>
      </c>
      <c r="X20" s="440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Row],[Jednotková cena bez DPH '[cena/MJCR'] (P1)]]*RZ[[#This Row],[Koeficient odhadu CR '[-']]]))))))))))</f>
        <v>140</v>
      </c>
      <c r="Y20" s="440">
        <f t="shared" ref="Y20:Y54" ca="1" si="143">IF(ISNUMBER(X20),-X20/W20*(W20-1),0)</f>
        <v>0</v>
      </c>
      <c r="Z20" s="142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VLOOKUP(IP20,$BR$7:$BS$11,2,FALSE)))))))))))</f>
        <v>CZK</v>
      </c>
      <c r="AA20" s="909">
        <f t="shared" ref="AA20:AA54" ca="1" si="144">GJ20</f>
        <v>683</v>
      </c>
      <c r="AB20" s="910">
        <f ca="1">RZ[[#This Row],[Kumulovaný koeficient v rozpadu (P0)]]</f>
        <v>1</v>
      </c>
      <c r="AC20" s="261"/>
      <c r="AD20" s="796">
        <f ca="1">RZ[[#This Row],[Jednotková cena bez DPH '[cena/MJCR'] s koef. (P0)]]/RZ[[#This Row],[Koeficient odhadu CR '[-']]]*RZ[[#This Row],[Kumulovaný koeficient odhadu CR  '[-']]]</f>
        <v>140</v>
      </c>
      <c r="AE20" s="796">
        <f t="shared" ref="AE20:AE54" ca="1" si="145">IF(ISNUMBER(AA20),AA20*AD20,0)*IF(V20="",0,1)</f>
        <v>95620</v>
      </c>
      <c r="AF20" s="796">
        <f ca="1">-IF(ISNUMBER(AA20),RZ[[#This Row],[Celková cena bez DPH (1)]]-RZ[[#This Row],[Jednotková cena bez DPH '[cena/MJCR'] bez koef. (P0)]]*AA20,0)</f>
        <v>0</v>
      </c>
      <c r="AG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20" s="261"/>
      <c r="AI20" s="796">
        <f t="shared" ref="AI20:AI54" ca="1" si="146">AD20/VLOOKUP($AJ$13,KURZY,3,FALSE)</f>
        <v>5.1851851851851851</v>
      </c>
      <c r="AJ20" s="796">
        <f t="shared" ref="AJ20:AJ54" ca="1" si="147">AE20/VLOOKUP($AJ$13,KURZY,3,FALSE)*IF(V20="",0,1)</f>
        <v>3541.4814814814813</v>
      </c>
      <c r="AK20" s="796">
        <f t="shared" ref="AK20:AK54" ca="1" si="148">AF20/VLOOKUP($AJ$13,KURZY,3,FALSE)</f>
        <v>0</v>
      </c>
      <c r="AL20" s="753">
        <f ca="1">RZ[[#This Row],[Kilogramová cena bez DPH '[cena/kg'] (1)]]/$AK$13</f>
        <v>5.1851851851851851</v>
      </c>
      <c r="AM20" s="261"/>
      <c r="AN20" s="796">
        <f t="shared" ref="AN20:AN54" ca="1" si="149">AD20/VLOOKUP($AO$13,KURZY,3,FALSE)</f>
        <v>6.7632850241545892</v>
      </c>
      <c r="AO20" s="796">
        <f t="shared" ref="AO20:AO54" ca="1" si="150">AE20/VLOOKUP($AO$13,KURZY,3,FALSE)*IF(V20="",0,1)</f>
        <v>4619.3236714975847</v>
      </c>
      <c r="AP20" s="796">
        <f t="shared" ref="AP20:AP54" ca="1" si="151">AF20/VLOOKUP($AO$13,KURZY,3,FALSE)</f>
        <v>0</v>
      </c>
      <c r="AQ20" s="753">
        <f ca="1">RZ[[#This Row],[Kilogramová cena bez DPH '[cena/kg'] (1)]]/$AP$13</f>
        <v>6.7632850241545892</v>
      </c>
      <c r="AR20" s="261"/>
      <c r="AS20" s="796">
        <f t="shared" ref="AS20:AS54" ca="1" si="152">AD20/VLOOKUP($AT$13,KURZY,3,FALSE)</f>
        <v>3.8293216630196936</v>
      </c>
      <c r="AT20" s="796">
        <f t="shared" ref="AT20:AT54" ca="1" si="153">AE20/VLOOKUP($AT$13,KURZY,3,FALSE)*IF(V20="",0,1)</f>
        <v>2615.4266958424505</v>
      </c>
      <c r="AU20" s="789">
        <f t="shared" ref="AU20:AU54" ca="1" si="154">AF20/VLOOKUP($AT$13,KURZY,3,FALSE)</f>
        <v>0</v>
      </c>
      <c r="AV20" s="767">
        <f ca="1">RZ[[#This Row],[Kilogramová cena bez DPH '[cena/kg'] (1)]]/$AU$13</f>
        <v>3.8293216630196936</v>
      </c>
      <c r="AW20" s="165"/>
      <c r="AX20" s="911">
        <f t="shared" ref="AX20:AX54" ca="1" si="155">IF($BH20=0,IF(AY20&gt;0,OFFSET(AX20,-1,0,1,1),0),OFFSET(AX20,-1,0,1,1)+1)</f>
        <v>2</v>
      </c>
      <c r="AY20" s="111">
        <f t="shared" ref="AY20:AY54" ca="1" si="156">IF($BI20=0,IF(AZ20&gt;0,OFFSET(AY20,-1,0,1,1),0),OFFSET(AY20,-1,0,1,1)+1)</f>
        <v>1</v>
      </c>
      <c r="AZ20" s="111">
        <f t="shared" ref="AZ20:AZ54" ca="1" si="157">IF($BJ20=0,IF(BA20&gt;0,OFFSET(AZ20,-1,0,1,1),0),OFFSET(AZ20,-1,0,1,1)+1)</f>
        <v>1</v>
      </c>
      <c r="BA20" s="111">
        <f t="shared" ref="BA20:BA54" ca="1" si="158">IF($BK20=0,IF(BB20&gt;0,OFFSET(BA20,-1,0,1,1),0),OFFSET(BA20,-1,0,1,1)+1)</f>
        <v>0</v>
      </c>
      <c r="BB20" s="111">
        <f t="shared" ref="BB20:BB54" ca="1" si="159">IF($BL20=0,IF(BC20&gt;0,OFFSET(BB20,-1,0,1,1),0),OFFSET(BB20,-1,0,1,1)+1)</f>
        <v>0</v>
      </c>
      <c r="BC20" s="111">
        <f t="shared" ref="BC20:BC54" ca="1" si="160">IF($BM20=0,IF(BD20&gt;0,OFFSET(BC20,-1,0,1,1),0),OFFSET(BC20,-1,0,1,1)+1)</f>
        <v>0</v>
      </c>
      <c r="BD20" s="111">
        <f t="shared" ref="BD20:BD54" ca="1" si="161">IF($BN20=0,IF(BE20&gt;0,OFFSET(BD20,-1,0,1,1),0),OFFSET(BD20,-1,0,1,1)+1)</f>
        <v>0</v>
      </c>
      <c r="BE20" s="111">
        <f t="shared" ref="BE20:BE54" ca="1" si="162">IF($BO20=0,IF(BF20&gt;0,OFFSET(BE20,-1,0,1,1),0),OFFSET(BE20,-1,0,1,1)+1)</f>
        <v>0</v>
      </c>
      <c r="BF20" s="111">
        <f t="shared" ref="BF20:BF54" ca="1" si="163">IF($BP20=0,IF(BG20&gt;0,OFFSET(BF20,-1,0,1,1),0),OFFSET(BF20,-1,0,1,1)+1)</f>
        <v>0</v>
      </c>
      <c r="BG20" s="112">
        <f t="shared" ref="BG20:BG54" ca="1" si="164">IF($BQ20=0,0,OFFSET($BG20,-1,0,1,1)+1)</f>
        <v>0</v>
      </c>
      <c r="BH20" s="911">
        <f t="shared" ref="BH20:BH54" si="165">IF(HG20="",0,1)</f>
        <v>0</v>
      </c>
      <c r="BI20" s="111">
        <f t="shared" ref="BI20:BI54" si="166">IF(HH20="",0,1)</f>
        <v>0</v>
      </c>
      <c r="BJ20" s="111">
        <f t="shared" ref="BJ20:BJ54" si="167">IF(HI20="",0,1)</f>
        <v>1</v>
      </c>
      <c r="BK20" s="111">
        <f t="shared" ref="BK20:BK54" si="168">IF(HJ20="",0,1)</f>
        <v>0</v>
      </c>
      <c r="BL20" s="111">
        <f t="shared" ref="BL20:BL54" si="169">IF(HK20="",0,1)</f>
        <v>0</v>
      </c>
      <c r="BM20" s="111">
        <f t="shared" ref="BM20:BM54" si="170">IF(HL20="",0,1)</f>
        <v>0</v>
      </c>
      <c r="BN20" s="111">
        <f t="shared" ref="BN20:BN54" si="171">IF(HM20="",0,1)</f>
        <v>0</v>
      </c>
      <c r="BO20" s="111">
        <f t="shared" ref="BO20:BO54" si="172">IF(HN20="",0,1)</f>
        <v>0</v>
      </c>
      <c r="BP20" s="111">
        <f t="shared" ref="BP20:BP54" si="173">IF(HO20="",0,1)</f>
        <v>0</v>
      </c>
      <c r="BQ20" s="112">
        <f t="shared" ref="BQ20:BQ54" si="174">IF(HP20="",0,1)</f>
        <v>0</v>
      </c>
      <c r="BR20" s="132">
        <f ca="1">IF(OFFSET(AY20,1,0,1,1)&lt;&gt;0,RZ[[#This Row],[Koeficient odhadu HR '[-'] (P1)]]*$BH20*SUMIFS(RZ[Úroveň 2 s koef. (P2)],RZ[0],AX20),RZ[[#This Row],[Koeficient odhadu HR '[-'] (P1)]]*$BH20*$IG20)</f>
        <v>0</v>
      </c>
      <c r="BS20" s="186">
        <f ca="1">IF(OFFSET(AY20,1,0,1,1)&lt;&gt;0,$BH20*SUMIFS(RZ[Úroveň 2 bez koef. (P2)],RZ[0],AX20),$BH20*$IG20)</f>
        <v>0</v>
      </c>
      <c r="BT20" s="138">
        <f ca="1">RZ[[#This Row],[Úroveň 2 s koef. (P2a)]]*RZ[[#This Row],[Počet MJHR (P0)]]</f>
        <v>0</v>
      </c>
      <c r="BU20" s="138">
        <f ca="1">RZ[[#This Row],[Úroveň 2 bez koef. (P2a)]]*RZ[[#This Row],[Počet MJHR (P0)]]</f>
        <v>0</v>
      </c>
      <c r="BV20" s="138">
        <f ca="1">IF(OFFSET(AZ20,1,0,1,1)&lt;&gt;0,RZ[[#This Row],[Koeficient odhadu HR '[-'] (P1)]]*$BI20*SUMIFS(RZ[Úroveň 3 s koef. (P2)],RZ[0],AX20,RZ[Úroveň 2 (P0)],AY20),RZ[[#This Row],[Koeficient odhadu HR '[-'] (P1)]]*$BI20*$IG20)</f>
        <v>0</v>
      </c>
      <c r="BW20" s="138">
        <f ca="1">IF(OFFSET(AZ20,1,0,1,1)&lt;&gt;0,$BI20*SUMIFS(RZ[Úroveň 3 bez koef. (P2)],RZ[0],AX20,RZ[Úroveň 2 (P0)],AY20),$BI20*$IG20)</f>
        <v>0</v>
      </c>
      <c r="BX20" s="132">
        <f ca="1">RZ[[#This Row],[Úroveň 3 s koef. (P2a)]]*RZ[[#This Row],[Počet MJHR (P0)]]</f>
        <v>683</v>
      </c>
      <c r="BY20" s="132">
        <f ca="1">RZ[Úroveň 3 bez koef. (P2a)]*RZ[[#This Row],[Počet MJHR (P0)]]</f>
        <v>683</v>
      </c>
      <c r="BZ20" s="132">
        <f ca="1">IF(OFFSET(BA20,1,0,1,1)&lt;&gt;0,RZ[[#This Row],[Koeficient odhadu HR '[-'] (P1)]]*$BJ20*SUMIFS(RZ[Úroveň 4 s koef. (P2)],RZ[0],AX20,RZ[Úroveň 2 (P0)],AY20,RZ[Úroveň 3 (P0)],AZ20),RZ[[#This Row],[Koeficient odhadu HR '[-'] (P1)]]*$BJ20*$IG20)</f>
        <v>683</v>
      </c>
      <c r="CA20" s="132">
        <f ca="1">IF(OFFSET(BA20,1,0,1,1)&lt;&gt;0,$BJ20*SUMIFS(RZ[Úroveň 4 bez koef. (P2)],RZ[0],AX20,RZ[Úroveň 2 (P0)],AY20,RZ[Úroveň 3 (P0)],AZ20),$BJ20*$IG20)</f>
        <v>683</v>
      </c>
      <c r="CB20" s="138">
        <f ca="1">RZ[[#This Row],[Úroveň 4 s koef. (P2a)]]*RZ[[#This Row],[Počet MJHR (P0)]]</f>
        <v>0</v>
      </c>
      <c r="CC20" s="138">
        <f ca="1">RZ[Úroveň 4 bez koef. (P2a)]*RZ[[#This Row],[Počet MJHR (P0)]]</f>
        <v>0</v>
      </c>
      <c r="CD20" s="138">
        <f ca="1">IF(OFFSET(BB20,1,0,1,1)&lt;&gt;0,RZ[[#This Row],[Koeficient odhadu HR '[-'] (P1)]]*$BK20*SUMIFS(RZ[Úroveň 5 s koef. (P2)],RZ[0],AX20,RZ[Úroveň 2 (P0)],AY20,RZ[Úroveň 3 (P0)],AZ20,RZ[Úroveň 4 (P0)],BA20),RZ[[#This Row],[Koeficient odhadu HR '[-'] (P1)]]*$BK20*$IG20)</f>
        <v>0</v>
      </c>
      <c r="CE20" s="138">
        <f ca="1">IF(OFFSET(BB20,1,0,1,1)&lt;&gt;0,$BK20*SUMIFS(RZ[Úroveň 5 bez koef. (P2)],RZ[0],AX20,RZ[Úroveň 2 (P0)],AY20,RZ[Úroveň 3 (P0)],AZ20,RZ[Úroveň 4 (P0)],BA20),$BK20*$IG20)</f>
        <v>0</v>
      </c>
      <c r="CF20" s="132">
        <f ca="1">RZ[[#This Row],[Úroveň 5 s koef. (P2a)]]*RZ[[#This Row],[Počet MJHR (P0)]]</f>
        <v>0</v>
      </c>
      <c r="CG20" s="132">
        <f ca="1">RZ[Úroveň 5 bez koef. (P2a)]*RZ[[#This Row],[Počet MJHR (P0)]]</f>
        <v>0</v>
      </c>
      <c r="CH20" s="132">
        <f ca="1">IF(OFFSET(BC20,1,0,1,1)&lt;&gt;0,RZ[[#This Row],[Koeficient odhadu HR '[-'] (P1)]]*$BL20*SUMIFS(RZ[Úroveň 6 s koef. (P2)],RZ[0],AX20,RZ[Úroveň 2 (P0)],AY20,RZ[Úroveň 3 (P0)],AZ20,RZ[Úroveň 4 (P0)],BA20,RZ[Úroveň 5 (P0)],BB20),RZ[[#This Row],[Koeficient odhadu HR '[-'] (P1)]]*$BL20*$IG20)</f>
        <v>0</v>
      </c>
      <c r="CI20" s="132">
        <f ca="1">IF(OFFSET(BC20,1,0,1,1)&lt;&gt;0,$BL20*SUMIFS(RZ[Úroveň 6 bez koef. (P2)],RZ[0],AX20,RZ[Úroveň 2 (P0)],AY20,RZ[Úroveň 3 (P0)],AZ20,RZ[Úroveň 4 (P0)],BA20,RZ[Úroveň 5 (P0)],BB20),$BL20*$IG20)</f>
        <v>0</v>
      </c>
      <c r="CJ20" s="138">
        <f ca="1">RZ[[#This Row],[Úroveň 6 s koef. (P2a)]]*RZ[[#This Row],[Počet MJHR (P0)]]</f>
        <v>0</v>
      </c>
      <c r="CK20" s="138">
        <f ca="1">RZ[Úroveň 6 bez koef. (P2a)]*RZ[[#This Row],[Počet MJHR (P0)]]</f>
        <v>0</v>
      </c>
      <c r="CL20" s="138">
        <f ca="1">IF(OFFSET(BD20,1,0,1,1)&lt;&gt;0,RZ[[#This Row],[Koeficient odhadu HR '[-'] (P1)]]*$BM20*SUMIFS(RZ[Úroveň 7 s koef. (P2)],RZ[0],AX20,RZ[Úroveň 2 (P0)],AY20,RZ[Úroveň 3 (P0)],AZ20,RZ[Úroveň 4 (P0)],BA20,RZ[Úroveň 5 (P0)],BB20,RZ[Úroveň 6 (P0)],BC20),RZ[[#This Row],[Koeficient odhadu HR '[-'] (P1)]]*$BM20*$IG20)</f>
        <v>0</v>
      </c>
      <c r="CM20" s="138">
        <f ca="1">IF(OFFSET(BD20,1,0,1,1)&lt;&gt;0,$BM20*SUMIFS(RZ[Úroveň 7 bez koef. (P2)],RZ[0],AX20,RZ[Úroveň 2 (P0)],AY20,RZ[Úroveň 3 (P0)],AZ20,RZ[Úroveň 4 (P0)],BA20,RZ[Úroveň 5 (P0)],BB20,RZ[Úroveň 6 (P0)],BC20),$BM20*$IG20)</f>
        <v>0</v>
      </c>
      <c r="CN20" s="132">
        <f ca="1">RZ[[#This Row],[Úroveň 7 s koef. (P2a)]]*RZ[[#This Row],[Počet MJHR (P0)]]</f>
        <v>0</v>
      </c>
      <c r="CO20" s="132">
        <f ca="1">RZ[Úroveň 7 bez koef. (P2a)]*RZ[[#This Row],[Počet MJHR (P0)]]</f>
        <v>0</v>
      </c>
      <c r="CP20" s="132">
        <f ca="1">IF(OFFSET(BE20,1,0,1,1)&lt;&gt;0,RZ[[#This Row],[Koeficient odhadu HR '[-'] (P1)]]*$BN20*SUMIFS(RZ[Úroveň 8 s koef. (P2)],RZ[0],AX20,RZ[Úroveň 2 (P0)],AY20,RZ[Úroveň 3 (P0)],AZ20,RZ[Úroveň 4 (P0)],BA20,RZ[Úroveň 5 (P0)],BB20,RZ[Úroveň 6 (P0)],BC20,RZ[Úroveň 7 (P0)],BD20),RZ[[#This Row],[Koeficient odhadu HR '[-'] (P1)]]*$BN20*$IG20)</f>
        <v>0</v>
      </c>
      <c r="CQ20" s="132">
        <f ca="1">IF(OFFSET(BE20,1,0,1,1)&lt;&gt;0,$BN20*SUMIFS(RZ[Úroveň 8 bez koef. (P2)],RZ[0],AX20,RZ[Úroveň 2 (P0)],AY20,RZ[Úroveň 3 (P0)],AZ20,RZ[Úroveň 4 (P0)],BA20,RZ[Úroveň 5 (P0)],BB20,RZ[Úroveň 6 (P0)],BC20,RZ[Úroveň 7 (P0)],BD20),$BN20*$IG20)</f>
        <v>0</v>
      </c>
      <c r="CR20" s="138">
        <f ca="1">RZ[[#This Row],[Úroveň 8 s koef. (P2a)]]*RZ[[#This Row],[Počet MJHR (P0)]]</f>
        <v>0</v>
      </c>
      <c r="CS20" s="138">
        <f ca="1">RZ[Úroveň 8 bez koef. (P2a)]*RZ[[#This Row],[Počet MJHR (P0)]]</f>
        <v>0</v>
      </c>
      <c r="CT20" s="138">
        <f ca="1">IF(OFFSET(BF20,1,0,1,1)&lt;&gt;0,RZ[[#This Row],[Koeficient odhadu HR '[-'] (P1)]]*$BO20*SUMIFS(RZ[Úroveň 9 s koef. (P2)],RZ[0],AX20,RZ[Úroveň 2 (P0)],AY20,RZ[Úroveň 3 (P0)],AZ20,RZ[Úroveň 4 (P0)],BA20,RZ[Úroveň 5 (P0)],BB20,RZ[Úroveň 6 (P0)],BC20,RZ[Úroveň 7 (P0)],BD20,RZ[Úroveň 8 (P0)],BE20),RZ[[#This Row],[Koeficient odhadu HR '[-'] (P1)]]*$BO20*$IG20)</f>
        <v>0</v>
      </c>
      <c r="CU20" s="138">
        <f ca="1">IF(OFFSET(BF20,1,0,1,1)&lt;&gt;0,$BO20*SUMIFS(RZ[Úroveň 9 bez koef. (P2)],RZ[0],AX20,RZ[Úroveň 2 (P0)],AY20,RZ[Úroveň 3 (P0)],AZ20,RZ[Úroveň 4 (P0)],BA20,RZ[Úroveň 5 (P0)],BB20,RZ[Úroveň 6 (P0)],BC20,RZ[Úroveň 7 (P0)],BD20,RZ[Úroveň 8 (P0)],BE20),$BO20*$IG20)</f>
        <v>0</v>
      </c>
      <c r="CV20" s="132">
        <f ca="1">RZ[[#This Row],[Úroveň 9 s koef. (P2a)]]*RZ[[#This Row],[Počet MJHR (P0)]]</f>
        <v>0</v>
      </c>
      <c r="CW20" s="132">
        <f ca="1">RZ[Úroveň 9 bez koef. (P2a)]*RZ[[#This Row],[Počet MJHR (P0)]]</f>
        <v>0</v>
      </c>
      <c r="CX20" s="132">
        <f ca="1">IF(OFFSET(BG20,1,0,1,1)&lt;&gt;0,RZ[[#This Row],[Koeficient odhadu HR '[-'] (P1)]]*$BP20*SUMIFS(RZ[Úroveň 10 s koef. (P2)],RZ[0],AX20,RZ[Úroveň 2 (P0)],AY20,RZ[Úroveň 3 (P0)],AZ20,RZ[Úroveň 4 (P0)],BA20,RZ[Úroveň 5 (P0)],BB20,RZ[Úroveň 6 (P0)],BC20,RZ[Úroveň 7 (P0)],BD20,RZ[Úroveň 8 (P0)],BE20,RZ[Úroveň 9 (P0)],BF20),RZ[[#This Row],[Koeficient odhadu HR '[-'] (P1)]]*$BP20*$IG20)</f>
        <v>0</v>
      </c>
      <c r="CY20" s="132">
        <f ca="1">IF(OFFSET(BG20,1,0,1,1)&lt;&gt;0,$BP20*SUMIFS(RZ[Úroveň 10 bez koef. (P2)],RZ[0],AX20,RZ[Úroveň 2 (P0)],AY20,RZ[Úroveň 3 (P0)],AZ20,RZ[Úroveň 4 (P0)],BA20,RZ[Úroveň 5 (P0)],BB20,RZ[Úroveň 6 (P0)],BC20,RZ[Úroveň 7 (P0)],BD20,RZ[Úroveň 8 (P0)],BE20,RZ[Úroveň 9 (P0)],BF20),$BP20*$IG20)</f>
        <v>0</v>
      </c>
      <c r="CZ20" s="138">
        <f>RZ[[#This Row],[Úroveň 10 s koef. (P2a)]]*RZ[[#This Row],[Počet MJHR (P0)]]</f>
        <v>0</v>
      </c>
      <c r="DA20" s="138">
        <f>RZ[Úroveň 10 bez koef. (P2a)]*RZ[[#This Row],[Počet MJHR (P0)]]</f>
        <v>0</v>
      </c>
      <c r="DB20" s="138">
        <f>RZ[[#This Row],[Koeficient odhadu HR '[-'] (P1)]]*$BQ20*IG20</f>
        <v>0</v>
      </c>
      <c r="DC20" s="231">
        <f t="shared" ref="DC20:DC54" si="175">$BQ20*IG20</f>
        <v>0</v>
      </c>
      <c r="DD20" s="241">
        <f t="shared" ref="DD20:DD54" ca="1" si="176">IF(BH20=1,BR20,IF(BI20=1,BV20,IF(BJ20=1,BZ20,IF(BK20=1,CD20,IF(BL20=1,CH20,IF(BM20=1,CL20,IF(BN20=1,CP20,IF(BO20=1,CT20,IF(BP20=1,CX20,DB20)))))))))</f>
        <v>683</v>
      </c>
      <c r="DE20" s="229">
        <f t="shared" ref="DE20:DE54" ca="1" si="177">IF(BH20=1,BS20,IF(BI20=1,BW20,IF(BJ20=1,CA20,IF(BK20=1,CE20,IF(BL20=1,CI20,IF(BM20=1,CM20,IF(BN20=1,CQ20,IF(BO20=1,CU20,IF(BP20=1,CY20,DC20)))))))))</f>
        <v>683</v>
      </c>
      <c r="DF20" s="912">
        <f t="shared" ref="DF20:DF54" si="178">BH20*$IF20</f>
        <v>0</v>
      </c>
      <c r="DG20" s="913">
        <f t="shared" ref="DG20:DG54" si="179">BI20*$IF20</f>
        <v>0</v>
      </c>
      <c r="DH20" s="913">
        <f t="shared" ref="DH20:DH54" si="180">BJ20*$IF20</f>
        <v>1</v>
      </c>
      <c r="DI20" s="913">
        <f t="shared" ref="DI20:DI54" si="181">BK20*$IF20</f>
        <v>0</v>
      </c>
      <c r="DJ20" s="913">
        <f t="shared" ref="DJ20:DJ54" si="182">BL20*$IF20</f>
        <v>0</v>
      </c>
      <c r="DK20" s="913">
        <f t="shared" ref="DK20:DK54" si="183">BM20*$IF20</f>
        <v>0</v>
      </c>
      <c r="DL20" s="913">
        <f t="shared" ref="DL20:DL54" si="184">BN20*$IF20</f>
        <v>0</v>
      </c>
      <c r="DM20" s="913">
        <f t="shared" ref="DM20:DM54" si="185">BO20*$IF20</f>
        <v>0</v>
      </c>
      <c r="DN20" s="913">
        <f t="shared" ref="DN20:DN54" si="186">BP20*$IF20</f>
        <v>0</v>
      </c>
      <c r="DO20" s="913">
        <f t="shared" ref="DO20:DO54" si="187">BQ20*$IF20</f>
        <v>0</v>
      </c>
      <c r="DP20" s="914">
        <f ca="1">SUMIFS(RZ[Úroveň 1 (P4)],RZ[0],AX20)</f>
        <v>1</v>
      </c>
      <c r="DQ20" s="914">
        <f ca="1">SUMIFS(RZ[Úroveň 2 (P4)],RZ[0],AX20,RZ[Úroveň 2 (P0)],AY20)</f>
        <v>1</v>
      </c>
      <c r="DR20" s="914">
        <f ca="1">SUMIFS(RZ[Úroveň 3 (P4)],RZ[0],AX20,RZ[Úroveň 2 (P0)],AY20,RZ[Úroveň 3 (P0)],AZ20)</f>
        <v>1</v>
      </c>
      <c r="DS20" s="914">
        <f ca="1">SUMIFS(RZ[Úroveň 4 (P4)],RZ[0],AX20,RZ[Úroveň 2 (P0)],AY20,RZ[Úroveň 3 (P0)],AZ20,RZ[Úroveň 4 (P0)],BA20)</f>
        <v>0</v>
      </c>
      <c r="DT20" s="914">
        <f ca="1">SUMIFS(RZ[Úroveň 5 (P4)],RZ[0],AX20,RZ[Úroveň 2 (P0)],AY20,RZ[Úroveň 3 (P0)],AZ20,RZ[Úroveň 4 (P0)],BA20,RZ[Úroveň 5 (P0)],BB20)</f>
        <v>0</v>
      </c>
      <c r="DU20" s="914">
        <f ca="1">SUMIFS(RZ[Úroveň 6 (P4)],RZ[0],AX20,RZ[Úroveň 2 (P0)],AY20,RZ[Úroveň 3 (P0)],AZ20,RZ[Úroveň 4 (P0)],BA20,RZ[Úroveň 5 (P0)],BB20,RZ[Úroveň 6 (P0)],BC20)</f>
        <v>0</v>
      </c>
      <c r="DV20" s="914">
        <f ca="1">SUMIFS(RZ[Úroveň 7 (P4)],RZ[0],AX20,RZ[Úroveň 2 (P0)],AY20,RZ[Úroveň 3 (P0)],AZ20,RZ[Úroveň 4 (P0)],BA20,RZ[Úroveň 5 (P0)],BB20,RZ[Úroveň 6 (P0)],BC20,RZ[Úroveň 7 (P0)],BD20)</f>
        <v>0</v>
      </c>
      <c r="DW20" s="914">
        <f ca="1">SUMIFS(RZ[Úroveň 8 (P4)],RZ[0],AX20,RZ[Úroveň 2 (P0)],AY20,RZ[Úroveň 3 (P0)],AZ20,RZ[Úroveň 4 (P0)],BA20,RZ[Úroveň 5 (P0)],BB20,RZ[Úroveň 6 (P0)],BC20,RZ[Úroveň 7 (P0)],BD20,RZ[Úroveň 8 (P0)],BE20)</f>
        <v>0</v>
      </c>
      <c r="DX20" s="914">
        <f ca="1">SUMIFS(RZ[Úroveň 9 (P4)],RZ[0],AX20,RZ[Úroveň 2 (P0)],AY20,RZ[Úroveň 3 (P0)],AZ20,RZ[Úroveň 4 (P0)],BA20,RZ[Úroveň 5 (P0)],BB20,RZ[Úroveň 6 (P0)],BC20,RZ[Úroveň 7 (P0)],BD20,RZ[Úroveň 8 (P0)],BE20,RZ[Úroveň 9 (P0)],BF20)</f>
        <v>0</v>
      </c>
      <c r="DY20" s="914">
        <f ca="1">SUMIFS(RZ[Úroveň 10 (P4)],RZ[0],AX20,RZ[Úroveň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DZ20" s="915">
        <f t="shared" ref="DZ20:DZ54" ca="1" si="188">IF(DP20&lt;&gt;0,DP20,1)*IF(DQ20&lt;&gt;0,DQ20,1)*IF(DR20&lt;&gt;0,DR20,1)*IF(DS20&lt;&gt;0,DS20,1)*IF(DT20&lt;&gt;0,DT20,1)*IF(DU20&lt;&gt;0,DU20,1)*IF(DV20&lt;&gt;0,DV20,1)*IF(DW20&lt;&gt;0,DW20,1)*IF(DX20&lt;&gt;0,DX20,1)*IF(DY20&lt;&gt;0,DY20,1)</f>
        <v>1</v>
      </c>
      <c r="EA20" s="916">
        <f ca="1">RZ[[#This Row],[Jednotková hmotnost bez koef. '[kg/MJHR'] (P0)]]*RZ[[#This Row],[Počet MJHR v rozpadu (P0)]]</f>
        <v>683</v>
      </c>
      <c r="EB20" s="917">
        <f ca="1">IF(OFFSET(AY20,1,0,1,1)&lt;&gt;0,RZ[[#This Row],[Koeficient odhadu CR '[-'] (P1)]]*$BH20*SUMIFS(RZ[Úroveň 2 s koef. (P3)],RZ[0],AX20),RZ[[#This Row],[Koeficient odhadu CR '[-'] (P1)]]*$BH20*$IQ20)</f>
        <v>0</v>
      </c>
      <c r="EC20" s="191">
        <f ca="1">IF(OFFSET(AY20,1,0,1,1)&lt;&gt;0,$BH20*SUMIFS(RZ[Úroveň 2 bez koef. (P3)],RZ[0],AX20),$BH20*$IQ20)</f>
        <v>0</v>
      </c>
      <c r="ED20" s="140">
        <f ca="1">RZ[[#This Row],[Úroveň 2 s koef. (P3a)]]*RZ[[#This Row],[Počet MJCR (P0) pro "kg"]]</f>
        <v>0</v>
      </c>
      <c r="EE20" s="140">
        <f ca="1">RZ[Úroveň 2 bez koef. (P3a)]*RZ[[#This Row],[Počet MJCR (P0) pro "kg"]]</f>
        <v>0</v>
      </c>
      <c r="EF20" s="140">
        <f ca="1">IF(OFFSET(AZ20,1,0,1,1)&lt;&gt;0,RZ[[#This Row],[Koeficient odhadu CR '[-'] (P1)]]*$BI20*SUMIFS(RZ[Úroveň 3 s koef. (P3)],RZ[0],AX20,RZ[Úroveň 2 (P0)],AY20),RZ[[#This Row],[Koeficient odhadu CR '[-'] (P1)]]*$BI20*$IQ20)</f>
        <v>0</v>
      </c>
      <c r="EG20" s="140">
        <f ca="1">IF(OFFSET(AZ20,1,0,1,1)&lt;&gt;0,$BI20*SUMIFS(RZ[Úroveň 3 bez koef. (P3)],RZ[0],AX20,RZ[Úroveň 2 (P0)],AY20),$BI20*$IQ20)</f>
        <v>0</v>
      </c>
      <c r="EH20" s="135">
        <f ca="1">RZ[[#This Row],[Úroveň 3 s koef. (P3a)]]*RZ[[#This Row],[Počet MJCR (P0) pro "kg"]]</f>
        <v>95620</v>
      </c>
      <c r="EI20" s="135">
        <f ca="1">RZ[Úroveň 3 bez koef. (P3a)]*RZ[[#This Row],[Počet MJCR (P0) pro "kg"]]</f>
        <v>95620</v>
      </c>
      <c r="EJ20" s="135">
        <f ca="1">IF(OFFSET(BA20,1,0,1,1)&lt;&gt;0,RZ[[#This Row],[Koeficient odhadu CR '[-'] (P1)]]*$BJ20*SUMIFS(RZ[Úroveň 4 s koef. (P3)],RZ[0],AX20,RZ[Úroveň 2 (P0)],AY20,RZ[Úroveň 3 (P0)],AZ20),RZ[[#This Row],[Koeficient odhadu CR '[-'] (P1)]]*$BJ20*$IQ20)</f>
        <v>140</v>
      </c>
      <c r="EK20" s="135">
        <f ca="1">IF(OFFSET(BA20,1,0,1,1)&lt;&gt;0,$BJ20*SUMIFS(RZ[Úroveň 4 bez koef. (P3)],RZ[0],AX20,RZ[Úroveň 2 (P0)],AY20,RZ[Úroveň 3 (P0)],AZ20),$BJ20*$IQ20)</f>
        <v>140</v>
      </c>
      <c r="EL20" s="140">
        <f ca="1">RZ[[#This Row],[Úroveň 4 s koef. (P3a)]]*RZ[[#This Row],[Počet MJCR (P0) pro "kg"]]</f>
        <v>0</v>
      </c>
      <c r="EM20" s="140">
        <f ca="1">RZ[Úroveň 4 bez koef. (P3a)]*RZ[[#This Row],[Počet MJCR (P0) pro "kg"]]</f>
        <v>0</v>
      </c>
      <c r="EN20" s="140">
        <f ca="1">IF(OFFSET(BB20,1,0,1,1)&lt;&gt;0,RZ[[#This Row],[Koeficient odhadu CR '[-'] (P1)]]*$BK20*SUMIFS(RZ[Úroveň 5 s koef. (P3)],RZ[0],AX20,RZ[Úroveň 2 (P0)],AY20,RZ[Úroveň 3 (P0)],AZ20,RZ[Úroveň 4 (P0)],BA20),RZ[[#This Row],[Koeficient odhadu CR '[-'] (P1)]]*$BK20*$IQ20)</f>
        <v>0</v>
      </c>
      <c r="EO20" s="140">
        <f ca="1">IF(OFFSET(BB20,1,0,1,1)&lt;&gt;0,$BK20*SUMIFS(RZ[Úroveň 5 bez koef. (P3)],RZ[0],AX20,RZ[Úroveň 2 (P0)],AY20,RZ[Úroveň 3 (P0)],AZ20,RZ[Úroveň 4 (P0)],BA20),$BK20*$IQ20)</f>
        <v>0</v>
      </c>
      <c r="EP20" s="135">
        <f ca="1">RZ[[#This Row],[Úroveň 5 s koef. (P3a)]]*RZ[[#This Row],[Počet MJCR (P0) pro "kg"]]</f>
        <v>0</v>
      </c>
      <c r="EQ20" s="135">
        <f ca="1">RZ[Úroveň 5 bez koef. (P3a)]*RZ[[#This Row],[Počet MJCR (P0) pro "kg"]]</f>
        <v>0</v>
      </c>
      <c r="ER20" s="135">
        <f ca="1">IF(OFFSET(BC20,1,0,1,1)&lt;&gt;0,RZ[[#This Row],[Koeficient odhadu CR '[-'] (P1)]]*$BL20*SUMIFS(RZ[Úroveň 6 s koef. (P3)],RZ[0],AX20,RZ[Úroveň 2 (P0)],AY20,RZ[Úroveň 3 (P0)],AZ20,RZ[Úroveň 4 (P0)],BA20,RZ[Úroveň 5 (P0)],BB20),RZ[[#This Row],[Koeficient odhadu CR '[-'] (P1)]]*$BL20*$IQ20)</f>
        <v>0</v>
      </c>
      <c r="ES20" s="135">
        <f ca="1">IF(OFFSET(BC20,1,0,1,1)&lt;&gt;0,$BL20*SUMIFS(RZ[Úroveň 6 bez koef. (P3)],RZ[0],AX20,RZ[Úroveň 2 (P0)],AY20,RZ[Úroveň 3 (P0)],AZ20,RZ[Úroveň 4 (P0)],BA20,RZ[Úroveň 5 (P0)],BB20),$BL20*$IQ20)</f>
        <v>0</v>
      </c>
      <c r="ET20" s="140">
        <f ca="1">RZ[[#This Row],[Úroveň 6 s koef. (P3a)]]*RZ[[#This Row],[Počet MJCR (P0) pro "kg"]]</f>
        <v>0</v>
      </c>
      <c r="EU20" s="140">
        <f ca="1">RZ[Úroveň 6 bez koef. (P3a)]*RZ[[#This Row],[Počet MJCR (P0) pro "kg"]]</f>
        <v>0</v>
      </c>
      <c r="EV20" s="140">
        <f ca="1">IF(OFFSET(BD20,1,0,1,1)&lt;&gt;0,RZ[[#This Row],[Koeficient odhadu CR '[-'] (P1)]]*$BM20*SUMIFS(RZ[Úroveň 7 s koef. (P3)],RZ[0],AX20,RZ[Úroveň 2 (P0)],AY20,RZ[Úroveň 3 (P0)],AZ20,RZ[Úroveň 4 (P0)],BA20,RZ[Úroveň 5 (P0)],BB20,RZ[Úroveň 6 (P0)],BC20),RZ[[#This Row],[Koeficient odhadu CR '[-'] (P1)]]*$BM20*$IQ20)</f>
        <v>0</v>
      </c>
      <c r="EW20" s="140">
        <f ca="1">IF(OFFSET(BD20,1,0,1,1)&lt;&gt;0,$BM20*SUMIFS(RZ[Úroveň 7 bez koef. (P3)],RZ[0],AX20,RZ[Úroveň 2 (P0)],AY20,RZ[Úroveň 3 (P0)],AZ20,RZ[Úroveň 4 (P0)],BA20,RZ[Úroveň 5 (P0)],BB20,RZ[Úroveň 6 (P0)],BC20),$BM20*$IQ20)</f>
        <v>0</v>
      </c>
      <c r="EX20" s="135">
        <f ca="1">RZ[[#This Row],[Úroveň 7 s koef. (P3a)]]*RZ[[#This Row],[Počet MJCR (P0) pro "kg"]]</f>
        <v>0</v>
      </c>
      <c r="EY20" s="135">
        <f ca="1">RZ[Úroveň 7 bez koef. (P3a)]*RZ[[#This Row],[Počet MJCR (P0) pro "kg"]]</f>
        <v>0</v>
      </c>
      <c r="EZ20" s="135">
        <f ca="1">IF(OFFSET(BE20,1,0,1,1)&lt;&gt;0,RZ[[#This Row],[Koeficient odhadu CR '[-'] (P1)]]*$BN20*SUMIFS(RZ[Úroveň 8 s koef. (P3)],RZ[0],AX20,RZ[Úroveň 2 (P0)],AY20,RZ[Úroveň 3 (P0)],AZ20,RZ[Úroveň 4 (P0)],BA20,RZ[Úroveň 5 (P0)],BB20,RZ[Úroveň 6 (P0)],BC20,RZ[Úroveň 7 (P0)],BD20),RZ[[#This Row],[Koeficient odhadu CR '[-'] (P1)]]*$BN20*$IQ20)</f>
        <v>0</v>
      </c>
      <c r="FA20" s="135">
        <f ca="1">IF(OFFSET(BE20,1,0,1,1)&lt;&gt;0,$BN20*SUMIFS(RZ[Úroveň 8 bez koef. (P3)],RZ[0],AX20,RZ[Úroveň 2 (P0)],AY20,RZ[Úroveň 3 (P0)],AZ20,RZ[Úroveň 4 (P0)],BA20,RZ[Úroveň 5 (P0)],BB20,RZ[Úroveň 6 (P0)],BC20,RZ[Úroveň 7 (P0)],BD20),$BN20*$IQ20)</f>
        <v>0</v>
      </c>
      <c r="FB20" s="140">
        <f ca="1">RZ[[#This Row],[Úroveň 8 s koef. (P3a)]]*RZ[[#This Row],[Počet MJCR (P0) pro "kg"]]</f>
        <v>0</v>
      </c>
      <c r="FC20" s="140">
        <f ca="1">RZ[Úroveň 8 bez koef. (P3a)]*RZ[[#This Row],[Počet MJCR (P0) pro "kg"]]</f>
        <v>0</v>
      </c>
      <c r="FD20" s="140">
        <f ca="1">IF(OFFSET(BF20,1,0,1,1)&lt;&gt;0,RZ[[#This Row],[Koeficient odhadu CR '[-'] (P1)]]*$BO20*SUMIFS(RZ[Úroveň 9 s koef. (P3)],RZ[0],AX20,RZ[Úroveň 2 (P0)],AY20,RZ[Úroveň 3 (P0)],AZ20,RZ[Úroveň 4 (P0)],BA20,RZ[Úroveň 5 (P0)],BB20,RZ[Úroveň 6 (P0)],BC20,RZ[Úroveň 7 (P0)],BD20,RZ[Úroveň 8 (P0)],BE20),RZ[[#This Row],[Koeficient odhadu CR '[-'] (P1)]]*$BO20*$IQ20)</f>
        <v>0</v>
      </c>
      <c r="FE20" s="140">
        <f ca="1">IF(OFFSET(BF20,1,0,1,1)&lt;&gt;0,$BO20*SUMIFS(RZ[Úroveň 9 bez koef. (P3)],RZ[0],AX20,RZ[Úroveň 2 (P0)],AY20,RZ[Úroveň 3 (P0)],AZ20,RZ[Úroveň 4 (P0)],BA20,RZ[Úroveň 5 (P0)],BB20,RZ[Úroveň 6 (P0)],BC20,RZ[Úroveň 7 (P0)],BD20,RZ[Úroveň 8 (P0)],BE20),$BO20*$IQ20)</f>
        <v>0</v>
      </c>
      <c r="FF20" s="135">
        <f ca="1">RZ[[#This Row],[Úroveň 9 s koef. (P3a)]]*RZ[[#This Row],[Počet MJCR (P0) pro "kg"]]</f>
        <v>0</v>
      </c>
      <c r="FG20" s="135">
        <f ca="1">RZ[Úroveň 9 bez koef. (P3a)]*RZ[[#This Row],[Počet MJCR (P0) pro "kg"]]</f>
        <v>0</v>
      </c>
      <c r="FH20" s="135">
        <f ca="1">IF(OFFSET(BG20,1,0,1,1)&lt;&gt;0,RZ[[#This Row],[Koeficient odhadu CR '[-'] (P1)]]*$BP20*SUMIFS(RZ[Úroveň 10 s koef. (P3)],RZ[0],AX20,RZ[Úroveň 2 (P0)],AY20,RZ[Úroveň 3 (P0)],AZ20,RZ[Úroveň 4 (P0)],BA20,RZ[Úroveň 5 (P0)],BB20,RZ[Úroveň 6 (P0)],BC20,RZ[Úroveň 7 (P0)],BD20,RZ[Úroveň 8 (P0)],BE20,RZ[Úroveň 9 (P0)],BF20),RZ[[#This Row],[Koeficient odhadu CR '[-'] (P1)]]*$BP20*$IQ20)</f>
        <v>0</v>
      </c>
      <c r="FI20" s="135">
        <f ca="1">IF(OFFSET(BG20,1,0,1,1)&lt;&gt;0,$BP20*SUMIFS(RZ[Úroveň 10 bez koef. (P3)],RZ[0],AX20,RZ[Úroveň 2 (P0)],AY20,RZ[Úroveň 3 (P0)],AZ20,RZ[Úroveň 4 (P0)],BA20,RZ[Úroveň 5 (P0)],BB20,RZ[Úroveň 6 (P0)],BC20,RZ[Úroveň 7 (P0)],BD20,RZ[Úroveň 8 (P0)],BE20,RZ[Úroveň 9 (P0)],BF20),$BP20*$IQ20)</f>
        <v>0</v>
      </c>
      <c r="FJ20" s="140">
        <f ca="1">RZ[[#This Row],[Úroveň 10 s koef. (P3a)]]*RZ[[#This Row],[Počet MJCR (P0) pro "kg"]]</f>
        <v>0</v>
      </c>
      <c r="FK20" s="140">
        <f ca="1">RZ[Úroveň 10 bez koef. (P3a)]*RZ[[#This Row],[Počet MJCR (P0) pro "kg"]]</f>
        <v>0</v>
      </c>
      <c r="FL20" s="140">
        <f ca="1">RZ[[#This Row],[Koeficient odhadu CR '[-'] (P1)]]*$BQ20*IQ20</f>
        <v>0</v>
      </c>
      <c r="FM20" s="236">
        <f t="shared" ref="FM20:FM54" ca="1" si="189">$BQ20*IQ20</f>
        <v>0</v>
      </c>
      <c r="FN20" s="194">
        <f t="shared" ref="FN20:FN54" ca="1" si="190">IF(BH20=1,EB20,IF(BI20=1,EF20,IF(BJ20=1,EJ20,IF(BK20=1,EN20,IF(BL20=1,ER20,IF(BM20=1,EV20,IF(BN20=1,EZ20,IF(BO20=1,FD20,IF(BP20=1,FH20,FL20)))))))))</f>
        <v>140</v>
      </c>
      <c r="FO20" s="238">
        <f t="shared" ref="FO20:FO54" ca="1" si="191">IF(BH20=1,EC20,IF(BI20=1,EG20,IF(BJ20=1,EK20,IF(BK20=1,EO20,IF(BL20=1,ES20,IF(BM20=1,EW20,IF(BN20=1,FA20,IF(BO20=1,FE20,IF(BP20=1,FI20,FM20)))))))))</f>
        <v>140</v>
      </c>
      <c r="FP20" s="135">
        <f t="shared" ref="FP20:FP54" ca="1" si="192">BH20*$IK20</f>
        <v>0</v>
      </c>
      <c r="FQ20" s="135">
        <f t="shared" ref="FQ20:FQ54" ca="1" si="193">BI20*$IK20</f>
        <v>0</v>
      </c>
      <c r="FR20" s="135">
        <f t="shared" ref="FR20:FR54" ca="1" si="194">BJ20*$IK20</f>
        <v>683</v>
      </c>
      <c r="FS20" s="135">
        <f t="shared" ref="FS20:FS54" ca="1" si="195">BK20*$IK20</f>
        <v>0</v>
      </c>
      <c r="FT20" s="135">
        <f t="shared" ref="FT20:FT54" ca="1" si="196">BL20*$IK20</f>
        <v>0</v>
      </c>
      <c r="FU20" s="135">
        <f t="shared" ref="FU20:FU54" ca="1" si="197">BM20*$IK20</f>
        <v>0</v>
      </c>
      <c r="FV20" s="135">
        <f t="shared" ref="FV20:FV54" ca="1" si="198">BN20*$IK20</f>
        <v>0</v>
      </c>
      <c r="FW20" s="135">
        <f t="shared" ref="FW20:FW54" ca="1" si="199">BO20*$IK20</f>
        <v>0</v>
      </c>
      <c r="FX20" s="135">
        <f t="shared" ref="FX20:FX54" ca="1" si="200">BP20*$IK20</f>
        <v>0</v>
      </c>
      <c r="FY20" s="135">
        <f t="shared" ref="FY20:FY54" ca="1" si="201">BQ20*$IK20</f>
        <v>0</v>
      </c>
      <c r="FZ20" s="140">
        <f ca="1">SUMIFS(RZ[Úroveň 1 (P6)],RZ[0],AX20)</f>
        <v>1</v>
      </c>
      <c r="GA20" s="140">
        <f ca="1">SUMIFS(RZ[Úroveň 2 (P6)],RZ[0],AX20,RZ[Úroveň 2 (P0)],AY20)</f>
        <v>1</v>
      </c>
      <c r="GB20" s="140">
        <f ca="1">SUMIFS(RZ[Úroveň 3 (P6)],RZ[0],AX20,RZ[Úroveň 2 (P0)],AY20,RZ[Úroveň 3 (P0)],AZ20)</f>
        <v>683</v>
      </c>
      <c r="GC20" s="140">
        <f ca="1">SUMIFS(RZ[Úroveň 4 (P6)],RZ[0],AX20,RZ[Úroveň 2 (P0)],AY20,RZ[Úroveň 3 (P0)],AZ20,RZ[Úroveň 4 (P0)],BA20)</f>
        <v>0</v>
      </c>
      <c r="GD20" s="140">
        <f ca="1">SUMIFS(RZ[Úroveň 5 (P6)],RZ[0],AX20,RZ[Úroveň 2 (P0)],AY20,RZ[Úroveň 3 (P0)],AZ20,RZ[Úroveň 4 (P0)],BA20,RZ[Úroveň 5 (P0)],BB20)</f>
        <v>0</v>
      </c>
      <c r="GE20" s="140">
        <f ca="1">SUMIFS(RZ[Úroveň 6 (P6)],RZ[0],AX20,RZ[Úroveň 2 (P0)],AY20,RZ[Úroveň 3 (P0)],AZ20,RZ[Úroveň 4 (P0)],BA20,RZ[Úroveň 5 (P0)],BB20,RZ[Úroveň 6 (P0)],BC20)</f>
        <v>0</v>
      </c>
      <c r="GF20" s="140">
        <f ca="1">SUMIFS(RZ[Úroveň 7 (P6)],RZ[0],AX20,RZ[Úroveň 2 (P0)],AY20,RZ[Úroveň 3 (P0)],AZ20,RZ[Úroveň 4 (P0)],BA20,RZ[Úroveň 5 (P0)],BB20,RZ[Úroveň 6 (P0)],BC20,RZ[Úroveň 7 (P0)],BD20)</f>
        <v>0</v>
      </c>
      <c r="GG20" s="140">
        <f ca="1">SUMIFS(RZ[Úroveň 8 (P6)],RZ[0],AX20,RZ[Úroveň 2 (P0)],AY20,RZ[Úroveň 3 (P0)],AZ20,RZ[Úroveň 4 (P0)],BA20,RZ[Úroveň 5 (P0)],BB20,RZ[Úroveň 6 (P0)],BC20,RZ[Úroveň 7 (P0)],BD20,RZ[Úroveň 8 (P0)],BE20)</f>
        <v>0</v>
      </c>
      <c r="GH20" s="140">
        <f ca="1">SUMIFS(RZ[Úroveň 9 (P6)],RZ[0],AX20,RZ[Úroveň 2 (P0)],AY20,RZ[Úroveň 3 (P0)],AZ20,RZ[Úroveň 4 (P0)],BA20,RZ[Úroveň 5 (P0)],BB20,RZ[Úroveň 6 (P0)],BC20,RZ[Úroveň 7 (P0)],BD20,RZ[Úroveň 8 (P0)],BE20,RZ[Úroveň 9 (P0)],BF20)</f>
        <v>0</v>
      </c>
      <c r="GI20" s="140">
        <f ca="1">SUMIFS(RZ[Úroveň 10 (P6)],RZ[0],AX20,RZ[Úroveň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GJ20" s="918">
        <f t="shared" ref="GJ20:GJ54" ca="1" si="202">IF(FZ20&lt;&gt;0,FZ20,1)*IF(GA20&lt;&gt;0,GA20,1)*IF(GB20&lt;&gt;0,GB20,1)*IF(GC20&lt;&gt;0,GC20,1)*IF(GD20&lt;&gt;0,GD20,1)*IF(GE20&lt;&gt;0,GE20,1)*IF(GF20&lt;&gt;0,GF20,1)*IF(GG20&lt;&gt;0,GG20,1)*IF(GH20&lt;&gt;0,GH20,1)*IF(GI20&lt;&gt;0,GI20,1)</f>
        <v>683</v>
      </c>
      <c r="GK20" s="808">
        <f t="shared" ref="GK20:GK54" si="203">BH20*$IO20</f>
        <v>0</v>
      </c>
      <c r="GL20" s="808">
        <f t="shared" ref="GL20:GL54" si="204">BI20*$IO20</f>
        <v>0</v>
      </c>
      <c r="GM20" s="808">
        <f t="shared" ref="GM20:GM54" si="205">BJ20*$IO20</f>
        <v>1</v>
      </c>
      <c r="GN20" s="808">
        <f t="shared" ref="GN20:GN54" si="206">BK20*$IO20</f>
        <v>0</v>
      </c>
      <c r="GO20" s="808">
        <f t="shared" ref="GO20:GO54" si="207">BL20*$IO20</f>
        <v>0</v>
      </c>
      <c r="GP20" s="808">
        <f t="shared" ref="GP20:GP54" si="208">BM20*$IO20</f>
        <v>0</v>
      </c>
      <c r="GQ20" s="808">
        <f t="shared" ref="GQ20:GQ54" si="209">BN20*$IO20</f>
        <v>0</v>
      </c>
      <c r="GR20" s="808">
        <f t="shared" ref="GR20:GR54" si="210">BO20*$IO20</f>
        <v>0</v>
      </c>
      <c r="GS20" s="808">
        <f t="shared" ref="GS20:GS54" si="211">BP20*$IO20</f>
        <v>0</v>
      </c>
      <c r="GT20" s="808">
        <f t="shared" ref="GT20:GT54" si="212">BQ20*$IO20</f>
        <v>0</v>
      </c>
      <c r="GU20" s="809">
        <f ca="1">SUMIFS(RZ[Sloupec1],RZ[0],AX20)</f>
        <v>1</v>
      </c>
      <c r="GV20" s="809">
        <f ca="1">SUMIFS(RZ[Sloupec2],RZ[0],AX20,RZ[Úroveň 2 (P0)],AY20)</f>
        <v>1</v>
      </c>
      <c r="GW20" s="809">
        <f ca="1">SUMIFS(RZ[Sloupec3],RZ[0],AX20,RZ[Úroveň 2 (P0)],AY20,RZ[Úroveň 3 (P0)],AZ20)</f>
        <v>1</v>
      </c>
      <c r="GX20" s="809">
        <f ca="1">SUMIFS(RZ[Sloupec4],RZ[0],AX20,RZ[Úroveň 2 (P0)],AY20,RZ[Úroveň 3 (P0)],AZ20,RZ[Úroveň 4 (P0)],BA20)</f>
        <v>0</v>
      </c>
      <c r="GY20" s="809">
        <f ca="1">SUMIFS(RZ[Sloupec5],RZ[0],AX20,RZ[Úroveň 2 (P0)],AY20,RZ[Úroveň 3 (P0)],AZ20,RZ[Úroveň 4 (P0)],BA20,RZ[Úroveň 5 (P0)],BB20)</f>
        <v>0</v>
      </c>
      <c r="GZ20" s="809">
        <f ca="1">SUMIFS(RZ[Sloupec6],RZ[0],AX20,RZ[Úroveň 2 (P0)],AY20,RZ[Úroveň 3 (P0)],AZ20,RZ[Úroveň 4 (P0)],BA20,RZ[Úroveň 5 (P0)],BB20,RZ[Úroveň 6 (P0)],BC20)</f>
        <v>0</v>
      </c>
      <c r="HA20" s="809">
        <f ca="1">SUMIFS(RZ[Sloupec62],RZ[0],AX20,RZ[Úroveň 2 (P0)],AY20,RZ[Úroveň 3 (P0)],AZ20,RZ[Úroveň 4 (P0)],BA20,RZ[Úroveň 5 (P0)],BB20,RZ[Úroveň 6 (P0)],BC20,RZ[Úroveň 7 (P0)],BD20)</f>
        <v>0</v>
      </c>
      <c r="HB20" s="809">
        <f ca="1">SUMIFS(RZ[Sloupec63],RZ[0],AX20,RZ[Úroveň 2 (P0)],AY20,RZ[Úroveň 3 (P0)],AZ20,RZ[Úroveň 4 (P0)],BA20,RZ[Úroveň 5 (P0)],BB20,RZ[Úroveň 6 (P0)],BC20,RZ[Úroveň 7 (P0)],BD20,RZ[Úroveň 8 (P0)],BE20)</f>
        <v>0</v>
      </c>
      <c r="HC20" s="809">
        <f ca="1">SUMIFS(RZ[Sloupec64],RZ[0],AX20,RZ[Úroveň 2 (P0)],AY20,RZ[Úroveň 3 (P0)],AZ20,RZ[Úroveň 4 (P0)],BA20,RZ[Úroveň 5 (P0)],BB20,RZ[Úroveň 6 (P0)],BC20,RZ[Úroveň 7 (P0)],BD20,RZ[Úroveň 8 (P0)],BE20,RZ[Úroveň 9 (P0)],BF20)</f>
        <v>0</v>
      </c>
      <c r="HD20" s="809">
        <f ca="1">SUMIFS(RZ[Sloupec65],RZ[0],AX20,RZ[Úroveň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HE20" s="919">
        <f t="shared" ref="HE20:HE54" ca="1" si="213">IF(GU20&lt;&gt;0,GU20,1)*IF(GV20&lt;&gt;0,GV20,1)*IF(GW20&lt;&gt;0,GW20,1)*IF(GX20&lt;&gt;0,GX20,1)*IF(GY20&lt;&gt;0,GY20,1)*IF(GZ20&lt;&gt;0,GZ20,1)*IF(HA20&lt;&gt;0,HA20,1)*IF(HB20&lt;&gt;0,HB20,1)*IF(HC20&lt;&gt;0,HC20,1)*IF(HD20&lt;&gt;0,HD20,1)</f>
        <v>1</v>
      </c>
      <c r="HF20" s="920" t="str">
        <f t="shared" ref="HF20:HF54" si="214">IF($IW20=$MJ$15,IF(MK20="","",MK20),IF(IY20="","",IY20))</f>
        <v/>
      </c>
      <c r="HG20" s="94" t="str">
        <f t="shared" ref="HG20:HG54" si="215">IF($IW20=$MJ$15,IF($MJ20=1,$MS20,""),IF(IZ20="","",IZ20))</f>
        <v/>
      </c>
      <c r="HH20" s="95" t="str">
        <f t="shared" ref="HH20:HH54" si="216">IF($IW20=$MJ$15,IF($MJ20=2,$MS20,""),IF(JA20="","",JA20))</f>
        <v/>
      </c>
      <c r="HI20" s="95" t="str">
        <f t="shared" ref="HI20:HI54" si="217">IF($IW20=$MJ$15,IF($MJ20=3,$MS20,""),IF(JB20="","",JB20))</f>
        <v>Rám pohonu</v>
      </c>
      <c r="HJ20" s="96" t="str">
        <f t="shared" ref="HJ20:HJ54" si="218">IF($IW20=$MJ$15,IF($MJ20=4,$MS20,""),IF(JC20="","",JC20))</f>
        <v/>
      </c>
      <c r="HK20" s="96" t="str">
        <f t="shared" ref="HK20:HK54" si="219">IF($IW20=$MJ$15,IF($MJ20=5,$MS20,""),IF(JD20="","",JD20))</f>
        <v/>
      </c>
      <c r="HL20" s="96" t="str">
        <f t="shared" ref="HL20:HL54" si="220">IF($IW20=$MJ$15,IF($MJ20=6,$MS20,""),IF(JE20="","",JE20))</f>
        <v/>
      </c>
      <c r="HM20" s="96" t="str">
        <f t="shared" ref="HM20:HM54" si="221">IF($IW20=$MJ$15,IF($MJ20=7,$MS20,""),IF(JF20="","",JF20))</f>
        <v/>
      </c>
      <c r="HN20" s="96" t="str">
        <f t="shared" ref="HN20:HN54" si="222">IF($IW20=$MJ$15,IF($MJ20=8,$MS20,""),IF(JG20="","",JG20))</f>
        <v/>
      </c>
      <c r="HO20" s="96" t="str">
        <f t="shared" ref="HO20:HO54" si="223">IF($IW20=$MJ$15,IF($MJ20=9,$MS20,""),IF(JH20="","",JH20))</f>
        <v/>
      </c>
      <c r="HP20" s="96" t="str">
        <f t="shared" ref="HP20:HP54" si="224">IF($IW20=$MJ$15,IF($MJ20=10,$MS20,""),IF(JI20="","",JI20))</f>
        <v/>
      </c>
      <c r="HQ20" s="145" t="str">
        <f t="shared" ref="HQ20:HQ54" si="225">IF($IW20=$MJ$15,IF(ML20="","N/A",ML20),IF(JJ20="","N/A",JJ20))</f>
        <v>OKS1</v>
      </c>
      <c r="HR20" s="921" t="str">
        <f t="shared" ref="HR20:HR54" si="226">IF($IW20=$MJ$15,IF(MM20="","",MM20),IF(JK20="","",JK20))</f>
        <v/>
      </c>
      <c r="HS20" s="173">
        <f t="shared" ref="HS20:HS54" si="227">IF($IW20=$JL$15,JL20,IF($IW20=$KE$15,KE20,IF($IW20=$KX$15,KX20,IF($IW20=$LQ$15,LQ20,IF($IW20=$MJ$15,NE20,0)))))</f>
        <v>0</v>
      </c>
      <c r="HT20" s="100">
        <f t="shared" ref="HT20:HT54" si="228">IF($IW20=$JL$15,JM20,IF($IW20=$KE$15,KF20,IF($IW20=$KX$15,KY20,IF($IW20=$LQ$15,LR20,IF($IW20=$MJ$15,NF20,0)))))</f>
        <v>0</v>
      </c>
      <c r="HU20" s="100">
        <f t="shared" ref="HU20:HU54" si="229">IF($IW20=$JL$15,JN20,IF($IW20=$KE$15,KG20,IF($IW20=$KX$15,KZ20,IF($IW20=$LQ$15,LS20,IF($IW20=$MJ$15,NG20,0)))))</f>
        <v>0</v>
      </c>
      <c r="HV20" s="908">
        <f t="shared" ref="HV20:HV54" si="230">IF($IW20=$JL$15,JU20,IF($IW20=$KE$15,KN20,IF($IW20=$KX$15,LG20,IF($IW20=$LQ$15,LZ20,IF($IW20=$MJ$15,NN20,0)))))</f>
        <v>0</v>
      </c>
      <c r="HW20" s="922">
        <f t="shared" ref="HW20:HW54" si="231">IF($IW20=$JL$15,JV20,IF($IW20=$KE$15,KO20,IF($IW20=$KX$15,LH20,IF($IW20=$LQ$15,MA20,IF($IW20=$MJ$15,NO20,0)))))</f>
        <v>0</v>
      </c>
      <c r="HX20" s="224">
        <f t="shared" ref="HX20:HX54" si="232">IF($IW20=$JL$15,JW20,IF($IW20=$KE$15,KP20,IF($IW20=$KX$15,LI20,IF($IW20=$LQ$15,MB20,IF($IW20=$MJ$15,NP20,0)))))</f>
        <v>0</v>
      </c>
      <c r="HY20" s="263" t="str">
        <f t="shared" ref="HY20:HY54" si="233">IF($IW20=$JL$15,JS20,IF($IW20=$KE$15,KL20,IF($IW20=$KX$15,LE20,IF($IW20=$LQ$15,LX20,IF($IW20=$MJ$15,NL20,0)))))</f>
        <v>S</v>
      </c>
      <c r="HZ20" s="263">
        <f t="shared" ref="HZ20:HZ54" si="234">IF($IW20=$JL$15,KC20,IF($IW20=$KE$15,KV20,IF($IW20=$KX$15,LO20,IF($IW20=$LQ$15,MH20,IF($IW20=$MJ$15,NV20,0)))))</f>
        <v>0</v>
      </c>
      <c r="IA20" s="150">
        <f t="shared" ref="IA20:IA54" si="235">IF($IW20=$JL$15,JR20,IF($IW20=$KE$15,KK20,IF($IW20=$KX$15,LD20,IF($IW20=$LQ$15,LW20,IF($IW20=$MJ$15,NK20,0)))))</f>
        <v>1</v>
      </c>
      <c r="IB20" s="319">
        <f t="shared" ref="IB20:IB54" si="236">IF($IW20=$JL$15,JZ20,IF($IW20=$KE$15,KS20,IF($IW20=$KX$15,LL20,IF($IW20=$LQ$15,ME20,IF($IW20=$MJ$15,NS20,0)))))</f>
        <v>0</v>
      </c>
      <c r="IC20" s="923">
        <f t="shared" ref="IC20:IC54" si="237">IF($IW20=$JL$15,KB20,IF($IW20=$KE$15,KU20,IF($IW20=$KX$15,LN20,IF($IW20=$LQ$15,MG20,IF($IW20=$MJ$15,NU20,0)))))</f>
        <v>0</v>
      </c>
      <c r="ID20" s="924" t="str">
        <f t="shared" ref="ID20:ID54" ca="1" si="238">IF((BH20+OFFSET(BH20,1,1,1,1))=2,"--",IF((BI20+OFFSET(BI20,1,1,1,1))=2,"--",IF((BJ20+OFFSET(BJ20,1,1,1,1))=2,"--",IF((BK20+OFFSET(BK20,1,1,1,1))=2,"--",IF((BL20+OFFSET(BL20,1,1,1,1))=2,"--",IF((BM20+OFFSET(BM20,1,1,1,1))=2,"--",IF((BN20+OFFSET(BN20,1,1,1,1))=2,"--",IF((BO20+OFFSET(BO20,1,1,1,1))=2,"--",IF((BP20+OFFSET(BP20,1,1,1,1))=2,"--",IF((BQ20+OFFSET(BQ20,1,1,1,1))=2,"--","OK"))))))))))</f>
        <v>OK</v>
      </c>
      <c r="IE20" s="201" t="str">
        <f t="shared" ref="IE20:IE54" si="239">IF($IW20=$JL$15,JO20,IF($IW20=$KE$15,KH20,IF($IW20=$KX$15,LA20,IF($IW20=$LQ$15,LT20,IF($IW20=$MJ$15,NH20,0)))))</f>
        <v>ks</v>
      </c>
      <c r="IF20" s="145">
        <f t="shared" ref="IF20:IF54" si="240">IF($IW20=$JL$15,JP20,IF($IW20=$KE$15,KI20,IF($IW20=$KX$15,LB20,IF($IW20=$LQ$15,LU20,IF($IW20=$MJ$15,NI20,0)))))</f>
        <v>1</v>
      </c>
      <c r="IG20" s="216">
        <f t="shared" ref="IG20:IG54" si="241">IF($IW20=$JL$15,JQ20,IF($IW20=$KE$15,KJ20,IF($IW20=$KX$15,LC20,IF($IW20=$LQ$15,LV20,IF($IW20=$MJ$15,NJ20,0)))))</f>
        <v>683</v>
      </c>
      <c r="IH20" s="217">
        <f t="shared" ref="IH20:IH54" si="242">IF(IA20=0,1,IA20)</f>
        <v>1</v>
      </c>
      <c r="II20" s="224" t="str">
        <f ca="1">IF(RZ[[#This Row],[Rozhodný sloupec indikativní ceny]]=1,"kg",IF($IW20=$JL$15,IF(JX20=0,JO20,JX20),IF($IW20=$KE$15,IF(KQ20=0,KH20,KQ20),IF($IW20=$KX$15,IF(LJ20=0,LA20,LJ20),IF($IW20=$LQ$15,IF(MC20=0,LT20,MC20),IF($IW20=$MJ$15,IF(NQ20=0,NH20,NQ20),0))))))</f>
        <v>kg</v>
      </c>
      <c r="IJ20" s="224">
        <f ca="1">IF((BH20+OFFSET(BH20,1,1,1,1))=2,RZ[[#This Row],[Počet MJHR (P0)]],IF((BI20+OFFSET(BI20,1,1,1,1))=2,RZ[[#This Row],[Počet MJHR (P0)]],IF((BJ20+OFFSET(BJ20,1,1,1,1))=2,RZ[[#This Row],[Počet MJHR (P0)]],IF((BK20+OFFSET(BK20,1,1,1,1))=2,RZ[[#This Row],[Počet MJHR (P0)]],IF((BL20+OFFSET(BL20,1,1,1,1))=2,RZ[[#This Row],[Počet MJHR (P0)]],IF((BM20+OFFSET(BM20,1,1,1,1))=2,RZ[[#This Row],[Počet MJHR (P0)]],IF((BN20+OFFSET(BN20,1,1,1,1))=2,RZ[[#This Row],[Počet MJHR (P0)]],IF((BO20+OFFSET(BO20,1,1,1,1))=2,RZ[[#This Row],[Počet MJHR (P0)]],IF((BP20+OFFSET(BP20,1,1,1,1))=2,RZ[[#This Row],[Počet MJHR (P0)]],IF((BQ20+OFFSET(BQ20,1,1,1,1))=2,RZ[[#This Row],[Počet MJHR (P0)]],IF(RZ[[#This Row],[Měrná jednotka CR (MJCR) (P0)]]=RZ[[#This Row],[Měrná jednotka HR '[MJHR'] (P0)]],RZ[[#This Row],[Počet MJHR (P0)]],IF($IW20=$JL$15,JY20,IF($IW20=$KE$15,KR20,IF($IW20=$KX$15,LK20,IF($IW20=$LQ$15,MD20,IF($IW20=$MJ$15,NR20,0))))))))))))))))</f>
        <v>0</v>
      </c>
      <c r="IK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683</v>
      </c>
      <c r="IL20" s="145">
        <f ca="1">IF(AND(RZ[[#This Row],[Jednotková cena bez DPH '[cena/MJCR'] (P0)]]=0,RZ[[#This Row],[Indikativní jednotková cena '[CZK/kg'] (P1)]]&lt;&gt;0),1,0)</f>
        <v>1</v>
      </c>
      <c r="IM20" s="217">
        <f ca="1">VLOOKUP(RZ[[#This Row],[Kód položek]],INDIKAT_CENA,2,FALSE)</f>
        <v>140</v>
      </c>
      <c r="IN20" s="222">
        <f ca="1">IF(RZ[[#This Row],[Rozhodný sloupec indikativní ceny]]=1,RZ[[#This Row],[Indikativní jednotková cena '[CZK/kg'] (P1)]],RZ[[#This Row],[Jednotková cena bez DPH '[cena/MJCR'] (P0)]])</f>
        <v>140</v>
      </c>
      <c r="IO20" s="222">
        <f t="shared" ref="IO20:IO54" si="243">IF(IC20=0,1,IC20)</f>
        <v>1</v>
      </c>
      <c r="IP20" s="224">
        <f ca="1">IF(RZ[[#This Row],[Rozhodný sloupec indikativní ceny]]=1,1,IF($IW20=$JL$15,KA20,IF($IW20=$KE$15,KT20,IF($IW20=$KX$15,LM20,IF($IW20=$LQ$15,MF20,IF($IW20=$MJ$15,NT20,0))))))</f>
        <v>1</v>
      </c>
      <c r="IQ20" s="225">
        <f ca="1">IF(RZ[[#This Row],[Jednotková cena bez DPH '[cena/MJCR'] (P1)]]="",0,IF(IP20=0,0,(RZ[[#This Row],[Jednotková cena bez DPH '[cena/MJCR'] (P1)]]*VLOOKUP(IP20,$BR$7:$BT$10,3))))</f>
        <v>140</v>
      </c>
      <c r="IR20" s="737"/>
      <c r="IS20" s="627">
        <f>IF(HY20=0,"",VLOOKUP(RZ[[#This Row],[Stav Projekce (P0)]],Vstupy!$E$11:'Vstupy'!$E$11:$H$17,4,FALSE))</f>
        <v>100</v>
      </c>
      <c r="IT20" s="925" t="str">
        <f>IF(RZ[[#This Row],[Stav Projekce (P0)]]=0,"",RZ[[#This Row],[Stav Projekce (P0)]])</f>
        <v>S</v>
      </c>
      <c r="IU20" s="925" t="str">
        <f>IF(RZ[[#This Row],[Stav Nákup (P0)]]=0,"",RZ[[#This Row],[Stav Nákup (P0)]])</f>
        <v/>
      </c>
      <c r="IV20" s="926" t="str">
        <f t="shared" ref="IV20:IV54" si="244">IF(HV20=0,"",HV20)</f>
        <v/>
      </c>
      <c r="IW20" s="641">
        <v>1</v>
      </c>
      <c r="IX20" s="630"/>
      <c r="IY20" s="264"/>
      <c r="IZ20" s="648"/>
      <c r="JA20" s="100"/>
      <c r="JB20" s="100" t="s">
        <v>802</v>
      </c>
      <c r="JC20" s="100"/>
      <c r="JD20" s="100"/>
      <c r="JE20" s="100"/>
      <c r="JF20" s="100"/>
      <c r="JG20" s="100"/>
      <c r="JH20" s="100"/>
      <c r="JI20" s="100"/>
      <c r="JJ20" s="145" t="s">
        <v>764</v>
      </c>
      <c r="JK20" s="529"/>
      <c r="JL20" s="286"/>
      <c r="JM20" s="100"/>
      <c r="JN20" s="100"/>
      <c r="JO20" s="145" t="s">
        <v>35</v>
      </c>
      <c r="JP20" s="117">
        <v>1</v>
      </c>
      <c r="JQ20" s="117">
        <v>683</v>
      </c>
      <c r="JR20" s="148">
        <v>1</v>
      </c>
      <c r="JS20" s="145" t="s">
        <v>602</v>
      </c>
      <c r="JT20" s="631"/>
      <c r="JU20" s="148"/>
      <c r="JV20" s="154"/>
      <c r="JW20" s="145"/>
      <c r="JX20" s="210"/>
      <c r="JY20" s="117"/>
      <c r="JZ20" s="662"/>
      <c r="KA20" s="145"/>
      <c r="KB20" s="148"/>
      <c r="KC20" s="148"/>
      <c r="KD20" s="644"/>
      <c r="KE20" s="286"/>
      <c r="KF20" s="100"/>
      <c r="KG20" s="100"/>
      <c r="KH20" s="210"/>
      <c r="KI20" s="117"/>
      <c r="KJ20" s="117"/>
      <c r="KK20" s="148"/>
      <c r="KL20" s="145"/>
      <c r="KM20" s="632"/>
      <c r="KN20" s="148"/>
      <c r="KO20" s="154"/>
      <c r="KP20" s="154"/>
      <c r="KQ20" s="210"/>
      <c r="KR20" s="117"/>
      <c r="KS20" s="211"/>
      <c r="KT20" s="145"/>
      <c r="KU20" s="148"/>
      <c r="KV20" s="148"/>
      <c r="KW20" s="265"/>
      <c r="KX20" s="286"/>
      <c r="KY20" s="100"/>
      <c r="KZ20" s="100"/>
      <c r="LA20" s="210"/>
      <c r="LB20" s="117"/>
      <c r="LC20" s="117"/>
      <c r="LD20" s="148"/>
      <c r="LE20" s="145"/>
      <c r="LF20" s="632"/>
      <c r="LG20" s="148"/>
      <c r="LH20" s="154"/>
      <c r="LI20" s="154"/>
      <c r="LJ20" s="154"/>
      <c r="LK20" s="117"/>
      <c r="LL20" s="211"/>
      <c r="LM20" s="210"/>
      <c r="LN20" s="148"/>
      <c r="LO20" s="148"/>
      <c r="LP20" s="265"/>
      <c r="LQ20" s="286"/>
      <c r="LR20" s="100"/>
      <c r="LS20" s="100"/>
      <c r="LT20" s="210"/>
      <c r="LU20" s="117"/>
      <c r="LV20" s="117"/>
      <c r="LW20" s="148"/>
      <c r="LX20" s="145"/>
      <c r="LY20" s="632"/>
      <c r="LZ20" s="148"/>
      <c r="MA20" s="154"/>
      <c r="MB20" s="154"/>
      <c r="MC20" s="145"/>
      <c r="MD20" s="117"/>
      <c r="ME20" s="211"/>
      <c r="MF20" s="210"/>
      <c r="MG20" s="148"/>
      <c r="MH20" s="148"/>
      <c r="MI20" s="265"/>
      <c r="MJ20" s="647"/>
      <c r="MK20" s="264"/>
      <c r="ML20" s="153"/>
      <c r="MM20" s="153"/>
      <c r="MN20" s="153"/>
      <c r="MO20" s="153"/>
      <c r="MP20" s="153"/>
      <c r="MQ20" s="153"/>
      <c r="MR20" s="153"/>
      <c r="MS20" s="99"/>
      <c r="MT20" s="99"/>
      <c r="MU20" s="99"/>
      <c r="MV20" s="99"/>
      <c r="MW20" s="99"/>
      <c r="MX20" s="99"/>
      <c r="MY20" s="153"/>
      <c r="MZ20" s="153"/>
      <c r="NA20" s="153"/>
      <c r="NB20" s="153"/>
      <c r="NC20" s="153"/>
      <c r="ND20" s="153"/>
      <c r="NE20" s="148"/>
      <c r="NF20" s="153"/>
      <c r="NG20" s="153"/>
      <c r="NH20" s="330" t="str">
        <f t="shared" ref="NH20:NH54" si="245">"ks"</f>
        <v>ks</v>
      </c>
      <c r="NI20" s="797">
        <f>RZ[[#This Row],[Počet ks (K)]]</f>
        <v>0</v>
      </c>
      <c r="NJ20" s="798">
        <f>RZ[[#This Row],[Hmotnost '[kg/ks'] (K)]]</f>
        <v>0</v>
      </c>
      <c r="NK20" s="148"/>
      <c r="NL20" s="145"/>
      <c r="NM20" s="632"/>
      <c r="NN20" s="148"/>
      <c r="NO20" s="154"/>
      <c r="NP20" s="153"/>
      <c r="NQ20" s="153"/>
      <c r="NR20" s="210"/>
      <c r="NS20" s="148"/>
      <c r="NT20" s="210"/>
      <c r="NU20" s="148"/>
      <c r="NV20" s="148"/>
      <c r="NW20" s="175"/>
    </row>
    <row r="21" spans="2:387" ht="15.95" customHeight="1" x14ac:dyDescent="0.35">
      <c r="B21" s="118" t="str">
        <f t="shared" si="129"/>
        <v/>
      </c>
      <c r="C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1" s="262" t="str">
        <f t="shared" si="130"/>
        <v xml:space="preserve">    Vzduchové potrubí</v>
      </c>
      <c r="E21" s="120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Row],[Kód položek (P2)]]))))))))))</f>
        <v>SUOS</v>
      </c>
      <c r="F21" s="791" t="str">
        <f t="shared" si="131"/>
        <v>N/A</v>
      </c>
      <c r="G21" s="792" t="str">
        <f t="shared" si="132"/>
        <v/>
      </c>
      <c r="H21" s="262" t="str">
        <f t="shared" si="133"/>
        <v/>
      </c>
      <c r="I21" s="123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HR '[MJHR'] (P0)]]))))))))))</f>
        <v>ks</v>
      </c>
      <c r="J21" s="123">
        <f t="shared" si="134"/>
        <v>1</v>
      </c>
      <c r="K21" s="793">
        <f>RZ[[#This Row],[Koeficient odhadu HR '[-'] (P1)]]</f>
        <v>1</v>
      </c>
      <c r="L21" s="124">
        <f ca="1">RZ[[#This Row],[Jednotková hmotnost s koef. '[kg/MJHR'] (P0)]]</f>
        <v>52.4</v>
      </c>
      <c r="M21" s="794">
        <f t="shared" ca="1" si="135"/>
        <v>0</v>
      </c>
      <c r="N21" s="125">
        <f t="shared" ca="1" si="136"/>
        <v>52.4</v>
      </c>
      <c r="O21" s="125">
        <f t="shared" ca="1" si="137"/>
        <v>0</v>
      </c>
      <c r="P21" s="126" t="str">
        <f t="shared" si="138"/>
        <v/>
      </c>
      <c r="Q21" s="795">
        <f ca="1">RZ[[#This Row],[Počet MJHR v rozpadu (P0)]]</f>
        <v>1</v>
      </c>
      <c r="R21" s="439" t="str">
        <f t="shared" si="139"/>
        <v>Zajíc</v>
      </c>
      <c r="S21" s="129">
        <f t="shared" si="140"/>
        <v>42950.645115740743</v>
      </c>
      <c r="T21" s="126" t="str">
        <f t="shared" si="141"/>
        <v/>
      </c>
      <c r="U21" s="126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CR (MJCR) (P0)]]))))))))))</f>
        <v>ks</v>
      </c>
      <c r="V21" s="575">
        <f t="shared" ca="1" si="142"/>
        <v>1</v>
      </c>
      <c r="W21" s="322">
        <f>RZ[[#This Row],[Koeficient odhadu CR '[-'] (P1)]]</f>
        <v>1.5</v>
      </c>
      <c r="X21" s="440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Row],[Jednotková cena bez DPH '[cena/MJCR'] (P1)]]*RZ[[#This Row],[Koeficient odhadu CR '[-']]]))))))))))</f>
        <v>22500</v>
      </c>
      <c r="Y21" s="440">
        <f t="shared" ca="1" si="143"/>
        <v>-7500</v>
      </c>
      <c r="Z21" s="142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VLOOKUP(IP21,$BR$7:$BS$11,2,FALSE)))))))))))</f>
        <v>CZK</v>
      </c>
      <c r="AA21" s="909">
        <f t="shared" ca="1" si="144"/>
        <v>1</v>
      </c>
      <c r="AB21" s="910">
        <f ca="1">RZ[[#This Row],[Kumulovaný koeficient v rozpadu (P0)]]</f>
        <v>1.5</v>
      </c>
      <c r="AC21" s="261"/>
      <c r="AD21" s="796">
        <f ca="1">RZ[[#This Row],[Jednotková cena bez DPH '[cena/MJCR'] s koef. (P0)]]/RZ[[#This Row],[Koeficient odhadu CR '[-']]]*RZ[[#This Row],[Kumulovaný koeficient odhadu CR  '[-']]]</f>
        <v>22500</v>
      </c>
      <c r="AE21" s="796">
        <f t="shared" ca="1" si="145"/>
        <v>22500</v>
      </c>
      <c r="AF21" s="796">
        <f ca="1">-IF(ISNUMBER(AA21),RZ[[#This Row],[Celková cena bez DPH (1)]]-RZ[[#This Row],[Jednotková cena bez DPH '[cena/MJCR'] bez koef. (P0)]]*AA21,0)</f>
        <v>-7500</v>
      </c>
      <c r="AG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429.38931297709922</v>
      </c>
      <c r="AH21" s="261"/>
      <c r="AI21" s="796">
        <f t="shared" ca="1" si="146"/>
        <v>833.33333333333337</v>
      </c>
      <c r="AJ21" s="796">
        <f t="shared" ca="1" si="147"/>
        <v>833.33333333333337</v>
      </c>
      <c r="AK21" s="796">
        <f t="shared" ca="1" si="148"/>
        <v>-277.77777777777777</v>
      </c>
      <c r="AL21" s="753">
        <f ca="1">RZ[[#This Row],[Kilogramová cena bez DPH '[cena/kg'] (1)]]/$AK$13</f>
        <v>15.903307888040713</v>
      </c>
      <c r="AM21" s="261"/>
      <c r="AN21" s="796">
        <f t="shared" ca="1" si="149"/>
        <v>1086.9565217391305</v>
      </c>
      <c r="AO21" s="796">
        <f t="shared" ca="1" si="150"/>
        <v>1086.9565217391305</v>
      </c>
      <c r="AP21" s="796">
        <f t="shared" ca="1" si="151"/>
        <v>-362.31884057971018</v>
      </c>
      <c r="AQ21" s="753">
        <f ca="1">RZ[[#This Row],[Kilogramová cena bez DPH '[cena/kg'] (1)]]/$AP$13</f>
        <v>20.743445071357453</v>
      </c>
      <c r="AR21" s="261"/>
      <c r="AS21" s="796">
        <f t="shared" ca="1" si="152"/>
        <v>615.42669584245073</v>
      </c>
      <c r="AT21" s="796">
        <f t="shared" ca="1" si="153"/>
        <v>615.42669584245073</v>
      </c>
      <c r="AU21" s="789">
        <f t="shared" ca="1" si="154"/>
        <v>-205.14223194748357</v>
      </c>
      <c r="AV21" s="767">
        <f ca="1">RZ[[#This Row],[Kilogramová cena bez DPH '[cena/kg'] (1)]]/$AU$13</f>
        <v>11.744784271802494</v>
      </c>
      <c r="AW21" s="165"/>
      <c r="AX21" s="911">
        <f t="shared" ca="1" si="155"/>
        <v>2</v>
      </c>
      <c r="AY21" s="111">
        <f t="shared" ca="1" si="156"/>
        <v>1</v>
      </c>
      <c r="AZ21" s="111">
        <f t="shared" ca="1" si="157"/>
        <v>2</v>
      </c>
      <c r="BA21" s="111">
        <f t="shared" ca="1" si="158"/>
        <v>0</v>
      </c>
      <c r="BB21" s="111">
        <f t="shared" ca="1" si="159"/>
        <v>0</v>
      </c>
      <c r="BC21" s="111">
        <f t="shared" ca="1" si="160"/>
        <v>0</v>
      </c>
      <c r="BD21" s="111">
        <f t="shared" ca="1" si="161"/>
        <v>0</v>
      </c>
      <c r="BE21" s="111">
        <f t="shared" ca="1" si="162"/>
        <v>0</v>
      </c>
      <c r="BF21" s="111">
        <f t="shared" ca="1" si="163"/>
        <v>0</v>
      </c>
      <c r="BG21" s="112">
        <f t="shared" ca="1" si="164"/>
        <v>0</v>
      </c>
      <c r="BH21" s="911">
        <f t="shared" si="165"/>
        <v>0</v>
      </c>
      <c r="BI21" s="111">
        <f t="shared" si="166"/>
        <v>0</v>
      </c>
      <c r="BJ21" s="111">
        <f t="shared" si="167"/>
        <v>1</v>
      </c>
      <c r="BK21" s="111">
        <f t="shared" si="168"/>
        <v>0</v>
      </c>
      <c r="BL21" s="111">
        <f t="shared" si="169"/>
        <v>0</v>
      </c>
      <c r="BM21" s="111">
        <f t="shared" si="170"/>
        <v>0</v>
      </c>
      <c r="BN21" s="111">
        <f t="shared" si="171"/>
        <v>0</v>
      </c>
      <c r="BO21" s="111">
        <f t="shared" si="172"/>
        <v>0</v>
      </c>
      <c r="BP21" s="111">
        <f t="shared" si="173"/>
        <v>0</v>
      </c>
      <c r="BQ21" s="112">
        <f t="shared" si="174"/>
        <v>0</v>
      </c>
      <c r="BR21" s="132">
        <f ca="1">IF(OFFSET(AY21,1,0,1,1)&lt;&gt;0,RZ[[#This Row],[Koeficient odhadu HR '[-'] (P1)]]*$BH21*SUMIFS(RZ[Úroveň 2 s koef. (P2)],RZ[0],AX21),RZ[[#This Row],[Koeficient odhadu HR '[-'] (P1)]]*$BH21*$IG21)</f>
        <v>0</v>
      </c>
      <c r="BS21" s="186">
        <f ca="1">IF(OFFSET(AY21,1,0,1,1)&lt;&gt;0,$BH21*SUMIFS(RZ[Úroveň 2 bez koef. (P2)],RZ[0],AX21),$BH21*$IG21)</f>
        <v>0</v>
      </c>
      <c r="BT21" s="138">
        <f ca="1">RZ[[#This Row],[Úroveň 2 s koef. (P2a)]]*RZ[[#This Row],[Počet MJHR (P0)]]</f>
        <v>0</v>
      </c>
      <c r="BU21" s="138">
        <f ca="1">RZ[[#This Row],[Úroveň 2 bez koef. (P2a)]]*RZ[[#This Row],[Počet MJHR (P0)]]</f>
        <v>0</v>
      </c>
      <c r="BV21" s="138">
        <f ca="1">IF(OFFSET(AZ21,1,0,1,1)&lt;&gt;0,RZ[[#This Row],[Koeficient odhadu HR '[-'] (P1)]]*$BI21*SUMIFS(RZ[Úroveň 3 s koef. (P2)],RZ[0],AX21,RZ[Úroveň 2 (P0)],AY21),RZ[[#This Row],[Koeficient odhadu HR '[-'] (P1)]]*$BI21*$IG21)</f>
        <v>0</v>
      </c>
      <c r="BW21" s="138">
        <f ca="1">IF(OFFSET(AZ21,1,0,1,1)&lt;&gt;0,$BI21*SUMIFS(RZ[Úroveň 3 bez koef. (P2)],RZ[0],AX21,RZ[Úroveň 2 (P0)],AY21),$BI21*$IG21)</f>
        <v>0</v>
      </c>
      <c r="BX21" s="132">
        <f ca="1">RZ[[#This Row],[Úroveň 3 s koef. (P2a)]]*RZ[[#This Row],[Počet MJHR (P0)]]</f>
        <v>52.4</v>
      </c>
      <c r="BY21" s="132">
        <f ca="1">RZ[Úroveň 3 bez koef. (P2a)]*RZ[[#This Row],[Počet MJHR (P0)]]</f>
        <v>52.4</v>
      </c>
      <c r="BZ21" s="132">
        <f ca="1">IF(OFFSET(BA21,1,0,1,1)&lt;&gt;0,RZ[[#This Row],[Koeficient odhadu HR '[-'] (P1)]]*$BJ21*SUMIFS(RZ[Úroveň 4 s koef. (P2)],RZ[0],AX21,RZ[Úroveň 2 (P0)],AY21,RZ[Úroveň 3 (P0)],AZ21),RZ[[#This Row],[Koeficient odhadu HR '[-'] (P1)]]*$BJ21*$IG21)</f>
        <v>52.4</v>
      </c>
      <c r="CA21" s="132">
        <f ca="1">IF(OFFSET(BA21,1,0,1,1)&lt;&gt;0,$BJ21*SUMIFS(RZ[Úroveň 4 bez koef. (P2)],RZ[0],AX21,RZ[Úroveň 2 (P0)],AY21,RZ[Úroveň 3 (P0)],AZ21),$BJ21*$IG21)</f>
        <v>52.4</v>
      </c>
      <c r="CB21" s="138">
        <f ca="1">RZ[[#This Row],[Úroveň 4 s koef. (P2a)]]*RZ[[#This Row],[Počet MJHR (P0)]]</f>
        <v>0</v>
      </c>
      <c r="CC21" s="138">
        <f ca="1">RZ[Úroveň 4 bez koef. (P2a)]*RZ[[#This Row],[Počet MJHR (P0)]]</f>
        <v>0</v>
      </c>
      <c r="CD21" s="138">
        <f ca="1">IF(OFFSET(BB21,1,0,1,1)&lt;&gt;0,RZ[[#This Row],[Koeficient odhadu HR '[-'] (P1)]]*$BK21*SUMIFS(RZ[Úroveň 5 s koef. (P2)],RZ[0],AX21,RZ[Úroveň 2 (P0)],AY21,RZ[Úroveň 3 (P0)],AZ21,RZ[Úroveň 4 (P0)],BA21),RZ[[#This Row],[Koeficient odhadu HR '[-'] (P1)]]*$BK21*$IG21)</f>
        <v>0</v>
      </c>
      <c r="CE21" s="138">
        <f ca="1">IF(OFFSET(BB21,1,0,1,1)&lt;&gt;0,$BK21*SUMIFS(RZ[Úroveň 5 bez koef. (P2)],RZ[0],AX21,RZ[Úroveň 2 (P0)],AY21,RZ[Úroveň 3 (P0)],AZ21,RZ[Úroveň 4 (P0)],BA21),$BK21*$IG21)</f>
        <v>0</v>
      </c>
      <c r="CF21" s="132">
        <f ca="1">RZ[[#This Row],[Úroveň 5 s koef. (P2a)]]*RZ[[#This Row],[Počet MJHR (P0)]]</f>
        <v>0</v>
      </c>
      <c r="CG21" s="132">
        <f ca="1">RZ[Úroveň 5 bez koef. (P2a)]*RZ[[#This Row],[Počet MJHR (P0)]]</f>
        <v>0</v>
      </c>
      <c r="CH21" s="132">
        <f ca="1">IF(OFFSET(BC21,1,0,1,1)&lt;&gt;0,RZ[[#This Row],[Koeficient odhadu HR '[-'] (P1)]]*$BL21*SUMIFS(RZ[Úroveň 6 s koef. (P2)],RZ[0],AX21,RZ[Úroveň 2 (P0)],AY21,RZ[Úroveň 3 (P0)],AZ21,RZ[Úroveň 4 (P0)],BA21,RZ[Úroveň 5 (P0)],BB21),RZ[[#This Row],[Koeficient odhadu HR '[-'] (P1)]]*$BL21*$IG21)</f>
        <v>0</v>
      </c>
      <c r="CI21" s="132">
        <f ca="1">IF(OFFSET(BC21,1,0,1,1)&lt;&gt;0,$BL21*SUMIFS(RZ[Úroveň 6 bez koef. (P2)],RZ[0],AX21,RZ[Úroveň 2 (P0)],AY21,RZ[Úroveň 3 (P0)],AZ21,RZ[Úroveň 4 (P0)],BA21,RZ[Úroveň 5 (P0)],BB21),$BL21*$IG21)</f>
        <v>0</v>
      </c>
      <c r="CJ21" s="138">
        <f ca="1">RZ[[#This Row],[Úroveň 6 s koef. (P2a)]]*RZ[[#This Row],[Počet MJHR (P0)]]</f>
        <v>0</v>
      </c>
      <c r="CK21" s="138">
        <f ca="1">RZ[Úroveň 6 bez koef. (P2a)]*RZ[[#This Row],[Počet MJHR (P0)]]</f>
        <v>0</v>
      </c>
      <c r="CL21" s="138">
        <f ca="1">IF(OFFSET(BD21,1,0,1,1)&lt;&gt;0,RZ[[#This Row],[Koeficient odhadu HR '[-'] (P1)]]*$BM21*SUMIFS(RZ[Úroveň 7 s koef. (P2)],RZ[0],AX21,RZ[Úroveň 2 (P0)],AY21,RZ[Úroveň 3 (P0)],AZ21,RZ[Úroveň 4 (P0)],BA21,RZ[Úroveň 5 (P0)],BB21,RZ[Úroveň 6 (P0)],BC21),RZ[[#This Row],[Koeficient odhadu HR '[-'] (P1)]]*$BM21*$IG21)</f>
        <v>0</v>
      </c>
      <c r="CM21" s="138">
        <f ca="1">IF(OFFSET(BD21,1,0,1,1)&lt;&gt;0,$BM21*SUMIFS(RZ[Úroveň 7 bez koef. (P2)],RZ[0],AX21,RZ[Úroveň 2 (P0)],AY21,RZ[Úroveň 3 (P0)],AZ21,RZ[Úroveň 4 (P0)],BA21,RZ[Úroveň 5 (P0)],BB21,RZ[Úroveň 6 (P0)],BC21),$BM21*$IG21)</f>
        <v>0</v>
      </c>
      <c r="CN21" s="132">
        <f ca="1">RZ[[#This Row],[Úroveň 7 s koef. (P2a)]]*RZ[[#This Row],[Počet MJHR (P0)]]</f>
        <v>0</v>
      </c>
      <c r="CO21" s="132">
        <f ca="1">RZ[Úroveň 7 bez koef. (P2a)]*RZ[[#This Row],[Počet MJHR (P0)]]</f>
        <v>0</v>
      </c>
      <c r="CP21" s="132">
        <f ca="1">IF(OFFSET(BE21,1,0,1,1)&lt;&gt;0,RZ[[#This Row],[Koeficient odhadu HR '[-'] (P1)]]*$BN21*SUMIFS(RZ[Úroveň 8 s koef. (P2)],RZ[0],AX21,RZ[Úroveň 2 (P0)],AY21,RZ[Úroveň 3 (P0)],AZ21,RZ[Úroveň 4 (P0)],BA21,RZ[Úroveň 5 (P0)],BB21,RZ[Úroveň 6 (P0)],BC21,RZ[Úroveň 7 (P0)],BD21),RZ[[#This Row],[Koeficient odhadu HR '[-'] (P1)]]*$BN21*$IG21)</f>
        <v>0</v>
      </c>
      <c r="CQ21" s="132">
        <f ca="1">IF(OFFSET(BE21,1,0,1,1)&lt;&gt;0,$BN21*SUMIFS(RZ[Úroveň 8 bez koef. (P2)],RZ[0],AX21,RZ[Úroveň 2 (P0)],AY21,RZ[Úroveň 3 (P0)],AZ21,RZ[Úroveň 4 (P0)],BA21,RZ[Úroveň 5 (P0)],BB21,RZ[Úroveň 6 (P0)],BC21,RZ[Úroveň 7 (P0)],BD21),$BN21*$IG21)</f>
        <v>0</v>
      </c>
      <c r="CR21" s="138">
        <f ca="1">RZ[[#This Row],[Úroveň 8 s koef. (P2a)]]*RZ[[#This Row],[Počet MJHR (P0)]]</f>
        <v>0</v>
      </c>
      <c r="CS21" s="138">
        <f ca="1">RZ[Úroveň 8 bez koef. (P2a)]*RZ[[#This Row],[Počet MJHR (P0)]]</f>
        <v>0</v>
      </c>
      <c r="CT21" s="138">
        <f ca="1">IF(OFFSET(BF21,1,0,1,1)&lt;&gt;0,RZ[[#This Row],[Koeficient odhadu HR '[-'] (P1)]]*$BO21*SUMIFS(RZ[Úroveň 9 s koef. (P2)],RZ[0],AX21,RZ[Úroveň 2 (P0)],AY21,RZ[Úroveň 3 (P0)],AZ21,RZ[Úroveň 4 (P0)],BA21,RZ[Úroveň 5 (P0)],BB21,RZ[Úroveň 6 (P0)],BC21,RZ[Úroveň 7 (P0)],BD21,RZ[Úroveň 8 (P0)],BE21),RZ[[#This Row],[Koeficient odhadu HR '[-'] (P1)]]*$BO21*$IG21)</f>
        <v>0</v>
      </c>
      <c r="CU21" s="138">
        <f ca="1">IF(OFFSET(BF21,1,0,1,1)&lt;&gt;0,$BO21*SUMIFS(RZ[Úroveň 9 bez koef. (P2)],RZ[0],AX21,RZ[Úroveň 2 (P0)],AY21,RZ[Úroveň 3 (P0)],AZ21,RZ[Úroveň 4 (P0)],BA21,RZ[Úroveň 5 (P0)],BB21,RZ[Úroveň 6 (P0)],BC21,RZ[Úroveň 7 (P0)],BD21,RZ[Úroveň 8 (P0)],BE21),$BO21*$IG21)</f>
        <v>0</v>
      </c>
      <c r="CV21" s="132">
        <f ca="1">RZ[[#This Row],[Úroveň 9 s koef. (P2a)]]*RZ[[#This Row],[Počet MJHR (P0)]]</f>
        <v>0</v>
      </c>
      <c r="CW21" s="132">
        <f ca="1">RZ[Úroveň 9 bez koef. (P2a)]*RZ[[#This Row],[Počet MJHR (P0)]]</f>
        <v>0</v>
      </c>
      <c r="CX21" s="132">
        <f ca="1">IF(OFFSET(BG21,1,0,1,1)&lt;&gt;0,RZ[[#This Row],[Koeficient odhadu HR '[-'] (P1)]]*$BP21*SUMIFS(RZ[Úroveň 10 s koef. (P2)],RZ[0],AX21,RZ[Úroveň 2 (P0)],AY21,RZ[Úroveň 3 (P0)],AZ21,RZ[Úroveň 4 (P0)],BA21,RZ[Úroveň 5 (P0)],BB21,RZ[Úroveň 6 (P0)],BC21,RZ[Úroveň 7 (P0)],BD21,RZ[Úroveň 8 (P0)],BE21,RZ[Úroveň 9 (P0)],BF21),RZ[[#This Row],[Koeficient odhadu HR '[-'] (P1)]]*$BP21*$IG21)</f>
        <v>0</v>
      </c>
      <c r="CY21" s="132">
        <f ca="1">IF(OFFSET(BG21,1,0,1,1)&lt;&gt;0,$BP21*SUMIFS(RZ[Úroveň 10 bez koef. (P2)],RZ[0],AX21,RZ[Úroveň 2 (P0)],AY21,RZ[Úroveň 3 (P0)],AZ21,RZ[Úroveň 4 (P0)],BA21,RZ[Úroveň 5 (P0)],BB21,RZ[Úroveň 6 (P0)],BC21,RZ[Úroveň 7 (P0)],BD21,RZ[Úroveň 8 (P0)],BE21,RZ[Úroveň 9 (P0)],BF21),$BP21*$IG21)</f>
        <v>0</v>
      </c>
      <c r="CZ21" s="138">
        <f>RZ[[#This Row],[Úroveň 10 s koef. (P2a)]]*RZ[[#This Row],[Počet MJHR (P0)]]</f>
        <v>0</v>
      </c>
      <c r="DA21" s="138">
        <f>RZ[Úroveň 10 bez koef. (P2a)]*RZ[[#This Row],[Počet MJHR (P0)]]</f>
        <v>0</v>
      </c>
      <c r="DB21" s="138">
        <f>RZ[[#This Row],[Koeficient odhadu HR '[-'] (P1)]]*$BQ21*IG21</f>
        <v>0</v>
      </c>
      <c r="DC21" s="231">
        <f t="shared" si="175"/>
        <v>0</v>
      </c>
      <c r="DD21" s="241">
        <f t="shared" ca="1" si="176"/>
        <v>52.4</v>
      </c>
      <c r="DE21" s="229">
        <f t="shared" ca="1" si="177"/>
        <v>52.4</v>
      </c>
      <c r="DF21" s="912">
        <f t="shared" si="178"/>
        <v>0</v>
      </c>
      <c r="DG21" s="913">
        <f t="shared" si="179"/>
        <v>0</v>
      </c>
      <c r="DH21" s="913">
        <f t="shared" si="180"/>
        <v>1</v>
      </c>
      <c r="DI21" s="913">
        <f t="shared" si="181"/>
        <v>0</v>
      </c>
      <c r="DJ21" s="913">
        <f t="shared" si="182"/>
        <v>0</v>
      </c>
      <c r="DK21" s="913">
        <f t="shared" si="183"/>
        <v>0</v>
      </c>
      <c r="DL21" s="913">
        <f t="shared" si="184"/>
        <v>0</v>
      </c>
      <c r="DM21" s="913">
        <f t="shared" si="185"/>
        <v>0</v>
      </c>
      <c r="DN21" s="913">
        <f t="shared" si="186"/>
        <v>0</v>
      </c>
      <c r="DO21" s="913">
        <f t="shared" si="187"/>
        <v>0</v>
      </c>
      <c r="DP21" s="914">
        <f ca="1">SUMIFS(RZ[Úroveň 1 (P4)],RZ[0],AX21)</f>
        <v>1</v>
      </c>
      <c r="DQ21" s="914">
        <f ca="1">SUMIFS(RZ[Úroveň 2 (P4)],RZ[0],AX21,RZ[Úroveň 2 (P0)],AY21)</f>
        <v>1</v>
      </c>
      <c r="DR21" s="914">
        <f ca="1">SUMIFS(RZ[Úroveň 3 (P4)],RZ[0],AX21,RZ[Úroveň 2 (P0)],AY21,RZ[Úroveň 3 (P0)],AZ21)</f>
        <v>1</v>
      </c>
      <c r="DS21" s="914">
        <f ca="1">SUMIFS(RZ[Úroveň 4 (P4)],RZ[0],AX21,RZ[Úroveň 2 (P0)],AY21,RZ[Úroveň 3 (P0)],AZ21,RZ[Úroveň 4 (P0)],BA21)</f>
        <v>0</v>
      </c>
      <c r="DT21" s="914">
        <f ca="1">SUMIFS(RZ[Úroveň 5 (P4)],RZ[0],AX21,RZ[Úroveň 2 (P0)],AY21,RZ[Úroveň 3 (P0)],AZ21,RZ[Úroveň 4 (P0)],BA21,RZ[Úroveň 5 (P0)],BB21)</f>
        <v>0</v>
      </c>
      <c r="DU21" s="914">
        <f ca="1">SUMIFS(RZ[Úroveň 6 (P4)],RZ[0],AX21,RZ[Úroveň 2 (P0)],AY21,RZ[Úroveň 3 (P0)],AZ21,RZ[Úroveň 4 (P0)],BA21,RZ[Úroveň 5 (P0)],BB21,RZ[Úroveň 6 (P0)],BC21)</f>
        <v>0</v>
      </c>
      <c r="DV21" s="914">
        <f ca="1">SUMIFS(RZ[Úroveň 7 (P4)],RZ[0],AX21,RZ[Úroveň 2 (P0)],AY21,RZ[Úroveň 3 (P0)],AZ21,RZ[Úroveň 4 (P0)],BA21,RZ[Úroveň 5 (P0)],BB21,RZ[Úroveň 6 (P0)],BC21,RZ[Úroveň 7 (P0)],BD21)</f>
        <v>0</v>
      </c>
      <c r="DW21" s="914">
        <f ca="1">SUMIFS(RZ[Úroveň 8 (P4)],RZ[0],AX21,RZ[Úroveň 2 (P0)],AY21,RZ[Úroveň 3 (P0)],AZ21,RZ[Úroveň 4 (P0)],BA21,RZ[Úroveň 5 (P0)],BB21,RZ[Úroveň 6 (P0)],BC21,RZ[Úroveň 7 (P0)],BD21,RZ[Úroveň 8 (P0)],BE21)</f>
        <v>0</v>
      </c>
      <c r="DX21" s="914">
        <f ca="1">SUMIFS(RZ[Úroveň 9 (P4)],RZ[0],AX21,RZ[Úroveň 2 (P0)],AY21,RZ[Úroveň 3 (P0)],AZ21,RZ[Úroveň 4 (P0)],BA21,RZ[Úroveň 5 (P0)],BB21,RZ[Úroveň 6 (P0)],BC21,RZ[Úroveň 7 (P0)],BD21,RZ[Úroveň 8 (P0)],BE21,RZ[Úroveň 9 (P0)],BF21)</f>
        <v>0</v>
      </c>
      <c r="DY21" s="914">
        <f ca="1">SUMIFS(RZ[Úroveň 10 (P4)],RZ[0],AX21,RZ[Úroveň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DZ21" s="915">
        <f t="shared" ca="1" si="188"/>
        <v>1</v>
      </c>
      <c r="EA21" s="916">
        <f ca="1">RZ[[#This Row],[Jednotková hmotnost bez koef. '[kg/MJHR'] (P0)]]*RZ[[#This Row],[Počet MJHR v rozpadu (P0)]]</f>
        <v>52.4</v>
      </c>
      <c r="EB21" s="917">
        <f ca="1">IF(OFFSET(AY21,1,0,1,1)&lt;&gt;0,RZ[[#This Row],[Koeficient odhadu CR '[-'] (P1)]]*$BH21*SUMIFS(RZ[Úroveň 2 s koef. (P3)],RZ[0],AX21),RZ[[#This Row],[Koeficient odhadu CR '[-'] (P1)]]*$BH21*$IQ21)</f>
        <v>0</v>
      </c>
      <c r="EC21" s="191">
        <f ca="1">IF(OFFSET(AY21,1,0,1,1)&lt;&gt;0,$BH21*SUMIFS(RZ[Úroveň 2 bez koef. (P3)],RZ[0],AX21),$BH21*$IQ21)</f>
        <v>0</v>
      </c>
      <c r="ED21" s="140">
        <f ca="1">RZ[[#This Row],[Úroveň 2 s koef. (P3a)]]*RZ[[#This Row],[Počet MJCR (P0) pro "kg"]]</f>
        <v>0</v>
      </c>
      <c r="EE21" s="140">
        <f ca="1">RZ[Úroveň 2 bez koef. (P3a)]*RZ[[#This Row],[Počet MJCR (P0) pro "kg"]]</f>
        <v>0</v>
      </c>
      <c r="EF21" s="140">
        <f ca="1">IF(OFFSET(AZ21,1,0,1,1)&lt;&gt;0,RZ[[#This Row],[Koeficient odhadu CR '[-'] (P1)]]*$BI21*SUMIFS(RZ[Úroveň 3 s koef. (P3)],RZ[0],AX21,RZ[Úroveň 2 (P0)],AY21),RZ[[#This Row],[Koeficient odhadu CR '[-'] (P1)]]*$BI21*$IQ21)</f>
        <v>0</v>
      </c>
      <c r="EG21" s="140">
        <f ca="1">IF(OFFSET(AZ21,1,0,1,1)&lt;&gt;0,$BI21*SUMIFS(RZ[Úroveň 3 bez koef. (P3)],RZ[0],AX21,RZ[Úroveň 2 (P0)],AY21),$BI21*$IQ21)</f>
        <v>0</v>
      </c>
      <c r="EH21" s="135">
        <f ca="1">RZ[[#This Row],[Úroveň 3 s koef. (P3a)]]*RZ[[#This Row],[Počet MJCR (P0) pro "kg"]]</f>
        <v>22500</v>
      </c>
      <c r="EI21" s="135">
        <f ca="1">RZ[Úroveň 3 bez koef. (P3a)]*RZ[[#This Row],[Počet MJCR (P0) pro "kg"]]</f>
        <v>15000</v>
      </c>
      <c r="EJ21" s="135">
        <f ca="1">IF(OFFSET(BA21,1,0,1,1)&lt;&gt;0,RZ[[#This Row],[Koeficient odhadu CR '[-'] (P1)]]*$BJ21*SUMIFS(RZ[Úroveň 4 s koef. (P3)],RZ[0],AX21,RZ[Úroveň 2 (P0)],AY21,RZ[Úroveň 3 (P0)],AZ21),RZ[[#This Row],[Koeficient odhadu CR '[-'] (P1)]]*$BJ21*$IQ21)</f>
        <v>22500</v>
      </c>
      <c r="EK21" s="135">
        <f ca="1">IF(OFFSET(BA21,1,0,1,1)&lt;&gt;0,$BJ21*SUMIFS(RZ[Úroveň 4 bez koef. (P3)],RZ[0],AX21,RZ[Úroveň 2 (P0)],AY21,RZ[Úroveň 3 (P0)],AZ21),$BJ21*$IQ21)</f>
        <v>15000</v>
      </c>
      <c r="EL21" s="140">
        <f ca="1">RZ[[#This Row],[Úroveň 4 s koef. (P3a)]]*RZ[[#This Row],[Počet MJCR (P0) pro "kg"]]</f>
        <v>0</v>
      </c>
      <c r="EM21" s="140">
        <f ca="1">RZ[Úroveň 4 bez koef. (P3a)]*RZ[[#This Row],[Počet MJCR (P0) pro "kg"]]</f>
        <v>0</v>
      </c>
      <c r="EN21" s="140">
        <f ca="1">IF(OFFSET(BB21,1,0,1,1)&lt;&gt;0,RZ[[#This Row],[Koeficient odhadu CR '[-'] (P1)]]*$BK21*SUMIFS(RZ[Úroveň 5 s koef. (P3)],RZ[0],AX21,RZ[Úroveň 2 (P0)],AY21,RZ[Úroveň 3 (P0)],AZ21,RZ[Úroveň 4 (P0)],BA21),RZ[[#This Row],[Koeficient odhadu CR '[-'] (P1)]]*$BK21*$IQ21)</f>
        <v>0</v>
      </c>
      <c r="EO21" s="140">
        <f ca="1">IF(OFFSET(BB21,1,0,1,1)&lt;&gt;0,$BK21*SUMIFS(RZ[Úroveň 5 bez koef. (P3)],RZ[0],AX21,RZ[Úroveň 2 (P0)],AY21,RZ[Úroveň 3 (P0)],AZ21,RZ[Úroveň 4 (P0)],BA21),$BK21*$IQ21)</f>
        <v>0</v>
      </c>
      <c r="EP21" s="135">
        <f ca="1">RZ[[#This Row],[Úroveň 5 s koef. (P3a)]]*RZ[[#This Row],[Počet MJCR (P0) pro "kg"]]</f>
        <v>0</v>
      </c>
      <c r="EQ21" s="135">
        <f ca="1">RZ[Úroveň 5 bez koef. (P3a)]*RZ[[#This Row],[Počet MJCR (P0) pro "kg"]]</f>
        <v>0</v>
      </c>
      <c r="ER21" s="135">
        <f ca="1">IF(OFFSET(BC21,1,0,1,1)&lt;&gt;0,RZ[[#This Row],[Koeficient odhadu CR '[-'] (P1)]]*$BL21*SUMIFS(RZ[Úroveň 6 s koef. (P3)],RZ[0],AX21,RZ[Úroveň 2 (P0)],AY21,RZ[Úroveň 3 (P0)],AZ21,RZ[Úroveň 4 (P0)],BA21,RZ[Úroveň 5 (P0)],BB21),RZ[[#This Row],[Koeficient odhadu CR '[-'] (P1)]]*$BL21*$IQ21)</f>
        <v>0</v>
      </c>
      <c r="ES21" s="135">
        <f ca="1">IF(OFFSET(BC21,1,0,1,1)&lt;&gt;0,$BL21*SUMIFS(RZ[Úroveň 6 bez koef. (P3)],RZ[0],AX21,RZ[Úroveň 2 (P0)],AY21,RZ[Úroveň 3 (P0)],AZ21,RZ[Úroveň 4 (P0)],BA21,RZ[Úroveň 5 (P0)],BB21),$BL21*$IQ21)</f>
        <v>0</v>
      </c>
      <c r="ET21" s="140">
        <f ca="1">RZ[[#This Row],[Úroveň 6 s koef. (P3a)]]*RZ[[#This Row],[Počet MJCR (P0) pro "kg"]]</f>
        <v>0</v>
      </c>
      <c r="EU21" s="140">
        <f ca="1">RZ[Úroveň 6 bez koef. (P3a)]*RZ[[#This Row],[Počet MJCR (P0) pro "kg"]]</f>
        <v>0</v>
      </c>
      <c r="EV21" s="140">
        <f ca="1">IF(OFFSET(BD21,1,0,1,1)&lt;&gt;0,RZ[[#This Row],[Koeficient odhadu CR '[-'] (P1)]]*$BM21*SUMIFS(RZ[Úroveň 7 s koef. (P3)],RZ[0],AX21,RZ[Úroveň 2 (P0)],AY21,RZ[Úroveň 3 (P0)],AZ21,RZ[Úroveň 4 (P0)],BA21,RZ[Úroveň 5 (P0)],BB21,RZ[Úroveň 6 (P0)],BC21),RZ[[#This Row],[Koeficient odhadu CR '[-'] (P1)]]*$BM21*$IQ21)</f>
        <v>0</v>
      </c>
      <c r="EW21" s="140">
        <f ca="1">IF(OFFSET(BD21,1,0,1,1)&lt;&gt;0,$BM21*SUMIFS(RZ[Úroveň 7 bez koef. (P3)],RZ[0],AX21,RZ[Úroveň 2 (P0)],AY21,RZ[Úroveň 3 (P0)],AZ21,RZ[Úroveň 4 (P0)],BA21,RZ[Úroveň 5 (P0)],BB21,RZ[Úroveň 6 (P0)],BC21),$BM21*$IQ21)</f>
        <v>0</v>
      </c>
      <c r="EX21" s="135">
        <f ca="1">RZ[[#This Row],[Úroveň 7 s koef. (P3a)]]*RZ[[#This Row],[Počet MJCR (P0) pro "kg"]]</f>
        <v>0</v>
      </c>
      <c r="EY21" s="135">
        <f ca="1">RZ[Úroveň 7 bez koef. (P3a)]*RZ[[#This Row],[Počet MJCR (P0) pro "kg"]]</f>
        <v>0</v>
      </c>
      <c r="EZ21" s="135">
        <f ca="1">IF(OFFSET(BE21,1,0,1,1)&lt;&gt;0,RZ[[#This Row],[Koeficient odhadu CR '[-'] (P1)]]*$BN21*SUMIFS(RZ[Úroveň 8 s koef. (P3)],RZ[0],AX21,RZ[Úroveň 2 (P0)],AY21,RZ[Úroveň 3 (P0)],AZ21,RZ[Úroveň 4 (P0)],BA21,RZ[Úroveň 5 (P0)],BB21,RZ[Úroveň 6 (P0)],BC21,RZ[Úroveň 7 (P0)],BD21),RZ[[#This Row],[Koeficient odhadu CR '[-'] (P1)]]*$BN21*$IQ21)</f>
        <v>0</v>
      </c>
      <c r="FA21" s="135">
        <f ca="1">IF(OFFSET(BE21,1,0,1,1)&lt;&gt;0,$BN21*SUMIFS(RZ[Úroveň 8 bez koef. (P3)],RZ[0],AX21,RZ[Úroveň 2 (P0)],AY21,RZ[Úroveň 3 (P0)],AZ21,RZ[Úroveň 4 (P0)],BA21,RZ[Úroveň 5 (P0)],BB21,RZ[Úroveň 6 (P0)],BC21,RZ[Úroveň 7 (P0)],BD21),$BN21*$IQ21)</f>
        <v>0</v>
      </c>
      <c r="FB21" s="140">
        <f ca="1">RZ[[#This Row],[Úroveň 8 s koef. (P3a)]]*RZ[[#This Row],[Počet MJCR (P0) pro "kg"]]</f>
        <v>0</v>
      </c>
      <c r="FC21" s="140">
        <f ca="1">RZ[Úroveň 8 bez koef. (P3a)]*RZ[[#This Row],[Počet MJCR (P0) pro "kg"]]</f>
        <v>0</v>
      </c>
      <c r="FD21" s="140">
        <f ca="1">IF(OFFSET(BF21,1,0,1,1)&lt;&gt;0,RZ[[#This Row],[Koeficient odhadu CR '[-'] (P1)]]*$BO21*SUMIFS(RZ[Úroveň 9 s koef. (P3)],RZ[0],AX21,RZ[Úroveň 2 (P0)],AY21,RZ[Úroveň 3 (P0)],AZ21,RZ[Úroveň 4 (P0)],BA21,RZ[Úroveň 5 (P0)],BB21,RZ[Úroveň 6 (P0)],BC21,RZ[Úroveň 7 (P0)],BD21,RZ[Úroveň 8 (P0)],BE21),RZ[[#This Row],[Koeficient odhadu CR '[-'] (P1)]]*$BO21*$IQ21)</f>
        <v>0</v>
      </c>
      <c r="FE21" s="140">
        <f ca="1">IF(OFFSET(BF21,1,0,1,1)&lt;&gt;0,$BO21*SUMIFS(RZ[Úroveň 9 bez koef. (P3)],RZ[0],AX21,RZ[Úroveň 2 (P0)],AY21,RZ[Úroveň 3 (P0)],AZ21,RZ[Úroveň 4 (P0)],BA21,RZ[Úroveň 5 (P0)],BB21,RZ[Úroveň 6 (P0)],BC21,RZ[Úroveň 7 (P0)],BD21,RZ[Úroveň 8 (P0)],BE21),$BO21*$IQ21)</f>
        <v>0</v>
      </c>
      <c r="FF21" s="135">
        <f ca="1">RZ[[#This Row],[Úroveň 9 s koef. (P3a)]]*RZ[[#This Row],[Počet MJCR (P0) pro "kg"]]</f>
        <v>0</v>
      </c>
      <c r="FG21" s="135">
        <f ca="1">RZ[Úroveň 9 bez koef. (P3a)]*RZ[[#This Row],[Počet MJCR (P0) pro "kg"]]</f>
        <v>0</v>
      </c>
      <c r="FH21" s="135">
        <f ca="1">IF(OFFSET(BG21,1,0,1,1)&lt;&gt;0,RZ[[#This Row],[Koeficient odhadu CR '[-'] (P1)]]*$BP21*SUMIFS(RZ[Úroveň 10 s koef. (P3)],RZ[0],AX21,RZ[Úroveň 2 (P0)],AY21,RZ[Úroveň 3 (P0)],AZ21,RZ[Úroveň 4 (P0)],BA21,RZ[Úroveň 5 (P0)],BB21,RZ[Úroveň 6 (P0)],BC21,RZ[Úroveň 7 (P0)],BD21,RZ[Úroveň 8 (P0)],BE21,RZ[Úroveň 9 (P0)],BF21),RZ[[#This Row],[Koeficient odhadu CR '[-'] (P1)]]*$BP21*$IQ21)</f>
        <v>0</v>
      </c>
      <c r="FI21" s="135">
        <f ca="1">IF(OFFSET(BG21,1,0,1,1)&lt;&gt;0,$BP21*SUMIFS(RZ[Úroveň 10 bez koef. (P3)],RZ[0],AX21,RZ[Úroveň 2 (P0)],AY21,RZ[Úroveň 3 (P0)],AZ21,RZ[Úroveň 4 (P0)],BA21,RZ[Úroveň 5 (P0)],BB21,RZ[Úroveň 6 (P0)],BC21,RZ[Úroveň 7 (P0)],BD21,RZ[Úroveň 8 (P0)],BE21,RZ[Úroveň 9 (P0)],BF21),$BP21*$IQ21)</f>
        <v>0</v>
      </c>
      <c r="FJ21" s="140">
        <f ca="1">RZ[[#This Row],[Úroveň 10 s koef. (P3a)]]*RZ[[#This Row],[Počet MJCR (P0) pro "kg"]]</f>
        <v>0</v>
      </c>
      <c r="FK21" s="140">
        <f ca="1">RZ[Úroveň 10 bez koef. (P3a)]*RZ[[#This Row],[Počet MJCR (P0) pro "kg"]]</f>
        <v>0</v>
      </c>
      <c r="FL21" s="140">
        <f ca="1">RZ[[#This Row],[Koeficient odhadu CR '[-'] (P1)]]*$BQ21*IQ21</f>
        <v>0</v>
      </c>
      <c r="FM21" s="236">
        <f t="shared" ca="1" si="189"/>
        <v>0</v>
      </c>
      <c r="FN21" s="194">
        <f t="shared" ca="1" si="190"/>
        <v>22500</v>
      </c>
      <c r="FO21" s="238">
        <f t="shared" ca="1" si="191"/>
        <v>15000</v>
      </c>
      <c r="FP21" s="135">
        <f t="shared" ca="1" si="192"/>
        <v>0</v>
      </c>
      <c r="FQ21" s="135">
        <f t="shared" ca="1" si="193"/>
        <v>0</v>
      </c>
      <c r="FR21" s="135">
        <f t="shared" ca="1" si="194"/>
        <v>1</v>
      </c>
      <c r="FS21" s="135">
        <f t="shared" ca="1" si="195"/>
        <v>0</v>
      </c>
      <c r="FT21" s="135">
        <f t="shared" ca="1" si="196"/>
        <v>0</v>
      </c>
      <c r="FU21" s="135">
        <f t="shared" ca="1" si="197"/>
        <v>0</v>
      </c>
      <c r="FV21" s="135">
        <f t="shared" ca="1" si="198"/>
        <v>0</v>
      </c>
      <c r="FW21" s="135">
        <f t="shared" ca="1" si="199"/>
        <v>0</v>
      </c>
      <c r="FX21" s="135">
        <f t="shared" ca="1" si="200"/>
        <v>0</v>
      </c>
      <c r="FY21" s="135">
        <f t="shared" ca="1" si="201"/>
        <v>0</v>
      </c>
      <c r="FZ21" s="140">
        <f ca="1">SUMIFS(RZ[Úroveň 1 (P6)],RZ[0],AX21)</f>
        <v>1</v>
      </c>
      <c r="GA21" s="140">
        <f ca="1">SUMIFS(RZ[Úroveň 2 (P6)],RZ[0],AX21,RZ[Úroveň 2 (P0)],AY21)</f>
        <v>1</v>
      </c>
      <c r="GB21" s="140">
        <f ca="1">SUMIFS(RZ[Úroveň 3 (P6)],RZ[0],AX21,RZ[Úroveň 2 (P0)],AY21,RZ[Úroveň 3 (P0)],AZ21)</f>
        <v>1</v>
      </c>
      <c r="GC21" s="140">
        <f ca="1">SUMIFS(RZ[Úroveň 4 (P6)],RZ[0],AX21,RZ[Úroveň 2 (P0)],AY21,RZ[Úroveň 3 (P0)],AZ21,RZ[Úroveň 4 (P0)],BA21)</f>
        <v>0</v>
      </c>
      <c r="GD21" s="140">
        <f ca="1">SUMIFS(RZ[Úroveň 5 (P6)],RZ[0],AX21,RZ[Úroveň 2 (P0)],AY21,RZ[Úroveň 3 (P0)],AZ21,RZ[Úroveň 4 (P0)],BA21,RZ[Úroveň 5 (P0)],BB21)</f>
        <v>0</v>
      </c>
      <c r="GE21" s="140">
        <f ca="1">SUMIFS(RZ[Úroveň 6 (P6)],RZ[0],AX21,RZ[Úroveň 2 (P0)],AY21,RZ[Úroveň 3 (P0)],AZ21,RZ[Úroveň 4 (P0)],BA21,RZ[Úroveň 5 (P0)],BB21,RZ[Úroveň 6 (P0)],BC21)</f>
        <v>0</v>
      </c>
      <c r="GF21" s="140">
        <f ca="1">SUMIFS(RZ[Úroveň 7 (P6)],RZ[0],AX21,RZ[Úroveň 2 (P0)],AY21,RZ[Úroveň 3 (P0)],AZ21,RZ[Úroveň 4 (P0)],BA21,RZ[Úroveň 5 (P0)],BB21,RZ[Úroveň 6 (P0)],BC21,RZ[Úroveň 7 (P0)],BD21)</f>
        <v>0</v>
      </c>
      <c r="GG21" s="140">
        <f ca="1">SUMIFS(RZ[Úroveň 8 (P6)],RZ[0],AX21,RZ[Úroveň 2 (P0)],AY21,RZ[Úroveň 3 (P0)],AZ21,RZ[Úroveň 4 (P0)],BA21,RZ[Úroveň 5 (P0)],BB21,RZ[Úroveň 6 (P0)],BC21,RZ[Úroveň 7 (P0)],BD21,RZ[Úroveň 8 (P0)],BE21)</f>
        <v>0</v>
      </c>
      <c r="GH21" s="140">
        <f ca="1">SUMIFS(RZ[Úroveň 9 (P6)],RZ[0],AX21,RZ[Úroveň 2 (P0)],AY21,RZ[Úroveň 3 (P0)],AZ21,RZ[Úroveň 4 (P0)],BA21,RZ[Úroveň 5 (P0)],BB21,RZ[Úroveň 6 (P0)],BC21,RZ[Úroveň 7 (P0)],BD21,RZ[Úroveň 8 (P0)],BE21,RZ[Úroveň 9 (P0)],BF21)</f>
        <v>0</v>
      </c>
      <c r="GI21" s="140">
        <f ca="1">SUMIFS(RZ[Úroveň 10 (P6)],RZ[0],AX21,RZ[Úroveň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GJ21" s="918">
        <f t="shared" ca="1" si="202"/>
        <v>1</v>
      </c>
      <c r="GK21" s="808">
        <f t="shared" si="203"/>
        <v>0</v>
      </c>
      <c r="GL21" s="808">
        <f t="shared" si="204"/>
        <v>0</v>
      </c>
      <c r="GM21" s="808">
        <f t="shared" si="205"/>
        <v>1.5</v>
      </c>
      <c r="GN21" s="808">
        <f t="shared" si="206"/>
        <v>0</v>
      </c>
      <c r="GO21" s="808">
        <f t="shared" si="207"/>
        <v>0</v>
      </c>
      <c r="GP21" s="808">
        <f t="shared" si="208"/>
        <v>0</v>
      </c>
      <c r="GQ21" s="808">
        <f t="shared" si="209"/>
        <v>0</v>
      </c>
      <c r="GR21" s="808">
        <f t="shared" si="210"/>
        <v>0</v>
      </c>
      <c r="GS21" s="808">
        <f t="shared" si="211"/>
        <v>0</v>
      </c>
      <c r="GT21" s="808">
        <f t="shared" si="212"/>
        <v>0</v>
      </c>
      <c r="GU21" s="809">
        <f ca="1">SUMIFS(RZ[Sloupec1],RZ[0],AX21)</f>
        <v>1</v>
      </c>
      <c r="GV21" s="809">
        <f ca="1">SUMIFS(RZ[Sloupec2],RZ[0],AX21,RZ[Úroveň 2 (P0)],AY21)</f>
        <v>1</v>
      </c>
      <c r="GW21" s="809">
        <f ca="1">SUMIFS(RZ[Sloupec3],RZ[0],AX21,RZ[Úroveň 2 (P0)],AY21,RZ[Úroveň 3 (P0)],AZ21)</f>
        <v>1.5</v>
      </c>
      <c r="GX21" s="809">
        <f ca="1">SUMIFS(RZ[Sloupec4],RZ[0],AX21,RZ[Úroveň 2 (P0)],AY21,RZ[Úroveň 3 (P0)],AZ21,RZ[Úroveň 4 (P0)],BA21)</f>
        <v>0</v>
      </c>
      <c r="GY21" s="809">
        <f ca="1">SUMIFS(RZ[Sloupec5],RZ[0],AX21,RZ[Úroveň 2 (P0)],AY21,RZ[Úroveň 3 (P0)],AZ21,RZ[Úroveň 4 (P0)],BA21,RZ[Úroveň 5 (P0)],BB21)</f>
        <v>0</v>
      </c>
      <c r="GZ21" s="809">
        <f ca="1">SUMIFS(RZ[Sloupec6],RZ[0],AX21,RZ[Úroveň 2 (P0)],AY21,RZ[Úroveň 3 (P0)],AZ21,RZ[Úroveň 4 (P0)],BA21,RZ[Úroveň 5 (P0)],BB21,RZ[Úroveň 6 (P0)],BC21)</f>
        <v>0</v>
      </c>
      <c r="HA21" s="809">
        <f ca="1">SUMIFS(RZ[Sloupec62],RZ[0],AX21,RZ[Úroveň 2 (P0)],AY21,RZ[Úroveň 3 (P0)],AZ21,RZ[Úroveň 4 (P0)],BA21,RZ[Úroveň 5 (P0)],BB21,RZ[Úroveň 6 (P0)],BC21,RZ[Úroveň 7 (P0)],BD21)</f>
        <v>0</v>
      </c>
      <c r="HB21" s="809">
        <f ca="1">SUMIFS(RZ[Sloupec63],RZ[0],AX21,RZ[Úroveň 2 (P0)],AY21,RZ[Úroveň 3 (P0)],AZ21,RZ[Úroveň 4 (P0)],BA21,RZ[Úroveň 5 (P0)],BB21,RZ[Úroveň 6 (P0)],BC21,RZ[Úroveň 7 (P0)],BD21,RZ[Úroveň 8 (P0)],BE21)</f>
        <v>0</v>
      </c>
      <c r="HC21" s="809">
        <f ca="1">SUMIFS(RZ[Sloupec64],RZ[0],AX21,RZ[Úroveň 2 (P0)],AY21,RZ[Úroveň 3 (P0)],AZ21,RZ[Úroveň 4 (P0)],BA21,RZ[Úroveň 5 (P0)],BB21,RZ[Úroveň 6 (P0)],BC21,RZ[Úroveň 7 (P0)],BD21,RZ[Úroveň 8 (P0)],BE21,RZ[Úroveň 9 (P0)],BF21)</f>
        <v>0</v>
      </c>
      <c r="HD21" s="809">
        <f ca="1">SUMIFS(RZ[Sloupec65],RZ[0],AX21,RZ[Úroveň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HE21" s="919">
        <f t="shared" ca="1" si="213"/>
        <v>1.5</v>
      </c>
      <c r="HF21" s="920" t="str">
        <f t="shared" si="214"/>
        <v/>
      </c>
      <c r="HG21" s="94" t="str">
        <f t="shared" si="215"/>
        <v/>
      </c>
      <c r="HH21" s="95" t="str">
        <f t="shared" si="216"/>
        <v/>
      </c>
      <c r="HI21" s="95" t="str">
        <f t="shared" si="217"/>
        <v>Vzduchové potrubí</v>
      </c>
      <c r="HJ21" s="96" t="str">
        <f t="shared" si="218"/>
        <v/>
      </c>
      <c r="HK21" s="96" t="str">
        <f t="shared" si="219"/>
        <v/>
      </c>
      <c r="HL21" s="96" t="str">
        <f t="shared" si="220"/>
        <v/>
      </c>
      <c r="HM21" s="96" t="str">
        <f t="shared" si="221"/>
        <v/>
      </c>
      <c r="HN21" s="96" t="str">
        <f t="shared" si="222"/>
        <v/>
      </c>
      <c r="HO21" s="96" t="str">
        <f t="shared" si="223"/>
        <v/>
      </c>
      <c r="HP21" s="96" t="str">
        <f t="shared" si="224"/>
        <v/>
      </c>
      <c r="HQ21" s="145" t="str">
        <f t="shared" si="225"/>
        <v>SUOS</v>
      </c>
      <c r="HR21" s="921" t="str">
        <f t="shared" si="226"/>
        <v/>
      </c>
      <c r="HS21" s="173">
        <f t="shared" si="227"/>
        <v>0</v>
      </c>
      <c r="HT21" s="100">
        <f t="shared" si="228"/>
        <v>0</v>
      </c>
      <c r="HU21" s="100">
        <f t="shared" si="229"/>
        <v>0</v>
      </c>
      <c r="HV21" s="908" t="str">
        <f t="shared" si="230"/>
        <v>Zajíc</v>
      </c>
      <c r="HW21" s="922">
        <f t="shared" si="231"/>
        <v>42950.645115740743</v>
      </c>
      <c r="HX21" s="224">
        <f t="shared" si="232"/>
        <v>0</v>
      </c>
      <c r="HY21" s="263" t="str">
        <f t="shared" si="233"/>
        <v>S</v>
      </c>
      <c r="HZ21" s="263" t="str">
        <f t="shared" si="234"/>
        <v>N</v>
      </c>
      <c r="IA21" s="150">
        <f t="shared" si="235"/>
        <v>1</v>
      </c>
      <c r="IB21" s="319">
        <f t="shared" si="236"/>
        <v>15000</v>
      </c>
      <c r="IC21" s="923">
        <f t="shared" si="237"/>
        <v>1.5</v>
      </c>
      <c r="ID21" s="924" t="str">
        <f t="shared" ca="1" si="238"/>
        <v>OK</v>
      </c>
      <c r="IE21" s="201" t="str">
        <f t="shared" si="239"/>
        <v>ks</v>
      </c>
      <c r="IF21" s="145">
        <f t="shared" si="240"/>
        <v>1</v>
      </c>
      <c r="IG21" s="216">
        <f t="shared" si="241"/>
        <v>52.4</v>
      </c>
      <c r="IH21" s="217">
        <f t="shared" si="242"/>
        <v>1</v>
      </c>
      <c r="II21" s="224" t="str">
        <f ca="1">IF(RZ[[#This Row],[Rozhodný sloupec indikativní ceny]]=1,"kg",IF($IW21=$JL$15,IF(JX21=0,JO21,JX21),IF($IW21=$KE$15,IF(KQ21=0,KH21,KQ21),IF($IW21=$KX$15,IF(LJ21=0,LA21,LJ21),IF($IW21=$LQ$15,IF(MC21=0,LT21,MC21),IF($IW21=$MJ$15,IF(NQ21=0,NH21,NQ21),0))))))</f>
        <v>ks</v>
      </c>
      <c r="IJ21" s="224">
        <f ca="1">IF((BH21+OFFSET(BH21,1,1,1,1))=2,RZ[[#This Row],[Počet MJHR (P0)]],IF((BI21+OFFSET(BI21,1,1,1,1))=2,RZ[[#This Row],[Počet MJHR (P0)]],IF((BJ21+OFFSET(BJ21,1,1,1,1))=2,RZ[[#This Row],[Počet MJHR (P0)]],IF((BK21+OFFSET(BK21,1,1,1,1))=2,RZ[[#This Row],[Počet MJHR (P0)]],IF((BL21+OFFSET(BL21,1,1,1,1))=2,RZ[[#This Row],[Počet MJHR (P0)]],IF((BM21+OFFSET(BM21,1,1,1,1))=2,RZ[[#This Row],[Počet MJHR (P0)]],IF((BN21+OFFSET(BN21,1,1,1,1))=2,RZ[[#This Row],[Počet MJHR (P0)]],IF((BO21+OFFSET(BO21,1,1,1,1))=2,RZ[[#This Row],[Počet MJHR (P0)]],IF((BP21+OFFSET(BP21,1,1,1,1))=2,RZ[[#This Row],[Počet MJHR (P0)]],IF((BQ21+OFFSET(BQ21,1,1,1,1))=2,RZ[[#This Row],[Počet MJHR (P0)]],IF(RZ[[#This Row],[Měrná jednotka CR (MJCR) (P0)]]=RZ[[#This Row],[Měrná jednotka HR '[MJHR'] (P0)]],RZ[[#This Row],[Počet MJHR (P0)]],IF($IW21=$JL$15,JY21,IF($IW21=$KE$15,KR21,IF($IW21=$KX$15,LK21,IF($IW21=$LQ$15,MD21,IF($IW21=$MJ$15,NR21,0))))))))))))))))</f>
        <v>1</v>
      </c>
      <c r="IK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1" s="145">
        <f ca="1">IF(AND(RZ[[#This Row],[Jednotková cena bez DPH '[cena/MJCR'] (P0)]]=0,RZ[[#This Row],[Indikativní jednotková cena '[CZK/kg'] (P1)]]&lt;&gt;0),1,0)</f>
        <v>0</v>
      </c>
      <c r="IM21" s="217">
        <f ca="1">VLOOKUP(RZ[[#This Row],[Kód položek]],INDIKAT_CENA,2,FALSE)</f>
        <v>0</v>
      </c>
      <c r="IN21" s="222">
        <f ca="1">IF(RZ[[#This Row],[Rozhodný sloupec indikativní ceny]]=1,RZ[[#This Row],[Indikativní jednotková cena '[CZK/kg'] (P1)]],RZ[[#This Row],[Jednotková cena bez DPH '[cena/MJCR'] (P0)]])</f>
        <v>15000</v>
      </c>
      <c r="IO21" s="222">
        <f t="shared" si="243"/>
        <v>1.5</v>
      </c>
      <c r="IP21" s="224">
        <f ca="1">IF(RZ[[#This Row],[Rozhodný sloupec indikativní ceny]]=1,1,IF($IW21=$JL$15,KA21,IF($IW21=$KE$15,KT21,IF($IW21=$KX$15,LM21,IF($IW21=$LQ$15,MF21,IF($IW21=$MJ$15,NT21,0))))))</f>
        <v>1</v>
      </c>
      <c r="IQ21" s="225">
        <f ca="1">IF(RZ[[#This Row],[Jednotková cena bez DPH '[cena/MJCR'] (P1)]]="",0,IF(IP21=0,0,(RZ[[#This Row],[Jednotková cena bez DPH '[cena/MJCR'] (P1)]]*VLOOKUP(IP21,$BR$7:$BT$10,3))))</f>
        <v>15000</v>
      </c>
      <c r="IR21" s="737"/>
      <c r="IS21" s="627">
        <f>IF(HY21=0,"",VLOOKUP(RZ[[#This Row],[Stav Projekce (P0)]],Vstupy!$E$11:'Vstupy'!$E$11:$H$17,4,FALSE))</f>
        <v>100</v>
      </c>
      <c r="IT21" s="925" t="str">
        <f>IF(RZ[[#This Row],[Stav Projekce (P0)]]=0,"",RZ[[#This Row],[Stav Projekce (P0)]])</f>
        <v>S</v>
      </c>
      <c r="IU21" s="925" t="str">
        <f>IF(RZ[[#This Row],[Stav Nákup (P0)]]=0,"",RZ[[#This Row],[Stav Nákup (P0)]])</f>
        <v>N</v>
      </c>
      <c r="IV21" s="926" t="str">
        <f t="shared" si="244"/>
        <v>Zajíc</v>
      </c>
      <c r="IW21" s="641">
        <v>1</v>
      </c>
      <c r="IX21" s="630"/>
      <c r="IY21" s="264"/>
      <c r="IZ21" s="648"/>
      <c r="JA21" s="100"/>
      <c r="JB21" s="100" t="s">
        <v>803</v>
      </c>
      <c r="JC21" s="100"/>
      <c r="JD21" s="100"/>
      <c r="JE21" s="100"/>
      <c r="JF21" s="100"/>
      <c r="JG21" s="100"/>
      <c r="JH21" s="100"/>
      <c r="JI21" s="100"/>
      <c r="JJ21" s="145" t="s">
        <v>798</v>
      </c>
      <c r="JK21" s="529"/>
      <c r="JL21" s="286"/>
      <c r="JM21" s="100"/>
      <c r="JN21" s="100"/>
      <c r="JO21" s="145" t="s">
        <v>35</v>
      </c>
      <c r="JP21" s="117">
        <v>1</v>
      </c>
      <c r="JQ21" s="117">
        <v>52.4</v>
      </c>
      <c r="JR21" s="148">
        <v>1</v>
      </c>
      <c r="JS21" s="145" t="s">
        <v>602</v>
      </c>
      <c r="JT21" s="631"/>
      <c r="JU21" s="148" t="s">
        <v>853</v>
      </c>
      <c r="JV21" s="154">
        <v>42950.645115740743</v>
      </c>
      <c r="JW21" s="145"/>
      <c r="JX21" s="210" t="s">
        <v>35</v>
      </c>
      <c r="JY21" s="117"/>
      <c r="JZ21" s="662">
        <v>15000</v>
      </c>
      <c r="KA21" s="145">
        <v>1</v>
      </c>
      <c r="KB21" s="148">
        <v>1.5</v>
      </c>
      <c r="KC21" s="148" t="s">
        <v>611</v>
      </c>
      <c r="KD21" s="644"/>
      <c r="KE21" s="286"/>
      <c r="KF21" s="100"/>
      <c r="KG21" s="100"/>
      <c r="KH21" s="210"/>
      <c r="KI21" s="117"/>
      <c r="KJ21" s="117"/>
      <c r="KK21" s="148"/>
      <c r="KL21" s="145"/>
      <c r="KM21" s="632"/>
      <c r="KN21" s="148"/>
      <c r="KO21" s="154"/>
      <c r="KP21" s="154"/>
      <c r="KQ21" s="210"/>
      <c r="KR21" s="117"/>
      <c r="KS21" s="211"/>
      <c r="KT21" s="145"/>
      <c r="KU21" s="148"/>
      <c r="KV21" s="148"/>
      <c r="KW21" s="265"/>
      <c r="KX21" s="286"/>
      <c r="KY21" s="100"/>
      <c r="KZ21" s="100"/>
      <c r="LA21" s="210"/>
      <c r="LB21" s="117"/>
      <c r="LC21" s="117"/>
      <c r="LD21" s="148"/>
      <c r="LE21" s="145"/>
      <c r="LF21" s="632"/>
      <c r="LG21" s="148"/>
      <c r="LH21" s="154"/>
      <c r="LI21" s="154"/>
      <c r="LJ21" s="154"/>
      <c r="LK21" s="117"/>
      <c r="LL21" s="211"/>
      <c r="LM21" s="210"/>
      <c r="LN21" s="148"/>
      <c r="LO21" s="148"/>
      <c r="LP21" s="265"/>
      <c r="LQ21" s="286"/>
      <c r="LR21" s="100"/>
      <c r="LS21" s="100"/>
      <c r="LT21" s="210"/>
      <c r="LU21" s="117"/>
      <c r="LV21" s="117"/>
      <c r="LW21" s="148"/>
      <c r="LX21" s="145"/>
      <c r="LY21" s="632"/>
      <c r="LZ21" s="148"/>
      <c r="MA21" s="154"/>
      <c r="MB21" s="154"/>
      <c r="MC21" s="145"/>
      <c r="MD21" s="117"/>
      <c r="ME21" s="211"/>
      <c r="MF21" s="210"/>
      <c r="MG21" s="148"/>
      <c r="MH21" s="148"/>
      <c r="MI21" s="265"/>
      <c r="MJ21" s="647"/>
      <c r="MK21" s="264"/>
      <c r="ML21" s="153"/>
      <c r="MM21" s="153"/>
      <c r="MN21" s="153"/>
      <c r="MO21" s="153"/>
      <c r="MP21" s="153"/>
      <c r="MQ21" s="153"/>
      <c r="MR21" s="153"/>
      <c r="MS21" s="99"/>
      <c r="MT21" s="99"/>
      <c r="MU21" s="99"/>
      <c r="MV21" s="99"/>
      <c r="MW21" s="99"/>
      <c r="MX21" s="99"/>
      <c r="MY21" s="153"/>
      <c r="MZ21" s="153"/>
      <c r="NA21" s="153"/>
      <c r="NB21" s="153"/>
      <c r="NC21" s="153"/>
      <c r="ND21" s="153"/>
      <c r="NE21" s="148"/>
      <c r="NF21" s="153"/>
      <c r="NG21" s="153"/>
      <c r="NH21" s="330" t="str">
        <f t="shared" si="245"/>
        <v>ks</v>
      </c>
      <c r="NI21" s="797">
        <f>RZ[[#This Row],[Počet ks (K)]]</f>
        <v>0</v>
      </c>
      <c r="NJ21" s="798">
        <f>RZ[[#This Row],[Hmotnost '[kg/ks'] (K)]]</f>
        <v>0</v>
      </c>
      <c r="NK21" s="148"/>
      <c r="NL21" s="145"/>
      <c r="NM21" s="632"/>
      <c r="NN21" s="148"/>
      <c r="NO21" s="154"/>
      <c r="NP21" s="153"/>
      <c r="NQ21" s="153"/>
      <c r="NR21" s="210"/>
      <c r="NS21" s="148"/>
      <c r="NT21" s="210"/>
      <c r="NU21" s="148"/>
      <c r="NV21" s="148"/>
      <c r="NW21" s="175"/>
    </row>
    <row r="22" spans="2:387" ht="15.95" customHeight="1" x14ac:dyDescent="0.35">
      <c r="B22" s="118" t="str">
        <f t="shared" si="129"/>
        <v/>
      </c>
      <c r="C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2" s="262" t="str">
        <f t="shared" si="130"/>
        <v xml:space="preserve">    Spojka s brzdou - průměr 630</v>
      </c>
      <c r="E22" s="120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Row],[Kód položek (P2)]]))))))))))</f>
        <v>STSP</v>
      </c>
      <c r="F22" s="791" t="str">
        <f t="shared" si="131"/>
        <v>N/A</v>
      </c>
      <c r="G22" s="792" t="str">
        <f t="shared" si="132"/>
        <v/>
      </c>
      <c r="H22" s="262" t="str">
        <f t="shared" si="133"/>
        <v/>
      </c>
      <c r="I22" s="123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HR '[MJHR'] (P0)]]))))))))))</f>
        <v>ks</v>
      </c>
      <c r="J22" s="123">
        <f t="shared" si="134"/>
        <v>1</v>
      </c>
      <c r="K22" s="793">
        <f>RZ[[#This Row],[Koeficient odhadu HR '[-'] (P1)]]</f>
        <v>1</v>
      </c>
      <c r="L22" s="124">
        <f ca="1">RZ[[#This Row],[Jednotková hmotnost s koef. '[kg/MJHR'] (P0)]]</f>
        <v>264</v>
      </c>
      <c r="M22" s="794">
        <f t="shared" ca="1" si="135"/>
        <v>0</v>
      </c>
      <c r="N22" s="125">
        <f t="shared" ca="1" si="136"/>
        <v>264</v>
      </c>
      <c r="O22" s="125">
        <f t="shared" ca="1" si="137"/>
        <v>0</v>
      </c>
      <c r="P22" s="126" t="str">
        <f t="shared" si="138"/>
        <v/>
      </c>
      <c r="Q22" s="795">
        <f ca="1">RZ[[#This Row],[Počet MJHR v rozpadu (P0)]]</f>
        <v>1</v>
      </c>
      <c r="R22" s="439" t="str">
        <f t="shared" si="139"/>
        <v>Zajíc</v>
      </c>
      <c r="S22" s="129">
        <f t="shared" si="140"/>
        <v>42950.642569444448</v>
      </c>
      <c r="T22" s="126" t="str">
        <f t="shared" si="141"/>
        <v/>
      </c>
      <c r="U22" s="126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CR (MJCR) (P0)]]))))))))))</f>
        <v>ks</v>
      </c>
      <c r="V22" s="575">
        <f t="shared" ca="1" si="142"/>
        <v>1</v>
      </c>
      <c r="W22" s="322">
        <f>RZ[[#This Row],[Koeficient odhadu CR '[-'] (P1)]]</f>
        <v>1.1000000000000001</v>
      </c>
      <c r="X22" s="440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Row],[Jednotková cena bez DPH '[cena/MJCR'] (P1)]]*RZ[[#This Row],[Koeficient odhadu CR '[-']]]))))))))))</f>
        <v>115500.00000000001</v>
      </c>
      <c r="Y22" s="440">
        <f t="shared" ca="1" si="143"/>
        <v>-10500.000000000009</v>
      </c>
      <c r="Z22" s="142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VLOOKUP(IP22,$BR$7:$BS$11,2,FALSE)))))))))))</f>
        <v>CZK</v>
      </c>
      <c r="AA22" s="909">
        <f t="shared" ca="1" si="144"/>
        <v>1</v>
      </c>
      <c r="AB22" s="910">
        <f ca="1">RZ[[#This Row],[Kumulovaný koeficient v rozpadu (P0)]]</f>
        <v>1.1000000000000001</v>
      </c>
      <c r="AC22" s="261"/>
      <c r="AD22" s="796">
        <f ca="1">RZ[[#This Row],[Jednotková cena bez DPH '[cena/MJCR'] s koef. (P0)]]/RZ[[#This Row],[Koeficient odhadu CR '[-']]]*RZ[[#This Row],[Kumulovaný koeficient odhadu CR  '[-']]]</f>
        <v>115500.00000000001</v>
      </c>
      <c r="AE22" s="796">
        <f t="shared" ca="1" si="145"/>
        <v>115500.00000000001</v>
      </c>
      <c r="AF22" s="796">
        <f ca="1">-IF(ISNUMBER(AA22),RZ[[#This Row],[Celková cena bez DPH (1)]]-RZ[[#This Row],[Jednotková cena bez DPH '[cena/MJCR'] bez koef. (P0)]]*AA22,0)</f>
        <v>-10500.000000000015</v>
      </c>
      <c r="AG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437.50000000000006</v>
      </c>
      <c r="AH22" s="261"/>
      <c r="AI22" s="796">
        <f t="shared" ca="1" si="146"/>
        <v>4277.7777777777783</v>
      </c>
      <c r="AJ22" s="796">
        <f t="shared" ca="1" si="147"/>
        <v>4277.7777777777783</v>
      </c>
      <c r="AK22" s="796">
        <f t="shared" ca="1" si="148"/>
        <v>-388.88888888888943</v>
      </c>
      <c r="AL22" s="753">
        <f ca="1">RZ[[#This Row],[Kilogramová cena bez DPH '[cena/kg'] (1)]]/$AK$13</f>
        <v>16.203703703703706</v>
      </c>
      <c r="AM22" s="261"/>
      <c r="AN22" s="796">
        <f t="shared" ca="1" si="149"/>
        <v>5579.7101449275369</v>
      </c>
      <c r="AO22" s="796">
        <f t="shared" ca="1" si="150"/>
        <v>5579.7101449275369</v>
      </c>
      <c r="AP22" s="796">
        <f t="shared" ca="1" si="151"/>
        <v>-507.24637681159493</v>
      </c>
      <c r="AQ22" s="753">
        <f ca="1">RZ[[#This Row],[Kilogramová cena bez DPH '[cena/kg'] (1)]]/$AP$13</f>
        <v>21.135265700483096</v>
      </c>
      <c r="AR22" s="261"/>
      <c r="AS22" s="796">
        <f t="shared" ca="1" si="152"/>
        <v>3159.1903719912475</v>
      </c>
      <c r="AT22" s="796">
        <f t="shared" ca="1" si="153"/>
        <v>3159.1903719912475</v>
      </c>
      <c r="AU22" s="789">
        <f t="shared" ca="1" si="154"/>
        <v>-287.19912472647741</v>
      </c>
      <c r="AV22" s="767">
        <f ca="1">RZ[[#This Row],[Kilogramová cena bez DPH '[cena/kg'] (1)]]/$AU$13</f>
        <v>11.966630196936544</v>
      </c>
      <c r="AW22" s="165"/>
      <c r="AX22" s="911">
        <f t="shared" ca="1" si="155"/>
        <v>2</v>
      </c>
      <c r="AY22" s="111">
        <f t="shared" ca="1" si="156"/>
        <v>1</v>
      </c>
      <c r="AZ22" s="111">
        <f t="shared" ca="1" si="157"/>
        <v>3</v>
      </c>
      <c r="BA22" s="111">
        <f t="shared" ca="1" si="158"/>
        <v>0</v>
      </c>
      <c r="BB22" s="111">
        <f t="shared" ca="1" si="159"/>
        <v>0</v>
      </c>
      <c r="BC22" s="111">
        <f t="shared" ca="1" si="160"/>
        <v>0</v>
      </c>
      <c r="BD22" s="111">
        <f t="shared" ca="1" si="161"/>
        <v>0</v>
      </c>
      <c r="BE22" s="111">
        <f t="shared" ca="1" si="162"/>
        <v>0</v>
      </c>
      <c r="BF22" s="111">
        <f t="shared" ca="1" si="163"/>
        <v>0</v>
      </c>
      <c r="BG22" s="112">
        <f t="shared" ca="1" si="164"/>
        <v>0</v>
      </c>
      <c r="BH22" s="911">
        <f t="shared" si="165"/>
        <v>0</v>
      </c>
      <c r="BI22" s="111">
        <f t="shared" si="166"/>
        <v>0</v>
      </c>
      <c r="BJ22" s="111">
        <f t="shared" si="167"/>
        <v>1</v>
      </c>
      <c r="BK22" s="111">
        <f t="shared" si="168"/>
        <v>0</v>
      </c>
      <c r="BL22" s="111">
        <f t="shared" si="169"/>
        <v>0</v>
      </c>
      <c r="BM22" s="111">
        <f t="shared" si="170"/>
        <v>0</v>
      </c>
      <c r="BN22" s="111">
        <f t="shared" si="171"/>
        <v>0</v>
      </c>
      <c r="BO22" s="111">
        <f t="shared" si="172"/>
        <v>0</v>
      </c>
      <c r="BP22" s="111">
        <f t="shared" si="173"/>
        <v>0</v>
      </c>
      <c r="BQ22" s="112">
        <f t="shared" si="174"/>
        <v>0</v>
      </c>
      <c r="BR22" s="132">
        <f ca="1">IF(OFFSET(AY22,1,0,1,1)&lt;&gt;0,RZ[[#This Row],[Koeficient odhadu HR '[-'] (P1)]]*$BH22*SUMIFS(RZ[Úroveň 2 s koef. (P2)],RZ[0],AX22),RZ[[#This Row],[Koeficient odhadu HR '[-'] (P1)]]*$BH22*$IG22)</f>
        <v>0</v>
      </c>
      <c r="BS22" s="186">
        <f ca="1">IF(OFFSET(AY22,1,0,1,1)&lt;&gt;0,$BH22*SUMIFS(RZ[Úroveň 2 bez koef. (P2)],RZ[0],AX22),$BH22*$IG22)</f>
        <v>0</v>
      </c>
      <c r="BT22" s="138">
        <f ca="1">RZ[[#This Row],[Úroveň 2 s koef. (P2a)]]*RZ[[#This Row],[Počet MJHR (P0)]]</f>
        <v>0</v>
      </c>
      <c r="BU22" s="138">
        <f ca="1">RZ[[#This Row],[Úroveň 2 bez koef. (P2a)]]*RZ[[#This Row],[Počet MJHR (P0)]]</f>
        <v>0</v>
      </c>
      <c r="BV22" s="138">
        <f ca="1">IF(OFFSET(AZ22,1,0,1,1)&lt;&gt;0,RZ[[#This Row],[Koeficient odhadu HR '[-'] (P1)]]*$BI22*SUMIFS(RZ[Úroveň 3 s koef. (P2)],RZ[0],AX22,RZ[Úroveň 2 (P0)],AY22),RZ[[#This Row],[Koeficient odhadu HR '[-'] (P1)]]*$BI22*$IG22)</f>
        <v>0</v>
      </c>
      <c r="BW22" s="138">
        <f ca="1">IF(OFFSET(AZ22,1,0,1,1)&lt;&gt;0,$BI22*SUMIFS(RZ[Úroveň 3 bez koef. (P2)],RZ[0],AX22,RZ[Úroveň 2 (P0)],AY22),$BI22*$IG22)</f>
        <v>0</v>
      </c>
      <c r="BX22" s="132">
        <f ca="1">RZ[[#This Row],[Úroveň 3 s koef. (P2a)]]*RZ[[#This Row],[Počet MJHR (P0)]]</f>
        <v>264</v>
      </c>
      <c r="BY22" s="132">
        <f ca="1">RZ[Úroveň 3 bez koef. (P2a)]*RZ[[#This Row],[Počet MJHR (P0)]]</f>
        <v>264</v>
      </c>
      <c r="BZ22" s="132">
        <f ca="1">IF(OFFSET(BA22,1,0,1,1)&lt;&gt;0,RZ[[#This Row],[Koeficient odhadu HR '[-'] (P1)]]*$BJ22*SUMIFS(RZ[Úroveň 4 s koef. (P2)],RZ[0],AX22,RZ[Úroveň 2 (P0)],AY22,RZ[Úroveň 3 (P0)],AZ22),RZ[[#This Row],[Koeficient odhadu HR '[-'] (P1)]]*$BJ22*$IG22)</f>
        <v>264</v>
      </c>
      <c r="CA22" s="132">
        <f ca="1">IF(OFFSET(BA22,1,0,1,1)&lt;&gt;0,$BJ22*SUMIFS(RZ[Úroveň 4 bez koef. (P2)],RZ[0],AX22,RZ[Úroveň 2 (P0)],AY22,RZ[Úroveň 3 (P0)],AZ22),$BJ22*$IG22)</f>
        <v>264</v>
      </c>
      <c r="CB22" s="138">
        <f ca="1">RZ[[#This Row],[Úroveň 4 s koef. (P2a)]]*RZ[[#This Row],[Počet MJHR (P0)]]</f>
        <v>0</v>
      </c>
      <c r="CC22" s="138">
        <f ca="1">RZ[Úroveň 4 bez koef. (P2a)]*RZ[[#This Row],[Počet MJHR (P0)]]</f>
        <v>0</v>
      </c>
      <c r="CD22" s="138">
        <f ca="1">IF(OFFSET(BB22,1,0,1,1)&lt;&gt;0,RZ[[#This Row],[Koeficient odhadu HR '[-'] (P1)]]*$BK22*SUMIFS(RZ[Úroveň 5 s koef. (P2)],RZ[0],AX22,RZ[Úroveň 2 (P0)],AY22,RZ[Úroveň 3 (P0)],AZ22,RZ[Úroveň 4 (P0)],BA22),RZ[[#This Row],[Koeficient odhadu HR '[-'] (P1)]]*$BK22*$IG22)</f>
        <v>0</v>
      </c>
      <c r="CE22" s="138">
        <f ca="1">IF(OFFSET(BB22,1,0,1,1)&lt;&gt;0,$BK22*SUMIFS(RZ[Úroveň 5 bez koef. (P2)],RZ[0],AX22,RZ[Úroveň 2 (P0)],AY22,RZ[Úroveň 3 (P0)],AZ22,RZ[Úroveň 4 (P0)],BA22),$BK22*$IG22)</f>
        <v>0</v>
      </c>
      <c r="CF22" s="132">
        <f ca="1">RZ[[#This Row],[Úroveň 5 s koef. (P2a)]]*RZ[[#This Row],[Počet MJHR (P0)]]</f>
        <v>0</v>
      </c>
      <c r="CG22" s="132">
        <f ca="1">RZ[Úroveň 5 bez koef. (P2a)]*RZ[[#This Row],[Počet MJHR (P0)]]</f>
        <v>0</v>
      </c>
      <c r="CH22" s="132">
        <f ca="1">IF(OFFSET(BC22,1,0,1,1)&lt;&gt;0,RZ[[#This Row],[Koeficient odhadu HR '[-'] (P1)]]*$BL22*SUMIFS(RZ[Úroveň 6 s koef. (P2)],RZ[0],AX22,RZ[Úroveň 2 (P0)],AY22,RZ[Úroveň 3 (P0)],AZ22,RZ[Úroveň 4 (P0)],BA22,RZ[Úroveň 5 (P0)],BB22),RZ[[#This Row],[Koeficient odhadu HR '[-'] (P1)]]*$BL22*$IG22)</f>
        <v>0</v>
      </c>
      <c r="CI22" s="132">
        <f ca="1">IF(OFFSET(BC22,1,0,1,1)&lt;&gt;0,$BL22*SUMIFS(RZ[Úroveň 6 bez koef. (P2)],RZ[0],AX22,RZ[Úroveň 2 (P0)],AY22,RZ[Úroveň 3 (P0)],AZ22,RZ[Úroveň 4 (P0)],BA22,RZ[Úroveň 5 (P0)],BB22),$BL22*$IG22)</f>
        <v>0</v>
      </c>
      <c r="CJ22" s="138">
        <f ca="1">RZ[[#This Row],[Úroveň 6 s koef. (P2a)]]*RZ[[#This Row],[Počet MJHR (P0)]]</f>
        <v>0</v>
      </c>
      <c r="CK22" s="138">
        <f ca="1">RZ[Úroveň 6 bez koef. (P2a)]*RZ[[#This Row],[Počet MJHR (P0)]]</f>
        <v>0</v>
      </c>
      <c r="CL22" s="138">
        <f ca="1">IF(OFFSET(BD22,1,0,1,1)&lt;&gt;0,RZ[[#This Row],[Koeficient odhadu HR '[-'] (P1)]]*$BM22*SUMIFS(RZ[Úroveň 7 s koef. (P2)],RZ[0],AX22,RZ[Úroveň 2 (P0)],AY22,RZ[Úroveň 3 (P0)],AZ22,RZ[Úroveň 4 (P0)],BA22,RZ[Úroveň 5 (P0)],BB22,RZ[Úroveň 6 (P0)],BC22),RZ[[#This Row],[Koeficient odhadu HR '[-'] (P1)]]*$BM22*$IG22)</f>
        <v>0</v>
      </c>
      <c r="CM22" s="138">
        <f ca="1">IF(OFFSET(BD22,1,0,1,1)&lt;&gt;0,$BM22*SUMIFS(RZ[Úroveň 7 bez koef. (P2)],RZ[0],AX22,RZ[Úroveň 2 (P0)],AY22,RZ[Úroveň 3 (P0)],AZ22,RZ[Úroveň 4 (P0)],BA22,RZ[Úroveň 5 (P0)],BB22,RZ[Úroveň 6 (P0)],BC22),$BM22*$IG22)</f>
        <v>0</v>
      </c>
      <c r="CN22" s="132">
        <f ca="1">RZ[[#This Row],[Úroveň 7 s koef. (P2a)]]*RZ[[#This Row],[Počet MJHR (P0)]]</f>
        <v>0</v>
      </c>
      <c r="CO22" s="132">
        <f ca="1">RZ[Úroveň 7 bez koef. (P2a)]*RZ[[#This Row],[Počet MJHR (P0)]]</f>
        <v>0</v>
      </c>
      <c r="CP22" s="132">
        <f ca="1">IF(OFFSET(BE22,1,0,1,1)&lt;&gt;0,RZ[[#This Row],[Koeficient odhadu HR '[-'] (P1)]]*$BN22*SUMIFS(RZ[Úroveň 8 s koef. (P2)],RZ[0],AX22,RZ[Úroveň 2 (P0)],AY22,RZ[Úroveň 3 (P0)],AZ22,RZ[Úroveň 4 (P0)],BA22,RZ[Úroveň 5 (P0)],BB22,RZ[Úroveň 6 (P0)],BC22,RZ[Úroveň 7 (P0)],BD22),RZ[[#This Row],[Koeficient odhadu HR '[-'] (P1)]]*$BN22*$IG22)</f>
        <v>0</v>
      </c>
      <c r="CQ22" s="132">
        <f ca="1">IF(OFFSET(BE22,1,0,1,1)&lt;&gt;0,$BN22*SUMIFS(RZ[Úroveň 8 bez koef. (P2)],RZ[0],AX22,RZ[Úroveň 2 (P0)],AY22,RZ[Úroveň 3 (P0)],AZ22,RZ[Úroveň 4 (P0)],BA22,RZ[Úroveň 5 (P0)],BB22,RZ[Úroveň 6 (P0)],BC22,RZ[Úroveň 7 (P0)],BD22),$BN22*$IG22)</f>
        <v>0</v>
      </c>
      <c r="CR22" s="138">
        <f ca="1">RZ[[#This Row],[Úroveň 8 s koef. (P2a)]]*RZ[[#This Row],[Počet MJHR (P0)]]</f>
        <v>0</v>
      </c>
      <c r="CS22" s="138">
        <f ca="1">RZ[Úroveň 8 bez koef. (P2a)]*RZ[[#This Row],[Počet MJHR (P0)]]</f>
        <v>0</v>
      </c>
      <c r="CT22" s="138">
        <f ca="1">IF(OFFSET(BF22,1,0,1,1)&lt;&gt;0,RZ[[#This Row],[Koeficient odhadu HR '[-'] (P1)]]*$BO22*SUMIFS(RZ[Úroveň 9 s koef. (P2)],RZ[0],AX22,RZ[Úroveň 2 (P0)],AY22,RZ[Úroveň 3 (P0)],AZ22,RZ[Úroveň 4 (P0)],BA22,RZ[Úroveň 5 (P0)],BB22,RZ[Úroveň 6 (P0)],BC22,RZ[Úroveň 7 (P0)],BD22,RZ[Úroveň 8 (P0)],BE22),RZ[[#This Row],[Koeficient odhadu HR '[-'] (P1)]]*$BO22*$IG22)</f>
        <v>0</v>
      </c>
      <c r="CU22" s="138">
        <f ca="1">IF(OFFSET(BF22,1,0,1,1)&lt;&gt;0,$BO22*SUMIFS(RZ[Úroveň 9 bez koef. (P2)],RZ[0],AX22,RZ[Úroveň 2 (P0)],AY22,RZ[Úroveň 3 (P0)],AZ22,RZ[Úroveň 4 (P0)],BA22,RZ[Úroveň 5 (P0)],BB22,RZ[Úroveň 6 (P0)],BC22,RZ[Úroveň 7 (P0)],BD22,RZ[Úroveň 8 (P0)],BE22),$BO22*$IG22)</f>
        <v>0</v>
      </c>
      <c r="CV22" s="132">
        <f ca="1">RZ[[#This Row],[Úroveň 9 s koef. (P2a)]]*RZ[[#This Row],[Počet MJHR (P0)]]</f>
        <v>0</v>
      </c>
      <c r="CW22" s="132">
        <f ca="1">RZ[Úroveň 9 bez koef. (P2a)]*RZ[[#This Row],[Počet MJHR (P0)]]</f>
        <v>0</v>
      </c>
      <c r="CX22" s="132">
        <f ca="1">IF(OFFSET(BG22,1,0,1,1)&lt;&gt;0,RZ[[#This Row],[Koeficient odhadu HR '[-'] (P1)]]*$BP22*SUMIFS(RZ[Úroveň 10 s koef. (P2)],RZ[0],AX22,RZ[Úroveň 2 (P0)],AY22,RZ[Úroveň 3 (P0)],AZ22,RZ[Úroveň 4 (P0)],BA22,RZ[Úroveň 5 (P0)],BB22,RZ[Úroveň 6 (P0)],BC22,RZ[Úroveň 7 (P0)],BD22,RZ[Úroveň 8 (P0)],BE22,RZ[Úroveň 9 (P0)],BF22),RZ[[#This Row],[Koeficient odhadu HR '[-'] (P1)]]*$BP22*$IG22)</f>
        <v>0</v>
      </c>
      <c r="CY22" s="132">
        <f ca="1">IF(OFFSET(BG22,1,0,1,1)&lt;&gt;0,$BP22*SUMIFS(RZ[Úroveň 10 bez koef. (P2)],RZ[0],AX22,RZ[Úroveň 2 (P0)],AY22,RZ[Úroveň 3 (P0)],AZ22,RZ[Úroveň 4 (P0)],BA22,RZ[Úroveň 5 (P0)],BB22,RZ[Úroveň 6 (P0)],BC22,RZ[Úroveň 7 (P0)],BD22,RZ[Úroveň 8 (P0)],BE22,RZ[Úroveň 9 (P0)],BF22),$BP22*$IG22)</f>
        <v>0</v>
      </c>
      <c r="CZ22" s="138">
        <f>RZ[[#This Row],[Úroveň 10 s koef. (P2a)]]*RZ[[#This Row],[Počet MJHR (P0)]]</f>
        <v>0</v>
      </c>
      <c r="DA22" s="138">
        <f>RZ[Úroveň 10 bez koef. (P2a)]*RZ[[#This Row],[Počet MJHR (P0)]]</f>
        <v>0</v>
      </c>
      <c r="DB22" s="138">
        <f>RZ[[#This Row],[Koeficient odhadu HR '[-'] (P1)]]*$BQ22*IG22</f>
        <v>0</v>
      </c>
      <c r="DC22" s="231">
        <f t="shared" si="175"/>
        <v>0</v>
      </c>
      <c r="DD22" s="241">
        <f t="shared" ca="1" si="176"/>
        <v>264</v>
      </c>
      <c r="DE22" s="229">
        <f t="shared" ca="1" si="177"/>
        <v>264</v>
      </c>
      <c r="DF22" s="912">
        <f t="shared" si="178"/>
        <v>0</v>
      </c>
      <c r="DG22" s="913">
        <f t="shared" si="179"/>
        <v>0</v>
      </c>
      <c r="DH22" s="913">
        <f t="shared" si="180"/>
        <v>1</v>
      </c>
      <c r="DI22" s="913">
        <f t="shared" si="181"/>
        <v>0</v>
      </c>
      <c r="DJ22" s="913">
        <f t="shared" si="182"/>
        <v>0</v>
      </c>
      <c r="DK22" s="913">
        <f t="shared" si="183"/>
        <v>0</v>
      </c>
      <c r="DL22" s="913">
        <f t="shared" si="184"/>
        <v>0</v>
      </c>
      <c r="DM22" s="913">
        <f t="shared" si="185"/>
        <v>0</v>
      </c>
      <c r="DN22" s="913">
        <f t="shared" si="186"/>
        <v>0</v>
      </c>
      <c r="DO22" s="913">
        <f t="shared" si="187"/>
        <v>0</v>
      </c>
      <c r="DP22" s="914">
        <f ca="1">SUMIFS(RZ[Úroveň 1 (P4)],RZ[0],AX22)</f>
        <v>1</v>
      </c>
      <c r="DQ22" s="914">
        <f ca="1">SUMIFS(RZ[Úroveň 2 (P4)],RZ[0],AX22,RZ[Úroveň 2 (P0)],AY22)</f>
        <v>1</v>
      </c>
      <c r="DR22" s="914">
        <f ca="1">SUMIFS(RZ[Úroveň 3 (P4)],RZ[0],AX22,RZ[Úroveň 2 (P0)],AY22,RZ[Úroveň 3 (P0)],AZ22)</f>
        <v>1</v>
      </c>
      <c r="DS22" s="914">
        <f ca="1">SUMIFS(RZ[Úroveň 4 (P4)],RZ[0],AX22,RZ[Úroveň 2 (P0)],AY22,RZ[Úroveň 3 (P0)],AZ22,RZ[Úroveň 4 (P0)],BA22)</f>
        <v>0</v>
      </c>
      <c r="DT22" s="914">
        <f ca="1">SUMIFS(RZ[Úroveň 5 (P4)],RZ[0],AX22,RZ[Úroveň 2 (P0)],AY22,RZ[Úroveň 3 (P0)],AZ22,RZ[Úroveň 4 (P0)],BA22,RZ[Úroveň 5 (P0)],BB22)</f>
        <v>0</v>
      </c>
      <c r="DU22" s="914">
        <f ca="1">SUMIFS(RZ[Úroveň 6 (P4)],RZ[0],AX22,RZ[Úroveň 2 (P0)],AY22,RZ[Úroveň 3 (P0)],AZ22,RZ[Úroveň 4 (P0)],BA22,RZ[Úroveň 5 (P0)],BB22,RZ[Úroveň 6 (P0)],BC22)</f>
        <v>0</v>
      </c>
      <c r="DV22" s="914">
        <f ca="1">SUMIFS(RZ[Úroveň 7 (P4)],RZ[0],AX22,RZ[Úroveň 2 (P0)],AY22,RZ[Úroveň 3 (P0)],AZ22,RZ[Úroveň 4 (P0)],BA22,RZ[Úroveň 5 (P0)],BB22,RZ[Úroveň 6 (P0)],BC22,RZ[Úroveň 7 (P0)],BD22)</f>
        <v>0</v>
      </c>
      <c r="DW22" s="914">
        <f ca="1">SUMIFS(RZ[Úroveň 8 (P4)],RZ[0],AX22,RZ[Úroveň 2 (P0)],AY22,RZ[Úroveň 3 (P0)],AZ22,RZ[Úroveň 4 (P0)],BA22,RZ[Úroveň 5 (P0)],BB22,RZ[Úroveň 6 (P0)],BC22,RZ[Úroveň 7 (P0)],BD22,RZ[Úroveň 8 (P0)],BE22)</f>
        <v>0</v>
      </c>
      <c r="DX22" s="914">
        <f ca="1">SUMIFS(RZ[Úroveň 9 (P4)],RZ[0],AX22,RZ[Úroveň 2 (P0)],AY22,RZ[Úroveň 3 (P0)],AZ22,RZ[Úroveň 4 (P0)],BA22,RZ[Úroveň 5 (P0)],BB22,RZ[Úroveň 6 (P0)],BC22,RZ[Úroveň 7 (P0)],BD22,RZ[Úroveň 8 (P0)],BE22,RZ[Úroveň 9 (P0)],BF22)</f>
        <v>0</v>
      </c>
      <c r="DY22" s="914">
        <f ca="1">SUMIFS(RZ[Úroveň 10 (P4)],RZ[0],AX22,RZ[Úroveň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DZ22" s="915">
        <f t="shared" ca="1" si="188"/>
        <v>1</v>
      </c>
      <c r="EA22" s="916">
        <f ca="1">RZ[[#This Row],[Jednotková hmotnost bez koef. '[kg/MJHR'] (P0)]]*RZ[[#This Row],[Počet MJHR v rozpadu (P0)]]</f>
        <v>264</v>
      </c>
      <c r="EB22" s="917">
        <f ca="1">IF(OFFSET(AY22,1,0,1,1)&lt;&gt;0,RZ[[#This Row],[Koeficient odhadu CR '[-'] (P1)]]*$BH22*SUMIFS(RZ[Úroveň 2 s koef. (P3)],RZ[0],AX22),RZ[[#This Row],[Koeficient odhadu CR '[-'] (P1)]]*$BH22*$IQ22)</f>
        <v>0</v>
      </c>
      <c r="EC22" s="191">
        <f ca="1">IF(OFFSET(AY22,1,0,1,1)&lt;&gt;0,$BH22*SUMIFS(RZ[Úroveň 2 bez koef. (P3)],RZ[0],AX22),$BH22*$IQ22)</f>
        <v>0</v>
      </c>
      <c r="ED22" s="140">
        <f ca="1">RZ[[#This Row],[Úroveň 2 s koef. (P3a)]]*RZ[[#This Row],[Počet MJCR (P0) pro "kg"]]</f>
        <v>0</v>
      </c>
      <c r="EE22" s="140">
        <f ca="1">RZ[Úroveň 2 bez koef. (P3a)]*RZ[[#This Row],[Počet MJCR (P0) pro "kg"]]</f>
        <v>0</v>
      </c>
      <c r="EF22" s="140">
        <f ca="1">IF(OFFSET(AZ22,1,0,1,1)&lt;&gt;0,RZ[[#This Row],[Koeficient odhadu CR '[-'] (P1)]]*$BI22*SUMIFS(RZ[Úroveň 3 s koef. (P3)],RZ[0],AX22,RZ[Úroveň 2 (P0)],AY22),RZ[[#This Row],[Koeficient odhadu CR '[-'] (P1)]]*$BI22*$IQ22)</f>
        <v>0</v>
      </c>
      <c r="EG22" s="140">
        <f ca="1">IF(OFFSET(AZ22,1,0,1,1)&lt;&gt;0,$BI22*SUMIFS(RZ[Úroveň 3 bez koef. (P3)],RZ[0],AX22,RZ[Úroveň 2 (P0)],AY22),$BI22*$IQ22)</f>
        <v>0</v>
      </c>
      <c r="EH22" s="135">
        <f ca="1">RZ[[#This Row],[Úroveň 3 s koef. (P3a)]]*RZ[[#This Row],[Počet MJCR (P0) pro "kg"]]</f>
        <v>115500.00000000001</v>
      </c>
      <c r="EI22" s="135">
        <f ca="1">RZ[Úroveň 3 bez koef. (P3a)]*RZ[[#This Row],[Počet MJCR (P0) pro "kg"]]</f>
        <v>105000</v>
      </c>
      <c r="EJ22" s="135">
        <f ca="1">IF(OFFSET(BA22,1,0,1,1)&lt;&gt;0,RZ[[#This Row],[Koeficient odhadu CR '[-'] (P1)]]*$BJ22*SUMIFS(RZ[Úroveň 4 s koef. (P3)],RZ[0],AX22,RZ[Úroveň 2 (P0)],AY22,RZ[Úroveň 3 (P0)],AZ22),RZ[[#This Row],[Koeficient odhadu CR '[-'] (P1)]]*$BJ22*$IQ22)</f>
        <v>115500.00000000001</v>
      </c>
      <c r="EK22" s="135">
        <f ca="1">IF(OFFSET(BA22,1,0,1,1)&lt;&gt;0,$BJ22*SUMIFS(RZ[Úroveň 4 bez koef. (P3)],RZ[0],AX22,RZ[Úroveň 2 (P0)],AY22,RZ[Úroveň 3 (P0)],AZ22),$BJ22*$IQ22)</f>
        <v>105000</v>
      </c>
      <c r="EL22" s="140">
        <f ca="1">RZ[[#This Row],[Úroveň 4 s koef. (P3a)]]*RZ[[#This Row],[Počet MJCR (P0) pro "kg"]]</f>
        <v>0</v>
      </c>
      <c r="EM22" s="140">
        <f ca="1">RZ[Úroveň 4 bez koef. (P3a)]*RZ[[#This Row],[Počet MJCR (P0) pro "kg"]]</f>
        <v>0</v>
      </c>
      <c r="EN22" s="140">
        <f ca="1">IF(OFFSET(BB22,1,0,1,1)&lt;&gt;0,RZ[[#This Row],[Koeficient odhadu CR '[-'] (P1)]]*$BK22*SUMIFS(RZ[Úroveň 5 s koef. (P3)],RZ[0],AX22,RZ[Úroveň 2 (P0)],AY22,RZ[Úroveň 3 (P0)],AZ22,RZ[Úroveň 4 (P0)],BA22),RZ[[#This Row],[Koeficient odhadu CR '[-'] (P1)]]*$BK22*$IQ22)</f>
        <v>0</v>
      </c>
      <c r="EO22" s="140">
        <f ca="1">IF(OFFSET(BB22,1,0,1,1)&lt;&gt;0,$BK22*SUMIFS(RZ[Úroveň 5 bez koef. (P3)],RZ[0],AX22,RZ[Úroveň 2 (P0)],AY22,RZ[Úroveň 3 (P0)],AZ22,RZ[Úroveň 4 (P0)],BA22),$BK22*$IQ22)</f>
        <v>0</v>
      </c>
      <c r="EP22" s="135">
        <f ca="1">RZ[[#This Row],[Úroveň 5 s koef. (P3a)]]*RZ[[#This Row],[Počet MJCR (P0) pro "kg"]]</f>
        <v>0</v>
      </c>
      <c r="EQ22" s="135">
        <f ca="1">RZ[Úroveň 5 bez koef. (P3a)]*RZ[[#This Row],[Počet MJCR (P0) pro "kg"]]</f>
        <v>0</v>
      </c>
      <c r="ER22" s="135">
        <f ca="1">IF(OFFSET(BC22,1,0,1,1)&lt;&gt;0,RZ[[#This Row],[Koeficient odhadu CR '[-'] (P1)]]*$BL22*SUMIFS(RZ[Úroveň 6 s koef. (P3)],RZ[0],AX22,RZ[Úroveň 2 (P0)],AY22,RZ[Úroveň 3 (P0)],AZ22,RZ[Úroveň 4 (P0)],BA22,RZ[Úroveň 5 (P0)],BB22),RZ[[#This Row],[Koeficient odhadu CR '[-'] (P1)]]*$BL22*$IQ22)</f>
        <v>0</v>
      </c>
      <c r="ES22" s="135">
        <f ca="1">IF(OFFSET(BC22,1,0,1,1)&lt;&gt;0,$BL22*SUMIFS(RZ[Úroveň 6 bez koef. (P3)],RZ[0],AX22,RZ[Úroveň 2 (P0)],AY22,RZ[Úroveň 3 (P0)],AZ22,RZ[Úroveň 4 (P0)],BA22,RZ[Úroveň 5 (P0)],BB22),$BL22*$IQ22)</f>
        <v>0</v>
      </c>
      <c r="ET22" s="140">
        <f ca="1">RZ[[#This Row],[Úroveň 6 s koef. (P3a)]]*RZ[[#This Row],[Počet MJCR (P0) pro "kg"]]</f>
        <v>0</v>
      </c>
      <c r="EU22" s="140">
        <f ca="1">RZ[Úroveň 6 bez koef. (P3a)]*RZ[[#This Row],[Počet MJCR (P0) pro "kg"]]</f>
        <v>0</v>
      </c>
      <c r="EV22" s="140">
        <f ca="1">IF(OFFSET(BD22,1,0,1,1)&lt;&gt;0,RZ[[#This Row],[Koeficient odhadu CR '[-'] (P1)]]*$BM22*SUMIFS(RZ[Úroveň 7 s koef. (P3)],RZ[0],AX22,RZ[Úroveň 2 (P0)],AY22,RZ[Úroveň 3 (P0)],AZ22,RZ[Úroveň 4 (P0)],BA22,RZ[Úroveň 5 (P0)],BB22,RZ[Úroveň 6 (P0)],BC22),RZ[[#This Row],[Koeficient odhadu CR '[-'] (P1)]]*$BM22*$IQ22)</f>
        <v>0</v>
      </c>
      <c r="EW22" s="140">
        <f ca="1">IF(OFFSET(BD22,1,0,1,1)&lt;&gt;0,$BM22*SUMIFS(RZ[Úroveň 7 bez koef. (P3)],RZ[0],AX22,RZ[Úroveň 2 (P0)],AY22,RZ[Úroveň 3 (P0)],AZ22,RZ[Úroveň 4 (P0)],BA22,RZ[Úroveň 5 (P0)],BB22,RZ[Úroveň 6 (P0)],BC22),$BM22*$IQ22)</f>
        <v>0</v>
      </c>
      <c r="EX22" s="135">
        <f ca="1">RZ[[#This Row],[Úroveň 7 s koef. (P3a)]]*RZ[[#This Row],[Počet MJCR (P0) pro "kg"]]</f>
        <v>0</v>
      </c>
      <c r="EY22" s="135">
        <f ca="1">RZ[Úroveň 7 bez koef. (P3a)]*RZ[[#This Row],[Počet MJCR (P0) pro "kg"]]</f>
        <v>0</v>
      </c>
      <c r="EZ22" s="135">
        <f ca="1">IF(OFFSET(BE22,1,0,1,1)&lt;&gt;0,RZ[[#This Row],[Koeficient odhadu CR '[-'] (P1)]]*$BN22*SUMIFS(RZ[Úroveň 8 s koef. (P3)],RZ[0],AX22,RZ[Úroveň 2 (P0)],AY22,RZ[Úroveň 3 (P0)],AZ22,RZ[Úroveň 4 (P0)],BA22,RZ[Úroveň 5 (P0)],BB22,RZ[Úroveň 6 (P0)],BC22,RZ[Úroveň 7 (P0)],BD22),RZ[[#This Row],[Koeficient odhadu CR '[-'] (P1)]]*$BN22*$IQ22)</f>
        <v>0</v>
      </c>
      <c r="FA22" s="135">
        <f ca="1">IF(OFFSET(BE22,1,0,1,1)&lt;&gt;0,$BN22*SUMIFS(RZ[Úroveň 8 bez koef. (P3)],RZ[0],AX22,RZ[Úroveň 2 (P0)],AY22,RZ[Úroveň 3 (P0)],AZ22,RZ[Úroveň 4 (P0)],BA22,RZ[Úroveň 5 (P0)],BB22,RZ[Úroveň 6 (P0)],BC22,RZ[Úroveň 7 (P0)],BD22),$BN22*$IQ22)</f>
        <v>0</v>
      </c>
      <c r="FB22" s="140">
        <f ca="1">RZ[[#This Row],[Úroveň 8 s koef. (P3a)]]*RZ[[#This Row],[Počet MJCR (P0) pro "kg"]]</f>
        <v>0</v>
      </c>
      <c r="FC22" s="140">
        <f ca="1">RZ[Úroveň 8 bez koef. (P3a)]*RZ[[#This Row],[Počet MJCR (P0) pro "kg"]]</f>
        <v>0</v>
      </c>
      <c r="FD22" s="140">
        <f ca="1">IF(OFFSET(BF22,1,0,1,1)&lt;&gt;0,RZ[[#This Row],[Koeficient odhadu CR '[-'] (P1)]]*$BO22*SUMIFS(RZ[Úroveň 9 s koef. (P3)],RZ[0],AX22,RZ[Úroveň 2 (P0)],AY22,RZ[Úroveň 3 (P0)],AZ22,RZ[Úroveň 4 (P0)],BA22,RZ[Úroveň 5 (P0)],BB22,RZ[Úroveň 6 (P0)],BC22,RZ[Úroveň 7 (P0)],BD22,RZ[Úroveň 8 (P0)],BE22),RZ[[#This Row],[Koeficient odhadu CR '[-'] (P1)]]*$BO22*$IQ22)</f>
        <v>0</v>
      </c>
      <c r="FE22" s="140">
        <f ca="1">IF(OFFSET(BF22,1,0,1,1)&lt;&gt;0,$BO22*SUMIFS(RZ[Úroveň 9 bez koef. (P3)],RZ[0],AX22,RZ[Úroveň 2 (P0)],AY22,RZ[Úroveň 3 (P0)],AZ22,RZ[Úroveň 4 (P0)],BA22,RZ[Úroveň 5 (P0)],BB22,RZ[Úroveň 6 (P0)],BC22,RZ[Úroveň 7 (P0)],BD22,RZ[Úroveň 8 (P0)],BE22),$BO22*$IQ22)</f>
        <v>0</v>
      </c>
      <c r="FF22" s="135">
        <f ca="1">RZ[[#This Row],[Úroveň 9 s koef. (P3a)]]*RZ[[#This Row],[Počet MJCR (P0) pro "kg"]]</f>
        <v>0</v>
      </c>
      <c r="FG22" s="135">
        <f ca="1">RZ[Úroveň 9 bez koef. (P3a)]*RZ[[#This Row],[Počet MJCR (P0) pro "kg"]]</f>
        <v>0</v>
      </c>
      <c r="FH22" s="135">
        <f ca="1">IF(OFFSET(BG22,1,0,1,1)&lt;&gt;0,RZ[[#This Row],[Koeficient odhadu CR '[-'] (P1)]]*$BP22*SUMIFS(RZ[Úroveň 10 s koef. (P3)],RZ[0],AX22,RZ[Úroveň 2 (P0)],AY22,RZ[Úroveň 3 (P0)],AZ22,RZ[Úroveň 4 (P0)],BA22,RZ[Úroveň 5 (P0)],BB22,RZ[Úroveň 6 (P0)],BC22,RZ[Úroveň 7 (P0)],BD22,RZ[Úroveň 8 (P0)],BE22,RZ[Úroveň 9 (P0)],BF22),RZ[[#This Row],[Koeficient odhadu CR '[-'] (P1)]]*$BP22*$IQ22)</f>
        <v>0</v>
      </c>
      <c r="FI22" s="135">
        <f ca="1">IF(OFFSET(BG22,1,0,1,1)&lt;&gt;0,$BP22*SUMIFS(RZ[Úroveň 10 bez koef. (P3)],RZ[0],AX22,RZ[Úroveň 2 (P0)],AY22,RZ[Úroveň 3 (P0)],AZ22,RZ[Úroveň 4 (P0)],BA22,RZ[Úroveň 5 (P0)],BB22,RZ[Úroveň 6 (P0)],BC22,RZ[Úroveň 7 (P0)],BD22,RZ[Úroveň 8 (P0)],BE22,RZ[Úroveň 9 (P0)],BF22),$BP22*$IQ22)</f>
        <v>0</v>
      </c>
      <c r="FJ22" s="140">
        <f ca="1">RZ[[#This Row],[Úroveň 10 s koef. (P3a)]]*RZ[[#This Row],[Počet MJCR (P0) pro "kg"]]</f>
        <v>0</v>
      </c>
      <c r="FK22" s="140">
        <f ca="1">RZ[Úroveň 10 bez koef. (P3a)]*RZ[[#This Row],[Počet MJCR (P0) pro "kg"]]</f>
        <v>0</v>
      </c>
      <c r="FL22" s="140">
        <f ca="1">RZ[[#This Row],[Koeficient odhadu CR '[-'] (P1)]]*$BQ22*IQ22</f>
        <v>0</v>
      </c>
      <c r="FM22" s="236">
        <f t="shared" ca="1" si="189"/>
        <v>0</v>
      </c>
      <c r="FN22" s="194">
        <f t="shared" ca="1" si="190"/>
        <v>115500.00000000001</v>
      </c>
      <c r="FO22" s="238">
        <f t="shared" ca="1" si="191"/>
        <v>105000</v>
      </c>
      <c r="FP22" s="135">
        <f t="shared" ca="1" si="192"/>
        <v>0</v>
      </c>
      <c r="FQ22" s="135">
        <f t="shared" ca="1" si="193"/>
        <v>0</v>
      </c>
      <c r="FR22" s="135">
        <f t="shared" ca="1" si="194"/>
        <v>1</v>
      </c>
      <c r="FS22" s="135">
        <f t="shared" ca="1" si="195"/>
        <v>0</v>
      </c>
      <c r="FT22" s="135">
        <f t="shared" ca="1" si="196"/>
        <v>0</v>
      </c>
      <c r="FU22" s="135">
        <f t="shared" ca="1" si="197"/>
        <v>0</v>
      </c>
      <c r="FV22" s="135">
        <f t="shared" ca="1" si="198"/>
        <v>0</v>
      </c>
      <c r="FW22" s="135">
        <f t="shared" ca="1" si="199"/>
        <v>0</v>
      </c>
      <c r="FX22" s="135">
        <f t="shared" ca="1" si="200"/>
        <v>0</v>
      </c>
      <c r="FY22" s="135">
        <f t="shared" ca="1" si="201"/>
        <v>0</v>
      </c>
      <c r="FZ22" s="140">
        <f ca="1">SUMIFS(RZ[Úroveň 1 (P6)],RZ[0],AX22)</f>
        <v>1</v>
      </c>
      <c r="GA22" s="140">
        <f ca="1">SUMIFS(RZ[Úroveň 2 (P6)],RZ[0],AX22,RZ[Úroveň 2 (P0)],AY22)</f>
        <v>1</v>
      </c>
      <c r="GB22" s="140">
        <f ca="1">SUMIFS(RZ[Úroveň 3 (P6)],RZ[0],AX22,RZ[Úroveň 2 (P0)],AY22,RZ[Úroveň 3 (P0)],AZ22)</f>
        <v>1</v>
      </c>
      <c r="GC22" s="140">
        <f ca="1">SUMIFS(RZ[Úroveň 4 (P6)],RZ[0],AX22,RZ[Úroveň 2 (P0)],AY22,RZ[Úroveň 3 (P0)],AZ22,RZ[Úroveň 4 (P0)],BA22)</f>
        <v>0</v>
      </c>
      <c r="GD22" s="140">
        <f ca="1">SUMIFS(RZ[Úroveň 5 (P6)],RZ[0],AX22,RZ[Úroveň 2 (P0)],AY22,RZ[Úroveň 3 (P0)],AZ22,RZ[Úroveň 4 (P0)],BA22,RZ[Úroveň 5 (P0)],BB22)</f>
        <v>0</v>
      </c>
      <c r="GE22" s="140">
        <f ca="1">SUMIFS(RZ[Úroveň 6 (P6)],RZ[0],AX22,RZ[Úroveň 2 (P0)],AY22,RZ[Úroveň 3 (P0)],AZ22,RZ[Úroveň 4 (P0)],BA22,RZ[Úroveň 5 (P0)],BB22,RZ[Úroveň 6 (P0)],BC22)</f>
        <v>0</v>
      </c>
      <c r="GF22" s="140">
        <f ca="1">SUMIFS(RZ[Úroveň 7 (P6)],RZ[0],AX22,RZ[Úroveň 2 (P0)],AY22,RZ[Úroveň 3 (P0)],AZ22,RZ[Úroveň 4 (P0)],BA22,RZ[Úroveň 5 (P0)],BB22,RZ[Úroveň 6 (P0)],BC22,RZ[Úroveň 7 (P0)],BD22)</f>
        <v>0</v>
      </c>
      <c r="GG22" s="140">
        <f ca="1">SUMIFS(RZ[Úroveň 8 (P6)],RZ[0],AX22,RZ[Úroveň 2 (P0)],AY22,RZ[Úroveň 3 (P0)],AZ22,RZ[Úroveň 4 (P0)],BA22,RZ[Úroveň 5 (P0)],BB22,RZ[Úroveň 6 (P0)],BC22,RZ[Úroveň 7 (P0)],BD22,RZ[Úroveň 8 (P0)],BE22)</f>
        <v>0</v>
      </c>
      <c r="GH22" s="140">
        <f ca="1">SUMIFS(RZ[Úroveň 9 (P6)],RZ[0],AX22,RZ[Úroveň 2 (P0)],AY22,RZ[Úroveň 3 (P0)],AZ22,RZ[Úroveň 4 (P0)],BA22,RZ[Úroveň 5 (P0)],BB22,RZ[Úroveň 6 (P0)],BC22,RZ[Úroveň 7 (P0)],BD22,RZ[Úroveň 8 (P0)],BE22,RZ[Úroveň 9 (P0)],BF22)</f>
        <v>0</v>
      </c>
      <c r="GI22" s="140">
        <f ca="1">SUMIFS(RZ[Úroveň 10 (P6)],RZ[0],AX22,RZ[Úroveň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GJ22" s="918">
        <f t="shared" ca="1" si="202"/>
        <v>1</v>
      </c>
      <c r="GK22" s="808">
        <f t="shared" si="203"/>
        <v>0</v>
      </c>
      <c r="GL22" s="808">
        <f t="shared" si="204"/>
        <v>0</v>
      </c>
      <c r="GM22" s="808">
        <f t="shared" si="205"/>
        <v>1.1000000000000001</v>
      </c>
      <c r="GN22" s="808">
        <f t="shared" si="206"/>
        <v>0</v>
      </c>
      <c r="GO22" s="808">
        <f t="shared" si="207"/>
        <v>0</v>
      </c>
      <c r="GP22" s="808">
        <f t="shared" si="208"/>
        <v>0</v>
      </c>
      <c r="GQ22" s="808">
        <f t="shared" si="209"/>
        <v>0</v>
      </c>
      <c r="GR22" s="808">
        <f t="shared" si="210"/>
        <v>0</v>
      </c>
      <c r="GS22" s="808">
        <f t="shared" si="211"/>
        <v>0</v>
      </c>
      <c r="GT22" s="808">
        <f t="shared" si="212"/>
        <v>0</v>
      </c>
      <c r="GU22" s="809">
        <f ca="1">SUMIFS(RZ[Sloupec1],RZ[0],AX22)</f>
        <v>1</v>
      </c>
      <c r="GV22" s="809">
        <f ca="1">SUMIFS(RZ[Sloupec2],RZ[0],AX22,RZ[Úroveň 2 (P0)],AY22)</f>
        <v>1</v>
      </c>
      <c r="GW22" s="809">
        <f ca="1">SUMIFS(RZ[Sloupec3],RZ[0],AX22,RZ[Úroveň 2 (P0)],AY22,RZ[Úroveň 3 (P0)],AZ22)</f>
        <v>1.1000000000000001</v>
      </c>
      <c r="GX22" s="809">
        <f ca="1">SUMIFS(RZ[Sloupec4],RZ[0],AX22,RZ[Úroveň 2 (P0)],AY22,RZ[Úroveň 3 (P0)],AZ22,RZ[Úroveň 4 (P0)],BA22)</f>
        <v>0</v>
      </c>
      <c r="GY22" s="809">
        <f ca="1">SUMIFS(RZ[Sloupec5],RZ[0],AX22,RZ[Úroveň 2 (P0)],AY22,RZ[Úroveň 3 (P0)],AZ22,RZ[Úroveň 4 (P0)],BA22,RZ[Úroveň 5 (P0)],BB22)</f>
        <v>0</v>
      </c>
      <c r="GZ22" s="809">
        <f ca="1">SUMIFS(RZ[Sloupec6],RZ[0],AX22,RZ[Úroveň 2 (P0)],AY22,RZ[Úroveň 3 (P0)],AZ22,RZ[Úroveň 4 (P0)],BA22,RZ[Úroveň 5 (P0)],BB22,RZ[Úroveň 6 (P0)],BC22)</f>
        <v>0</v>
      </c>
      <c r="HA22" s="809">
        <f ca="1">SUMIFS(RZ[Sloupec62],RZ[0],AX22,RZ[Úroveň 2 (P0)],AY22,RZ[Úroveň 3 (P0)],AZ22,RZ[Úroveň 4 (P0)],BA22,RZ[Úroveň 5 (P0)],BB22,RZ[Úroveň 6 (P0)],BC22,RZ[Úroveň 7 (P0)],BD22)</f>
        <v>0</v>
      </c>
      <c r="HB22" s="809">
        <f ca="1">SUMIFS(RZ[Sloupec63],RZ[0],AX22,RZ[Úroveň 2 (P0)],AY22,RZ[Úroveň 3 (P0)],AZ22,RZ[Úroveň 4 (P0)],BA22,RZ[Úroveň 5 (P0)],BB22,RZ[Úroveň 6 (P0)],BC22,RZ[Úroveň 7 (P0)],BD22,RZ[Úroveň 8 (P0)],BE22)</f>
        <v>0</v>
      </c>
      <c r="HC22" s="809">
        <f ca="1">SUMIFS(RZ[Sloupec64],RZ[0],AX22,RZ[Úroveň 2 (P0)],AY22,RZ[Úroveň 3 (P0)],AZ22,RZ[Úroveň 4 (P0)],BA22,RZ[Úroveň 5 (P0)],BB22,RZ[Úroveň 6 (P0)],BC22,RZ[Úroveň 7 (P0)],BD22,RZ[Úroveň 8 (P0)],BE22,RZ[Úroveň 9 (P0)],BF22)</f>
        <v>0</v>
      </c>
      <c r="HD22" s="809">
        <f ca="1">SUMIFS(RZ[Sloupec65],RZ[0],AX22,RZ[Úroveň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HE22" s="919">
        <f t="shared" ca="1" si="213"/>
        <v>1.1000000000000001</v>
      </c>
      <c r="HF22" s="920" t="str">
        <f t="shared" si="214"/>
        <v/>
      </c>
      <c r="HG22" s="94" t="str">
        <f t="shared" si="215"/>
        <v/>
      </c>
      <c r="HH22" s="95" t="str">
        <f t="shared" si="216"/>
        <v/>
      </c>
      <c r="HI22" s="95" t="str">
        <f t="shared" si="217"/>
        <v>Spojka s brzdou - průměr 630</v>
      </c>
      <c r="HJ22" s="96" t="str">
        <f t="shared" si="218"/>
        <v/>
      </c>
      <c r="HK22" s="96" t="str">
        <f t="shared" si="219"/>
        <v/>
      </c>
      <c r="HL22" s="96" t="str">
        <f t="shared" si="220"/>
        <v/>
      </c>
      <c r="HM22" s="96" t="str">
        <f t="shared" si="221"/>
        <v/>
      </c>
      <c r="HN22" s="96" t="str">
        <f t="shared" si="222"/>
        <v/>
      </c>
      <c r="HO22" s="96" t="str">
        <f t="shared" si="223"/>
        <v/>
      </c>
      <c r="HP22" s="96" t="str">
        <f t="shared" si="224"/>
        <v/>
      </c>
      <c r="HQ22" s="145" t="str">
        <f t="shared" si="225"/>
        <v>STSP</v>
      </c>
      <c r="HR22" s="921" t="str">
        <f t="shared" si="226"/>
        <v/>
      </c>
      <c r="HS22" s="173">
        <f t="shared" si="227"/>
        <v>0</v>
      </c>
      <c r="HT22" s="100">
        <f t="shared" si="228"/>
        <v>0</v>
      </c>
      <c r="HU22" s="100">
        <f t="shared" si="229"/>
        <v>0</v>
      </c>
      <c r="HV22" s="908" t="str">
        <f t="shared" si="230"/>
        <v>Zajíc</v>
      </c>
      <c r="HW22" s="922">
        <f t="shared" si="231"/>
        <v>42950.642569444448</v>
      </c>
      <c r="HX22" s="224">
        <f t="shared" si="232"/>
        <v>0</v>
      </c>
      <c r="HY22" s="263" t="str">
        <f t="shared" si="233"/>
        <v>S</v>
      </c>
      <c r="HZ22" s="263" t="str">
        <f t="shared" si="234"/>
        <v>N</v>
      </c>
      <c r="IA22" s="150">
        <f t="shared" si="235"/>
        <v>1</v>
      </c>
      <c r="IB22" s="319">
        <f t="shared" si="236"/>
        <v>105000</v>
      </c>
      <c r="IC22" s="923">
        <f t="shared" si="237"/>
        <v>1.1000000000000001</v>
      </c>
      <c r="ID22" s="924" t="str">
        <f t="shared" ca="1" si="238"/>
        <v>OK</v>
      </c>
      <c r="IE22" s="201" t="str">
        <f t="shared" si="239"/>
        <v>ks</v>
      </c>
      <c r="IF22" s="145">
        <f t="shared" si="240"/>
        <v>1</v>
      </c>
      <c r="IG22" s="216">
        <f t="shared" si="241"/>
        <v>264</v>
      </c>
      <c r="IH22" s="217">
        <f t="shared" si="242"/>
        <v>1</v>
      </c>
      <c r="II22" s="224" t="str">
        <f ca="1">IF(RZ[[#This Row],[Rozhodný sloupec indikativní ceny]]=1,"kg",IF($IW22=$JL$15,IF(JX22=0,JO22,JX22),IF($IW22=$KE$15,IF(KQ22=0,KH22,KQ22),IF($IW22=$KX$15,IF(LJ22=0,LA22,LJ22),IF($IW22=$LQ$15,IF(MC22=0,LT22,MC22),IF($IW22=$MJ$15,IF(NQ22=0,NH22,NQ22),0))))))</f>
        <v>ks</v>
      </c>
      <c r="IJ22" s="224">
        <f ca="1">IF((BH22+OFFSET(BH22,1,1,1,1))=2,RZ[[#This Row],[Počet MJHR (P0)]],IF((BI22+OFFSET(BI22,1,1,1,1))=2,RZ[[#This Row],[Počet MJHR (P0)]],IF((BJ22+OFFSET(BJ22,1,1,1,1))=2,RZ[[#This Row],[Počet MJHR (P0)]],IF((BK22+OFFSET(BK22,1,1,1,1))=2,RZ[[#This Row],[Počet MJHR (P0)]],IF((BL22+OFFSET(BL22,1,1,1,1))=2,RZ[[#This Row],[Počet MJHR (P0)]],IF((BM22+OFFSET(BM22,1,1,1,1))=2,RZ[[#This Row],[Počet MJHR (P0)]],IF((BN22+OFFSET(BN22,1,1,1,1))=2,RZ[[#This Row],[Počet MJHR (P0)]],IF((BO22+OFFSET(BO22,1,1,1,1))=2,RZ[[#This Row],[Počet MJHR (P0)]],IF((BP22+OFFSET(BP22,1,1,1,1))=2,RZ[[#This Row],[Počet MJHR (P0)]],IF((BQ22+OFFSET(BQ22,1,1,1,1))=2,RZ[[#This Row],[Počet MJHR (P0)]],IF(RZ[[#This Row],[Měrná jednotka CR (MJCR) (P0)]]=RZ[[#This Row],[Měrná jednotka HR '[MJHR'] (P0)]],RZ[[#This Row],[Počet MJHR (P0)]],IF($IW22=$JL$15,JY22,IF($IW22=$KE$15,KR22,IF($IW22=$KX$15,LK22,IF($IW22=$LQ$15,MD22,IF($IW22=$MJ$15,NR22,0))))))))))))))))</f>
        <v>1</v>
      </c>
      <c r="IK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2" s="145">
        <f ca="1">IF(AND(RZ[[#This Row],[Jednotková cena bez DPH '[cena/MJCR'] (P0)]]=0,RZ[[#This Row],[Indikativní jednotková cena '[CZK/kg'] (P1)]]&lt;&gt;0),1,0)</f>
        <v>0</v>
      </c>
      <c r="IM22" s="217">
        <f ca="1">VLOOKUP(RZ[[#This Row],[Kód položek]],INDIKAT_CENA,2,FALSE)</f>
        <v>0</v>
      </c>
      <c r="IN22" s="222">
        <f ca="1">IF(RZ[[#This Row],[Rozhodný sloupec indikativní ceny]]=1,RZ[[#This Row],[Indikativní jednotková cena '[CZK/kg'] (P1)]],RZ[[#This Row],[Jednotková cena bez DPH '[cena/MJCR'] (P0)]])</f>
        <v>105000</v>
      </c>
      <c r="IO22" s="222">
        <f t="shared" si="243"/>
        <v>1.1000000000000001</v>
      </c>
      <c r="IP22" s="224">
        <f ca="1">IF(RZ[[#This Row],[Rozhodný sloupec indikativní ceny]]=1,1,IF($IW22=$JL$15,KA22,IF($IW22=$KE$15,KT22,IF($IW22=$KX$15,LM22,IF($IW22=$LQ$15,MF22,IF($IW22=$MJ$15,NT22,0))))))</f>
        <v>1</v>
      </c>
      <c r="IQ22" s="225">
        <f ca="1">IF(RZ[[#This Row],[Jednotková cena bez DPH '[cena/MJCR'] (P1)]]="",0,IF(IP22=0,0,(RZ[[#This Row],[Jednotková cena bez DPH '[cena/MJCR'] (P1)]]*VLOOKUP(IP22,$BR$7:$BT$10,3))))</f>
        <v>105000</v>
      </c>
      <c r="IR22" s="737"/>
      <c r="IS22" s="627">
        <f>IF(HY22=0,"",VLOOKUP(RZ[[#This Row],[Stav Projekce (P0)]],Vstupy!$E$11:'Vstupy'!$E$11:$H$17,4,FALSE))</f>
        <v>100</v>
      </c>
      <c r="IT22" s="925" t="str">
        <f>IF(RZ[[#This Row],[Stav Projekce (P0)]]=0,"",RZ[[#This Row],[Stav Projekce (P0)]])</f>
        <v>S</v>
      </c>
      <c r="IU22" s="925" t="str">
        <f>IF(RZ[[#This Row],[Stav Nákup (P0)]]=0,"",RZ[[#This Row],[Stav Nákup (P0)]])</f>
        <v>N</v>
      </c>
      <c r="IV22" s="926" t="str">
        <f t="shared" si="244"/>
        <v>Zajíc</v>
      </c>
      <c r="IW22" s="641">
        <v>1</v>
      </c>
      <c r="IX22" s="630"/>
      <c r="IY22" s="264"/>
      <c r="IZ22" s="648"/>
      <c r="JA22" s="100"/>
      <c r="JB22" s="100" t="s">
        <v>804</v>
      </c>
      <c r="JC22" s="100"/>
      <c r="JD22" s="100"/>
      <c r="JE22" s="100"/>
      <c r="JF22" s="100"/>
      <c r="JG22" s="100"/>
      <c r="JH22" s="100"/>
      <c r="JI22" s="100"/>
      <c r="JJ22" s="145" t="s">
        <v>828</v>
      </c>
      <c r="JK22" s="529"/>
      <c r="JL22" s="286"/>
      <c r="JM22" s="100"/>
      <c r="JN22" s="100"/>
      <c r="JO22" s="145" t="s">
        <v>35</v>
      </c>
      <c r="JP22" s="117">
        <v>1</v>
      </c>
      <c r="JQ22" s="117">
        <v>264</v>
      </c>
      <c r="JR22" s="148">
        <v>1</v>
      </c>
      <c r="JS22" s="145" t="s">
        <v>602</v>
      </c>
      <c r="JT22" s="631"/>
      <c r="JU22" s="148" t="s">
        <v>853</v>
      </c>
      <c r="JV22" s="154">
        <v>42950.642569444448</v>
      </c>
      <c r="JW22" s="145"/>
      <c r="JX22" s="210" t="s">
        <v>35</v>
      </c>
      <c r="JY22" s="117"/>
      <c r="JZ22" s="662">
        <v>105000</v>
      </c>
      <c r="KA22" s="145">
        <v>1</v>
      </c>
      <c r="KB22" s="148">
        <v>1.1000000000000001</v>
      </c>
      <c r="KC22" s="148" t="s">
        <v>611</v>
      </c>
      <c r="KD22" s="644"/>
      <c r="KE22" s="286"/>
      <c r="KF22" s="100"/>
      <c r="KG22" s="100"/>
      <c r="KH22" s="210"/>
      <c r="KI22" s="117"/>
      <c r="KJ22" s="117"/>
      <c r="KK22" s="148"/>
      <c r="KL22" s="145"/>
      <c r="KM22" s="632"/>
      <c r="KN22" s="148"/>
      <c r="KO22" s="154"/>
      <c r="KP22" s="154"/>
      <c r="KQ22" s="210"/>
      <c r="KR22" s="117"/>
      <c r="KS22" s="211"/>
      <c r="KT22" s="145"/>
      <c r="KU22" s="148"/>
      <c r="KV22" s="148"/>
      <c r="KW22" s="265"/>
      <c r="KX22" s="286"/>
      <c r="KY22" s="100"/>
      <c r="KZ22" s="100"/>
      <c r="LA22" s="210"/>
      <c r="LB22" s="117"/>
      <c r="LC22" s="117"/>
      <c r="LD22" s="148"/>
      <c r="LE22" s="145"/>
      <c r="LF22" s="632"/>
      <c r="LG22" s="148"/>
      <c r="LH22" s="154"/>
      <c r="LI22" s="154"/>
      <c r="LJ22" s="154"/>
      <c r="LK22" s="117"/>
      <c r="LL22" s="211"/>
      <c r="LM22" s="210"/>
      <c r="LN22" s="148"/>
      <c r="LO22" s="148"/>
      <c r="LP22" s="265"/>
      <c r="LQ22" s="286"/>
      <c r="LR22" s="100"/>
      <c r="LS22" s="100"/>
      <c r="LT22" s="210"/>
      <c r="LU22" s="117"/>
      <c r="LV22" s="117"/>
      <c r="LW22" s="148"/>
      <c r="LX22" s="145"/>
      <c r="LY22" s="632"/>
      <c r="LZ22" s="148"/>
      <c r="MA22" s="154"/>
      <c r="MB22" s="154"/>
      <c r="MC22" s="145"/>
      <c r="MD22" s="117"/>
      <c r="ME22" s="211"/>
      <c r="MF22" s="210"/>
      <c r="MG22" s="148"/>
      <c r="MH22" s="148"/>
      <c r="MI22" s="265"/>
      <c r="MJ22" s="647"/>
      <c r="MK22" s="264"/>
      <c r="ML22" s="153"/>
      <c r="MM22" s="153"/>
      <c r="MN22" s="153"/>
      <c r="MO22" s="153"/>
      <c r="MP22" s="153"/>
      <c r="MQ22" s="153"/>
      <c r="MR22" s="153"/>
      <c r="MS22" s="99"/>
      <c r="MT22" s="99"/>
      <c r="MU22" s="99"/>
      <c r="MV22" s="99"/>
      <c r="MW22" s="99"/>
      <c r="MX22" s="99"/>
      <c r="MY22" s="153"/>
      <c r="MZ22" s="153"/>
      <c r="NA22" s="153"/>
      <c r="NB22" s="153"/>
      <c r="NC22" s="153"/>
      <c r="ND22" s="153"/>
      <c r="NE22" s="148"/>
      <c r="NF22" s="153"/>
      <c r="NG22" s="153"/>
      <c r="NH22" s="330" t="str">
        <f t="shared" si="245"/>
        <v>ks</v>
      </c>
      <c r="NI22" s="797">
        <f>RZ[[#This Row],[Počet ks (K)]]</f>
        <v>0</v>
      </c>
      <c r="NJ22" s="798">
        <f>RZ[[#This Row],[Hmotnost '[kg/ks'] (K)]]</f>
        <v>0</v>
      </c>
      <c r="NK22" s="148"/>
      <c r="NL22" s="145"/>
      <c r="NM22" s="632"/>
      <c r="NN22" s="148"/>
      <c r="NO22" s="154"/>
      <c r="NP22" s="153"/>
      <c r="NQ22" s="153"/>
      <c r="NR22" s="210"/>
      <c r="NS22" s="148"/>
      <c r="NT22" s="210"/>
      <c r="NU22" s="148"/>
      <c r="NV22" s="148"/>
      <c r="NW22" s="175"/>
    </row>
    <row r="23" spans="2:387" ht="15.95" customHeight="1" x14ac:dyDescent="0.35">
      <c r="B23" s="118" t="str">
        <f t="shared" si="129"/>
        <v/>
      </c>
      <c r="C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3" s="262" t="str">
        <f t="shared" si="130"/>
        <v xml:space="preserve">    Brzda</v>
      </c>
      <c r="E23" s="120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Row],[Kód položek (P2)]]))))))))))</f>
        <v>STBR</v>
      </c>
      <c r="F23" s="791" t="str">
        <f t="shared" si="131"/>
        <v>N/A</v>
      </c>
      <c r="G23" s="792" t="str">
        <f t="shared" si="132"/>
        <v/>
      </c>
      <c r="H23" s="262" t="str">
        <f t="shared" si="133"/>
        <v/>
      </c>
      <c r="I23" s="123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HR '[MJHR'] (P0)]]))))))))))</f>
        <v>ks</v>
      </c>
      <c r="J23" s="123">
        <f t="shared" si="134"/>
        <v>1</v>
      </c>
      <c r="K23" s="793">
        <f>RZ[[#This Row],[Koeficient odhadu HR '[-'] (P1)]]</f>
        <v>1</v>
      </c>
      <c r="L23" s="124">
        <f ca="1">RZ[[#This Row],[Jednotková hmotnost s koef. '[kg/MJHR'] (P0)]]</f>
        <v>185</v>
      </c>
      <c r="M23" s="794">
        <f t="shared" ca="1" si="135"/>
        <v>0</v>
      </c>
      <c r="N23" s="125">
        <f t="shared" ca="1" si="136"/>
        <v>185</v>
      </c>
      <c r="O23" s="125">
        <f t="shared" ca="1" si="137"/>
        <v>0</v>
      </c>
      <c r="P23" s="126" t="str">
        <f t="shared" si="138"/>
        <v/>
      </c>
      <c r="Q23" s="795">
        <f ca="1">RZ[[#This Row],[Počet MJHR v rozpadu (P0)]]</f>
        <v>1</v>
      </c>
      <c r="R23" s="439" t="str">
        <f t="shared" si="139"/>
        <v>Zajíc</v>
      </c>
      <c r="S23" s="129">
        <f t="shared" si="140"/>
        <v>42950.643240740741</v>
      </c>
      <c r="T23" s="126" t="str">
        <f t="shared" si="141"/>
        <v/>
      </c>
      <c r="U23" s="126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CR (MJCR) (P0)]]))))))))))</f>
        <v>ks</v>
      </c>
      <c r="V23" s="575">
        <f t="shared" ca="1" si="142"/>
        <v>1</v>
      </c>
      <c r="W23" s="322">
        <f>RZ[[#This Row],[Koeficient odhadu CR '[-'] (P1)]]</f>
        <v>1.1000000000000001</v>
      </c>
      <c r="X23" s="440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Row],[Jednotková cena bez DPH '[cena/MJCR'] (P1)]]*RZ[[#This Row],[Koeficient odhadu CR '[-']]]))))))))))</f>
        <v>77000</v>
      </c>
      <c r="Y23" s="440">
        <f t="shared" ca="1" si="143"/>
        <v>-7000.0000000000064</v>
      </c>
      <c r="Z23" s="142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VLOOKUP(IP23,$BR$7:$BS$11,2,FALSE)))))))))))</f>
        <v>CZK</v>
      </c>
      <c r="AA23" s="909">
        <f t="shared" ca="1" si="144"/>
        <v>1</v>
      </c>
      <c r="AB23" s="910">
        <f ca="1">RZ[[#This Row],[Kumulovaný koeficient v rozpadu (P0)]]</f>
        <v>1.1000000000000001</v>
      </c>
      <c r="AC23" s="261"/>
      <c r="AD23" s="796">
        <f ca="1">RZ[[#This Row],[Jednotková cena bez DPH '[cena/MJCR'] s koef. (P0)]]/RZ[[#This Row],[Koeficient odhadu CR '[-']]]*RZ[[#This Row],[Kumulovaný koeficient odhadu CR  '[-']]]</f>
        <v>77000</v>
      </c>
      <c r="AE23" s="796">
        <f t="shared" ca="1" si="145"/>
        <v>77000</v>
      </c>
      <c r="AF23" s="796">
        <f ca="1">-IF(ISNUMBER(AA23),RZ[[#This Row],[Celková cena bez DPH (1)]]-RZ[[#This Row],[Jednotková cena bez DPH '[cena/MJCR'] bez koef. (P0)]]*AA23,0)</f>
        <v>-7000</v>
      </c>
      <c r="AG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416.2162162162162</v>
      </c>
      <c r="AH23" s="261"/>
      <c r="AI23" s="796">
        <f t="shared" ca="1" si="146"/>
        <v>2851.8518518518517</v>
      </c>
      <c r="AJ23" s="796">
        <f t="shared" ca="1" si="147"/>
        <v>2851.8518518518517</v>
      </c>
      <c r="AK23" s="796">
        <f t="shared" ca="1" si="148"/>
        <v>-259.25925925925924</v>
      </c>
      <c r="AL23" s="753">
        <f ca="1">RZ[[#This Row],[Kilogramová cena bez DPH '[cena/kg'] (1)]]/$AK$13</f>
        <v>15.415415415415415</v>
      </c>
      <c r="AM23" s="261"/>
      <c r="AN23" s="796">
        <f t="shared" ca="1" si="149"/>
        <v>3719.8067632850243</v>
      </c>
      <c r="AO23" s="796">
        <f t="shared" ca="1" si="150"/>
        <v>3719.8067632850243</v>
      </c>
      <c r="AP23" s="796">
        <f t="shared" ca="1" si="151"/>
        <v>-338.16425120772948</v>
      </c>
      <c r="AQ23" s="753">
        <f ca="1">RZ[[#This Row],[Kilogramová cena bez DPH '[cena/kg'] (1)]]/$AP$13</f>
        <v>20.107063585324454</v>
      </c>
      <c r="AR23" s="261"/>
      <c r="AS23" s="796">
        <f t="shared" ca="1" si="152"/>
        <v>2106.1269146608315</v>
      </c>
      <c r="AT23" s="796">
        <f t="shared" ca="1" si="153"/>
        <v>2106.1269146608315</v>
      </c>
      <c r="AU23" s="789">
        <f t="shared" ca="1" si="154"/>
        <v>-191.46608315098467</v>
      </c>
      <c r="AV23" s="767">
        <f ca="1">RZ[[#This Row],[Kilogramová cena bez DPH '[cena/kg'] (1)]]/$AU$13</f>
        <v>11.384469808977466</v>
      </c>
      <c r="AW23" s="165"/>
      <c r="AX23" s="911">
        <f t="shared" ca="1" si="155"/>
        <v>2</v>
      </c>
      <c r="AY23" s="111">
        <f t="shared" ca="1" si="156"/>
        <v>1</v>
      </c>
      <c r="AZ23" s="111">
        <f t="shared" ca="1" si="157"/>
        <v>4</v>
      </c>
      <c r="BA23" s="111">
        <f t="shared" ca="1" si="158"/>
        <v>0</v>
      </c>
      <c r="BB23" s="111">
        <f t="shared" ca="1" si="159"/>
        <v>0</v>
      </c>
      <c r="BC23" s="111">
        <f t="shared" ca="1" si="160"/>
        <v>0</v>
      </c>
      <c r="BD23" s="111">
        <f t="shared" ca="1" si="161"/>
        <v>0</v>
      </c>
      <c r="BE23" s="111">
        <f t="shared" ca="1" si="162"/>
        <v>0</v>
      </c>
      <c r="BF23" s="111">
        <f t="shared" ca="1" si="163"/>
        <v>0</v>
      </c>
      <c r="BG23" s="112">
        <f t="shared" ca="1" si="164"/>
        <v>0</v>
      </c>
      <c r="BH23" s="911">
        <f t="shared" si="165"/>
        <v>0</v>
      </c>
      <c r="BI23" s="111">
        <f t="shared" si="166"/>
        <v>0</v>
      </c>
      <c r="BJ23" s="111">
        <f t="shared" si="167"/>
        <v>1</v>
      </c>
      <c r="BK23" s="111">
        <f t="shared" si="168"/>
        <v>0</v>
      </c>
      <c r="BL23" s="111">
        <f t="shared" si="169"/>
        <v>0</v>
      </c>
      <c r="BM23" s="111">
        <f t="shared" si="170"/>
        <v>0</v>
      </c>
      <c r="BN23" s="111">
        <f t="shared" si="171"/>
        <v>0</v>
      </c>
      <c r="BO23" s="111">
        <f t="shared" si="172"/>
        <v>0</v>
      </c>
      <c r="BP23" s="111">
        <f t="shared" si="173"/>
        <v>0</v>
      </c>
      <c r="BQ23" s="112">
        <f t="shared" si="174"/>
        <v>0</v>
      </c>
      <c r="BR23" s="132">
        <f ca="1">IF(OFFSET(AY23,1,0,1,1)&lt;&gt;0,RZ[[#This Row],[Koeficient odhadu HR '[-'] (P1)]]*$BH23*SUMIFS(RZ[Úroveň 2 s koef. (P2)],RZ[0],AX23),RZ[[#This Row],[Koeficient odhadu HR '[-'] (P1)]]*$BH23*$IG23)</f>
        <v>0</v>
      </c>
      <c r="BS23" s="186">
        <f ca="1">IF(OFFSET(AY23,1,0,1,1)&lt;&gt;0,$BH23*SUMIFS(RZ[Úroveň 2 bez koef. (P2)],RZ[0],AX23),$BH23*$IG23)</f>
        <v>0</v>
      </c>
      <c r="BT23" s="138">
        <f ca="1">RZ[[#This Row],[Úroveň 2 s koef. (P2a)]]*RZ[[#This Row],[Počet MJHR (P0)]]</f>
        <v>0</v>
      </c>
      <c r="BU23" s="138">
        <f ca="1">RZ[[#This Row],[Úroveň 2 bez koef. (P2a)]]*RZ[[#This Row],[Počet MJHR (P0)]]</f>
        <v>0</v>
      </c>
      <c r="BV23" s="138">
        <f ca="1">IF(OFFSET(AZ23,1,0,1,1)&lt;&gt;0,RZ[[#This Row],[Koeficient odhadu HR '[-'] (P1)]]*$BI23*SUMIFS(RZ[Úroveň 3 s koef. (P2)],RZ[0],AX23,RZ[Úroveň 2 (P0)],AY23),RZ[[#This Row],[Koeficient odhadu HR '[-'] (P1)]]*$BI23*$IG23)</f>
        <v>0</v>
      </c>
      <c r="BW23" s="138">
        <f ca="1">IF(OFFSET(AZ23,1,0,1,1)&lt;&gt;0,$BI23*SUMIFS(RZ[Úroveň 3 bez koef. (P2)],RZ[0],AX23,RZ[Úroveň 2 (P0)],AY23),$BI23*$IG23)</f>
        <v>0</v>
      </c>
      <c r="BX23" s="132">
        <f ca="1">RZ[[#This Row],[Úroveň 3 s koef. (P2a)]]*RZ[[#This Row],[Počet MJHR (P0)]]</f>
        <v>185</v>
      </c>
      <c r="BY23" s="132">
        <f ca="1">RZ[Úroveň 3 bez koef. (P2a)]*RZ[[#This Row],[Počet MJHR (P0)]]</f>
        <v>185</v>
      </c>
      <c r="BZ23" s="132">
        <f ca="1">IF(OFFSET(BA23,1,0,1,1)&lt;&gt;0,RZ[[#This Row],[Koeficient odhadu HR '[-'] (P1)]]*$BJ23*SUMIFS(RZ[Úroveň 4 s koef. (P2)],RZ[0],AX23,RZ[Úroveň 2 (P0)],AY23,RZ[Úroveň 3 (P0)],AZ23),RZ[[#This Row],[Koeficient odhadu HR '[-'] (P1)]]*$BJ23*$IG23)</f>
        <v>185</v>
      </c>
      <c r="CA23" s="132">
        <f ca="1">IF(OFFSET(BA23,1,0,1,1)&lt;&gt;0,$BJ23*SUMIFS(RZ[Úroveň 4 bez koef. (P2)],RZ[0],AX23,RZ[Úroveň 2 (P0)],AY23,RZ[Úroveň 3 (P0)],AZ23),$BJ23*$IG23)</f>
        <v>185</v>
      </c>
      <c r="CB23" s="138">
        <f ca="1">RZ[[#This Row],[Úroveň 4 s koef. (P2a)]]*RZ[[#This Row],[Počet MJHR (P0)]]</f>
        <v>0</v>
      </c>
      <c r="CC23" s="138">
        <f ca="1">RZ[Úroveň 4 bez koef. (P2a)]*RZ[[#This Row],[Počet MJHR (P0)]]</f>
        <v>0</v>
      </c>
      <c r="CD23" s="138">
        <f ca="1">IF(OFFSET(BB23,1,0,1,1)&lt;&gt;0,RZ[[#This Row],[Koeficient odhadu HR '[-'] (P1)]]*$BK23*SUMIFS(RZ[Úroveň 5 s koef. (P2)],RZ[0],AX23,RZ[Úroveň 2 (P0)],AY23,RZ[Úroveň 3 (P0)],AZ23,RZ[Úroveň 4 (P0)],BA23),RZ[[#This Row],[Koeficient odhadu HR '[-'] (P1)]]*$BK23*$IG23)</f>
        <v>0</v>
      </c>
      <c r="CE23" s="138">
        <f ca="1">IF(OFFSET(BB23,1,0,1,1)&lt;&gt;0,$BK23*SUMIFS(RZ[Úroveň 5 bez koef. (P2)],RZ[0],AX23,RZ[Úroveň 2 (P0)],AY23,RZ[Úroveň 3 (P0)],AZ23,RZ[Úroveň 4 (P0)],BA23),$BK23*$IG23)</f>
        <v>0</v>
      </c>
      <c r="CF23" s="132">
        <f ca="1">RZ[[#This Row],[Úroveň 5 s koef. (P2a)]]*RZ[[#This Row],[Počet MJHR (P0)]]</f>
        <v>0</v>
      </c>
      <c r="CG23" s="132">
        <f ca="1">RZ[Úroveň 5 bez koef. (P2a)]*RZ[[#This Row],[Počet MJHR (P0)]]</f>
        <v>0</v>
      </c>
      <c r="CH23" s="132">
        <f ca="1">IF(OFFSET(BC23,1,0,1,1)&lt;&gt;0,RZ[[#This Row],[Koeficient odhadu HR '[-'] (P1)]]*$BL23*SUMIFS(RZ[Úroveň 6 s koef. (P2)],RZ[0],AX23,RZ[Úroveň 2 (P0)],AY23,RZ[Úroveň 3 (P0)],AZ23,RZ[Úroveň 4 (P0)],BA23,RZ[Úroveň 5 (P0)],BB23),RZ[[#This Row],[Koeficient odhadu HR '[-'] (P1)]]*$BL23*$IG23)</f>
        <v>0</v>
      </c>
      <c r="CI23" s="132">
        <f ca="1">IF(OFFSET(BC23,1,0,1,1)&lt;&gt;0,$BL23*SUMIFS(RZ[Úroveň 6 bez koef. (P2)],RZ[0],AX23,RZ[Úroveň 2 (P0)],AY23,RZ[Úroveň 3 (P0)],AZ23,RZ[Úroveň 4 (P0)],BA23,RZ[Úroveň 5 (P0)],BB23),$BL23*$IG23)</f>
        <v>0</v>
      </c>
      <c r="CJ23" s="138">
        <f ca="1">RZ[[#This Row],[Úroveň 6 s koef. (P2a)]]*RZ[[#This Row],[Počet MJHR (P0)]]</f>
        <v>0</v>
      </c>
      <c r="CK23" s="138">
        <f ca="1">RZ[Úroveň 6 bez koef. (P2a)]*RZ[[#This Row],[Počet MJHR (P0)]]</f>
        <v>0</v>
      </c>
      <c r="CL23" s="138">
        <f ca="1">IF(OFFSET(BD23,1,0,1,1)&lt;&gt;0,RZ[[#This Row],[Koeficient odhadu HR '[-'] (P1)]]*$BM23*SUMIFS(RZ[Úroveň 7 s koef. (P2)],RZ[0],AX23,RZ[Úroveň 2 (P0)],AY23,RZ[Úroveň 3 (P0)],AZ23,RZ[Úroveň 4 (P0)],BA23,RZ[Úroveň 5 (P0)],BB23,RZ[Úroveň 6 (P0)],BC23),RZ[[#This Row],[Koeficient odhadu HR '[-'] (P1)]]*$BM23*$IG23)</f>
        <v>0</v>
      </c>
      <c r="CM23" s="138">
        <f ca="1">IF(OFFSET(BD23,1,0,1,1)&lt;&gt;0,$BM23*SUMIFS(RZ[Úroveň 7 bez koef. (P2)],RZ[0],AX23,RZ[Úroveň 2 (P0)],AY23,RZ[Úroveň 3 (P0)],AZ23,RZ[Úroveň 4 (P0)],BA23,RZ[Úroveň 5 (P0)],BB23,RZ[Úroveň 6 (P0)],BC23),$BM23*$IG23)</f>
        <v>0</v>
      </c>
      <c r="CN23" s="132">
        <f ca="1">RZ[[#This Row],[Úroveň 7 s koef. (P2a)]]*RZ[[#This Row],[Počet MJHR (P0)]]</f>
        <v>0</v>
      </c>
      <c r="CO23" s="132">
        <f ca="1">RZ[Úroveň 7 bez koef. (P2a)]*RZ[[#This Row],[Počet MJHR (P0)]]</f>
        <v>0</v>
      </c>
      <c r="CP23" s="132">
        <f ca="1">IF(OFFSET(BE23,1,0,1,1)&lt;&gt;0,RZ[[#This Row],[Koeficient odhadu HR '[-'] (P1)]]*$BN23*SUMIFS(RZ[Úroveň 8 s koef. (P2)],RZ[0],AX23,RZ[Úroveň 2 (P0)],AY23,RZ[Úroveň 3 (P0)],AZ23,RZ[Úroveň 4 (P0)],BA23,RZ[Úroveň 5 (P0)],BB23,RZ[Úroveň 6 (P0)],BC23,RZ[Úroveň 7 (P0)],BD23),RZ[[#This Row],[Koeficient odhadu HR '[-'] (P1)]]*$BN23*$IG23)</f>
        <v>0</v>
      </c>
      <c r="CQ23" s="132">
        <f ca="1">IF(OFFSET(BE23,1,0,1,1)&lt;&gt;0,$BN23*SUMIFS(RZ[Úroveň 8 bez koef. (P2)],RZ[0],AX23,RZ[Úroveň 2 (P0)],AY23,RZ[Úroveň 3 (P0)],AZ23,RZ[Úroveň 4 (P0)],BA23,RZ[Úroveň 5 (P0)],BB23,RZ[Úroveň 6 (P0)],BC23,RZ[Úroveň 7 (P0)],BD23),$BN23*$IG23)</f>
        <v>0</v>
      </c>
      <c r="CR23" s="138">
        <f ca="1">RZ[[#This Row],[Úroveň 8 s koef. (P2a)]]*RZ[[#This Row],[Počet MJHR (P0)]]</f>
        <v>0</v>
      </c>
      <c r="CS23" s="138">
        <f ca="1">RZ[Úroveň 8 bez koef. (P2a)]*RZ[[#This Row],[Počet MJHR (P0)]]</f>
        <v>0</v>
      </c>
      <c r="CT23" s="138">
        <f ca="1">IF(OFFSET(BF23,1,0,1,1)&lt;&gt;0,RZ[[#This Row],[Koeficient odhadu HR '[-'] (P1)]]*$BO23*SUMIFS(RZ[Úroveň 9 s koef. (P2)],RZ[0],AX23,RZ[Úroveň 2 (P0)],AY23,RZ[Úroveň 3 (P0)],AZ23,RZ[Úroveň 4 (P0)],BA23,RZ[Úroveň 5 (P0)],BB23,RZ[Úroveň 6 (P0)],BC23,RZ[Úroveň 7 (P0)],BD23,RZ[Úroveň 8 (P0)],BE23),RZ[[#This Row],[Koeficient odhadu HR '[-'] (P1)]]*$BO23*$IG23)</f>
        <v>0</v>
      </c>
      <c r="CU23" s="138">
        <f ca="1">IF(OFFSET(BF23,1,0,1,1)&lt;&gt;0,$BO23*SUMIFS(RZ[Úroveň 9 bez koef. (P2)],RZ[0],AX23,RZ[Úroveň 2 (P0)],AY23,RZ[Úroveň 3 (P0)],AZ23,RZ[Úroveň 4 (P0)],BA23,RZ[Úroveň 5 (P0)],BB23,RZ[Úroveň 6 (P0)],BC23,RZ[Úroveň 7 (P0)],BD23,RZ[Úroveň 8 (P0)],BE23),$BO23*$IG23)</f>
        <v>0</v>
      </c>
      <c r="CV23" s="132">
        <f ca="1">RZ[[#This Row],[Úroveň 9 s koef. (P2a)]]*RZ[[#This Row],[Počet MJHR (P0)]]</f>
        <v>0</v>
      </c>
      <c r="CW23" s="132">
        <f ca="1">RZ[Úroveň 9 bez koef. (P2a)]*RZ[[#This Row],[Počet MJHR (P0)]]</f>
        <v>0</v>
      </c>
      <c r="CX23" s="132">
        <f ca="1">IF(OFFSET(BG23,1,0,1,1)&lt;&gt;0,RZ[[#This Row],[Koeficient odhadu HR '[-'] (P1)]]*$BP23*SUMIFS(RZ[Úroveň 10 s koef. (P2)],RZ[0],AX23,RZ[Úroveň 2 (P0)],AY23,RZ[Úroveň 3 (P0)],AZ23,RZ[Úroveň 4 (P0)],BA23,RZ[Úroveň 5 (P0)],BB23,RZ[Úroveň 6 (P0)],BC23,RZ[Úroveň 7 (P0)],BD23,RZ[Úroveň 8 (P0)],BE23,RZ[Úroveň 9 (P0)],BF23),RZ[[#This Row],[Koeficient odhadu HR '[-'] (P1)]]*$BP23*$IG23)</f>
        <v>0</v>
      </c>
      <c r="CY23" s="132">
        <f ca="1">IF(OFFSET(BG23,1,0,1,1)&lt;&gt;0,$BP23*SUMIFS(RZ[Úroveň 10 bez koef. (P2)],RZ[0],AX23,RZ[Úroveň 2 (P0)],AY23,RZ[Úroveň 3 (P0)],AZ23,RZ[Úroveň 4 (P0)],BA23,RZ[Úroveň 5 (P0)],BB23,RZ[Úroveň 6 (P0)],BC23,RZ[Úroveň 7 (P0)],BD23,RZ[Úroveň 8 (P0)],BE23,RZ[Úroveň 9 (P0)],BF23),$BP23*$IG23)</f>
        <v>0</v>
      </c>
      <c r="CZ23" s="138">
        <f>RZ[[#This Row],[Úroveň 10 s koef. (P2a)]]*RZ[[#This Row],[Počet MJHR (P0)]]</f>
        <v>0</v>
      </c>
      <c r="DA23" s="138">
        <f>RZ[Úroveň 10 bez koef. (P2a)]*RZ[[#This Row],[Počet MJHR (P0)]]</f>
        <v>0</v>
      </c>
      <c r="DB23" s="138">
        <f>RZ[[#This Row],[Koeficient odhadu HR '[-'] (P1)]]*$BQ23*IG23</f>
        <v>0</v>
      </c>
      <c r="DC23" s="231">
        <f t="shared" si="175"/>
        <v>0</v>
      </c>
      <c r="DD23" s="241">
        <f t="shared" ca="1" si="176"/>
        <v>185</v>
      </c>
      <c r="DE23" s="229">
        <f t="shared" ca="1" si="177"/>
        <v>185</v>
      </c>
      <c r="DF23" s="912">
        <f t="shared" si="178"/>
        <v>0</v>
      </c>
      <c r="DG23" s="913">
        <f t="shared" si="179"/>
        <v>0</v>
      </c>
      <c r="DH23" s="913">
        <f t="shared" si="180"/>
        <v>1</v>
      </c>
      <c r="DI23" s="913">
        <f t="shared" si="181"/>
        <v>0</v>
      </c>
      <c r="DJ23" s="913">
        <f t="shared" si="182"/>
        <v>0</v>
      </c>
      <c r="DK23" s="913">
        <f t="shared" si="183"/>
        <v>0</v>
      </c>
      <c r="DL23" s="913">
        <f t="shared" si="184"/>
        <v>0</v>
      </c>
      <c r="DM23" s="913">
        <f t="shared" si="185"/>
        <v>0</v>
      </c>
      <c r="DN23" s="913">
        <f t="shared" si="186"/>
        <v>0</v>
      </c>
      <c r="DO23" s="913">
        <f t="shared" si="187"/>
        <v>0</v>
      </c>
      <c r="DP23" s="914">
        <f ca="1">SUMIFS(RZ[Úroveň 1 (P4)],RZ[0],AX23)</f>
        <v>1</v>
      </c>
      <c r="DQ23" s="914">
        <f ca="1">SUMIFS(RZ[Úroveň 2 (P4)],RZ[0],AX23,RZ[Úroveň 2 (P0)],AY23)</f>
        <v>1</v>
      </c>
      <c r="DR23" s="914">
        <f ca="1">SUMIFS(RZ[Úroveň 3 (P4)],RZ[0],AX23,RZ[Úroveň 2 (P0)],AY23,RZ[Úroveň 3 (P0)],AZ23)</f>
        <v>1</v>
      </c>
      <c r="DS23" s="914">
        <f ca="1">SUMIFS(RZ[Úroveň 4 (P4)],RZ[0],AX23,RZ[Úroveň 2 (P0)],AY23,RZ[Úroveň 3 (P0)],AZ23,RZ[Úroveň 4 (P0)],BA23)</f>
        <v>0</v>
      </c>
      <c r="DT23" s="914">
        <f ca="1">SUMIFS(RZ[Úroveň 5 (P4)],RZ[0],AX23,RZ[Úroveň 2 (P0)],AY23,RZ[Úroveň 3 (P0)],AZ23,RZ[Úroveň 4 (P0)],BA23,RZ[Úroveň 5 (P0)],BB23)</f>
        <v>0</v>
      </c>
      <c r="DU23" s="914">
        <f ca="1">SUMIFS(RZ[Úroveň 6 (P4)],RZ[0],AX23,RZ[Úroveň 2 (P0)],AY23,RZ[Úroveň 3 (P0)],AZ23,RZ[Úroveň 4 (P0)],BA23,RZ[Úroveň 5 (P0)],BB23,RZ[Úroveň 6 (P0)],BC23)</f>
        <v>0</v>
      </c>
      <c r="DV23" s="914">
        <f ca="1">SUMIFS(RZ[Úroveň 7 (P4)],RZ[0],AX23,RZ[Úroveň 2 (P0)],AY23,RZ[Úroveň 3 (P0)],AZ23,RZ[Úroveň 4 (P0)],BA23,RZ[Úroveň 5 (P0)],BB23,RZ[Úroveň 6 (P0)],BC23,RZ[Úroveň 7 (P0)],BD23)</f>
        <v>0</v>
      </c>
      <c r="DW23" s="914">
        <f ca="1">SUMIFS(RZ[Úroveň 8 (P4)],RZ[0],AX23,RZ[Úroveň 2 (P0)],AY23,RZ[Úroveň 3 (P0)],AZ23,RZ[Úroveň 4 (P0)],BA23,RZ[Úroveň 5 (P0)],BB23,RZ[Úroveň 6 (P0)],BC23,RZ[Úroveň 7 (P0)],BD23,RZ[Úroveň 8 (P0)],BE23)</f>
        <v>0</v>
      </c>
      <c r="DX23" s="914">
        <f ca="1">SUMIFS(RZ[Úroveň 9 (P4)],RZ[0],AX23,RZ[Úroveň 2 (P0)],AY23,RZ[Úroveň 3 (P0)],AZ23,RZ[Úroveň 4 (P0)],BA23,RZ[Úroveň 5 (P0)],BB23,RZ[Úroveň 6 (P0)],BC23,RZ[Úroveň 7 (P0)],BD23,RZ[Úroveň 8 (P0)],BE23,RZ[Úroveň 9 (P0)],BF23)</f>
        <v>0</v>
      </c>
      <c r="DY23" s="914">
        <f ca="1">SUMIFS(RZ[Úroveň 10 (P4)],RZ[0],AX23,RZ[Úroveň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DZ23" s="915">
        <f t="shared" ca="1" si="188"/>
        <v>1</v>
      </c>
      <c r="EA23" s="916">
        <f ca="1">RZ[[#This Row],[Jednotková hmotnost bez koef. '[kg/MJHR'] (P0)]]*RZ[[#This Row],[Počet MJHR v rozpadu (P0)]]</f>
        <v>185</v>
      </c>
      <c r="EB23" s="917">
        <f ca="1">IF(OFFSET(AY23,1,0,1,1)&lt;&gt;0,RZ[[#This Row],[Koeficient odhadu CR '[-'] (P1)]]*$BH23*SUMIFS(RZ[Úroveň 2 s koef. (P3)],RZ[0],AX23),RZ[[#This Row],[Koeficient odhadu CR '[-'] (P1)]]*$BH23*$IQ23)</f>
        <v>0</v>
      </c>
      <c r="EC23" s="191">
        <f ca="1">IF(OFFSET(AY23,1,0,1,1)&lt;&gt;0,$BH23*SUMIFS(RZ[Úroveň 2 bez koef. (P3)],RZ[0],AX23),$BH23*$IQ23)</f>
        <v>0</v>
      </c>
      <c r="ED23" s="140">
        <f ca="1">RZ[[#This Row],[Úroveň 2 s koef. (P3a)]]*RZ[[#This Row],[Počet MJCR (P0) pro "kg"]]</f>
        <v>0</v>
      </c>
      <c r="EE23" s="140">
        <f ca="1">RZ[Úroveň 2 bez koef. (P3a)]*RZ[[#This Row],[Počet MJCR (P0) pro "kg"]]</f>
        <v>0</v>
      </c>
      <c r="EF23" s="140">
        <f ca="1">IF(OFFSET(AZ23,1,0,1,1)&lt;&gt;0,RZ[[#This Row],[Koeficient odhadu CR '[-'] (P1)]]*$BI23*SUMIFS(RZ[Úroveň 3 s koef. (P3)],RZ[0],AX23,RZ[Úroveň 2 (P0)],AY23),RZ[[#This Row],[Koeficient odhadu CR '[-'] (P1)]]*$BI23*$IQ23)</f>
        <v>0</v>
      </c>
      <c r="EG23" s="140">
        <f ca="1">IF(OFFSET(AZ23,1,0,1,1)&lt;&gt;0,$BI23*SUMIFS(RZ[Úroveň 3 bez koef. (P3)],RZ[0],AX23,RZ[Úroveň 2 (P0)],AY23),$BI23*$IQ23)</f>
        <v>0</v>
      </c>
      <c r="EH23" s="135">
        <f ca="1">RZ[[#This Row],[Úroveň 3 s koef. (P3a)]]*RZ[[#This Row],[Počet MJCR (P0) pro "kg"]]</f>
        <v>77000</v>
      </c>
      <c r="EI23" s="135">
        <f ca="1">RZ[Úroveň 3 bez koef. (P3a)]*RZ[[#This Row],[Počet MJCR (P0) pro "kg"]]</f>
        <v>70000</v>
      </c>
      <c r="EJ23" s="135">
        <f ca="1">IF(OFFSET(BA23,1,0,1,1)&lt;&gt;0,RZ[[#This Row],[Koeficient odhadu CR '[-'] (P1)]]*$BJ23*SUMIFS(RZ[Úroveň 4 s koef. (P3)],RZ[0],AX23,RZ[Úroveň 2 (P0)],AY23,RZ[Úroveň 3 (P0)],AZ23),RZ[[#This Row],[Koeficient odhadu CR '[-'] (P1)]]*$BJ23*$IQ23)</f>
        <v>77000</v>
      </c>
      <c r="EK23" s="135">
        <f ca="1">IF(OFFSET(BA23,1,0,1,1)&lt;&gt;0,$BJ23*SUMIFS(RZ[Úroveň 4 bez koef. (P3)],RZ[0],AX23,RZ[Úroveň 2 (P0)],AY23,RZ[Úroveň 3 (P0)],AZ23),$BJ23*$IQ23)</f>
        <v>70000</v>
      </c>
      <c r="EL23" s="140">
        <f ca="1">RZ[[#This Row],[Úroveň 4 s koef. (P3a)]]*RZ[[#This Row],[Počet MJCR (P0) pro "kg"]]</f>
        <v>0</v>
      </c>
      <c r="EM23" s="140">
        <f ca="1">RZ[Úroveň 4 bez koef. (P3a)]*RZ[[#This Row],[Počet MJCR (P0) pro "kg"]]</f>
        <v>0</v>
      </c>
      <c r="EN23" s="140">
        <f ca="1">IF(OFFSET(BB23,1,0,1,1)&lt;&gt;0,RZ[[#This Row],[Koeficient odhadu CR '[-'] (P1)]]*$BK23*SUMIFS(RZ[Úroveň 5 s koef. (P3)],RZ[0],AX23,RZ[Úroveň 2 (P0)],AY23,RZ[Úroveň 3 (P0)],AZ23,RZ[Úroveň 4 (P0)],BA23),RZ[[#This Row],[Koeficient odhadu CR '[-'] (P1)]]*$BK23*$IQ23)</f>
        <v>0</v>
      </c>
      <c r="EO23" s="140">
        <f ca="1">IF(OFFSET(BB23,1,0,1,1)&lt;&gt;0,$BK23*SUMIFS(RZ[Úroveň 5 bez koef. (P3)],RZ[0],AX23,RZ[Úroveň 2 (P0)],AY23,RZ[Úroveň 3 (P0)],AZ23,RZ[Úroveň 4 (P0)],BA23),$BK23*$IQ23)</f>
        <v>0</v>
      </c>
      <c r="EP23" s="135">
        <f ca="1">RZ[[#This Row],[Úroveň 5 s koef. (P3a)]]*RZ[[#This Row],[Počet MJCR (P0) pro "kg"]]</f>
        <v>0</v>
      </c>
      <c r="EQ23" s="135">
        <f ca="1">RZ[Úroveň 5 bez koef. (P3a)]*RZ[[#This Row],[Počet MJCR (P0) pro "kg"]]</f>
        <v>0</v>
      </c>
      <c r="ER23" s="135">
        <f ca="1">IF(OFFSET(BC23,1,0,1,1)&lt;&gt;0,RZ[[#This Row],[Koeficient odhadu CR '[-'] (P1)]]*$BL23*SUMIFS(RZ[Úroveň 6 s koef. (P3)],RZ[0],AX23,RZ[Úroveň 2 (P0)],AY23,RZ[Úroveň 3 (P0)],AZ23,RZ[Úroveň 4 (P0)],BA23,RZ[Úroveň 5 (P0)],BB23),RZ[[#This Row],[Koeficient odhadu CR '[-'] (P1)]]*$BL23*$IQ23)</f>
        <v>0</v>
      </c>
      <c r="ES23" s="135">
        <f ca="1">IF(OFFSET(BC23,1,0,1,1)&lt;&gt;0,$BL23*SUMIFS(RZ[Úroveň 6 bez koef. (P3)],RZ[0],AX23,RZ[Úroveň 2 (P0)],AY23,RZ[Úroveň 3 (P0)],AZ23,RZ[Úroveň 4 (P0)],BA23,RZ[Úroveň 5 (P0)],BB23),$BL23*$IQ23)</f>
        <v>0</v>
      </c>
      <c r="ET23" s="140">
        <f ca="1">RZ[[#This Row],[Úroveň 6 s koef. (P3a)]]*RZ[[#This Row],[Počet MJCR (P0) pro "kg"]]</f>
        <v>0</v>
      </c>
      <c r="EU23" s="140">
        <f ca="1">RZ[Úroveň 6 bez koef. (P3a)]*RZ[[#This Row],[Počet MJCR (P0) pro "kg"]]</f>
        <v>0</v>
      </c>
      <c r="EV23" s="140">
        <f ca="1">IF(OFFSET(BD23,1,0,1,1)&lt;&gt;0,RZ[[#This Row],[Koeficient odhadu CR '[-'] (P1)]]*$BM23*SUMIFS(RZ[Úroveň 7 s koef. (P3)],RZ[0],AX23,RZ[Úroveň 2 (P0)],AY23,RZ[Úroveň 3 (P0)],AZ23,RZ[Úroveň 4 (P0)],BA23,RZ[Úroveň 5 (P0)],BB23,RZ[Úroveň 6 (P0)],BC23),RZ[[#This Row],[Koeficient odhadu CR '[-'] (P1)]]*$BM23*$IQ23)</f>
        <v>0</v>
      </c>
      <c r="EW23" s="140">
        <f ca="1">IF(OFFSET(BD23,1,0,1,1)&lt;&gt;0,$BM23*SUMIFS(RZ[Úroveň 7 bez koef. (P3)],RZ[0],AX23,RZ[Úroveň 2 (P0)],AY23,RZ[Úroveň 3 (P0)],AZ23,RZ[Úroveň 4 (P0)],BA23,RZ[Úroveň 5 (P0)],BB23,RZ[Úroveň 6 (P0)],BC23),$BM23*$IQ23)</f>
        <v>0</v>
      </c>
      <c r="EX23" s="135">
        <f ca="1">RZ[[#This Row],[Úroveň 7 s koef. (P3a)]]*RZ[[#This Row],[Počet MJCR (P0) pro "kg"]]</f>
        <v>0</v>
      </c>
      <c r="EY23" s="135">
        <f ca="1">RZ[Úroveň 7 bez koef. (P3a)]*RZ[[#This Row],[Počet MJCR (P0) pro "kg"]]</f>
        <v>0</v>
      </c>
      <c r="EZ23" s="135">
        <f ca="1">IF(OFFSET(BE23,1,0,1,1)&lt;&gt;0,RZ[[#This Row],[Koeficient odhadu CR '[-'] (P1)]]*$BN23*SUMIFS(RZ[Úroveň 8 s koef. (P3)],RZ[0],AX23,RZ[Úroveň 2 (P0)],AY23,RZ[Úroveň 3 (P0)],AZ23,RZ[Úroveň 4 (P0)],BA23,RZ[Úroveň 5 (P0)],BB23,RZ[Úroveň 6 (P0)],BC23,RZ[Úroveň 7 (P0)],BD23),RZ[[#This Row],[Koeficient odhadu CR '[-'] (P1)]]*$BN23*$IQ23)</f>
        <v>0</v>
      </c>
      <c r="FA23" s="135">
        <f ca="1">IF(OFFSET(BE23,1,0,1,1)&lt;&gt;0,$BN23*SUMIFS(RZ[Úroveň 8 bez koef. (P3)],RZ[0],AX23,RZ[Úroveň 2 (P0)],AY23,RZ[Úroveň 3 (P0)],AZ23,RZ[Úroveň 4 (P0)],BA23,RZ[Úroveň 5 (P0)],BB23,RZ[Úroveň 6 (P0)],BC23,RZ[Úroveň 7 (P0)],BD23),$BN23*$IQ23)</f>
        <v>0</v>
      </c>
      <c r="FB23" s="140">
        <f ca="1">RZ[[#This Row],[Úroveň 8 s koef. (P3a)]]*RZ[[#This Row],[Počet MJCR (P0) pro "kg"]]</f>
        <v>0</v>
      </c>
      <c r="FC23" s="140">
        <f ca="1">RZ[Úroveň 8 bez koef. (P3a)]*RZ[[#This Row],[Počet MJCR (P0) pro "kg"]]</f>
        <v>0</v>
      </c>
      <c r="FD23" s="140">
        <f ca="1">IF(OFFSET(BF23,1,0,1,1)&lt;&gt;0,RZ[[#This Row],[Koeficient odhadu CR '[-'] (P1)]]*$BO23*SUMIFS(RZ[Úroveň 9 s koef. (P3)],RZ[0],AX23,RZ[Úroveň 2 (P0)],AY23,RZ[Úroveň 3 (P0)],AZ23,RZ[Úroveň 4 (P0)],BA23,RZ[Úroveň 5 (P0)],BB23,RZ[Úroveň 6 (P0)],BC23,RZ[Úroveň 7 (P0)],BD23,RZ[Úroveň 8 (P0)],BE23),RZ[[#This Row],[Koeficient odhadu CR '[-'] (P1)]]*$BO23*$IQ23)</f>
        <v>0</v>
      </c>
      <c r="FE23" s="140">
        <f ca="1">IF(OFFSET(BF23,1,0,1,1)&lt;&gt;0,$BO23*SUMIFS(RZ[Úroveň 9 bez koef. (P3)],RZ[0],AX23,RZ[Úroveň 2 (P0)],AY23,RZ[Úroveň 3 (P0)],AZ23,RZ[Úroveň 4 (P0)],BA23,RZ[Úroveň 5 (P0)],BB23,RZ[Úroveň 6 (P0)],BC23,RZ[Úroveň 7 (P0)],BD23,RZ[Úroveň 8 (P0)],BE23),$BO23*$IQ23)</f>
        <v>0</v>
      </c>
      <c r="FF23" s="135">
        <f ca="1">RZ[[#This Row],[Úroveň 9 s koef. (P3a)]]*RZ[[#This Row],[Počet MJCR (P0) pro "kg"]]</f>
        <v>0</v>
      </c>
      <c r="FG23" s="135">
        <f ca="1">RZ[Úroveň 9 bez koef. (P3a)]*RZ[[#This Row],[Počet MJCR (P0) pro "kg"]]</f>
        <v>0</v>
      </c>
      <c r="FH23" s="135">
        <f ca="1">IF(OFFSET(BG23,1,0,1,1)&lt;&gt;0,RZ[[#This Row],[Koeficient odhadu CR '[-'] (P1)]]*$BP23*SUMIFS(RZ[Úroveň 10 s koef. (P3)],RZ[0],AX23,RZ[Úroveň 2 (P0)],AY23,RZ[Úroveň 3 (P0)],AZ23,RZ[Úroveň 4 (P0)],BA23,RZ[Úroveň 5 (P0)],BB23,RZ[Úroveň 6 (P0)],BC23,RZ[Úroveň 7 (P0)],BD23,RZ[Úroveň 8 (P0)],BE23,RZ[Úroveň 9 (P0)],BF23),RZ[[#This Row],[Koeficient odhadu CR '[-'] (P1)]]*$BP23*$IQ23)</f>
        <v>0</v>
      </c>
      <c r="FI23" s="135">
        <f ca="1">IF(OFFSET(BG23,1,0,1,1)&lt;&gt;0,$BP23*SUMIFS(RZ[Úroveň 10 bez koef. (P3)],RZ[0],AX23,RZ[Úroveň 2 (P0)],AY23,RZ[Úroveň 3 (P0)],AZ23,RZ[Úroveň 4 (P0)],BA23,RZ[Úroveň 5 (P0)],BB23,RZ[Úroveň 6 (P0)],BC23,RZ[Úroveň 7 (P0)],BD23,RZ[Úroveň 8 (P0)],BE23,RZ[Úroveň 9 (P0)],BF23),$BP23*$IQ23)</f>
        <v>0</v>
      </c>
      <c r="FJ23" s="140">
        <f ca="1">RZ[[#This Row],[Úroveň 10 s koef. (P3a)]]*RZ[[#This Row],[Počet MJCR (P0) pro "kg"]]</f>
        <v>0</v>
      </c>
      <c r="FK23" s="140">
        <f ca="1">RZ[Úroveň 10 bez koef. (P3a)]*RZ[[#This Row],[Počet MJCR (P0) pro "kg"]]</f>
        <v>0</v>
      </c>
      <c r="FL23" s="140">
        <f ca="1">RZ[[#This Row],[Koeficient odhadu CR '[-'] (P1)]]*$BQ23*IQ23</f>
        <v>0</v>
      </c>
      <c r="FM23" s="236">
        <f t="shared" ca="1" si="189"/>
        <v>0</v>
      </c>
      <c r="FN23" s="194">
        <f t="shared" ca="1" si="190"/>
        <v>77000</v>
      </c>
      <c r="FO23" s="238">
        <f t="shared" ca="1" si="191"/>
        <v>70000</v>
      </c>
      <c r="FP23" s="135">
        <f t="shared" ca="1" si="192"/>
        <v>0</v>
      </c>
      <c r="FQ23" s="135">
        <f t="shared" ca="1" si="193"/>
        <v>0</v>
      </c>
      <c r="FR23" s="135">
        <f t="shared" ca="1" si="194"/>
        <v>1</v>
      </c>
      <c r="FS23" s="135">
        <f t="shared" ca="1" si="195"/>
        <v>0</v>
      </c>
      <c r="FT23" s="135">
        <f t="shared" ca="1" si="196"/>
        <v>0</v>
      </c>
      <c r="FU23" s="135">
        <f t="shared" ca="1" si="197"/>
        <v>0</v>
      </c>
      <c r="FV23" s="135">
        <f t="shared" ca="1" si="198"/>
        <v>0</v>
      </c>
      <c r="FW23" s="135">
        <f t="shared" ca="1" si="199"/>
        <v>0</v>
      </c>
      <c r="FX23" s="135">
        <f t="shared" ca="1" si="200"/>
        <v>0</v>
      </c>
      <c r="FY23" s="135">
        <f t="shared" ca="1" si="201"/>
        <v>0</v>
      </c>
      <c r="FZ23" s="140">
        <f ca="1">SUMIFS(RZ[Úroveň 1 (P6)],RZ[0],AX23)</f>
        <v>1</v>
      </c>
      <c r="GA23" s="140">
        <f ca="1">SUMIFS(RZ[Úroveň 2 (P6)],RZ[0],AX23,RZ[Úroveň 2 (P0)],AY23)</f>
        <v>1</v>
      </c>
      <c r="GB23" s="140">
        <f ca="1">SUMIFS(RZ[Úroveň 3 (P6)],RZ[0],AX23,RZ[Úroveň 2 (P0)],AY23,RZ[Úroveň 3 (P0)],AZ23)</f>
        <v>1</v>
      </c>
      <c r="GC23" s="140">
        <f ca="1">SUMIFS(RZ[Úroveň 4 (P6)],RZ[0],AX23,RZ[Úroveň 2 (P0)],AY23,RZ[Úroveň 3 (P0)],AZ23,RZ[Úroveň 4 (P0)],BA23)</f>
        <v>0</v>
      </c>
      <c r="GD23" s="140">
        <f ca="1">SUMIFS(RZ[Úroveň 5 (P6)],RZ[0],AX23,RZ[Úroveň 2 (P0)],AY23,RZ[Úroveň 3 (P0)],AZ23,RZ[Úroveň 4 (P0)],BA23,RZ[Úroveň 5 (P0)],BB23)</f>
        <v>0</v>
      </c>
      <c r="GE23" s="140">
        <f ca="1">SUMIFS(RZ[Úroveň 6 (P6)],RZ[0],AX23,RZ[Úroveň 2 (P0)],AY23,RZ[Úroveň 3 (P0)],AZ23,RZ[Úroveň 4 (P0)],BA23,RZ[Úroveň 5 (P0)],BB23,RZ[Úroveň 6 (P0)],BC23)</f>
        <v>0</v>
      </c>
      <c r="GF23" s="140">
        <f ca="1">SUMIFS(RZ[Úroveň 7 (P6)],RZ[0],AX23,RZ[Úroveň 2 (P0)],AY23,RZ[Úroveň 3 (P0)],AZ23,RZ[Úroveň 4 (P0)],BA23,RZ[Úroveň 5 (P0)],BB23,RZ[Úroveň 6 (P0)],BC23,RZ[Úroveň 7 (P0)],BD23)</f>
        <v>0</v>
      </c>
      <c r="GG23" s="140">
        <f ca="1">SUMIFS(RZ[Úroveň 8 (P6)],RZ[0],AX23,RZ[Úroveň 2 (P0)],AY23,RZ[Úroveň 3 (P0)],AZ23,RZ[Úroveň 4 (P0)],BA23,RZ[Úroveň 5 (P0)],BB23,RZ[Úroveň 6 (P0)],BC23,RZ[Úroveň 7 (P0)],BD23,RZ[Úroveň 8 (P0)],BE23)</f>
        <v>0</v>
      </c>
      <c r="GH23" s="140">
        <f ca="1">SUMIFS(RZ[Úroveň 9 (P6)],RZ[0],AX23,RZ[Úroveň 2 (P0)],AY23,RZ[Úroveň 3 (P0)],AZ23,RZ[Úroveň 4 (P0)],BA23,RZ[Úroveň 5 (P0)],BB23,RZ[Úroveň 6 (P0)],BC23,RZ[Úroveň 7 (P0)],BD23,RZ[Úroveň 8 (P0)],BE23,RZ[Úroveň 9 (P0)],BF23)</f>
        <v>0</v>
      </c>
      <c r="GI23" s="140">
        <f ca="1">SUMIFS(RZ[Úroveň 10 (P6)],RZ[0],AX23,RZ[Úroveň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GJ23" s="918">
        <f t="shared" ca="1" si="202"/>
        <v>1</v>
      </c>
      <c r="GK23" s="808">
        <f t="shared" si="203"/>
        <v>0</v>
      </c>
      <c r="GL23" s="808">
        <f t="shared" si="204"/>
        <v>0</v>
      </c>
      <c r="GM23" s="808">
        <f t="shared" si="205"/>
        <v>1.1000000000000001</v>
      </c>
      <c r="GN23" s="808">
        <f t="shared" si="206"/>
        <v>0</v>
      </c>
      <c r="GO23" s="808">
        <f t="shared" si="207"/>
        <v>0</v>
      </c>
      <c r="GP23" s="808">
        <f t="shared" si="208"/>
        <v>0</v>
      </c>
      <c r="GQ23" s="808">
        <f t="shared" si="209"/>
        <v>0</v>
      </c>
      <c r="GR23" s="808">
        <f t="shared" si="210"/>
        <v>0</v>
      </c>
      <c r="GS23" s="808">
        <f t="shared" si="211"/>
        <v>0</v>
      </c>
      <c r="GT23" s="808">
        <f t="shared" si="212"/>
        <v>0</v>
      </c>
      <c r="GU23" s="809">
        <f ca="1">SUMIFS(RZ[Sloupec1],RZ[0],AX23)</f>
        <v>1</v>
      </c>
      <c r="GV23" s="809">
        <f ca="1">SUMIFS(RZ[Sloupec2],RZ[0],AX23,RZ[Úroveň 2 (P0)],AY23)</f>
        <v>1</v>
      </c>
      <c r="GW23" s="809">
        <f ca="1">SUMIFS(RZ[Sloupec3],RZ[0],AX23,RZ[Úroveň 2 (P0)],AY23,RZ[Úroveň 3 (P0)],AZ23)</f>
        <v>1.1000000000000001</v>
      </c>
      <c r="GX23" s="809">
        <f ca="1">SUMIFS(RZ[Sloupec4],RZ[0],AX23,RZ[Úroveň 2 (P0)],AY23,RZ[Úroveň 3 (P0)],AZ23,RZ[Úroveň 4 (P0)],BA23)</f>
        <v>0</v>
      </c>
      <c r="GY23" s="809">
        <f ca="1">SUMIFS(RZ[Sloupec5],RZ[0],AX23,RZ[Úroveň 2 (P0)],AY23,RZ[Úroveň 3 (P0)],AZ23,RZ[Úroveň 4 (P0)],BA23,RZ[Úroveň 5 (P0)],BB23)</f>
        <v>0</v>
      </c>
      <c r="GZ23" s="809">
        <f ca="1">SUMIFS(RZ[Sloupec6],RZ[0],AX23,RZ[Úroveň 2 (P0)],AY23,RZ[Úroveň 3 (P0)],AZ23,RZ[Úroveň 4 (P0)],BA23,RZ[Úroveň 5 (P0)],BB23,RZ[Úroveň 6 (P0)],BC23)</f>
        <v>0</v>
      </c>
      <c r="HA23" s="809">
        <f ca="1">SUMIFS(RZ[Sloupec62],RZ[0],AX23,RZ[Úroveň 2 (P0)],AY23,RZ[Úroveň 3 (P0)],AZ23,RZ[Úroveň 4 (P0)],BA23,RZ[Úroveň 5 (P0)],BB23,RZ[Úroveň 6 (P0)],BC23,RZ[Úroveň 7 (P0)],BD23)</f>
        <v>0</v>
      </c>
      <c r="HB23" s="809">
        <f ca="1">SUMIFS(RZ[Sloupec63],RZ[0],AX23,RZ[Úroveň 2 (P0)],AY23,RZ[Úroveň 3 (P0)],AZ23,RZ[Úroveň 4 (P0)],BA23,RZ[Úroveň 5 (P0)],BB23,RZ[Úroveň 6 (P0)],BC23,RZ[Úroveň 7 (P0)],BD23,RZ[Úroveň 8 (P0)],BE23)</f>
        <v>0</v>
      </c>
      <c r="HC23" s="809">
        <f ca="1">SUMIFS(RZ[Sloupec64],RZ[0],AX23,RZ[Úroveň 2 (P0)],AY23,RZ[Úroveň 3 (P0)],AZ23,RZ[Úroveň 4 (P0)],BA23,RZ[Úroveň 5 (P0)],BB23,RZ[Úroveň 6 (P0)],BC23,RZ[Úroveň 7 (P0)],BD23,RZ[Úroveň 8 (P0)],BE23,RZ[Úroveň 9 (P0)],BF23)</f>
        <v>0</v>
      </c>
      <c r="HD23" s="809">
        <f ca="1">SUMIFS(RZ[Sloupec65],RZ[0],AX23,RZ[Úroveň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HE23" s="919">
        <f t="shared" ca="1" si="213"/>
        <v>1.1000000000000001</v>
      </c>
      <c r="HF23" s="920" t="str">
        <f t="shared" si="214"/>
        <v/>
      </c>
      <c r="HG23" s="94" t="str">
        <f t="shared" si="215"/>
        <v/>
      </c>
      <c r="HH23" s="95" t="str">
        <f t="shared" si="216"/>
        <v/>
      </c>
      <c r="HI23" s="95" t="str">
        <f t="shared" si="217"/>
        <v>Brzda</v>
      </c>
      <c r="HJ23" s="96" t="str">
        <f t="shared" si="218"/>
        <v/>
      </c>
      <c r="HK23" s="96" t="str">
        <f t="shared" si="219"/>
        <v/>
      </c>
      <c r="HL23" s="96" t="str">
        <f t="shared" si="220"/>
        <v/>
      </c>
      <c r="HM23" s="96" t="str">
        <f t="shared" si="221"/>
        <v/>
      </c>
      <c r="HN23" s="96" t="str">
        <f t="shared" si="222"/>
        <v/>
      </c>
      <c r="HO23" s="96" t="str">
        <f t="shared" si="223"/>
        <v/>
      </c>
      <c r="HP23" s="96" t="str">
        <f t="shared" si="224"/>
        <v/>
      </c>
      <c r="HQ23" s="145" t="str">
        <f t="shared" si="225"/>
        <v>STBR</v>
      </c>
      <c r="HR23" s="921" t="str">
        <f t="shared" si="226"/>
        <v/>
      </c>
      <c r="HS23" s="173">
        <f t="shared" si="227"/>
        <v>0</v>
      </c>
      <c r="HT23" s="100">
        <f t="shared" si="228"/>
        <v>0</v>
      </c>
      <c r="HU23" s="100">
        <f t="shared" si="229"/>
        <v>0</v>
      </c>
      <c r="HV23" s="908" t="str">
        <f t="shared" si="230"/>
        <v>Zajíc</v>
      </c>
      <c r="HW23" s="922">
        <f t="shared" si="231"/>
        <v>42950.643240740741</v>
      </c>
      <c r="HX23" s="224">
        <f t="shared" si="232"/>
        <v>0</v>
      </c>
      <c r="HY23" s="263" t="str">
        <f t="shared" si="233"/>
        <v>S</v>
      </c>
      <c r="HZ23" s="263" t="str">
        <f t="shared" si="234"/>
        <v>N</v>
      </c>
      <c r="IA23" s="150">
        <f t="shared" si="235"/>
        <v>1</v>
      </c>
      <c r="IB23" s="319">
        <f t="shared" si="236"/>
        <v>70000</v>
      </c>
      <c r="IC23" s="923">
        <f t="shared" si="237"/>
        <v>1.1000000000000001</v>
      </c>
      <c r="ID23" s="924" t="str">
        <f t="shared" ca="1" si="238"/>
        <v>OK</v>
      </c>
      <c r="IE23" s="201" t="str">
        <f t="shared" si="239"/>
        <v>ks</v>
      </c>
      <c r="IF23" s="145">
        <f t="shared" si="240"/>
        <v>1</v>
      </c>
      <c r="IG23" s="216">
        <f t="shared" si="241"/>
        <v>185</v>
      </c>
      <c r="IH23" s="217">
        <f t="shared" si="242"/>
        <v>1</v>
      </c>
      <c r="II23" s="224" t="str">
        <f ca="1">IF(RZ[[#This Row],[Rozhodný sloupec indikativní ceny]]=1,"kg",IF($IW23=$JL$15,IF(JX23=0,JO23,JX23),IF($IW23=$KE$15,IF(KQ23=0,KH23,KQ23),IF($IW23=$KX$15,IF(LJ23=0,LA23,LJ23),IF($IW23=$LQ$15,IF(MC23=0,LT23,MC23),IF($IW23=$MJ$15,IF(NQ23=0,NH23,NQ23),0))))))</f>
        <v>ks</v>
      </c>
      <c r="IJ23" s="224">
        <f ca="1">IF((BH23+OFFSET(BH23,1,1,1,1))=2,RZ[[#This Row],[Počet MJHR (P0)]],IF((BI23+OFFSET(BI23,1,1,1,1))=2,RZ[[#This Row],[Počet MJHR (P0)]],IF((BJ23+OFFSET(BJ23,1,1,1,1))=2,RZ[[#This Row],[Počet MJHR (P0)]],IF((BK23+OFFSET(BK23,1,1,1,1))=2,RZ[[#This Row],[Počet MJHR (P0)]],IF((BL23+OFFSET(BL23,1,1,1,1))=2,RZ[[#This Row],[Počet MJHR (P0)]],IF((BM23+OFFSET(BM23,1,1,1,1))=2,RZ[[#This Row],[Počet MJHR (P0)]],IF((BN23+OFFSET(BN23,1,1,1,1))=2,RZ[[#This Row],[Počet MJHR (P0)]],IF((BO23+OFFSET(BO23,1,1,1,1))=2,RZ[[#This Row],[Počet MJHR (P0)]],IF((BP23+OFFSET(BP23,1,1,1,1))=2,RZ[[#This Row],[Počet MJHR (P0)]],IF((BQ23+OFFSET(BQ23,1,1,1,1))=2,RZ[[#This Row],[Počet MJHR (P0)]],IF(RZ[[#This Row],[Měrná jednotka CR (MJCR) (P0)]]=RZ[[#This Row],[Měrná jednotka HR '[MJHR'] (P0)]],RZ[[#This Row],[Počet MJHR (P0)]],IF($IW23=$JL$15,JY23,IF($IW23=$KE$15,KR23,IF($IW23=$KX$15,LK23,IF($IW23=$LQ$15,MD23,IF($IW23=$MJ$15,NR23,0))))))))))))))))</f>
        <v>1</v>
      </c>
      <c r="IK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3" s="145">
        <f ca="1">IF(AND(RZ[[#This Row],[Jednotková cena bez DPH '[cena/MJCR'] (P0)]]=0,RZ[[#This Row],[Indikativní jednotková cena '[CZK/kg'] (P1)]]&lt;&gt;0),1,0)</f>
        <v>0</v>
      </c>
      <c r="IM23" s="217">
        <f ca="1">VLOOKUP(RZ[[#This Row],[Kód položek]],INDIKAT_CENA,2,FALSE)</f>
        <v>0</v>
      </c>
      <c r="IN23" s="222">
        <f ca="1">IF(RZ[[#This Row],[Rozhodný sloupec indikativní ceny]]=1,RZ[[#This Row],[Indikativní jednotková cena '[CZK/kg'] (P1)]],RZ[[#This Row],[Jednotková cena bez DPH '[cena/MJCR'] (P0)]])</f>
        <v>70000</v>
      </c>
      <c r="IO23" s="222">
        <f t="shared" si="243"/>
        <v>1.1000000000000001</v>
      </c>
      <c r="IP23" s="224">
        <f ca="1">IF(RZ[[#This Row],[Rozhodný sloupec indikativní ceny]]=1,1,IF($IW23=$JL$15,KA23,IF($IW23=$KE$15,KT23,IF($IW23=$KX$15,LM23,IF($IW23=$LQ$15,MF23,IF($IW23=$MJ$15,NT23,0))))))</f>
        <v>1</v>
      </c>
      <c r="IQ23" s="225">
        <f ca="1">IF(RZ[[#This Row],[Jednotková cena bez DPH '[cena/MJCR'] (P1)]]="",0,IF(IP23=0,0,(RZ[[#This Row],[Jednotková cena bez DPH '[cena/MJCR'] (P1)]]*VLOOKUP(IP23,$BR$7:$BT$10,3))))</f>
        <v>70000</v>
      </c>
      <c r="IR23" s="737"/>
      <c r="IS23" s="627">
        <f>IF(HY23=0,"",VLOOKUP(RZ[[#This Row],[Stav Projekce (P0)]],Vstupy!$E$11:'Vstupy'!$E$11:$H$17,4,FALSE))</f>
        <v>100</v>
      </c>
      <c r="IT23" s="925" t="str">
        <f>IF(RZ[[#This Row],[Stav Projekce (P0)]]=0,"",RZ[[#This Row],[Stav Projekce (P0)]])</f>
        <v>S</v>
      </c>
      <c r="IU23" s="925" t="str">
        <f>IF(RZ[[#This Row],[Stav Nákup (P0)]]=0,"",RZ[[#This Row],[Stav Nákup (P0)]])</f>
        <v>N</v>
      </c>
      <c r="IV23" s="926" t="str">
        <f t="shared" si="244"/>
        <v>Zajíc</v>
      </c>
      <c r="IW23" s="641">
        <v>1</v>
      </c>
      <c r="IX23" s="630"/>
      <c r="IY23" s="264"/>
      <c r="IZ23" s="648"/>
      <c r="JA23" s="100"/>
      <c r="JB23" s="100" t="s">
        <v>805</v>
      </c>
      <c r="JC23" s="100"/>
      <c r="JD23" s="100"/>
      <c r="JE23" s="100"/>
      <c r="JF23" s="100"/>
      <c r="JG23" s="100"/>
      <c r="JH23" s="100"/>
      <c r="JI23" s="100"/>
      <c r="JJ23" s="145" t="s">
        <v>785</v>
      </c>
      <c r="JK23" s="529"/>
      <c r="JL23" s="286"/>
      <c r="JM23" s="100"/>
      <c r="JN23" s="100"/>
      <c r="JO23" s="145" t="s">
        <v>35</v>
      </c>
      <c r="JP23" s="117">
        <v>1</v>
      </c>
      <c r="JQ23" s="117">
        <v>185</v>
      </c>
      <c r="JR23" s="148">
        <v>1</v>
      </c>
      <c r="JS23" s="145" t="s">
        <v>602</v>
      </c>
      <c r="JT23" s="631"/>
      <c r="JU23" s="148" t="s">
        <v>853</v>
      </c>
      <c r="JV23" s="154">
        <v>42950.643240740741</v>
      </c>
      <c r="JW23" s="145"/>
      <c r="JX23" s="210" t="s">
        <v>35</v>
      </c>
      <c r="JY23" s="117"/>
      <c r="JZ23" s="662">
        <v>70000</v>
      </c>
      <c r="KA23" s="145">
        <v>1</v>
      </c>
      <c r="KB23" s="148">
        <v>1.1000000000000001</v>
      </c>
      <c r="KC23" s="148" t="s">
        <v>611</v>
      </c>
      <c r="KD23" s="644"/>
      <c r="KE23" s="286"/>
      <c r="KF23" s="100"/>
      <c r="KG23" s="100"/>
      <c r="KH23" s="210"/>
      <c r="KI23" s="117"/>
      <c r="KJ23" s="117"/>
      <c r="KK23" s="148"/>
      <c r="KL23" s="145"/>
      <c r="KM23" s="632"/>
      <c r="KN23" s="148"/>
      <c r="KO23" s="154"/>
      <c r="KP23" s="154"/>
      <c r="KQ23" s="210"/>
      <c r="KR23" s="117"/>
      <c r="KS23" s="211"/>
      <c r="KT23" s="145"/>
      <c r="KU23" s="148"/>
      <c r="KV23" s="148"/>
      <c r="KW23" s="265"/>
      <c r="KX23" s="286"/>
      <c r="KY23" s="100"/>
      <c r="KZ23" s="100"/>
      <c r="LA23" s="210"/>
      <c r="LB23" s="117"/>
      <c r="LC23" s="117"/>
      <c r="LD23" s="148"/>
      <c r="LE23" s="145"/>
      <c r="LF23" s="632"/>
      <c r="LG23" s="148"/>
      <c r="LH23" s="154"/>
      <c r="LI23" s="154"/>
      <c r="LJ23" s="154"/>
      <c r="LK23" s="117"/>
      <c r="LL23" s="211"/>
      <c r="LM23" s="210"/>
      <c r="LN23" s="148"/>
      <c r="LO23" s="148"/>
      <c r="LP23" s="265"/>
      <c r="LQ23" s="286"/>
      <c r="LR23" s="100"/>
      <c r="LS23" s="100"/>
      <c r="LT23" s="210"/>
      <c r="LU23" s="117"/>
      <c r="LV23" s="117"/>
      <c r="LW23" s="148"/>
      <c r="LX23" s="145"/>
      <c r="LY23" s="632"/>
      <c r="LZ23" s="148"/>
      <c r="MA23" s="154"/>
      <c r="MB23" s="154"/>
      <c r="MC23" s="145"/>
      <c r="MD23" s="117"/>
      <c r="ME23" s="211"/>
      <c r="MF23" s="210"/>
      <c r="MG23" s="148"/>
      <c r="MH23" s="148"/>
      <c r="MI23" s="265"/>
      <c r="MJ23" s="647"/>
      <c r="MK23" s="264"/>
      <c r="ML23" s="153"/>
      <c r="MM23" s="153"/>
      <c r="MN23" s="153"/>
      <c r="MO23" s="153"/>
      <c r="MP23" s="153"/>
      <c r="MQ23" s="153"/>
      <c r="MR23" s="153"/>
      <c r="MS23" s="99"/>
      <c r="MT23" s="99"/>
      <c r="MU23" s="99"/>
      <c r="MV23" s="99"/>
      <c r="MW23" s="99"/>
      <c r="MX23" s="99"/>
      <c r="MY23" s="153"/>
      <c r="MZ23" s="153"/>
      <c r="NA23" s="153"/>
      <c r="NB23" s="153"/>
      <c r="NC23" s="153"/>
      <c r="ND23" s="153"/>
      <c r="NE23" s="148"/>
      <c r="NF23" s="153"/>
      <c r="NG23" s="153"/>
      <c r="NH23" s="330" t="str">
        <f t="shared" si="245"/>
        <v>ks</v>
      </c>
      <c r="NI23" s="797">
        <f>RZ[[#This Row],[Počet ks (K)]]</f>
        <v>0</v>
      </c>
      <c r="NJ23" s="798">
        <f>RZ[[#This Row],[Hmotnost '[kg/ks'] (K)]]</f>
        <v>0</v>
      </c>
      <c r="NK23" s="148"/>
      <c r="NL23" s="145"/>
      <c r="NM23" s="632"/>
      <c r="NN23" s="148"/>
      <c r="NO23" s="154"/>
      <c r="NP23" s="153"/>
      <c r="NQ23" s="153"/>
      <c r="NR23" s="210"/>
      <c r="NS23" s="148"/>
      <c r="NT23" s="210"/>
      <c r="NU23" s="148"/>
      <c r="NV23" s="148"/>
      <c r="NW23" s="175"/>
    </row>
    <row r="24" spans="2:387" ht="15.95" customHeight="1" x14ac:dyDescent="0.35">
      <c r="B24" s="118" t="str">
        <f>IF(HF24=0,"",HF24)</f>
        <v/>
      </c>
      <c r="C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4" s="262" t="str">
        <f>IF(HG24&lt;&gt;"",HG24,IF(HH24&lt;&gt;"","  "&amp;HH24,IF(HI24&lt;&gt;"","  "&amp;"  "&amp;HI24,IF(HJ24&lt;&gt;"","  "&amp;"  "&amp;"  "&amp;HJ24,IF(HK24&lt;&gt;"","  "&amp;"  "&amp;"  "&amp;"  "&amp;HK24,IF(HL24&lt;&gt;"","  "&amp;"  "&amp;"  "&amp;"  "&amp;"  "&amp;HL24,IF(HM24&lt;&gt;"","  "&amp;"  "&amp;"  "&amp;"  "&amp;"  "&amp;"  "&amp;HM24,IF(HN24&lt;&gt;"","  "&amp;"  "&amp;"  "&amp;"  "&amp;"  "&amp;"  "&amp;"  "&amp;HN24,IF(HO24&lt;&gt;"","  "&amp;"  "&amp;"  "&amp;"  "&amp;"  "&amp;"  "&amp;"  "&amp;"  "&amp;HO24,IF(HP24&lt;&gt;"","  "&amp;"  "&amp;"  "&amp;"  "&amp;"  "&amp;"  "&amp;"  "&amp;"  "&amp;"  "&amp;HP24,0))))))))))</f>
        <v xml:space="preserve">    Spojka</v>
      </c>
      <c r="E24" s="120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Row],[Kód položek (P2)]]))))))))))</f>
        <v>STSP</v>
      </c>
      <c r="F24" s="791" t="str">
        <f>IF(HS24=0,"N/A",HS24)</f>
        <v>N/A</v>
      </c>
      <c r="G24" s="792" t="str">
        <f>IF(HT24=0,"",HT24)</f>
        <v/>
      </c>
      <c r="H24" s="262" t="str">
        <f>IF(HU24=0,"",HU24)</f>
        <v/>
      </c>
      <c r="I24" s="123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HR '[MJHR'] (P0)]]))))))))))</f>
        <v>ks</v>
      </c>
      <c r="J24" s="123">
        <f>IF(IF24=0,"",IF24)</f>
        <v>2</v>
      </c>
      <c r="K24" s="793">
        <f>RZ[[#This Row],[Koeficient odhadu HR '[-'] (P1)]]</f>
        <v>1</v>
      </c>
      <c r="L24" s="124">
        <f ca="1">RZ[[#This Row],[Jednotková hmotnost s koef. '[kg/MJHR'] (P0)]]</f>
        <v>165.1</v>
      </c>
      <c r="M24" s="794">
        <f ca="1">IF(ISNUMBER(K24),L24/K24*(K24-1),0)</f>
        <v>0</v>
      </c>
      <c r="N24" s="125">
        <f ca="1">IF(ISNUMBER(J24),J24*L24,0)</f>
        <v>330.2</v>
      </c>
      <c r="O24" s="125">
        <f ca="1">IF(ISNUMBER(J24),J24*M24,0)</f>
        <v>0</v>
      </c>
      <c r="P24" s="126" t="str">
        <f>IF(HR24=0,"",HR24)</f>
        <v/>
      </c>
      <c r="Q24" s="795">
        <f ca="1">RZ[[#This Row],[Počet MJHR v rozpadu (P0)]]</f>
        <v>2</v>
      </c>
      <c r="R24" s="439" t="str">
        <f>IF(HV24&lt;&gt;0,HV24,"")</f>
        <v>Zajíc</v>
      </c>
      <c r="S24" s="129">
        <f>IF(HW24&lt;&gt;0,HW24,"")</f>
        <v>42950.644768518519</v>
      </c>
      <c r="T24" s="126" t="str">
        <f>IF(HX24=0,"",HX24)</f>
        <v/>
      </c>
      <c r="U24" s="126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CR (MJCR) (P0)]]))))))))))</f>
        <v>ks</v>
      </c>
      <c r="V24" s="575">
        <f ca="1">IF(IK24=0,"",IK24)</f>
        <v>2</v>
      </c>
      <c r="W24" s="322">
        <f>RZ[[#This Row],[Koeficient odhadu CR '[-'] (P1)]]</f>
        <v>1.1000000000000001</v>
      </c>
      <c r="X24" s="440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Row],[Jednotková cena bez DPH '[cena/MJCR'] (P1)]]*RZ[[#This Row],[Koeficient odhadu CR '[-']]]))))))))))</f>
        <v>66000</v>
      </c>
      <c r="Y24" s="440">
        <f ca="1">IF(ISNUMBER(X24),-X24/W24*(W24-1),0)</f>
        <v>-6000.0000000000045</v>
      </c>
      <c r="Z24" s="142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VLOOKUP(IP24,$BR$7:$BS$11,2,FALSE)))))))))))</f>
        <v>CZK</v>
      </c>
      <c r="AA24" s="909">
        <f ca="1">GJ24</f>
        <v>2</v>
      </c>
      <c r="AB24" s="910">
        <f ca="1">RZ[[#This Row],[Kumulovaný koeficient v rozpadu (P0)]]</f>
        <v>1.1000000000000001</v>
      </c>
      <c r="AC24" s="261"/>
      <c r="AD24" s="796">
        <f ca="1">RZ[[#This Row],[Jednotková cena bez DPH '[cena/MJCR'] s koef. (P0)]]/RZ[[#This Row],[Koeficient odhadu CR '[-']]]*RZ[[#This Row],[Kumulovaný koeficient odhadu CR  '[-']]]</f>
        <v>66000</v>
      </c>
      <c r="AE24" s="796">
        <f ca="1">IF(ISNUMBER(AA24),AA24*AD24,0)*IF(V24="",0,1)</f>
        <v>132000</v>
      </c>
      <c r="AF24" s="796">
        <f ca="1">-IF(ISNUMBER(AA24),RZ[[#This Row],[Celková cena bez DPH (1)]]-RZ[[#This Row],[Jednotková cena bez DPH '[cena/MJCR'] bez koef. (P0)]]*AA24,0)</f>
        <v>-12000</v>
      </c>
      <c r="AG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399.75772259236828</v>
      </c>
      <c r="AH24" s="261"/>
      <c r="AI24" s="796">
        <f t="shared" ca="1" si="146"/>
        <v>2444.4444444444443</v>
      </c>
      <c r="AJ24" s="796">
        <f t="shared" ca="1" si="147"/>
        <v>4888.8888888888887</v>
      </c>
      <c r="AK24" s="796">
        <f t="shared" ca="1" si="148"/>
        <v>-444.44444444444446</v>
      </c>
      <c r="AL24" s="753">
        <f ca="1">RZ[[#This Row],[Kilogramová cena bez DPH '[cena/kg'] (1)]]/$AK$13</f>
        <v>14.805841577495121</v>
      </c>
      <c r="AM24" s="261"/>
      <c r="AN24" s="796">
        <f t="shared" ca="1" si="149"/>
        <v>3188.4057971014495</v>
      </c>
      <c r="AO24" s="796">
        <f t="shared" ca="1" si="150"/>
        <v>6376.811594202899</v>
      </c>
      <c r="AP24" s="796">
        <f t="shared" ca="1" si="151"/>
        <v>-579.71014492753625</v>
      </c>
      <c r="AQ24" s="753">
        <f ca="1">RZ[[#This Row],[Kilogramová cena bez DPH '[cena/kg'] (1)]]/$AP$13</f>
        <v>19.311967274993638</v>
      </c>
      <c r="AR24" s="261"/>
      <c r="AS24" s="796">
        <f t="shared" ca="1" si="152"/>
        <v>1805.2516411378554</v>
      </c>
      <c r="AT24" s="796">
        <f t="shared" ca="1" si="153"/>
        <v>3610.5032822757107</v>
      </c>
      <c r="AU24" s="789">
        <f t="shared" ca="1" si="154"/>
        <v>-328.22757111597372</v>
      </c>
      <c r="AV24" s="767">
        <f ca="1">RZ[[#This Row],[Kilogramová cena bez DPH '[cena/kg'] (1)]]/$AU$13</f>
        <v>10.934292193445522</v>
      </c>
      <c r="AW24" s="165"/>
      <c r="AX24" s="911">
        <f ca="1">IF($BH24=0,IF(AY24&gt;0,OFFSET(AX24,-1,0,1,1),0),OFFSET(AX24,-1,0,1,1)+1)</f>
        <v>2</v>
      </c>
      <c r="AY24" s="111">
        <f ca="1">IF($BI24=0,IF(AZ24&gt;0,OFFSET(AY24,-1,0,1,1),0),OFFSET(AY24,-1,0,1,1)+1)</f>
        <v>1</v>
      </c>
      <c r="AZ24" s="111">
        <f ca="1">IF($BJ24=0,IF(BA24&gt;0,OFFSET(AZ24,-1,0,1,1),0),OFFSET(AZ24,-1,0,1,1)+1)</f>
        <v>5</v>
      </c>
      <c r="BA24" s="111">
        <f ca="1">IF($BK24=0,IF(BB24&gt;0,OFFSET(BA24,-1,0,1,1),0),OFFSET(BA24,-1,0,1,1)+1)</f>
        <v>0</v>
      </c>
      <c r="BB24" s="111">
        <f ca="1">IF($BL24=0,IF(BC24&gt;0,OFFSET(BB24,-1,0,1,1),0),OFFSET(BB24,-1,0,1,1)+1)</f>
        <v>0</v>
      </c>
      <c r="BC24" s="111">
        <f ca="1">IF($BM24=0,IF(BD24&gt;0,OFFSET(BC24,-1,0,1,1),0),OFFSET(BC24,-1,0,1,1)+1)</f>
        <v>0</v>
      </c>
      <c r="BD24" s="111">
        <f ca="1">IF($BN24=0,IF(BE24&gt;0,OFFSET(BD24,-1,0,1,1),0),OFFSET(BD24,-1,0,1,1)+1)</f>
        <v>0</v>
      </c>
      <c r="BE24" s="111">
        <f ca="1">IF($BO24=0,IF(BF24&gt;0,OFFSET(BE24,-1,0,1,1),0),OFFSET(BE24,-1,0,1,1)+1)</f>
        <v>0</v>
      </c>
      <c r="BF24" s="111">
        <f ca="1">IF($BP24=0,IF(BG24&gt;0,OFFSET(BF24,-1,0,1,1),0),OFFSET(BF24,-1,0,1,1)+1)</f>
        <v>0</v>
      </c>
      <c r="BG24" s="112">
        <f ca="1">IF($BQ24=0,0,OFFSET($BG24,-1,0,1,1)+1)</f>
        <v>0</v>
      </c>
      <c r="BH24" s="911">
        <f t="shared" ref="BH24:BQ24" si="246">IF(HG24="",0,1)</f>
        <v>0</v>
      </c>
      <c r="BI24" s="111">
        <f t="shared" si="246"/>
        <v>0</v>
      </c>
      <c r="BJ24" s="111">
        <f t="shared" si="246"/>
        <v>1</v>
      </c>
      <c r="BK24" s="111">
        <f t="shared" si="246"/>
        <v>0</v>
      </c>
      <c r="BL24" s="111">
        <f t="shared" si="246"/>
        <v>0</v>
      </c>
      <c r="BM24" s="111">
        <f t="shared" si="246"/>
        <v>0</v>
      </c>
      <c r="BN24" s="111">
        <f t="shared" si="246"/>
        <v>0</v>
      </c>
      <c r="BO24" s="111">
        <f t="shared" si="246"/>
        <v>0</v>
      </c>
      <c r="BP24" s="111">
        <f t="shared" si="246"/>
        <v>0</v>
      </c>
      <c r="BQ24" s="112">
        <f t="shared" si="246"/>
        <v>0</v>
      </c>
      <c r="BR24" s="132">
        <f ca="1">IF(OFFSET(AY24,1,0,1,1)&lt;&gt;0,RZ[[#This Row],[Koeficient odhadu HR '[-'] (P1)]]*$BH24*SUMIFS(RZ[Úroveň 2 s koef. (P2)],RZ[0],AX24),RZ[[#This Row],[Koeficient odhadu HR '[-'] (P1)]]*$BH24*$IG24)</f>
        <v>0</v>
      </c>
      <c r="BS24" s="186">
        <f ca="1">IF(OFFSET(AY24,1,0,1,1)&lt;&gt;0,$BH24*SUMIFS(RZ[Úroveň 2 bez koef. (P2)],RZ[0],AX24),$BH24*$IG24)</f>
        <v>0</v>
      </c>
      <c r="BT24" s="138">
        <f ca="1">RZ[[#This Row],[Úroveň 2 s koef. (P2a)]]*RZ[[#This Row],[Počet MJHR (P0)]]</f>
        <v>0</v>
      </c>
      <c r="BU24" s="138">
        <f ca="1">RZ[[#This Row],[Úroveň 2 bez koef. (P2a)]]*RZ[[#This Row],[Počet MJHR (P0)]]</f>
        <v>0</v>
      </c>
      <c r="BV24" s="138">
        <f ca="1">IF(OFFSET(AZ24,1,0,1,1)&lt;&gt;0,RZ[[#This Row],[Koeficient odhadu HR '[-'] (P1)]]*$BI24*SUMIFS(RZ[Úroveň 3 s koef. (P2)],RZ[0],AX24,RZ[Úroveň 2 (P0)],AY24),RZ[[#This Row],[Koeficient odhadu HR '[-'] (P1)]]*$BI24*$IG24)</f>
        <v>0</v>
      </c>
      <c r="BW24" s="138">
        <f ca="1">IF(OFFSET(AZ24,1,0,1,1)&lt;&gt;0,$BI24*SUMIFS(RZ[Úroveň 3 bez koef. (P2)],RZ[0],AX24,RZ[Úroveň 2 (P0)],AY24),$BI24*$IG24)</f>
        <v>0</v>
      </c>
      <c r="BX24" s="132">
        <f ca="1">RZ[[#This Row],[Úroveň 3 s koef. (P2a)]]*RZ[[#This Row],[Počet MJHR (P0)]]</f>
        <v>330.2</v>
      </c>
      <c r="BY24" s="132">
        <f ca="1">RZ[Úroveň 3 bez koef. (P2a)]*RZ[[#This Row],[Počet MJHR (P0)]]</f>
        <v>330.2</v>
      </c>
      <c r="BZ24" s="132">
        <f ca="1">IF(OFFSET(BA24,1,0,1,1)&lt;&gt;0,RZ[[#This Row],[Koeficient odhadu HR '[-'] (P1)]]*$BJ24*SUMIFS(RZ[Úroveň 4 s koef. (P2)],RZ[0],AX24,RZ[Úroveň 2 (P0)],AY24,RZ[Úroveň 3 (P0)],AZ24),RZ[[#This Row],[Koeficient odhadu HR '[-'] (P1)]]*$BJ24*$IG24)</f>
        <v>165.1</v>
      </c>
      <c r="CA24" s="132">
        <f ca="1">IF(OFFSET(BA24,1,0,1,1)&lt;&gt;0,$BJ24*SUMIFS(RZ[Úroveň 4 bez koef. (P2)],RZ[0],AX24,RZ[Úroveň 2 (P0)],AY24,RZ[Úroveň 3 (P0)],AZ24),$BJ24*$IG24)</f>
        <v>165.1</v>
      </c>
      <c r="CB24" s="138">
        <f ca="1">RZ[[#This Row],[Úroveň 4 s koef. (P2a)]]*RZ[[#This Row],[Počet MJHR (P0)]]</f>
        <v>0</v>
      </c>
      <c r="CC24" s="138">
        <f ca="1">RZ[Úroveň 4 bez koef. (P2a)]*RZ[[#This Row],[Počet MJHR (P0)]]</f>
        <v>0</v>
      </c>
      <c r="CD24" s="138">
        <f ca="1">IF(OFFSET(BB24,1,0,1,1)&lt;&gt;0,RZ[[#This Row],[Koeficient odhadu HR '[-'] (P1)]]*$BK24*SUMIFS(RZ[Úroveň 5 s koef. (P2)],RZ[0],AX24,RZ[Úroveň 2 (P0)],AY24,RZ[Úroveň 3 (P0)],AZ24,RZ[Úroveň 4 (P0)],BA24),RZ[[#This Row],[Koeficient odhadu HR '[-'] (P1)]]*$BK24*$IG24)</f>
        <v>0</v>
      </c>
      <c r="CE24" s="138">
        <f ca="1">IF(OFFSET(BB24,1,0,1,1)&lt;&gt;0,$BK24*SUMIFS(RZ[Úroveň 5 bez koef. (P2)],RZ[0],AX24,RZ[Úroveň 2 (P0)],AY24,RZ[Úroveň 3 (P0)],AZ24,RZ[Úroveň 4 (P0)],BA24),$BK24*$IG24)</f>
        <v>0</v>
      </c>
      <c r="CF24" s="132">
        <f ca="1">RZ[[#This Row],[Úroveň 5 s koef. (P2a)]]*RZ[[#This Row],[Počet MJHR (P0)]]</f>
        <v>0</v>
      </c>
      <c r="CG24" s="132">
        <f ca="1">RZ[Úroveň 5 bez koef. (P2a)]*RZ[[#This Row],[Počet MJHR (P0)]]</f>
        <v>0</v>
      </c>
      <c r="CH24" s="132">
        <f ca="1">IF(OFFSET(BC24,1,0,1,1)&lt;&gt;0,RZ[[#This Row],[Koeficient odhadu HR '[-'] (P1)]]*$BL24*SUMIFS(RZ[Úroveň 6 s koef. (P2)],RZ[0],AX24,RZ[Úroveň 2 (P0)],AY24,RZ[Úroveň 3 (P0)],AZ24,RZ[Úroveň 4 (P0)],BA24,RZ[Úroveň 5 (P0)],BB24),RZ[[#This Row],[Koeficient odhadu HR '[-'] (P1)]]*$BL24*$IG24)</f>
        <v>0</v>
      </c>
      <c r="CI24" s="132">
        <f ca="1">IF(OFFSET(BC24,1,0,1,1)&lt;&gt;0,$BL24*SUMIFS(RZ[Úroveň 6 bez koef. (P2)],RZ[0],AX24,RZ[Úroveň 2 (P0)],AY24,RZ[Úroveň 3 (P0)],AZ24,RZ[Úroveň 4 (P0)],BA24,RZ[Úroveň 5 (P0)],BB24),$BL24*$IG24)</f>
        <v>0</v>
      </c>
      <c r="CJ24" s="138">
        <f ca="1">RZ[[#This Row],[Úroveň 6 s koef. (P2a)]]*RZ[[#This Row],[Počet MJHR (P0)]]</f>
        <v>0</v>
      </c>
      <c r="CK24" s="138">
        <f ca="1">RZ[Úroveň 6 bez koef. (P2a)]*RZ[[#This Row],[Počet MJHR (P0)]]</f>
        <v>0</v>
      </c>
      <c r="CL24" s="138">
        <f ca="1">IF(OFFSET(BD24,1,0,1,1)&lt;&gt;0,RZ[[#This Row],[Koeficient odhadu HR '[-'] (P1)]]*$BM24*SUMIFS(RZ[Úroveň 7 s koef. (P2)],RZ[0],AX24,RZ[Úroveň 2 (P0)],AY24,RZ[Úroveň 3 (P0)],AZ24,RZ[Úroveň 4 (P0)],BA24,RZ[Úroveň 5 (P0)],BB24,RZ[Úroveň 6 (P0)],BC24),RZ[[#This Row],[Koeficient odhadu HR '[-'] (P1)]]*$BM24*$IG24)</f>
        <v>0</v>
      </c>
      <c r="CM24" s="138">
        <f ca="1">IF(OFFSET(BD24,1,0,1,1)&lt;&gt;0,$BM24*SUMIFS(RZ[Úroveň 7 bez koef. (P2)],RZ[0],AX24,RZ[Úroveň 2 (P0)],AY24,RZ[Úroveň 3 (P0)],AZ24,RZ[Úroveň 4 (P0)],BA24,RZ[Úroveň 5 (P0)],BB24,RZ[Úroveň 6 (P0)],BC24),$BM24*$IG24)</f>
        <v>0</v>
      </c>
      <c r="CN24" s="132">
        <f ca="1">RZ[[#This Row],[Úroveň 7 s koef. (P2a)]]*RZ[[#This Row],[Počet MJHR (P0)]]</f>
        <v>0</v>
      </c>
      <c r="CO24" s="132">
        <f ca="1">RZ[Úroveň 7 bez koef. (P2a)]*RZ[[#This Row],[Počet MJHR (P0)]]</f>
        <v>0</v>
      </c>
      <c r="CP24" s="132">
        <f ca="1">IF(OFFSET(BE24,1,0,1,1)&lt;&gt;0,RZ[[#This Row],[Koeficient odhadu HR '[-'] (P1)]]*$BN24*SUMIFS(RZ[Úroveň 8 s koef. (P2)],RZ[0],AX24,RZ[Úroveň 2 (P0)],AY24,RZ[Úroveň 3 (P0)],AZ24,RZ[Úroveň 4 (P0)],BA24,RZ[Úroveň 5 (P0)],BB24,RZ[Úroveň 6 (P0)],BC24,RZ[Úroveň 7 (P0)],BD24),RZ[[#This Row],[Koeficient odhadu HR '[-'] (P1)]]*$BN24*$IG24)</f>
        <v>0</v>
      </c>
      <c r="CQ24" s="132">
        <f ca="1">IF(OFFSET(BE24,1,0,1,1)&lt;&gt;0,$BN24*SUMIFS(RZ[Úroveň 8 bez koef. (P2)],RZ[0],AX24,RZ[Úroveň 2 (P0)],AY24,RZ[Úroveň 3 (P0)],AZ24,RZ[Úroveň 4 (P0)],BA24,RZ[Úroveň 5 (P0)],BB24,RZ[Úroveň 6 (P0)],BC24,RZ[Úroveň 7 (P0)],BD24),$BN24*$IG24)</f>
        <v>0</v>
      </c>
      <c r="CR24" s="138">
        <f ca="1">RZ[[#This Row],[Úroveň 8 s koef. (P2a)]]*RZ[[#This Row],[Počet MJHR (P0)]]</f>
        <v>0</v>
      </c>
      <c r="CS24" s="138">
        <f ca="1">RZ[Úroveň 8 bez koef. (P2a)]*RZ[[#This Row],[Počet MJHR (P0)]]</f>
        <v>0</v>
      </c>
      <c r="CT24" s="138">
        <f ca="1">IF(OFFSET(BF24,1,0,1,1)&lt;&gt;0,RZ[[#This Row],[Koeficient odhadu HR '[-'] (P1)]]*$BO24*SUMIFS(RZ[Úroveň 9 s koef. (P2)],RZ[0],AX24,RZ[Úroveň 2 (P0)],AY24,RZ[Úroveň 3 (P0)],AZ24,RZ[Úroveň 4 (P0)],BA24,RZ[Úroveň 5 (P0)],BB24,RZ[Úroveň 6 (P0)],BC24,RZ[Úroveň 7 (P0)],BD24,RZ[Úroveň 8 (P0)],BE24),RZ[[#This Row],[Koeficient odhadu HR '[-'] (P1)]]*$BO24*$IG24)</f>
        <v>0</v>
      </c>
      <c r="CU24" s="138">
        <f ca="1">IF(OFFSET(BF24,1,0,1,1)&lt;&gt;0,$BO24*SUMIFS(RZ[Úroveň 9 bez koef. (P2)],RZ[0],AX24,RZ[Úroveň 2 (P0)],AY24,RZ[Úroveň 3 (P0)],AZ24,RZ[Úroveň 4 (P0)],BA24,RZ[Úroveň 5 (P0)],BB24,RZ[Úroveň 6 (P0)],BC24,RZ[Úroveň 7 (P0)],BD24,RZ[Úroveň 8 (P0)],BE24),$BO24*$IG24)</f>
        <v>0</v>
      </c>
      <c r="CV24" s="132">
        <f ca="1">RZ[[#This Row],[Úroveň 9 s koef. (P2a)]]*RZ[[#This Row],[Počet MJHR (P0)]]</f>
        <v>0</v>
      </c>
      <c r="CW24" s="132">
        <f ca="1">RZ[Úroveň 9 bez koef. (P2a)]*RZ[[#This Row],[Počet MJHR (P0)]]</f>
        <v>0</v>
      </c>
      <c r="CX24" s="132">
        <f ca="1">IF(OFFSET(BG24,1,0,1,1)&lt;&gt;0,RZ[[#This Row],[Koeficient odhadu HR '[-'] (P1)]]*$BP24*SUMIFS(RZ[Úroveň 10 s koef. (P2)],RZ[0],AX24,RZ[Úroveň 2 (P0)],AY24,RZ[Úroveň 3 (P0)],AZ24,RZ[Úroveň 4 (P0)],BA24,RZ[Úroveň 5 (P0)],BB24,RZ[Úroveň 6 (P0)],BC24,RZ[Úroveň 7 (P0)],BD24,RZ[Úroveň 8 (P0)],BE24,RZ[Úroveň 9 (P0)],BF24),RZ[[#This Row],[Koeficient odhadu HR '[-'] (P1)]]*$BP24*$IG24)</f>
        <v>0</v>
      </c>
      <c r="CY24" s="132">
        <f ca="1">IF(OFFSET(BG24,1,0,1,1)&lt;&gt;0,$BP24*SUMIFS(RZ[Úroveň 10 bez koef. (P2)],RZ[0],AX24,RZ[Úroveň 2 (P0)],AY24,RZ[Úroveň 3 (P0)],AZ24,RZ[Úroveň 4 (P0)],BA24,RZ[Úroveň 5 (P0)],BB24,RZ[Úroveň 6 (P0)],BC24,RZ[Úroveň 7 (P0)],BD24,RZ[Úroveň 8 (P0)],BE24,RZ[Úroveň 9 (P0)],BF24),$BP24*$IG24)</f>
        <v>0</v>
      </c>
      <c r="CZ24" s="138">
        <f>RZ[[#This Row],[Úroveň 10 s koef. (P2a)]]*RZ[[#This Row],[Počet MJHR (P0)]]</f>
        <v>0</v>
      </c>
      <c r="DA24" s="138">
        <f>RZ[Úroveň 10 bez koef. (P2a)]*RZ[[#This Row],[Počet MJHR (P0)]]</f>
        <v>0</v>
      </c>
      <c r="DB24" s="138">
        <f>RZ[[#This Row],[Koeficient odhadu HR '[-'] (P1)]]*$BQ24*IG24</f>
        <v>0</v>
      </c>
      <c r="DC24" s="231">
        <f>$BQ24*IG24</f>
        <v>0</v>
      </c>
      <c r="DD24" s="241">
        <f ca="1">IF(BH24=1,BR24,IF(BI24=1,BV24,IF(BJ24=1,BZ24,IF(BK24=1,CD24,IF(BL24=1,CH24,IF(BM24=1,CL24,IF(BN24=1,CP24,IF(BO24=1,CT24,IF(BP24=1,CX24,DB24)))))))))</f>
        <v>165.1</v>
      </c>
      <c r="DE24" s="229">
        <f ca="1">IF(BH24=1,BS24,IF(BI24=1,BW24,IF(BJ24=1,CA24,IF(BK24=1,CE24,IF(BL24=1,CI24,IF(BM24=1,CM24,IF(BN24=1,CQ24,IF(BO24=1,CU24,IF(BP24=1,CY24,DC24)))))))))</f>
        <v>165.1</v>
      </c>
      <c r="DF24" s="912">
        <f t="shared" ref="DF24:DO24" si="247">BH24*$IF24</f>
        <v>0</v>
      </c>
      <c r="DG24" s="913">
        <f t="shared" si="247"/>
        <v>0</v>
      </c>
      <c r="DH24" s="913">
        <f t="shared" si="247"/>
        <v>2</v>
      </c>
      <c r="DI24" s="913">
        <f t="shared" si="247"/>
        <v>0</v>
      </c>
      <c r="DJ24" s="913">
        <f t="shared" si="247"/>
        <v>0</v>
      </c>
      <c r="DK24" s="913">
        <f t="shared" si="247"/>
        <v>0</v>
      </c>
      <c r="DL24" s="913">
        <f t="shared" si="247"/>
        <v>0</v>
      </c>
      <c r="DM24" s="913">
        <f t="shared" si="247"/>
        <v>0</v>
      </c>
      <c r="DN24" s="913">
        <f t="shared" si="247"/>
        <v>0</v>
      </c>
      <c r="DO24" s="913">
        <f t="shared" si="247"/>
        <v>0</v>
      </c>
      <c r="DP24" s="914">
        <f ca="1">SUMIFS(RZ[Úroveň 1 (P4)],RZ[0],AX24)</f>
        <v>1</v>
      </c>
      <c r="DQ24" s="914">
        <f ca="1">SUMIFS(RZ[Úroveň 2 (P4)],RZ[0],AX24,RZ[Úroveň 2 (P0)],AY24)</f>
        <v>1</v>
      </c>
      <c r="DR24" s="914">
        <f ca="1">SUMIFS(RZ[Úroveň 3 (P4)],RZ[0],AX24,RZ[Úroveň 2 (P0)],AY24,RZ[Úroveň 3 (P0)],AZ24)</f>
        <v>2</v>
      </c>
      <c r="DS24" s="914">
        <f ca="1">SUMIFS(RZ[Úroveň 4 (P4)],RZ[0],AX24,RZ[Úroveň 2 (P0)],AY24,RZ[Úroveň 3 (P0)],AZ24,RZ[Úroveň 4 (P0)],BA24)</f>
        <v>0</v>
      </c>
      <c r="DT24" s="914">
        <f ca="1">SUMIFS(RZ[Úroveň 5 (P4)],RZ[0],AX24,RZ[Úroveň 2 (P0)],AY24,RZ[Úroveň 3 (P0)],AZ24,RZ[Úroveň 4 (P0)],BA24,RZ[Úroveň 5 (P0)],BB24)</f>
        <v>0</v>
      </c>
      <c r="DU24" s="914">
        <f ca="1">SUMIFS(RZ[Úroveň 6 (P4)],RZ[0],AX24,RZ[Úroveň 2 (P0)],AY24,RZ[Úroveň 3 (P0)],AZ24,RZ[Úroveň 4 (P0)],BA24,RZ[Úroveň 5 (P0)],BB24,RZ[Úroveň 6 (P0)],BC24)</f>
        <v>0</v>
      </c>
      <c r="DV24" s="914">
        <f ca="1">SUMIFS(RZ[Úroveň 7 (P4)],RZ[0],AX24,RZ[Úroveň 2 (P0)],AY24,RZ[Úroveň 3 (P0)],AZ24,RZ[Úroveň 4 (P0)],BA24,RZ[Úroveň 5 (P0)],BB24,RZ[Úroveň 6 (P0)],BC24,RZ[Úroveň 7 (P0)],BD24)</f>
        <v>0</v>
      </c>
      <c r="DW24" s="914">
        <f ca="1">SUMIFS(RZ[Úroveň 8 (P4)],RZ[0],AX24,RZ[Úroveň 2 (P0)],AY24,RZ[Úroveň 3 (P0)],AZ24,RZ[Úroveň 4 (P0)],BA24,RZ[Úroveň 5 (P0)],BB24,RZ[Úroveň 6 (P0)],BC24,RZ[Úroveň 7 (P0)],BD24,RZ[Úroveň 8 (P0)],BE24)</f>
        <v>0</v>
      </c>
      <c r="DX24" s="914">
        <f ca="1">SUMIFS(RZ[Úroveň 9 (P4)],RZ[0],AX24,RZ[Úroveň 2 (P0)],AY24,RZ[Úroveň 3 (P0)],AZ24,RZ[Úroveň 4 (P0)],BA24,RZ[Úroveň 5 (P0)],BB24,RZ[Úroveň 6 (P0)],BC24,RZ[Úroveň 7 (P0)],BD24,RZ[Úroveň 8 (P0)],BE24,RZ[Úroveň 9 (P0)],BF24)</f>
        <v>0</v>
      </c>
      <c r="DY24" s="914">
        <f ca="1">SUMIFS(RZ[Úroveň 10 (P4)],RZ[0],AX24,RZ[Úroveň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DZ24" s="915">
        <f ca="1">IF(DP24&lt;&gt;0,DP24,1)*IF(DQ24&lt;&gt;0,DQ24,1)*IF(DR24&lt;&gt;0,DR24,1)*IF(DS24&lt;&gt;0,DS24,1)*IF(DT24&lt;&gt;0,DT24,1)*IF(DU24&lt;&gt;0,DU24,1)*IF(DV24&lt;&gt;0,DV24,1)*IF(DW24&lt;&gt;0,DW24,1)*IF(DX24&lt;&gt;0,DX24,1)*IF(DY24&lt;&gt;0,DY24,1)</f>
        <v>2</v>
      </c>
      <c r="EA24" s="916">
        <f ca="1">RZ[[#This Row],[Jednotková hmotnost bez koef. '[kg/MJHR'] (P0)]]*RZ[[#This Row],[Počet MJHR v rozpadu (P0)]]</f>
        <v>330.2</v>
      </c>
      <c r="EB24" s="917">
        <f ca="1">IF(OFFSET(AY24,1,0,1,1)&lt;&gt;0,RZ[[#This Row],[Koeficient odhadu CR '[-'] (P1)]]*$BH24*SUMIFS(RZ[Úroveň 2 s koef. (P3)],RZ[0],AX24),RZ[[#This Row],[Koeficient odhadu CR '[-'] (P1)]]*$BH24*$IQ24)</f>
        <v>0</v>
      </c>
      <c r="EC24" s="191">
        <f ca="1">IF(OFFSET(AY24,1,0,1,1)&lt;&gt;0,$BH24*SUMIFS(RZ[Úroveň 2 bez koef. (P3)],RZ[0],AX24),$BH24*$IQ24)</f>
        <v>0</v>
      </c>
      <c r="ED24" s="140">
        <f ca="1">RZ[[#This Row],[Úroveň 2 s koef. (P3a)]]*RZ[[#This Row],[Počet MJCR (P0) pro "kg"]]</f>
        <v>0</v>
      </c>
      <c r="EE24" s="140">
        <f ca="1">RZ[Úroveň 2 bez koef. (P3a)]*RZ[[#This Row],[Počet MJCR (P0) pro "kg"]]</f>
        <v>0</v>
      </c>
      <c r="EF24" s="140">
        <f ca="1">IF(OFFSET(AZ24,1,0,1,1)&lt;&gt;0,RZ[[#This Row],[Koeficient odhadu CR '[-'] (P1)]]*$BI24*SUMIFS(RZ[Úroveň 3 s koef. (P3)],RZ[0],AX24,RZ[Úroveň 2 (P0)],AY24),RZ[[#This Row],[Koeficient odhadu CR '[-'] (P1)]]*$BI24*$IQ24)</f>
        <v>0</v>
      </c>
      <c r="EG24" s="140">
        <f ca="1">IF(OFFSET(AZ24,1,0,1,1)&lt;&gt;0,$BI24*SUMIFS(RZ[Úroveň 3 bez koef. (P3)],RZ[0],AX24,RZ[Úroveň 2 (P0)],AY24),$BI24*$IQ24)</f>
        <v>0</v>
      </c>
      <c r="EH24" s="135">
        <f ca="1">RZ[[#This Row],[Úroveň 3 s koef. (P3a)]]*RZ[[#This Row],[Počet MJCR (P0) pro "kg"]]</f>
        <v>132000</v>
      </c>
      <c r="EI24" s="135">
        <f ca="1">RZ[Úroveň 3 bez koef. (P3a)]*RZ[[#This Row],[Počet MJCR (P0) pro "kg"]]</f>
        <v>120000</v>
      </c>
      <c r="EJ24" s="135">
        <f ca="1">IF(OFFSET(BA24,1,0,1,1)&lt;&gt;0,RZ[[#This Row],[Koeficient odhadu CR '[-'] (P1)]]*$BJ24*SUMIFS(RZ[Úroveň 4 s koef. (P3)],RZ[0],AX24,RZ[Úroveň 2 (P0)],AY24,RZ[Úroveň 3 (P0)],AZ24),RZ[[#This Row],[Koeficient odhadu CR '[-'] (P1)]]*$BJ24*$IQ24)</f>
        <v>66000</v>
      </c>
      <c r="EK24" s="135">
        <f ca="1">IF(OFFSET(BA24,1,0,1,1)&lt;&gt;0,$BJ24*SUMIFS(RZ[Úroveň 4 bez koef. (P3)],RZ[0],AX24,RZ[Úroveň 2 (P0)],AY24,RZ[Úroveň 3 (P0)],AZ24),$BJ24*$IQ24)</f>
        <v>60000</v>
      </c>
      <c r="EL24" s="140">
        <f ca="1">RZ[[#This Row],[Úroveň 4 s koef. (P3a)]]*RZ[[#This Row],[Počet MJCR (P0) pro "kg"]]</f>
        <v>0</v>
      </c>
      <c r="EM24" s="140">
        <f ca="1">RZ[Úroveň 4 bez koef. (P3a)]*RZ[[#This Row],[Počet MJCR (P0) pro "kg"]]</f>
        <v>0</v>
      </c>
      <c r="EN24" s="140">
        <f ca="1">IF(OFFSET(BB24,1,0,1,1)&lt;&gt;0,RZ[[#This Row],[Koeficient odhadu CR '[-'] (P1)]]*$BK24*SUMIFS(RZ[Úroveň 5 s koef. (P3)],RZ[0],AX24,RZ[Úroveň 2 (P0)],AY24,RZ[Úroveň 3 (P0)],AZ24,RZ[Úroveň 4 (P0)],BA24),RZ[[#This Row],[Koeficient odhadu CR '[-'] (P1)]]*$BK24*$IQ24)</f>
        <v>0</v>
      </c>
      <c r="EO24" s="140">
        <f ca="1">IF(OFFSET(BB24,1,0,1,1)&lt;&gt;0,$BK24*SUMIFS(RZ[Úroveň 5 bez koef. (P3)],RZ[0],AX24,RZ[Úroveň 2 (P0)],AY24,RZ[Úroveň 3 (P0)],AZ24,RZ[Úroveň 4 (P0)],BA24),$BK24*$IQ24)</f>
        <v>0</v>
      </c>
      <c r="EP24" s="135">
        <f ca="1">RZ[[#This Row],[Úroveň 5 s koef. (P3a)]]*RZ[[#This Row],[Počet MJCR (P0) pro "kg"]]</f>
        <v>0</v>
      </c>
      <c r="EQ24" s="135">
        <f ca="1">RZ[Úroveň 5 bez koef. (P3a)]*RZ[[#This Row],[Počet MJCR (P0) pro "kg"]]</f>
        <v>0</v>
      </c>
      <c r="ER24" s="135">
        <f ca="1">IF(OFFSET(BC24,1,0,1,1)&lt;&gt;0,RZ[[#This Row],[Koeficient odhadu CR '[-'] (P1)]]*$BL24*SUMIFS(RZ[Úroveň 6 s koef. (P3)],RZ[0],AX24,RZ[Úroveň 2 (P0)],AY24,RZ[Úroveň 3 (P0)],AZ24,RZ[Úroveň 4 (P0)],BA24,RZ[Úroveň 5 (P0)],BB24),RZ[[#This Row],[Koeficient odhadu CR '[-'] (P1)]]*$BL24*$IQ24)</f>
        <v>0</v>
      </c>
      <c r="ES24" s="135">
        <f ca="1">IF(OFFSET(BC24,1,0,1,1)&lt;&gt;0,$BL24*SUMIFS(RZ[Úroveň 6 bez koef. (P3)],RZ[0],AX24,RZ[Úroveň 2 (P0)],AY24,RZ[Úroveň 3 (P0)],AZ24,RZ[Úroveň 4 (P0)],BA24,RZ[Úroveň 5 (P0)],BB24),$BL24*$IQ24)</f>
        <v>0</v>
      </c>
      <c r="ET24" s="140">
        <f ca="1">RZ[[#This Row],[Úroveň 6 s koef. (P3a)]]*RZ[[#This Row],[Počet MJCR (P0) pro "kg"]]</f>
        <v>0</v>
      </c>
      <c r="EU24" s="140">
        <f ca="1">RZ[Úroveň 6 bez koef. (P3a)]*RZ[[#This Row],[Počet MJCR (P0) pro "kg"]]</f>
        <v>0</v>
      </c>
      <c r="EV24" s="140">
        <f ca="1">IF(OFFSET(BD24,1,0,1,1)&lt;&gt;0,RZ[[#This Row],[Koeficient odhadu CR '[-'] (P1)]]*$BM24*SUMIFS(RZ[Úroveň 7 s koef. (P3)],RZ[0],AX24,RZ[Úroveň 2 (P0)],AY24,RZ[Úroveň 3 (P0)],AZ24,RZ[Úroveň 4 (P0)],BA24,RZ[Úroveň 5 (P0)],BB24,RZ[Úroveň 6 (P0)],BC24),RZ[[#This Row],[Koeficient odhadu CR '[-'] (P1)]]*$BM24*$IQ24)</f>
        <v>0</v>
      </c>
      <c r="EW24" s="140">
        <f ca="1">IF(OFFSET(BD24,1,0,1,1)&lt;&gt;0,$BM24*SUMIFS(RZ[Úroveň 7 bez koef. (P3)],RZ[0],AX24,RZ[Úroveň 2 (P0)],AY24,RZ[Úroveň 3 (P0)],AZ24,RZ[Úroveň 4 (P0)],BA24,RZ[Úroveň 5 (P0)],BB24,RZ[Úroveň 6 (P0)],BC24),$BM24*$IQ24)</f>
        <v>0</v>
      </c>
      <c r="EX24" s="135">
        <f ca="1">RZ[[#This Row],[Úroveň 7 s koef. (P3a)]]*RZ[[#This Row],[Počet MJCR (P0) pro "kg"]]</f>
        <v>0</v>
      </c>
      <c r="EY24" s="135">
        <f ca="1">RZ[Úroveň 7 bez koef. (P3a)]*RZ[[#This Row],[Počet MJCR (P0) pro "kg"]]</f>
        <v>0</v>
      </c>
      <c r="EZ24" s="135">
        <f ca="1">IF(OFFSET(BE24,1,0,1,1)&lt;&gt;0,RZ[[#This Row],[Koeficient odhadu CR '[-'] (P1)]]*$BN24*SUMIFS(RZ[Úroveň 8 s koef. (P3)],RZ[0],AX24,RZ[Úroveň 2 (P0)],AY24,RZ[Úroveň 3 (P0)],AZ24,RZ[Úroveň 4 (P0)],BA24,RZ[Úroveň 5 (P0)],BB24,RZ[Úroveň 6 (P0)],BC24,RZ[Úroveň 7 (P0)],BD24),RZ[[#This Row],[Koeficient odhadu CR '[-'] (P1)]]*$BN24*$IQ24)</f>
        <v>0</v>
      </c>
      <c r="FA24" s="135">
        <f ca="1">IF(OFFSET(BE24,1,0,1,1)&lt;&gt;0,$BN24*SUMIFS(RZ[Úroveň 8 bez koef. (P3)],RZ[0],AX24,RZ[Úroveň 2 (P0)],AY24,RZ[Úroveň 3 (P0)],AZ24,RZ[Úroveň 4 (P0)],BA24,RZ[Úroveň 5 (P0)],BB24,RZ[Úroveň 6 (P0)],BC24,RZ[Úroveň 7 (P0)],BD24),$BN24*$IQ24)</f>
        <v>0</v>
      </c>
      <c r="FB24" s="140">
        <f ca="1">RZ[[#This Row],[Úroveň 8 s koef. (P3a)]]*RZ[[#This Row],[Počet MJCR (P0) pro "kg"]]</f>
        <v>0</v>
      </c>
      <c r="FC24" s="140">
        <f ca="1">RZ[Úroveň 8 bez koef. (P3a)]*RZ[[#This Row],[Počet MJCR (P0) pro "kg"]]</f>
        <v>0</v>
      </c>
      <c r="FD24" s="140">
        <f ca="1">IF(OFFSET(BF24,1,0,1,1)&lt;&gt;0,RZ[[#This Row],[Koeficient odhadu CR '[-'] (P1)]]*$BO24*SUMIFS(RZ[Úroveň 9 s koef. (P3)],RZ[0],AX24,RZ[Úroveň 2 (P0)],AY24,RZ[Úroveň 3 (P0)],AZ24,RZ[Úroveň 4 (P0)],BA24,RZ[Úroveň 5 (P0)],BB24,RZ[Úroveň 6 (P0)],BC24,RZ[Úroveň 7 (P0)],BD24,RZ[Úroveň 8 (P0)],BE24),RZ[[#This Row],[Koeficient odhadu CR '[-'] (P1)]]*$BO24*$IQ24)</f>
        <v>0</v>
      </c>
      <c r="FE24" s="140">
        <f ca="1">IF(OFFSET(BF24,1,0,1,1)&lt;&gt;0,$BO24*SUMIFS(RZ[Úroveň 9 bez koef. (P3)],RZ[0],AX24,RZ[Úroveň 2 (P0)],AY24,RZ[Úroveň 3 (P0)],AZ24,RZ[Úroveň 4 (P0)],BA24,RZ[Úroveň 5 (P0)],BB24,RZ[Úroveň 6 (P0)],BC24,RZ[Úroveň 7 (P0)],BD24,RZ[Úroveň 8 (P0)],BE24),$BO24*$IQ24)</f>
        <v>0</v>
      </c>
      <c r="FF24" s="135">
        <f ca="1">RZ[[#This Row],[Úroveň 9 s koef. (P3a)]]*RZ[[#This Row],[Počet MJCR (P0) pro "kg"]]</f>
        <v>0</v>
      </c>
      <c r="FG24" s="135">
        <f ca="1">RZ[Úroveň 9 bez koef. (P3a)]*RZ[[#This Row],[Počet MJCR (P0) pro "kg"]]</f>
        <v>0</v>
      </c>
      <c r="FH24" s="135">
        <f ca="1">IF(OFFSET(BG24,1,0,1,1)&lt;&gt;0,RZ[[#This Row],[Koeficient odhadu CR '[-'] (P1)]]*$BP24*SUMIFS(RZ[Úroveň 10 s koef. (P3)],RZ[0],AX24,RZ[Úroveň 2 (P0)],AY24,RZ[Úroveň 3 (P0)],AZ24,RZ[Úroveň 4 (P0)],BA24,RZ[Úroveň 5 (P0)],BB24,RZ[Úroveň 6 (P0)],BC24,RZ[Úroveň 7 (P0)],BD24,RZ[Úroveň 8 (P0)],BE24,RZ[Úroveň 9 (P0)],BF24),RZ[[#This Row],[Koeficient odhadu CR '[-'] (P1)]]*$BP24*$IQ24)</f>
        <v>0</v>
      </c>
      <c r="FI24" s="135">
        <f ca="1">IF(OFFSET(BG24,1,0,1,1)&lt;&gt;0,$BP24*SUMIFS(RZ[Úroveň 10 bez koef. (P3)],RZ[0],AX24,RZ[Úroveň 2 (P0)],AY24,RZ[Úroveň 3 (P0)],AZ24,RZ[Úroveň 4 (P0)],BA24,RZ[Úroveň 5 (P0)],BB24,RZ[Úroveň 6 (P0)],BC24,RZ[Úroveň 7 (P0)],BD24,RZ[Úroveň 8 (P0)],BE24,RZ[Úroveň 9 (P0)],BF24),$BP24*$IQ24)</f>
        <v>0</v>
      </c>
      <c r="FJ24" s="140">
        <f ca="1">RZ[[#This Row],[Úroveň 10 s koef. (P3a)]]*RZ[[#This Row],[Počet MJCR (P0) pro "kg"]]</f>
        <v>0</v>
      </c>
      <c r="FK24" s="140">
        <f ca="1">RZ[Úroveň 10 bez koef. (P3a)]*RZ[[#This Row],[Počet MJCR (P0) pro "kg"]]</f>
        <v>0</v>
      </c>
      <c r="FL24" s="140">
        <f ca="1">RZ[[#This Row],[Koeficient odhadu CR '[-'] (P1)]]*$BQ24*IQ24</f>
        <v>0</v>
      </c>
      <c r="FM24" s="236">
        <f ca="1">$BQ24*IQ24</f>
        <v>0</v>
      </c>
      <c r="FN24" s="194">
        <f ca="1">IF(BH24=1,EB24,IF(BI24=1,EF24,IF(BJ24=1,EJ24,IF(BK24=1,EN24,IF(BL24=1,ER24,IF(BM24=1,EV24,IF(BN24=1,EZ24,IF(BO24=1,FD24,IF(BP24=1,FH24,FL24)))))))))</f>
        <v>66000</v>
      </c>
      <c r="FO24" s="238">
        <f ca="1">IF(BH24=1,EC24,IF(BI24=1,EG24,IF(BJ24=1,EK24,IF(BK24=1,EO24,IF(BL24=1,ES24,IF(BM24=1,EW24,IF(BN24=1,FA24,IF(BO24=1,FE24,IF(BP24=1,FI24,FM24)))))))))</f>
        <v>60000</v>
      </c>
      <c r="FP24" s="135">
        <f t="shared" ref="FP24:FY24" ca="1" si="248">BH24*$IK24</f>
        <v>0</v>
      </c>
      <c r="FQ24" s="135">
        <f t="shared" ca="1" si="248"/>
        <v>0</v>
      </c>
      <c r="FR24" s="135">
        <f t="shared" ca="1" si="248"/>
        <v>2</v>
      </c>
      <c r="FS24" s="135">
        <f t="shared" ca="1" si="248"/>
        <v>0</v>
      </c>
      <c r="FT24" s="135">
        <f t="shared" ca="1" si="248"/>
        <v>0</v>
      </c>
      <c r="FU24" s="135">
        <f t="shared" ca="1" si="248"/>
        <v>0</v>
      </c>
      <c r="FV24" s="135">
        <f t="shared" ca="1" si="248"/>
        <v>0</v>
      </c>
      <c r="FW24" s="135">
        <f t="shared" ca="1" si="248"/>
        <v>0</v>
      </c>
      <c r="FX24" s="135">
        <f t="shared" ca="1" si="248"/>
        <v>0</v>
      </c>
      <c r="FY24" s="135">
        <f t="shared" ca="1" si="248"/>
        <v>0</v>
      </c>
      <c r="FZ24" s="140">
        <f ca="1">SUMIFS(RZ[Úroveň 1 (P6)],RZ[0],AX24)</f>
        <v>1</v>
      </c>
      <c r="GA24" s="140">
        <f ca="1">SUMIFS(RZ[Úroveň 2 (P6)],RZ[0],AX24,RZ[Úroveň 2 (P0)],AY24)</f>
        <v>1</v>
      </c>
      <c r="GB24" s="140">
        <f ca="1">SUMIFS(RZ[Úroveň 3 (P6)],RZ[0],AX24,RZ[Úroveň 2 (P0)],AY24,RZ[Úroveň 3 (P0)],AZ24)</f>
        <v>2</v>
      </c>
      <c r="GC24" s="140">
        <f ca="1">SUMIFS(RZ[Úroveň 4 (P6)],RZ[0],AX24,RZ[Úroveň 2 (P0)],AY24,RZ[Úroveň 3 (P0)],AZ24,RZ[Úroveň 4 (P0)],BA24)</f>
        <v>0</v>
      </c>
      <c r="GD24" s="140">
        <f ca="1">SUMIFS(RZ[Úroveň 5 (P6)],RZ[0],AX24,RZ[Úroveň 2 (P0)],AY24,RZ[Úroveň 3 (P0)],AZ24,RZ[Úroveň 4 (P0)],BA24,RZ[Úroveň 5 (P0)],BB24)</f>
        <v>0</v>
      </c>
      <c r="GE24" s="140">
        <f ca="1">SUMIFS(RZ[Úroveň 6 (P6)],RZ[0],AX24,RZ[Úroveň 2 (P0)],AY24,RZ[Úroveň 3 (P0)],AZ24,RZ[Úroveň 4 (P0)],BA24,RZ[Úroveň 5 (P0)],BB24,RZ[Úroveň 6 (P0)],BC24)</f>
        <v>0</v>
      </c>
      <c r="GF24" s="140">
        <f ca="1">SUMIFS(RZ[Úroveň 7 (P6)],RZ[0],AX24,RZ[Úroveň 2 (P0)],AY24,RZ[Úroveň 3 (P0)],AZ24,RZ[Úroveň 4 (P0)],BA24,RZ[Úroveň 5 (P0)],BB24,RZ[Úroveň 6 (P0)],BC24,RZ[Úroveň 7 (P0)],BD24)</f>
        <v>0</v>
      </c>
      <c r="GG24" s="140">
        <f ca="1">SUMIFS(RZ[Úroveň 8 (P6)],RZ[0],AX24,RZ[Úroveň 2 (P0)],AY24,RZ[Úroveň 3 (P0)],AZ24,RZ[Úroveň 4 (P0)],BA24,RZ[Úroveň 5 (P0)],BB24,RZ[Úroveň 6 (P0)],BC24,RZ[Úroveň 7 (P0)],BD24,RZ[Úroveň 8 (P0)],BE24)</f>
        <v>0</v>
      </c>
      <c r="GH24" s="140">
        <f ca="1">SUMIFS(RZ[Úroveň 9 (P6)],RZ[0],AX24,RZ[Úroveň 2 (P0)],AY24,RZ[Úroveň 3 (P0)],AZ24,RZ[Úroveň 4 (P0)],BA24,RZ[Úroveň 5 (P0)],BB24,RZ[Úroveň 6 (P0)],BC24,RZ[Úroveň 7 (P0)],BD24,RZ[Úroveň 8 (P0)],BE24,RZ[Úroveň 9 (P0)],BF24)</f>
        <v>0</v>
      </c>
      <c r="GI24" s="140">
        <f ca="1">SUMIFS(RZ[Úroveň 10 (P6)],RZ[0],AX24,RZ[Úroveň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GJ24" s="918">
        <f ca="1">IF(FZ24&lt;&gt;0,FZ24,1)*IF(GA24&lt;&gt;0,GA24,1)*IF(GB24&lt;&gt;0,GB24,1)*IF(GC24&lt;&gt;0,GC24,1)*IF(GD24&lt;&gt;0,GD24,1)*IF(GE24&lt;&gt;0,GE24,1)*IF(GF24&lt;&gt;0,GF24,1)*IF(GG24&lt;&gt;0,GG24,1)*IF(GH24&lt;&gt;0,GH24,1)*IF(GI24&lt;&gt;0,GI24,1)</f>
        <v>2</v>
      </c>
      <c r="GK24" s="808">
        <f t="shared" ref="GK24:GT24" si="249">BH24*$IO24</f>
        <v>0</v>
      </c>
      <c r="GL24" s="808">
        <f t="shared" si="249"/>
        <v>0</v>
      </c>
      <c r="GM24" s="808">
        <f t="shared" si="249"/>
        <v>1.1000000000000001</v>
      </c>
      <c r="GN24" s="808">
        <f t="shared" si="249"/>
        <v>0</v>
      </c>
      <c r="GO24" s="808">
        <f t="shared" si="249"/>
        <v>0</v>
      </c>
      <c r="GP24" s="808">
        <f t="shared" si="249"/>
        <v>0</v>
      </c>
      <c r="GQ24" s="808">
        <f t="shared" si="249"/>
        <v>0</v>
      </c>
      <c r="GR24" s="808">
        <f t="shared" si="249"/>
        <v>0</v>
      </c>
      <c r="GS24" s="808">
        <f t="shared" si="249"/>
        <v>0</v>
      </c>
      <c r="GT24" s="808">
        <f t="shared" si="249"/>
        <v>0</v>
      </c>
      <c r="GU24" s="809">
        <f ca="1">SUMIFS(RZ[Sloupec1],RZ[0],AX24)</f>
        <v>1</v>
      </c>
      <c r="GV24" s="809">
        <f ca="1">SUMIFS(RZ[Sloupec2],RZ[0],AX24,RZ[Úroveň 2 (P0)],AY24)</f>
        <v>1</v>
      </c>
      <c r="GW24" s="809">
        <f ca="1">SUMIFS(RZ[Sloupec3],RZ[0],AX24,RZ[Úroveň 2 (P0)],AY24,RZ[Úroveň 3 (P0)],AZ24)</f>
        <v>1.1000000000000001</v>
      </c>
      <c r="GX24" s="809">
        <f ca="1">SUMIFS(RZ[Sloupec4],RZ[0],AX24,RZ[Úroveň 2 (P0)],AY24,RZ[Úroveň 3 (P0)],AZ24,RZ[Úroveň 4 (P0)],BA24)</f>
        <v>0</v>
      </c>
      <c r="GY24" s="809">
        <f ca="1">SUMIFS(RZ[Sloupec5],RZ[0],AX24,RZ[Úroveň 2 (P0)],AY24,RZ[Úroveň 3 (P0)],AZ24,RZ[Úroveň 4 (P0)],BA24,RZ[Úroveň 5 (P0)],BB24)</f>
        <v>0</v>
      </c>
      <c r="GZ24" s="809">
        <f ca="1">SUMIFS(RZ[Sloupec6],RZ[0],AX24,RZ[Úroveň 2 (P0)],AY24,RZ[Úroveň 3 (P0)],AZ24,RZ[Úroveň 4 (P0)],BA24,RZ[Úroveň 5 (P0)],BB24,RZ[Úroveň 6 (P0)],BC24)</f>
        <v>0</v>
      </c>
      <c r="HA24" s="809">
        <f ca="1">SUMIFS(RZ[Sloupec62],RZ[0],AX24,RZ[Úroveň 2 (P0)],AY24,RZ[Úroveň 3 (P0)],AZ24,RZ[Úroveň 4 (P0)],BA24,RZ[Úroveň 5 (P0)],BB24,RZ[Úroveň 6 (P0)],BC24,RZ[Úroveň 7 (P0)],BD24)</f>
        <v>0</v>
      </c>
      <c r="HB24" s="809">
        <f ca="1">SUMIFS(RZ[Sloupec63],RZ[0],AX24,RZ[Úroveň 2 (P0)],AY24,RZ[Úroveň 3 (P0)],AZ24,RZ[Úroveň 4 (P0)],BA24,RZ[Úroveň 5 (P0)],BB24,RZ[Úroveň 6 (P0)],BC24,RZ[Úroveň 7 (P0)],BD24,RZ[Úroveň 8 (P0)],BE24)</f>
        <v>0</v>
      </c>
      <c r="HC24" s="809">
        <f ca="1">SUMIFS(RZ[Sloupec64],RZ[0],AX24,RZ[Úroveň 2 (P0)],AY24,RZ[Úroveň 3 (P0)],AZ24,RZ[Úroveň 4 (P0)],BA24,RZ[Úroveň 5 (P0)],BB24,RZ[Úroveň 6 (P0)],BC24,RZ[Úroveň 7 (P0)],BD24,RZ[Úroveň 8 (P0)],BE24,RZ[Úroveň 9 (P0)],BF24)</f>
        <v>0</v>
      </c>
      <c r="HD24" s="809">
        <f ca="1">SUMIFS(RZ[Sloupec65],RZ[0],AX24,RZ[Úroveň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HE24" s="919">
        <f ca="1">IF(GU24&lt;&gt;0,GU24,1)*IF(GV24&lt;&gt;0,GV24,1)*IF(GW24&lt;&gt;0,GW24,1)*IF(GX24&lt;&gt;0,GX24,1)*IF(GY24&lt;&gt;0,GY24,1)*IF(GZ24&lt;&gt;0,GZ24,1)*IF(HA24&lt;&gt;0,HA24,1)*IF(HB24&lt;&gt;0,HB24,1)*IF(HC24&lt;&gt;0,HC24,1)*IF(HD24&lt;&gt;0,HD24,1)</f>
        <v>1.1000000000000001</v>
      </c>
      <c r="HF24" s="920" t="str">
        <f>IF($IW24=$MJ$15,IF(MK24="","",MK24),IF(IY24="","",IY24))</f>
        <v/>
      </c>
      <c r="HG24" s="94" t="str">
        <f>IF($IW24=$MJ$15,IF($MJ24=1,$MS24,""),IF(IZ24="","",IZ24))</f>
        <v/>
      </c>
      <c r="HH24" s="95" t="str">
        <f>IF($IW24=$MJ$15,IF($MJ24=2,$MS24,""),IF(JA24="","",JA24))</f>
        <v/>
      </c>
      <c r="HI24" s="95" t="str">
        <f>IF($IW24=$MJ$15,IF($MJ24=3,$MS24,""),IF(JB24="","",JB24))</f>
        <v>Spojka</v>
      </c>
      <c r="HJ24" s="96" t="str">
        <f>IF($IW24=$MJ$15,IF($MJ24=4,$MS24,""),IF(JC24="","",JC24))</f>
        <v/>
      </c>
      <c r="HK24" s="96" t="str">
        <f>IF($IW24=$MJ$15,IF($MJ24=5,$MS24,""),IF(JD24="","",JD24))</f>
        <v/>
      </c>
      <c r="HL24" s="96" t="str">
        <f>IF($IW24=$MJ$15,IF($MJ24=6,$MS24,""),IF(JE24="","",JE24))</f>
        <v/>
      </c>
      <c r="HM24" s="96" t="str">
        <f>IF($IW24=$MJ$15,IF($MJ24=7,$MS24,""),IF(JF24="","",JF24))</f>
        <v/>
      </c>
      <c r="HN24" s="96" t="str">
        <f>IF($IW24=$MJ$15,IF($MJ24=8,$MS24,""),IF(JG24="","",JG24))</f>
        <v/>
      </c>
      <c r="HO24" s="96" t="str">
        <f>IF($IW24=$MJ$15,IF($MJ24=9,$MS24,""),IF(JH24="","",JH24))</f>
        <v/>
      </c>
      <c r="HP24" s="96" t="str">
        <f>IF($IW24=$MJ$15,IF($MJ24=10,$MS24,""),IF(JI24="","",JI24))</f>
        <v/>
      </c>
      <c r="HQ24" s="145" t="str">
        <f>IF($IW24=$MJ$15,IF(ML24="","N/A",ML24),IF(JJ24="","N/A",JJ24))</f>
        <v>STSP</v>
      </c>
      <c r="HR24" s="921" t="str">
        <f>IF($IW24=$MJ$15,IF(MM24="","",MM24),IF(JK24="","",JK24))</f>
        <v/>
      </c>
      <c r="HS24" s="173">
        <f>IF($IW24=$JL$15,JL24,IF($IW24=$KE$15,KE24,IF($IW24=$KX$15,KX24,IF($IW24=$LQ$15,LQ24,IF($IW24=$MJ$15,NE24,0)))))</f>
        <v>0</v>
      </c>
      <c r="HT24" s="100">
        <f>IF($IW24=$JL$15,JM24,IF($IW24=$KE$15,KF24,IF($IW24=$KX$15,KY24,IF($IW24=$LQ$15,LR24,IF($IW24=$MJ$15,NF24,0)))))</f>
        <v>0</v>
      </c>
      <c r="HU24" s="100">
        <f>IF($IW24=$JL$15,JN24,IF($IW24=$KE$15,KG24,IF($IW24=$KX$15,KZ24,IF($IW24=$LQ$15,LS24,IF($IW24=$MJ$15,NG24,0)))))</f>
        <v>0</v>
      </c>
      <c r="HV24" s="908" t="str">
        <f>IF($IW24=$JL$15,JU24,IF($IW24=$KE$15,KN24,IF($IW24=$KX$15,LG24,IF($IW24=$LQ$15,LZ24,IF($IW24=$MJ$15,NN24,0)))))</f>
        <v>Zajíc</v>
      </c>
      <c r="HW24" s="922">
        <f>IF($IW24=$JL$15,JV24,IF($IW24=$KE$15,KO24,IF($IW24=$KX$15,LH24,IF($IW24=$LQ$15,MA24,IF($IW24=$MJ$15,NO24,0)))))</f>
        <v>42950.644768518519</v>
      </c>
      <c r="HX24" s="224">
        <f>IF($IW24=$JL$15,JW24,IF($IW24=$KE$15,KP24,IF($IW24=$KX$15,LI24,IF($IW24=$LQ$15,MB24,IF($IW24=$MJ$15,NP24,0)))))</f>
        <v>0</v>
      </c>
      <c r="HY24" s="263" t="str">
        <f>IF($IW24=$JL$15,JS24,IF($IW24=$KE$15,KL24,IF($IW24=$KX$15,LE24,IF($IW24=$LQ$15,LX24,IF($IW24=$MJ$15,NL24,0)))))</f>
        <v>S</v>
      </c>
      <c r="HZ24" s="263" t="str">
        <f>IF($IW24=$JL$15,KC24,IF($IW24=$KE$15,KV24,IF($IW24=$KX$15,LO24,IF($IW24=$LQ$15,MH24,IF($IW24=$MJ$15,NV24,0)))))</f>
        <v>N</v>
      </c>
      <c r="IA24" s="150">
        <f>IF($IW24=$JL$15,JR24,IF($IW24=$KE$15,KK24,IF($IW24=$KX$15,LD24,IF($IW24=$LQ$15,LW24,IF($IW24=$MJ$15,NK24,0)))))</f>
        <v>1</v>
      </c>
      <c r="IB24" s="319">
        <f>IF($IW24=$JL$15,JZ24,IF($IW24=$KE$15,KS24,IF($IW24=$KX$15,LL24,IF($IW24=$LQ$15,ME24,IF($IW24=$MJ$15,NS24,0)))))</f>
        <v>60000</v>
      </c>
      <c r="IC24" s="923">
        <f>IF($IW24=$JL$15,KB24,IF($IW24=$KE$15,KU24,IF($IW24=$KX$15,LN24,IF($IW24=$LQ$15,MG24,IF($IW24=$MJ$15,NU24,0)))))</f>
        <v>1.1000000000000001</v>
      </c>
      <c r="ID24" s="924" t="str">
        <f ca="1">IF((BH24+OFFSET(BH24,1,1,1,1))=2,"--",IF((BI24+OFFSET(BI24,1,1,1,1))=2,"--",IF((BJ24+OFFSET(BJ24,1,1,1,1))=2,"--",IF((BK24+OFFSET(BK24,1,1,1,1))=2,"--",IF((BL24+OFFSET(BL24,1,1,1,1))=2,"--",IF((BM24+OFFSET(BM24,1,1,1,1))=2,"--",IF((BN24+OFFSET(BN24,1,1,1,1))=2,"--",IF((BO24+OFFSET(BO24,1,1,1,1))=2,"--",IF((BP24+OFFSET(BP24,1,1,1,1))=2,"--",IF((BQ24+OFFSET(BQ24,1,1,1,1))=2,"--","OK"))))))))))</f>
        <v>OK</v>
      </c>
      <c r="IE24" s="201" t="str">
        <f>IF($IW24=$JL$15,JO24,IF($IW24=$KE$15,KH24,IF($IW24=$KX$15,LA24,IF($IW24=$LQ$15,LT24,IF($IW24=$MJ$15,NH24,0)))))</f>
        <v>ks</v>
      </c>
      <c r="IF24" s="145">
        <f>IF($IW24=$JL$15,JP24,IF($IW24=$KE$15,KI24,IF($IW24=$KX$15,LB24,IF($IW24=$LQ$15,LU24,IF($IW24=$MJ$15,NI24,0)))))</f>
        <v>2</v>
      </c>
      <c r="IG24" s="216">
        <f>IF($IW24=$JL$15,JQ24,IF($IW24=$KE$15,KJ24,IF($IW24=$KX$15,LC24,IF($IW24=$LQ$15,LV24,IF($IW24=$MJ$15,NJ24,0)))))</f>
        <v>165.1</v>
      </c>
      <c r="IH24" s="217">
        <f>IF(IA24=0,1,IA24)</f>
        <v>1</v>
      </c>
      <c r="II24" s="224" t="str">
        <f ca="1">IF(RZ[[#This Row],[Rozhodný sloupec indikativní ceny]]=1,"kg",IF($IW24=$JL$15,IF(JX24=0,JO24,JX24),IF($IW24=$KE$15,IF(KQ24=0,KH24,KQ24),IF($IW24=$KX$15,IF(LJ24=0,LA24,LJ24),IF($IW24=$LQ$15,IF(MC24=0,LT24,MC24),IF($IW24=$MJ$15,IF(NQ24=0,NH24,NQ24),0))))))</f>
        <v>ks</v>
      </c>
      <c r="IJ24" s="224">
        <f ca="1">IF((BH24+OFFSET(BH24,1,1,1,1))=2,RZ[[#This Row],[Počet MJHR (P0)]],IF((BI24+OFFSET(BI24,1,1,1,1))=2,RZ[[#This Row],[Počet MJHR (P0)]],IF((BJ24+OFFSET(BJ24,1,1,1,1))=2,RZ[[#This Row],[Počet MJHR (P0)]],IF((BK24+OFFSET(BK24,1,1,1,1))=2,RZ[[#This Row],[Počet MJHR (P0)]],IF((BL24+OFFSET(BL24,1,1,1,1))=2,RZ[[#This Row],[Počet MJHR (P0)]],IF((BM24+OFFSET(BM24,1,1,1,1))=2,RZ[[#This Row],[Počet MJHR (P0)]],IF((BN24+OFFSET(BN24,1,1,1,1))=2,RZ[[#This Row],[Počet MJHR (P0)]],IF((BO24+OFFSET(BO24,1,1,1,1))=2,RZ[[#This Row],[Počet MJHR (P0)]],IF((BP24+OFFSET(BP24,1,1,1,1))=2,RZ[[#This Row],[Počet MJHR (P0)]],IF((BQ24+OFFSET(BQ24,1,1,1,1))=2,RZ[[#This Row],[Počet MJHR (P0)]],IF(RZ[[#This Row],[Měrná jednotka CR (MJCR) (P0)]]=RZ[[#This Row],[Měrná jednotka HR '[MJHR'] (P0)]],RZ[[#This Row],[Počet MJHR (P0)]],IF($IW24=$JL$15,JY24,IF($IW24=$KE$15,KR24,IF($IW24=$KX$15,LK24,IF($IW24=$LQ$15,MD24,IF($IW24=$MJ$15,NR24,0))))))))))))))))</f>
        <v>2</v>
      </c>
      <c r="IK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4" s="145">
        <f ca="1">IF(AND(RZ[[#This Row],[Jednotková cena bez DPH '[cena/MJCR'] (P0)]]=0,RZ[[#This Row],[Indikativní jednotková cena '[CZK/kg'] (P1)]]&lt;&gt;0),1,0)</f>
        <v>0</v>
      </c>
      <c r="IM24" s="217">
        <f ca="1">VLOOKUP(RZ[[#This Row],[Kód položek]],INDIKAT_CENA,2,FALSE)</f>
        <v>0</v>
      </c>
      <c r="IN24" s="222">
        <f ca="1">IF(RZ[[#This Row],[Rozhodný sloupec indikativní ceny]]=1,RZ[[#This Row],[Indikativní jednotková cena '[CZK/kg'] (P1)]],RZ[[#This Row],[Jednotková cena bez DPH '[cena/MJCR'] (P0)]])</f>
        <v>60000</v>
      </c>
      <c r="IO24" s="222">
        <f>IF(IC24=0,1,IC24)</f>
        <v>1.1000000000000001</v>
      </c>
      <c r="IP24" s="224">
        <f ca="1">IF(RZ[[#This Row],[Rozhodný sloupec indikativní ceny]]=1,1,IF($IW24=$JL$15,KA24,IF($IW24=$KE$15,KT24,IF($IW24=$KX$15,LM24,IF($IW24=$LQ$15,MF24,IF($IW24=$MJ$15,NT24,0))))))</f>
        <v>1</v>
      </c>
      <c r="IQ24" s="225">
        <f ca="1">IF(RZ[[#This Row],[Jednotková cena bez DPH '[cena/MJCR'] (P1)]]="",0,IF(IP24=0,0,(RZ[[#This Row],[Jednotková cena bez DPH '[cena/MJCR'] (P1)]]*VLOOKUP(IP24,$BR$7:$BT$10,3))))</f>
        <v>60000</v>
      </c>
      <c r="IR24" s="737"/>
      <c r="IS24" s="627">
        <f>IF(HY24=0,"",VLOOKUP(RZ[[#This Row],[Stav Projekce (P0)]],Vstupy!$E$11:'Vstupy'!$E$11:$H$17,4,FALSE))</f>
        <v>100</v>
      </c>
      <c r="IT24" s="925" t="str">
        <f>IF(RZ[[#This Row],[Stav Projekce (P0)]]=0,"",RZ[[#This Row],[Stav Projekce (P0)]])</f>
        <v>S</v>
      </c>
      <c r="IU24" s="925" t="str">
        <f>IF(RZ[[#This Row],[Stav Nákup (P0)]]=0,"",RZ[[#This Row],[Stav Nákup (P0)]])</f>
        <v>N</v>
      </c>
      <c r="IV24" s="926" t="str">
        <f>IF(HV24=0,"",HV24)</f>
        <v>Zajíc</v>
      </c>
      <c r="IW24" s="555">
        <v>1</v>
      </c>
      <c r="IX24" s="630"/>
      <c r="IY24" s="264"/>
      <c r="IZ24" s="648"/>
      <c r="JA24" s="100"/>
      <c r="JB24" s="100" t="s">
        <v>827</v>
      </c>
      <c r="JC24" s="100"/>
      <c r="JD24" s="100"/>
      <c r="JE24" s="100"/>
      <c r="JF24" s="100"/>
      <c r="JG24" s="100"/>
      <c r="JH24" s="100"/>
      <c r="JI24" s="100"/>
      <c r="JJ24" s="145" t="s">
        <v>828</v>
      </c>
      <c r="JK24" s="529"/>
      <c r="JL24" s="286"/>
      <c r="JM24" s="100"/>
      <c r="JN24" s="100"/>
      <c r="JO24" s="145" t="s">
        <v>35</v>
      </c>
      <c r="JP24" s="117">
        <v>2</v>
      </c>
      <c r="JQ24" s="117">
        <v>165.1</v>
      </c>
      <c r="JR24" s="148">
        <v>1</v>
      </c>
      <c r="JS24" s="145" t="s">
        <v>602</v>
      </c>
      <c r="JT24" s="631"/>
      <c r="JU24" s="148" t="s">
        <v>853</v>
      </c>
      <c r="JV24" s="154">
        <v>42950.644768518519</v>
      </c>
      <c r="JW24" s="145"/>
      <c r="JX24" s="210" t="s">
        <v>35</v>
      </c>
      <c r="JY24" s="117"/>
      <c r="JZ24" s="662">
        <v>60000</v>
      </c>
      <c r="KA24" s="145">
        <v>1</v>
      </c>
      <c r="KB24" s="148">
        <v>1.1000000000000001</v>
      </c>
      <c r="KC24" s="148" t="s">
        <v>611</v>
      </c>
      <c r="KD24" s="644"/>
      <c r="KE24" s="286"/>
      <c r="KF24" s="100"/>
      <c r="KG24" s="100"/>
      <c r="KH24" s="210"/>
      <c r="KI24" s="117"/>
      <c r="KJ24" s="117"/>
      <c r="KK24" s="148"/>
      <c r="KL24" s="145"/>
      <c r="KM24" s="632"/>
      <c r="KN24" s="148"/>
      <c r="KO24" s="154"/>
      <c r="KP24" s="154"/>
      <c r="KQ24" s="210"/>
      <c r="KR24" s="117"/>
      <c r="KS24" s="211"/>
      <c r="KT24" s="145"/>
      <c r="KU24" s="148"/>
      <c r="KV24" s="148"/>
      <c r="KW24" s="265"/>
      <c r="KX24" s="286"/>
      <c r="KY24" s="100"/>
      <c r="KZ24" s="100"/>
      <c r="LA24" s="210"/>
      <c r="LB24" s="117"/>
      <c r="LC24" s="117"/>
      <c r="LD24" s="148"/>
      <c r="LE24" s="145"/>
      <c r="LF24" s="632"/>
      <c r="LG24" s="148"/>
      <c r="LH24" s="154"/>
      <c r="LI24" s="154"/>
      <c r="LJ24" s="154"/>
      <c r="LK24" s="117"/>
      <c r="LL24" s="211"/>
      <c r="LM24" s="210"/>
      <c r="LN24" s="148"/>
      <c r="LO24" s="148"/>
      <c r="LP24" s="265"/>
      <c r="LQ24" s="286"/>
      <c r="LR24" s="100"/>
      <c r="LS24" s="100"/>
      <c r="LT24" s="210"/>
      <c r="LU24" s="117"/>
      <c r="LV24" s="117"/>
      <c r="LW24" s="148"/>
      <c r="LX24" s="145"/>
      <c r="LY24" s="632"/>
      <c r="LZ24" s="148"/>
      <c r="MA24" s="154"/>
      <c r="MB24" s="154"/>
      <c r="MC24" s="145"/>
      <c r="MD24" s="117"/>
      <c r="ME24" s="211"/>
      <c r="MF24" s="210"/>
      <c r="MG24" s="148"/>
      <c r="MH24" s="148"/>
      <c r="MI24" s="265"/>
      <c r="MJ24" s="647"/>
      <c r="MK24" s="264"/>
      <c r="ML24" s="153"/>
      <c r="MM24" s="153"/>
      <c r="MN24" s="153"/>
      <c r="MO24" s="153"/>
      <c r="MP24" s="153"/>
      <c r="MQ24" s="153"/>
      <c r="MR24" s="153"/>
      <c r="MS24" s="99"/>
      <c r="MT24" s="99"/>
      <c r="MU24" s="99"/>
      <c r="MV24" s="99"/>
      <c r="MW24" s="99"/>
      <c r="MX24" s="99"/>
      <c r="MY24" s="153"/>
      <c r="MZ24" s="153"/>
      <c r="NA24" s="153"/>
      <c r="NB24" s="153"/>
      <c r="NC24" s="153"/>
      <c r="ND24" s="153"/>
      <c r="NE24" s="148"/>
      <c r="NF24" s="153"/>
      <c r="NG24" s="153"/>
      <c r="NH24" s="330" t="str">
        <f>"ks"</f>
        <v>ks</v>
      </c>
      <c r="NI24" s="797">
        <f>RZ[[#This Row],[Počet ks (K)]]</f>
        <v>0</v>
      </c>
      <c r="NJ24" s="798">
        <f>RZ[[#This Row],[Hmotnost '[kg/ks'] (K)]]</f>
        <v>0</v>
      </c>
      <c r="NK24" s="148"/>
      <c r="NL24" s="145"/>
      <c r="NM24" s="632"/>
      <c r="NN24" s="148"/>
      <c r="NO24" s="154"/>
      <c r="NP24" s="153"/>
      <c r="NQ24" s="153"/>
      <c r="NR24" s="210"/>
      <c r="NS24" s="148"/>
      <c r="NT24" s="210"/>
      <c r="NU24" s="148"/>
      <c r="NV24" s="148"/>
      <c r="NW24" s="175"/>
    </row>
    <row r="25" spans="2:387" ht="15.95" customHeight="1" x14ac:dyDescent="0.35">
      <c r="B25" s="118" t="str">
        <f t="shared" si="129"/>
        <v/>
      </c>
      <c r="C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5" s="262" t="str">
        <f t="shared" si="130"/>
        <v xml:space="preserve">    Hřídel</v>
      </c>
      <c r="E25" s="120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Row],[Kód položek (P2)]]))))))))))</f>
        <v>STO2</v>
      </c>
      <c r="F25" s="791" t="str">
        <f t="shared" si="131"/>
        <v>N/A</v>
      </c>
      <c r="G25" s="792" t="str">
        <f t="shared" si="132"/>
        <v/>
      </c>
      <c r="H25" s="262" t="str">
        <f t="shared" si="133"/>
        <v/>
      </c>
      <c r="I25" s="123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HR '[MJHR'] (P0)]]))))))))))</f>
        <v>ks</v>
      </c>
      <c r="J25" s="123">
        <f t="shared" si="134"/>
        <v>2</v>
      </c>
      <c r="K25" s="793">
        <f>RZ[[#This Row],[Koeficient odhadu HR '[-'] (P1)]]</f>
        <v>1</v>
      </c>
      <c r="L25" s="124">
        <f ca="1">RZ[[#This Row],[Jednotková hmotnost s koef. '[kg/MJHR'] (P0)]]</f>
        <v>574</v>
      </c>
      <c r="M25" s="794">
        <f t="shared" ca="1" si="135"/>
        <v>0</v>
      </c>
      <c r="N25" s="125">
        <f t="shared" ca="1" si="136"/>
        <v>1148</v>
      </c>
      <c r="O25" s="125">
        <f t="shared" ca="1" si="137"/>
        <v>0</v>
      </c>
      <c r="P25" s="126" t="str">
        <f t="shared" si="138"/>
        <v/>
      </c>
      <c r="Q25" s="795">
        <f ca="1">RZ[[#This Row],[Počet MJHR v rozpadu (P0)]]</f>
        <v>2</v>
      </c>
      <c r="R25" s="439" t="str">
        <f t="shared" si="139"/>
        <v/>
      </c>
      <c r="S25" s="129" t="str">
        <f t="shared" si="140"/>
        <v/>
      </c>
      <c r="T25" s="126" t="str">
        <f t="shared" si="141"/>
        <v/>
      </c>
      <c r="U25" s="126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CR (MJCR) (P0)]]))))))))))</f>
        <v>kg</v>
      </c>
      <c r="V25" s="575">
        <f t="shared" ca="1" si="142"/>
        <v>1148</v>
      </c>
      <c r="W25" s="322">
        <f>RZ[[#This Row],[Koeficient odhadu CR '[-'] (P1)]]</f>
        <v>1</v>
      </c>
      <c r="X25" s="440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Row],[Jednotková cena bez DPH '[cena/MJCR'] (P1)]]*RZ[[#This Row],[Koeficient odhadu CR '[-']]]))))))))))</f>
        <v>115</v>
      </c>
      <c r="Y25" s="440">
        <f t="shared" ca="1" si="143"/>
        <v>0</v>
      </c>
      <c r="Z25" s="142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VLOOKUP(IP25,$BR$7:$BS$11,2,FALSE)))))))))))</f>
        <v>CZK</v>
      </c>
      <c r="AA25" s="909">
        <f t="shared" ca="1" si="144"/>
        <v>1148</v>
      </c>
      <c r="AB25" s="910">
        <f ca="1">RZ[[#This Row],[Kumulovaný koeficient v rozpadu (P0)]]</f>
        <v>1</v>
      </c>
      <c r="AC25" s="261"/>
      <c r="AD25" s="796">
        <f ca="1">RZ[[#This Row],[Jednotková cena bez DPH '[cena/MJCR'] s koef. (P0)]]/RZ[[#This Row],[Koeficient odhadu CR '[-']]]*RZ[[#This Row],[Kumulovaný koeficient odhadu CR  '[-']]]</f>
        <v>115</v>
      </c>
      <c r="AE25" s="796">
        <f t="shared" ca="1" si="145"/>
        <v>132020</v>
      </c>
      <c r="AF25" s="796">
        <f ca="1">-IF(ISNUMBER(AA25),RZ[[#This Row],[Celková cena bez DPH (1)]]-RZ[[#This Row],[Jednotková cena bez DPH '[cena/MJCR'] bez koef. (P0)]]*AA25,0)</f>
        <v>0</v>
      </c>
      <c r="AG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25" s="261"/>
      <c r="AI25" s="796">
        <f t="shared" ca="1" si="146"/>
        <v>4.2592592592592595</v>
      </c>
      <c r="AJ25" s="796">
        <f t="shared" ca="1" si="147"/>
        <v>4889.6296296296296</v>
      </c>
      <c r="AK25" s="796">
        <f t="shared" ca="1" si="148"/>
        <v>0</v>
      </c>
      <c r="AL25" s="753">
        <f ca="1">RZ[[#This Row],[Kilogramová cena bez DPH '[cena/kg'] (1)]]/$AK$13</f>
        <v>4.2592592592592595</v>
      </c>
      <c r="AM25" s="261"/>
      <c r="AN25" s="796">
        <f t="shared" ca="1" si="149"/>
        <v>5.5555555555555554</v>
      </c>
      <c r="AO25" s="796">
        <f t="shared" ca="1" si="150"/>
        <v>6377.7777777777783</v>
      </c>
      <c r="AP25" s="796">
        <f t="shared" ca="1" si="151"/>
        <v>0</v>
      </c>
      <c r="AQ25" s="753">
        <f ca="1">RZ[[#This Row],[Kilogramová cena bez DPH '[cena/kg'] (1)]]/$AP$13</f>
        <v>5.5555555555555554</v>
      </c>
      <c r="AR25" s="261"/>
      <c r="AS25" s="796">
        <f t="shared" ca="1" si="152"/>
        <v>3.1455142231947484</v>
      </c>
      <c r="AT25" s="796">
        <f t="shared" ca="1" si="153"/>
        <v>3611.0503282275708</v>
      </c>
      <c r="AU25" s="789">
        <f t="shared" ca="1" si="154"/>
        <v>0</v>
      </c>
      <c r="AV25" s="767">
        <f ca="1">RZ[[#This Row],[Kilogramová cena bez DPH '[cena/kg'] (1)]]/$AU$13</f>
        <v>3.1455142231947484</v>
      </c>
      <c r="AW25" s="165"/>
      <c r="AX25" s="911">
        <f t="shared" ca="1" si="155"/>
        <v>2</v>
      </c>
      <c r="AY25" s="111">
        <f t="shared" ca="1" si="156"/>
        <v>1</v>
      </c>
      <c r="AZ25" s="111">
        <f t="shared" ca="1" si="157"/>
        <v>6</v>
      </c>
      <c r="BA25" s="111">
        <f t="shared" ca="1" si="158"/>
        <v>0</v>
      </c>
      <c r="BB25" s="111">
        <f t="shared" ca="1" si="159"/>
        <v>0</v>
      </c>
      <c r="BC25" s="111">
        <f t="shared" ca="1" si="160"/>
        <v>0</v>
      </c>
      <c r="BD25" s="111">
        <f t="shared" ca="1" si="161"/>
        <v>0</v>
      </c>
      <c r="BE25" s="111">
        <f t="shared" ca="1" si="162"/>
        <v>0</v>
      </c>
      <c r="BF25" s="111">
        <f t="shared" ca="1" si="163"/>
        <v>0</v>
      </c>
      <c r="BG25" s="112">
        <f t="shared" ca="1" si="164"/>
        <v>0</v>
      </c>
      <c r="BH25" s="911">
        <f t="shared" si="165"/>
        <v>0</v>
      </c>
      <c r="BI25" s="111">
        <f t="shared" si="166"/>
        <v>0</v>
      </c>
      <c r="BJ25" s="111">
        <f t="shared" si="167"/>
        <v>1</v>
      </c>
      <c r="BK25" s="111">
        <f t="shared" si="168"/>
        <v>0</v>
      </c>
      <c r="BL25" s="111">
        <f t="shared" si="169"/>
        <v>0</v>
      </c>
      <c r="BM25" s="111">
        <f t="shared" si="170"/>
        <v>0</v>
      </c>
      <c r="BN25" s="111">
        <f t="shared" si="171"/>
        <v>0</v>
      </c>
      <c r="BO25" s="111">
        <f t="shared" si="172"/>
        <v>0</v>
      </c>
      <c r="BP25" s="111">
        <f t="shared" si="173"/>
        <v>0</v>
      </c>
      <c r="BQ25" s="112">
        <f t="shared" si="174"/>
        <v>0</v>
      </c>
      <c r="BR25" s="132">
        <f ca="1">IF(OFFSET(AY25,1,0,1,1)&lt;&gt;0,RZ[[#This Row],[Koeficient odhadu HR '[-'] (P1)]]*$BH25*SUMIFS(RZ[Úroveň 2 s koef. (P2)],RZ[0],AX25),RZ[[#This Row],[Koeficient odhadu HR '[-'] (P1)]]*$BH25*$IG25)</f>
        <v>0</v>
      </c>
      <c r="BS25" s="186">
        <f ca="1">IF(OFFSET(AY25,1,0,1,1)&lt;&gt;0,$BH25*SUMIFS(RZ[Úroveň 2 bez koef. (P2)],RZ[0],AX25),$BH25*$IG25)</f>
        <v>0</v>
      </c>
      <c r="BT25" s="138">
        <f ca="1">RZ[[#This Row],[Úroveň 2 s koef. (P2a)]]*RZ[[#This Row],[Počet MJHR (P0)]]</f>
        <v>0</v>
      </c>
      <c r="BU25" s="138">
        <f ca="1">RZ[[#This Row],[Úroveň 2 bez koef. (P2a)]]*RZ[[#This Row],[Počet MJHR (P0)]]</f>
        <v>0</v>
      </c>
      <c r="BV25" s="138">
        <f ca="1">IF(OFFSET(AZ25,1,0,1,1)&lt;&gt;0,RZ[[#This Row],[Koeficient odhadu HR '[-'] (P1)]]*$BI25*SUMIFS(RZ[Úroveň 3 s koef. (P2)],RZ[0],AX25,RZ[Úroveň 2 (P0)],AY25),RZ[[#This Row],[Koeficient odhadu HR '[-'] (P1)]]*$BI25*$IG25)</f>
        <v>0</v>
      </c>
      <c r="BW25" s="138">
        <f ca="1">IF(OFFSET(AZ25,1,0,1,1)&lt;&gt;0,$BI25*SUMIFS(RZ[Úroveň 3 bez koef. (P2)],RZ[0],AX25,RZ[Úroveň 2 (P0)],AY25),$BI25*$IG25)</f>
        <v>0</v>
      </c>
      <c r="BX25" s="132">
        <f ca="1">RZ[[#This Row],[Úroveň 3 s koef. (P2a)]]*RZ[[#This Row],[Počet MJHR (P0)]]</f>
        <v>1148</v>
      </c>
      <c r="BY25" s="132">
        <f ca="1">RZ[Úroveň 3 bez koef. (P2a)]*RZ[[#This Row],[Počet MJHR (P0)]]</f>
        <v>1148</v>
      </c>
      <c r="BZ25" s="132">
        <f ca="1">IF(OFFSET(BA25,1,0,1,1)&lt;&gt;0,RZ[[#This Row],[Koeficient odhadu HR '[-'] (P1)]]*$BJ25*SUMIFS(RZ[Úroveň 4 s koef. (P2)],RZ[0],AX25,RZ[Úroveň 2 (P0)],AY25,RZ[Úroveň 3 (P0)],AZ25),RZ[[#This Row],[Koeficient odhadu HR '[-'] (P1)]]*$BJ25*$IG25)</f>
        <v>574</v>
      </c>
      <c r="CA25" s="132">
        <f ca="1">IF(OFFSET(BA25,1,0,1,1)&lt;&gt;0,$BJ25*SUMIFS(RZ[Úroveň 4 bez koef. (P2)],RZ[0],AX25,RZ[Úroveň 2 (P0)],AY25,RZ[Úroveň 3 (P0)],AZ25),$BJ25*$IG25)</f>
        <v>574</v>
      </c>
      <c r="CB25" s="138">
        <f ca="1">RZ[[#This Row],[Úroveň 4 s koef. (P2a)]]*RZ[[#This Row],[Počet MJHR (P0)]]</f>
        <v>0</v>
      </c>
      <c r="CC25" s="138">
        <f ca="1">RZ[Úroveň 4 bez koef. (P2a)]*RZ[[#This Row],[Počet MJHR (P0)]]</f>
        <v>0</v>
      </c>
      <c r="CD25" s="138">
        <f ca="1">IF(OFFSET(BB25,1,0,1,1)&lt;&gt;0,RZ[[#This Row],[Koeficient odhadu HR '[-'] (P1)]]*$BK25*SUMIFS(RZ[Úroveň 5 s koef. (P2)],RZ[0],AX25,RZ[Úroveň 2 (P0)],AY25,RZ[Úroveň 3 (P0)],AZ25,RZ[Úroveň 4 (P0)],BA25),RZ[[#This Row],[Koeficient odhadu HR '[-'] (P1)]]*$BK25*$IG25)</f>
        <v>0</v>
      </c>
      <c r="CE25" s="138">
        <f ca="1">IF(OFFSET(BB25,1,0,1,1)&lt;&gt;0,$BK25*SUMIFS(RZ[Úroveň 5 bez koef. (P2)],RZ[0],AX25,RZ[Úroveň 2 (P0)],AY25,RZ[Úroveň 3 (P0)],AZ25,RZ[Úroveň 4 (P0)],BA25),$BK25*$IG25)</f>
        <v>0</v>
      </c>
      <c r="CF25" s="132">
        <f ca="1">RZ[[#This Row],[Úroveň 5 s koef. (P2a)]]*RZ[[#This Row],[Počet MJHR (P0)]]</f>
        <v>0</v>
      </c>
      <c r="CG25" s="132">
        <f ca="1">RZ[Úroveň 5 bez koef. (P2a)]*RZ[[#This Row],[Počet MJHR (P0)]]</f>
        <v>0</v>
      </c>
      <c r="CH25" s="132">
        <f ca="1">IF(OFFSET(BC25,1,0,1,1)&lt;&gt;0,RZ[[#This Row],[Koeficient odhadu HR '[-'] (P1)]]*$BL25*SUMIFS(RZ[Úroveň 6 s koef. (P2)],RZ[0],AX25,RZ[Úroveň 2 (P0)],AY25,RZ[Úroveň 3 (P0)],AZ25,RZ[Úroveň 4 (P0)],BA25,RZ[Úroveň 5 (P0)],BB25),RZ[[#This Row],[Koeficient odhadu HR '[-'] (P1)]]*$BL25*$IG25)</f>
        <v>0</v>
      </c>
      <c r="CI25" s="132">
        <f ca="1">IF(OFFSET(BC25,1,0,1,1)&lt;&gt;0,$BL25*SUMIFS(RZ[Úroveň 6 bez koef. (P2)],RZ[0],AX25,RZ[Úroveň 2 (P0)],AY25,RZ[Úroveň 3 (P0)],AZ25,RZ[Úroveň 4 (P0)],BA25,RZ[Úroveň 5 (P0)],BB25),$BL25*$IG25)</f>
        <v>0</v>
      </c>
      <c r="CJ25" s="138">
        <f ca="1">RZ[[#This Row],[Úroveň 6 s koef. (P2a)]]*RZ[[#This Row],[Počet MJHR (P0)]]</f>
        <v>0</v>
      </c>
      <c r="CK25" s="138">
        <f ca="1">RZ[Úroveň 6 bez koef. (P2a)]*RZ[[#This Row],[Počet MJHR (P0)]]</f>
        <v>0</v>
      </c>
      <c r="CL25" s="138">
        <f ca="1">IF(OFFSET(BD25,1,0,1,1)&lt;&gt;0,RZ[[#This Row],[Koeficient odhadu HR '[-'] (P1)]]*$BM25*SUMIFS(RZ[Úroveň 7 s koef. (P2)],RZ[0],AX25,RZ[Úroveň 2 (P0)],AY25,RZ[Úroveň 3 (P0)],AZ25,RZ[Úroveň 4 (P0)],BA25,RZ[Úroveň 5 (P0)],BB25,RZ[Úroveň 6 (P0)],BC25),RZ[[#This Row],[Koeficient odhadu HR '[-'] (P1)]]*$BM25*$IG25)</f>
        <v>0</v>
      </c>
      <c r="CM25" s="138">
        <f ca="1">IF(OFFSET(BD25,1,0,1,1)&lt;&gt;0,$BM25*SUMIFS(RZ[Úroveň 7 bez koef. (P2)],RZ[0],AX25,RZ[Úroveň 2 (P0)],AY25,RZ[Úroveň 3 (P0)],AZ25,RZ[Úroveň 4 (P0)],BA25,RZ[Úroveň 5 (P0)],BB25,RZ[Úroveň 6 (P0)],BC25),$BM25*$IG25)</f>
        <v>0</v>
      </c>
      <c r="CN25" s="132">
        <f ca="1">RZ[[#This Row],[Úroveň 7 s koef. (P2a)]]*RZ[[#This Row],[Počet MJHR (P0)]]</f>
        <v>0</v>
      </c>
      <c r="CO25" s="132">
        <f ca="1">RZ[Úroveň 7 bez koef. (P2a)]*RZ[[#This Row],[Počet MJHR (P0)]]</f>
        <v>0</v>
      </c>
      <c r="CP25" s="132">
        <f ca="1">IF(OFFSET(BE25,1,0,1,1)&lt;&gt;0,RZ[[#This Row],[Koeficient odhadu HR '[-'] (P1)]]*$BN25*SUMIFS(RZ[Úroveň 8 s koef. (P2)],RZ[0],AX25,RZ[Úroveň 2 (P0)],AY25,RZ[Úroveň 3 (P0)],AZ25,RZ[Úroveň 4 (P0)],BA25,RZ[Úroveň 5 (P0)],BB25,RZ[Úroveň 6 (P0)],BC25,RZ[Úroveň 7 (P0)],BD25),RZ[[#This Row],[Koeficient odhadu HR '[-'] (P1)]]*$BN25*$IG25)</f>
        <v>0</v>
      </c>
      <c r="CQ25" s="132">
        <f ca="1">IF(OFFSET(BE25,1,0,1,1)&lt;&gt;0,$BN25*SUMIFS(RZ[Úroveň 8 bez koef. (P2)],RZ[0],AX25,RZ[Úroveň 2 (P0)],AY25,RZ[Úroveň 3 (P0)],AZ25,RZ[Úroveň 4 (P0)],BA25,RZ[Úroveň 5 (P0)],BB25,RZ[Úroveň 6 (P0)],BC25,RZ[Úroveň 7 (P0)],BD25),$BN25*$IG25)</f>
        <v>0</v>
      </c>
      <c r="CR25" s="138">
        <f ca="1">RZ[[#This Row],[Úroveň 8 s koef. (P2a)]]*RZ[[#This Row],[Počet MJHR (P0)]]</f>
        <v>0</v>
      </c>
      <c r="CS25" s="138">
        <f ca="1">RZ[Úroveň 8 bez koef. (P2a)]*RZ[[#This Row],[Počet MJHR (P0)]]</f>
        <v>0</v>
      </c>
      <c r="CT25" s="138">
        <f ca="1">IF(OFFSET(BF25,1,0,1,1)&lt;&gt;0,RZ[[#This Row],[Koeficient odhadu HR '[-'] (P1)]]*$BO25*SUMIFS(RZ[Úroveň 9 s koef. (P2)],RZ[0],AX25,RZ[Úroveň 2 (P0)],AY25,RZ[Úroveň 3 (P0)],AZ25,RZ[Úroveň 4 (P0)],BA25,RZ[Úroveň 5 (P0)],BB25,RZ[Úroveň 6 (P0)],BC25,RZ[Úroveň 7 (P0)],BD25,RZ[Úroveň 8 (P0)],BE25),RZ[[#This Row],[Koeficient odhadu HR '[-'] (P1)]]*$BO25*$IG25)</f>
        <v>0</v>
      </c>
      <c r="CU25" s="138">
        <f ca="1">IF(OFFSET(BF25,1,0,1,1)&lt;&gt;0,$BO25*SUMIFS(RZ[Úroveň 9 bez koef. (P2)],RZ[0],AX25,RZ[Úroveň 2 (P0)],AY25,RZ[Úroveň 3 (P0)],AZ25,RZ[Úroveň 4 (P0)],BA25,RZ[Úroveň 5 (P0)],BB25,RZ[Úroveň 6 (P0)],BC25,RZ[Úroveň 7 (P0)],BD25,RZ[Úroveň 8 (P0)],BE25),$BO25*$IG25)</f>
        <v>0</v>
      </c>
      <c r="CV25" s="132">
        <f ca="1">RZ[[#This Row],[Úroveň 9 s koef. (P2a)]]*RZ[[#This Row],[Počet MJHR (P0)]]</f>
        <v>0</v>
      </c>
      <c r="CW25" s="132">
        <f ca="1">RZ[Úroveň 9 bez koef. (P2a)]*RZ[[#This Row],[Počet MJHR (P0)]]</f>
        <v>0</v>
      </c>
      <c r="CX25" s="132">
        <f ca="1">IF(OFFSET(BG25,1,0,1,1)&lt;&gt;0,RZ[[#This Row],[Koeficient odhadu HR '[-'] (P1)]]*$BP25*SUMIFS(RZ[Úroveň 10 s koef. (P2)],RZ[0],AX25,RZ[Úroveň 2 (P0)],AY25,RZ[Úroveň 3 (P0)],AZ25,RZ[Úroveň 4 (P0)],BA25,RZ[Úroveň 5 (P0)],BB25,RZ[Úroveň 6 (P0)],BC25,RZ[Úroveň 7 (P0)],BD25,RZ[Úroveň 8 (P0)],BE25,RZ[Úroveň 9 (P0)],BF25),RZ[[#This Row],[Koeficient odhadu HR '[-'] (P1)]]*$BP25*$IG25)</f>
        <v>0</v>
      </c>
      <c r="CY25" s="132">
        <f ca="1">IF(OFFSET(BG25,1,0,1,1)&lt;&gt;0,$BP25*SUMIFS(RZ[Úroveň 10 bez koef. (P2)],RZ[0],AX25,RZ[Úroveň 2 (P0)],AY25,RZ[Úroveň 3 (P0)],AZ25,RZ[Úroveň 4 (P0)],BA25,RZ[Úroveň 5 (P0)],BB25,RZ[Úroveň 6 (P0)],BC25,RZ[Úroveň 7 (P0)],BD25,RZ[Úroveň 8 (P0)],BE25,RZ[Úroveň 9 (P0)],BF25),$BP25*$IG25)</f>
        <v>0</v>
      </c>
      <c r="CZ25" s="138">
        <f>RZ[[#This Row],[Úroveň 10 s koef. (P2a)]]*RZ[[#This Row],[Počet MJHR (P0)]]</f>
        <v>0</v>
      </c>
      <c r="DA25" s="138">
        <f>RZ[Úroveň 10 bez koef. (P2a)]*RZ[[#This Row],[Počet MJHR (P0)]]</f>
        <v>0</v>
      </c>
      <c r="DB25" s="138">
        <f>RZ[[#This Row],[Koeficient odhadu HR '[-'] (P1)]]*$BQ25*IG25</f>
        <v>0</v>
      </c>
      <c r="DC25" s="231">
        <f t="shared" si="175"/>
        <v>0</v>
      </c>
      <c r="DD25" s="241">
        <f t="shared" ca="1" si="176"/>
        <v>574</v>
      </c>
      <c r="DE25" s="229">
        <f t="shared" ca="1" si="177"/>
        <v>574</v>
      </c>
      <c r="DF25" s="912">
        <f t="shared" si="178"/>
        <v>0</v>
      </c>
      <c r="DG25" s="913">
        <f t="shared" si="179"/>
        <v>0</v>
      </c>
      <c r="DH25" s="913">
        <f t="shared" si="180"/>
        <v>2</v>
      </c>
      <c r="DI25" s="913">
        <f t="shared" si="181"/>
        <v>0</v>
      </c>
      <c r="DJ25" s="913">
        <f t="shared" si="182"/>
        <v>0</v>
      </c>
      <c r="DK25" s="913">
        <f t="shared" si="183"/>
        <v>0</v>
      </c>
      <c r="DL25" s="913">
        <f t="shared" si="184"/>
        <v>0</v>
      </c>
      <c r="DM25" s="913">
        <f t="shared" si="185"/>
        <v>0</v>
      </c>
      <c r="DN25" s="913">
        <f t="shared" si="186"/>
        <v>0</v>
      </c>
      <c r="DO25" s="913">
        <f t="shared" si="187"/>
        <v>0</v>
      </c>
      <c r="DP25" s="914">
        <f ca="1">SUMIFS(RZ[Úroveň 1 (P4)],RZ[0],AX25)</f>
        <v>1</v>
      </c>
      <c r="DQ25" s="914">
        <f ca="1">SUMIFS(RZ[Úroveň 2 (P4)],RZ[0],AX25,RZ[Úroveň 2 (P0)],AY25)</f>
        <v>1</v>
      </c>
      <c r="DR25" s="914">
        <f ca="1">SUMIFS(RZ[Úroveň 3 (P4)],RZ[0],AX25,RZ[Úroveň 2 (P0)],AY25,RZ[Úroveň 3 (P0)],AZ25)</f>
        <v>2</v>
      </c>
      <c r="DS25" s="914">
        <f ca="1">SUMIFS(RZ[Úroveň 4 (P4)],RZ[0],AX25,RZ[Úroveň 2 (P0)],AY25,RZ[Úroveň 3 (P0)],AZ25,RZ[Úroveň 4 (P0)],BA25)</f>
        <v>0</v>
      </c>
      <c r="DT25" s="914">
        <f ca="1">SUMIFS(RZ[Úroveň 5 (P4)],RZ[0],AX25,RZ[Úroveň 2 (P0)],AY25,RZ[Úroveň 3 (P0)],AZ25,RZ[Úroveň 4 (P0)],BA25,RZ[Úroveň 5 (P0)],BB25)</f>
        <v>0</v>
      </c>
      <c r="DU25" s="914">
        <f ca="1">SUMIFS(RZ[Úroveň 6 (P4)],RZ[0],AX25,RZ[Úroveň 2 (P0)],AY25,RZ[Úroveň 3 (P0)],AZ25,RZ[Úroveň 4 (P0)],BA25,RZ[Úroveň 5 (P0)],BB25,RZ[Úroveň 6 (P0)],BC25)</f>
        <v>0</v>
      </c>
      <c r="DV25" s="914">
        <f ca="1">SUMIFS(RZ[Úroveň 7 (P4)],RZ[0],AX25,RZ[Úroveň 2 (P0)],AY25,RZ[Úroveň 3 (P0)],AZ25,RZ[Úroveň 4 (P0)],BA25,RZ[Úroveň 5 (P0)],BB25,RZ[Úroveň 6 (P0)],BC25,RZ[Úroveň 7 (P0)],BD25)</f>
        <v>0</v>
      </c>
      <c r="DW25" s="914">
        <f ca="1">SUMIFS(RZ[Úroveň 8 (P4)],RZ[0],AX25,RZ[Úroveň 2 (P0)],AY25,RZ[Úroveň 3 (P0)],AZ25,RZ[Úroveň 4 (P0)],BA25,RZ[Úroveň 5 (P0)],BB25,RZ[Úroveň 6 (P0)],BC25,RZ[Úroveň 7 (P0)],BD25,RZ[Úroveň 8 (P0)],BE25)</f>
        <v>0</v>
      </c>
      <c r="DX25" s="914">
        <f ca="1">SUMIFS(RZ[Úroveň 9 (P4)],RZ[0],AX25,RZ[Úroveň 2 (P0)],AY25,RZ[Úroveň 3 (P0)],AZ25,RZ[Úroveň 4 (P0)],BA25,RZ[Úroveň 5 (P0)],BB25,RZ[Úroveň 6 (P0)],BC25,RZ[Úroveň 7 (P0)],BD25,RZ[Úroveň 8 (P0)],BE25,RZ[Úroveň 9 (P0)],BF25)</f>
        <v>0</v>
      </c>
      <c r="DY25" s="914">
        <f ca="1">SUMIFS(RZ[Úroveň 10 (P4)],RZ[0],AX25,RZ[Úroveň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DZ25" s="915">
        <f t="shared" ca="1" si="188"/>
        <v>2</v>
      </c>
      <c r="EA25" s="916">
        <f ca="1">RZ[[#This Row],[Jednotková hmotnost bez koef. '[kg/MJHR'] (P0)]]*RZ[[#This Row],[Počet MJHR v rozpadu (P0)]]</f>
        <v>1148</v>
      </c>
      <c r="EB25" s="917">
        <f ca="1">IF(OFFSET(AY25,1,0,1,1)&lt;&gt;0,RZ[[#This Row],[Koeficient odhadu CR '[-'] (P1)]]*$BH25*SUMIFS(RZ[Úroveň 2 s koef. (P3)],RZ[0],AX25),RZ[[#This Row],[Koeficient odhadu CR '[-'] (P1)]]*$BH25*$IQ25)</f>
        <v>0</v>
      </c>
      <c r="EC25" s="191">
        <f ca="1">IF(OFFSET(AY25,1,0,1,1)&lt;&gt;0,$BH25*SUMIFS(RZ[Úroveň 2 bez koef. (P3)],RZ[0],AX25),$BH25*$IQ25)</f>
        <v>0</v>
      </c>
      <c r="ED25" s="140">
        <f ca="1">RZ[[#This Row],[Úroveň 2 s koef. (P3a)]]*RZ[[#This Row],[Počet MJCR (P0) pro "kg"]]</f>
        <v>0</v>
      </c>
      <c r="EE25" s="140">
        <f ca="1">RZ[Úroveň 2 bez koef. (P3a)]*RZ[[#This Row],[Počet MJCR (P0) pro "kg"]]</f>
        <v>0</v>
      </c>
      <c r="EF25" s="140">
        <f ca="1">IF(OFFSET(AZ25,1,0,1,1)&lt;&gt;0,RZ[[#This Row],[Koeficient odhadu CR '[-'] (P1)]]*$BI25*SUMIFS(RZ[Úroveň 3 s koef. (P3)],RZ[0],AX25,RZ[Úroveň 2 (P0)],AY25),RZ[[#This Row],[Koeficient odhadu CR '[-'] (P1)]]*$BI25*$IQ25)</f>
        <v>0</v>
      </c>
      <c r="EG25" s="140">
        <f ca="1">IF(OFFSET(AZ25,1,0,1,1)&lt;&gt;0,$BI25*SUMIFS(RZ[Úroveň 3 bez koef. (P3)],RZ[0],AX25,RZ[Úroveň 2 (P0)],AY25),$BI25*$IQ25)</f>
        <v>0</v>
      </c>
      <c r="EH25" s="135">
        <f ca="1">RZ[[#This Row],[Úroveň 3 s koef. (P3a)]]*RZ[[#This Row],[Počet MJCR (P0) pro "kg"]]</f>
        <v>132020</v>
      </c>
      <c r="EI25" s="135">
        <f ca="1">RZ[Úroveň 3 bez koef. (P3a)]*RZ[[#This Row],[Počet MJCR (P0) pro "kg"]]</f>
        <v>132020</v>
      </c>
      <c r="EJ25" s="135">
        <f ca="1">IF(OFFSET(BA25,1,0,1,1)&lt;&gt;0,RZ[[#This Row],[Koeficient odhadu CR '[-'] (P1)]]*$BJ25*SUMIFS(RZ[Úroveň 4 s koef. (P3)],RZ[0],AX25,RZ[Úroveň 2 (P0)],AY25,RZ[Úroveň 3 (P0)],AZ25),RZ[[#This Row],[Koeficient odhadu CR '[-'] (P1)]]*$BJ25*$IQ25)</f>
        <v>115</v>
      </c>
      <c r="EK25" s="135">
        <f ca="1">IF(OFFSET(BA25,1,0,1,1)&lt;&gt;0,$BJ25*SUMIFS(RZ[Úroveň 4 bez koef. (P3)],RZ[0],AX25,RZ[Úroveň 2 (P0)],AY25,RZ[Úroveň 3 (P0)],AZ25),$BJ25*$IQ25)</f>
        <v>115</v>
      </c>
      <c r="EL25" s="140">
        <f ca="1">RZ[[#This Row],[Úroveň 4 s koef. (P3a)]]*RZ[[#This Row],[Počet MJCR (P0) pro "kg"]]</f>
        <v>0</v>
      </c>
      <c r="EM25" s="140">
        <f ca="1">RZ[Úroveň 4 bez koef. (P3a)]*RZ[[#This Row],[Počet MJCR (P0) pro "kg"]]</f>
        <v>0</v>
      </c>
      <c r="EN25" s="140">
        <f ca="1">IF(OFFSET(BB25,1,0,1,1)&lt;&gt;0,RZ[[#This Row],[Koeficient odhadu CR '[-'] (P1)]]*$BK25*SUMIFS(RZ[Úroveň 5 s koef. (P3)],RZ[0],AX25,RZ[Úroveň 2 (P0)],AY25,RZ[Úroveň 3 (P0)],AZ25,RZ[Úroveň 4 (P0)],BA25),RZ[[#This Row],[Koeficient odhadu CR '[-'] (P1)]]*$BK25*$IQ25)</f>
        <v>0</v>
      </c>
      <c r="EO25" s="140">
        <f ca="1">IF(OFFSET(BB25,1,0,1,1)&lt;&gt;0,$BK25*SUMIFS(RZ[Úroveň 5 bez koef. (P3)],RZ[0],AX25,RZ[Úroveň 2 (P0)],AY25,RZ[Úroveň 3 (P0)],AZ25,RZ[Úroveň 4 (P0)],BA25),$BK25*$IQ25)</f>
        <v>0</v>
      </c>
      <c r="EP25" s="135">
        <f ca="1">RZ[[#This Row],[Úroveň 5 s koef. (P3a)]]*RZ[[#This Row],[Počet MJCR (P0) pro "kg"]]</f>
        <v>0</v>
      </c>
      <c r="EQ25" s="135">
        <f ca="1">RZ[Úroveň 5 bez koef. (P3a)]*RZ[[#This Row],[Počet MJCR (P0) pro "kg"]]</f>
        <v>0</v>
      </c>
      <c r="ER25" s="135">
        <f ca="1">IF(OFFSET(BC25,1,0,1,1)&lt;&gt;0,RZ[[#This Row],[Koeficient odhadu CR '[-'] (P1)]]*$BL25*SUMIFS(RZ[Úroveň 6 s koef. (P3)],RZ[0],AX25,RZ[Úroveň 2 (P0)],AY25,RZ[Úroveň 3 (P0)],AZ25,RZ[Úroveň 4 (P0)],BA25,RZ[Úroveň 5 (P0)],BB25),RZ[[#This Row],[Koeficient odhadu CR '[-'] (P1)]]*$BL25*$IQ25)</f>
        <v>0</v>
      </c>
      <c r="ES25" s="135">
        <f ca="1">IF(OFFSET(BC25,1,0,1,1)&lt;&gt;0,$BL25*SUMIFS(RZ[Úroveň 6 bez koef. (P3)],RZ[0],AX25,RZ[Úroveň 2 (P0)],AY25,RZ[Úroveň 3 (P0)],AZ25,RZ[Úroveň 4 (P0)],BA25,RZ[Úroveň 5 (P0)],BB25),$BL25*$IQ25)</f>
        <v>0</v>
      </c>
      <c r="ET25" s="140">
        <f ca="1">RZ[[#This Row],[Úroveň 6 s koef. (P3a)]]*RZ[[#This Row],[Počet MJCR (P0) pro "kg"]]</f>
        <v>0</v>
      </c>
      <c r="EU25" s="140">
        <f ca="1">RZ[Úroveň 6 bez koef. (P3a)]*RZ[[#This Row],[Počet MJCR (P0) pro "kg"]]</f>
        <v>0</v>
      </c>
      <c r="EV25" s="140">
        <f ca="1">IF(OFFSET(BD25,1,0,1,1)&lt;&gt;0,RZ[[#This Row],[Koeficient odhadu CR '[-'] (P1)]]*$BM25*SUMIFS(RZ[Úroveň 7 s koef. (P3)],RZ[0],AX25,RZ[Úroveň 2 (P0)],AY25,RZ[Úroveň 3 (P0)],AZ25,RZ[Úroveň 4 (P0)],BA25,RZ[Úroveň 5 (P0)],BB25,RZ[Úroveň 6 (P0)],BC25),RZ[[#This Row],[Koeficient odhadu CR '[-'] (P1)]]*$BM25*$IQ25)</f>
        <v>0</v>
      </c>
      <c r="EW25" s="140">
        <f ca="1">IF(OFFSET(BD25,1,0,1,1)&lt;&gt;0,$BM25*SUMIFS(RZ[Úroveň 7 bez koef. (P3)],RZ[0],AX25,RZ[Úroveň 2 (P0)],AY25,RZ[Úroveň 3 (P0)],AZ25,RZ[Úroveň 4 (P0)],BA25,RZ[Úroveň 5 (P0)],BB25,RZ[Úroveň 6 (P0)],BC25),$BM25*$IQ25)</f>
        <v>0</v>
      </c>
      <c r="EX25" s="135">
        <f ca="1">RZ[[#This Row],[Úroveň 7 s koef. (P3a)]]*RZ[[#This Row],[Počet MJCR (P0) pro "kg"]]</f>
        <v>0</v>
      </c>
      <c r="EY25" s="135">
        <f ca="1">RZ[Úroveň 7 bez koef. (P3a)]*RZ[[#This Row],[Počet MJCR (P0) pro "kg"]]</f>
        <v>0</v>
      </c>
      <c r="EZ25" s="135">
        <f ca="1">IF(OFFSET(BE25,1,0,1,1)&lt;&gt;0,RZ[[#This Row],[Koeficient odhadu CR '[-'] (P1)]]*$BN25*SUMIFS(RZ[Úroveň 8 s koef. (P3)],RZ[0],AX25,RZ[Úroveň 2 (P0)],AY25,RZ[Úroveň 3 (P0)],AZ25,RZ[Úroveň 4 (P0)],BA25,RZ[Úroveň 5 (P0)],BB25,RZ[Úroveň 6 (P0)],BC25,RZ[Úroveň 7 (P0)],BD25),RZ[[#This Row],[Koeficient odhadu CR '[-'] (P1)]]*$BN25*$IQ25)</f>
        <v>0</v>
      </c>
      <c r="FA25" s="135">
        <f ca="1">IF(OFFSET(BE25,1,0,1,1)&lt;&gt;0,$BN25*SUMIFS(RZ[Úroveň 8 bez koef. (P3)],RZ[0],AX25,RZ[Úroveň 2 (P0)],AY25,RZ[Úroveň 3 (P0)],AZ25,RZ[Úroveň 4 (P0)],BA25,RZ[Úroveň 5 (P0)],BB25,RZ[Úroveň 6 (P0)],BC25,RZ[Úroveň 7 (P0)],BD25),$BN25*$IQ25)</f>
        <v>0</v>
      </c>
      <c r="FB25" s="140">
        <f ca="1">RZ[[#This Row],[Úroveň 8 s koef. (P3a)]]*RZ[[#This Row],[Počet MJCR (P0) pro "kg"]]</f>
        <v>0</v>
      </c>
      <c r="FC25" s="140">
        <f ca="1">RZ[Úroveň 8 bez koef. (P3a)]*RZ[[#This Row],[Počet MJCR (P0) pro "kg"]]</f>
        <v>0</v>
      </c>
      <c r="FD25" s="140">
        <f ca="1">IF(OFFSET(BF25,1,0,1,1)&lt;&gt;0,RZ[[#This Row],[Koeficient odhadu CR '[-'] (P1)]]*$BO25*SUMIFS(RZ[Úroveň 9 s koef. (P3)],RZ[0],AX25,RZ[Úroveň 2 (P0)],AY25,RZ[Úroveň 3 (P0)],AZ25,RZ[Úroveň 4 (P0)],BA25,RZ[Úroveň 5 (P0)],BB25,RZ[Úroveň 6 (P0)],BC25,RZ[Úroveň 7 (P0)],BD25,RZ[Úroveň 8 (P0)],BE25),RZ[[#This Row],[Koeficient odhadu CR '[-'] (P1)]]*$BO25*$IQ25)</f>
        <v>0</v>
      </c>
      <c r="FE25" s="140">
        <f ca="1">IF(OFFSET(BF25,1,0,1,1)&lt;&gt;0,$BO25*SUMIFS(RZ[Úroveň 9 bez koef. (P3)],RZ[0],AX25,RZ[Úroveň 2 (P0)],AY25,RZ[Úroveň 3 (P0)],AZ25,RZ[Úroveň 4 (P0)],BA25,RZ[Úroveň 5 (P0)],BB25,RZ[Úroveň 6 (P0)],BC25,RZ[Úroveň 7 (P0)],BD25,RZ[Úroveň 8 (P0)],BE25),$BO25*$IQ25)</f>
        <v>0</v>
      </c>
      <c r="FF25" s="135">
        <f ca="1">RZ[[#This Row],[Úroveň 9 s koef. (P3a)]]*RZ[[#This Row],[Počet MJCR (P0) pro "kg"]]</f>
        <v>0</v>
      </c>
      <c r="FG25" s="135">
        <f ca="1">RZ[Úroveň 9 bez koef. (P3a)]*RZ[[#This Row],[Počet MJCR (P0) pro "kg"]]</f>
        <v>0</v>
      </c>
      <c r="FH25" s="135">
        <f ca="1">IF(OFFSET(BG25,1,0,1,1)&lt;&gt;0,RZ[[#This Row],[Koeficient odhadu CR '[-'] (P1)]]*$BP25*SUMIFS(RZ[Úroveň 10 s koef. (P3)],RZ[0],AX25,RZ[Úroveň 2 (P0)],AY25,RZ[Úroveň 3 (P0)],AZ25,RZ[Úroveň 4 (P0)],BA25,RZ[Úroveň 5 (P0)],BB25,RZ[Úroveň 6 (P0)],BC25,RZ[Úroveň 7 (P0)],BD25,RZ[Úroveň 8 (P0)],BE25,RZ[Úroveň 9 (P0)],BF25),RZ[[#This Row],[Koeficient odhadu CR '[-'] (P1)]]*$BP25*$IQ25)</f>
        <v>0</v>
      </c>
      <c r="FI25" s="135">
        <f ca="1">IF(OFFSET(BG25,1,0,1,1)&lt;&gt;0,$BP25*SUMIFS(RZ[Úroveň 10 bez koef. (P3)],RZ[0],AX25,RZ[Úroveň 2 (P0)],AY25,RZ[Úroveň 3 (P0)],AZ25,RZ[Úroveň 4 (P0)],BA25,RZ[Úroveň 5 (P0)],BB25,RZ[Úroveň 6 (P0)],BC25,RZ[Úroveň 7 (P0)],BD25,RZ[Úroveň 8 (P0)],BE25,RZ[Úroveň 9 (P0)],BF25),$BP25*$IQ25)</f>
        <v>0</v>
      </c>
      <c r="FJ25" s="140">
        <f ca="1">RZ[[#This Row],[Úroveň 10 s koef. (P3a)]]*RZ[[#This Row],[Počet MJCR (P0) pro "kg"]]</f>
        <v>0</v>
      </c>
      <c r="FK25" s="140">
        <f ca="1">RZ[Úroveň 10 bez koef. (P3a)]*RZ[[#This Row],[Počet MJCR (P0) pro "kg"]]</f>
        <v>0</v>
      </c>
      <c r="FL25" s="140">
        <f ca="1">RZ[[#This Row],[Koeficient odhadu CR '[-'] (P1)]]*$BQ25*IQ25</f>
        <v>0</v>
      </c>
      <c r="FM25" s="236">
        <f t="shared" ca="1" si="189"/>
        <v>0</v>
      </c>
      <c r="FN25" s="194">
        <f t="shared" ca="1" si="190"/>
        <v>115</v>
      </c>
      <c r="FO25" s="238">
        <f t="shared" ca="1" si="191"/>
        <v>115</v>
      </c>
      <c r="FP25" s="135">
        <f t="shared" ca="1" si="192"/>
        <v>0</v>
      </c>
      <c r="FQ25" s="135">
        <f t="shared" ca="1" si="193"/>
        <v>0</v>
      </c>
      <c r="FR25" s="135">
        <f t="shared" ca="1" si="194"/>
        <v>1148</v>
      </c>
      <c r="FS25" s="135">
        <f t="shared" ca="1" si="195"/>
        <v>0</v>
      </c>
      <c r="FT25" s="135">
        <f t="shared" ca="1" si="196"/>
        <v>0</v>
      </c>
      <c r="FU25" s="135">
        <f t="shared" ca="1" si="197"/>
        <v>0</v>
      </c>
      <c r="FV25" s="135">
        <f t="shared" ca="1" si="198"/>
        <v>0</v>
      </c>
      <c r="FW25" s="135">
        <f t="shared" ca="1" si="199"/>
        <v>0</v>
      </c>
      <c r="FX25" s="135">
        <f t="shared" ca="1" si="200"/>
        <v>0</v>
      </c>
      <c r="FY25" s="135">
        <f t="shared" ca="1" si="201"/>
        <v>0</v>
      </c>
      <c r="FZ25" s="140">
        <f ca="1">SUMIFS(RZ[Úroveň 1 (P6)],RZ[0],AX25)</f>
        <v>1</v>
      </c>
      <c r="GA25" s="140">
        <f ca="1">SUMIFS(RZ[Úroveň 2 (P6)],RZ[0],AX25,RZ[Úroveň 2 (P0)],AY25)</f>
        <v>1</v>
      </c>
      <c r="GB25" s="140">
        <f ca="1">SUMIFS(RZ[Úroveň 3 (P6)],RZ[0],AX25,RZ[Úroveň 2 (P0)],AY25,RZ[Úroveň 3 (P0)],AZ25)</f>
        <v>1148</v>
      </c>
      <c r="GC25" s="140">
        <f ca="1">SUMIFS(RZ[Úroveň 4 (P6)],RZ[0],AX25,RZ[Úroveň 2 (P0)],AY25,RZ[Úroveň 3 (P0)],AZ25,RZ[Úroveň 4 (P0)],BA25)</f>
        <v>0</v>
      </c>
      <c r="GD25" s="140">
        <f ca="1">SUMIFS(RZ[Úroveň 5 (P6)],RZ[0],AX25,RZ[Úroveň 2 (P0)],AY25,RZ[Úroveň 3 (P0)],AZ25,RZ[Úroveň 4 (P0)],BA25,RZ[Úroveň 5 (P0)],BB25)</f>
        <v>0</v>
      </c>
      <c r="GE25" s="140">
        <f ca="1">SUMIFS(RZ[Úroveň 6 (P6)],RZ[0],AX25,RZ[Úroveň 2 (P0)],AY25,RZ[Úroveň 3 (P0)],AZ25,RZ[Úroveň 4 (P0)],BA25,RZ[Úroveň 5 (P0)],BB25,RZ[Úroveň 6 (P0)],BC25)</f>
        <v>0</v>
      </c>
      <c r="GF25" s="140">
        <f ca="1">SUMIFS(RZ[Úroveň 7 (P6)],RZ[0],AX25,RZ[Úroveň 2 (P0)],AY25,RZ[Úroveň 3 (P0)],AZ25,RZ[Úroveň 4 (P0)],BA25,RZ[Úroveň 5 (P0)],BB25,RZ[Úroveň 6 (P0)],BC25,RZ[Úroveň 7 (P0)],BD25)</f>
        <v>0</v>
      </c>
      <c r="GG25" s="140">
        <f ca="1">SUMIFS(RZ[Úroveň 8 (P6)],RZ[0],AX25,RZ[Úroveň 2 (P0)],AY25,RZ[Úroveň 3 (P0)],AZ25,RZ[Úroveň 4 (P0)],BA25,RZ[Úroveň 5 (P0)],BB25,RZ[Úroveň 6 (P0)],BC25,RZ[Úroveň 7 (P0)],BD25,RZ[Úroveň 8 (P0)],BE25)</f>
        <v>0</v>
      </c>
      <c r="GH25" s="140">
        <f ca="1">SUMIFS(RZ[Úroveň 9 (P6)],RZ[0],AX25,RZ[Úroveň 2 (P0)],AY25,RZ[Úroveň 3 (P0)],AZ25,RZ[Úroveň 4 (P0)],BA25,RZ[Úroveň 5 (P0)],BB25,RZ[Úroveň 6 (P0)],BC25,RZ[Úroveň 7 (P0)],BD25,RZ[Úroveň 8 (P0)],BE25,RZ[Úroveň 9 (P0)],BF25)</f>
        <v>0</v>
      </c>
      <c r="GI25" s="140">
        <f ca="1">SUMIFS(RZ[Úroveň 10 (P6)],RZ[0],AX25,RZ[Úroveň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GJ25" s="918">
        <f t="shared" ca="1" si="202"/>
        <v>1148</v>
      </c>
      <c r="GK25" s="808">
        <f t="shared" si="203"/>
        <v>0</v>
      </c>
      <c r="GL25" s="808">
        <f t="shared" si="204"/>
        <v>0</v>
      </c>
      <c r="GM25" s="808">
        <f t="shared" si="205"/>
        <v>1</v>
      </c>
      <c r="GN25" s="808">
        <f t="shared" si="206"/>
        <v>0</v>
      </c>
      <c r="GO25" s="808">
        <f t="shared" si="207"/>
        <v>0</v>
      </c>
      <c r="GP25" s="808">
        <f t="shared" si="208"/>
        <v>0</v>
      </c>
      <c r="GQ25" s="808">
        <f t="shared" si="209"/>
        <v>0</v>
      </c>
      <c r="GR25" s="808">
        <f t="shared" si="210"/>
        <v>0</v>
      </c>
      <c r="GS25" s="808">
        <f t="shared" si="211"/>
        <v>0</v>
      </c>
      <c r="GT25" s="808">
        <f t="shared" si="212"/>
        <v>0</v>
      </c>
      <c r="GU25" s="809">
        <f ca="1">SUMIFS(RZ[Sloupec1],RZ[0],AX25)</f>
        <v>1</v>
      </c>
      <c r="GV25" s="809">
        <f ca="1">SUMIFS(RZ[Sloupec2],RZ[0],AX25,RZ[Úroveň 2 (P0)],AY25)</f>
        <v>1</v>
      </c>
      <c r="GW25" s="809">
        <f ca="1">SUMIFS(RZ[Sloupec3],RZ[0],AX25,RZ[Úroveň 2 (P0)],AY25,RZ[Úroveň 3 (P0)],AZ25)</f>
        <v>1</v>
      </c>
      <c r="GX25" s="809">
        <f ca="1">SUMIFS(RZ[Sloupec4],RZ[0],AX25,RZ[Úroveň 2 (P0)],AY25,RZ[Úroveň 3 (P0)],AZ25,RZ[Úroveň 4 (P0)],BA25)</f>
        <v>0</v>
      </c>
      <c r="GY25" s="809">
        <f ca="1">SUMIFS(RZ[Sloupec5],RZ[0],AX25,RZ[Úroveň 2 (P0)],AY25,RZ[Úroveň 3 (P0)],AZ25,RZ[Úroveň 4 (P0)],BA25,RZ[Úroveň 5 (P0)],BB25)</f>
        <v>0</v>
      </c>
      <c r="GZ25" s="809">
        <f ca="1">SUMIFS(RZ[Sloupec6],RZ[0],AX25,RZ[Úroveň 2 (P0)],AY25,RZ[Úroveň 3 (P0)],AZ25,RZ[Úroveň 4 (P0)],BA25,RZ[Úroveň 5 (P0)],BB25,RZ[Úroveň 6 (P0)],BC25)</f>
        <v>0</v>
      </c>
      <c r="HA25" s="809">
        <f ca="1">SUMIFS(RZ[Sloupec62],RZ[0],AX25,RZ[Úroveň 2 (P0)],AY25,RZ[Úroveň 3 (P0)],AZ25,RZ[Úroveň 4 (P0)],BA25,RZ[Úroveň 5 (P0)],BB25,RZ[Úroveň 6 (P0)],BC25,RZ[Úroveň 7 (P0)],BD25)</f>
        <v>0</v>
      </c>
      <c r="HB25" s="809">
        <f ca="1">SUMIFS(RZ[Sloupec63],RZ[0],AX25,RZ[Úroveň 2 (P0)],AY25,RZ[Úroveň 3 (P0)],AZ25,RZ[Úroveň 4 (P0)],BA25,RZ[Úroveň 5 (P0)],BB25,RZ[Úroveň 6 (P0)],BC25,RZ[Úroveň 7 (P0)],BD25,RZ[Úroveň 8 (P0)],BE25)</f>
        <v>0</v>
      </c>
      <c r="HC25" s="809">
        <f ca="1">SUMIFS(RZ[Sloupec64],RZ[0],AX25,RZ[Úroveň 2 (P0)],AY25,RZ[Úroveň 3 (P0)],AZ25,RZ[Úroveň 4 (P0)],BA25,RZ[Úroveň 5 (P0)],BB25,RZ[Úroveň 6 (P0)],BC25,RZ[Úroveň 7 (P0)],BD25,RZ[Úroveň 8 (P0)],BE25,RZ[Úroveň 9 (P0)],BF25)</f>
        <v>0</v>
      </c>
      <c r="HD25" s="809">
        <f ca="1">SUMIFS(RZ[Sloupec65],RZ[0],AX25,RZ[Úroveň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HE25" s="919">
        <f t="shared" ca="1" si="213"/>
        <v>1</v>
      </c>
      <c r="HF25" s="920" t="str">
        <f t="shared" si="214"/>
        <v/>
      </c>
      <c r="HG25" s="94" t="str">
        <f t="shared" si="215"/>
        <v/>
      </c>
      <c r="HH25" s="95" t="str">
        <f t="shared" si="216"/>
        <v/>
      </c>
      <c r="HI25" s="95" t="str">
        <f t="shared" si="217"/>
        <v>Hřídel</v>
      </c>
      <c r="HJ25" s="96" t="str">
        <f t="shared" si="218"/>
        <v/>
      </c>
      <c r="HK25" s="96" t="str">
        <f t="shared" si="219"/>
        <v/>
      </c>
      <c r="HL25" s="96" t="str">
        <f t="shared" si="220"/>
        <v/>
      </c>
      <c r="HM25" s="96" t="str">
        <f t="shared" si="221"/>
        <v/>
      </c>
      <c r="HN25" s="96" t="str">
        <f t="shared" si="222"/>
        <v/>
      </c>
      <c r="HO25" s="96" t="str">
        <f t="shared" si="223"/>
        <v/>
      </c>
      <c r="HP25" s="96" t="str">
        <f t="shared" si="224"/>
        <v/>
      </c>
      <c r="HQ25" s="145" t="str">
        <f t="shared" si="225"/>
        <v>STO2</v>
      </c>
      <c r="HR25" s="921" t="str">
        <f t="shared" si="226"/>
        <v/>
      </c>
      <c r="HS25" s="173">
        <f t="shared" si="227"/>
        <v>0</v>
      </c>
      <c r="HT25" s="100">
        <f t="shared" si="228"/>
        <v>0</v>
      </c>
      <c r="HU25" s="100">
        <f t="shared" si="229"/>
        <v>0</v>
      </c>
      <c r="HV25" s="908">
        <f t="shared" si="230"/>
        <v>0</v>
      </c>
      <c r="HW25" s="922">
        <f t="shared" si="231"/>
        <v>0</v>
      </c>
      <c r="HX25" s="224">
        <f t="shared" si="232"/>
        <v>0</v>
      </c>
      <c r="HY25" s="263" t="str">
        <f t="shared" si="233"/>
        <v>S</v>
      </c>
      <c r="HZ25" s="263">
        <f t="shared" si="234"/>
        <v>0</v>
      </c>
      <c r="IA25" s="150">
        <f t="shared" si="235"/>
        <v>1</v>
      </c>
      <c r="IB25" s="319">
        <f t="shared" si="236"/>
        <v>0</v>
      </c>
      <c r="IC25" s="923">
        <f t="shared" si="237"/>
        <v>0</v>
      </c>
      <c r="ID25" s="924" t="str">
        <f t="shared" ca="1" si="238"/>
        <v>OK</v>
      </c>
      <c r="IE25" s="201" t="str">
        <f t="shared" si="239"/>
        <v>ks</v>
      </c>
      <c r="IF25" s="145">
        <f t="shared" si="240"/>
        <v>2</v>
      </c>
      <c r="IG25" s="216">
        <f t="shared" si="241"/>
        <v>574</v>
      </c>
      <c r="IH25" s="217">
        <f t="shared" si="242"/>
        <v>1</v>
      </c>
      <c r="II25" s="224" t="str">
        <f ca="1">IF(RZ[[#This Row],[Rozhodný sloupec indikativní ceny]]=1,"kg",IF($IW25=$JL$15,IF(JX25=0,JO25,JX25),IF($IW25=$KE$15,IF(KQ25=0,KH25,KQ25),IF($IW25=$KX$15,IF(LJ25=0,LA25,LJ25),IF($IW25=$LQ$15,IF(MC25=0,LT25,MC25),IF($IW25=$MJ$15,IF(NQ25=0,NH25,NQ25),0))))))</f>
        <v>kg</v>
      </c>
      <c r="IJ25" s="224">
        <f ca="1">IF((BH25+OFFSET(BH25,1,1,1,1))=2,RZ[[#This Row],[Počet MJHR (P0)]],IF((BI25+OFFSET(BI25,1,1,1,1))=2,RZ[[#This Row],[Počet MJHR (P0)]],IF((BJ25+OFFSET(BJ25,1,1,1,1))=2,RZ[[#This Row],[Počet MJHR (P0)]],IF((BK25+OFFSET(BK25,1,1,1,1))=2,RZ[[#This Row],[Počet MJHR (P0)]],IF((BL25+OFFSET(BL25,1,1,1,1))=2,RZ[[#This Row],[Počet MJHR (P0)]],IF((BM25+OFFSET(BM25,1,1,1,1))=2,RZ[[#This Row],[Počet MJHR (P0)]],IF((BN25+OFFSET(BN25,1,1,1,1))=2,RZ[[#This Row],[Počet MJHR (P0)]],IF((BO25+OFFSET(BO25,1,1,1,1))=2,RZ[[#This Row],[Počet MJHR (P0)]],IF((BP25+OFFSET(BP25,1,1,1,1))=2,RZ[[#This Row],[Počet MJHR (P0)]],IF((BQ25+OFFSET(BQ25,1,1,1,1))=2,RZ[[#This Row],[Počet MJHR (P0)]],IF(RZ[[#This Row],[Měrná jednotka CR (MJCR) (P0)]]=RZ[[#This Row],[Měrná jednotka HR '[MJHR'] (P0)]],RZ[[#This Row],[Počet MJHR (P0)]],IF($IW25=$JL$15,JY25,IF($IW25=$KE$15,KR25,IF($IW25=$KX$15,LK25,IF($IW25=$LQ$15,MD25,IF($IW25=$MJ$15,NR25,0))))))))))))))))</f>
        <v>0</v>
      </c>
      <c r="IK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1148</v>
      </c>
      <c r="IL25" s="145">
        <f ca="1">IF(AND(RZ[[#This Row],[Jednotková cena bez DPH '[cena/MJCR'] (P0)]]=0,RZ[[#This Row],[Indikativní jednotková cena '[CZK/kg'] (P1)]]&lt;&gt;0),1,0)</f>
        <v>1</v>
      </c>
      <c r="IM25" s="217">
        <f ca="1">VLOOKUP(RZ[[#This Row],[Kód položek]],INDIKAT_CENA,2,FALSE)</f>
        <v>115</v>
      </c>
      <c r="IN25" s="222">
        <f ca="1">IF(RZ[[#This Row],[Rozhodný sloupec indikativní ceny]]=1,RZ[[#This Row],[Indikativní jednotková cena '[CZK/kg'] (P1)]],RZ[[#This Row],[Jednotková cena bez DPH '[cena/MJCR'] (P0)]])</f>
        <v>115</v>
      </c>
      <c r="IO25" s="222">
        <f t="shared" si="243"/>
        <v>1</v>
      </c>
      <c r="IP25" s="224">
        <f ca="1">IF(RZ[[#This Row],[Rozhodný sloupec indikativní ceny]]=1,1,IF($IW25=$JL$15,KA25,IF($IW25=$KE$15,KT25,IF($IW25=$KX$15,LM25,IF($IW25=$LQ$15,MF25,IF($IW25=$MJ$15,NT25,0))))))</f>
        <v>1</v>
      </c>
      <c r="IQ25" s="225">
        <f ca="1">IF(RZ[[#This Row],[Jednotková cena bez DPH '[cena/MJCR'] (P1)]]="",0,IF(IP25=0,0,(RZ[[#This Row],[Jednotková cena bez DPH '[cena/MJCR'] (P1)]]*VLOOKUP(IP25,$BR$7:$BT$10,3))))</f>
        <v>115</v>
      </c>
      <c r="IR25" s="737"/>
      <c r="IS25" s="627">
        <f>IF(HY25=0,"",VLOOKUP(RZ[[#This Row],[Stav Projekce (P0)]],Vstupy!$E$11:'Vstupy'!$E$11:$H$17,4,FALSE))</f>
        <v>100</v>
      </c>
      <c r="IT25" s="925" t="str">
        <f>IF(RZ[[#This Row],[Stav Projekce (P0)]]=0,"",RZ[[#This Row],[Stav Projekce (P0)]])</f>
        <v>S</v>
      </c>
      <c r="IU25" s="925" t="str">
        <f>IF(RZ[[#This Row],[Stav Nákup (P0)]]=0,"",RZ[[#This Row],[Stav Nákup (P0)]])</f>
        <v/>
      </c>
      <c r="IV25" s="926" t="str">
        <f t="shared" si="244"/>
        <v/>
      </c>
      <c r="IW25" s="641">
        <v>1</v>
      </c>
      <c r="IX25" s="630"/>
      <c r="IY25" s="264"/>
      <c r="IZ25" s="648"/>
      <c r="JA25" s="100"/>
      <c r="JB25" s="100" t="s">
        <v>806</v>
      </c>
      <c r="JC25" s="100"/>
      <c r="JD25" s="100"/>
      <c r="JE25" s="100"/>
      <c r="JF25" s="100"/>
      <c r="JG25" s="100"/>
      <c r="JH25" s="100"/>
      <c r="JI25" s="100"/>
      <c r="JJ25" s="145" t="s">
        <v>773</v>
      </c>
      <c r="JK25" s="529"/>
      <c r="JL25" s="286"/>
      <c r="JM25" s="100"/>
      <c r="JN25" s="100"/>
      <c r="JO25" s="145" t="s">
        <v>35</v>
      </c>
      <c r="JP25" s="117">
        <v>2</v>
      </c>
      <c r="JQ25" s="117">
        <v>574</v>
      </c>
      <c r="JR25" s="148">
        <v>1</v>
      </c>
      <c r="JS25" s="145" t="s">
        <v>602</v>
      </c>
      <c r="JT25" s="631"/>
      <c r="JU25" s="148"/>
      <c r="JV25" s="154"/>
      <c r="JW25" s="145"/>
      <c r="JX25" s="210"/>
      <c r="JY25" s="117"/>
      <c r="JZ25" s="662"/>
      <c r="KA25" s="145"/>
      <c r="KB25" s="148"/>
      <c r="KC25" s="148"/>
      <c r="KD25" s="644"/>
      <c r="KE25" s="286"/>
      <c r="KF25" s="100"/>
      <c r="KG25" s="100"/>
      <c r="KH25" s="210"/>
      <c r="KI25" s="117"/>
      <c r="KJ25" s="117"/>
      <c r="KK25" s="148"/>
      <c r="KL25" s="145"/>
      <c r="KM25" s="632"/>
      <c r="KN25" s="148"/>
      <c r="KO25" s="154"/>
      <c r="KP25" s="154"/>
      <c r="KQ25" s="210"/>
      <c r="KR25" s="117"/>
      <c r="KS25" s="211"/>
      <c r="KT25" s="145"/>
      <c r="KU25" s="148"/>
      <c r="KV25" s="148"/>
      <c r="KW25" s="265"/>
      <c r="KX25" s="286"/>
      <c r="KY25" s="100"/>
      <c r="KZ25" s="100"/>
      <c r="LA25" s="210"/>
      <c r="LB25" s="117"/>
      <c r="LC25" s="117"/>
      <c r="LD25" s="148"/>
      <c r="LE25" s="145"/>
      <c r="LF25" s="632"/>
      <c r="LG25" s="148"/>
      <c r="LH25" s="154"/>
      <c r="LI25" s="154"/>
      <c r="LJ25" s="154"/>
      <c r="LK25" s="117"/>
      <c r="LL25" s="211"/>
      <c r="LM25" s="210"/>
      <c r="LN25" s="148"/>
      <c r="LO25" s="148"/>
      <c r="LP25" s="265"/>
      <c r="LQ25" s="286"/>
      <c r="LR25" s="100"/>
      <c r="LS25" s="100"/>
      <c r="LT25" s="210"/>
      <c r="LU25" s="117"/>
      <c r="LV25" s="117"/>
      <c r="LW25" s="148"/>
      <c r="LX25" s="145"/>
      <c r="LY25" s="632"/>
      <c r="LZ25" s="148"/>
      <c r="MA25" s="154"/>
      <c r="MB25" s="154"/>
      <c r="MC25" s="145"/>
      <c r="MD25" s="117"/>
      <c r="ME25" s="211"/>
      <c r="MF25" s="210"/>
      <c r="MG25" s="148"/>
      <c r="MH25" s="148"/>
      <c r="MI25" s="265"/>
      <c r="MJ25" s="647"/>
      <c r="MK25" s="264"/>
      <c r="ML25" s="153"/>
      <c r="MM25" s="153"/>
      <c r="MN25" s="153"/>
      <c r="MO25" s="153"/>
      <c r="MP25" s="153"/>
      <c r="MQ25" s="153"/>
      <c r="MR25" s="153"/>
      <c r="MS25" s="99"/>
      <c r="MT25" s="99"/>
      <c r="MU25" s="99"/>
      <c r="MV25" s="99"/>
      <c r="MW25" s="99"/>
      <c r="MX25" s="99"/>
      <c r="MY25" s="153"/>
      <c r="MZ25" s="153"/>
      <c r="NA25" s="153"/>
      <c r="NB25" s="153"/>
      <c r="NC25" s="153"/>
      <c r="ND25" s="153"/>
      <c r="NE25" s="148"/>
      <c r="NF25" s="153"/>
      <c r="NG25" s="153"/>
      <c r="NH25" s="330" t="str">
        <f t="shared" si="245"/>
        <v>ks</v>
      </c>
      <c r="NI25" s="797">
        <f>RZ[[#This Row],[Počet ks (K)]]</f>
        <v>0</v>
      </c>
      <c r="NJ25" s="798">
        <f>RZ[[#This Row],[Hmotnost '[kg/ks'] (K)]]</f>
        <v>0</v>
      </c>
      <c r="NK25" s="148"/>
      <c r="NL25" s="145"/>
      <c r="NM25" s="632"/>
      <c r="NN25" s="148"/>
      <c r="NO25" s="154"/>
      <c r="NP25" s="153"/>
      <c r="NQ25" s="153"/>
      <c r="NR25" s="210"/>
      <c r="NS25" s="148"/>
      <c r="NT25" s="210"/>
      <c r="NU25" s="148"/>
      <c r="NV25" s="148"/>
      <c r="NW25" s="175"/>
    </row>
    <row r="26" spans="2:387" ht="15.95" customHeight="1" x14ac:dyDescent="0.35">
      <c r="B26" s="118" t="str">
        <f t="shared" si="129"/>
        <v/>
      </c>
      <c r="C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6" s="262" t="str">
        <f t="shared" si="130"/>
        <v xml:space="preserve">    Podpěra</v>
      </c>
      <c r="E26" s="120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Row],[Kód položek (P2)]]))))))))))</f>
        <v>OKS2</v>
      </c>
      <c r="F26" s="791" t="str">
        <f t="shared" si="131"/>
        <v>N/A</v>
      </c>
      <c r="G26" s="792" t="str">
        <f t="shared" si="132"/>
        <v/>
      </c>
      <c r="H26" s="262" t="str">
        <f t="shared" si="133"/>
        <v/>
      </c>
      <c r="I26" s="123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HR '[MJHR'] (P0)]]))))))))))</f>
        <v>ks</v>
      </c>
      <c r="J26" s="123">
        <f t="shared" si="134"/>
        <v>2</v>
      </c>
      <c r="K26" s="793">
        <f>RZ[[#This Row],[Koeficient odhadu HR '[-'] (P1)]]</f>
        <v>1</v>
      </c>
      <c r="L26" s="124">
        <f ca="1">RZ[[#This Row],[Jednotková hmotnost s koef. '[kg/MJHR'] (P0)]]</f>
        <v>66.7</v>
      </c>
      <c r="M26" s="794">
        <f t="shared" ca="1" si="135"/>
        <v>0</v>
      </c>
      <c r="N26" s="125">
        <f t="shared" ca="1" si="136"/>
        <v>133.4</v>
      </c>
      <c r="O26" s="125">
        <f t="shared" ca="1" si="137"/>
        <v>0</v>
      </c>
      <c r="P26" s="126" t="str">
        <f t="shared" si="138"/>
        <v/>
      </c>
      <c r="Q26" s="795">
        <f ca="1">RZ[[#This Row],[Počet MJHR v rozpadu (P0)]]</f>
        <v>2</v>
      </c>
      <c r="R26" s="439" t="str">
        <f t="shared" si="139"/>
        <v/>
      </c>
      <c r="S26" s="129" t="str">
        <f t="shared" si="140"/>
        <v/>
      </c>
      <c r="T26" s="126" t="str">
        <f t="shared" si="141"/>
        <v/>
      </c>
      <c r="U26" s="126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CR (MJCR) (P0)]]))))))))))</f>
        <v>kg</v>
      </c>
      <c r="V26" s="575">
        <f t="shared" ca="1" si="142"/>
        <v>133.4</v>
      </c>
      <c r="W26" s="322">
        <f>RZ[[#This Row],[Koeficient odhadu CR '[-'] (P1)]]</f>
        <v>1</v>
      </c>
      <c r="X26" s="440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Row],[Jednotková cena bez DPH '[cena/MJCR'] (P1)]]*RZ[[#This Row],[Koeficient odhadu CR '[-']]]))))))))))</f>
        <v>110</v>
      </c>
      <c r="Y26" s="440">
        <f t="shared" ca="1" si="143"/>
        <v>0</v>
      </c>
      <c r="Z26" s="142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VLOOKUP(IP26,$BR$7:$BS$11,2,FALSE)))))))))))</f>
        <v>CZK</v>
      </c>
      <c r="AA26" s="909">
        <f t="shared" ca="1" si="144"/>
        <v>133.4</v>
      </c>
      <c r="AB26" s="910">
        <f ca="1">RZ[[#This Row],[Kumulovaný koeficient v rozpadu (P0)]]</f>
        <v>1</v>
      </c>
      <c r="AC26" s="261"/>
      <c r="AD26" s="796">
        <f ca="1">RZ[[#This Row],[Jednotková cena bez DPH '[cena/MJCR'] s koef. (P0)]]/RZ[[#This Row],[Koeficient odhadu CR '[-']]]*RZ[[#This Row],[Kumulovaný koeficient odhadu CR  '[-']]]</f>
        <v>110</v>
      </c>
      <c r="AE26" s="796">
        <f t="shared" ca="1" si="145"/>
        <v>14674</v>
      </c>
      <c r="AF26" s="796">
        <f ca="1">-IF(ISNUMBER(AA26),RZ[[#This Row],[Celková cena bez DPH (1)]]-RZ[[#This Row],[Jednotková cena bez DPH '[cena/MJCR'] bez koef. (P0)]]*AA26,0)</f>
        <v>0</v>
      </c>
      <c r="AG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26" s="261"/>
      <c r="AI26" s="796">
        <f t="shared" ca="1" si="146"/>
        <v>4.0740740740740744</v>
      </c>
      <c r="AJ26" s="796">
        <f t="shared" ca="1" si="147"/>
        <v>543.48148148148152</v>
      </c>
      <c r="AK26" s="796">
        <f t="shared" ca="1" si="148"/>
        <v>0</v>
      </c>
      <c r="AL26" s="753">
        <f ca="1">RZ[[#This Row],[Kilogramová cena bez DPH '[cena/kg'] (1)]]/$AK$13</f>
        <v>4.0740740740740744</v>
      </c>
      <c r="AM26" s="261"/>
      <c r="AN26" s="796">
        <f t="shared" ca="1" si="149"/>
        <v>5.3140096618357493</v>
      </c>
      <c r="AO26" s="796">
        <f t="shared" ca="1" si="150"/>
        <v>708.88888888888891</v>
      </c>
      <c r="AP26" s="796">
        <f t="shared" ca="1" si="151"/>
        <v>0</v>
      </c>
      <c r="AQ26" s="753">
        <f ca="1">RZ[[#This Row],[Kilogramová cena bez DPH '[cena/kg'] (1)]]/$AP$13</f>
        <v>5.3140096618357493</v>
      </c>
      <c r="AR26" s="261"/>
      <c r="AS26" s="796">
        <f t="shared" ca="1" si="152"/>
        <v>3.0087527352297592</v>
      </c>
      <c r="AT26" s="796">
        <f t="shared" ca="1" si="153"/>
        <v>401.36761487964986</v>
      </c>
      <c r="AU26" s="789">
        <f t="shared" ca="1" si="154"/>
        <v>0</v>
      </c>
      <c r="AV26" s="767">
        <f ca="1">RZ[[#This Row],[Kilogramová cena bez DPH '[cena/kg'] (1)]]/$AU$13</f>
        <v>3.0087527352297592</v>
      </c>
      <c r="AW26" s="165"/>
      <c r="AX26" s="911">
        <f t="shared" ca="1" si="155"/>
        <v>2</v>
      </c>
      <c r="AY26" s="111">
        <f t="shared" ca="1" si="156"/>
        <v>1</v>
      </c>
      <c r="AZ26" s="111">
        <f t="shared" ca="1" si="157"/>
        <v>7</v>
      </c>
      <c r="BA26" s="111">
        <f t="shared" ca="1" si="158"/>
        <v>0</v>
      </c>
      <c r="BB26" s="111">
        <f t="shared" ca="1" si="159"/>
        <v>0</v>
      </c>
      <c r="BC26" s="111">
        <f t="shared" ca="1" si="160"/>
        <v>0</v>
      </c>
      <c r="BD26" s="111">
        <f t="shared" ca="1" si="161"/>
        <v>0</v>
      </c>
      <c r="BE26" s="111">
        <f t="shared" ca="1" si="162"/>
        <v>0</v>
      </c>
      <c r="BF26" s="111">
        <f t="shared" ca="1" si="163"/>
        <v>0</v>
      </c>
      <c r="BG26" s="112">
        <f t="shared" ca="1" si="164"/>
        <v>0</v>
      </c>
      <c r="BH26" s="911">
        <f t="shared" si="165"/>
        <v>0</v>
      </c>
      <c r="BI26" s="111">
        <f t="shared" si="166"/>
        <v>0</v>
      </c>
      <c r="BJ26" s="111">
        <f t="shared" si="167"/>
        <v>1</v>
      </c>
      <c r="BK26" s="111">
        <f t="shared" si="168"/>
        <v>0</v>
      </c>
      <c r="BL26" s="111">
        <f t="shared" si="169"/>
        <v>0</v>
      </c>
      <c r="BM26" s="111">
        <f t="shared" si="170"/>
        <v>0</v>
      </c>
      <c r="BN26" s="111">
        <f t="shared" si="171"/>
        <v>0</v>
      </c>
      <c r="BO26" s="111">
        <f t="shared" si="172"/>
        <v>0</v>
      </c>
      <c r="BP26" s="111">
        <f t="shared" si="173"/>
        <v>0</v>
      </c>
      <c r="BQ26" s="112">
        <f t="shared" si="174"/>
        <v>0</v>
      </c>
      <c r="BR26" s="132">
        <f ca="1">IF(OFFSET(AY26,1,0,1,1)&lt;&gt;0,RZ[[#This Row],[Koeficient odhadu HR '[-'] (P1)]]*$BH26*SUMIFS(RZ[Úroveň 2 s koef. (P2)],RZ[0],AX26),RZ[[#This Row],[Koeficient odhadu HR '[-'] (P1)]]*$BH26*$IG26)</f>
        <v>0</v>
      </c>
      <c r="BS26" s="186">
        <f ca="1">IF(OFFSET(AY26,1,0,1,1)&lt;&gt;0,$BH26*SUMIFS(RZ[Úroveň 2 bez koef. (P2)],RZ[0],AX26),$BH26*$IG26)</f>
        <v>0</v>
      </c>
      <c r="BT26" s="138">
        <f ca="1">RZ[[#This Row],[Úroveň 2 s koef. (P2a)]]*RZ[[#This Row],[Počet MJHR (P0)]]</f>
        <v>0</v>
      </c>
      <c r="BU26" s="138">
        <f ca="1">RZ[[#This Row],[Úroveň 2 bez koef. (P2a)]]*RZ[[#This Row],[Počet MJHR (P0)]]</f>
        <v>0</v>
      </c>
      <c r="BV26" s="138">
        <f ca="1">IF(OFFSET(AZ26,1,0,1,1)&lt;&gt;0,RZ[[#This Row],[Koeficient odhadu HR '[-'] (P1)]]*$BI26*SUMIFS(RZ[Úroveň 3 s koef. (P2)],RZ[0],AX26,RZ[Úroveň 2 (P0)],AY26),RZ[[#This Row],[Koeficient odhadu HR '[-'] (P1)]]*$BI26*$IG26)</f>
        <v>0</v>
      </c>
      <c r="BW26" s="138">
        <f ca="1">IF(OFFSET(AZ26,1,0,1,1)&lt;&gt;0,$BI26*SUMIFS(RZ[Úroveň 3 bez koef. (P2)],RZ[0],AX26,RZ[Úroveň 2 (P0)],AY26),$BI26*$IG26)</f>
        <v>0</v>
      </c>
      <c r="BX26" s="132">
        <f ca="1">RZ[[#This Row],[Úroveň 3 s koef. (P2a)]]*RZ[[#This Row],[Počet MJHR (P0)]]</f>
        <v>133.4</v>
      </c>
      <c r="BY26" s="132">
        <f ca="1">RZ[Úroveň 3 bez koef. (P2a)]*RZ[[#This Row],[Počet MJHR (P0)]]</f>
        <v>133.4</v>
      </c>
      <c r="BZ26" s="132">
        <f ca="1">IF(OFFSET(BA26,1,0,1,1)&lt;&gt;0,RZ[[#This Row],[Koeficient odhadu HR '[-'] (P1)]]*$BJ26*SUMIFS(RZ[Úroveň 4 s koef. (P2)],RZ[0],AX26,RZ[Úroveň 2 (P0)],AY26,RZ[Úroveň 3 (P0)],AZ26),RZ[[#This Row],[Koeficient odhadu HR '[-'] (P1)]]*$BJ26*$IG26)</f>
        <v>66.7</v>
      </c>
      <c r="CA26" s="132">
        <f ca="1">IF(OFFSET(BA26,1,0,1,1)&lt;&gt;0,$BJ26*SUMIFS(RZ[Úroveň 4 bez koef. (P2)],RZ[0],AX26,RZ[Úroveň 2 (P0)],AY26,RZ[Úroveň 3 (P0)],AZ26),$BJ26*$IG26)</f>
        <v>66.7</v>
      </c>
      <c r="CB26" s="138">
        <f ca="1">RZ[[#This Row],[Úroveň 4 s koef. (P2a)]]*RZ[[#This Row],[Počet MJHR (P0)]]</f>
        <v>0</v>
      </c>
      <c r="CC26" s="138">
        <f ca="1">RZ[Úroveň 4 bez koef. (P2a)]*RZ[[#This Row],[Počet MJHR (P0)]]</f>
        <v>0</v>
      </c>
      <c r="CD26" s="138">
        <f ca="1">IF(OFFSET(BB26,1,0,1,1)&lt;&gt;0,RZ[[#This Row],[Koeficient odhadu HR '[-'] (P1)]]*$BK26*SUMIFS(RZ[Úroveň 5 s koef. (P2)],RZ[0],AX26,RZ[Úroveň 2 (P0)],AY26,RZ[Úroveň 3 (P0)],AZ26,RZ[Úroveň 4 (P0)],BA26),RZ[[#This Row],[Koeficient odhadu HR '[-'] (P1)]]*$BK26*$IG26)</f>
        <v>0</v>
      </c>
      <c r="CE26" s="138">
        <f ca="1">IF(OFFSET(BB26,1,0,1,1)&lt;&gt;0,$BK26*SUMIFS(RZ[Úroveň 5 bez koef. (P2)],RZ[0],AX26,RZ[Úroveň 2 (P0)],AY26,RZ[Úroveň 3 (P0)],AZ26,RZ[Úroveň 4 (P0)],BA26),$BK26*$IG26)</f>
        <v>0</v>
      </c>
      <c r="CF26" s="132">
        <f ca="1">RZ[[#This Row],[Úroveň 5 s koef. (P2a)]]*RZ[[#This Row],[Počet MJHR (P0)]]</f>
        <v>0</v>
      </c>
      <c r="CG26" s="132">
        <f ca="1">RZ[Úroveň 5 bez koef. (P2a)]*RZ[[#This Row],[Počet MJHR (P0)]]</f>
        <v>0</v>
      </c>
      <c r="CH26" s="132">
        <f ca="1">IF(OFFSET(BC26,1,0,1,1)&lt;&gt;0,RZ[[#This Row],[Koeficient odhadu HR '[-'] (P1)]]*$BL26*SUMIFS(RZ[Úroveň 6 s koef. (P2)],RZ[0],AX26,RZ[Úroveň 2 (P0)],AY26,RZ[Úroveň 3 (P0)],AZ26,RZ[Úroveň 4 (P0)],BA26,RZ[Úroveň 5 (P0)],BB26),RZ[[#This Row],[Koeficient odhadu HR '[-'] (P1)]]*$BL26*$IG26)</f>
        <v>0</v>
      </c>
      <c r="CI26" s="132">
        <f ca="1">IF(OFFSET(BC26,1,0,1,1)&lt;&gt;0,$BL26*SUMIFS(RZ[Úroveň 6 bez koef. (P2)],RZ[0],AX26,RZ[Úroveň 2 (P0)],AY26,RZ[Úroveň 3 (P0)],AZ26,RZ[Úroveň 4 (P0)],BA26,RZ[Úroveň 5 (P0)],BB26),$BL26*$IG26)</f>
        <v>0</v>
      </c>
      <c r="CJ26" s="138">
        <f ca="1">RZ[[#This Row],[Úroveň 6 s koef. (P2a)]]*RZ[[#This Row],[Počet MJHR (P0)]]</f>
        <v>0</v>
      </c>
      <c r="CK26" s="138">
        <f ca="1">RZ[Úroveň 6 bez koef. (P2a)]*RZ[[#This Row],[Počet MJHR (P0)]]</f>
        <v>0</v>
      </c>
      <c r="CL26" s="138">
        <f ca="1">IF(OFFSET(BD26,1,0,1,1)&lt;&gt;0,RZ[[#This Row],[Koeficient odhadu HR '[-'] (P1)]]*$BM26*SUMIFS(RZ[Úroveň 7 s koef. (P2)],RZ[0],AX26,RZ[Úroveň 2 (P0)],AY26,RZ[Úroveň 3 (P0)],AZ26,RZ[Úroveň 4 (P0)],BA26,RZ[Úroveň 5 (P0)],BB26,RZ[Úroveň 6 (P0)],BC26),RZ[[#This Row],[Koeficient odhadu HR '[-'] (P1)]]*$BM26*$IG26)</f>
        <v>0</v>
      </c>
      <c r="CM26" s="138">
        <f ca="1">IF(OFFSET(BD26,1,0,1,1)&lt;&gt;0,$BM26*SUMIFS(RZ[Úroveň 7 bez koef. (P2)],RZ[0],AX26,RZ[Úroveň 2 (P0)],AY26,RZ[Úroveň 3 (P0)],AZ26,RZ[Úroveň 4 (P0)],BA26,RZ[Úroveň 5 (P0)],BB26,RZ[Úroveň 6 (P0)],BC26),$BM26*$IG26)</f>
        <v>0</v>
      </c>
      <c r="CN26" s="132">
        <f ca="1">RZ[[#This Row],[Úroveň 7 s koef. (P2a)]]*RZ[[#This Row],[Počet MJHR (P0)]]</f>
        <v>0</v>
      </c>
      <c r="CO26" s="132">
        <f ca="1">RZ[Úroveň 7 bez koef. (P2a)]*RZ[[#This Row],[Počet MJHR (P0)]]</f>
        <v>0</v>
      </c>
      <c r="CP26" s="132">
        <f ca="1">IF(OFFSET(BE26,1,0,1,1)&lt;&gt;0,RZ[[#This Row],[Koeficient odhadu HR '[-'] (P1)]]*$BN26*SUMIFS(RZ[Úroveň 8 s koef. (P2)],RZ[0],AX26,RZ[Úroveň 2 (P0)],AY26,RZ[Úroveň 3 (P0)],AZ26,RZ[Úroveň 4 (P0)],BA26,RZ[Úroveň 5 (P0)],BB26,RZ[Úroveň 6 (P0)],BC26,RZ[Úroveň 7 (P0)],BD26),RZ[[#This Row],[Koeficient odhadu HR '[-'] (P1)]]*$BN26*$IG26)</f>
        <v>0</v>
      </c>
      <c r="CQ26" s="132">
        <f ca="1">IF(OFFSET(BE26,1,0,1,1)&lt;&gt;0,$BN26*SUMIFS(RZ[Úroveň 8 bez koef. (P2)],RZ[0],AX26,RZ[Úroveň 2 (P0)],AY26,RZ[Úroveň 3 (P0)],AZ26,RZ[Úroveň 4 (P0)],BA26,RZ[Úroveň 5 (P0)],BB26,RZ[Úroveň 6 (P0)],BC26,RZ[Úroveň 7 (P0)],BD26),$BN26*$IG26)</f>
        <v>0</v>
      </c>
      <c r="CR26" s="138">
        <f ca="1">RZ[[#This Row],[Úroveň 8 s koef. (P2a)]]*RZ[[#This Row],[Počet MJHR (P0)]]</f>
        <v>0</v>
      </c>
      <c r="CS26" s="138">
        <f ca="1">RZ[Úroveň 8 bez koef. (P2a)]*RZ[[#This Row],[Počet MJHR (P0)]]</f>
        <v>0</v>
      </c>
      <c r="CT26" s="138">
        <f ca="1">IF(OFFSET(BF26,1,0,1,1)&lt;&gt;0,RZ[[#This Row],[Koeficient odhadu HR '[-'] (P1)]]*$BO26*SUMIFS(RZ[Úroveň 9 s koef. (P2)],RZ[0],AX26,RZ[Úroveň 2 (P0)],AY26,RZ[Úroveň 3 (P0)],AZ26,RZ[Úroveň 4 (P0)],BA26,RZ[Úroveň 5 (P0)],BB26,RZ[Úroveň 6 (P0)],BC26,RZ[Úroveň 7 (P0)],BD26,RZ[Úroveň 8 (P0)],BE26),RZ[[#This Row],[Koeficient odhadu HR '[-'] (P1)]]*$BO26*$IG26)</f>
        <v>0</v>
      </c>
      <c r="CU26" s="138">
        <f ca="1">IF(OFFSET(BF26,1,0,1,1)&lt;&gt;0,$BO26*SUMIFS(RZ[Úroveň 9 bez koef. (P2)],RZ[0],AX26,RZ[Úroveň 2 (P0)],AY26,RZ[Úroveň 3 (P0)],AZ26,RZ[Úroveň 4 (P0)],BA26,RZ[Úroveň 5 (P0)],BB26,RZ[Úroveň 6 (P0)],BC26,RZ[Úroveň 7 (P0)],BD26,RZ[Úroveň 8 (P0)],BE26),$BO26*$IG26)</f>
        <v>0</v>
      </c>
      <c r="CV26" s="132">
        <f ca="1">RZ[[#This Row],[Úroveň 9 s koef. (P2a)]]*RZ[[#This Row],[Počet MJHR (P0)]]</f>
        <v>0</v>
      </c>
      <c r="CW26" s="132">
        <f ca="1">RZ[Úroveň 9 bez koef. (P2a)]*RZ[[#This Row],[Počet MJHR (P0)]]</f>
        <v>0</v>
      </c>
      <c r="CX26" s="132">
        <f ca="1">IF(OFFSET(BG26,1,0,1,1)&lt;&gt;0,RZ[[#This Row],[Koeficient odhadu HR '[-'] (P1)]]*$BP26*SUMIFS(RZ[Úroveň 10 s koef. (P2)],RZ[0],AX26,RZ[Úroveň 2 (P0)],AY26,RZ[Úroveň 3 (P0)],AZ26,RZ[Úroveň 4 (P0)],BA26,RZ[Úroveň 5 (P0)],BB26,RZ[Úroveň 6 (P0)],BC26,RZ[Úroveň 7 (P0)],BD26,RZ[Úroveň 8 (P0)],BE26,RZ[Úroveň 9 (P0)],BF26),RZ[[#This Row],[Koeficient odhadu HR '[-'] (P1)]]*$BP26*$IG26)</f>
        <v>0</v>
      </c>
      <c r="CY26" s="132">
        <f ca="1">IF(OFFSET(BG26,1,0,1,1)&lt;&gt;0,$BP26*SUMIFS(RZ[Úroveň 10 bez koef. (P2)],RZ[0],AX26,RZ[Úroveň 2 (P0)],AY26,RZ[Úroveň 3 (P0)],AZ26,RZ[Úroveň 4 (P0)],BA26,RZ[Úroveň 5 (P0)],BB26,RZ[Úroveň 6 (P0)],BC26,RZ[Úroveň 7 (P0)],BD26,RZ[Úroveň 8 (P0)],BE26,RZ[Úroveň 9 (P0)],BF26),$BP26*$IG26)</f>
        <v>0</v>
      </c>
      <c r="CZ26" s="138">
        <f>RZ[[#This Row],[Úroveň 10 s koef. (P2a)]]*RZ[[#This Row],[Počet MJHR (P0)]]</f>
        <v>0</v>
      </c>
      <c r="DA26" s="138">
        <f>RZ[Úroveň 10 bez koef. (P2a)]*RZ[[#This Row],[Počet MJHR (P0)]]</f>
        <v>0</v>
      </c>
      <c r="DB26" s="138">
        <f>RZ[[#This Row],[Koeficient odhadu HR '[-'] (P1)]]*$BQ26*IG26</f>
        <v>0</v>
      </c>
      <c r="DC26" s="231">
        <f t="shared" si="175"/>
        <v>0</v>
      </c>
      <c r="DD26" s="241">
        <f t="shared" ca="1" si="176"/>
        <v>66.7</v>
      </c>
      <c r="DE26" s="229">
        <f t="shared" ca="1" si="177"/>
        <v>66.7</v>
      </c>
      <c r="DF26" s="912">
        <f t="shared" si="178"/>
        <v>0</v>
      </c>
      <c r="DG26" s="913">
        <f t="shared" si="179"/>
        <v>0</v>
      </c>
      <c r="DH26" s="913">
        <f t="shared" si="180"/>
        <v>2</v>
      </c>
      <c r="DI26" s="913">
        <f t="shared" si="181"/>
        <v>0</v>
      </c>
      <c r="DJ26" s="913">
        <f t="shared" si="182"/>
        <v>0</v>
      </c>
      <c r="DK26" s="913">
        <f t="shared" si="183"/>
        <v>0</v>
      </c>
      <c r="DL26" s="913">
        <f t="shared" si="184"/>
        <v>0</v>
      </c>
      <c r="DM26" s="913">
        <f t="shared" si="185"/>
        <v>0</v>
      </c>
      <c r="DN26" s="913">
        <f t="shared" si="186"/>
        <v>0</v>
      </c>
      <c r="DO26" s="913">
        <f t="shared" si="187"/>
        <v>0</v>
      </c>
      <c r="DP26" s="914">
        <f ca="1">SUMIFS(RZ[Úroveň 1 (P4)],RZ[0],AX26)</f>
        <v>1</v>
      </c>
      <c r="DQ26" s="914">
        <f ca="1">SUMIFS(RZ[Úroveň 2 (P4)],RZ[0],AX26,RZ[Úroveň 2 (P0)],AY26)</f>
        <v>1</v>
      </c>
      <c r="DR26" s="914">
        <f ca="1">SUMIFS(RZ[Úroveň 3 (P4)],RZ[0],AX26,RZ[Úroveň 2 (P0)],AY26,RZ[Úroveň 3 (P0)],AZ26)</f>
        <v>2</v>
      </c>
      <c r="DS26" s="914">
        <f ca="1">SUMIFS(RZ[Úroveň 4 (P4)],RZ[0],AX26,RZ[Úroveň 2 (P0)],AY26,RZ[Úroveň 3 (P0)],AZ26,RZ[Úroveň 4 (P0)],BA26)</f>
        <v>0</v>
      </c>
      <c r="DT26" s="914">
        <f ca="1">SUMIFS(RZ[Úroveň 5 (P4)],RZ[0],AX26,RZ[Úroveň 2 (P0)],AY26,RZ[Úroveň 3 (P0)],AZ26,RZ[Úroveň 4 (P0)],BA26,RZ[Úroveň 5 (P0)],BB26)</f>
        <v>0</v>
      </c>
      <c r="DU26" s="914">
        <f ca="1">SUMIFS(RZ[Úroveň 6 (P4)],RZ[0],AX26,RZ[Úroveň 2 (P0)],AY26,RZ[Úroveň 3 (P0)],AZ26,RZ[Úroveň 4 (P0)],BA26,RZ[Úroveň 5 (P0)],BB26,RZ[Úroveň 6 (P0)],BC26)</f>
        <v>0</v>
      </c>
      <c r="DV26" s="914">
        <f ca="1">SUMIFS(RZ[Úroveň 7 (P4)],RZ[0],AX26,RZ[Úroveň 2 (P0)],AY26,RZ[Úroveň 3 (P0)],AZ26,RZ[Úroveň 4 (P0)],BA26,RZ[Úroveň 5 (P0)],BB26,RZ[Úroveň 6 (P0)],BC26,RZ[Úroveň 7 (P0)],BD26)</f>
        <v>0</v>
      </c>
      <c r="DW26" s="914">
        <f ca="1">SUMIFS(RZ[Úroveň 8 (P4)],RZ[0],AX26,RZ[Úroveň 2 (P0)],AY26,RZ[Úroveň 3 (P0)],AZ26,RZ[Úroveň 4 (P0)],BA26,RZ[Úroveň 5 (P0)],BB26,RZ[Úroveň 6 (P0)],BC26,RZ[Úroveň 7 (P0)],BD26,RZ[Úroveň 8 (P0)],BE26)</f>
        <v>0</v>
      </c>
      <c r="DX26" s="914">
        <f ca="1">SUMIFS(RZ[Úroveň 9 (P4)],RZ[0],AX26,RZ[Úroveň 2 (P0)],AY26,RZ[Úroveň 3 (P0)],AZ26,RZ[Úroveň 4 (P0)],BA26,RZ[Úroveň 5 (P0)],BB26,RZ[Úroveň 6 (P0)],BC26,RZ[Úroveň 7 (P0)],BD26,RZ[Úroveň 8 (P0)],BE26,RZ[Úroveň 9 (P0)],BF26)</f>
        <v>0</v>
      </c>
      <c r="DY26" s="914">
        <f ca="1">SUMIFS(RZ[Úroveň 10 (P4)],RZ[0],AX26,RZ[Úroveň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DZ26" s="915">
        <f t="shared" ca="1" si="188"/>
        <v>2</v>
      </c>
      <c r="EA26" s="916">
        <f ca="1">RZ[[#This Row],[Jednotková hmotnost bez koef. '[kg/MJHR'] (P0)]]*RZ[[#This Row],[Počet MJHR v rozpadu (P0)]]</f>
        <v>133.4</v>
      </c>
      <c r="EB26" s="917">
        <f ca="1">IF(OFFSET(AY26,1,0,1,1)&lt;&gt;0,RZ[[#This Row],[Koeficient odhadu CR '[-'] (P1)]]*$BH26*SUMIFS(RZ[Úroveň 2 s koef. (P3)],RZ[0],AX26),RZ[[#This Row],[Koeficient odhadu CR '[-'] (P1)]]*$BH26*$IQ26)</f>
        <v>0</v>
      </c>
      <c r="EC26" s="191">
        <f ca="1">IF(OFFSET(AY26,1,0,1,1)&lt;&gt;0,$BH26*SUMIFS(RZ[Úroveň 2 bez koef. (P3)],RZ[0],AX26),$BH26*$IQ26)</f>
        <v>0</v>
      </c>
      <c r="ED26" s="140">
        <f ca="1">RZ[[#This Row],[Úroveň 2 s koef. (P3a)]]*RZ[[#This Row],[Počet MJCR (P0) pro "kg"]]</f>
        <v>0</v>
      </c>
      <c r="EE26" s="140">
        <f ca="1">RZ[Úroveň 2 bez koef. (P3a)]*RZ[[#This Row],[Počet MJCR (P0) pro "kg"]]</f>
        <v>0</v>
      </c>
      <c r="EF26" s="140">
        <f ca="1">IF(OFFSET(AZ26,1,0,1,1)&lt;&gt;0,RZ[[#This Row],[Koeficient odhadu CR '[-'] (P1)]]*$BI26*SUMIFS(RZ[Úroveň 3 s koef. (P3)],RZ[0],AX26,RZ[Úroveň 2 (P0)],AY26),RZ[[#This Row],[Koeficient odhadu CR '[-'] (P1)]]*$BI26*$IQ26)</f>
        <v>0</v>
      </c>
      <c r="EG26" s="140">
        <f ca="1">IF(OFFSET(AZ26,1,0,1,1)&lt;&gt;0,$BI26*SUMIFS(RZ[Úroveň 3 bez koef. (P3)],RZ[0],AX26,RZ[Úroveň 2 (P0)],AY26),$BI26*$IQ26)</f>
        <v>0</v>
      </c>
      <c r="EH26" s="135">
        <f ca="1">RZ[[#This Row],[Úroveň 3 s koef. (P3a)]]*RZ[[#This Row],[Počet MJCR (P0) pro "kg"]]</f>
        <v>14674</v>
      </c>
      <c r="EI26" s="135">
        <f ca="1">RZ[Úroveň 3 bez koef. (P3a)]*RZ[[#This Row],[Počet MJCR (P0) pro "kg"]]</f>
        <v>14674</v>
      </c>
      <c r="EJ26" s="135">
        <f ca="1">IF(OFFSET(BA26,1,0,1,1)&lt;&gt;0,RZ[[#This Row],[Koeficient odhadu CR '[-'] (P1)]]*$BJ26*SUMIFS(RZ[Úroveň 4 s koef. (P3)],RZ[0],AX26,RZ[Úroveň 2 (P0)],AY26,RZ[Úroveň 3 (P0)],AZ26),RZ[[#This Row],[Koeficient odhadu CR '[-'] (P1)]]*$BJ26*$IQ26)</f>
        <v>110</v>
      </c>
      <c r="EK26" s="135">
        <f ca="1">IF(OFFSET(BA26,1,0,1,1)&lt;&gt;0,$BJ26*SUMIFS(RZ[Úroveň 4 bez koef. (P3)],RZ[0],AX26,RZ[Úroveň 2 (P0)],AY26,RZ[Úroveň 3 (P0)],AZ26),$BJ26*$IQ26)</f>
        <v>110</v>
      </c>
      <c r="EL26" s="140">
        <f ca="1">RZ[[#This Row],[Úroveň 4 s koef. (P3a)]]*RZ[[#This Row],[Počet MJCR (P0) pro "kg"]]</f>
        <v>0</v>
      </c>
      <c r="EM26" s="140">
        <f ca="1">RZ[Úroveň 4 bez koef. (P3a)]*RZ[[#This Row],[Počet MJCR (P0) pro "kg"]]</f>
        <v>0</v>
      </c>
      <c r="EN26" s="140">
        <f ca="1">IF(OFFSET(BB26,1,0,1,1)&lt;&gt;0,RZ[[#This Row],[Koeficient odhadu CR '[-'] (P1)]]*$BK26*SUMIFS(RZ[Úroveň 5 s koef. (P3)],RZ[0],AX26,RZ[Úroveň 2 (P0)],AY26,RZ[Úroveň 3 (P0)],AZ26,RZ[Úroveň 4 (P0)],BA26),RZ[[#This Row],[Koeficient odhadu CR '[-'] (P1)]]*$BK26*$IQ26)</f>
        <v>0</v>
      </c>
      <c r="EO26" s="140">
        <f ca="1">IF(OFFSET(BB26,1,0,1,1)&lt;&gt;0,$BK26*SUMIFS(RZ[Úroveň 5 bez koef. (P3)],RZ[0],AX26,RZ[Úroveň 2 (P0)],AY26,RZ[Úroveň 3 (P0)],AZ26,RZ[Úroveň 4 (P0)],BA26),$BK26*$IQ26)</f>
        <v>0</v>
      </c>
      <c r="EP26" s="135">
        <f ca="1">RZ[[#This Row],[Úroveň 5 s koef. (P3a)]]*RZ[[#This Row],[Počet MJCR (P0) pro "kg"]]</f>
        <v>0</v>
      </c>
      <c r="EQ26" s="135">
        <f ca="1">RZ[Úroveň 5 bez koef. (P3a)]*RZ[[#This Row],[Počet MJCR (P0) pro "kg"]]</f>
        <v>0</v>
      </c>
      <c r="ER26" s="135">
        <f ca="1">IF(OFFSET(BC26,1,0,1,1)&lt;&gt;0,RZ[[#This Row],[Koeficient odhadu CR '[-'] (P1)]]*$BL26*SUMIFS(RZ[Úroveň 6 s koef. (P3)],RZ[0],AX26,RZ[Úroveň 2 (P0)],AY26,RZ[Úroveň 3 (P0)],AZ26,RZ[Úroveň 4 (P0)],BA26,RZ[Úroveň 5 (P0)],BB26),RZ[[#This Row],[Koeficient odhadu CR '[-'] (P1)]]*$BL26*$IQ26)</f>
        <v>0</v>
      </c>
      <c r="ES26" s="135">
        <f ca="1">IF(OFFSET(BC26,1,0,1,1)&lt;&gt;0,$BL26*SUMIFS(RZ[Úroveň 6 bez koef. (P3)],RZ[0],AX26,RZ[Úroveň 2 (P0)],AY26,RZ[Úroveň 3 (P0)],AZ26,RZ[Úroveň 4 (P0)],BA26,RZ[Úroveň 5 (P0)],BB26),$BL26*$IQ26)</f>
        <v>0</v>
      </c>
      <c r="ET26" s="140">
        <f ca="1">RZ[[#This Row],[Úroveň 6 s koef. (P3a)]]*RZ[[#This Row],[Počet MJCR (P0) pro "kg"]]</f>
        <v>0</v>
      </c>
      <c r="EU26" s="140">
        <f ca="1">RZ[Úroveň 6 bez koef. (P3a)]*RZ[[#This Row],[Počet MJCR (P0) pro "kg"]]</f>
        <v>0</v>
      </c>
      <c r="EV26" s="140">
        <f ca="1">IF(OFFSET(BD26,1,0,1,1)&lt;&gt;0,RZ[[#This Row],[Koeficient odhadu CR '[-'] (P1)]]*$BM26*SUMIFS(RZ[Úroveň 7 s koef. (P3)],RZ[0],AX26,RZ[Úroveň 2 (P0)],AY26,RZ[Úroveň 3 (P0)],AZ26,RZ[Úroveň 4 (P0)],BA26,RZ[Úroveň 5 (P0)],BB26,RZ[Úroveň 6 (P0)],BC26),RZ[[#This Row],[Koeficient odhadu CR '[-'] (P1)]]*$BM26*$IQ26)</f>
        <v>0</v>
      </c>
      <c r="EW26" s="140">
        <f ca="1">IF(OFFSET(BD26,1,0,1,1)&lt;&gt;0,$BM26*SUMIFS(RZ[Úroveň 7 bez koef. (P3)],RZ[0],AX26,RZ[Úroveň 2 (P0)],AY26,RZ[Úroveň 3 (P0)],AZ26,RZ[Úroveň 4 (P0)],BA26,RZ[Úroveň 5 (P0)],BB26,RZ[Úroveň 6 (P0)],BC26),$BM26*$IQ26)</f>
        <v>0</v>
      </c>
      <c r="EX26" s="135">
        <f ca="1">RZ[[#This Row],[Úroveň 7 s koef. (P3a)]]*RZ[[#This Row],[Počet MJCR (P0) pro "kg"]]</f>
        <v>0</v>
      </c>
      <c r="EY26" s="135">
        <f ca="1">RZ[Úroveň 7 bez koef. (P3a)]*RZ[[#This Row],[Počet MJCR (P0) pro "kg"]]</f>
        <v>0</v>
      </c>
      <c r="EZ26" s="135">
        <f ca="1">IF(OFFSET(BE26,1,0,1,1)&lt;&gt;0,RZ[[#This Row],[Koeficient odhadu CR '[-'] (P1)]]*$BN26*SUMIFS(RZ[Úroveň 8 s koef. (P3)],RZ[0],AX26,RZ[Úroveň 2 (P0)],AY26,RZ[Úroveň 3 (P0)],AZ26,RZ[Úroveň 4 (P0)],BA26,RZ[Úroveň 5 (P0)],BB26,RZ[Úroveň 6 (P0)],BC26,RZ[Úroveň 7 (P0)],BD26),RZ[[#This Row],[Koeficient odhadu CR '[-'] (P1)]]*$BN26*$IQ26)</f>
        <v>0</v>
      </c>
      <c r="FA26" s="135">
        <f ca="1">IF(OFFSET(BE26,1,0,1,1)&lt;&gt;0,$BN26*SUMIFS(RZ[Úroveň 8 bez koef. (P3)],RZ[0],AX26,RZ[Úroveň 2 (P0)],AY26,RZ[Úroveň 3 (P0)],AZ26,RZ[Úroveň 4 (P0)],BA26,RZ[Úroveň 5 (P0)],BB26,RZ[Úroveň 6 (P0)],BC26,RZ[Úroveň 7 (P0)],BD26),$BN26*$IQ26)</f>
        <v>0</v>
      </c>
      <c r="FB26" s="140">
        <f ca="1">RZ[[#This Row],[Úroveň 8 s koef. (P3a)]]*RZ[[#This Row],[Počet MJCR (P0) pro "kg"]]</f>
        <v>0</v>
      </c>
      <c r="FC26" s="140">
        <f ca="1">RZ[Úroveň 8 bez koef. (P3a)]*RZ[[#This Row],[Počet MJCR (P0) pro "kg"]]</f>
        <v>0</v>
      </c>
      <c r="FD26" s="140">
        <f ca="1">IF(OFFSET(BF26,1,0,1,1)&lt;&gt;0,RZ[[#This Row],[Koeficient odhadu CR '[-'] (P1)]]*$BO26*SUMIFS(RZ[Úroveň 9 s koef. (P3)],RZ[0],AX26,RZ[Úroveň 2 (P0)],AY26,RZ[Úroveň 3 (P0)],AZ26,RZ[Úroveň 4 (P0)],BA26,RZ[Úroveň 5 (P0)],BB26,RZ[Úroveň 6 (P0)],BC26,RZ[Úroveň 7 (P0)],BD26,RZ[Úroveň 8 (P0)],BE26),RZ[[#This Row],[Koeficient odhadu CR '[-'] (P1)]]*$BO26*$IQ26)</f>
        <v>0</v>
      </c>
      <c r="FE26" s="140">
        <f ca="1">IF(OFFSET(BF26,1,0,1,1)&lt;&gt;0,$BO26*SUMIFS(RZ[Úroveň 9 bez koef. (P3)],RZ[0],AX26,RZ[Úroveň 2 (P0)],AY26,RZ[Úroveň 3 (P0)],AZ26,RZ[Úroveň 4 (P0)],BA26,RZ[Úroveň 5 (P0)],BB26,RZ[Úroveň 6 (P0)],BC26,RZ[Úroveň 7 (P0)],BD26,RZ[Úroveň 8 (P0)],BE26),$BO26*$IQ26)</f>
        <v>0</v>
      </c>
      <c r="FF26" s="135">
        <f ca="1">RZ[[#This Row],[Úroveň 9 s koef. (P3a)]]*RZ[[#This Row],[Počet MJCR (P0) pro "kg"]]</f>
        <v>0</v>
      </c>
      <c r="FG26" s="135">
        <f ca="1">RZ[Úroveň 9 bez koef. (P3a)]*RZ[[#This Row],[Počet MJCR (P0) pro "kg"]]</f>
        <v>0</v>
      </c>
      <c r="FH26" s="135">
        <f ca="1">IF(OFFSET(BG26,1,0,1,1)&lt;&gt;0,RZ[[#This Row],[Koeficient odhadu CR '[-'] (P1)]]*$BP26*SUMIFS(RZ[Úroveň 10 s koef. (P3)],RZ[0],AX26,RZ[Úroveň 2 (P0)],AY26,RZ[Úroveň 3 (P0)],AZ26,RZ[Úroveň 4 (P0)],BA26,RZ[Úroveň 5 (P0)],BB26,RZ[Úroveň 6 (P0)],BC26,RZ[Úroveň 7 (P0)],BD26,RZ[Úroveň 8 (P0)],BE26,RZ[Úroveň 9 (P0)],BF26),RZ[[#This Row],[Koeficient odhadu CR '[-'] (P1)]]*$BP26*$IQ26)</f>
        <v>0</v>
      </c>
      <c r="FI26" s="135">
        <f ca="1">IF(OFFSET(BG26,1,0,1,1)&lt;&gt;0,$BP26*SUMIFS(RZ[Úroveň 10 bez koef. (P3)],RZ[0],AX26,RZ[Úroveň 2 (P0)],AY26,RZ[Úroveň 3 (P0)],AZ26,RZ[Úroveň 4 (P0)],BA26,RZ[Úroveň 5 (P0)],BB26,RZ[Úroveň 6 (P0)],BC26,RZ[Úroveň 7 (P0)],BD26,RZ[Úroveň 8 (P0)],BE26,RZ[Úroveň 9 (P0)],BF26),$BP26*$IQ26)</f>
        <v>0</v>
      </c>
      <c r="FJ26" s="140">
        <f ca="1">RZ[[#This Row],[Úroveň 10 s koef. (P3a)]]*RZ[[#This Row],[Počet MJCR (P0) pro "kg"]]</f>
        <v>0</v>
      </c>
      <c r="FK26" s="140">
        <f ca="1">RZ[Úroveň 10 bez koef. (P3a)]*RZ[[#This Row],[Počet MJCR (P0) pro "kg"]]</f>
        <v>0</v>
      </c>
      <c r="FL26" s="140">
        <f ca="1">RZ[[#This Row],[Koeficient odhadu CR '[-'] (P1)]]*$BQ26*IQ26</f>
        <v>0</v>
      </c>
      <c r="FM26" s="236">
        <f t="shared" ca="1" si="189"/>
        <v>0</v>
      </c>
      <c r="FN26" s="194">
        <f t="shared" ca="1" si="190"/>
        <v>110</v>
      </c>
      <c r="FO26" s="238">
        <f t="shared" ca="1" si="191"/>
        <v>110</v>
      </c>
      <c r="FP26" s="135">
        <f t="shared" ca="1" si="192"/>
        <v>0</v>
      </c>
      <c r="FQ26" s="135">
        <f t="shared" ca="1" si="193"/>
        <v>0</v>
      </c>
      <c r="FR26" s="135">
        <f t="shared" ca="1" si="194"/>
        <v>133.4</v>
      </c>
      <c r="FS26" s="135">
        <f t="shared" ca="1" si="195"/>
        <v>0</v>
      </c>
      <c r="FT26" s="135">
        <f t="shared" ca="1" si="196"/>
        <v>0</v>
      </c>
      <c r="FU26" s="135">
        <f t="shared" ca="1" si="197"/>
        <v>0</v>
      </c>
      <c r="FV26" s="135">
        <f t="shared" ca="1" si="198"/>
        <v>0</v>
      </c>
      <c r="FW26" s="135">
        <f t="shared" ca="1" si="199"/>
        <v>0</v>
      </c>
      <c r="FX26" s="135">
        <f t="shared" ca="1" si="200"/>
        <v>0</v>
      </c>
      <c r="FY26" s="135">
        <f t="shared" ca="1" si="201"/>
        <v>0</v>
      </c>
      <c r="FZ26" s="140">
        <f ca="1">SUMIFS(RZ[Úroveň 1 (P6)],RZ[0],AX26)</f>
        <v>1</v>
      </c>
      <c r="GA26" s="140">
        <f ca="1">SUMIFS(RZ[Úroveň 2 (P6)],RZ[0],AX26,RZ[Úroveň 2 (P0)],AY26)</f>
        <v>1</v>
      </c>
      <c r="GB26" s="140">
        <f ca="1">SUMIFS(RZ[Úroveň 3 (P6)],RZ[0],AX26,RZ[Úroveň 2 (P0)],AY26,RZ[Úroveň 3 (P0)],AZ26)</f>
        <v>133.4</v>
      </c>
      <c r="GC26" s="140">
        <f ca="1">SUMIFS(RZ[Úroveň 4 (P6)],RZ[0],AX26,RZ[Úroveň 2 (P0)],AY26,RZ[Úroveň 3 (P0)],AZ26,RZ[Úroveň 4 (P0)],BA26)</f>
        <v>0</v>
      </c>
      <c r="GD26" s="140">
        <f ca="1">SUMIFS(RZ[Úroveň 5 (P6)],RZ[0],AX26,RZ[Úroveň 2 (P0)],AY26,RZ[Úroveň 3 (P0)],AZ26,RZ[Úroveň 4 (P0)],BA26,RZ[Úroveň 5 (P0)],BB26)</f>
        <v>0</v>
      </c>
      <c r="GE26" s="140">
        <f ca="1">SUMIFS(RZ[Úroveň 6 (P6)],RZ[0],AX26,RZ[Úroveň 2 (P0)],AY26,RZ[Úroveň 3 (P0)],AZ26,RZ[Úroveň 4 (P0)],BA26,RZ[Úroveň 5 (P0)],BB26,RZ[Úroveň 6 (P0)],BC26)</f>
        <v>0</v>
      </c>
      <c r="GF26" s="140">
        <f ca="1">SUMIFS(RZ[Úroveň 7 (P6)],RZ[0],AX26,RZ[Úroveň 2 (P0)],AY26,RZ[Úroveň 3 (P0)],AZ26,RZ[Úroveň 4 (P0)],BA26,RZ[Úroveň 5 (P0)],BB26,RZ[Úroveň 6 (P0)],BC26,RZ[Úroveň 7 (P0)],BD26)</f>
        <v>0</v>
      </c>
      <c r="GG26" s="140">
        <f ca="1">SUMIFS(RZ[Úroveň 8 (P6)],RZ[0],AX26,RZ[Úroveň 2 (P0)],AY26,RZ[Úroveň 3 (P0)],AZ26,RZ[Úroveň 4 (P0)],BA26,RZ[Úroveň 5 (P0)],BB26,RZ[Úroveň 6 (P0)],BC26,RZ[Úroveň 7 (P0)],BD26,RZ[Úroveň 8 (P0)],BE26)</f>
        <v>0</v>
      </c>
      <c r="GH26" s="140">
        <f ca="1">SUMIFS(RZ[Úroveň 9 (P6)],RZ[0],AX26,RZ[Úroveň 2 (P0)],AY26,RZ[Úroveň 3 (P0)],AZ26,RZ[Úroveň 4 (P0)],BA26,RZ[Úroveň 5 (P0)],BB26,RZ[Úroveň 6 (P0)],BC26,RZ[Úroveň 7 (P0)],BD26,RZ[Úroveň 8 (P0)],BE26,RZ[Úroveň 9 (P0)],BF26)</f>
        <v>0</v>
      </c>
      <c r="GI26" s="140">
        <f ca="1">SUMIFS(RZ[Úroveň 10 (P6)],RZ[0],AX26,RZ[Úroveň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GJ26" s="918">
        <f t="shared" ca="1" si="202"/>
        <v>133.4</v>
      </c>
      <c r="GK26" s="808">
        <f t="shared" si="203"/>
        <v>0</v>
      </c>
      <c r="GL26" s="808">
        <f t="shared" si="204"/>
        <v>0</v>
      </c>
      <c r="GM26" s="808">
        <f t="shared" si="205"/>
        <v>1</v>
      </c>
      <c r="GN26" s="808">
        <f t="shared" si="206"/>
        <v>0</v>
      </c>
      <c r="GO26" s="808">
        <f t="shared" si="207"/>
        <v>0</v>
      </c>
      <c r="GP26" s="808">
        <f t="shared" si="208"/>
        <v>0</v>
      </c>
      <c r="GQ26" s="808">
        <f t="shared" si="209"/>
        <v>0</v>
      </c>
      <c r="GR26" s="808">
        <f t="shared" si="210"/>
        <v>0</v>
      </c>
      <c r="GS26" s="808">
        <f t="shared" si="211"/>
        <v>0</v>
      </c>
      <c r="GT26" s="808">
        <f t="shared" si="212"/>
        <v>0</v>
      </c>
      <c r="GU26" s="809">
        <f ca="1">SUMIFS(RZ[Sloupec1],RZ[0],AX26)</f>
        <v>1</v>
      </c>
      <c r="GV26" s="809">
        <f ca="1">SUMIFS(RZ[Sloupec2],RZ[0],AX26,RZ[Úroveň 2 (P0)],AY26)</f>
        <v>1</v>
      </c>
      <c r="GW26" s="809">
        <f ca="1">SUMIFS(RZ[Sloupec3],RZ[0],AX26,RZ[Úroveň 2 (P0)],AY26,RZ[Úroveň 3 (P0)],AZ26)</f>
        <v>1</v>
      </c>
      <c r="GX26" s="809">
        <f ca="1">SUMIFS(RZ[Sloupec4],RZ[0],AX26,RZ[Úroveň 2 (P0)],AY26,RZ[Úroveň 3 (P0)],AZ26,RZ[Úroveň 4 (P0)],BA26)</f>
        <v>0</v>
      </c>
      <c r="GY26" s="809">
        <f ca="1">SUMIFS(RZ[Sloupec5],RZ[0],AX26,RZ[Úroveň 2 (P0)],AY26,RZ[Úroveň 3 (P0)],AZ26,RZ[Úroveň 4 (P0)],BA26,RZ[Úroveň 5 (P0)],BB26)</f>
        <v>0</v>
      </c>
      <c r="GZ26" s="809">
        <f ca="1">SUMIFS(RZ[Sloupec6],RZ[0],AX26,RZ[Úroveň 2 (P0)],AY26,RZ[Úroveň 3 (P0)],AZ26,RZ[Úroveň 4 (P0)],BA26,RZ[Úroveň 5 (P0)],BB26,RZ[Úroveň 6 (P0)],BC26)</f>
        <v>0</v>
      </c>
      <c r="HA26" s="809">
        <f ca="1">SUMIFS(RZ[Sloupec62],RZ[0],AX26,RZ[Úroveň 2 (P0)],AY26,RZ[Úroveň 3 (P0)],AZ26,RZ[Úroveň 4 (P0)],BA26,RZ[Úroveň 5 (P0)],BB26,RZ[Úroveň 6 (P0)],BC26,RZ[Úroveň 7 (P0)],BD26)</f>
        <v>0</v>
      </c>
      <c r="HB26" s="809">
        <f ca="1">SUMIFS(RZ[Sloupec63],RZ[0],AX26,RZ[Úroveň 2 (P0)],AY26,RZ[Úroveň 3 (P0)],AZ26,RZ[Úroveň 4 (P0)],BA26,RZ[Úroveň 5 (P0)],BB26,RZ[Úroveň 6 (P0)],BC26,RZ[Úroveň 7 (P0)],BD26,RZ[Úroveň 8 (P0)],BE26)</f>
        <v>0</v>
      </c>
      <c r="HC26" s="809">
        <f ca="1">SUMIFS(RZ[Sloupec64],RZ[0],AX26,RZ[Úroveň 2 (P0)],AY26,RZ[Úroveň 3 (P0)],AZ26,RZ[Úroveň 4 (P0)],BA26,RZ[Úroveň 5 (P0)],BB26,RZ[Úroveň 6 (P0)],BC26,RZ[Úroveň 7 (P0)],BD26,RZ[Úroveň 8 (P0)],BE26,RZ[Úroveň 9 (P0)],BF26)</f>
        <v>0</v>
      </c>
      <c r="HD26" s="809">
        <f ca="1">SUMIFS(RZ[Sloupec65],RZ[0],AX26,RZ[Úroveň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HE26" s="919">
        <f t="shared" ca="1" si="213"/>
        <v>1</v>
      </c>
      <c r="HF26" s="920" t="str">
        <f t="shared" si="214"/>
        <v/>
      </c>
      <c r="HG26" s="94" t="str">
        <f t="shared" si="215"/>
        <v/>
      </c>
      <c r="HH26" s="95" t="str">
        <f t="shared" si="216"/>
        <v/>
      </c>
      <c r="HI26" s="95" t="str">
        <f t="shared" si="217"/>
        <v>Podpěra</v>
      </c>
      <c r="HJ26" s="96" t="str">
        <f t="shared" si="218"/>
        <v/>
      </c>
      <c r="HK26" s="96" t="str">
        <f t="shared" si="219"/>
        <v/>
      </c>
      <c r="HL26" s="96" t="str">
        <f t="shared" si="220"/>
        <v/>
      </c>
      <c r="HM26" s="96" t="str">
        <f t="shared" si="221"/>
        <v/>
      </c>
      <c r="HN26" s="96" t="str">
        <f t="shared" si="222"/>
        <v/>
      </c>
      <c r="HO26" s="96" t="str">
        <f t="shared" si="223"/>
        <v/>
      </c>
      <c r="HP26" s="96" t="str">
        <f t="shared" si="224"/>
        <v/>
      </c>
      <c r="HQ26" s="145" t="str">
        <f t="shared" si="225"/>
        <v>OKS2</v>
      </c>
      <c r="HR26" s="921" t="str">
        <f t="shared" si="226"/>
        <v/>
      </c>
      <c r="HS26" s="173">
        <f t="shared" si="227"/>
        <v>0</v>
      </c>
      <c r="HT26" s="100">
        <f t="shared" si="228"/>
        <v>0</v>
      </c>
      <c r="HU26" s="100">
        <f t="shared" si="229"/>
        <v>0</v>
      </c>
      <c r="HV26" s="908">
        <f t="shared" si="230"/>
        <v>0</v>
      </c>
      <c r="HW26" s="922">
        <f t="shared" si="231"/>
        <v>0</v>
      </c>
      <c r="HX26" s="224">
        <f t="shared" si="232"/>
        <v>0</v>
      </c>
      <c r="HY26" s="263" t="str">
        <f t="shared" si="233"/>
        <v>S</v>
      </c>
      <c r="HZ26" s="263">
        <f t="shared" si="234"/>
        <v>0</v>
      </c>
      <c r="IA26" s="150">
        <f t="shared" si="235"/>
        <v>1</v>
      </c>
      <c r="IB26" s="319">
        <f t="shared" si="236"/>
        <v>0</v>
      </c>
      <c r="IC26" s="923">
        <f t="shared" si="237"/>
        <v>0</v>
      </c>
      <c r="ID26" s="924" t="str">
        <f t="shared" ca="1" si="238"/>
        <v>OK</v>
      </c>
      <c r="IE26" s="201" t="str">
        <f t="shared" si="239"/>
        <v>ks</v>
      </c>
      <c r="IF26" s="145">
        <f t="shared" si="240"/>
        <v>2</v>
      </c>
      <c r="IG26" s="216">
        <f t="shared" si="241"/>
        <v>66.7</v>
      </c>
      <c r="IH26" s="217">
        <f t="shared" si="242"/>
        <v>1</v>
      </c>
      <c r="II26" s="224" t="str">
        <f ca="1">IF(RZ[[#This Row],[Rozhodný sloupec indikativní ceny]]=1,"kg",IF($IW26=$JL$15,IF(JX26=0,JO26,JX26),IF($IW26=$KE$15,IF(KQ26=0,KH26,KQ26),IF($IW26=$KX$15,IF(LJ26=0,LA26,LJ26),IF($IW26=$LQ$15,IF(MC26=0,LT26,MC26),IF($IW26=$MJ$15,IF(NQ26=0,NH26,NQ26),0))))))</f>
        <v>kg</v>
      </c>
      <c r="IJ26" s="224">
        <f ca="1">IF((BH26+OFFSET(BH26,1,1,1,1))=2,RZ[[#This Row],[Počet MJHR (P0)]],IF((BI26+OFFSET(BI26,1,1,1,1))=2,RZ[[#This Row],[Počet MJHR (P0)]],IF((BJ26+OFFSET(BJ26,1,1,1,1))=2,RZ[[#This Row],[Počet MJHR (P0)]],IF((BK26+OFFSET(BK26,1,1,1,1))=2,RZ[[#This Row],[Počet MJHR (P0)]],IF((BL26+OFFSET(BL26,1,1,1,1))=2,RZ[[#This Row],[Počet MJHR (P0)]],IF((BM26+OFFSET(BM26,1,1,1,1))=2,RZ[[#This Row],[Počet MJHR (P0)]],IF((BN26+OFFSET(BN26,1,1,1,1))=2,RZ[[#This Row],[Počet MJHR (P0)]],IF((BO26+OFFSET(BO26,1,1,1,1))=2,RZ[[#This Row],[Počet MJHR (P0)]],IF((BP26+OFFSET(BP26,1,1,1,1))=2,RZ[[#This Row],[Počet MJHR (P0)]],IF((BQ26+OFFSET(BQ26,1,1,1,1))=2,RZ[[#This Row],[Počet MJHR (P0)]],IF(RZ[[#This Row],[Měrná jednotka CR (MJCR) (P0)]]=RZ[[#This Row],[Měrná jednotka HR '[MJHR'] (P0)]],RZ[[#This Row],[Počet MJHR (P0)]],IF($IW26=$JL$15,JY26,IF($IW26=$KE$15,KR26,IF($IW26=$KX$15,LK26,IF($IW26=$LQ$15,MD26,IF($IW26=$MJ$15,NR26,0))))))))))))))))</f>
        <v>0</v>
      </c>
      <c r="IK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133.4</v>
      </c>
      <c r="IL26" s="145">
        <f ca="1">IF(AND(RZ[[#This Row],[Jednotková cena bez DPH '[cena/MJCR'] (P0)]]=0,RZ[[#This Row],[Indikativní jednotková cena '[CZK/kg'] (P1)]]&lt;&gt;0),1,0)</f>
        <v>1</v>
      </c>
      <c r="IM26" s="217">
        <f ca="1">VLOOKUP(RZ[[#This Row],[Kód položek]],INDIKAT_CENA,2,FALSE)</f>
        <v>110</v>
      </c>
      <c r="IN26" s="222">
        <f ca="1">IF(RZ[[#This Row],[Rozhodný sloupec indikativní ceny]]=1,RZ[[#This Row],[Indikativní jednotková cena '[CZK/kg'] (P1)]],RZ[[#This Row],[Jednotková cena bez DPH '[cena/MJCR'] (P0)]])</f>
        <v>110</v>
      </c>
      <c r="IO26" s="222">
        <f t="shared" si="243"/>
        <v>1</v>
      </c>
      <c r="IP26" s="224">
        <f ca="1">IF(RZ[[#This Row],[Rozhodný sloupec indikativní ceny]]=1,1,IF($IW26=$JL$15,KA26,IF($IW26=$KE$15,KT26,IF($IW26=$KX$15,LM26,IF($IW26=$LQ$15,MF26,IF($IW26=$MJ$15,NT26,0))))))</f>
        <v>1</v>
      </c>
      <c r="IQ26" s="225">
        <f ca="1">IF(RZ[[#This Row],[Jednotková cena bez DPH '[cena/MJCR'] (P1)]]="",0,IF(IP26=0,0,(RZ[[#This Row],[Jednotková cena bez DPH '[cena/MJCR'] (P1)]]*VLOOKUP(IP26,$BR$7:$BT$10,3))))</f>
        <v>110</v>
      </c>
      <c r="IR26" s="737"/>
      <c r="IS26" s="627">
        <f>IF(HY26=0,"",VLOOKUP(RZ[[#This Row],[Stav Projekce (P0)]],Vstupy!$E$11:'Vstupy'!$E$11:$H$17,4,FALSE))</f>
        <v>100</v>
      </c>
      <c r="IT26" s="925" t="str">
        <f>IF(RZ[[#This Row],[Stav Projekce (P0)]]=0,"",RZ[[#This Row],[Stav Projekce (P0)]])</f>
        <v>S</v>
      </c>
      <c r="IU26" s="925" t="str">
        <f>IF(RZ[[#This Row],[Stav Nákup (P0)]]=0,"",RZ[[#This Row],[Stav Nákup (P0)]])</f>
        <v/>
      </c>
      <c r="IV26" s="926" t="str">
        <f t="shared" si="244"/>
        <v/>
      </c>
      <c r="IW26" s="641">
        <v>1</v>
      </c>
      <c r="IX26" s="630"/>
      <c r="IY26" s="264"/>
      <c r="IZ26" s="648"/>
      <c r="JA26" s="100"/>
      <c r="JB26" s="100" t="s">
        <v>807</v>
      </c>
      <c r="JC26" s="100"/>
      <c r="JD26" s="100"/>
      <c r="JE26" s="100"/>
      <c r="JF26" s="100"/>
      <c r="JG26" s="100"/>
      <c r="JH26" s="100"/>
      <c r="JI26" s="100"/>
      <c r="JJ26" s="145" t="s">
        <v>768</v>
      </c>
      <c r="JK26" s="529"/>
      <c r="JL26" s="286"/>
      <c r="JM26" s="100"/>
      <c r="JN26" s="100"/>
      <c r="JO26" s="145" t="s">
        <v>35</v>
      </c>
      <c r="JP26" s="117">
        <v>2</v>
      </c>
      <c r="JQ26" s="117">
        <v>66.7</v>
      </c>
      <c r="JR26" s="148">
        <v>1</v>
      </c>
      <c r="JS26" s="145" t="s">
        <v>602</v>
      </c>
      <c r="JT26" s="631"/>
      <c r="JU26" s="148"/>
      <c r="JV26" s="154"/>
      <c r="JW26" s="145"/>
      <c r="JX26" s="210"/>
      <c r="JY26" s="117"/>
      <c r="JZ26" s="662"/>
      <c r="KA26" s="145"/>
      <c r="KB26" s="148"/>
      <c r="KC26" s="148"/>
      <c r="KD26" s="644"/>
      <c r="KE26" s="286"/>
      <c r="KF26" s="100"/>
      <c r="KG26" s="100"/>
      <c r="KH26" s="210"/>
      <c r="KI26" s="117"/>
      <c r="KJ26" s="117"/>
      <c r="KK26" s="148"/>
      <c r="KL26" s="145"/>
      <c r="KM26" s="632"/>
      <c r="KN26" s="148"/>
      <c r="KO26" s="154"/>
      <c r="KP26" s="154"/>
      <c r="KQ26" s="210"/>
      <c r="KR26" s="117"/>
      <c r="KS26" s="211"/>
      <c r="KT26" s="145"/>
      <c r="KU26" s="148"/>
      <c r="KV26" s="148"/>
      <c r="KW26" s="265"/>
      <c r="KX26" s="286"/>
      <c r="KY26" s="100"/>
      <c r="KZ26" s="100"/>
      <c r="LA26" s="210"/>
      <c r="LB26" s="117"/>
      <c r="LC26" s="117"/>
      <c r="LD26" s="148"/>
      <c r="LE26" s="145"/>
      <c r="LF26" s="632"/>
      <c r="LG26" s="148"/>
      <c r="LH26" s="154"/>
      <c r="LI26" s="154"/>
      <c r="LJ26" s="154"/>
      <c r="LK26" s="117"/>
      <c r="LL26" s="211"/>
      <c r="LM26" s="210"/>
      <c r="LN26" s="148"/>
      <c r="LO26" s="148"/>
      <c r="LP26" s="265"/>
      <c r="LQ26" s="286"/>
      <c r="LR26" s="100"/>
      <c r="LS26" s="100"/>
      <c r="LT26" s="210"/>
      <c r="LU26" s="117"/>
      <c r="LV26" s="117"/>
      <c r="LW26" s="148"/>
      <c r="LX26" s="145"/>
      <c r="LY26" s="632"/>
      <c r="LZ26" s="148"/>
      <c r="MA26" s="154"/>
      <c r="MB26" s="154"/>
      <c r="MC26" s="145"/>
      <c r="MD26" s="117"/>
      <c r="ME26" s="211"/>
      <c r="MF26" s="210"/>
      <c r="MG26" s="148"/>
      <c r="MH26" s="148"/>
      <c r="MI26" s="265"/>
      <c r="MJ26" s="647"/>
      <c r="MK26" s="264"/>
      <c r="ML26" s="153"/>
      <c r="MM26" s="153"/>
      <c r="MN26" s="153"/>
      <c r="MO26" s="153"/>
      <c r="MP26" s="153"/>
      <c r="MQ26" s="153"/>
      <c r="MR26" s="153"/>
      <c r="MS26" s="99"/>
      <c r="MT26" s="99"/>
      <c r="MU26" s="99"/>
      <c r="MV26" s="99"/>
      <c r="MW26" s="99"/>
      <c r="MX26" s="99"/>
      <c r="MY26" s="153"/>
      <c r="MZ26" s="153"/>
      <c r="NA26" s="153"/>
      <c r="NB26" s="153"/>
      <c r="NC26" s="153"/>
      <c r="ND26" s="153"/>
      <c r="NE26" s="148"/>
      <c r="NF26" s="153"/>
      <c r="NG26" s="153"/>
      <c r="NH26" s="330" t="str">
        <f t="shared" si="245"/>
        <v>ks</v>
      </c>
      <c r="NI26" s="797">
        <f>RZ[[#This Row],[Počet ks (K)]]</f>
        <v>0</v>
      </c>
      <c r="NJ26" s="798">
        <f>RZ[[#This Row],[Hmotnost '[kg/ks'] (K)]]</f>
        <v>0</v>
      </c>
      <c r="NK26" s="148"/>
      <c r="NL26" s="145"/>
      <c r="NM26" s="632"/>
      <c r="NN26" s="148"/>
      <c r="NO26" s="154"/>
      <c r="NP26" s="153"/>
      <c r="NQ26" s="153"/>
      <c r="NR26" s="210"/>
      <c r="NS26" s="148"/>
      <c r="NT26" s="210"/>
      <c r="NU26" s="148"/>
      <c r="NV26" s="148"/>
      <c r="NW26" s="175"/>
    </row>
    <row r="27" spans="2:387" ht="15.95" customHeight="1" x14ac:dyDescent="0.35">
      <c r="B27" s="118" t="str">
        <f t="shared" si="129"/>
        <v/>
      </c>
      <c r="C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7" s="262" t="str">
        <f t="shared" si="130"/>
        <v xml:space="preserve">    Ložisko 180 NT 260512</v>
      </c>
      <c r="E27" s="12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Row],[Kód položek (P2)]]))))))))))</f>
        <v>-</v>
      </c>
      <c r="F27" s="791" t="str">
        <f t="shared" si="131"/>
        <v>N/A</v>
      </c>
      <c r="G27" s="792" t="str">
        <f t="shared" si="132"/>
        <v/>
      </c>
      <c r="H27" s="262" t="str">
        <f t="shared" si="133"/>
        <v/>
      </c>
      <c r="I27" s="123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HR '[MJHR'] (P0)]]))))))))))</f>
        <v>sest</v>
      </c>
      <c r="J27" s="123">
        <f t="shared" si="134"/>
        <v>2</v>
      </c>
      <c r="K27" s="793">
        <f>RZ[[#This Row],[Koeficient odhadu HR '[-'] (P1)]]</f>
        <v>1</v>
      </c>
      <c r="L27" s="124">
        <f ca="1">RZ[[#This Row],[Jednotková hmotnost s koef. '[kg/MJHR'] (P0)]]</f>
        <v>215.88200000000001</v>
      </c>
      <c r="M27" s="794">
        <f t="shared" ca="1" si="135"/>
        <v>0</v>
      </c>
      <c r="N27" s="125">
        <f t="shared" ca="1" si="136"/>
        <v>431.76400000000001</v>
      </c>
      <c r="O27" s="125">
        <f t="shared" ca="1" si="137"/>
        <v>0</v>
      </c>
      <c r="P27" s="126" t="str">
        <f t="shared" si="138"/>
        <v/>
      </c>
      <c r="Q27" s="795">
        <f ca="1">RZ[[#This Row],[Počet MJHR v rozpadu (P0)]]</f>
        <v>2</v>
      </c>
      <c r="R27" s="439" t="str">
        <f t="shared" si="139"/>
        <v/>
      </c>
      <c r="S27" s="129" t="str">
        <f t="shared" si="140"/>
        <v/>
      </c>
      <c r="T27" s="126" t="str">
        <f t="shared" si="141"/>
        <v/>
      </c>
      <c r="U27" s="126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CR (MJCR) (P0)]]))))))))))</f>
        <v>sest</v>
      </c>
      <c r="V27" s="575">
        <f t="shared" ca="1" si="142"/>
        <v>2</v>
      </c>
      <c r="W27" s="322">
        <f>RZ[[#This Row],[Koeficient odhadu CR '[-'] (P1)]]</f>
        <v>1</v>
      </c>
      <c r="X27" s="44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Row],[Jednotková cena bez DPH '[cena/MJCR'] (P1)]]*RZ[[#This Row],[Koeficient odhadu CR '[-']]]))))))))))</f>
        <v>-</v>
      </c>
      <c r="Y27" s="440">
        <f t="shared" ca="1" si="143"/>
        <v>0</v>
      </c>
      <c r="Z27" s="142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VLOOKUP(IP27,$BR$7:$BS$11,2,FALSE)))))))))))</f>
        <v>-</v>
      </c>
      <c r="AA27" s="909">
        <f t="shared" ca="1" si="144"/>
        <v>2</v>
      </c>
      <c r="AB27" s="910">
        <f ca="1">RZ[[#This Row],[Kumulovaný koeficient v rozpadu (P0)]]</f>
        <v>1</v>
      </c>
      <c r="AC27" s="261"/>
      <c r="AD27" s="796">
        <f ca="1">RZ[[#This Row],[Jednotková cena bez DPH '[cena/MJCR'] s koef. (P0)]]/RZ[[#This Row],[Koeficient odhadu CR '[-']]]*RZ[[#This Row],[Kumulovaný koeficient odhadu CR  '[-']]]</f>
        <v>81471.02</v>
      </c>
      <c r="AE27" s="796">
        <f t="shared" ca="1" si="145"/>
        <v>162942.04</v>
      </c>
      <c r="AF27" s="796">
        <f ca="1">-IF(ISNUMBER(AA27),RZ[[#This Row],[Celková cena bez DPH (1)]]-RZ[[#This Row],[Jednotková cena bez DPH '[cena/MJCR'] bez koef. (P0)]]*AA27,0)</f>
        <v>0</v>
      </c>
      <c r="AG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377.38681316645204</v>
      </c>
      <c r="AH27" s="261"/>
      <c r="AI27" s="796">
        <f t="shared" ca="1" si="146"/>
        <v>3017.4451851851854</v>
      </c>
      <c r="AJ27" s="796">
        <f t="shared" ca="1" si="147"/>
        <v>6034.8903703703709</v>
      </c>
      <c r="AK27" s="796">
        <f t="shared" ca="1" si="148"/>
        <v>0</v>
      </c>
      <c r="AL27" s="753">
        <f ca="1">RZ[[#This Row],[Kilogramová cena bez DPH '[cena/kg'] (1)]]/$AK$13</f>
        <v>13.977289376535261</v>
      </c>
      <c r="AM27" s="261"/>
      <c r="AN27" s="796">
        <f t="shared" ca="1" si="149"/>
        <v>3935.7980676328507</v>
      </c>
      <c r="AO27" s="796">
        <f t="shared" ca="1" si="150"/>
        <v>7871.5961352657014</v>
      </c>
      <c r="AP27" s="796">
        <f t="shared" ca="1" si="151"/>
        <v>0</v>
      </c>
      <c r="AQ27" s="753">
        <f ca="1">RZ[[#This Row],[Kilogramová cena bez DPH '[cena/kg'] (1)]]/$AP$13</f>
        <v>18.231247012872078</v>
      </c>
      <c r="AR27" s="261"/>
      <c r="AS27" s="796">
        <f t="shared" ca="1" si="152"/>
        <v>2228.4195842450767</v>
      </c>
      <c r="AT27" s="796">
        <f t="shared" ca="1" si="153"/>
        <v>4456.8391684901535</v>
      </c>
      <c r="AU27" s="789">
        <f t="shared" ca="1" si="154"/>
        <v>0</v>
      </c>
      <c r="AV27" s="767">
        <f ca="1">RZ[[#This Row],[Kilogramová cena bez DPH '[cena/kg'] (1)]]/$AU$13</f>
        <v>10.32239642140186</v>
      </c>
      <c r="AW27" s="165"/>
      <c r="AX27" s="911">
        <f t="shared" ca="1" si="155"/>
        <v>2</v>
      </c>
      <c r="AY27" s="111">
        <f t="shared" ca="1" si="156"/>
        <v>1</v>
      </c>
      <c r="AZ27" s="111">
        <f t="shared" ca="1" si="157"/>
        <v>8</v>
      </c>
      <c r="BA27" s="111">
        <f t="shared" ca="1" si="158"/>
        <v>0</v>
      </c>
      <c r="BB27" s="111">
        <f t="shared" ca="1" si="159"/>
        <v>0</v>
      </c>
      <c r="BC27" s="111">
        <f t="shared" ca="1" si="160"/>
        <v>0</v>
      </c>
      <c r="BD27" s="111">
        <f t="shared" ca="1" si="161"/>
        <v>0</v>
      </c>
      <c r="BE27" s="111">
        <f t="shared" ca="1" si="162"/>
        <v>0</v>
      </c>
      <c r="BF27" s="111">
        <f t="shared" ca="1" si="163"/>
        <v>0</v>
      </c>
      <c r="BG27" s="112">
        <f t="shared" ca="1" si="164"/>
        <v>0</v>
      </c>
      <c r="BH27" s="911">
        <f t="shared" si="165"/>
        <v>0</v>
      </c>
      <c r="BI27" s="111">
        <f t="shared" si="166"/>
        <v>0</v>
      </c>
      <c r="BJ27" s="111">
        <f t="shared" si="167"/>
        <v>1</v>
      </c>
      <c r="BK27" s="111">
        <f t="shared" si="168"/>
        <v>0</v>
      </c>
      <c r="BL27" s="111">
        <f t="shared" si="169"/>
        <v>0</v>
      </c>
      <c r="BM27" s="111">
        <f t="shared" si="170"/>
        <v>0</v>
      </c>
      <c r="BN27" s="111">
        <f t="shared" si="171"/>
        <v>0</v>
      </c>
      <c r="BO27" s="111">
        <f t="shared" si="172"/>
        <v>0</v>
      </c>
      <c r="BP27" s="111">
        <f t="shared" si="173"/>
        <v>0</v>
      </c>
      <c r="BQ27" s="112">
        <f t="shared" si="174"/>
        <v>0</v>
      </c>
      <c r="BR27" s="132">
        <f ca="1">IF(OFFSET(AY27,1,0,1,1)&lt;&gt;0,RZ[[#This Row],[Koeficient odhadu HR '[-'] (P1)]]*$BH27*SUMIFS(RZ[Úroveň 2 s koef. (P2)],RZ[0],AX27),RZ[[#This Row],[Koeficient odhadu HR '[-'] (P1)]]*$BH27*$IG27)</f>
        <v>0</v>
      </c>
      <c r="BS27" s="186">
        <f ca="1">IF(OFFSET(AY27,1,0,1,1)&lt;&gt;0,$BH27*SUMIFS(RZ[Úroveň 2 bez koef. (P2)],RZ[0],AX27),$BH27*$IG27)</f>
        <v>0</v>
      </c>
      <c r="BT27" s="138">
        <f ca="1">RZ[[#This Row],[Úroveň 2 s koef. (P2a)]]*RZ[[#This Row],[Počet MJHR (P0)]]</f>
        <v>0</v>
      </c>
      <c r="BU27" s="138">
        <f ca="1">RZ[[#This Row],[Úroveň 2 bez koef. (P2a)]]*RZ[[#This Row],[Počet MJHR (P0)]]</f>
        <v>0</v>
      </c>
      <c r="BV27" s="138">
        <f ca="1">IF(OFFSET(AZ27,1,0,1,1)&lt;&gt;0,RZ[[#This Row],[Koeficient odhadu HR '[-'] (P1)]]*$BI27*SUMIFS(RZ[Úroveň 3 s koef. (P2)],RZ[0],AX27,RZ[Úroveň 2 (P0)],AY27),RZ[[#This Row],[Koeficient odhadu HR '[-'] (P1)]]*$BI27*$IG27)</f>
        <v>0</v>
      </c>
      <c r="BW27" s="138">
        <f ca="1">IF(OFFSET(AZ27,1,0,1,1)&lt;&gt;0,$BI27*SUMIFS(RZ[Úroveň 3 bez koef. (P2)],RZ[0],AX27,RZ[Úroveň 2 (P0)],AY27),$BI27*$IG27)</f>
        <v>0</v>
      </c>
      <c r="BX27" s="132">
        <f ca="1">RZ[[#This Row],[Úroveň 3 s koef. (P2a)]]*RZ[[#This Row],[Počet MJHR (P0)]]</f>
        <v>431.76400000000001</v>
      </c>
      <c r="BY27" s="132">
        <f ca="1">RZ[Úroveň 3 bez koef. (P2a)]*RZ[[#This Row],[Počet MJHR (P0)]]</f>
        <v>431.76400000000001</v>
      </c>
      <c r="BZ27" s="132">
        <f ca="1">IF(OFFSET(BA27,1,0,1,1)&lt;&gt;0,RZ[[#This Row],[Koeficient odhadu HR '[-'] (P1)]]*$BJ27*SUMIFS(RZ[Úroveň 4 s koef. (P2)],RZ[0],AX27,RZ[Úroveň 2 (P0)],AY27,RZ[Úroveň 3 (P0)],AZ27),RZ[[#This Row],[Koeficient odhadu HR '[-'] (P1)]]*$BJ27*$IG27)</f>
        <v>215.88200000000001</v>
      </c>
      <c r="CA27" s="132">
        <f ca="1">IF(OFFSET(BA27,1,0,1,1)&lt;&gt;0,$BJ27*SUMIFS(RZ[Úroveň 4 bez koef. (P2)],RZ[0],AX27,RZ[Úroveň 2 (P0)],AY27,RZ[Úroveň 3 (P0)],AZ27),$BJ27*$IG27)</f>
        <v>215.88200000000001</v>
      </c>
      <c r="CB27" s="138">
        <f ca="1">RZ[[#This Row],[Úroveň 4 s koef. (P2a)]]*RZ[[#This Row],[Počet MJHR (P0)]]</f>
        <v>0</v>
      </c>
      <c r="CC27" s="138">
        <f ca="1">RZ[Úroveň 4 bez koef. (P2a)]*RZ[[#This Row],[Počet MJHR (P0)]]</f>
        <v>0</v>
      </c>
      <c r="CD27" s="138">
        <f ca="1">IF(OFFSET(BB27,1,0,1,1)&lt;&gt;0,RZ[[#This Row],[Koeficient odhadu HR '[-'] (P1)]]*$BK27*SUMIFS(RZ[Úroveň 5 s koef. (P2)],RZ[0],AX27,RZ[Úroveň 2 (P0)],AY27,RZ[Úroveň 3 (P0)],AZ27,RZ[Úroveň 4 (P0)],BA27),RZ[[#This Row],[Koeficient odhadu HR '[-'] (P1)]]*$BK27*$IG27)</f>
        <v>0</v>
      </c>
      <c r="CE27" s="138">
        <f ca="1">IF(OFFSET(BB27,1,0,1,1)&lt;&gt;0,$BK27*SUMIFS(RZ[Úroveň 5 bez koef. (P2)],RZ[0],AX27,RZ[Úroveň 2 (P0)],AY27,RZ[Úroveň 3 (P0)],AZ27,RZ[Úroveň 4 (P0)],BA27),$BK27*$IG27)</f>
        <v>0</v>
      </c>
      <c r="CF27" s="132">
        <f ca="1">RZ[[#This Row],[Úroveň 5 s koef. (P2a)]]*RZ[[#This Row],[Počet MJHR (P0)]]</f>
        <v>0</v>
      </c>
      <c r="CG27" s="132">
        <f ca="1">RZ[Úroveň 5 bez koef. (P2a)]*RZ[[#This Row],[Počet MJHR (P0)]]</f>
        <v>0</v>
      </c>
      <c r="CH27" s="132">
        <f ca="1">IF(OFFSET(BC27,1,0,1,1)&lt;&gt;0,RZ[[#This Row],[Koeficient odhadu HR '[-'] (P1)]]*$BL27*SUMIFS(RZ[Úroveň 6 s koef. (P2)],RZ[0],AX27,RZ[Úroveň 2 (P0)],AY27,RZ[Úroveň 3 (P0)],AZ27,RZ[Úroveň 4 (P0)],BA27,RZ[Úroveň 5 (P0)],BB27),RZ[[#This Row],[Koeficient odhadu HR '[-'] (P1)]]*$BL27*$IG27)</f>
        <v>0</v>
      </c>
      <c r="CI27" s="132">
        <f ca="1">IF(OFFSET(BC27,1,0,1,1)&lt;&gt;0,$BL27*SUMIFS(RZ[Úroveň 6 bez koef. (P2)],RZ[0],AX27,RZ[Úroveň 2 (P0)],AY27,RZ[Úroveň 3 (P0)],AZ27,RZ[Úroveň 4 (P0)],BA27,RZ[Úroveň 5 (P0)],BB27),$BL27*$IG27)</f>
        <v>0</v>
      </c>
      <c r="CJ27" s="138">
        <f ca="1">RZ[[#This Row],[Úroveň 6 s koef. (P2a)]]*RZ[[#This Row],[Počet MJHR (P0)]]</f>
        <v>0</v>
      </c>
      <c r="CK27" s="138">
        <f ca="1">RZ[Úroveň 6 bez koef. (P2a)]*RZ[[#This Row],[Počet MJHR (P0)]]</f>
        <v>0</v>
      </c>
      <c r="CL27" s="138">
        <f ca="1">IF(OFFSET(BD27,1,0,1,1)&lt;&gt;0,RZ[[#This Row],[Koeficient odhadu HR '[-'] (P1)]]*$BM27*SUMIFS(RZ[Úroveň 7 s koef. (P2)],RZ[0],AX27,RZ[Úroveň 2 (P0)],AY27,RZ[Úroveň 3 (P0)],AZ27,RZ[Úroveň 4 (P0)],BA27,RZ[Úroveň 5 (P0)],BB27,RZ[Úroveň 6 (P0)],BC27),RZ[[#This Row],[Koeficient odhadu HR '[-'] (P1)]]*$BM27*$IG27)</f>
        <v>0</v>
      </c>
      <c r="CM27" s="138">
        <f ca="1">IF(OFFSET(BD27,1,0,1,1)&lt;&gt;0,$BM27*SUMIFS(RZ[Úroveň 7 bez koef. (P2)],RZ[0],AX27,RZ[Úroveň 2 (P0)],AY27,RZ[Úroveň 3 (P0)],AZ27,RZ[Úroveň 4 (P0)],BA27,RZ[Úroveň 5 (P0)],BB27,RZ[Úroveň 6 (P0)],BC27),$BM27*$IG27)</f>
        <v>0</v>
      </c>
      <c r="CN27" s="132">
        <f ca="1">RZ[[#This Row],[Úroveň 7 s koef. (P2a)]]*RZ[[#This Row],[Počet MJHR (P0)]]</f>
        <v>0</v>
      </c>
      <c r="CO27" s="132">
        <f ca="1">RZ[Úroveň 7 bez koef. (P2a)]*RZ[[#This Row],[Počet MJHR (P0)]]</f>
        <v>0</v>
      </c>
      <c r="CP27" s="132">
        <f ca="1">IF(OFFSET(BE27,1,0,1,1)&lt;&gt;0,RZ[[#This Row],[Koeficient odhadu HR '[-'] (P1)]]*$BN27*SUMIFS(RZ[Úroveň 8 s koef. (P2)],RZ[0],AX27,RZ[Úroveň 2 (P0)],AY27,RZ[Úroveň 3 (P0)],AZ27,RZ[Úroveň 4 (P0)],BA27,RZ[Úroveň 5 (P0)],BB27,RZ[Úroveň 6 (P0)],BC27,RZ[Úroveň 7 (P0)],BD27),RZ[[#This Row],[Koeficient odhadu HR '[-'] (P1)]]*$BN27*$IG27)</f>
        <v>0</v>
      </c>
      <c r="CQ27" s="132">
        <f ca="1">IF(OFFSET(BE27,1,0,1,1)&lt;&gt;0,$BN27*SUMIFS(RZ[Úroveň 8 bez koef. (P2)],RZ[0],AX27,RZ[Úroveň 2 (P0)],AY27,RZ[Úroveň 3 (P0)],AZ27,RZ[Úroveň 4 (P0)],BA27,RZ[Úroveň 5 (P0)],BB27,RZ[Úroveň 6 (P0)],BC27,RZ[Úroveň 7 (P0)],BD27),$BN27*$IG27)</f>
        <v>0</v>
      </c>
      <c r="CR27" s="138">
        <f ca="1">RZ[[#This Row],[Úroveň 8 s koef. (P2a)]]*RZ[[#This Row],[Počet MJHR (P0)]]</f>
        <v>0</v>
      </c>
      <c r="CS27" s="138">
        <f ca="1">RZ[Úroveň 8 bez koef. (P2a)]*RZ[[#This Row],[Počet MJHR (P0)]]</f>
        <v>0</v>
      </c>
      <c r="CT27" s="138">
        <f ca="1">IF(OFFSET(BF27,1,0,1,1)&lt;&gt;0,RZ[[#This Row],[Koeficient odhadu HR '[-'] (P1)]]*$BO27*SUMIFS(RZ[Úroveň 9 s koef. (P2)],RZ[0],AX27,RZ[Úroveň 2 (P0)],AY27,RZ[Úroveň 3 (P0)],AZ27,RZ[Úroveň 4 (P0)],BA27,RZ[Úroveň 5 (P0)],BB27,RZ[Úroveň 6 (P0)],BC27,RZ[Úroveň 7 (P0)],BD27,RZ[Úroveň 8 (P0)],BE27),RZ[[#This Row],[Koeficient odhadu HR '[-'] (P1)]]*$BO27*$IG27)</f>
        <v>0</v>
      </c>
      <c r="CU27" s="138">
        <f ca="1">IF(OFFSET(BF27,1,0,1,1)&lt;&gt;0,$BO27*SUMIFS(RZ[Úroveň 9 bez koef. (P2)],RZ[0],AX27,RZ[Úroveň 2 (P0)],AY27,RZ[Úroveň 3 (P0)],AZ27,RZ[Úroveň 4 (P0)],BA27,RZ[Úroveň 5 (P0)],BB27,RZ[Úroveň 6 (P0)],BC27,RZ[Úroveň 7 (P0)],BD27,RZ[Úroveň 8 (P0)],BE27),$BO27*$IG27)</f>
        <v>0</v>
      </c>
      <c r="CV27" s="132">
        <f ca="1">RZ[[#This Row],[Úroveň 9 s koef. (P2a)]]*RZ[[#This Row],[Počet MJHR (P0)]]</f>
        <v>0</v>
      </c>
      <c r="CW27" s="132">
        <f ca="1">RZ[Úroveň 9 bez koef. (P2a)]*RZ[[#This Row],[Počet MJHR (P0)]]</f>
        <v>0</v>
      </c>
      <c r="CX27" s="132">
        <f ca="1">IF(OFFSET(BG27,1,0,1,1)&lt;&gt;0,RZ[[#This Row],[Koeficient odhadu HR '[-'] (P1)]]*$BP27*SUMIFS(RZ[Úroveň 10 s koef. (P2)],RZ[0],AX27,RZ[Úroveň 2 (P0)],AY27,RZ[Úroveň 3 (P0)],AZ27,RZ[Úroveň 4 (P0)],BA27,RZ[Úroveň 5 (P0)],BB27,RZ[Úroveň 6 (P0)],BC27,RZ[Úroveň 7 (P0)],BD27,RZ[Úroveň 8 (P0)],BE27,RZ[Úroveň 9 (P0)],BF27),RZ[[#This Row],[Koeficient odhadu HR '[-'] (P1)]]*$BP27*$IG27)</f>
        <v>0</v>
      </c>
      <c r="CY27" s="132">
        <f ca="1">IF(OFFSET(BG27,1,0,1,1)&lt;&gt;0,$BP27*SUMIFS(RZ[Úroveň 10 bez koef. (P2)],RZ[0],AX27,RZ[Úroveň 2 (P0)],AY27,RZ[Úroveň 3 (P0)],AZ27,RZ[Úroveň 4 (P0)],BA27,RZ[Úroveň 5 (P0)],BB27,RZ[Úroveň 6 (P0)],BC27,RZ[Úroveň 7 (P0)],BD27,RZ[Úroveň 8 (P0)],BE27,RZ[Úroveň 9 (P0)],BF27),$BP27*$IG27)</f>
        <v>0</v>
      </c>
      <c r="CZ27" s="138">
        <f>RZ[[#This Row],[Úroveň 10 s koef. (P2a)]]*RZ[[#This Row],[Počet MJHR (P0)]]</f>
        <v>0</v>
      </c>
      <c r="DA27" s="138">
        <f>RZ[Úroveň 10 bez koef. (P2a)]*RZ[[#This Row],[Počet MJHR (P0)]]</f>
        <v>0</v>
      </c>
      <c r="DB27" s="138">
        <f>RZ[[#This Row],[Koeficient odhadu HR '[-'] (P1)]]*$BQ27*IG27</f>
        <v>0</v>
      </c>
      <c r="DC27" s="231">
        <f t="shared" si="175"/>
        <v>0</v>
      </c>
      <c r="DD27" s="241">
        <f t="shared" ca="1" si="176"/>
        <v>215.88200000000001</v>
      </c>
      <c r="DE27" s="229">
        <f t="shared" ca="1" si="177"/>
        <v>215.88200000000001</v>
      </c>
      <c r="DF27" s="912">
        <f t="shared" si="178"/>
        <v>0</v>
      </c>
      <c r="DG27" s="913">
        <f t="shared" si="179"/>
        <v>0</v>
      </c>
      <c r="DH27" s="913">
        <f t="shared" si="180"/>
        <v>2</v>
      </c>
      <c r="DI27" s="913">
        <f t="shared" si="181"/>
        <v>0</v>
      </c>
      <c r="DJ27" s="913">
        <f t="shared" si="182"/>
        <v>0</v>
      </c>
      <c r="DK27" s="913">
        <f t="shared" si="183"/>
        <v>0</v>
      </c>
      <c r="DL27" s="913">
        <f t="shared" si="184"/>
        <v>0</v>
      </c>
      <c r="DM27" s="913">
        <f t="shared" si="185"/>
        <v>0</v>
      </c>
      <c r="DN27" s="913">
        <f t="shared" si="186"/>
        <v>0</v>
      </c>
      <c r="DO27" s="913">
        <f t="shared" si="187"/>
        <v>0</v>
      </c>
      <c r="DP27" s="914">
        <f ca="1">SUMIFS(RZ[Úroveň 1 (P4)],RZ[0],AX27)</f>
        <v>1</v>
      </c>
      <c r="DQ27" s="914">
        <f ca="1">SUMIFS(RZ[Úroveň 2 (P4)],RZ[0],AX27,RZ[Úroveň 2 (P0)],AY27)</f>
        <v>1</v>
      </c>
      <c r="DR27" s="914">
        <f ca="1">SUMIFS(RZ[Úroveň 3 (P4)],RZ[0],AX27,RZ[Úroveň 2 (P0)],AY27,RZ[Úroveň 3 (P0)],AZ27)</f>
        <v>2</v>
      </c>
      <c r="DS27" s="914">
        <f ca="1">SUMIFS(RZ[Úroveň 4 (P4)],RZ[0],AX27,RZ[Úroveň 2 (P0)],AY27,RZ[Úroveň 3 (P0)],AZ27,RZ[Úroveň 4 (P0)],BA27)</f>
        <v>0</v>
      </c>
      <c r="DT27" s="914">
        <f ca="1">SUMIFS(RZ[Úroveň 5 (P4)],RZ[0],AX27,RZ[Úroveň 2 (P0)],AY27,RZ[Úroveň 3 (P0)],AZ27,RZ[Úroveň 4 (P0)],BA27,RZ[Úroveň 5 (P0)],BB27)</f>
        <v>0</v>
      </c>
      <c r="DU27" s="914">
        <f ca="1">SUMIFS(RZ[Úroveň 6 (P4)],RZ[0],AX27,RZ[Úroveň 2 (P0)],AY27,RZ[Úroveň 3 (P0)],AZ27,RZ[Úroveň 4 (P0)],BA27,RZ[Úroveň 5 (P0)],BB27,RZ[Úroveň 6 (P0)],BC27)</f>
        <v>0</v>
      </c>
      <c r="DV27" s="914">
        <f ca="1">SUMIFS(RZ[Úroveň 7 (P4)],RZ[0],AX27,RZ[Úroveň 2 (P0)],AY27,RZ[Úroveň 3 (P0)],AZ27,RZ[Úroveň 4 (P0)],BA27,RZ[Úroveň 5 (P0)],BB27,RZ[Úroveň 6 (P0)],BC27,RZ[Úroveň 7 (P0)],BD27)</f>
        <v>0</v>
      </c>
      <c r="DW27" s="914">
        <f ca="1">SUMIFS(RZ[Úroveň 8 (P4)],RZ[0],AX27,RZ[Úroveň 2 (P0)],AY27,RZ[Úroveň 3 (P0)],AZ27,RZ[Úroveň 4 (P0)],BA27,RZ[Úroveň 5 (P0)],BB27,RZ[Úroveň 6 (P0)],BC27,RZ[Úroveň 7 (P0)],BD27,RZ[Úroveň 8 (P0)],BE27)</f>
        <v>0</v>
      </c>
      <c r="DX27" s="914">
        <f ca="1">SUMIFS(RZ[Úroveň 9 (P4)],RZ[0],AX27,RZ[Úroveň 2 (P0)],AY27,RZ[Úroveň 3 (P0)],AZ27,RZ[Úroveň 4 (P0)],BA27,RZ[Úroveň 5 (P0)],BB27,RZ[Úroveň 6 (P0)],BC27,RZ[Úroveň 7 (P0)],BD27,RZ[Úroveň 8 (P0)],BE27,RZ[Úroveň 9 (P0)],BF27)</f>
        <v>0</v>
      </c>
      <c r="DY27" s="914">
        <f ca="1">SUMIFS(RZ[Úroveň 10 (P4)],RZ[0],AX27,RZ[Úroveň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DZ27" s="915">
        <f t="shared" ca="1" si="188"/>
        <v>2</v>
      </c>
      <c r="EA27" s="916">
        <f ca="1">RZ[[#This Row],[Jednotková hmotnost bez koef. '[kg/MJHR'] (P0)]]*RZ[[#This Row],[Počet MJHR v rozpadu (P0)]]</f>
        <v>431.76400000000001</v>
      </c>
      <c r="EB27" s="917">
        <f ca="1">IF(OFFSET(AY27,1,0,1,1)&lt;&gt;0,RZ[[#This Row],[Koeficient odhadu CR '[-'] (P1)]]*$BH27*SUMIFS(RZ[Úroveň 2 s koef. (P3)],RZ[0],AX27),RZ[[#This Row],[Koeficient odhadu CR '[-'] (P1)]]*$BH27*$IQ27)</f>
        <v>0</v>
      </c>
      <c r="EC27" s="191">
        <f ca="1">IF(OFFSET(AY27,1,0,1,1)&lt;&gt;0,$BH27*SUMIFS(RZ[Úroveň 2 bez koef. (P3)],RZ[0],AX27),$BH27*$IQ27)</f>
        <v>0</v>
      </c>
      <c r="ED27" s="140">
        <f ca="1">RZ[[#This Row],[Úroveň 2 s koef. (P3a)]]*RZ[[#This Row],[Počet MJCR (P0) pro "kg"]]</f>
        <v>0</v>
      </c>
      <c r="EE27" s="140">
        <f ca="1">RZ[Úroveň 2 bez koef. (P3a)]*RZ[[#This Row],[Počet MJCR (P0) pro "kg"]]</f>
        <v>0</v>
      </c>
      <c r="EF27" s="140">
        <f ca="1">IF(OFFSET(AZ27,1,0,1,1)&lt;&gt;0,RZ[[#This Row],[Koeficient odhadu CR '[-'] (P1)]]*$BI27*SUMIFS(RZ[Úroveň 3 s koef. (P3)],RZ[0],AX27,RZ[Úroveň 2 (P0)],AY27),RZ[[#This Row],[Koeficient odhadu CR '[-'] (P1)]]*$BI27*$IQ27)</f>
        <v>0</v>
      </c>
      <c r="EG27" s="140">
        <f ca="1">IF(OFFSET(AZ27,1,0,1,1)&lt;&gt;0,$BI27*SUMIFS(RZ[Úroveň 3 bez koef. (P3)],RZ[0],AX27,RZ[Úroveň 2 (P0)],AY27),$BI27*$IQ27)</f>
        <v>0</v>
      </c>
      <c r="EH27" s="135">
        <f ca="1">RZ[[#This Row],[Úroveň 3 s koef. (P3a)]]*RZ[[#This Row],[Počet MJCR (P0) pro "kg"]]</f>
        <v>162942.04</v>
      </c>
      <c r="EI27" s="135">
        <f ca="1">RZ[Úroveň 3 bez koef. (P3a)]*RZ[[#This Row],[Počet MJCR (P0) pro "kg"]]</f>
        <v>162942.04</v>
      </c>
      <c r="EJ27" s="135">
        <f ca="1">IF(OFFSET(BA27,1,0,1,1)&lt;&gt;0,RZ[[#This Row],[Koeficient odhadu CR '[-'] (P1)]]*$BJ27*SUMIFS(RZ[Úroveň 4 s koef. (P3)],RZ[0],AX27,RZ[Úroveň 2 (P0)],AY27,RZ[Úroveň 3 (P0)],AZ27),RZ[[#This Row],[Koeficient odhadu CR '[-'] (P1)]]*$BJ27*$IQ27)</f>
        <v>81471.02</v>
      </c>
      <c r="EK27" s="135">
        <f ca="1">IF(OFFSET(BA27,1,0,1,1)&lt;&gt;0,$BJ27*SUMIFS(RZ[Úroveň 4 bez koef. (P3)],RZ[0],AX27,RZ[Úroveň 2 (P0)],AY27,RZ[Úroveň 3 (P0)],AZ27),$BJ27*$IQ27)</f>
        <v>81471.02</v>
      </c>
      <c r="EL27" s="140">
        <f ca="1">RZ[[#This Row],[Úroveň 4 s koef. (P3a)]]*RZ[[#This Row],[Počet MJCR (P0) pro "kg"]]</f>
        <v>0</v>
      </c>
      <c r="EM27" s="140">
        <f ca="1">RZ[Úroveň 4 bez koef. (P3a)]*RZ[[#This Row],[Počet MJCR (P0) pro "kg"]]</f>
        <v>0</v>
      </c>
      <c r="EN27" s="140">
        <f ca="1">IF(OFFSET(BB27,1,0,1,1)&lt;&gt;0,RZ[[#This Row],[Koeficient odhadu CR '[-'] (P1)]]*$BK27*SUMIFS(RZ[Úroveň 5 s koef. (P3)],RZ[0],AX27,RZ[Úroveň 2 (P0)],AY27,RZ[Úroveň 3 (P0)],AZ27,RZ[Úroveň 4 (P0)],BA27),RZ[[#This Row],[Koeficient odhadu CR '[-'] (P1)]]*$BK27*$IQ27)</f>
        <v>0</v>
      </c>
      <c r="EO27" s="140">
        <f ca="1">IF(OFFSET(BB27,1,0,1,1)&lt;&gt;0,$BK27*SUMIFS(RZ[Úroveň 5 bez koef. (P3)],RZ[0],AX27,RZ[Úroveň 2 (P0)],AY27,RZ[Úroveň 3 (P0)],AZ27,RZ[Úroveň 4 (P0)],BA27),$BK27*$IQ27)</f>
        <v>0</v>
      </c>
      <c r="EP27" s="135">
        <f ca="1">RZ[[#This Row],[Úroveň 5 s koef. (P3a)]]*RZ[[#This Row],[Počet MJCR (P0) pro "kg"]]</f>
        <v>0</v>
      </c>
      <c r="EQ27" s="135">
        <f ca="1">RZ[Úroveň 5 bez koef. (P3a)]*RZ[[#This Row],[Počet MJCR (P0) pro "kg"]]</f>
        <v>0</v>
      </c>
      <c r="ER27" s="135">
        <f ca="1">IF(OFFSET(BC27,1,0,1,1)&lt;&gt;0,RZ[[#This Row],[Koeficient odhadu CR '[-'] (P1)]]*$BL27*SUMIFS(RZ[Úroveň 6 s koef. (P3)],RZ[0],AX27,RZ[Úroveň 2 (P0)],AY27,RZ[Úroveň 3 (P0)],AZ27,RZ[Úroveň 4 (P0)],BA27,RZ[Úroveň 5 (P0)],BB27),RZ[[#This Row],[Koeficient odhadu CR '[-'] (P1)]]*$BL27*$IQ27)</f>
        <v>0</v>
      </c>
      <c r="ES27" s="135">
        <f ca="1">IF(OFFSET(BC27,1,0,1,1)&lt;&gt;0,$BL27*SUMIFS(RZ[Úroveň 6 bez koef. (P3)],RZ[0],AX27,RZ[Úroveň 2 (P0)],AY27,RZ[Úroveň 3 (P0)],AZ27,RZ[Úroveň 4 (P0)],BA27,RZ[Úroveň 5 (P0)],BB27),$BL27*$IQ27)</f>
        <v>0</v>
      </c>
      <c r="ET27" s="140">
        <f ca="1">RZ[[#This Row],[Úroveň 6 s koef. (P3a)]]*RZ[[#This Row],[Počet MJCR (P0) pro "kg"]]</f>
        <v>0</v>
      </c>
      <c r="EU27" s="140">
        <f ca="1">RZ[Úroveň 6 bez koef. (P3a)]*RZ[[#This Row],[Počet MJCR (P0) pro "kg"]]</f>
        <v>0</v>
      </c>
      <c r="EV27" s="140">
        <f ca="1">IF(OFFSET(BD27,1,0,1,1)&lt;&gt;0,RZ[[#This Row],[Koeficient odhadu CR '[-'] (P1)]]*$BM27*SUMIFS(RZ[Úroveň 7 s koef. (P3)],RZ[0],AX27,RZ[Úroveň 2 (P0)],AY27,RZ[Úroveň 3 (P0)],AZ27,RZ[Úroveň 4 (P0)],BA27,RZ[Úroveň 5 (P0)],BB27,RZ[Úroveň 6 (P0)],BC27),RZ[[#This Row],[Koeficient odhadu CR '[-'] (P1)]]*$BM27*$IQ27)</f>
        <v>0</v>
      </c>
      <c r="EW27" s="140">
        <f ca="1">IF(OFFSET(BD27,1,0,1,1)&lt;&gt;0,$BM27*SUMIFS(RZ[Úroveň 7 bez koef. (P3)],RZ[0],AX27,RZ[Úroveň 2 (P0)],AY27,RZ[Úroveň 3 (P0)],AZ27,RZ[Úroveň 4 (P0)],BA27,RZ[Úroveň 5 (P0)],BB27,RZ[Úroveň 6 (P0)],BC27),$BM27*$IQ27)</f>
        <v>0</v>
      </c>
      <c r="EX27" s="135">
        <f ca="1">RZ[[#This Row],[Úroveň 7 s koef. (P3a)]]*RZ[[#This Row],[Počet MJCR (P0) pro "kg"]]</f>
        <v>0</v>
      </c>
      <c r="EY27" s="135">
        <f ca="1">RZ[Úroveň 7 bez koef. (P3a)]*RZ[[#This Row],[Počet MJCR (P0) pro "kg"]]</f>
        <v>0</v>
      </c>
      <c r="EZ27" s="135">
        <f ca="1">IF(OFFSET(BE27,1,0,1,1)&lt;&gt;0,RZ[[#This Row],[Koeficient odhadu CR '[-'] (P1)]]*$BN27*SUMIFS(RZ[Úroveň 8 s koef. (P3)],RZ[0],AX27,RZ[Úroveň 2 (P0)],AY27,RZ[Úroveň 3 (P0)],AZ27,RZ[Úroveň 4 (P0)],BA27,RZ[Úroveň 5 (P0)],BB27,RZ[Úroveň 6 (P0)],BC27,RZ[Úroveň 7 (P0)],BD27),RZ[[#This Row],[Koeficient odhadu CR '[-'] (P1)]]*$BN27*$IQ27)</f>
        <v>0</v>
      </c>
      <c r="FA27" s="135">
        <f ca="1">IF(OFFSET(BE27,1,0,1,1)&lt;&gt;0,$BN27*SUMIFS(RZ[Úroveň 8 bez koef. (P3)],RZ[0],AX27,RZ[Úroveň 2 (P0)],AY27,RZ[Úroveň 3 (P0)],AZ27,RZ[Úroveň 4 (P0)],BA27,RZ[Úroveň 5 (P0)],BB27,RZ[Úroveň 6 (P0)],BC27,RZ[Úroveň 7 (P0)],BD27),$BN27*$IQ27)</f>
        <v>0</v>
      </c>
      <c r="FB27" s="140">
        <f ca="1">RZ[[#This Row],[Úroveň 8 s koef. (P3a)]]*RZ[[#This Row],[Počet MJCR (P0) pro "kg"]]</f>
        <v>0</v>
      </c>
      <c r="FC27" s="140">
        <f ca="1">RZ[Úroveň 8 bez koef. (P3a)]*RZ[[#This Row],[Počet MJCR (P0) pro "kg"]]</f>
        <v>0</v>
      </c>
      <c r="FD27" s="140">
        <f ca="1">IF(OFFSET(BF27,1,0,1,1)&lt;&gt;0,RZ[[#This Row],[Koeficient odhadu CR '[-'] (P1)]]*$BO27*SUMIFS(RZ[Úroveň 9 s koef. (P3)],RZ[0],AX27,RZ[Úroveň 2 (P0)],AY27,RZ[Úroveň 3 (P0)],AZ27,RZ[Úroveň 4 (P0)],BA27,RZ[Úroveň 5 (P0)],BB27,RZ[Úroveň 6 (P0)],BC27,RZ[Úroveň 7 (P0)],BD27,RZ[Úroveň 8 (P0)],BE27),RZ[[#This Row],[Koeficient odhadu CR '[-'] (P1)]]*$BO27*$IQ27)</f>
        <v>0</v>
      </c>
      <c r="FE27" s="140">
        <f ca="1">IF(OFFSET(BF27,1,0,1,1)&lt;&gt;0,$BO27*SUMIFS(RZ[Úroveň 9 bez koef. (P3)],RZ[0],AX27,RZ[Úroveň 2 (P0)],AY27,RZ[Úroveň 3 (P0)],AZ27,RZ[Úroveň 4 (P0)],BA27,RZ[Úroveň 5 (P0)],BB27,RZ[Úroveň 6 (P0)],BC27,RZ[Úroveň 7 (P0)],BD27,RZ[Úroveň 8 (P0)],BE27),$BO27*$IQ27)</f>
        <v>0</v>
      </c>
      <c r="FF27" s="135">
        <f ca="1">RZ[[#This Row],[Úroveň 9 s koef. (P3a)]]*RZ[[#This Row],[Počet MJCR (P0) pro "kg"]]</f>
        <v>0</v>
      </c>
      <c r="FG27" s="135">
        <f ca="1">RZ[Úroveň 9 bez koef. (P3a)]*RZ[[#This Row],[Počet MJCR (P0) pro "kg"]]</f>
        <v>0</v>
      </c>
      <c r="FH27" s="135">
        <f ca="1">IF(OFFSET(BG27,1,0,1,1)&lt;&gt;0,RZ[[#This Row],[Koeficient odhadu CR '[-'] (P1)]]*$BP27*SUMIFS(RZ[Úroveň 10 s koef. (P3)],RZ[0],AX27,RZ[Úroveň 2 (P0)],AY27,RZ[Úroveň 3 (P0)],AZ27,RZ[Úroveň 4 (P0)],BA27,RZ[Úroveň 5 (P0)],BB27,RZ[Úroveň 6 (P0)],BC27,RZ[Úroveň 7 (P0)],BD27,RZ[Úroveň 8 (P0)],BE27,RZ[Úroveň 9 (P0)],BF27),RZ[[#This Row],[Koeficient odhadu CR '[-'] (P1)]]*$BP27*$IQ27)</f>
        <v>0</v>
      </c>
      <c r="FI27" s="135">
        <f ca="1">IF(OFFSET(BG27,1,0,1,1)&lt;&gt;0,$BP27*SUMIFS(RZ[Úroveň 10 bez koef. (P3)],RZ[0],AX27,RZ[Úroveň 2 (P0)],AY27,RZ[Úroveň 3 (P0)],AZ27,RZ[Úroveň 4 (P0)],BA27,RZ[Úroveň 5 (P0)],BB27,RZ[Úroveň 6 (P0)],BC27,RZ[Úroveň 7 (P0)],BD27,RZ[Úroveň 8 (P0)],BE27,RZ[Úroveň 9 (P0)],BF27),$BP27*$IQ27)</f>
        <v>0</v>
      </c>
      <c r="FJ27" s="140">
        <f ca="1">RZ[[#This Row],[Úroveň 10 s koef. (P3a)]]*RZ[[#This Row],[Počet MJCR (P0) pro "kg"]]</f>
        <v>0</v>
      </c>
      <c r="FK27" s="140">
        <f ca="1">RZ[Úroveň 10 bez koef. (P3a)]*RZ[[#This Row],[Počet MJCR (P0) pro "kg"]]</f>
        <v>0</v>
      </c>
      <c r="FL27" s="140">
        <f ca="1">RZ[[#This Row],[Koeficient odhadu CR '[-'] (P1)]]*$BQ27*IQ27</f>
        <v>0</v>
      </c>
      <c r="FM27" s="236">
        <f t="shared" ca="1" si="189"/>
        <v>0</v>
      </c>
      <c r="FN27" s="194">
        <f t="shared" ca="1" si="190"/>
        <v>81471.02</v>
      </c>
      <c r="FO27" s="238">
        <f t="shared" ca="1" si="191"/>
        <v>81471.02</v>
      </c>
      <c r="FP27" s="135">
        <f t="shared" ca="1" si="192"/>
        <v>0</v>
      </c>
      <c r="FQ27" s="135">
        <f t="shared" ca="1" si="193"/>
        <v>0</v>
      </c>
      <c r="FR27" s="135">
        <f t="shared" ca="1" si="194"/>
        <v>2</v>
      </c>
      <c r="FS27" s="135">
        <f t="shared" ca="1" si="195"/>
        <v>0</v>
      </c>
      <c r="FT27" s="135">
        <f t="shared" ca="1" si="196"/>
        <v>0</v>
      </c>
      <c r="FU27" s="135">
        <f t="shared" ca="1" si="197"/>
        <v>0</v>
      </c>
      <c r="FV27" s="135">
        <f t="shared" ca="1" si="198"/>
        <v>0</v>
      </c>
      <c r="FW27" s="135">
        <f t="shared" ca="1" si="199"/>
        <v>0</v>
      </c>
      <c r="FX27" s="135">
        <f t="shared" ca="1" si="200"/>
        <v>0</v>
      </c>
      <c r="FY27" s="135">
        <f t="shared" ca="1" si="201"/>
        <v>0</v>
      </c>
      <c r="FZ27" s="140">
        <f ca="1">SUMIFS(RZ[Úroveň 1 (P6)],RZ[0],AX27)</f>
        <v>1</v>
      </c>
      <c r="GA27" s="140">
        <f ca="1">SUMIFS(RZ[Úroveň 2 (P6)],RZ[0],AX27,RZ[Úroveň 2 (P0)],AY27)</f>
        <v>1</v>
      </c>
      <c r="GB27" s="140">
        <f ca="1">SUMIFS(RZ[Úroveň 3 (P6)],RZ[0],AX27,RZ[Úroveň 2 (P0)],AY27,RZ[Úroveň 3 (P0)],AZ27)</f>
        <v>2</v>
      </c>
      <c r="GC27" s="140">
        <f ca="1">SUMIFS(RZ[Úroveň 4 (P6)],RZ[0],AX27,RZ[Úroveň 2 (P0)],AY27,RZ[Úroveň 3 (P0)],AZ27,RZ[Úroveň 4 (P0)],BA27)</f>
        <v>0</v>
      </c>
      <c r="GD27" s="140">
        <f ca="1">SUMIFS(RZ[Úroveň 5 (P6)],RZ[0],AX27,RZ[Úroveň 2 (P0)],AY27,RZ[Úroveň 3 (P0)],AZ27,RZ[Úroveň 4 (P0)],BA27,RZ[Úroveň 5 (P0)],BB27)</f>
        <v>0</v>
      </c>
      <c r="GE27" s="140">
        <f ca="1">SUMIFS(RZ[Úroveň 6 (P6)],RZ[0],AX27,RZ[Úroveň 2 (P0)],AY27,RZ[Úroveň 3 (P0)],AZ27,RZ[Úroveň 4 (P0)],BA27,RZ[Úroveň 5 (P0)],BB27,RZ[Úroveň 6 (P0)],BC27)</f>
        <v>0</v>
      </c>
      <c r="GF27" s="140">
        <f ca="1">SUMIFS(RZ[Úroveň 7 (P6)],RZ[0],AX27,RZ[Úroveň 2 (P0)],AY27,RZ[Úroveň 3 (P0)],AZ27,RZ[Úroveň 4 (P0)],BA27,RZ[Úroveň 5 (P0)],BB27,RZ[Úroveň 6 (P0)],BC27,RZ[Úroveň 7 (P0)],BD27)</f>
        <v>0</v>
      </c>
      <c r="GG27" s="140">
        <f ca="1">SUMIFS(RZ[Úroveň 8 (P6)],RZ[0],AX27,RZ[Úroveň 2 (P0)],AY27,RZ[Úroveň 3 (P0)],AZ27,RZ[Úroveň 4 (P0)],BA27,RZ[Úroveň 5 (P0)],BB27,RZ[Úroveň 6 (P0)],BC27,RZ[Úroveň 7 (P0)],BD27,RZ[Úroveň 8 (P0)],BE27)</f>
        <v>0</v>
      </c>
      <c r="GH27" s="140">
        <f ca="1">SUMIFS(RZ[Úroveň 9 (P6)],RZ[0],AX27,RZ[Úroveň 2 (P0)],AY27,RZ[Úroveň 3 (P0)],AZ27,RZ[Úroveň 4 (P0)],BA27,RZ[Úroveň 5 (P0)],BB27,RZ[Úroveň 6 (P0)],BC27,RZ[Úroveň 7 (P0)],BD27,RZ[Úroveň 8 (P0)],BE27,RZ[Úroveň 9 (P0)],BF27)</f>
        <v>0</v>
      </c>
      <c r="GI27" s="140">
        <f ca="1">SUMIFS(RZ[Úroveň 10 (P6)],RZ[0],AX27,RZ[Úroveň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GJ27" s="918">
        <f t="shared" ca="1" si="202"/>
        <v>2</v>
      </c>
      <c r="GK27" s="808">
        <f t="shared" si="203"/>
        <v>0</v>
      </c>
      <c r="GL27" s="808">
        <f t="shared" si="204"/>
        <v>0</v>
      </c>
      <c r="GM27" s="808">
        <f t="shared" si="205"/>
        <v>1</v>
      </c>
      <c r="GN27" s="808">
        <f t="shared" si="206"/>
        <v>0</v>
      </c>
      <c r="GO27" s="808">
        <f t="shared" si="207"/>
        <v>0</v>
      </c>
      <c r="GP27" s="808">
        <f t="shared" si="208"/>
        <v>0</v>
      </c>
      <c r="GQ27" s="808">
        <f t="shared" si="209"/>
        <v>0</v>
      </c>
      <c r="GR27" s="808">
        <f t="shared" si="210"/>
        <v>0</v>
      </c>
      <c r="GS27" s="808">
        <f t="shared" si="211"/>
        <v>0</v>
      </c>
      <c r="GT27" s="808">
        <f t="shared" si="212"/>
        <v>0</v>
      </c>
      <c r="GU27" s="809">
        <f ca="1">SUMIFS(RZ[Sloupec1],RZ[0],AX27)</f>
        <v>1</v>
      </c>
      <c r="GV27" s="809">
        <f ca="1">SUMIFS(RZ[Sloupec2],RZ[0],AX27,RZ[Úroveň 2 (P0)],AY27)</f>
        <v>1</v>
      </c>
      <c r="GW27" s="809">
        <f ca="1">SUMIFS(RZ[Sloupec3],RZ[0],AX27,RZ[Úroveň 2 (P0)],AY27,RZ[Úroveň 3 (P0)],AZ27)</f>
        <v>1</v>
      </c>
      <c r="GX27" s="809">
        <f ca="1">SUMIFS(RZ[Sloupec4],RZ[0],AX27,RZ[Úroveň 2 (P0)],AY27,RZ[Úroveň 3 (P0)],AZ27,RZ[Úroveň 4 (P0)],BA27)</f>
        <v>0</v>
      </c>
      <c r="GY27" s="809">
        <f ca="1">SUMIFS(RZ[Sloupec5],RZ[0],AX27,RZ[Úroveň 2 (P0)],AY27,RZ[Úroveň 3 (P0)],AZ27,RZ[Úroveň 4 (P0)],BA27,RZ[Úroveň 5 (P0)],BB27)</f>
        <v>0</v>
      </c>
      <c r="GZ27" s="809">
        <f ca="1">SUMIFS(RZ[Sloupec6],RZ[0],AX27,RZ[Úroveň 2 (P0)],AY27,RZ[Úroveň 3 (P0)],AZ27,RZ[Úroveň 4 (P0)],BA27,RZ[Úroveň 5 (P0)],BB27,RZ[Úroveň 6 (P0)],BC27)</f>
        <v>0</v>
      </c>
      <c r="HA27" s="809">
        <f ca="1">SUMIFS(RZ[Sloupec62],RZ[0],AX27,RZ[Úroveň 2 (P0)],AY27,RZ[Úroveň 3 (P0)],AZ27,RZ[Úroveň 4 (P0)],BA27,RZ[Úroveň 5 (P0)],BB27,RZ[Úroveň 6 (P0)],BC27,RZ[Úroveň 7 (P0)],BD27)</f>
        <v>0</v>
      </c>
      <c r="HB27" s="809">
        <f ca="1">SUMIFS(RZ[Sloupec63],RZ[0],AX27,RZ[Úroveň 2 (P0)],AY27,RZ[Úroveň 3 (P0)],AZ27,RZ[Úroveň 4 (P0)],BA27,RZ[Úroveň 5 (P0)],BB27,RZ[Úroveň 6 (P0)],BC27,RZ[Úroveň 7 (P0)],BD27,RZ[Úroveň 8 (P0)],BE27)</f>
        <v>0</v>
      </c>
      <c r="HC27" s="809">
        <f ca="1">SUMIFS(RZ[Sloupec64],RZ[0],AX27,RZ[Úroveň 2 (P0)],AY27,RZ[Úroveň 3 (P0)],AZ27,RZ[Úroveň 4 (P0)],BA27,RZ[Úroveň 5 (P0)],BB27,RZ[Úroveň 6 (P0)],BC27,RZ[Úroveň 7 (P0)],BD27,RZ[Úroveň 8 (P0)],BE27,RZ[Úroveň 9 (P0)],BF27)</f>
        <v>0</v>
      </c>
      <c r="HD27" s="809">
        <f ca="1">SUMIFS(RZ[Sloupec65],RZ[0],AX27,RZ[Úroveň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HE27" s="919">
        <f t="shared" ca="1" si="213"/>
        <v>1</v>
      </c>
      <c r="HF27" s="920" t="str">
        <f t="shared" si="214"/>
        <v/>
      </c>
      <c r="HG27" s="94" t="str">
        <f t="shared" si="215"/>
        <v/>
      </c>
      <c r="HH27" s="95" t="str">
        <f t="shared" si="216"/>
        <v/>
      </c>
      <c r="HI27" s="95" t="str">
        <f t="shared" si="217"/>
        <v>Ložisko 180 NT 260512</v>
      </c>
      <c r="HJ27" s="96" t="str">
        <f t="shared" si="218"/>
        <v/>
      </c>
      <c r="HK27" s="96" t="str">
        <f t="shared" si="219"/>
        <v/>
      </c>
      <c r="HL27" s="96" t="str">
        <f t="shared" si="220"/>
        <v/>
      </c>
      <c r="HM27" s="96" t="str">
        <f t="shared" si="221"/>
        <v/>
      </c>
      <c r="HN27" s="96" t="str">
        <f t="shared" si="222"/>
        <v/>
      </c>
      <c r="HO27" s="96" t="str">
        <f t="shared" si="223"/>
        <v/>
      </c>
      <c r="HP27" s="96" t="str">
        <f t="shared" si="224"/>
        <v/>
      </c>
      <c r="HQ27" s="145" t="str">
        <f t="shared" si="225"/>
        <v>-</v>
      </c>
      <c r="HR27" s="921" t="str">
        <f t="shared" si="226"/>
        <v/>
      </c>
      <c r="HS27" s="173">
        <f t="shared" si="227"/>
        <v>0</v>
      </c>
      <c r="HT27" s="100">
        <f t="shared" si="228"/>
        <v>0</v>
      </c>
      <c r="HU27" s="100">
        <f t="shared" si="229"/>
        <v>0</v>
      </c>
      <c r="HV27" s="908">
        <f t="shared" si="230"/>
        <v>0</v>
      </c>
      <c r="HW27" s="922">
        <f t="shared" si="231"/>
        <v>0</v>
      </c>
      <c r="HX27" s="224">
        <f t="shared" si="232"/>
        <v>0</v>
      </c>
      <c r="HY27" s="263" t="str">
        <f t="shared" si="233"/>
        <v>S</v>
      </c>
      <c r="HZ27" s="263">
        <f t="shared" si="234"/>
        <v>0</v>
      </c>
      <c r="IA27" s="150">
        <f t="shared" si="235"/>
        <v>1</v>
      </c>
      <c r="IB27" s="319">
        <f t="shared" si="236"/>
        <v>0</v>
      </c>
      <c r="IC27" s="923">
        <f t="shared" si="237"/>
        <v>0</v>
      </c>
      <c r="ID27" s="924" t="str">
        <f t="shared" ca="1" si="238"/>
        <v>--</v>
      </c>
      <c r="IE27" s="201">
        <f t="shared" si="239"/>
        <v>0</v>
      </c>
      <c r="IF27" s="145">
        <f t="shared" si="240"/>
        <v>2</v>
      </c>
      <c r="IG27" s="216">
        <f t="shared" si="241"/>
        <v>0</v>
      </c>
      <c r="IH27" s="217">
        <f t="shared" si="242"/>
        <v>1</v>
      </c>
      <c r="II27" s="224">
        <f ca="1">IF(RZ[[#This Row],[Rozhodný sloupec indikativní ceny]]=1,"kg",IF($IW27=$JL$15,IF(JX27=0,JO27,JX27),IF($IW27=$KE$15,IF(KQ27=0,KH27,KQ27),IF($IW27=$KX$15,IF(LJ27=0,LA27,LJ27),IF($IW27=$LQ$15,IF(MC27=0,LT27,MC27),IF($IW27=$MJ$15,IF(NQ27=0,NH27,NQ27),0))))))</f>
        <v>0</v>
      </c>
      <c r="IJ27" s="224">
        <f ca="1">IF((BH27+OFFSET(BH27,1,1,1,1))=2,RZ[[#This Row],[Počet MJHR (P0)]],IF((BI27+OFFSET(BI27,1,1,1,1))=2,RZ[[#This Row],[Počet MJHR (P0)]],IF((BJ27+OFFSET(BJ27,1,1,1,1))=2,RZ[[#This Row],[Počet MJHR (P0)]],IF((BK27+OFFSET(BK27,1,1,1,1))=2,RZ[[#This Row],[Počet MJHR (P0)]],IF((BL27+OFFSET(BL27,1,1,1,1))=2,RZ[[#This Row],[Počet MJHR (P0)]],IF((BM27+OFFSET(BM27,1,1,1,1))=2,RZ[[#This Row],[Počet MJHR (P0)]],IF((BN27+OFFSET(BN27,1,1,1,1))=2,RZ[[#This Row],[Počet MJHR (P0)]],IF((BO27+OFFSET(BO27,1,1,1,1))=2,RZ[[#This Row],[Počet MJHR (P0)]],IF((BP27+OFFSET(BP27,1,1,1,1))=2,RZ[[#This Row],[Počet MJHR (P0)]],IF((BQ27+OFFSET(BQ27,1,1,1,1))=2,RZ[[#This Row],[Počet MJHR (P0)]],IF(RZ[[#This Row],[Měrná jednotka CR (MJCR) (P0)]]=RZ[[#This Row],[Měrná jednotka HR '[MJHR'] (P0)]],RZ[[#This Row],[Počet MJHR (P0)]],IF($IW27=$JL$15,JY27,IF($IW27=$KE$15,KR27,IF($IW27=$KX$15,LK27,IF($IW27=$LQ$15,MD27,IF($IW27=$MJ$15,NR27,0))))))))))))))))</f>
        <v>2</v>
      </c>
      <c r="IK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7" s="145">
        <f ca="1">IF(AND(RZ[[#This Row],[Jednotková cena bez DPH '[cena/MJCR'] (P0)]]=0,RZ[[#This Row],[Indikativní jednotková cena '[CZK/kg'] (P1)]]&lt;&gt;0),1,0)</f>
        <v>0</v>
      </c>
      <c r="IM27" s="217">
        <f ca="1">VLOOKUP(RZ[[#This Row],[Kód položek]],INDIKAT_CENA,2,FALSE)</f>
        <v>0</v>
      </c>
      <c r="IN27" s="222">
        <f ca="1">IF(RZ[[#This Row],[Rozhodný sloupec indikativní ceny]]=1,RZ[[#This Row],[Indikativní jednotková cena '[CZK/kg'] (P1)]],RZ[[#This Row],[Jednotková cena bez DPH '[cena/MJCR'] (P0)]])</f>
        <v>0</v>
      </c>
      <c r="IO27" s="222">
        <f t="shared" si="243"/>
        <v>1</v>
      </c>
      <c r="IP27" s="224">
        <f ca="1">IF(RZ[[#This Row],[Rozhodný sloupec indikativní ceny]]=1,1,IF($IW27=$JL$15,KA27,IF($IW27=$KE$15,KT27,IF($IW27=$KX$15,LM27,IF($IW27=$LQ$15,MF27,IF($IW27=$MJ$15,NT27,0))))))</f>
        <v>0</v>
      </c>
      <c r="IQ27" s="225">
        <f ca="1">IF(RZ[[#This Row],[Jednotková cena bez DPH '[cena/MJCR'] (P1)]]="",0,IF(IP27=0,0,(RZ[[#This Row],[Jednotková cena bez DPH '[cena/MJCR'] (P1)]]*VLOOKUP(IP27,$BR$7:$BT$10,3))))</f>
        <v>0</v>
      </c>
      <c r="IR27" s="737"/>
      <c r="IS27" s="627">
        <f>IF(HY27=0,"",VLOOKUP(RZ[[#This Row],[Stav Projekce (P0)]],Vstupy!$E$11:'Vstupy'!$E$11:$H$17,4,FALSE))</f>
        <v>100</v>
      </c>
      <c r="IT27" s="925" t="str">
        <f>IF(RZ[[#This Row],[Stav Projekce (P0)]]=0,"",RZ[[#This Row],[Stav Projekce (P0)]])</f>
        <v>S</v>
      </c>
      <c r="IU27" s="925" t="str">
        <f>IF(RZ[[#This Row],[Stav Nákup (P0)]]=0,"",RZ[[#This Row],[Stav Nákup (P0)]])</f>
        <v/>
      </c>
      <c r="IV27" s="926" t="str">
        <f t="shared" si="244"/>
        <v/>
      </c>
      <c r="IW27" s="641">
        <v>1</v>
      </c>
      <c r="IX27" s="630"/>
      <c r="IY27" s="264"/>
      <c r="IZ27" s="648"/>
      <c r="JA27" s="100"/>
      <c r="JB27" s="100" t="s">
        <v>808</v>
      </c>
      <c r="JC27" s="100"/>
      <c r="JD27" s="100"/>
      <c r="JE27" s="100"/>
      <c r="JF27" s="100"/>
      <c r="JG27" s="100"/>
      <c r="JH27" s="100"/>
      <c r="JI27" s="100"/>
      <c r="JJ27" s="145" t="s">
        <v>231</v>
      </c>
      <c r="JK27" s="529"/>
      <c r="JL27" s="286"/>
      <c r="JM27" s="100"/>
      <c r="JN27" s="100"/>
      <c r="JO27" s="145"/>
      <c r="JP27" s="117">
        <v>2</v>
      </c>
      <c r="JQ27" s="117"/>
      <c r="JR27" s="148">
        <v>1</v>
      </c>
      <c r="JS27" s="145" t="s">
        <v>602</v>
      </c>
      <c r="JT27" s="631"/>
      <c r="JU27" s="148"/>
      <c r="JV27" s="154"/>
      <c r="JW27" s="145"/>
      <c r="JX27" s="210"/>
      <c r="JY27" s="117"/>
      <c r="JZ27" s="662"/>
      <c r="KA27" s="145"/>
      <c r="KB27" s="148"/>
      <c r="KC27" s="148"/>
      <c r="KD27" s="644"/>
      <c r="KE27" s="286"/>
      <c r="KF27" s="100"/>
      <c r="KG27" s="100"/>
      <c r="KH27" s="210"/>
      <c r="KI27" s="117"/>
      <c r="KJ27" s="117"/>
      <c r="KK27" s="148"/>
      <c r="KL27" s="145"/>
      <c r="KM27" s="632"/>
      <c r="KN27" s="148"/>
      <c r="KO27" s="154"/>
      <c r="KP27" s="154"/>
      <c r="KQ27" s="210"/>
      <c r="KR27" s="117"/>
      <c r="KS27" s="211"/>
      <c r="KT27" s="145"/>
      <c r="KU27" s="148"/>
      <c r="KV27" s="148"/>
      <c r="KW27" s="265"/>
      <c r="KX27" s="286"/>
      <c r="KY27" s="100"/>
      <c r="KZ27" s="100"/>
      <c r="LA27" s="210"/>
      <c r="LB27" s="117"/>
      <c r="LC27" s="117"/>
      <c r="LD27" s="148"/>
      <c r="LE27" s="145"/>
      <c r="LF27" s="632"/>
      <c r="LG27" s="148"/>
      <c r="LH27" s="154"/>
      <c r="LI27" s="154"/>
      <c r="LJ27" s="154"/>
      <c r="LK27" s="117"/>
      <c r="LL27" s="211"/>
      <c r="LM27" s="210"/>
      <c r="LN27" s="148"/>
      <c r="LO27" s="148"/>
      <c r="LP27" s="265"/>
      <c r="LQ27" s="286"/>
      <c r="LR27" s="100"/>
      <c r="LS27" s="100"/>
      <c r="LT27" s="210"/>
      <c r="LU27" s="117"/>
      <c r="LV27" s="117"/>
      <c r="LW27" s="148"/>
      <c r="LX27" s="145"/>
      <c r="LY27" s="632"/>
      <c r="LZ27" s="148"/>
      <c r="MA27" s="154"/>
      <c r="MB27" s="154"/>
      <c r="MC27" s="145"/>
      <c r="MD27" s="117"/>
      <c r="ME27" s="211"/>
      <c r="MF27" s="210"/>
      <c r="MG27" s="148"/>
      <c r="MH27" s="148"/>
      <c r="MI27" s="265"/>
      <c r="MJ27" s="647"/>
      <c r="MK27" s="264"/>
      <c r="ML27" s="153"/>
      <c r="MM27" s="153"/>
      <c r="MN27" s="153"/>
      <c r="MO27" s="153"/>
      <c r="MP27" s="153"/>
      <c r="MQ27" s="153"/>
      <c r="MR27" s="153"/>
      <c r="MS27" s="99"/>
      <c r="MT27" s="99"/>
      <c r="MU27" s="99"/>
      <c r="MV27" s="99"/>
      <c r="MW27" s="99"/>
      <c r="MX27" s="99"/>
      <c r="MY27" s="153"/>
      <c r="MZ27" s="153"/>
      <c r="NA27" s="153"/>
      <c r="NB27" s="153"/>
      <c r="NC27" s="153"/>
      <c r="ND27" s="153"/>
      <c r="NE27" s="148"/>
      <c r="NF27" s="153"/>
      <c r="NG27" s="153"/>
      <c r="NH27" s="330" t="str">
        <f t="shared" si="245"/>
        <v>ks</v>
      </c>
      <c r="NI27" s="797">
        <f>RZ[[#This Row],[Počet ks (K)]]</f>
        <v>0</v>
      </c>
      <c r="NJ27" s="798">
        <f>RZ[[#This Row],[Hmotnost '[kg/ks'] (K)]]</f>
        <v>0</v>
      </c>
      <c r="NK27" s="148"/>
      <c r="NL27" s="145"/>
      <c r="NM27" s="632"/>
      <c r="NN27" s="148"/>
      <c r="NO27" s="154"/>
      <c r="NP27" s="153"/>
      <c r="NQ27" s="153"/>
      <c r="NR27" s="210"/>
      <c r="NS27" s="148"/>
      <c r="NT27" s="210"/>
      <c r="NU27" s="148"/>
      <c r="NV27" s="148"/>
      <c r="NW27" s="175"/>
    </row>
    <row r="28" spans="2:387" ht="15.95" customHeight="1" x14ac:dyDescent="0.35">
      <c r="B28" s="118" t="str">
        <f t="shared" ref="B28:B31" si="250">IF(HF28=0,"",HF28)</f>
        <v/>
      </c>
      <c r="C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8" s="262" t="str">
        <f t="shared" ref="D28:D31" si="251">IF(HG28&lt;&gt;"",HG28,IF(HH28&lt;&gt;"","  "&amp;HH28,IF(HI28&lt;&gt;"","  "&amp;"  "&amp;HI28,IF(HJ28&lt;&gt;"","  "&amp;"  "&amp;"  "&amp;HJ28,IF(HK28&lt;&gt;"","  "&amp;"  "&amp;"  "&amp;"  "&amp;HK28,IF(HL28&lt;&gt;"","  "&amp;"  "&amp;"  "&amp;"  "&amp;"  "&amp;HL28,IF(HM28&lt;&gt;"","  "&amp;"  "&amp;"  "&amp;"  "&amp;"  "&amp;"  "&amp;HM28,IF(HN28&lt;&gt;"","  "&amp;"  "&amp;"  "&amp;"  "&amp;"  "&amp;"  "&amp;"  "&amp;HN28,IF(HO28&lt;&gt;"","  "&amp;"  "&amp;"  "&amp;"  "&amp;"  "&amp;"  "&amp;"  "&amp;"  "&amp;HO28,IF(HP28&lt;&gt;"","  "&amp;"  "&amp;"  "&amp;"  "&amp;"  "&amp;"  "&amp;"  "&amp;"  "&amp;"  "&amp;HP28,0))))))))))</f>
        <v xml:space="preserve">      Těleso ložiska</v>
      </c>
      <c r="E28" s="120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Row],[Kód položek (P2)]]))))))))))</f>
        <v>STLO</v>
      </c>
      <c r="F28" s="791" t="str">
        <f t="shared" ref="F28:F31" si="252">IF(HS28=0,"N/A",HS28)</f>
        <v>N/A</v>
      </c>
      <c r="G28" s="792" t="str">
        <f t="shared" ref="G28:G31" si="253">IF(HT28=0,"",HT28)</f>
        <v/>
      </c>
      <c r="H28" s="262" t="str">
        <f t="shared" ref="H28:H31" si="254">IF(HU28=0,"",HU28)</f>
        <v/>
      </c>
      <c r="I28" s="123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HR '[MJHR'] (P0)]]))))))))))</f>
        <v>ks</v>
      </c>
      <c r="J28" s="123">
        <f t="shared" ref="J28:J31" si="255">IF(IF28=0,"",IF28)</f>
        <v>1</v>
      </c>
      <c r="K28" s="793">
        <f>RZ[[#This Row],[Koeficient odhadu HR '[-'] (P1)]]</f>
        <v>1</v>
      </c>
      <c r="L28" s="124">
        <f ca="1">RZ[[#This Row],[Jednotková hmotnost s koef. '[kg/MJHR'] (P0)]]</f>
        <v>156</v>
      </c>
      <c r="M28" s="794">
        <f t="shared" ref="M28:M31" ca="1" si="256">IF(ISNUMBER(K28),L28/K28*(K28-1),0)</f>
        <v>0</v>
      </c>
      <c r="N28" s="125">
        <f t="shared" ref="N28:N31" ca="1" si="257">IF(ISNUMBER(J28),J28*L28,0)</f>
        <v>156</v>
      </c>
      <c r="O28" s="125">
        <f t="shared" ref="O28:O31" ca="1" si="258">IF(ISNUMBER(J28),J28*M28,0)</f>
        <v>0</v>
      </c>
      <c r="P28" s="126" t="str">
        <f t="shared" ref="P28:P31" si="259">IF(HR28=0,"",HR28)</f>
        <v/>
      </c>
      <c r="Q28" s="795">
        <f ca="1">RZ[[#This Row],[Počet MJHR v rozpadu (P0)]]</f>
        <v>2</v>
      </c>
      <c r="R28" s="439" t="str">
        <f t="shared" ref="R28:R31" si="260">IF(HV28&lt;&gt;0,HV28,"")</f>
        <v>Zajíc</v>
      </c>
      <c r="S28" s="129">
        <f t="shared" ref="S28:S31" si="261">IF(HW28&lt;&gt;0,HW28,"")</f>
        <v>42950.627685185187</v>
      </c>
      <c r="T28" s="126" t="str">
        <f t="shared" ref="T28:T31" si="262">IF(HX28=0,"",HX28)</f>
        <v/>
      </c>
      <c r="U28" s="126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CR (MJCR) (P0)]]))))))))))</f>
        <v>ks</v>
      </c>
      <c r="V28" s="575">
        <f t="shared" ref="V28:V31" ca="1" si="263">IF(IK28=0,"",IK28)</f>
        <v>1</v>
      </c>
      <c r="W28" s="322">
        <f>RZ[[#This Row],[Koeficient odhadu CR '[-'] (P1)]]</f>
        <v>1</v>
      </c>
      <c r="X28" s="440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Row],[Jednotková cena bez DPH '[cena/MJCR'] (P1)]]*RZ[[#This Row],[Koeficient odhadu CR '[-']]]))))))))))</f>
        <v>45000</v>
      </c>
      <c r="Y28" s="440">
        <f t="shared" ref="Y28:Y31" ca="1" si="264">IF(ISNUMBER(X28),-X28/W28*(W28-1),0)</f>
        <v>0</v>
      </c>
      <c r="Z28" s="142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VLOOKUP(IP28,$BR$7:$BS$11,2,FALSE)))))))))))</f>
        <v>CZK</v>
      </c>
      <c r="AA28" s="909">
        <f t="shared" ref="AA28:AA31" ca="1" si="265">GJ28</f>
        <v>2</v>
      </c>
      <c r="AB28" s="910">
        <f ca="1">RZ[[#This Row],[Kumulovaný koeficient v rozpadu (P0)]]</f>
        <v>1</v>
      </c>
      <c r="AC28" s="261"/>
      <c r="AD28" s="796">
        <f ca="1">RZ[[#This Row],[Jednotková cena bez DPH '[cena/MJCR'] s koef. (P0)]]/RZ[[#This Row],[Koeficient odhadu CR '[-']]]*RZ[[#This Row],[Kumulovaný koeficient odhadu CR  '[-']]]</f>
        <v>45000</v>
      </c>
      <c r="AE28" s="796">
        <f t="shared" ref="AE28:AE31" ca="1" si="266">IF(ISNUMBER(AA28),AA28*AD28,0)*IF(V28="",0,1)</f>
        <v>90000</v>
      </c>
      <c r="AF28" s="796">
        <f ca="1">-IF(ISNUMBER(AA28),RZ[[#This Row],[Celková cena bez DPH (1)]]-RZ[[#This Row],[Jednotková cena bez DPH '[cena/MJCR'] bez koef. (P0)]]*AA28,0)</f>
        <v>0</v>
      </c>
      <c r="AG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288.46153846153845</v>
      </c>
      <c r="AH28" s="261"/>
      <c r="AI28" s="796">
        <f t="shared" ca="1" si="146"/>
        <v>1666.6666666666667</v>
      </c>
      <c r="AJ28" s="796">
        <f t="shared" ca="1" si="147"/>
        <v>3333.3333333333335</v>
      </c>
      <c r="AK28" s="796">
        <f t="shared" ca="1" si="148"/>
        <v>0</v>
      </c>
      <c r="AL28" s="753">
        <f ca="1">RZ[[#This Row],[Kilogramová cena bez DPH '[cena/kg'] (1)]]/$AK$13</f>
        <v>10.683760683760683</v>
      </c>
      <c r="AM28" s="261"/>
      <c r="AN28" s="796">
        <f t="shared" ca="1" si="149"/>
        <v>2173.913043478261</v>
      </c>
      <c r="AO28" s="796">
        <f t="shared" ca="1" si="150"/>
        <v>4347.826086956522</v>
      </c>
      <c r="AP28" s="796">
        <f t="shared" ca="1" si="151"/>
        <v>0</v>
      </c>
      <c r="AQ28" s="753">
        <f ca="1">RZ[[#This Row],[Kilogramová cena bez DPH '[cena/kg'] (1)]]/$AP$13</f>
        <v>13.935340022296543</v>
      </c>
      <c r="AR28" s="261"/>
      <c r="AS28" s="796">
        <f t="shared" ca="1" si="152"/>
        <v>1230.8533916849015</v>
      </c>
      <c r="AT28" s="796">
        <f t="shared" ca="1" si="153"/>
        <v>2461.7067833698029</v>
      </c>
      <c r="AU28" s="789">
        <f t="shared" ca="1" si="154"/>
        <v>0</v>
      </c>
      <c r="AV28" s="767">
        <f ca="1">RZ[[#This Row],[Kilogramová cena bez DPH '[cena/kg'] (1)]]/$AU$13</f>
        <v>7.8900858441339832</v>
      </c>
      <c r="AW28" s="165"/>
      <c r="AX28" s="911">
        <f t="shared" ref="AX28:AX31" ca="1" si="267">IF($BH28=0,IF(AY28&gt;0,OFFSET(AX28,-1,0,1,1),0),OFFSET(AX28,-1,0,1,1)+1)</f>
        <v>2</v>
      </c>
      <c r="AY28" s="111">
        <f t="shared" ref="AY28:AY31" ca="1" si="268">IF($BI28=0,IF(AZ28&gt;0,OFFSET(AY28,-1,0,1,1),0),OFFSET(AY28,-1,0,1,1)+1)</f>
        <v>1</v>
      </c>
      <c r="AZ28" s="111">
        <f t="shared" ref="AZ28:AZ31" ca="1" si="269">IF($BJ28=0,IF(BA28&gt;0,OFFSET(AZ28,-1,0,1,1),0),OFFSET(AZ28,-1,0,1,1)+1)</f>
        <v>8</v>
      </c>
      <c r="BA28" s="111">
        <f t="shared" ref="BA28:BA31" ca="1" si="270">IF($BK28=0,IF(BB28&gt;0,OFFSET(BA28,-1,0,1,1),0),OFFSET(BA28,-1,0,1,1)+1)</f>
        <v>1</v>
      </c>
      <c r="BB28" s="111">
        <f t="shared" ref="BB28:BB31" ca="1" si="271">IF($BL28=0,IF(BC28&gt;0,OFFSET(BB28,-1,0,1,1),0),OFFSET(BB28,-1,0,1,1)+1)</f>
        <v>0</v>
      </c>
      <c r="BC28" s="111">
        <f t="shared" ref="BC28:BC31" ca="1" si="272">IF($BM28=0,IF(BD28&gt;0,OFFSET(BC28,-1,0,1,1),0),OFFSET(BC28,-1,0,1,1)+1)</f>
        <v>0</v>
      </c>
      <c r="BD28" s="111">
        <f t="shared" ref="BD28:BD31" ca="1" si="273">IF($BN28=0,IF(BE28&gt;0,OFFSET(BD28,-1,0,1,1),0),OFFSET(BD28,-1,0,1,1)+1)</f>
        <v>0</v>
      </c>
      <c r="BE28" s="111">
        <f t="shared" ref="BE28:BE31" ca="1" si="274">IF($BO28=0,IF(BF28&gt;0,OFFSET(BE28,-1,0,1,1),0),OFFSET(BE28,-1,0,1,1)+1)</f>
        <v>0</v>
      </c>
      <c r="BF28" s="111">
        <f t="shared" ref="BF28:BF31" ca="1" si="275">IF($BP28=0,IF(BG28&gt;0,OFFSET(BF28,-1,0,1,1),0),OFFSET(BF28,-1,0,1,1)+1)</f>
        <v>0</v>
      </c>
      <c r="BG28" s="112">
        <f t="shared" ref="BG28:BG31" ca="1" si="276">IF($BQ28=0,0,OFFSET($BG28,-1,0,1,1)+1)</f>
        <v>0</v>
      </c>
      <c r="BH28" s="911">
        <f t="shared" ref="BH28:BH31" si="277">IF(HG28="",0,1)</f>
        <v>0</v>
      </c>
      <c r="BI28" s="111">
        <f t="shared" ref="BI28:BI31" si="278">IF(HH28="",0,1)</f>
        <v>0</v>
      </c>
      <c r="BJ28" s="111">
        <f t="shared" ref="BJ28:BJ31" si="279">IF(HI28="",0,1)</f>
        <v>0</v>
      </c>
      <c r="BK28" s="111">
        <f t="shared" ref="BK28:BK31" si="280">IF(HJ28="",0,1)</f>
        <v>1</v>
      </c>
      <c r="BL28" s="111">
        <f t="shared" ref="BL28:BL31" si="281">IF(HK28="",0,1)</f>
        <v>0</v>
      </c>
      <c r="BM28" s="111">
        <f t="shared" ref="BM28:BM31" si="282">IF(HL28="",0,1)</f>
        <v>0</v>
      </c>
      <c r="BN28" s="111">
        <f t="shared" ref="BN28:BN31" si="283">IF(HM28="",0,1)</f>
        <v>0</v>
      </c>
      <c r="BO28" s="111">
        <f t="shared" ref="BO28:BO31" si="284">IF(HN28="",0,1)</f>
        <v>0</v>
      </c>
      <c r="BP28" s="111">
        <f t="shared" ref="BP28:BP31" si="285">IF(HO28="",0,1)</f>
        <v>0</v>
      </c>
      <c r="BQ28" s="112">
        <f t="shared" ref="BQ28:BQ31" si="286">IF(HP28="",0,1)</f>
        <v>0</v>
      </c>
      <c r="BR28" s="132">
        <f ca="1">IF(OFFSET(AY28,1,0,1,1)&lt;&gt;0,RZ[[#This Row],[Koeficient odhadu HR '[-'] (P1)]]*$BH28*SUMIFS(RZ[Úroveň 2 s koef. (P2)],RZ[0],AX28),RZ[[#This Row],[Koeficient odhadu HR '[-'] (P1)]]*$BH28*$IG28)</f>
        <v>0</v>
      </c>
      <c r="BS28" s="186">
        <f ca="1">IF(OFFSET(AY28,1,0,1,1)&lt;&gt;0,$BH28*SUMIFS(RZ[Úroveň 2 bez koef. (P2)],RZ[0],AX28),$BH28*$IG28)</f>
        <v>0</v>
      </c>
      <c r="BT28" s="138">
        <f ca="1">RZ[[#This Row],[Úroveň 2 s koef. (P2a)]]*RZ[[#This Row],[Počet MJHR (P0)]]</f>
        <v>0</v>
      </c>
      <c r="BU28" s="138">
        <f ca="1">RZ[[#This Row],[Úroveň 2 bez koef. (P2a)]]*RZ[[#This Row],[Počet MJHR (P0)]]</f>
        <v>0</v>
      </c>
      <c r="BV28" s="138">
        <f ca="1">IF(OFFSET(AZ28,1,0,1,1)&lt;&gt;0,RZ[[#This Row],[Koeficient odhadu HR '[-'] (P1)]]*$BI28*SUMIFS(RZ[Úroveň 3 s koef. (P2)],RZ[0],AX28,RZ[Úroveň 2 (P0)],AY28),RZ[[#This Row],[Koeficient odhadu HR '[-'] (P1)]]*$BI28*$IG28)</f>
        <v>0</v>
      </c>
      <c r="BW28" s="138">
        <f ca="1">IF(OFFSET(AZ28,1,0,1,1)&lt;&gt;0,$BI28*SUMIFS(RZ[Úroveň 3 bez koef. (P2)],RZ[0],AX28,RZ[Úroveň 2 (P0)],AY28),$BI28*$IG28)</f>
        <v>0</v>
      </c>
      <c r="BX28" s="132">
        <f ca="1">RZ[[#This Row],[Úroveň 3 s koef. (P2a)]]*RZ[[#This Row],[Počet MJHR (P0)]]</f>
        <v>0</v>
      </c>
      <c r="BY28" s="132">
        <f ca="1">RZ[Úroveň 3 bez koef. (P2a)]*RZ[[#This Row],[Počet MJHR (P0)]]</f>
        <v>0</v>
      </c>
      <c r="BZ28" s="132">
        <f ca="1">IF(OFFSET(BA28,1,0,1,1)&lt;&gt;0,RZ[[#This Row],[Koeficient odhadu HR '[-'] (P1)]]*$BJ28*SUMIFS(RZ[Úroveň 4 s koef. (P2)],RZ[0],AX28,RZ[Úroveň 2 (P0)],AY28,RZ[Úroveň 3 (P0)],AZ28),RZ[[#This Row],[Koeficient odhadu HR '[-'] (P1)]]*$BJ28*$IG28)</f>
        <v>0</v>
      </c>
      <c r="CA28" s="132">
        <f ca="1">IF(OFFSET(BA28,1,0,1,1)&lt;&gt;0,$BJ28*SUMIFS(RZ[Úroveň 4 bez koef. (P2)],RZ[0],AX28,RZ[Úroveň 2 (P0)],AY28,RZ[Úroveň 3 (P0)],AZ28),$BJ28*$IG28)</f>
        <v>0</v>
      </c>
      <c r="CB28" s="138">
        <f ca="1">RZ[[#This Row],[Úroveň 4 s koef. (P2a)]]*RZ[[#This Row],[Počet MJHR (P0)]]</f>
        <v>156</v>
      </c>
      <c r="CC28" s="138">
        <f ca="1">RZ[Úroveň 4 bez koef. (P2a)]*RZ[[#This Row],[Počet MJHR (P0)]]</f>
        <v>156</v>
      </c>
      <c r="CD28" s="138">
        <f ca="1">IF(OFFSET(BB28,1,0,1,1)&lt;&gt;0,RZ[[#This Row],[Koeficient odhadu HR '[-'] (P1)]]*$BK28*SUMIFS(RZ[Úroveň 5 s koef. (P2)],RZ[0],AX28,RZ[Úroveň 2 (P0)],AY28,RZ[Úroveň 3 (P0)],AZ28,RZ[Úroveň 4 (P0)],BA28),RZ[[#This Row],[Koeficient odhadu HR '[-'] (P1)]]*$BK28*$IG28)</f>
        <v>156</v>
      </c>
      <c r="CE28" s="138">
        <f ca="1">IF(OFFSET(BB28,1,0,1,1)&lt;&gt;0,$BK28*SUMIFS(RZ[Úroveň 5 bez koef. (P2)],RZ[0],AX28,RZ[Úroveň 2 (P0)],AY28,RZ[Úroveň 3 (P0)],AZ28,RZ[Úroveň 4 (P0)],BA28),$BK28*$IG28)</f>
        <v>156</v>
      </c>
      <c r="CF28" s="132">
        <f ca="1">RZ[[#This Row],[Úroveň 5 s koef. (P2a)]]*RZ[[#This Row],[Počet MJHR (P0)]]</f>
        <v>0</v>
      </c>
      <c r="CG28" s="132">
        <f ca="1">RZ[Úroveň 5 bez koef. (P2a)]*RZ[[#This Row],[Počet MJHR (P0)]]</f>
        <v>0</v>
      </c>
      <c r="CH28" s="132">
        <f ca="1">IF(OFFSET(BC28,1,0,1,1)&lt;&gt;0,RZ[[#This Row],[Koeficient odhadu HR '[-'] (P1)]]*$BL28*SUMIFS(RZ[Úroveň 6 s koef. (P2)],RZ[0],AX28,RZ[Úroveň 2 (P0)],AY28,RZ[Úroveň 3 (P0)],AZ28,RZ[Úroveň 4 (P0)],BA28,RZ[Úroveň 5 (P0)],BB28),RZ[[#This Row],[Koeficient odhadu HR '[-'] (P1)]]*$BL28*$IG28)</f>
        <v>0</v>
      </c>
      <c r="CI28" s="132">
        <f ca="1">IF(OFFSET(BC28,1,0,1,1)&lt;&gt;0,$BL28*SUMIFS(RZ[Úroveň 6 bez koef. (P2)],RZ[0],AX28,RZ[Úroveň 2 (P0)],AY28,RZ[Úroveň 3 (P0)],AZ28,RZ[Úroveň 4 (P0)],BA28,RZ[Úroveň 5 (P0)],BB28),$BL28*$IG28)</f>
        <v>0</v>
      </c>
      <c r="CJ28" s="138">
        <f ca="1">RZ[[#This Row],[Úroveň 6 s koef. (P2a)]]*RZ[[#This Row],[Počet MJHR (P0)]]</f>
        <v>0</v>
      </c>
      <c r="CK28" s="138">
        <f ca="1">RZ[Úroveň 6 bez koef. (P2a)]*RZ[[#This Row],[Počet MJHR (P0)]]</f>
        <v>0</v>
      </c>
      <c r="CL28" s="138">
        <f ca="1">IF(OFFSET(BD28,1,0,1,1)&lt;&gt;0,RZ[[#This Row],[Koeficient odhadu HR '[-'] (P1)]]*$BM28*SUMIFS(RZ[Úroveň 7 s koef. (P2)],RZ[0],AX28,RZ[Úroveň 2 (P0)],AY28,RZ[Úroveň 3 (P0)],AZ28,RZ[Úroveň 4 (P0)],BA28,RZ[Úroveň 5 (P0)],BB28,RZ[Úroveň 6 (P0)],BC28),RZ[[#This Row],[Koeficient odhadu HR '[-'] (P1)]]*$BM28*$IG28)</f>
        <v>0</v>
      </c>
      <c r="CM28" s="138">
        <f ca="1">IF(OFFSET(BD28,1,0,1,1)&lt;&gt;0,$BM28*SUMIFS(RZ[Úroveň 7 bez koef. (P2)],RZ[0],AX28,RZ[Úroveň 2 (P0)],AY28,RZ[Úroveň 3 (P0)],AZ28,RZ[Úroveň 4 (P0)],BA28,RZ[Úroveň 5 (P0)],BB28,RZ[Úroveň 6 (P0)],BC28),$BM28*$IG28)</f>
        <v>0</v>
      </c>
      <c r="CN28" s="132">
        <f ca="1">RZ[[#This Row],[Úroveň 7 s koef. (P2a)]]*RZ[[#This Row],[Počet MJHR (P0)]]</f>
        <v>0</v>
      </c>
      <c r="CO28" s="132">
        <f ca="1">RZ[Úroveň 7 bez koef. (P2a)]*RZ[[#This Row],[Počet MJHR (P0)]]</f>
        <v>0</v>
      </c>
      <c r="CP28" s="132">
        <f ca="1">IF(OFFSET(BE28,1,0,1,1)&lt;&gt;0,RZ[[#This Row],[Koeficient odhadu HR '[-'] (P1)]]*$BN28*SUMIFS(RZ[Úroveň 8 s koef. (P2)],RZ[0],AX28,RZ[Úroveň 2 (P0)],AY28,RZ[Úroveň 3 (P0)],AZ28,RZ[Úroveň 4 (P0)],BA28,RZ[Úroveň 5 (P0)],BB28,RZ[Úroveň 6 (P0)],BC28,RZ[Úroveň 7 (P0)],BD28),RZ[[#This Row],[Koeficient odhadu HR '[-'] (P1)]]*$BN28*$IG28)</f>
        <v>0</v>
      </c>
      <c r="CQ28" s="132">
        <f ca="1">IF(OFFSET(BE28,1,0,1,1)&lt;&gt;0,$BN28*SUMIFS(RZ[Úroveň 8 bez koef. (P2)],RZ[0],AX28,RZ[Úroveň 2 (P0)],AY28,RZ[Úroveň 3 (P0)],AZ28,RZ[Úroveň 4 (P0)],BA28,RZ[Úroveň 5 (P0)],BB28,RZ[Úroveň 6 (P0)],BC28,RZ[Úroveň 7 (P0)],BD28),$BN28*$IG28)</f>
        <v>0</v>
      </c>
      <c r="CR28" s="138">
        <f ca="1">RZ[[#This Row],[Úroveň 8 s koef. (P2a)]]*RZ[[#This Row],[Počet MJHR (P0)]]</f>
        <v>0</v>
      </c>
      <c r="CS28" s="138">
        <f ca="1">RZ[Úroveň 8 bez koef. (P2a)]*RZ[[#This Row],[Počet MJHR (P0)]]</f>
        <v>0</v>
      </c>
      <c r="CT28" s="138">
        <f ca="1">IF(OFFSET(BF28,1,0,1,1)&lt;&gt;0,RZ[[#This Row],[Koeficient odhadu HR '[-'] (P1)]]*$BO28*SUMIFS(RZ[Úroveň 9 s koef. (P2)],RZ[0],AX28,RZ[Úroveň 2 (P0)],AY28,RZ[Úroveň 3 (P0)],AZ28,RZ[Úroveň 4 (P0)],BA28,RZ[Úroveň 5 (P0)],BB28,RZ[Úroveň 6 (P0)],BC28,RZ[Úroveň 7 (P0)],BD28,RZ[Úroveň 8 (P0)],BE28),RZ[[#This Row],[Koeficient odhadu HR '[-'] (P1)]]*$BO28*$IG28)</f>
        <v>0</v>
      </c>
      <c r="CU28" s="138">
        <f ca="1">IF(OFFSET(BF28,1,0,1,1)&lt;&gt;0,$BO28*SUMIFS(RZ[Úroveň 9 bez koef. (P2)],RZ[0],AX28,RZ[Úroveň 2 (P0)],AY28,RZ[Úroveň 3 (P0)],AZ28,RZ[Úroveň 4 (P0)],BA28,RZ[Úroveň 5 (P0)],BB28,RZ[Úroveň 6 (P0)],BC28,RZ[Úroveň 7 (P0)],BD28,RZ[Úroveň 8 (P0)],BE28),$BO28*$IG28)</f>
        <v>0</v>
      </c>
      <c r="CV28" s="132">
        <f ca="1">RZ[[#This Row],[Úroveň 9 s koef. (P2a)]]*RZ[[#This Row],[Počet MJHR (P0)]]</f>
        <v>0</v>
      </c>
      <c r="CW28" s="132">
        <f ca="1">RZ[Úroveň 9 bez koef. (P2a)]*RZ[[#This Row],[Počet MJHR (P0)]]</f>
        <v>0</v>
      </c>
      <c r="CX28" s="132">
        <f ca="1">IF(OFFSET(BG28,1,0,1,1)&lt;&gt;0,RZ[[#This Row],[Koeficient odhadu HR '[-'] (P1)]]*$BP28*SUMIFS(RZ[Úroveň 10 s koef. (P2)],RZ[0],AX28,RZ[Úroveň 2 (P0)],AY28,RZ[Úroveň 3 (P0)],AZ28,RZ[Úroveň 4 (P0)],BA28,RZ[Úroveň 5 (P0)],BB28,RZ[Úroveň 6 (P0)],BC28,RZ[Úroveň 7 (P0)],BD28,RZ[Úroveň 8 (P0)],BE28,RZ[Úroveň 9 (P0)],BF28),RZ[[#This Row],[Koeficient odhadu HR '[-'] (P1)]]*$BP28*$IG28)</f>
        <v>0</v>
      </c>
      <c r="CY28" s="132">
        <f ca="1">IF(OFFSET(BG28,1,0,1,1)&lt;&gt;0,$BP28*SUMIFS(RZ[Úroveň 10 bez koef. (P2)],RZ[0],AX28,RZ[Úroveň 2 (P0)],AY28,RZ[Úroveň 3 (P0)],AZ28,RZ[Úroveň 4 (P0)],BA28,RZ[Úroveň 5 (P0)],BB28,RZ[Úroveň 6 (P0)],BC28,RZ[Úroveň 7 (P0)],BD28,RZ[Úroveň 8 (P0)],BE28,RZ[Úroveň 9 (P0)],BF28),$BP28*$IG28)</f>
        <v>0</v>
      </c>
      <c r="CZ28" s="138">
        <f>RZ[[#This Row],[Úroveň 10 s koef. (P2a)]]*RZ[[#This Row],[Počet MJHR (P0)]]</f>
        <v>0</v>
      </c>
      <c r="DA28" s="138">
        <f>RZ[Úroveň 10 bez koef. (P2a)]*RZ[[#This Row],[Počet MJHR (P0)]]</f>
        <v>0</v>
      </c>
      <c r="DB28" s="138">
        <f>RZ[[#This Row],[Koeficient odhadu HR '[-'] (P1)]]*$BQ28*IG28</f>
        <v>0</v>
      </c>
      <c r="DC28" s="231">
        <f t="shared" ref="DC28:DC31" si="287">$BQ28*IG28</f>
        <v>0</v>
      </c>
      <c r="DD28" s="241">
        <f t="shared" ref="DD28:DD31" ca="1" si="288">IF(BH28=1,BR28,IF(BI28=1,BV28,IF(BJ28=1,BZ28,IF(BK28=1,CD28,IF(BL28=1,CH28,IF(BM28=1,CL28,IF(BN28=1,CP28,IF(BO28=1,CT28,IF(BP28=1,CX28,DB28)))))))))</f>
        <v>156</v>
      </c>
      <c r="DE28" s="229">
        <f t="shared" ref="DE28:DE31" ca="1" si="289">IF(BH28=1,BS28,IF(BI28=1,BW28,IF(BJ28=1,CA28,IF(BK28=1,CE28,IF(BL28=1,CI28,IF(BM28=1,CM28,IF(BN28=1,CQ28,IF(BO28=1,CU28,IF(BP28=1,CY28,DC28)))))))))</f>
        <v>156</v>
      </c>
      <c r="DF28" s="912">
        <f t="shared" ref="DF28:DF31" si="290">BH28*$IF28</f>
        <v>0</v>
      </c>
      <c r="DG28" s="913">
        <f t="shared" ref="DG28:DG31" si="291">BI28*$IF28</f>
        <v>0</v>
      </c>
      <c r="DH28" s="913">
        <f t="shared" ref="DH28:DH31" si="292">BJ28*$IF28</f>
        <v>0</v>
      </c>
      <c r="DI28" s="913">
        <f t="shared" ref="DI28:DI31" si="293">BK28*$IF28</f>
        <v>1</v>
      </c>
      <c r="DJ28" s="913">
        <f t="shared" ref="DJ28:DJ31" si="294">BL28*$IF28</f>
        <v>0</v>
      </c>
      <c r="DK28" s="913">
        <f t="shared" ref="DK28:DK31" si="295">BM28*$IF28</f>
        <v>0</v>
      </c>
      <c r="DL28" s="913">
        <f t="shared" ref="DL28:DL31" si="296">BN28*$IF28</f>
        <v>0</v>
      </c>
      <c r="DM28" s="913">
        <f t="shared" ref="DM28:DM31" si="297">BO28*$IF28</f>
        <v>0</v>
      </c>
      <c r="DN28" s="913">
        <f t="shared" ref="DN28:DN31" si="298">BP28*$IF28</f>
        <v>0</v>
      </c>
      <c r="DO28" s="913">
        <f t="shared" ref="DO28:DO31" si="299">BQ28*$IF28</f>
        <v>0</v>
      </c>
      <c r="DP28" s="914">
        <f ca="1">SUMIFS(RZ[Úroveň 1 (P4)],RZ[0],AX28)</f>
        <v>1</v>
      </c>
      <c r="DQ28" s="914">
        <f ca="1">SUMIFS(RZ[Úroveň 2 (P4)],RZ[0],AX28,RZ[Úroveň 2 (P0)],AY28)</f>
        <v>1</v>
      </c>
      <c r="DR28" s="914">
        <f ca="1">SUMIFS(RZ[Úroveň 3 (P4)],RZ[0],AX28,RZ[Úroveň 2 (P0)],AY28,RZ[Úroveň 3 (P0)],AZ28)</f>
        <v>2</v>
      </c>
      <c r="DS28" s="914">
        <f ca="1">SUMIFS(RZ[Úroveň 4 (P4)],RZ[0],AX28,RZ[Úroveň 2 (P0)],AY28,RZ[Úroveň 3 (P0)],AZ28,RZ[Úroveň 4 (P0)],BA28)</f>
        <v>1</v>
      </c>
      <c r="DT28" s="914">
        <f ca="1">SUMIFS(RZ[Úroveň 5 (P4)],RZ[0],AX28,RZ[Úroveň 2 (P0)],AY28,RZ[Úroveň 3 (P0)],AZ28,RZ[Úroveň 4 (P0)],BA28,RZ[Úroveň 5 (P0)],BB28)</f>
        <v>0</v>
      </c>
      <c r="DU28" s="914">
        <f ca="1">SUMIFS(RZ[Úroveň 6 (P4)],RZ[0],AX28,RZ[Úroveň 2 (P0)],AY28,RZ[Úroveň 3 (P0)],AZ28,RZ[Úroveň 4 (P0)],BA28,RZ[Úroveň 5 (P0)],BB28,RZ[Úroveň 6 (P0)],BC28)</f>
        <v>0</v>
      </c>
      <c r="DV28" s="914">
        <f ca="1">SUMIFS(RZ[Úroveň 7 (P4)],RZ[0],AX28,RZ[Úroveň 2 (P0)],AY28,RZ[Úroveň 3 (P0)],AZ28,RZ[Úroveň 4 (P0)],BA28,RZ[Úroveň 5 (P0)],BB28,RZ[Úroveň 6 (P0)],BC28,RZ[Úroveň 7 (P0)],BD28)</f>
        <v>0</v>
      </c>
      <c r="DW28" s="914">
        <f ca="1">SUMIFS(RZ[Úroveň 8 (P4)],RZ[0],AX28,RZ[Úroveň 2 (P0)],AY28,RZ[Úroveň 3 (P0)],AZ28,RZ[Úroveň 4 (P0)],BA28,RZ[Úroveň 5 (P0)],BB28,RZ[Úroveň 6 (P0)],BC28,RZ[Úroveň 7 (P0)],BD28,RZ[Úroveň 8 (P0)],BE28)</f>
        <v>0</v>
      </c>
      <c r="DX28" s="914">
        <f ca="1">SUMIFS(RZ[Úroveň 9 (P4)],RZ[0],AX28,RZ[Úroveň 2 (P0)],AY28,RZ[Úroveň 3 (P0)],AZ28,RZ[Úroveň 4 (P0)],BA28,RZ[Úroveň 5 (P0)],BB28,RZ[Úroveň 6 (P0)],BC28,RZ[Úroveň 7 (P0)],BD28,RZ[Úroveň 8 (P0)],BE28,RZ[Úroveň 9 (P0)],BF28)</f>
        <v>0</v>
      </c>
      <c r="DY28" s="914">
        <f ca="1">SUMIFS(RZ[Úroveň 10 (P4)],RZ[0],AX28,RZ[Úroveň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DZ28" s="915">
        <f t="shared" ref="DZ28:DZ31" ca="1" si="300">IF(DP28&lt;&gt;0,DP28,1)*IF(DQ28&lt;&gt;0,DQ28,1)*IF(DR28&lt;&gt;0,DR28,1)*IF(DS28&lt;&gt;0,DS28,1)*IF(DT28&lt;&gt;0,DT28,1)*IF(DU28&lt;&gt;0,DU28,1)*IF(DV28&lt;&gt;0,DV28,1)*IF(DW28&lt;&gt;0,DW28,1)*IF(DX28&lt;&gt;0,DX28,1)*IF(DY28&lt;&gt;0,DY28,1)</f>
        <v>2</v>
      </c>
      <c r="EA28" s="916">
        <f ca="1">RZ[[#This Row],[Jednotková hmotnost bez koef. '[kg/MJHR'] (P0)]]*RZ[[#This Row],[Počet MJHR v rozpadu (P0)]]</f>
        <v>312</v>
      </c>
      <c r="EB28" s="917">
        <f ca="1">IF(OFFSET(AY28,1,0,1,1)&lt;&gt;0,RZ[[#This Row],[Koeficient odhadu CR '[-'] (P1)]]*$BH28*SUMIFS(RZ[Úroveň 2 s koef. (P3)],RZ[0],AX28),RZ[[#This Row],[Koeficient odhadu CR '[-'] (P1)]]*$BH28*$IQ28)</f>
        <v>0</v>
      </c>
      <c r="EC28" s="191">
        <f ca="1">IF(OFFSET(AY28,1,0,1,1)&lt;&gt;0,$BH28*SUMIFS(RZ[Úroveň 2 bez koef. (P3)],RZ[0],AX28),$BH28*$IQ28)</f>
        <v>0</v>
      </c>
      <c r="ED28" s="140">
        <f ca="1">RZ[[#This Row],[Úroveň 2 s koef. (P3a)]]*RZ[[#This Row],[Počet MJCR (P0) pro "kg"]]</f>
        <v>0</v>
      </c>
      <c r="EE28" s="140">
        <f ca="1">RZ[Úroveň 2 bez koef. (P3a)]*RZ[[#This Row],[Počet MJCR (P0) pro "kg"]]</f>
        <v>0</v>
      </c>
      <c r="EF28" s="140">
        <f ca="1">IF(OFFSET(AZ28,1,0,1,1)&lt;&gt;0,RZ[[#This Row],[Koeficient odhadu CR '[-'] (P1)]]*$BI28*SUMIFS(RZ[Úroveň 3 s koef. (P3)],RZ[0],AX28,RZ[Úroveň 2 (P0)],AY28),RZ[[#This Row],[Koeficient odhadu CR '[-'] (P1)]]*$BI28*$IQ28)</f>
        <v>0</v>
      </c>
      <c r="EG28" s="140">
        <f ca="1">IF(OFFSET(AZ28,1,0,1,1)&lt;&gt;0,$BI28*SUMIFS(RZ[Úroveň 3 bez koef. (P3)],RZ[0],AX28,RZ[Úroveň 2 (P0)],AY28),$BI28*$IQ28)</f>
        <v>0</v>
      </c>
      <c r="EH28" s="135">
        <f ca="1">RZ[[#This Row],[Úroveň 3 s koef. (P3a)]]*RZ[[#This Row],[Počet MJCR (P0) pro "kg"]]</f>
        <v>0</v>
      </c>
      <c r="EI28" s="135">
        <f ca="1">RZ[Úroveň 3 bez koef. (P3a)]*RZ[[#This Row],[Počet MJCR (P0) pro "kg"]]</f>
        <v>0</v>
      </c>
      <c r="EJ28" s="135">
        <f ca="1">IF(OFFSET(BA28,1,0,1,1)&lt;&gt;0,RZ[[#This Row],[Koeficient odhadu CR '[-'] (P1)]]*$BJ28*SUMIFS(RZ[Úroveň 4 s koef. (P3)],RZ[0],AX28,RZ[Úroveň 2 (P0)],AY28,RZ[Úroveň 3 (P0)],AZ28),RZ[[#This Row],[Koeficient odhadu CR '[-'] (P1)]]*$BJ28*$IQ28)</f>
        <v>0</v>
      </c>
      <c r="EK28" s="135">
        <f ca="1">IF(OFFSET(BA28,1,0,1,1)&lt;&gt;0,$BJ28*SUMIFS(RZ[Úroveň 4 bez koef. (P3)],RZ[0],AX28,RZ[Úroveň 2 (P0)],AY28,RZ[Úroveň 3 (P0)],AZ28),$BJ28*$IQ28)</f>
        <v>0</v>
      </c>
      <c r="EL28" s="140">
        <f ca="1">RZ[[#This Row],[Úroveň 4 s koef. (P3a)]]*RZ[[#This Row],[Počet MJCR (P0) pro "kg"]]</f>
        <v>45000</v>
      </c>
      <c r="EM28" s="140">
        <f ca="1">RZ[Úroveň 4 bez koef. (P3a)]*RZ[[#This Row],[Počet MJCR (P0) pro "kg"]]</f>
        <v>45000</v>
      </c>
      <c r="EN28" s="140">
        <f ca="1">IF(OFFSET(BB28,1,0,1,1)&lt;&gt;0,RZ[[#This Row],[Koeficient odhadu CR '[-'] (P1)]]*$BK28*SUMIFS(RZ[Úroveň 5 s koef. (P3)],RZ[0],AX28,RZ[Úroveň 2 (P0)],AY28,RZ[Úroveň 3 (P0)],AZ28,RZ[Úroveň 4 (P0)],BA28),RZ[[#This Row],[Koeficient odhadu CR '[-'] (P1)]]*$BK28*$IQ28)</f>
        <v>45000</v>
      </c>
      <c r="EO28" s="140">
        <f ca="1">IF(OFFSET(BB28,1,0,1,1)&lt;&gt;0,$BK28*SUMIFS(RZ[Úroveň 5 bez koef. (P3)],RZ[0],AX28,RZ[Úroveň 2 (P0)],AY28,RZ[Úroveň 3 (P0)],AZ28,RZ[Úroveň 4 (P0)],BA28),$BK28*$IQ28)</f>
        <v>45000</v>
      </c>
      <c r="EP28" s="135">
        <f ca="1">RZ[[#This Row],[Úroveň 5 s koef. (P3a)]]*RZ[[#This Row],[Počet MJCR (P0) pro "kg"]]</f>
        <v>0</v>
      </c>
      <c r="EQ28" s="135">
        <f ca="1">RZ[Úroveň 5 bez koef. (P3a)]*RZ[[#This Row],[Počet MJCR (P0) pro "kg"]]</f>
        <v>0</v>
      </c>
      <c r="ER28" s="135">
        <f ca="1">IF(OFFSET(BC28,1,0,1,1)&lt;&gt;0,RZ[[#This Row],[Koeficient odhadu CR '[-'] (P1)]]*$BL28*SUMIFS(RZ[Úroveň 6 s koef. (P3)],RZ[0],AX28,RZ[Úroveň 2 (P0)],AY28,RZ[Úroveň 3 (P0)],AZ28,RZ[Úroveň 4 (P0)],BA28,RZ[Úroveň 5 (P0)],BB28),RZ[[#This Row],[Koeficient odhadu CR '[-'] (P1)]]*$BL28*$IQ28)</f>
        <v>0</v>
      </c>
      <c r="ES28" s="135">
        <f ca="1">IF(OFFSET(BC28,1,0,1,1)&lt;&gt;0,$BL28*SUMIFS(RZ[Úroveň 6 bez koef. (P3)],RZ[0],AX28,RZ[Úroveň 2 (P0)],AY28,RZ[Úroveň 3 (P0)],AZ28,RZ[Úroveň 4 (P0)],BA28,RZ[Úroveň 5 (P0)],BB28),$BL28*$IQ28)</f>
        <v>0</v>
      </c>
      <c r="ET28" s="140">
        <f ca="1">RZ[[#This Row],[Úroveň 6 s koef. (P3a)]]*RZ[[#This Row],[Počet MJCR (P0) pro "kg"]]</f>
        <v>0</v>
      </c>
      <c r="EU28" s="140">
        <f ca="1">RZ[Úroveň 6 bez koef. (P3a)]*RZ[[#This Row],[Počet MJCR (P0) pro "kg"]]</f>
        <v>0</v>
      </c>
      <c r="EV28" s="140">
        <f ca="1">IF(OFFSET(BD28,1,0,1,1)&lt;&gt;0,RZ[[#This Row],[Koeficient odhadu CR '[-'] (P1)]]*$BM28*SUMIFS(RZ[Úroveň 7 s koef. (P3)],RZ[0],AX28,RZ[Úroveň 2 (P0)],AY28,RZ[Úroveň 3 (P0)],AZ28,RZ[Úroveň 4 (P0)],BA28,RZ[Úroveň 5 (P0)],BB28,RZ[Úroveň 6 (P0)],BC28),RZ[[#This Row],[Koeficient odhadu CR '[-'] (P1)]]*$BM28*$IQ28)</f>
        <v>0</v>
      </c>
      <c r="EW28" s="140">
        <f ca="1">IF(OFFSET(BD28,1,0,1,1)&lt;&gt;0,$BM28*SUMIFS(RZ[Úroveň 7 bez koef. (P3)],RZ[0],AX28,RZ[Úroveň 2 (P0)],AY28,RZ[Úroveň 3 (P0)],AZ28,RZ[Úroveň 4 (P0)],BA28,RZ[Úroveň 5 (P0)],BB28,RZ[Úroveň 6 (P0)],BC28),$BM28*$IQ28)</f>
        <v>0</v>
      </c>
      <c r="EX28" s="135">
        <f ca="1">RZ[[#This Row],[Úroveň 7 s koef. (P3a)]]*RZ[[#This Row],[Počet MJCR (P0) pro "kg"]]</f>
        <v>0</v>
      </c>
      <c r="EY28" s="135">
        <f ca="1">RZ[Úroveň 7 bez koef. (P3a)]*RZ[[#This Row],[Počet MJCR (P0) pro "kg"]]</f>
        <v>0</v>
      </c>
      <c r="EZ28" s="135">
        <f ca="1">IF(OFFSET(BE28,1,0,1,1)&lt;&gt;0,RZ[[#This Row],[Koeficient odhadu CR '[-'] (P1)]]*$BN28*SUMIFS(RZ[Úroveň 8 s koef. (P3)],RZ[0],AX28,RZ[Úroveň 2 (P0)],AY28,RZ[Úroveň 3 (P0)],AZ28,RZ[Úroveň 4 (P0)],BA28,RZ[Úroveň 5 (P0)],BB28,RZ[Úroveň 6 (P0)],BC28,RZ[Úroveň 7 (P0)],BD28),RZ[[#This Row],[Koeficient odhadu CR '[-'] (P1)]]*$BN28*$IQ28)</f>
        <v>0</v>
      </c>
      <c r="FA28" s="135">
        <f ca="1">IF(OFFSET(BE28,1,0,1,1)&lt;&gt;0,$BN28*SUMIFS(RZ[Úroveň 8 bez koef. (P3)],RZ[0],AX28,RZ[Úroveň 2 (P0)],AY28,RZ[Úroveň 3 (P0)],AZ28,RZ[Úroveň 4 (P0)],BA28,RZ[Úroveň 5 (P0)],BB28,RZ[Úroveň 6 (P0)],BC28,RZ[Úroveň 7 (P0)],BD28),$BN28*$IQ28)</f>
        <v>0</v>
      </c>
      <c r="FB28" s="140">
        <f ca="1">RZ[[#This Row],[Úroveň 8 s koef. (P3a)]]*RZ[[#This Row],[Počet MJCR (P0) pro "kg"]]</f>
        <v>0</v>
      </c>
      <c r="FC28" s="140">
        <f ca="1">RZ[Úroveň 8 bez koef. (P3a)]*RZ[[#This Row],[Počet MJCR (P0) pro "kg"]]</f>
        <v>0</v>
      </c>
      <c r="FD28" s="140">
        <f ca="1">IF(OFFSET(BF28,1,0,1,1)&lt;&gt;0,RZ[[#This Row],[Koeficient odhadu CR '[-'] (P1)]]*$BO28*SUMIFS(RZ[Úroveň 9 s koef. (P3)],RZ[0],AX28,RZ[Úroveň 2 (P0)],AY28,RZ[Úroveň 3 (P0)],AZ28,RZ[Úroveň 4 (P0)],BA28,RZ[Úroveň 5 (P0)],BB28,RZ[Úroveň 6 (P0)],BC28,RZ[Úroveň 7 (P0)],BD28,RZ[Úroveň 8 (P0)],BE28),RZ[[#This Row],[Koeficient odhadu CR '[-'] (P1)]]*$BO28*$IQ28)</f>
        <v>0</v>
      </c>
      <c r="FE28" s="140">
        <f ca="1">IF(OFFSET(BF28,1,0,1,1)&lt;&gt;0,$BO28*SUMIFS(RZ[Úroveň 9 bez koef. (P3)],RZ[0],AX28,RZ[Úroveň 2 (P0)],AY28,RZ[Úroveň 3 (P0)],AZ28,RZ[Úroveň 4 (P0)],BA28,RZ[Úroveň 5 (P0)],BB28,RZ[Úroveň 6 (P0)],BC28,RZ[Úroveň 7 (P0)],BD28,RZ[Úroveň 8 (P0)],BE28),$BO28*$IQ28)</f>
        <v>0</v>
      </c>
      <c r="FF28" s="135">
        <f ca="1">RZ[[#This Row],[Úroveň 9 s koef. (P3a)]]*RZ[[#This Row],[Počet MJCR (P0) pro "kg"]]</f>
        <v>0</v>
      </c>
      <c r="FG28" s="135">
        <f ca="1">RZ[Úroveň 9 bez koef. (P3a)]*RZ[[#This Row],[Počet MJCR (P0) pro "kg"]]</f>
        <v>0</v>
      </c>
      <c r="FH28" s="135">
        <f ca="1">IF(OFFSET(BG28,1,0,1,1)&lt;&gt;0,RZ[[#This Row],[Koeficient odhadu CR '[-'] (P1)]]*$BP28*SUMIFS(RZ[Úroveň 10 s koef. (P3)],RZ[0],AX28,RZ[Úroveň 2 (P0)],AY28,RZ[Úroveň 3 (P0)],AZ28,RZ[Úroveň 4 (P0)],BA28,RZ[Úroveň 5 (P0)],BB28,RZ[Úroveň 6 (P0)],BC28,RZ[Úroveň 7 (P0)],BD28,RZ[Úroveň 8 (P0)],BE28,RZ[Úroveň 9 (P0)],BF28),RZ[[#This Row],[Koeficient odhadu CR '[-'] (P1)]]*$BP28*$IQ28)</f>
        <v>0</v>
      </c>
      <c r="FI28" s="135">
        <f ca="1">IF(OFFSET(BG28,1,0,1,1)&lt;&gt;0,$BP28*SUMIFS(RZ[Úroveň 10 bez koef. (P3)],RZ[0],AX28,RZ[Úroveň 2 (P0)],AY28,RZ[Úroveň 3 (P0)],AZ28,RZ[Úroveň 4 (P0)],BA28,RZ[Úroveň 5 (P0)],BB28,RZ[Úroveň 6 (P0)],BC28,RZ[Úroveň 7 (P0)],BD28,RZ[Úroveň 8 (P0)],BE28,RZ[Úroveň 9 (P0)],BF28),$BP28*$IQ28)</f>
        <v>0</v>
      </c>
      <c r="FJ28" s="140">
        <f ca="1">RZ[[#This Row],[Úroveň 10 s koef. (P3a)]]*RZ[[#This Row],[Počet MJCR (P0) pro "kg"]]</f>
        <v>0</v>
      </c>
      <c r="FK28" s="140">
        <f ca="1">RZ[Úroveň 10 bez koef. (P3a)]*RZ[[#This Row],[Počet MJCR (P0) pro "kg"]]</f>
        <v>0</v>
      </c>
      <c r="FL28" s="140">
        <f ca="1">RZ[[#This Row],[Koeficient odhadu CR '[-'] (P1)]]*$BQ28*IQ28</f>
        <v>0</v>
      </c>
      <c r="FM28" s="236">
        <f t="shared" ref="FM28:FM31" ca="1" si="301">$BQ28*IQ28</f>
        <v>0</v>
      </c>
      <c r="FN28" s="194">
        <f t="shared" ref="FN28:FN31" ca="1" si="302">IF(BH28=1,EB28,IF(BI28=1,EF28,IF(BJ28=1,EJ28,IF(BK28=1,EN28,IF(BL28=1,ER28,IF(BM28=1,EV28,IF(BN28=1,EZ28,IF(BO28=1,FD28,IF(BP28=1,FH28,FL28)))))))))</f>
        <v>45000</v>
      </c>
      <c r="FO28" s="238">
        <f t="shared" ref="FO28:FO31" ca="1" si="303">IF(BH28=1,EC28,IF(BI28=1,EG28,IF(BJ28=1,EK28,IF(BK28=1,EO28,IF(BL28=1,ES28,IF(BM28=1,EW28,IF(BN28=1,FA28,IF(BO28=1,FE28,IF(BP28=1,FI28,FM28)))))))))</f>
        <v>45000</v>
      </c>
      <c r="FP28" s="135">
        <f t="shared" ref="FP28:FP31" ca="1" si="304">BH28*$IK28</f>
        <v>0</v>
      </c>
      <c r="FQ28" s="135">
        <f t="shared" ref="FQ28:FQ31" ca="1" si="305">BI28*$IK28</f>
        <v>0</v>
      </c>
      <c r="FR28" s="135">
        <f t="shared" ref="FR28:FR31" ca="1" si="306">BJ28*$IK28</f>
        <v>0</v>
      </c>
      <c r="FS28" s="135">
        <f t="shared" ref="FS28:FS31" ca="1" si="307">BK28*$IK28</f>
        <v>1</v>
      </c>
      <c r="FT28" s="135">
        <f t="shared" ref="FT28:FT31" ca="1" si="308">BL28*$IK28</f>
        <v>0</v>
      </c>
      <c r="FU28" s="135">
        <f t="shared" ref="FU28:FU31" ca="1" si="309">BM28*$IK28</f>
        <v>0</v>
      </c>
      <c r="FV28" s="135">
        <f t="shared" ref="FV28:FV31" ca="1" si="310">BN28*$IK28</f>
        <v>0</v>
      </c>
      <c r="FW28" s="135">
        <f t="shared" ref="FW28:FW31" ca="1" si="311">BO28*$IK28</f>
        <v>0</v>
      </c>
      <c r="FX28" s="135">
        <f t="shared" ref="FX28:FX31" ca="1" si="312">BP28*$IK28</f>
        <v>0</v>
      </c>
      <c r="FY28" s="135">
        <f t="shared" ref="FY28:FY31" ca="1" si="313">BQ28*$IK28</f>
        <v>0</v>
      </c>
      <c r="FZ28" s="140">
        <f ca="1">SUMIFS(RZ[Úroveň 1 (P6)],RZ[0],AX28)</f>
        <v>1</v>
      </c>
      <c r="GA28" s="140">
        <f ca="1">SUMIFS(RZ[Úroveň 2 (P6)],RZ[0],AX28,RZ[Úroveň 2 (P0)],AY28)</f>
        <v>1</v>
      </c>
      <c r="GB28" s="140">
        <f ca="1">SUMIFS(RZ[Úroveň 3 (P6)],RZ[0],AX28,RZ[Úroveň 2 (P0)],AY28,RZ[Úroveň 3 (P0)],AZ28)</f>
        <v>2</v>
      </c>
      <c r="GC28" s="140">
        <f ca="1">SUMIFS(RZ[Úroveň 4 (P6)],RZ[0],AX28,RZ[Úroveň 2 (P0)],AY28,RZ[Úroveň 3 (P0)],AZ28,RZ[Úroveň 4 (P0)],BA28)</f>
        <v>1</v>
      </c>
      <c r="GD28" s="140">
        <f ca="1">SUMIFS(RZ[Úroveň 5 (P6)],RZ[0],AX28,RZ[Úroveň 2 (P0)],AY28,RZ[Úroveň 3 (P0)],AZ28,RZ[Úroveň 4 (P0)],BA28,RZ[Úroveň 5 (P0)],BB28)</f>
        <v>0</v>
      </c>
      <c r="GE28" s="140">
        <f ca="1">SUMIFS(RZ[Úroveň 6 (P6)],RZ[0],AX28,RZ[Úroveň 2 (P0)],AY28,RZ[Úroveň 3 (P0)],AZ28,RZ[Úroveň 4 (P0)],BA28,RZ[Úroveň 5 (P0)],BB28,RZ[Úroveň 6 (P0)],BC28)</f>
        <v>0</v>
      </c>
      <c r="GF28" s="140">
        <f ca="1">SUMIFS(RZ[Úroveň 7 (P6)],RZ[0],AX28,RZ[Úroveň 2 (P0)],AY28,RZ[Úroveň 3 (P0)],AZ28,RZ[Úroveň 4 (P0)],BA28,RZ[Úroveň 5 (P0)],BB28,RZ[Úroveň 6 (P0)],BC28,RZ[Úroveň 7 (P0)],BD28)</f>
        <v>0</v>
      </c>
      <c r="GG28" s="140">
        <f ca="1">SUMIFS(RZ[Úroveň 8 (P6)],RZ[0],AX28,RZ[Úroveň 2 (P0)],AY28,RZ[Úroveň 3 (P0)],AZ28,RZ[Úroveň 4 (P0)],BA28,RZ[Úroveň 5 (P0)],BB28,RZ[Úroveň 6 (P0)],BC28,RZ[Úroveň 7 (P0)],BD28,RZ[Úroveň 8 (P0)],BE28)</f>
        <v>0</v>
      </c>
      <c r="GH28" s="140">
        <f ca="1">SUMIFS(RZ[Úroveň 9 (P6)],RZ[0],AX28,RZ[Úroveň 2 (P0)],AY28,RZ[Úroveň 3 (P0)],AZ28,RZ[Úroveň 4 (P0)],BA28,RZ[Úroveň 5 (P0)],BB28,RZ[Úroveň 6 (P0)],BC28,RZ[Úroveň 7 (P0)],BD28,RZ[Úroveň 8 (P0)],BE28,RZ[Úroveň 9 (P0)],BF28)</f>
        <v>0</v>
      </c>
      <c r="GI28" s="140">
        <f ca="1">SUMIFS(RZ[Úroveň 10 (P6)],RZ[0],AX28,RZ[Úroveň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GJ28" s="918">
        <f t="shared" ref="GJ28:GJ31" ca="1" si="314">IF(FZ28&lt;&gt;0,FZ28,1)*IF(GA28&lt;&gt;0,GA28,1)*IF(GB28&lt;&gt;0,GB28,1)*IF(GC28&lt;&gt;0,GC28,1)*IF(GD28&lt;&gt;0,GD28,1)*IF(GE28&lt;&gt;0,GE28,1)*IF(GF28&lt;&gt;0,GF28,1)*IF(GG28&lt;&gt;0,GG28,1)*IF(GH28&lt;&gt;0,GH28,1)*IF(GI28&lt;&gt;0,GI28,1)</f>
        <v>2</v>
      </c>
      <c r="GK28" s="808">
        <f t="shared" ref="GK28:GK31" si="315">BH28*$IO28</f>
        <v>0</v>
      </c>
      <c r="GL28" s="808">
        <f t="shared" ref="GL28:GL31" si="316">BI28*$IO28</f>
        <v>0</v>
      </c>
      <c r="GM28" s="808">
        <f t="shared" ref="GM28:GM31" si="317">BJ28*$IO28</f>
        <v>0</v>
      </c>
      <c r="GN28" s="808">
        <f t="shared" ref="GN28:GN31" si="318">BK28*$IO28</f>
        <v>1</v>
      </c>
      <c r="GO28" s="808">
        <f t="shared" ref="GO28:GO31" si="319">BL28*$IO28</f>
        <v>0</v>
      </c>
      <c r="GP28" s="808">
        <f t="shared" ref="GP28:GP31" si="320">BM28*$IO28</f>
        <v>0</v>
      </c>
      <c r="GQ28" s="808">
        <f t="shared" ref="GQ28:GQ31" si="321">BN28*$IO28</f>
        <v>0</v>
      </c>
      <c r="GR28" s="808">
        <f t="shared" ref="GR28:GR31" si="322">BO28*$IO28</f>
        <v>0</v>
      </c>
      <c r="GS28" s="808">
        <f t="shared" ref="GS28:GS31" si="323">BP28*$IO28</f>
        <v>0</v>
      </c>
      <c r="GT28" s="808">
        <f t="shared" ref="GT28:GT31" si="324">BQ28*$IO28</f>
        <v>0</v>
      </c>
      <c r="GU28" s="809">
        <f ca="1">SUMIFS(RZ[Sloupec1],RZ[0],AX28)</f>
        <v>1</v>
      </c>
      <c r="GV28" s="809">
        <f ca="1">SUMIFS(RZ[Sloupec2],RZ[0],AX28,RZ[Úroveň 2 (P0)],AY28)</f>
        <v>1</v>
      </c>
      <c r="GW28" s="809">
        <f ca="1">SUMIFS(RZ[Sloupec3],RZ[0],AX28,RZ[Úroveň 2 (P0)],AY28,RZ[Úroveň 3 (P0)],AZ28)</f>
        <v>1</v>
      </c>
      <c r="GX28" s="809">
        <f ca="1">SUMIFS(RZ[Sloupec4],RZ[0],AX28,RZ[Úroveň 2 (P0)],AY28,RZ[Úroveň 3 (P0)],AZ28,RZ[Úroveň 4 (P0)],BA28)</f>
        <v>1</v>
      </c>
      <c r="GY28" s="809">
        <f ca="1">SUMIFS(RZ[Sloupec5],RZ[0],AX28,RZ[Úroveň 2 (P0)],AY28,RZ[Úroveň 3 (P0)],AZ28,RZ[Úroveň 4 (P0)],BA28,RZ[Úroveň 5 (P0)],BB28)</f>
        <v>0</v>
      </c>
      <c r="GZ28" s="809">
        <f ca="1">SUMIFS(RZ[Sloupec6],RZ[0],AX28,RZ[Úroveň 2 (P0)],AY28,RZ[Úroveň 3 (P0)],AZ28,RZ[Úroveň 4 (P0)],BA28,RZ[Úroveň 5 (P0)],BB28,RZ[Úroveň 6 (P0)],BC28)</f>
        <v>0</v>
      </c>
      <c r="HA28" s="809">
        <f ca="1">SUMIFS(RZ[Sloupec62],RZ[0],AX28,RZ[Úroveň 2 (P0)],AY28,RZ[Úroveň 3 (P0)],AZ28,RZ[Úroveň 4 (P0)],BA28,RZ[Úroveň 5 (P0)],BB28,RZ[Úroveň 6 (P0)],BC28,RZ[Úroveň 7 (P0)],BD28)</f>
        <v>0</v>
      </c>
      <c r="HB28" s="809">
        <f ca="1">SUMIFS(RZ[Sloupec63],RZ[0],AX28,RZ[Úroveň 2 (P0)],AY28,RZ[Úroveň 3 (P0)],AZ28,RZ[Úroveň 4 (P0)],BA28,RZ[Úroveň 5 (P0)],BB28,RZ[Úroveň 6 (P0)],BC28,RZ[Úroveň 7 (P0)],BD28,RZ[Úroveň 8 (P0)],BE28)</f>
        <v>0</v>
      </c>
      <c r="HC28" s="809">
        <f ca="1">SUMIFS(RZ[Sloupec64],RZ[0],AX28,RZ[Úroveň 2 (P0)],AY28,RZ[Úroveň 3 (P0)],AZ28,RZ[Úroveň 4 (P0)],BA28,RZ[Úroveň 5 (P0)],BB28,RZ[Úroveň 6 (P0)],BC28,RZ[Úroveň 7 (P0)],BD28,RZ[Úroveň 8 (P0)],BE28,RZ[Úroveň 9 (P0)],BF28)</f>
        <v>0</v>
      </c>
      <c r="HD28" s="809">
        <f ca="1">SUMIFS(RZ[Sloupec65],RZ[0],AX28,RZ[Úroveň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HE28" s="919">
        <f t="shared" ref="HE28:HE31" ca="1" si="325">IF(GU28&lt;&gt;0,GU28,1)*IF(GV28&lt;&gt;0,GV28,1)*IF(GW28&lt;&gt;0,GW28,1)*IF(GX28&lt;&gt;0,GX28,1)*IF(GY28&lt;&gt;0,GY28,1)*IF(GZ28&lt;&gt;0,GZ28,1)*IF(HA28&lt;&gt;0,HA28,1)*IF(HB28&lt;&gt;0,HB28,1)*IF(HC28&lt;&gt;0,HC28,1)*IF(HD28&lt;&gt;0,HD28,1)</f>
        <v>1</v>
      </c>
      <c r="HF28" s="920" t="str">
        <f t="shared" ref="HF28:HF31" si="326">IF($IW28=$MJ$15,IF(MK28="","",MK28),IF(IY28="","",IY28))</f>
        <v/>
      </c>
      <c r="HG28" s="94" t="str">
        <f t="shared" ref="HG28:HG31" si="327">IF($IW28=$MJ$15,IF($MJ28=1,$MS28,""),IF(IZ28="","",IZ28))</f>
        <v/>
      </c>
      <c r="HH28" s="95" t="str">
        <f t="shared" ref="HH28:HH31" si="328">IF($IW28=$MJ$15,IF($MJ28=2,$MS28,""),IF(JA28="","",JA28))</f>
        <v/>
      </c>
      <c r="HI28" s="95" t="str">
        <f t="shared" ref="HI28:HI31" si="329">IF($IW28=$MJ$15,IF($MJ28=3,$MS28,""),IF(JB28="","",JB28))</f>
        <v/>
      </c>
      <c r="HJ28" s="96" t="str">
        <f t="shared" ref="HJ28:HJ31" si="330">IF($IW28=$MJ$15,IF($MJ28=4,$MS28,""),IF(JC28="","",JC28))</f>
        <v>Těleso ložiska</v>
      </c>
      <c r="HK28" s="96" t="str">
        <f t="shared" ref="HK28:HK31" si="331">IF($IW28=$MJ$15,IF($MJ28=5,$MS28,""),IF(JD28="","",JD28))</f>
        <v/>
      </c>
      <c r="HL28" s="96" t="str">
        <f t="shared" ref="HL28:HL31" si="332">IF($IW28=$MJ$15,IF($MJ28=6,$MS28,""),IF(JE28="","",JE28))</f>
        <v/>
      </c>
      <c r="HM28" s="96" t="str">
        <f t="shared" ref="HM28:HM31" si="333">IF($IW28=$MJ$15,IF($MJ28=7,$MS28,""),IF(JF28="","",JF28))</f>
        <v/>
      </c>
      <c r="HN28" s="96" t="str">
        <f t="shared" ref="HN28:HN31" si="334">IF($IW28=$MJ$15,IF($MJ28=8,$MS28,""),IF(JG28="","",JG28))</f>
        <v/>
      </c>
      <c r="HO28" s="96" t="str">
        <f t="shared" ref="HO28:HO31" si="335">IF($IW28=$MJ$15,IF($MJ28=9,$MS28,""),IF(JH28="","",JH28))</f>
        <v/>
      </c>
      <c r="HP28" s="96" t="str">
        <f t="shared" ref="HP28:HP31" si="336">IF($IW28=$MJ$15,IF($MJ28=10,$MS28,""),IF(JI28="","",JI28))</f>
        <v/>
      </c>
      <c r="HQ28" s="145" t="str">
        <f t="shared" ref="HQ28:HQ31" si="337">IF($IW28=$MJ$15,IF(ML28="","N/A",ML28),IF(JJ28="","N/A",JJ28))</f>
        <v>STLO</v>
      </c>
      <c r="HR28" s="921" t="str">
        <f t="shared" ref="HR28:HR31" si="338">IF($IW28=$MJ$15,IF(MM28="","",MM28),IF(JK28="","",JK28))</f>
        <v/>
      </c>
      <c r="HS28" s="173">
        <f t="shared" ref="HS28:HS31" si="339">IF($IW28=$JL$15,JL28,IF($IW28=$KE$15,KE28,IF($IW28=$KX$15,KX28,IF($IW28=$LQ$15,LQ28,IF($IW28=$MJ$15,NE28,0)))))</f>
        <v>0</v>
      </c>
      <c r="HT28" s="100">
        <f t="shared" ref="HT28:HT31" si="340">IF($IW28=$JL$15,JM28,IF($IW28=$KE$15,KF28,IF($IW28=$KX$15,KY28,IF($IW28=$LQ$15,LR28,IF($IW28=$MJ$15,NF28,0)))))</f>
        <v>0</v>
      </c>
      <c r="HU28" s="100">
        <f t="shared" ref="HU28:HU31" si="341">IF($IW28=$JL$15,JN28,IF($IW28=$KE$15,KG28,IF($IW28=$KX$15,KZ28,IF($IW28=$LQ$15,LS28,IF($IW28=$MJ$15,NG28,0)))))</f>
        <v>0</v>
      </c>
      <c r="HV28" s="908" t="str">
        <f t="shared" ref="HV28:HV31" si="342">IF($IW28=$JL$15,JU28,IF($IW28=$KE$15,KN28,IF($IW28=$KX$15,LG28,IF($IW28=$LQ$15,LZ28,IF($IW28=$MJ$15,NN28,0)))))</f>
        <v>Zajíc</v>
      </c>
      <c r="HW28" s="922">
        <f t="shared" ref="HW28:HW31" si="343">IF($IW28=$JL$15,JV28,IF($IW28=$KE$15,KO28,IF($IW28=$KX$15,LH28,IF($IW28=$LQ$15,MA28,IF($IW28=$MJ$15,NO28,0)))))</f>
        <v>42950.627685185187</v>
      </c>
      <c r="HX28" s="224">
        <f t="shared" ref="HX28:HX31" si="344">IF($IW28=$JL$15,JW28,IF($IW28=$KE$15,KP28,IF($IW28=$KX$15,LI28,IF($IW28=$LQ$15,MB28,IF($IW28=$MJ$15,NP28,0)))))</f>
        <v>0</v>
      </c>
      <c r="HY28" s="263" t="str">
        <f t="shared" ref="HY28:HY31" si="345">IF($IW28=$JL$15,JS28,IF($IW28=$KE$15,KL28,IF($IW28=$KX$15,LE28,IF($IW28=$LQ$15,LX28,IF($IW28=$MJ$15,NL28,0)))))</f>
        <v>S</v>
      </c>
      <c r="HZ28" s="263" t="str">
        <f t="shared" ref="HZ28:HZ31" si="346">IF($IW28=$JL$15,KC28,IF($IW28=$KE$15,KV28,IF($IW28=$KX$15,LO28,IF($IW28=$LQ$15,MH28,IF($IW28=$MJ$15,NV28,0)))))</f>
        <v>N</v>
      </c>
      <c r="IA28" s="150">
        <f t="shared" ref="IA28:IA31" si="347">IF($IW28=$JL$15,JR28,IF($IW28=$KE$15,KK28,IF($IW28=$KX$15,LD28,IF($IW28=$LQ$15,LW28,IF($IW28=$MJ$15,NK28,0)))))</f>
        <v>1</v>
      </c>
      <c r="IB28" s="319">
        <f t="shared" ref="IB28:IB31" si="348">IF($IW28=$JL$15,JZ28,IF($IW28=$KE$15,KS28,IF($IW28=$KX$15,LL28,IF($IW28=$LQ$15,ME28,IF($IW28=$MJ$15,NS28,0)))))</f>
        <v>45000</v>
      </c>
      <c r="IC28" s="923">
        <f t="shared" ref="IC28:IC31" si="349">IF($IW28=$JL$15,KB28,IF($IW28=$KE$15,KU28,IF($IW28=$KX$15,LN28,IF($IW28=$LQ$15,MG28,IF($IW28=$MJ$15,NU28,0)))))</f>
        <v>1</v>
      </c>
      <c r="ID28" s="924" t="str">
        <f t="shared" ref="ID28:ID31" ca="1" si="350">IF((BH28+OFFSET(BH28,1,1,1,1))=2,"--",IF((BI28+OFFSET(BI28,1,1,1,1))=2,"--",IF((BJ28+OFFSET(BJ28,1,1,1,1))=2,"--",IF((BK28+OFFSET(BK28,1,1,1,1))=2,"--",IF((BL28+OFFSET(BL28,1,1,1,1))=2,"--",IF((BM28+OFFSET(BM28,1,1,1,1))=2,"--",IF((BN28+OFFSET(BN28,1,1,1,1))=2,"--",IF((BO28+OFFSET(BO28,1,1,1,1))=2,"--",IF((BP28+OFFSET(BP28,1,1,1,1))=2,"--",IF((BQ28+OFFSET(BQ28,1,1,1,1))=2,"--","OK"))))))))))</f>
        <v>OK</v>
      </c>
      <c r="IE28" s="201" t="str">
        <f t="shared" ref="IE28:IE31" si="351">IF($IW28=$JL$15,JO28,IF($IW28=$KE$15,KH28,IF($IW28=$KX$15,LA28,IF($IW28=$LQ$15,LT28,IF($IW28=$MJ$15,NH28,0)))))</f>
        <v>ks</v>
      </c>
      <c r="IF28" s="145">
        <f t="shared" ref="IF28:IF31" si="352">IF($IW28=$JL$15,JP28,IF($IW28=$KE$15,KI28,IF($IW28=$KX$15,LB28,IF($IW28=$LQ$15,LU28,IF($IW28=$MJ$15,NI28,0)))))</f>
        <v>1</v>
      </c>
      <c r="IG28" s="216">
        <f t="shared" ref="IG28:IG31" si="353">IF($IW28=$JL$15,JQ28,IF($IW28=$KE$15,KJ28,IF($IW28=$KX$15,LC28,IF($IW28=$LQ$15,LV28,IF($IW28=$MJ$15,NJ28,0)))))</f>
        <v>156</v>
      </c>
      <c r="IH28" s="217">
        <f t="shared" ref="IH28:IH31" si="354">IF(IA28=0,1,IA28)</f>
        <v>1</v>
      </c>
      <c r="II28" s="224" t="str">
        <f ca="1">IF(RZ[[#This Row],[Rozhodný sloupec indikativní ceny]]=1,"kg",IF($IW28=$JL$15,IF(JX28=0,JO28,JX28),IF($IW28=$KE$15,IF(KQ28=0,KH28,KQ28),IF($IW28=$KX$15,IF(LJ28=0,LA28,LJ28),IF($IW28=$LQ$15,IF(MC28=0,LT28,MC28),IF($IW28=$MJ$15,IF(NQ28=0,NH28,NQ28),0))))))</f>
        <v>ks</v>
      </c>
      <c r="IJ28" s="224">
        <f ca="1">IF((BH28+OFFSET(BH28,1,1,1,1))=2,RZ[[#This Row],[Počet MJHR (P0)]],IF((BI28+OFFSET(BI28,1,1,1,1))=2,RZ[[#This Row],[Počet MJHR (P0)]],IF((BJ28+OFFSET(BJ28,1,1,1,1))=2,RZ[[#This Row],[Počet MJHR (P0)]],IF((BK28+OFFSET(BK28,1,1,1,1))=2,RZ[[#This Row],[Počet MJHR (P0)]],IF((BL28+OFFSET(BL28,1,1,1,1))=2,RZ[[#This Row],[Počet MJHR (P0)]],IF((BM28+OFFSET(BM28,1,1,1,1))=2,RZ[[#This Row],[Počet MJHR (P0)]],IF((BN28+OFFSET(BN28,1,1,1,1))=2,RZ[[#This Row],[Počet MJHR (P0)]],IF((BO28+OFFSET(BO28,1,1,1,1))=2,RZ[[#This Row],[Počet MJHR (P0)]],IF((BP28+OFFSET(BP28,1,1,1,1))=2,RZ[[#This Row],[Počet MJHR (P0)]],IF((BQ28+OFFSET(BQ28,1,1,1,1))=2,RZ[[#This Row],[Počet MJHR (P0)]],IF(RZ[[#This Row],[Měrná jednotka CR (MJCR) (P0)]]=RZ[[#This Row],[Měrná jednotka HR '[MJHR'] (P0)]],RZ[[#This Row],[Počet MJHR (P0)]],IF($IW28=$JL$15,JY28,IF($IW28=$KE$15,KR28,IF($IW28=$KX$15,LK28,IF($IW28=$LQ$15,MD28,IF($IW28=$MJ$15,NR28,0))))))))))))))))</f>
        <v>1</v>
      </c>
      <c r="IK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8" s="145">
        <f ca="1">IF(AND(RZ[[#This Row],[Jednotková cena bez DPH '[cena/MJCR'] (P0)]]=0,RZ[[#This Row],[Indikativní jednotková cena '[CZK/kg'] (P1)]]&lt;&gt;0),1,0)</f>
        <v>0</v>
      </c>
      <c r="IM28" s="217">
        <f ca="1">VLOOKUP(RZ[[#This Row],[Kód položek]],INDIKAT_CENA,2,FALSE)</f>
        <v>0</v>
      </c>
      <c r="IN28" s="222">
        <f ca="1">IF(RZ[[#This Row],[Rozhodný sloupec indikativní ceny]]=1,RZ[[#This Row],[Indikativní jednotková cena '[CZK/kg'] (P1)]],RZ[[#This Row],[Jednotková cena bez DPH '[cena/MJCR'] (P0)]])</f>
        <v>45000</v>
      </c>
      <c r="IO28" s="222">
        <f t="shared" ref="IO28:IO31" si="355">IF(IC28=0,1,IC28)</f>
        <v>1</v>
      </c>
      <c r="IP28" s="224">
        <f ca="1">IF(RZ[[#This Row],[Rozhodný sloupec indikativní ceny]]=1,1,IF($IW28=$JL$15,KA28,IF($IW28=$KE$15,KT28,IF($IW28=$KX$15,LM28,IF($IW28=$LQ$15,MF28,IF($IW28=$MJ$15,NT28,0))))))</f>
        <v>1</v>
      </c>
      <c r="IQ28" s="225">
        <f ca="1">IF(RZ[[#This Row],[Jednotková cena bez DPH '[cena/MJCR'] (P1)]]="",0,IF(IP28=0,0,(RZ[[#This Row],[Jednotková cena bez DPH '[cena/MJCR'] (P1)]]*VLOOKUP(IP28,$BR$7:$BT$10,3))))</f>
        <v>45000</v>
      </c>
      <c r="IR28" s="737"/>
      <c r="IS28" s="627">
        <f>IF(HY28=0,"",VLOOKUP(RZ[[#This Row],[Stav Projekce (P0)]],Vstupy!$E$11:'Vstupy'!$E$11:$H$17,4,FALSE))</f>
        <v>100</v>
      </c>
      <c r="IT28" s="925" t="str">
        <f>IF(RZ[[#This Row],[Stav Projekce (P0)]]=0,"",RZ[[#This Row],[Stav Projekce (P0)]])</f>
        <v>S</v>
      </c>
      <c r="IU28" s="925" t="str">
        <f>IF(RZ[[#This Row],[Stav Nákup (P0)]]=0,"",RZ[[#This Row],[Stav Nákup (P0)]])</f>
        <v>N</v>
      </c>
      <c r="IV28" s="926" t="str">
        <f t="shared" ref="IV28:IV31" si="356">IF(HV28=0,"",HV28)</f>
        <v>Zajíc</v>
      </c>
      <c r="IW28" s="641">
        <v>1</v>
      </c>
      <c r="IX28" s="630"/>
      <c r="IY28" s="264"/>
      <c r="IZ28" s="648"/>
      <c r="JA28" s="100"/>
      <c r="JB28" s="100"/>
      <c r="JC28" s="100" t="s">
        <v>836</v>
      </c>
      <c r="JD28" s="100"/>
      <c r="JE28" s="100"/>
      <c r="JF28" s="100"/>
      <c r="JG28" s="100"/>
      <c r="JH28" s="100"/>
      <c r="JI28" s="100"/>
      <c r="JJ28" s="145" t="s">
        <v>797</v>
      </c>
      <c r="JK28" s="529"/>
      <c r="JL28" s="286"/>
      <c r="JM28" s="100"/>
      <c r="JN28" s="100"/>
      <c r="JO28" s="145" t="s">
        <v>35</v>
      </c>
      <c r="JP28" s="117">
        <v>1</v>
      </c>
      <c r="JQ28" s="117">
        <v>156</v>
      </c>
      <c r="JR28" s="148">
        <v>1</v>
      </c>
      <c r="JS28" s="145" t="s">
        <v>602</v>
      </c>
      <c r="JT28" s="631"/>
      <c r="JU28" s="148" t="s">
        <v>853</v>
      </c>
      <c r="JV28" s="154">
        <v>42950.627685185187</v>
      </c>
      <c r="JW28" s="145"/>
      <c r="JX28" s="210" t="s">
        <v>35</v>
      </c>
      <c r="JY28" s="117"/>
      <c r="JZ28" s="662">
        <v>45000</v>
      </c>
      <c r="KA28" s="145">
        <v>1</v>
      </c>
      <c r="KB28" s="148">
        <v>1</v>
      </c>
      <c r="KC28" s="148" t="s">
        <v>611</v>
      </c>
      <c r="KD28" s="644"/>
      <c r="KE28" s="286"/>
      <c r="KF28" s="100"/>
      <c r="KG28" s="100"/>
      <c r="KH28" s="210"/>
      <c r="KI28" s="117"/>
      <c r="KJ28" s="117"/>
      <c r="KK28" s="148"/>
      <c r="KL28" s="145"/>
      <c r="KM28" s="632"/>
      <c r="KN28" s="148"/>
      <c r="KO28" s="154"/>
      <c r="KP28" s="154"/>
      <c r="KQ28" s="210"/>
      <c r="KR28" s="117"/>
      <c r="KS28" s="211"/>
      <c r="KT28" s="145"/>
      <c r="KU28" s="148"/>
      <c r="KV28" s="148"/>
      <c r="KW28" s="265"/>
      <c r="KX28" s="286"/>
      <c r="KY28" s="100"/>
      <c r="KZ28" s="100"/>
      <c r="LA28" s="210"/>
      <c r="LB28" s="117"/>
      <c r="LC28" s="117"/>
      <c r="LD28" s="148"/>
      <c r="LE28" s="145"/>
      <c r="LF28" s="632"/>
      <c r="LG28" s="148"/>
      <c r="LH28" s="154"/>
      <c r="LI28" s="154"/>
      <c r="LJ28" s="154"/>
      <c r="LK28" s="117"/>
      <c r="LL28" s="211"/>
      <c r="LM28" s="210"/>
      <c r="LN28" s="148"/>
      <c r="LO28" s="148"/>
      <c r="LP28" s="265"/>
      <c r="LQ28" s="286"/>
      <c r="LR28" s="100"/>
      <c r="LS28" s="100"/>
      <c r="LT28" s="210"/>
      <c r="LU28" s="117"/>
      <c r="LV28" s="117"/>
      <c r="LW28" s="148"/>
      <c r="LX28" s="145"/>
      <c r="LY28" s="632"/>
      <c r="LZ28" s="148"/>
      <c r="MA28" s="154"/>
      <c r="MB28" s="154"/>
      <c r="MC28" s="145"/>
      <c r="MD28" s="117"/>
      <c r="ME28" s="211"/>
      <c r="MF28" s="210"/>
      <c r="MG28" s="148"/>
      <c r="MH28" s="148"/>
      <c r="MI28" s="265"/>
      <c r="MJ28" s="647"/>
      <c r="MK28" s="264"/>
      <c r="ML28" s="153"/>
      <c r="MM28" s="153"/>
      <c r="MN28" s="153"/>
      <c r="MO28" s="153"/>
      <c r="MP28" s="153"/>
      <c r="MQ28" s="153"/>
      <c r="MR28" s="153"/>
      <c r="MS28" s="99"/>
      <c r="MT28" s="99"/>
      <c r="MU28" s="99"/>
      <c r="MV28" s="99"/>
      <c r="MW28" s="99"/>
      <c r="MX28" s="99"/>
      <c r="MY28" s="153"/>
      <c r="MZ28" s="153"/>
      <c r="NA28" s="153"/>
      <c r="NB28" s="153"/>
      <c r="NC28" s="153"/>
      <c r="ND28" s="153"/>
      <c r="NE28" s="148"/>
      <c r="NF28" s="153"/>
      <c r="NG28" s="153"/>
      <c r="NH28" s="330" t="str">
        <f t="shared" ref="NH28:NH31" si="357">"ks"</f>
        <v>ks</v>
      </c>
      <c r="NI28" s="797">
        <f>RZ[[#This Row],[Počet ks (K)]]</f>
        <v>0</v>
      </c>
      <c r="NJ28" s="798">
        <f>RZ[[#This Row],[Hmotnost '[kg/ks'] (K)]]</f>
        <v>0</v>
      </c>
      <c r="NK28" s="148"/>
      <c r="NL28" s="145"/>
      <c r="NM28" s="632"/>
      <c r="NN28" s="148"/>
      <c r="NO28" s="154"/>
      <c r="NP28" s="153"/>
      <c r="NQ28" s="153"/>
      <c r="NR28" s="210"/>
      <c r="NS28" s="148"/>
      <c r="NT28" s="210"/>
      <c r="NU28" s="148"/>
      <c r="NV28" s="148"/>
      <c r="NW28" s="175"/>
    </row>
    <row r="29" spans="2:387" ht="15.95" customHeight="1" x14ac:dyDescent="0.35">
      <c r="B29" s="118" t="str">
        <f t="shared" si="250"/>
        <v/>
      </c>
      <c r="C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9" s="262" t="str">
        <f t="shared" si="251"/>
        <v xml:space="preserve">      Ložisko 22240 K</v>
      </c>
      <c r="E29" s="120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Row],[Kód položek (P2)]]))))))))))</f>
        <v>STLO</v>
      </c>
      <c r="F29" s="791" t="str">
        <f t="shared" si="252"/>
        <v>N/A</v>
      </c>
      <c r="G29" s="792" t="str">
        <f t="shared" si="253"/>
        <v/>
      </c>
      <c r="H29" s="262" t="str">
        <f t="shared" si="254"/>
        <v/>
      </c>
      <c r="I29" s="123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HR '[MJHR'] (P0)]]))))))))))</f>
        <v>ks</v>
      </c>
      <c r="J29" s="123">
        <f t="shared" si="255"/>
        <v>1</v>
      </c>
      <c r="K29" s="793">
        <f>RZ[[#This Row],[Koeficient odhadu HR '[-'] (P1)]]</f>
        <v>1</v>
      </c>
      <c r="L29" s="124">
        <f ca="1">RZ[[#This Row],[Jednotková hmotnost s koef. '[kg/MJHR'] (P0)]]</f>
        <v>43.5</v>
      </c>
      <c r="M29" s="794">
        <f t="shared" ca="1" si="256"/>
        <v>0</v>
      </c>
      <c r="N29" s="125">
        <f t="shared" ca="1" si="257"/>
        <v>43.5</v>
      </c>
      <c r="O29" s="125">
        <f t="shared" ca="1" si="258"/>
        <v>0</v>
      </c>
      <c r="P29" s="126" t="str">
        <f t="shared" si="259"/>
        <v/>
      </c>
      <c r="Q29" s="795">
        <f ca="1">RZ[[#This Row],[Počet MJHR v rozpadu (P0)]]</f>
        <v>2</v>
      </c>
      <c r="R29" s="439" t="str">
        <f t="shared" si="260"/>
        <v>Zajíc</v>
      </c>
      <c r="S29" s="129">
        <f t="shared" si="261"/>
        <v>42950.625104166669</v>
      </c>
      <c r="T29" s="126" t="str">
        <f t="shared" si="262"/>
        <v/>
      </c>
      <c r="U29" s="126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CR (MJCR) (P0)]]))))))))))</f>
        <v>ks</v>
      </c>
      <c r="V29" s="575">
        <f t="shared" ca="1" si="263"/>
        <v>1</v>
      </c>
      <c r="W29" s="322">
        <f>RZ[[#This Row],[Koeficient odhadu CR '[-'] (P1)]]</f>
        <v>1</v>
      </c>
      <c r="X29" s="440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Row],[Jednotková cena bez DPH '[cena/MJCR'] (P1)]]*RZ[[#This Row],[Koeficient odhadu CR '[-']]]))))))))))</f>
        <v>30000</v>
      </c>
      <c r="Y29" s="440">
        <f t="shared" ca="1" si="264"/>
        <v>0</v>
      </c>
      <c r="Z29" s="142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VLOOKUP(IP29,$BR$7:$BS$11,2,FALSE)))))))))))</f>
        <v>CZK</v>
      </c>
      <c r="AA29" s="909">
        <f t="shared" ca="1" si="265"/>
        <v>2</v>
      </c>
      <c r="AB29" s="910">
        <f ca="1">RZ[[#This Row],[Kumulovaný koeficient v rozpadu (P0)]]</f>
        <v>1</v>
      </c>
      <c r="AC29" s="261"/>
      <c r="AD29" s="796">
        <f ca="1">RZ[[#This Row],[Jednotková cena bez DPH '[cena/MJCR'] s koef. (P0)]]/RZ[[#This Row],[Koeficient odhadu CR '[-']]]*RZ[[#This Row],[Kumulovaný koeficient odhadu CR  '[-']]]</f>
        <v>30000</v>
      </c>
      <c r="AE29" s="796">
        <f t="shared" ca="1" si="266"/>
        <v>60000</v>
      </c>
      <c r="AF29" s="796">
        <f ca="1">-IF(ISNUMBER(AA29),RZ[[#This Row],[Celková cena bez DPH (1)]]-RZ[[#This Row],[Jednotková cena bez DPH '[cena/MJCR'] bez koef. (P0)]]*AA29,0)</f>
        <v>0</v>
      </c>
      <c r="AG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29" s="261"/>
      <c r="AI29" s="796">
        <f t="shared" ca="1" si="146"/>
        <v>1111.1111111111111</v>
      </c>
      <c r="AJ29" s="796">
        <f t="shared" ca="1" si="147"/>
        <v>2222.2222222222222</v>
      </c>
      <c r="AK29" s="796">
        <f t="shared" ca="1" si="148"/>
        <v>0</v>
      </c>
      <c r="AL29" s="753">
        <f ca="1">RZ[[#This Row],[Kilogramová cena bez DPH '[cena/kg'] (1)]]/$AK$13</f>
        <v>25.542784163473819</v>
      </c>
      <c r="AM29" s="261"/>
      <c r="AN29" s="796">
        <f t="shared" ca="1" si="149"/>
        <v>1449.2753623188407</v>
      </c>
      <c r="AO29" s="796">
        <f t="shared" ca="1" si="150"/>
        <v>2898.5507246376815</v>
      </c>
      <c r="AP29" s="796">
        <f t="shared" ca="1" si="151"/>
        <v>0</v>
      </c>
      <c r="AQ29" s="753">
        <f ca="1">RZ[[#This Row],[Kilogramová cena bez DPH '[cena/kg'] (1)]]/$AP$13</f>
        <v>33.31667499583542</v>
      </c>
      <c r="AR29" s="261"/>
      <c r="AS29" s="796">
        <f t="shared" ca="1" si="152"/>
        <v>820.56892778993426</v>
      </c>
      <c r="AT29" s="796">
        <f t="shared" ca="1" si="153"/>
        <v>1641.1378555798685</v>
      </c>
      <c r="AU29" s="789">
        <f t="shared" ca="1" si="154"/>
        <v>0</v>
      </c>
      <c r="AV29" s="767">
        <f ca="1">RZ[[#This Row],[Kilogramová cena bez DPH '[cena/kg'] (1)]]/$AU$13</f>
        <v>18.863653512412284</v>
      </c>
      <c r="AW29" s="165"/>
      <c r="AX29" s="911">
        <f t="shared" ca="1" si="267"/>
        <v>2</v>
      </c>
      <c r="AY29" s="111">
        <f t="shared" ca="1" si="268"/>
        <v>1</v>
      </c>
      <c r="AZ29" s="111">
        <f t="shared" ca="1" si="269"/>
        <v>8</v>
      </c>
      <c r="BA29" s="111">
        <f t="shared" ca="1" si="270"/>
        <v>2</v>
      </c>
      <c r="BB29" s="111">
        <f t="shared" ca="1" si="271"/>
        <v>0</v>
      </c>
      <c r="BC29" s="111">
        <f t="shared" ca="1" si="272"/>
        <v>0</v>
      </c>
      <c r="BD29" s="111">
        <f t="shared" ca="1" si="273"/>
        <v>0</v>
      </c>
      <c r="BE29" s="111">
        <f t="shared" ca="1" si="274"/>
        <v>0</v>
      </c>
      <c r="BF29" s="111">
        <f t="shared" ca="1" si="275"/>
        <v>0</v>
      </c>
      <c r="BG29" s="112">
        <f t="shared" ca="1" si="276"/>
        <v>0</v>
      </c>
      <c r="BH29" s="911">
        <f t="shared" si="277"/>
        <v>0</v>
      </c>
      <c r="BI29" s="111">
        <f t="shared" si="278"/>
        <v>0</v>
      </c>
      <c r="BJ29" s="111">
        <f t="shared" si="279"/>
        <v>0</v>
      </c>
      <c r="BK29" s="111">
        <f t="shared" si="280"/>
        <v>1</v>
      </c>
      <c r="BL29" s="111">
        <f t="shared" si="281"/>
        <v>0</v>
      </c>
      <c r="BM29" s="111">
        <f t="shared" si="282"/>
        <v>0</v>
      </c>
      <c r="BN29" s="111">
        <f t="shared" si="283"/>
        <v>0</v>
      </c>
      <c r="BO29" s="111">
        <f t="shared" si="284"/>
        <v>0</v>
      </c>
      <c r="BP29" s="111">
        <f t="shared" si="285"/>
        <v>0</v>
      </c>
      <c r="BQ29" s="112">
        <f t="shared" si="286"/>
        <v>0</v>
      </c>
      <c r="BR29" s="132">
        <f ca="1">IF(OFFSET(AY29,1,0,1,1)&lt;&gt;0,RZ[[#This Row],[Koeficient odhadu HR '[-'] (P1)]]*$BH29*SUMIFS(RZ[Úroveň 2 s koef. (P2)],RZ[0],AX29),RZ[[#This Row],[Koeficient odhadu HR '[-'] (P1)]]*$BH29*$IG29)</f>
        <v>0</v>
      </c>
      <c r="BS29" s="186">
        <f ca="1">IF(OFFSET(AY29,1,0,1,1)&lt;&gt;0,$BH29*SUMIFS(RZ[Úroveň 2 bez koef. (P2)],RZ[0],AX29),$BH29*$IG29)</f>
        <v>0</v>
      </c>
      <c r="BT29" s="138">
        <f ca="1">RZ[[#This Row],[Úroveň 2 s koef. (P2a)]]*RZ[[#This Row],[Počet MJHR (P0)]]</f>
        <v>0</v>
      </c>
      <c r="BU29" s="138">
        <f ca="1">RZ[[#This Row],[Úroveň 2 bez koef. (P2a)]]*RZ[[#This Row],[Počet MJHR (P0)]]</f>
        <v>0</v>
      </c>
      <c r="BV29" s="138">
        <f ca="1">IF(OFFSET(AZ29,1,0,1,1)&lt;&gt;0,RZ[[#This Row],[Koeficient odhadu HR '[-'] (P1)]]*$BI29*SUMIFS(RZ[Úroveň 3 s koef. (P2)],RZ[0],AX29,RZ[Úroveň 2 (P0)],AY29),RZ[[#This Row],[Koeficient odhadu HR '[-'] (P1)]]*$BI29*$IG29)</f>
        <v>0</v>
      </c>
      <c r="BW29" s="138">
        <f ca="1">IF(OFFSET(AZ29,1,0,1,1)&lt;&gt;0,$BI29*SUMIFS(RZ[Úroveň 3 bez koef. (P2)],RZ[0],AX29,RZ[Úroveň 2 (P0)],AY29),$BI29*$IG29)</f>
        <v>0</v>
      </c>
      <c r="BX29" s="132">
        <f ca="1">RZ[[#This Row],[Úroveň 3 s koef. (P2a)]]*RZ[[#This Row],[Počet MJHR (P0)]]</f>
        <v>0</v>
      </c>
      <c r="BY29" s="132">
        <f ca="1">RZ[Úroveň 3 bez koef. (P2a)]*RZ[[#This Row],[Počet MJHR (P0)]]</f>
        <v>0</v>
      </c>
      <c r="BZ29" s="132">
        <f ca="1">IF(OFFSET(BA29,1,0,1,1)&lt;&gt;0,RZ[[#This Row],[Koeficient odhadu HR '[-'] (P1)]]*$BJ29*SUMIFS(RZ[Úroveň 4 s koef. (P2)],RZ[0],AX29,RZ[Úroveň 2 (P0)],AY29,RZ[Úroveň 3 (P0)],AZ29),RZ[[#This Row],[Koeficient odhadu HR '[-'] (P1)]]*$BJ29*$IG29)</f>
        <v>0</v>
      </c>
      <c r="CA29" s="132">
        <f ca="1">IF(OFFSET(BA29,1,0,1,1)&lt;&gt;0,$BJ29*SUMIFS(RZ[Úroveň 4 bez koef. (P2)],RZ[0],AX29,RZ[Úroveň 2 (P0)],AY29,RZ[Úroveň 3 (P0)],AZ29),$BJ29*$IG29)</f>
        <v>0</v>
      </c>
      <c r="CB29" s="138">
        <f ca="1">RZ[[#This Row],[Úroveň 4 s koef. (P2a)]]*RZ[[#This Row],[Počet MJHR (P0)]]</f>
        <v>43.5</v>
      </c>
      <c r="CC29" s="138">
        <f ca="1">RZ[Úroveň 4 bez koef. (P2a)]*RZ[[#This Row],[Počet MJHR (P0)]]</f>
        <v>43.5</v>
      </c>
      <c r="CD29" s="138">
        <f ca="1">IF(OFFSET(BB29,1,0,1,1)&lt;&gt;0,RZ[[#This Row],[Koeficient odhadu HR '[-'] (P1)]]*$BK29*SUMIFS(RZ[Úroveň 5 s koef. (P2)],RZ[0],AX29,RZ[Úroveň 2 (P0)],AY29,RZ[Úroveň 3 (P0)],AZ29,RZ[Úroveň 4 (P0)],BA29),RZ[[#This Row],[Koeficient odhadu HR '[-'] (P1)]]*$BK29*$IG29)</f>
        <v>43.5</v>
      </c>
      <c r="CE29" s="138">
        <f ca="1">IF(OFFSET(BB29,1,0,1,1)&lt;&gt;0,$BK29*SUMIFS(RZ[Úroveň 5 bez koef. (P2)],RZ[0],AX29,RZ[Úroveň 2 (P0)],AY29,RZ[Úroveň 3 (P0)],AZ29,RZ[Úroveň 4 (P0)],BA29),$BK29*$IG29)</f>
        <v>43.5</v>
      </c>
      <c r="CF29" s="132">
        <f ca="1">RZ[[#This Row],[Úroveň 5 s koef. (P2a)]]*RZ[[#This Row],[Počet MJHR (P0)]]</f>
        <v>0</v>
      </c>
      <c r="CG29" s="132">
        <f ca="1">RZ[Úroveň 5 bez koef. (P2a)]*RZ[[#This Row],[Počet MJHR (P0)]]</f>
        <v>0</v>
      </c>
      <c r="CH29" s="132">
        <f ca="1">IF(OFFSET(BC29,1,0,1,1)&lt;&gt;0,RZ[[#This Row],[Koeficient odhadu HR '[-'] (P1)]]*$BL29*SUMIFS(RZ[Úroveň 6 s koef. (P2)],RZ[0],AX29,RZ[Úroveň 2 (P0)],AY29,RZ[Úroveň 3 (P0)],AZ29,RZ[Úroveň 4 (P0)],BA29,RZ[Úroveň 5 (P0)],BB29),RZ[[#This Row],[Koeficient odhadu HR '[-'] (P1)]]*$BL29*$IG29)</f>
        <v>0</v>
      </c>
      <c r="CI29" s="132">
        <f ca="1">IF(OFFSET(BC29,1,0,1,1)&lt;&gt;0,$BL29*SUMIFS(RZ[Úroveň 6 bez koef. (P2)],RZ[0],AX29,RZ[Úroveň 2 (P0)],AY29,RZ[Úroveň 3 (P0)],AZ29,RZ[Úroveň 4 (P0)],BA29,RZ[Úroveň 5 (P0)],BB29),$BL29*$IG29)</f>
        <v>0</v>
      </c>
      <c r="CJ29" s="138">
        <f ca="1">RZ[[#This Row],[Úroveň 6 s koef. (P2a)]]*RZ[[#This Row],[Počet MJHR (P0)]]</f>
        <v>0</v>
      </c>
      <c r="CK29" s="138">
        <f ca="1">RZ[Úroveň 6 bez koef. (P2a)]*RZ[[#This Row],[Počet MJHR (P0)]]</f>
        <v>0</v>
      </c>
      <c r="CL29" s="138">
        <f ca="1">IF(OFFSET(BD29,1,0,1,1)&lt;&gt;0,RZ[[#This Row],[Koeficient odhadu HR '[-'] (P1)]]*$BM29*SUMIFS(RZ[Úroveň 7 s koef. (P2)],RZ[0],AX29,RZ[Úroveň 2 (P0)],AY29,RZ[Úroveň 3 (P0)],AZ29,RZ[Úroveň 4 (P0)],BA29,RZ[Úroveň 5 (P0)],BB29,RZ[Úroveň 6 (P0)],BC29),RZ[[#This Row],[Koeficient odhadu HR '[-'] (P1)]]*$BM29*$IG29)</f>
        <v>0</v>
      </c>
      <c r="CM29" s="138">
        <f ca="1">IF(OFFSET(BD29,1,0,1,1)&lt;&gt;0,$BM29*SUMIFS(RZ[Úroveň 7 bez koef. (P2)],RZ[0],AX29,RZ[Úroveň 2 (P0)],AY29,RZ[Úroveň 3 (P0)],AZ29,RZ[Úroveň 4 (P0)],BA29,RZ[Úroveň 5 (P0)],BB29,RZ[Úroveň 6 (P0)],BC29),$BM29*$IG29)</f>
        <v>0</v>
      </c>
      <c r="CN29" s="132">
        <f ca="1">RZ[[#This Row],[Úroveň 7 s koef. (P2a)]]*RZ[[#This Row],[Počet MJHR (P0)]]</f>
        <v>0</v>
      </c>
      <c r="CO29" s="132">
        <f ca="1">RZ[Úroveň 7 bez koef. (P2a)]*RZ[[#This Row],[Počet MJHR (P0)]]</f>
        <v>0</v>
      </c>
      <c r="CP29" s="132">
        <f ca="1">IF(OFFSET(BE29,1,0,1,1)&lt;&gt;0,RZ[[#This Row],[Koeficient odhadu HR '[-'] (P1)]]*$BN29*SUMIFS(RZ[Úroveň 8 s koef. (P2)],RZ[0],AX29,RZ[Úroveň 2 (P0)],AY29,RZ[Úroveň 3 (P0)],AZ29,RZ[Úroveň 4 (P0)],BA29,RZ[Úroveň 5 (P0)],BB29,RZ[Úroveň 6 (P0)],BC29,RZ[Úroveň 7 (P0)],BD29),RZ[[#This Row],[Koeficient odhadu HR '[-'] (P1)]]*$BN29*$IG29)</f>
        <v>0</v>
      </c>
      <c r="CQ29" s="132">
        <f ca="1">IF(OFFSET(BE29,1,0,1,1)&lt;&gt;0,$BN29*SUMIFS(RZ[Úroveň 8 bez koef. (P2)],RZ[0],AX29,RZ[Úroveň 2 (P0)],AY29,RZ[Úroveň 3 (P0)],AZ29,RZ[Úroveň 4 (P0)],BA29,RZ[Úroveň 5 (P0)],BB29,RZ[Úroveň 6 (P0)],BC29,RZ[Úroveň 7 (P0)],BD29),$BN29*$IG29)</f>
        <v>0</v>
      </c>
      <c r="CR29" s="138">
        <f ca="1">RZ[[#This Row],[Úroveň 8 s koef. (P2a)]]*RZ[[#This Row],[Počet MJHR (P0)]]</f>
        <v>0</v>
      </c>
      <c r="CS29" s="138">
        <f ca="1">RZ[Úroveň 8 bez koef. (P2a)]*RZ[[#This Row],[Počet MJHR (P0)]]</f>
        <v>0</v>
      </c>
      <c r="CT29" s="138">
        <f ca="1">IF(OFFSET(BF29,1,0,1,1)&lt;&gt;0,RZ[[#This Row],[Koeficient odhadu HR '[-'] (P1)]]*$BO29*SUMIFS(RZ[Úroveň 9 s koef. (P2)],RZ[0],AX29,RZ[Úroveň 2 (P0)],AY29,RZ[Úroveň 3 (P0)],AZ29,RZ[Úroveň 4 (P0)],BA29,RZ[Úroveň 5 (P0)],BB29,RZ[Úroveň 6 (P0)],BC29,RZ[Úroveň 7 (P0)],BD29,RZ[Úroveň 8 (P0)],BE29),RZ[[#This Row],[Koeficient odhadu HR '[-'] (P1)]]*$BO29*$IG29)</f>
        <v>0</v>
      </c>
      <c r="CU29" s="138">
        <f ca="1">IF(OFFSET(BF29,1,0,1,1)&lt;&gt;0,$BO29*SUMIFS(RZ[Úroveň 9 bez koef. (P2)],RZ[0],AX29,RZ[Úroveň 2 (P0)],AY29,RZ[Úroveň 3 (P0)],AZ29,RZ[Úroveň 4 (P0)],BA29,RZ[Úroveň 5 (P0)],BB29,RZ[Úroveň 6 (P0)],BC29,RZ[Úroveň 7 (P0)],BD29,RZ[Úroveň 8 (P0)],BE29),$BO29*$IG29)</f>
        <v>0</v>
      </c>
      <c r="CV29" s="132">
        <f ca="1">RZ[[#This Row],[Úroveň 9 s koef. (P2a)]]*RZ[[#This Row],[Počet MJHR (P0)]]</f>
        <v>0</v>
      </c>
      <c r="CW29" s="132">
        <f ca="1">RZ[Úroveň 9 bez koef. (P2a)]*RZ[[#This Row],[Počet MJHR (P0)]]</f>
        <v>0</v>
      </c>
      <c r="CX29" s="132">
        <f ca="1">IF(OFFSET(BG29,1,0,1,1)&lt;&gt;0,RZ[[#This Row],[Koeficient odhadu HR '[-'] (P1)]]*$BP29*SUMIFS(RZ[Úroveň 10 s koef. (P2)],RZ[0],AX29,RZ[Úroveň 2 (P0)],AY29,RZ[Úroveň 3 (P0)],AZ29,RZ[Úroveň 4 (P0)],BA29,RZ[Úroveň 5 (P0)],BB29,RZ[Úroveň 6 (P0)],BC29,RZ[Úroveň 7 (P0)],BD29,RZ[Úroveň 8 (P0)],BE29,RZ[Úroveň 9 (P0)],BF29),RZ[[#This Row],[Koeficient odhadu HR '[-'] (P1)]]*$BP29*$IG29)</f>
        <v>0</v>
      </c>
      <c r="CY29" s="132">
        <f ca="1">IF(OFFSET(BG29,1,0,1,1)&lt;&gt;0,$BP29*SUMIFS(RZ[Úroveň 10 bez koef. (P2)],RZ[0],AX29,RZ[Úroveň 2 (P0)],AY29,RZ[Úroveň 3 (P0)],AZ29,RZ[Úroveň 4 (P0)],BA29,RZ[Úroveň 5 (P0)],BB29,RZ[Úroveň 6 (P0)],BC29,RZ[Úroveň 7 (P0)],BD29,RZ[Úroveň 8 (P0)],BE29,RZ[Úroveň 9 (P0)],BF29),$BP29*$IG29)</f>
        <v>0</v>
      </c>
      <c r="CZ29" s="138">
        <f>RZ[[#This Row],[Úroveň 10 s koef. (P2a)]]*RZ[[#This Row],[Počet MJHR (P0)]]</f>
        <v>0</v>
      </c>
      <c r="DA29" s="138">
        <f>RZ[Úroveň 10 bez koef. (P2a)]*RZ[[#This Row],[Počet MJHR (P0)]]</f>
        <v>0</v>
      </c>
      <c r="DB29" s="138">
        <f>RZ[[#This Row],[Koeficient odhadu HR '[-'] (P1)]]*$BQ29*IG29</f>
        <v>0</v>
      </c>
      <c r="DC29" s="231">
        <f t="shared" si="287"/>
        <v>0</v>
      </c>
      <c r="DD29" s="241">
        <f t="shared" ca="1" si="288"/>
        <v>43.5</v>
      </c>
      <c r="DE29" s="229">
        <f t="shared" ca="1" si="289"/>
        <v>43.5</v>
      </c>
      <c r="DF29" s="912">
        <f t="shared" si="290"/>
        <v>0</v>
      </c>
      <c r="DG29" s="913">
        <f t="shared" si="291"/>
        <v>0</v>
      </c>
      <c r="DH29" s="913">
        <f t="shared" si="292"/>
        <v>0</v>
      </c>
      <c r="DI29" s="913">
        <f t="shared" si="293"/>
        <v>1</v>
      </c>
      <c r="DJ29" s="913">
        <f t="shared" si="294"/>
        <v>0</v>
      </c>
      <c r="DK29" s="913">
        <f t="shared" si="295"/>
        <v>0</v>
      </c>
      <c r="DL29" s="913">
        <f t="shared" si="296"/>
        <v>0</v>
      </c>
      <c r="DM29" s="913">
        <f t="shared" si="297"/>
        <v>0</v>
      </c>
      <c r="DN29" s="913">
        <f t="shared" si="298"/>
        <v>0</v>
      </c>
      <c r="DO29" s="913">
        <f t="shared" si="299"/>
        <v>0</v>
      </c>
      <c r="DP29" s="914">
        <f ca="1">SUMIFS(RZ[Úroveň 1 (P4)],RZ[0],AX29)</f>
        <v>1</v>
      </c>
      <c r="DQ29" s="914">
        <f ca="1">SUMIFS(RZ[Úroveň 2 (P4)],RZ[0],AX29,RZ[Úroveň 2 (P0)],AY29)</f>
        <v>1</v>
      </c>
      <c r="DR29" s="914">
        <f ca="1">SUMIFS(RZ[Úroveň 3 (P4)],RZ[0],AX29,RZ[Úroveň 2 (P0)],AY29,RZ[Úroveň 3 (P0)],AZ29)</f>
        <v>2</v>
      </c>
      <c r="DS29" s="914">
        <f ca="1">SUMIFS(RZ[Úroveň 4 (P4)],RZ[0],AX29,RZ[Úroveň 2 (P0)],AY29,RZ[Úroveň 3 (P0)],AZ29,RZ[Úroveň 4 (P0)],BA29)</f>
        <v>1</v>
      </c>
      <c r="DT29" s="914">
        <f ca="1">SUMIFS(RZ[Úroveň 5 (P4)],RZ[0],AX29,RZ[Úroveň 2 (P0)],AY29,RZ[Úroveň 3 (P0)],AZ29,RZ[Úroveň 4 (P0)],BA29,RZ[Úroveň 5 (P0)],BB29)</f>
        <v>0</v>
      </c>
      <c r="DU29" s="914">
        <f ca="1">SUMIFS(RZ[Úroveň 6 (P4)],RZ[0],AX29,RZ[Úroveň 2 (P0)],AY29,RZ[Úroveň 3 (P0)],AZ29,RZ[Úroveň 4 (P0)],BA29,RZ[Úroveň 5 (P0)],BB29,RZ[Úroveň 6 (P0)],BC29)</f>
        <v>0</v>
      </c>
      <c r="DV29" s="914">
        <f ca="1">SUMIFS(RZ[Úroveň 7 (P4)],RZ[0],AX29,RZ[Úroveň 2 (P0)],AY29,RZ[Úroveň 3 (P0)],AZ29,RZ[Úroveň 4 (P0)],BA29,RZ[Úroveň 5 (P0)],BB29,RZ[Úroveň 6 (P0)],BC29,RZ[Úroveň 7 (P0)],BD29)</f>
        <v>0</v>
      </c>
      <c r="DW29" s="914">
        <f ca="1">SUMIFS(RZ[Úroveň 8 (P4)],RZ[0],AX29,RZ[Úroveň 2 (P0)],AY29,RZ[Úroveň 3 (P0)],AZ29,RZ[Úroveň 4 (P0)],BA29,RZ[Úroveň 5 (P0)],BB29,RZ[Úroveň 6 (P0)],BC29,RZ[Úroveň 7 (P0)],BD29,RZ[Úroveň 8 (P0)],BE29)</f>
        <v>0</v>
      </c>
      <c r="DX29" s="914">
        <f ca="1">SUMIFS(RZ[Úroveň 9 (P4)],RZ[0],AX29,RZ[Úroveň 2 (P0)],AY29,RZ[Úroveň 3 (P0)],AZ29,RZ[Úroveň 4 (P0)],BA29,RZ[Úroveň 5 (P0)],BB29,RZ[Úroveň 6 (P0)],BC29,RZ[Úroveň 7 (P0)],BD29,RZ[Úroveň 8 (P0)],BE29,RZ[Úroveň 9 (P0)],BF29)</f>
        <v>0</v>
      </c>
      <c r="DY29" s="914">
        <f ca="1">SUMIFS(RZ[Úroveň 10 (P4)],RZ[0],AX29,RZ[Úroveň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DZ29" s="915">
        <f t="shared" ca="1" si="300"/>
        <v>2</v>
      </c>
      <c r="EA29" s="916">
        <f ca="1">RZ[[#This Row],[Jednotková hmotnost bez koef. '[kg/MJHR'] (P0)]]*RZ[[#This Row],[Počet MJHR v rozpadu (P0)]]</f>
        <v>87</v>
      </c>
      <c r="EB29" s="917">
        <f ca="1">IF(OFFSET(AY29,1,0,1,1)&lt;&gt;0,RZ[[#This Row],[Koeficient odhadu CR '[-'] (P1)]]*$BH29*SUMIFS(RZ[Úroveň 2 s koef. (P3)],RZ[0],AX29),RZ[[#This Row],[Koeficient odhadu CR '[-'] (P1)]]*$BH29*$IQ29)</f>
        <v>0</v>
      </c>
      <c r="EC29" s="191">
        <f ca="1">IF(OFFSET(AY29,1,0,1,1)&lt;&gt;0,$BH29*SUMIFS(RZ[Úroveň 2 bez koef. (P3)],RZ[0],AX29),$BH29*$IQ29)</f>
        <v>0</v>
      </c>
      <c r="ED29" s="140">
        <f ca="1">RZ[[#This Row],[Úroveň 2 s koef. (P3a)]]*RZ[[#This Row],[Počet MJCR (P0) pro "kg"]]</f>
        <v>0</v>
      </c>
      <c r="EE29" s="140">
        <f ca="1">RZ[Úroveň 2 bez koef. (P3a)]*RZ[[#This Row],[Počet MJCR (P0) pro "kg"]]</f>
        <v>0</v>
      </c>
      <c r="EF29" s="140">
        <f ca="1">IF(OFFSET(AZ29,1,0,1,1)&lt;&gt;0,RZ[[#This Row],[Koeficient odhadu CR '[-'] (P1)]]*$BI29*SUMIFS(RZ[Úroveň 3 s koef. (P3)],RZ[0],AX29,RZ[Úroveň 2 (P0)],AY29),RZ[[#This Row],[Koeficient odhadu CR '[-'] (P1)]]*$BI29*$IQ29)</f>
        <v>0</v>
      </c>
      <c r="EG29" s="140">
        <f ca="1">IF(OFFSET(AZ29,1,0,1,1)&lt;&gt;0,$BI29*SUMIFS(RZ[Úroveň 3 bez koef. (P3)],RZ[0],AX29,RZ[Úroveň 2 (P0)],AY29),$BI29*$IQ29)</f>
        <v>0</v>
      </c>
      <c r="EH29" s="135">
        <f ca="1">RZ[[#This Row],[Úroveň 3 s koef. (P3a)]]*RZ[[#This Row],[Počet MJCR (P0) pro "kg"]]</f>
        <v>0</v>
      </c>
      <c r="EI29" s="135">
        <f ca="1">RZ[Úroveň 3 bez koef. (P3a)]*RZ[[#This Row],[Počet MJCR (P0) pro "kg"]]</f>
        <v>0</v>
      </c>
      <c r="EJ29" s="135">
        <f ca="1">IF(OFFSET(BA29,1,0,1,1)&lt;&gt;0,RZ[[#This Row],[Koeficient odhadu CR '[-'] (P1)]]*$BJ29*SUMIFS(RZ[Úroveň 4 s koef. (P3)],RZ[0],AX29,RZ[Úroveň 2 (P0)],AY29,RZ[Úroveň 3 (P0)],AZ29),RZ[[#This Row],[Koeficient odhadu CR '[-'] (P1)]]*$BJ29*$IQ29)</f>
        <v>0</v>
      </c>
      <c r="EK29" s="135">
        <f ca="1">IF(OFFSET(BA29,1,0,1,1)&lt;&gt;0,$BJ29*SUMIFS(RZ[Úroveň 4 bez koef. (P3)],RZ[0],AX29,RZ[Úroveň 2 (P0)],AY29,RZ[Úroveň 3 (P0)],AZ29),$BJ29*$IQ29)</f>
        <v>0</v>
      </c>
      <c r="EL29" s="140">
        <f ca="1">RZ[[#This Row],[Úroveň 4 s koef. (P3a)]]*RZ[[#This Row],[Počet MJCR (P0) pro "kg"]]</f>
        <v>30000</v>
      </c>
      <c r="EM29" s="140">
        <f ca="1">RZ[Úroveň 4 bez koef. (P3a)]*RZ[[#This Row],[Počet MJCR (P0) pro "kg"]]</f>
        <v>30000</v>
      </c>
      <c r="EN29" s="140">
        <f ca="1">IF(OFFSET(BB29,1,0,1,1)&lt;&gt;0,RZ[[#This Row],[Koeficient odhadu CR '[-'] (P1)]]*$BK29*SUMIFS(RZ[Úroveň 5 s koef. (P3)],RZ[0],AX29,RZ[Úroveň 2 (P0)],AY29,RZ[Úroveň 3 (P0)],AZ29,RZ[Úroveň 4 (P0)],BA29),RZ[[#This Row],[Koeficient odhadu CR '[-'] (P1)]]*$BK29*$IQ29)</f>
        <v>30000</v>
      </c>
      <c r="EO29" s="140">
        <f ca="1">IF(OFFSET(BB29,1,0,1,1)&lt;&gt;0,$BK29*SUMIFS(RZ[Úroveň 5 bez koef. (P3)],RZ[0],AX29,RZ[Úroveň 2 (P0)],AY29,RZ[Úroveň 3 (P0)],AZ29,RZ[Úroveň 4 (P0)],BA29),$BK29*$IQ29)</f>
        <v>30000</v>
      </c>
      <c r="EP29" s="135">
        <f ca="1">RZ[[#This Row],[Úroveň 5 s koef. (P3a)]]*RZ[[#This Row],[Počet MJCR (P0) pro "kg"]]</f>
        <v>0</v>
      </c>
      <c r="EQ29" s="135">
        <f ca="1">RZ[Úroveň 5 bez koef. (P3a)]*RZ[[#This Row],[Počet MJCR (P0) pro "kg"]]</f>
        <v>0</v>
      </c>
      <c r="ER29" s="135">
        <f ca="1">IF(OFFSET(BC29,1,0,1,1)&lt;&gt;0,RZ[[#This Row],[Koeficient odhadu CR '[-'] (P1)]]*$BL29*SUMIFS(RZ[Úroveň 6 s koef. (P3)],RZ[0],AX29,RZ[Úroveň 2 (P0)],AY29,RZ[Úroveň 3 (P0)],AZ29,RZ[Úroveň 4 (P0)],BA29,RZ[Úroveň 5 (P0)],BB29),RZ[[#This Row],[Koeficient odhadu CR '[-'] (P1)]]*$BL29*$IQ29)</f>
        <v>0</v>
      </c>
      <c r="ES29" s="135">
        <f ca="1">IF(OFFSET(BC29,1,0,1,1)&lt;&gt;0,$BL29*SUMIFS(RZ[Úroveň 6 bez koef. (P3)],RZ[0],AX29,RZ[Úroveň 2 (P0)],AY29,RZ[Úroveň 3 (P0)],AZ29,RZ[Úroveň 4 (P0)],BA29,RZ[Úroveň 5 (P0)],BB29),$BL29*$IQ29)</f>
        <v>0</v>
      </c>
      <c r="ET29" s="140">
        <f ca="1">RZ[[#This Row],[Úroveň 6 s koef. (P3a)]]*RZ[[#This Row],[Počet MJCR (P0) pro "kg"]]</f>
        <v>0</v>
      </c>
      <c r="EU29" s="140">
        <f ca="1">RZ[Úroveň 6 bez koef. (P3a)]*RZ[[#This Row],[Počet MJCR (P0) pro "kg"]]</f>
        <v>0</v>
      </c>
      <c r="EV29" s="140">
        <f ca="1">IF(OFFSET(BD29,1,0,1,1)&lt;&gt;0,RZ[[#This Row],[Koeficient odhadu CR '[-'] (P1)]]*$BM29*SUMIFS(RZ[Úroveň 7 s koef. (P3)],RZ[0],AX29,RZ[Úroveň 2 (P0)],AY29,RZ[Úroveň 3 (P0)],AZ29,RZ[Úroveň 4 (P0)],BA29,RZ[Úroveň 5 (P0)],BB29,RZ[Úroveň 6 (P0)],BC29),RZ[[#This Row],[Koeficient odhadu CR '[-'] (P1)]]*$BM29*$IQ29)</f>
        <v>0</v>
      </c>
      <c r="EW29" s="140">
        <f ca="1">IF(OFFSET(BD29,1,0,1,1)&lt;&gt;0,$BM29*SUMIFS(RZ[Úroveň 7 bez koef. (P3)],RZ[0],AX29,RZ[Úroveň 2 (P0)],AY29,RZ[Úroveň 3 (P0)],AZ29,RZ[Úroveň 4 (P0)],BA29,RZ[Úroveň 5 (P0)],BB29,RZ[Úroveň 6 (P0)],BC29),$BM29*$IQ29)</f>
        <v>0</v>
      </c>
      <c r="EX29" s="135">
        <f ca="1">RZ[[#This Row],[Úroveň 7 s koef. (P3a)]]*RZ[[#This Row],[Počet MJCR (P0) pro "kg"]]</f>
        <v>0</v>
      </c>
      <c r="EY29" s="135">
        <f ca="1">RZ[Úroveň 7 bez koef. (P3a)]*RZ[[#This Row],[Počet MJCR (P0) pro "kg"]]</f>
        <v>0</v>
      </c>
      <c r="EZ29" s="135">
        <f ca="1">IF(OFFSET(BE29,1,0,1,1)&lt;&gt;0,RZ[[#This Row],[Koeficient odhadu CR '[-'] (P1)]]*$BN29*SUMIFS(RZ[Úroveň 8 s koef. (P3)],RZ[0],AX29,RZ[Úroveň 2 (P0)],AY29,RZ[Úroveň 3 (P0)],AZ29,RZ[Úroveň 4 (P0)],BA29,RZ[Úroveň 5 (P0)],BB29,RZ[Úroveň 6 (P0)],BC29,RZ[Úroveň 7 (P0)],BD29),RZ[[#This Row],[Koeficient odhadu CR '[-'] (P1)]]*$BN29*$IQ29)</f>
        <v>0</v>
      </c>
      <c r="FA29" s="135">
        <f ca="1">IF(OFFSET(BE29,1,0,1,1)&lt;&gt;0,$BN29*SUMIFS(RZ[Úroveň 8 bez koef. (P3)],RZ[0],AX29,RZ[Úroveň 2 (P0)],AY29,RZ[Úroveň 3 (P0)],AZ29,RZ[Úroveň 4 (P0)],BA29,RZ[Úroveň 5 (P0)],BB29,RZ[Úroveň 6 (P0)],BC29,RZ[Úroveň 7 (P0)],BD29),$BN29*$IQ29)</f>
        <v>0</v>
      </c>
      <c r="FB29" s="140">
        <f ca="1">RZ[[#This Row],[Úroveň 8 s koef. (P3a)]]*RZ[[#This Row],[Počet MJCR (P0) pro "kg"]]</f>
        <v>0</v>
      </c>
      <c r="FC29" s="140">
        <f ca="1">RZ[Úroveň 8 bez koef. (P3a)]*RZ[[#This Row],[Počet MJCR (P0) pro "kg"]]</f>
        <v>0</v>
      </c>
      <c r="FD29" s="140">
        <f ca="1">IF(OFFSET(BF29,1,0,1,1)&lt;&gt;0,RZ[[#This Row],[Koeficient odhadu CR '[-'] (P1)]]*$BO29*SUMIFS(RZ[Úroveň 9 s koef. (P3)],RZ[0],AX29,RZ[Úroveň 2 (P0)],AY29,RZ[Úroveň 3 (P0)],AZ29,RZ[Úroveň 4 (P0)],BA29,RZ[Úroveň 5 (P0)],BB29,RZ[Úroveň 6 (P0)],BC29,RZ[Úroveň 7 (P0)],BD29,RZ[Úroveň 8 (P0)],BE29),RZ[[#This Row],[Koeficient odhadu CR '[-'] (P1)]]*$BO29*$IQ29)</f>
        <v>0</v>
      </c>
      <c r="FE29" s="140">
        <f ca="1">IF(OFFSET(BF29,1,0,1,1)&lt;&gt;0,$BO29*SUMIFS(RZ[Úroveň 9 bez koef. (P3)],RZ[0],AX29,RZ[Úroveň 2 (P0)],AY29,RZ[Úroveň 3 (P0)],AZ29,RZ[Úroveň 4 (P0)],BA29,RZ[Úroveň 5 (P0)],BB29,RZ[Úroveň 6 (P0)],BC29,RZ[Úroveň 7 (P0)],BD29,RZ[Úroveň 8 (P0)],BE29),$BO29*$IQ29)</f>
        <v>0</v>
      </c>
      <c r="FF29" s="135">
        <f ca="1">RZ[[#This Row],[Úroveň 9 s koef. (P3a)]]*RZ[[#This Row],[Počet MJCR (P0) pro "kg"]]</f>
        <v>0</v>
      </c>
      <c r="FG29" s="135">
        <f ca="1">RZ[Úroveň 9 bez koef. (P3a)]*RZ[[#This Row],[Počet MJCR (P0) pro "kg"]]</f>
        <v>0</v>
      </c>
      <c r="FH29" s="135">
        <f ca="1">IF(OFFSET(BG29,1,0,1,1)&lt;&gt;0,RZ[[#This Row],[Koeficient odhadu CR '[-'] (P1)]]*$BP29*SUMIFS(RZ[Úroveň 10 s koef. (P3)],RZ[0],AX29,RZ[Úroveň 2 (P0)],AY29,RZ[Úroveň 3 (P0)],AZ29,RZ[Úroveň 4 (P0)],BA29,RZ[Úroveň 5 (P0)],BB29,RZ[Úroveň 6 (P0)],BC29,RZ[Úroveň 7 (P0)],BD29,RZ[Úroveň 8 (P0)],BE29,RZ[Úroveň 9 (P0)],BF29),RZ[[#This Row],[Koeficient odhadu CR '[-'] (P1)]]*$BP29*$IQ29)</f>
        <v>0</v>
      </c>
      <c r="FI29" s="135">
        <f ca="1">IF(OFFSET(BG29,1,0,1,1)&lt;&gt;0,$BP29*SUMIFS(RZ[Úroveň 10 bez koef. (P3)],RZ[0],AX29,RZ[Úroveň 2 (P0)],AY29,RZ[Úroveň 3 (P0)],AZ29,RZ[Úroveň 4 (P0)],BA29,RZ[Úroveň 5 (P0)],BB29,RZ[Úroveň 6 (P0)],BC29,RZ[Úroveň 7 (P0)],BD29,RZ[Úroveň 8 (P0)],BE29,RZ[Úroveň 9 (P0)],BF29),$BP29*$IQ29)</f>
        <v>0</v>
      </c>
      <c r="FJ29" s="140">
        <f ca="1">RZ[[#This Row],[Úroveň 10 s koef. (P3a)]]*RZ[[#This Row],[Počet MJCR (P0) pro "kg"]]</f>
        <v>0</v>
      </c>
      <c r="FK29" s="140">
        <f ca="1">RZ[Úroveň 10 bez koef. (P3a)]*RZ[[#This Row],[Počet MJCR (P0) pro "kg"]]</f>
        <v>0</v>
      </c>
      <c r="FL29" s="140">
        <f ca="1">RZ[[#This Row],[Koeficient odhadu CR '[-'] (P1)]]*$BQ29*IQ29</f>
        <v>0</v>
      </c>
      <c r="FM29" s="236">
        <f t="shared" ca="1" si="301"/>
        <v>0</v>
      </c>
      <c r="FN29" s="194">
        <f t="shared" ca="1" si="302"/>
        <v>30000</v>
      </c>
      <c r="FO29" s="238">
        <f t="shared" ca="1" si="303"/>
        <v>30000</v>
      </c>
      <c r="FP29" s="135">
        <f t="shared" ca="1" si="304"/>
        <v>0</v>
      </c>
      <c r="FQ29" s="135">
        <f t="shared" ca="1" si="305"/>
        <v>0</v>
      </c>
      <c r="FR29" s="135">
        <f t="shared" ca="1" si="306"/>
        <v>0</v>
      </c>
      <c r="FS29" s="135">
        <f t="shared" ca="1" si="307"/>
        <v>1</v>
      </c>
      <c r="FT29" s="135">
        <f t="shared" ca="1" si="308"/>
        <v>0</v>
      </c>
      <c r="FU29" s="135">
        <f t="shared" ca="1" si="309"/>
        <v>0</v>
      </c>
      <c r="FV29" s="135">
        <f t="shared" ca="1" si="310"/>
        <v>0</v>
      </c>
      <c r="FW29" s="135">
        <f t="shared" ca="1" si="311"/>
        <v>0</v>
      </c>
      <c r="FX29" s="135">
        <f t="shared" ca="1" si="312"/>
        <v>0</v>
      </c>
      <c r="FY29" s="135">
        <f t="shared" ca="1" si="313"/>
        <v>0</v>
      </c>
      <c r="FZ29" s="140">
        <f ca="1">SUMIFS(RZ[Úroveň 1 (P6)],RZ[0],AX29)</f>
        <v>1</v>
      </c>
      <c r="GA29" s="140">
        <f ca="1">SUMIFS(RZ[Úroveň 2 (P6)],RZ[0],AX29,RZ[Úroveň 2 (P0)],AY29)</f>
        <v>1</v>
      </c>
      <c r="GB29" s="140">
        <f ca="1">SUMIFS(RZ[Úroveň 3 (P6)],RZ[0],AX29,RZ[Úroveň 2 (P0)],AY29,RZ[Úroveň 3 (P0)],AZ29)</f>
        <v>2</v>
      </c>
      <c r="GC29" s="140">
        <f ca="1">SUMIFS(RZ[Úroveň 4 (P6)],RZ[0],AX29,RZ[Úroveň 2 (P0)],AY29,RZ[Úroveň 3 (P0)],AZ29,RZ[Úroveň 4 (P0)],BA29)</f>
        <v>1</v>
      </c>
      <c r="GD29" s="140">
        <f ca="1">SUMIFS(RZ[Úroveň 5 (P6)],RZ[0],AX29,RZ[Úroveň 2 (P0)],AY29,RZ[Úroveň 3 (P0)],AZ29,RZ[Úroveň 4 (P0)],BA29,RZ[Úroveň 5 (P0)],BB29)</f>
        <v>0</v>
      </c>
      <c r="GE29" s="140">
        <f ca="1">SUMIFS(RZ[Úroveň 6 (P6)],RZ[0],AX29,RZ[Úroveň 2 (P0)],AY29,RZ[Úroveň 3 (P0)],AZ29,RZ[Úroveň 4 (P0)],BA29,RZ[Úroveň 5 (P0)],BB29,RZ[Úroveň 6 (P0)],BC29)</f>
        <v>0</v>
      </c>
      <c r="GF29" s="140">
        <f ca="1">SUMIFS(RZ[Úroveň 7 (P6)],RZ[0],AX29,RZ[Úroveň 2 (P0)],AY29,RZ[Úroveň 3 (P0)],AZ29,RZ[Úroveň 4 (P0)],BA29,RZ[Úroveň 5 (P0)],BB29,RZ[Úroveň 6 (P0)],BC29,RZ[Úroveň 7 (P0)],BD29)</f>
        <v>0</v>
      </c>
      <c r="GG29" s="140">
        <f ca="1">SUMIFS(RZ[Úroveň 8 (P6)],RZ[0],AX29,RZ[Úroveň 2 (P0)],AY29,RZ[Úroveň 3 (P0)],AZ29,RZ[Úroveň 4 (P0)],BA29,RZ[Úroveň 5 (P0)],BB29,RZ[Úroveň 6 (P0)],BC29,RZ[Úroveň 7 (P0)],BD29,RZ[Úroveň 8 (P0)],BE29)</f>
        <v>0</v>
      </c>
      <c r="GH29" s="140">
        <f ca="1">SUMIFS(RZ[Úroveň 9 (P6)],RZ[0],AX29,RZ[Úroveň 2 (P0)],AY29,RZ[Úroveň 3 (P0)],AZ29,RZ[Úroveň 4 (P0)],BA29,RZ[Úroveň 5 (P0)],BB29,RZ[Úroveň 6 (P0)],BC29,RZ[Úroveň 7 (P0)],BD29,RZ[Úroveň 8 (P0)],BE29,RZ[Úroveň 9 (P0)],BF29)</f>
        <v>0</v>
      </c>
      <c r="GI29" s="140">
        <f ca="1">SUMIFS(RZ[Úroveň 10 (P6)],RZ[0],AX29,RZ[Úroveň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GJ29" s="918">
        <f t="shared" ca="1" si="314"/>
        <v>2</v>
      </c>
      <c r="GK29" s="808">
        <f t="shared" si="315"/>
        <v>0</v>
      </c>
      <c r="GL29" s="808">
        <f t="shared" si="316"/>
        <v>0</v>
      </c>
      <c r="GM29" s="808">
        <f t="shared" si="317"/>
        <v>0</v>
      </c>
      <c r="GN29" s="808">
        <f t="shared" si="318"/>
        <v>1</v>
      </c>
      <c r="GO29" s="808">
        <f t="shared" si="319"/>
        <v>0</v>
      </c>
      <c r="GP29" s="808">
        <f t="shared" si="320"/>
        <v>0</v>
      </c>
      <c r="GQ29" s="808">
        <f t="shared" si="321"/>
        <v>0</v>
      </c>
      <c r="GR29" s="808">
        <f t="shared" si="322"/>
        <v>0</v>
      </c>
      <c r="GS29" s="808">
        <f t="shared" si="323"/>
        <v>0</v>
      </c>
      <c r="GT29" s="808">
        <f t="shared" si="324"/>
        <v>0</v>
      </c>
      <c r="GU29" s="809">
        <f ca="1">SUMIFS(RZ[Sloupec1],RZ[0],AX29)</f>
        <v>1</v>
      </c>
      <c r="GV29" s="809">
        <f ca="1">SUMIFS(RZ[Sloupec2],RZ[0],AX29,RZ[Úroveň 2 (P0)],AY29)</f>
        <v>1</v>
      </c>
      <c r="GW29" s="809">
        <f ca="1">SUMIFS(RZ[Sloupec3],RZ[0],AX29,RZ[Úroveň 2 (P0)],AY29,RZ[Úroveň 3 (P0)],AZ29)</f>
        <v>1</v>
      </c>
      <c r="GX29" s="809">
        <f ca="1">SUMIFS(RZ[Sloupec4],RZ[0],AX29,RZ[Úroveň 2 (P0)],AY29,RZ[Úroveň 3 (P0)],AZ29,RZ[Úroveň 4 (P0)],BA29)</f>
        <v>1</v>
      </c>
      <c r="GY29" s="809">
        <f ca="1">SUMIFS(RZ[Sloupec5],RZ[0],AX29,RZ[Úroveň 2 (P0)],AY29,RZ[Úroveň 3 (P0)],AZ29,RZ[Úroveň 4 (P0)],BA29,RZ[Úroveň 5 (P0)],BB29)</f>
        <v>0</v>
      </c>
      <c r="GZ29" s="809">
        <f ca="1">SUMIFS(RZ[Sloupec6],RZ[0],AX29,RZ[Úroveň 2 (P0)],AY29,RZ[Úroveň 3 (P0)],AZ29,RZ[Úroveň 4 (P0)],BA29,RZ[Úroveň 5 (P0)],BB29,RZ[Úroveň 6 (P0)],BC29)</f>
        <v>0</v>
      </c>
      <c r="HA29" s="809">
        <f ca="1">SUMIFS(RZ[Sloupec62],RZ[0],AX29,RZ[Úroveň 2 (P0)],AY29,RZ[Úroveň 3 (P0)],AZ29,RZ[Úroveň 4 (P0)],BA29,RZ[Úroveň 5 (P0)],BB29,RZ[Úroveň 6 (P0)],BC29,RZ[Úroveň 7 (P0)],BD29)</f>
        <v>0</v>
      </c>
      <c r="HB29" s="809">
        <f ca="1">SUMIFS(RZ[Sloupec63],RZ[0],AX29,RZ[Úroveň 2 (P0)],AY29,RZ[Úroveň 3 (P0)],AZ29,RZ[Úroveň 4 (P0)],BA29,RZ[Úroveň 5 (P0)],BB29,RZ[Úroveň 6 (P0)],BC29,RZ[Úroveň 7 (P0)],BD29,RZ[Úroveň 8 (P0)],BE29)</f>
        <v>0</v>
      </c>
      <c r="HC29" s="809">
        <f ca="1">SUMIFS(RZ[Sloupec64],RZ[0],AX29,RZ[Úroveň 2 (P0)],AY29,RZ[Úroveň 3 (P0)],AZ29,RZ[Úroveň 4 (P0)],BA29,RZ[Úroveň 5 (P0)],BB29,RZ[Úroveň 6 (P0)],BC29,RZ[Úroveň 7 (P0)],BD29,RZ[Úroveň 8 (P0)],BE29,RZ[Úroveň 9 (P0)],BF29)</f>
        <v>0</v>
      </c>
      <c r="HD29" s="809">
        <f ca="1">SUMIFS(RZ[Sloupec65],RZ[0],AX29,RZ[Úroveň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HE29" s="919">
        <f t="shared" ca="1" si="325"/>
        <v>1</v>
      </c>
      <c r="HF29" s="920" t="str">
        <f t="shared" si="326"/>
        <v/>
      </c>
      <c r="HG29" s="94" t="str">
        <f t="shared" si="327"/>
        <v/>
      </c>
      <c r="HH29" s="95" t="str">
        <f t="shared" si="328"/>
        <v/>
      </c>
      <c r="HI29" s="95" t="str">
        <f t="shared" si="329"/>
        <v/>
      </c>
      <c r="HJ29" s="96" t="str">
        <f t="shared" si="330"/>
        <v>Ložisko 22240 K</v>
      </c>
      <c r="HK29" s="96" t="str">
        <f t="shared" si="331"/>
        <v/>
      </c>
      <c r="HL29" s="96" t="str">
        <f t="shared" si="332"/>
        <v/>
      </c>
      <c r="HM29" s="96" t="str">
        <f t="shared" si="333"/>
        <v/>
      </c>
      <c r="HN29" s="96" t="str">
        <f t="shared" si="334"/>
        <v/>
      </c>
      <c r="HO29" s="96" t="str">
        <f t="shared" si="335"/>
        <v/>
      </c>
      <c r="HP29" s="96" t="str">
        <f t="shared" si="336"/>
        <v/>
      </c>
      <c r="HQ29" s="145" t="str">
        <f t="shared" si="337"/>
        <v>STLO</v>
      </c>
      <c r="HR29" s="921" t="str">
        <f t="shared" si="338"/>
        <v/>
      </c>
      <c r="HS29" s="173">
        <f t="shared" si="339"/>
        <v>0</v>
      </c>
      <c r="HT29" s="100">
        <f t="shared" si="340"/>
        <v>0</v>
      </c>
      <c r="HU29" s="100">
        <f t="shared" si="341"/>
        <v>0</v>
      </c>
      <c r="HV29" s="908" t="str">
        <f t="shared" si="342"/>
        <v>Zajíc</v>
      </c>
      <c r="HW29" s="922">
        <f t="shared" si="343"/>
        <v>42950.625104166669</v>
      </c>
      <c r="HX29" s="224">
        <f t="shared" si="344"/>
        <v>0</v>
      </c>
      <c r="HY29" s="263" t="str">
        <f t="shared" si="345"/>
        <v>S</v>
      </c>
      <c r="HZ29" s="263" t="str">
        <f t="shared" si="346"/>
        <v>N</v>
      </c>
      <c r="IA29" s="150">
        <f t="shared" si="347"/>
        <v>1</v>
      </c>
      <c r="IB29" s="319">
        <f t="shared" si="348"/>
        <v>30000</v>
      </c>
      <c r="IC29" s="923">
        <f t="shared" si="349"/>
        <v>1</v>
      </c>
      <c r="ID29" s="924" t="str">
        <f t="shared" ca="1" si="350"/>
        <v>OK</v>
      </c>
      <c r="IE29" s="201" t="str">
        <f t="shared" si="351"/>
        <v>ks</v>
      </c>
      <c r="IF29" s="145">
        <f t="shared" si="352"/>
        <v>1</v>
      </c>
      <c r="IG29" s="216">
        <f t="shared" si="353"/>
        <v>43.5</v>
      </c>
      <c r="IH29" s="217">
        <f t="shared" si="354"/>
        <v>1</v>
      </c>
      <c r="II29" s="224" t="str">
        <f ca="1">IF(RZ[[#This Row],[Rozhodný sloupec indikativní ceny]]=1,"kg",IF($IW29=$JL$15,IF(JX29=0,JO29,JX29),IF($IW29=$KE$15,IF(KQ29=0,KH29,KQ29),IF($IW29=$KX$15,IF(LJ29=0,LA29,LJ29),IF($IW29=$LQ$15,IF(MC29=0,LT29,MC29),IF($IW29=$MJ$15,IF(NQ29=0,NH29,NQ29),0))))))</f>
        <v>ks</v>
      </c>
      <c r="IJ29" s="224">
        <f ca="1">IF((BH29+OFFSET(BH29,1,1,1,1))=2,RZ[[#This Row],[Počet MJHR (P0)]],IF((BI29+OFFSET(BI29,1,1,1,1))=2,RZ[[#This Row],[Počet MJHR (P0)]],IF((BJ29+OFFSET(BJ29,1,1,1,1))=2,RZ[[#This Row],[Počet MJHR (P0)]],IF((BK29+OFFSET(BK29,1,1,1,1))=2,RZ[[#This Row],[Počet MJHR (P0)]],IF((BL29+OFFSET(BL29,1,1,1,1))=2,RZ[[#This Row],[Počet MJHR (P0)]],IF((BM29+OFFSET(BM29,1,1,1,1))=2,RZ[[#This Row],[Počet MJHR (P0)]],IF((BN29+OFFSET(BN29,1,1,1,1))=2,RZ[[#This Row],[Počet MJHR (P0)]],IF((BO29+OFFSET(BO29,1,1,1,1))=2,RZ[[#This Row],[Počet MJHR (P0)]],IF((BP29+OFFSET(BP29,1,1,1,1))=2,RZ[[#This Row],[Počet MJHR (P0)]],IF((BQ29+OFFSET(BQ29,1,1,1,1))=2,RZ[[#This Row],[Počet MJHR (P0)]],IF(RZ[[#This Row],[Měrná jednotka CR (MJCR) (P0)]]=RZ[[#This Row],[Měrná jednotka HR '[MJHR'] (P0)]],RZ[[#This Row],[Počet MJHR (P0)]],IF($IW29=$JL$15,JY29,IF($IW29=$KE$15,KR29,IF($IW29=$KX$15,LK29,IF($IW29=$LQ$15,MD29,IF($IW29=$MJ$15,NR29,0))))))))))))))))</f>
        <v>1</v>
      </c>
      <c r="IK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9" s="145">
        <f ca="1">IF(AND(RZ[[#This Row],[Jednotková cena bez DPH '[cena/MJCR'] (P0)]]=0,RZ[[#This Row],[Indikativní jednotková cena '[CZK/kg'] (P1)]]&lt;&gt;0),1,0)</f>
        <v>0</v>
      </c>
      <c r="IM29" s="217">
        <f ca="1">VLOOKUP(RZ[[#This Row],[Kód položek]],INDIKAT_CENA,2,FALSE)</f>
        <v>0</v>
      </c>
      <c r="IN29" s="222">
        <f ca="1">IF(RZ[[#This Row],[Rozhodný sloupec indikativní ceny]]=1,RZ[[#This Row],[Indikativní jednotková cena '[CZK/kg'] (P1)]],RZ[[#This Row],[Jednotková cena bez DPH '[cena/MJCR'] (P0)]])</f>
        <v>30000</v>
      </c>
      <c r="IO29" s="222">
        <f t="shared" si="355"/>
        <v>1</v>
      </c>
      <c r="IP29" s="224">
        <f ca="1">IF(RZ[[#This Row],[Rozhodný sloupec indikativní ceny]]=1,1,IF($IW29=$JL$15,KA29,IF($IW29=$KE$15,KT29,IF($IW29=$KX$15,LM29,IF($IW29=$LQ$15,MF29,IF($IW29=$MJ$15,NT29,0))))))</f>
        <v>1</v>
      </c>
      <c r="IQ29" s="225">
        <f ca="1">IF(RZ[[#This Row],[Jednotková cena bez DPH '[cena/MJCR'] (P1)]]="",0,IF(IP29=0,0,(RZ[[#This Row],[Jednotková cena bez DPH '[cena/MJCR'] (P1)]]*VLOOKUP(IP29,$BR$7:$BT$10,3))))</f>
        <v>30000</v>
      </c>
      <c r="IR29" s="737"/>
      <c r="IS29" s="627">
        <f>IF(HY29=0,"",VLOOKUP(RZ[[#This Row],[Stav Projekce (P0)]],Vstupy!$E$11:'Vstupy'!$E$11:$H$17,4,FALSE))</f>
        <v>100</v>
      </c>
      <c r="IT29" s="925" t="str">
        <f>IF(RZ[[#This Row],[Stav Projekce (P0)]]=0,"",RZ[[#This Row],[Stav Projekce (P0)]])</f>
        <v>S</v>
      </c>
      <c r="IU29" s="925" t="str">
        <f>IF(RZ[[#This Row],[Stav Nákup (P0)]]=0,"",RZ[[#This Row],[Stav Nákup (P0)]])</f>
        <v>N</v>
      </c>
      <c r="IV29" s="926" t="str">
        <f t="shared" si="356"/>
        <v>Zajíc</v>
      </c>
      <c r="IW29" s="641">
        <v>1</v>
      </c>
      <c r="IX29" s="630"/>
      <c r="IY29" s="264"/>
      <c r="IZ29" s="648"/>
      <c r="JA29" s="100"/>
      <c r="JB29" s="100"/>
      <c r="JC29" s="100" t="s">
        <v>837</v>
      </c>
      <c r="JD29" s="100"/>
      <c r="JE29" s="100"/>
      <c r="JF29" s="100"/>
      <c r="JG29" s="100"/>
      <c r="JH29" s="100"/>
      <c r="JI29" s="100"/>
      <c r="JJ29" s="145" t="s">
        <v>797</v>
      </c>
      <c r="JK29" s="529"/>
      <c r="JL29" s="286"/>
      <c r="JM29" s="100"/>
      <c r="JN29" s="100"/>
      <c r="JO29" s="145" t="s">
        <v>35</v>
      </c>
      <c r="JP29" s="117">
        <v>1</v>
      </c>
      <c r="JQ29" s="117">
        <v>43.5</v>
      </c>
      <c r="JR29" s="148">
        <v>1</v>
      </c>
      <c r="JS29" s="145" t="s">
        <v>602</v>
      </c>
      <c r="JT29" s="631"/>
      <c r="JU29" s="148" t="s">
        <v>853</v>
      </c>
      <c r="JV29" s="154">
        <v>42950.625104166669</v>
      </c>
      <c r="JW29" s="145"/>
      <c r="JX29" s="210" t="s">
        <v>35</v>
      </c>
      <c r="JY29" s="117"/>
      <c r="JZ29" s="662">
        <v>30000</v>
      </c>
      <c r="KA29" s="145">
        <v>1</v>
      </c>
      <c r="KB29" s="148">
        <v>1</v>
      </c>
      <c r="KC29" s="148" t="s">
        <v>611</v>
      </c>
      <c r="KD29" s="644"/>
      <c r="KE29" s="286"/>
      <c r="KF29" s="100"/>
      <c r="KG29" s="100"/>
      <c r="KH29" s="210"/>
      <c r="KI29" s="117"/>
      <c r="KJ29" s="117"/>
      <c r="KK29" s="148"/>
      <c r="KL29" s="145"/>
      <c r="KM29" s="632"/>
      <c r="KN29" s="148"/>
      <c r="KO29" s="154"/>
      <c r="KP29" s="154"/>
      <c r="KQ29" s="210"/>
      <c r="KR29" s="117"/>
      <c r="KS29" s="211"/>
      <c r="KT29" s="145"/>
      <c r="KU29" s="148"/>
      <c r="KV29" s="148"/>
      <c r="KW29" s="265"/>
      <c r="KX29" s="286"/>
      <c r="KY29" s="100"/>
      <c r="KZ29" s="100"/>
      <c r="LA29" s="210"/>
      <c r="LB29" s="117"/>
      <c r="LC29" s="117"/>
      <c r="LD29" s="148"/>
      <c r="LE29" s="145"/>
      <c r="LF29" s="632"/>
      <c r="LG29" s="148"/>
      <c r="LH29" s="154"/>
      <c r="LI29" s="154"/>
      <c r="LJ29" s="154"/>
      <c r="LK29" s="117"/>
      <c r="LL29" s="211"/>
      <c r="LM29" s="210"/>
      <c r="LN29" s="148"/>
      <c r="LO29" s="148"/>
      <c r="LP29" s="265"/>
      <c r="LQ29" s="286"/>
      <c r="LR29" s="100"/>
      <c r="LS29" s="100"/>
      <c r="LT29" s="210"/>
      <c r="LU29" s="117"/>
      <c r="LV29" s="117"/>
      <c r="LW29" s="148"/>
      <c r="LX29" s="145"/>
      <c r="LY29" s="632"/>
      <c r="LZ29" s="148"/>
      <c r="MA29" s="154"/>
      <c r="MB29" s="154"/>
      <c r="MC29" s="145"/>
      <c r="MD29" s="117"/>
      <c r="ME29" s="211"/>
      <c r="MF29" s="210"/>
      <c r="MG29" s="148"/>
      <c r="MH29" s="148"/>
      <c r="MI29" s="265"/>
      <c r="MJ29" s="647"/>
      <c r="MK29" s="264"/>
      <c r="ML29" s="153"/>
      <c r="MM29" s="153"/>
      <c r="MN29" s="153"/>
      <c r="MO29" s="153"/>
      <c r="MP29" s="153"/>
      <c r="MQ29" s="153"/>
      <c r="MR29" s="153"/>
      <c r="MS29" s="99"/>
      <c r="MT29" s="99"/>
      <c r="MU29" s="99"/>
      <c r="MV29" s="99"/>
      <c r="MW29" s="99"/>
      <c r="MX29" s="99"/>
      <c r="MY29" s="153"/>
      <c r="MZ29" s="153"/>
      <c r="NA29" s="153"/>
      <c r="NB29" s="153"/>
      <c r="NC29" s="153"/>
      <c r="ND29" s="153"/>
      <c r="NE29" s="148"/>
      <c r="NF29" s="153"/>
      <c r="NG29" s="153"/>
      <c r="NH29" s="330" t="str">
        <f t="shared" si="357"/>
        <v>ks</v>
      </c>
      <c r="NI29" s="797">
        <f>RZ[[#This Row],[Počet ks (K)]]</f>
        <v>0</v>
      </c>
      <c r="NJ29" s="798">
        <f>RZ[[#This Row],[Hmotnost '[kg/ks'] (K)]]</f>
        <v>0</v>
      </c>
      <c r="NK29" s="148"/>
      <c r="NL29" s="145"/>
      <c r="NM29" s="632"/>
      <c r="NN29" s="148"/>
      <c r="NO29" s="154"/>
      <c r="NP29" s="153"/>
      <c r="NQ29" s="153"/>
      <c r="NR29" s="210"/>
      <c r="NS29" s="148"/>
      <c r="NT29" s="210"/>
      <c r="NU29" s="148"/>
      <c r="NV29" s="148"/>
      <c r="NW29" s="175"/>
    </row>
    <row r="30" spans="2:387" ht="15.95" customHeight="1" x14ac:dyDescent="0.35">
      <c r="B30" s="118" t="str">
        <f t="shared" si="250"/>
        <v/>
      </c>
      <c r="C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0" s="262" t="str">
        <f t="shared" si="251"/>
        <v xml:space="preserve">      Upínací pouzdro H3140 MB</v>
      </c>
      <c r="E30" s="120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Row],[Kód položek (P2)]]))))))))))</f>
        <v>STLO</v>
      </c>
      <c r="F30" s="791" t="str">
        <f t="shared" si="252"/>
        <v>N/A</v>
      </c>
      <c r="G30" s="792" t="str">
        <f t="shared" si="253"/>
        <v/>
      </c>
      <c r="H30" s="262" t="str">
        <f t="shared" si="254"/>
        <v/>
      </c>
      <c r="I30" s="123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HR '[MJHR'] (P0)]]))))))))))</f>
        <v>ks</v>
      </c>
      <c r="J30" s="123">
        <f t="shared" si="255"/>
        <v>1</v>
      </c>
      <c r="K30" s="793">
        <f>RZ[[#This Row],[Koeficient odhadu HR '[-'] (P1)]]</f>
        <v>1</v>
      </c>
      <c r="L30" s="124">
        <f ca="1">RZ[[#This Row],[Jednotková hmotnost s koef. '[kg/MJHR'] (P0)]]</f>
        <v>12.1</v>
      </c>
      <c r="M30" s="794">
        <f t="shared" ca="1" si="256"/>
        <v>0</v>
      </c>
      <c r="N30" s="125">
        <f t="shared" ca="1" si="257"/>
        <v>12.1</v>
      </c>
      <c r="O30" s="125">
        <f t="shared" ca="1" si="258"/>
        <v>0</v>
      </c>
      <c r="P30" s="126" t="str">
        <f t="shared" si="259"/>
        <v/>
      </c>
      <c r="Q30" s="795">
        <f ca="1">RZ[[#This Row],[Počet MJHR v rozpadu (P0)]]</f>
        <v>2</v>
      </c>
      <c r="R30" s="439" t="str">
        <f t="shared" si="260"/>
        <v>Zajíc</v>
      </c>
      <c r="S30" s="129">
        <f t="shared" si="261"/>
        <v>42950.626875000002</v>
      </c>
      <c r="T30" s="126" t="str">
        <f t="shared" si="262"/>
        <v/>
      </c>
      <c r="U30" s="126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CR (MJCR) (P0)]]))))))))))</f>
        <v>ks</v>
      </c>
      <c r="V30" s="575">
        <f t="shared" ca="1" si="263"/>
        <v>1</v>
      </c>
      <c r="W30" s="322">
        <f>RZ[[#This Row],[Koeficient odhadu CR '[-'] (P1)]]</f>
        <v>1</v>
      </c>
      <c r="X30" s="440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Row],[Jednotková cena bez DPH '[cena/MJCR'] (P1)]]*RZ[[#This Row],[Koeficient odhadu CR '[-']]]))))))))))</f>
        <v>6000</v>
      </c>
      <c r="Y30" s="440">
        <f t="shared" ca="1" si="264"/>
        <v>0</v>
      </c>
      <c r="Z30" s="142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VLOOKUP(IP30,$BR$7:$BS$11,2,FALSE)))))))))))</f>
        <v>CZK</v>
      </c>
      <c r="AA30" s="909">
        <f t="shared" ca="1" si="265"/>
        <v>2</v>
      </c>
      <c r="AB30" s="910">
        <f ca="1">RZ[[#This Row],[Kumulovaný koeficient v rozpadu (P0)]]</f>
        <v>1</v>
      </c>
      <c r="AC30" s="261"/>
      <c r="AD30" s="796">
        <f ca="1">RZ[[#This Row],[Jednotková cena bez DPH '[cena/MJCR'] s koef. (P0)]]/RZ[[#This Row],[Koeficient odhadu CR '[-']]]*RZ[[#This Row],[Kumulovaný koeficient odhadu CR  '[-']]]</f>
        <v>6000</v>
      </c>
      <c r="AE30" s="796">
        <f t="shared" ca="1" si="266"/>
        <v>12000</v>
      </c>
      <c r="AF30" s="796">
        <f ca="1">-IF(ISNUMBER(AA30),RZ[[#This Row],[Celková cena bez DPH (1)]]-RZ[[#This Row],[Jednotková cena bez DPH '[cena/MJCR'] bez koef. (P0)]]*AA30,0)</f>
        <v>0</v>
      </c>
      <c r="AG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495.86776859504135</v>
      </c>
      <c r="AH30" s="261"/>
      <c r="AI30" s="796">
        <f t="shared" ca="1" si="146"/>
        <v>222.22222222222223</v>
      </c>
      <c r="AJ30" s="796">
        <f t="shared" ca="1" si="147"/>
        <v>444.44444444444446</v>
      </c>
      <c r="AK30" s="796">
        <f t="shared" ca="1" si="148"/>
        <v>0</v>
      </c>
      <c r="AL30" s="753">
        <f ca="1">RZ[[#This Row],[Kilogramová cena bez DPH '[cena/kg'] (1)]]/$AK$13</f>
        <v>18.365472910927458</v>
      </c>
      <c r="AM30" s="261"/>
      <c r="AN30" s="796">
        <f t="shared" ca="1" si="149"/>
        <v>289.85507246376812</v>
      </c>
      <c r="AO30" s="796">
        <f t="shared" ca="1" si="150"/>
        <v>579.71014492753625</v>
      </c>
      <c r="AP30" s="796">
        <f t="shared" ca="1" si="151"/>
        <v>0</v>
      </c>
      <c r="AQ30" s="753">
        <f ca="1">RZ[[#This Row],[Kilogramová cena bez DPH '[cena/kg'] (1)]]/$AP$13</f>
        <v>23.95496466642712</v>
      </c>
      <c r="AR30" s="261"/>
      <c r="AS30" s="796">
        <f t="shared" ca="1" si="152"/>
        <v>164.11378555798686</v>
      </c>
      <c r="AT30" s="796">
        <f t="shared" ca="1" si="153"/>
        <v>328.22757111597372</v>
      </c>
      <c r="AU30" s="789">
        <f t="shared" ca="1" si="154"/>
        <v>0</v>
      </c>
      <c r="AV30" s="767">
        <f ca="1">RZ[[#This Row],[Kilogramová cena bez DPH '[cena/kg'] (1)]]/$AU$13</f>
        <v>13.563122773387345</v>
      </c>
      <c r="AW30" s="165"/>
      <c r="AX30" s="911">
        <f t="shared" ca="1" si="267"/>
        <v>2</v>
      </c>
      <c r="AY30" s="111">
        <f t="shared" ca="1" si="268"/>
        <v>1</v>
      </c>
      <c r="AZ30" s="111">
        <f t="shared" ca="1" si="269"/>
        <v>8</v>
      </c>
      <c r="BA30" s="111">
        <f t="shared" ca="1" si="270"/>
        <v>3</v>
      </c>
      <c r="BB30" s="111">
        <f t="shared" ca="1" si="271"/>
        <v>0</v>
      </c>
      <c r="BC30" s="111">
        <f t="shared" ca="1" si="272"/>
        <v>0</v>
      </c>
      <c r="BD30" s="111">
        <f t="shared" ca="1" si="273"/>
        <v>0</v>
      </c>
      <c r="BE30" s="111">
        <f t="shared" ca="1" si="274"/>
        <v>0</v>
      </c>
      <c r="BF30" s="111">
        <f t="shared" ca="1" si="275"/>
        <v>0</v>
      </c>
      <c r="BG30" s="112">
        <f t="shared" ca="1" si="276"/>
        <v>0</v>
      </c>
      <c r="BH30" s="911">
        <f t="shared" si="277"/>
        <v>0</v>
      </c>
      <c r="BI30" s="111">
        <f t="shared" si="278"/>
        <v>0</v>
      </c>
      <c r="BJ30" s="111">
        <f t="shared" si="279"/>
        <v>0</v>
      </c>
      <c r="BK30" s="111">
        <f t="shared" si="280"/>
        <v>1</v>
      </c>
      <c r="BL30" s="111">
        <f t="shared" si="281"/>
        <v>0</v>
      </c>
      <c r="BM30" s="111">
        <f t="shared" si="282"/>
        <v>0</v>
      </c>
      <c r="BN30" s="111">
        <f t="shared" si="283"/>
        <v>0</v>
      </c>
      <c r="BO30" s="111">
        <f t="shared" si="284"/>
        <v>0</v>
      </c>
      <c r="BP30" s="111">
        <f t="shared" si="285"/>
        <v>0</v>
      </c>
      <c r="BQ30" s="112">
        <f t="shared" si="286"/>
        <v>0</v>
      </c>
      <c r="BR30" s="132">
        <f ca="1">IF(OFFSET(AY30,1,0,1,1)&lt;&gt;0,RZ[[#This Row],[Koeficient odhadu HR '[-'] (P1)]]*$BH30*SUMIFS(RZ[Úroveň 2 s koef. (P2)],RZ[0],AX30),RZ[[#This Row],[Koeficient odhadu HR '[-'] (P1)]]*$BH30*$IG30)</f>
        <v>0</v>
      </c>
      <c r="BS30" s="186">
        <f ca="1">IF(OFFSET(AY30,1,0,1,1)&lt;&gt;0,$BH30*SUMIFS(RZ[Úroveň 2 bez koef. (P2)],RZ[0],AX30),$BH30*$IG30)</f>
        <v>0</v>
      </c>
      <c r="BT30" s="138">
        <f ca="1">RZ[[#This Row],[Úroveň 2 s koef. (P2a)]]*RZ[[#This Row],[Počet MJHR (P0)]]</f>
        <v>0</v>
      </c>
      <c r="BU30" s="138">
        <f ca="1">RZ[[#This Row],[Úroveň 2 bez koef. (P2a)]]*RZ[[#This Row],[Počet MJHR (P0)]]</f>
        <v>0</v>
      </c>
      <c r="BV30" s="138">
        <f ca="1">IF(OFFSET(AZ30,1,0,1,1)&lt;&gt;0,RZ[[#This Row],[Koeficient odhadu HR '[-'] (P1)]]*$BI30*SUMIFS(RZ[Úroveň 3 s koef. (P2)],RZ[0],AX30,RZ[Úroveň 2 (P0)],AY30),RZ[[#This Row],[Koeficient odhadu HR '[-'] (P1)]]*$BI30*$IG30)</f>
        <v>0</v>
      </c>
      <c r="BW30" s="138">
        <f ca="1">IF(OFFSET(AZ30,1,0,1,1)&lt;&gt;0,$BI30*SUMIFS(RZ[Úroveň 3 bez koef. (P2)],RZ[0],AX30,RZ[Úroveň 2 (P0)],AY30),$BI30*$IG30)</f>
        <v>0</v>
      </c>
      <c r="BX30" s="132">
        <f ca="1">RZ[[#This Row],[Úroveň 3 s koef. (P2a)]]*RZ[[#This Row],[Počet MJHR (P0)]]</f>
        <v>0</v>
      </c>
      <c r="BY30" s="132">
        <f ca="1">RZ[Úroveň 3 bez koef. (P2a)]*RZ[[#This Row],[Počet MJHR (P0)]]</f>
        <v>0</v>
      </c>
      <c r="BZ30" s="132">
        <f ca="1">IF(OFFSET(BA30,1,0,1,1)&lt;&gt;0,RZ[[#This Row],[Koeficient odhadu HR '[-'] (P1)]]*$BJ30*SUMIFS(RZ[Úroveň 4 s koef. (P2)],RZ[0],AX30,RZ[Úroveň 2 (P0)],AY30,RZ[Úroveň 3 (P0)],AZ30),RZ[[#This Row],[Koeficient odhadu HR '[-'] (P1)]]*$BJ30*$IG30)</f>
        <v>0</v>
      </c>
      <c r="CA30" s="132">
        <f ca="1">IF(OFFSET(BA30,1,0,1,1)&lt;&gt;0,$BJ30*SUMIFS(RZ[Úroveň 4 bez koef. (P2)],RZ[0],AX30,RZ[Úroveň 2 (P0)],AY30,RZ[Úroveň 3 (P0)],AZ30),$BJ30*$IG30)</f>
        <v>0</v>
      </c>
      <c r="CB30" s="138">
        <f ca="1">RZ[[#This Row],[Úroveň 4 s koef. (P2a)]]*RZ[[#This Row],[Počet MJHR (P0)]]</f>
        <v>12.1</v>
      </c>
      <c r="CC30" s="138">
        <f ca="1">RZ[Úroveň 4 bez koef. (P2a)]*RZ[[#This Row],[Počet MJHR (P0)]]</f>
        <v>12.1</v>
      </c>
      <c r="CD30" s="138">
        <f ca="1">IF(OFFSET(BB30,1,0,1,1)&lt;&gt;0,RZ[[#This Row],[Koeficient odhadu HR '[-'] (P1)]]*$BK30*SUMIFS(RZ[Úroveň 5 s koef. (P2)],RZ[0],AX30,RZ[Úroveň 2 (P0)],AY30,RZ[Úroveň 3 (P0)],AZ30,RZ[Úroveň 4 (P0)],BA30),RZ[[#This Row],[Koeficient odhadu HR '[-'] (P1)]]*$BK30*$IG30)</f>
        <v>12.1</v>
      </c>
      <c r="CE30" s="138">
        <f ca="1">IF(OFFSET(BB30,1,0,1,1)&lt;&gt;0,$BK30*SUMIFS(RZ[Úroveň 5 bez koef. (P2)],RZ[0],AX30,RZ[Úroveň 2 (P0)],AY30,RZ[Úroveň 3 (P0)],AZ30,RZ[Úroveň 4 (P0)],BA30),$BK30*$IG30)</f>
        <v>12.1</v>
      </c>
      <c r="CF30" s="132">
        <f ca="1">RZ[[#This Row],[Úroveň 5 s koef. (P2a)]]*RZ[[#This Row],[Počet MJHR (P0)]]</f>
        <v>0</v>
      </c>
      <c r="CG30" s="132">
        <f ca="1">RZ[Úroveň 5 bez koef. (P2a)]*RZ[[#This Row],[Počet MJHR (P0)]]</f>
        <v>0</v>
      </c>
      <c r="CH30" s="132">
        <f ca="1">IF(OFFSET(BC30,1,0,1,1)&lt;&gt;0,RZ[[#This Row],[Koeficient odhadu HR '[-'] (P1)]]*$BL30*SUMIFS(RZ[Úroveň 6 s koef. (P2)],RZ[0],AX30,RZ[Úroveň 2 (P0)],AY30,RZ[Úroveň 3 (P0)],AZ30,RZ[Úroveň 4 (P0)],BA30,RZ[Úroveň 5 (P0)],BB30),RZ[[#This Row],[Koeficient odhadu HR '[-'] (P1)]]*$BL30*$IG30)</f>
        <v>0</v>
      </c>
      <c r="CI30" s="132">
        <f ca="1">IF(OFFSET(BC30,1,0,1,1)&lt;&gt;0,$BL30*SUMIFS(RZ[Úroveň 6 bez koef. (P2)],RZ[0],AX30,RZ[Úroveň 2 (P0)],AY30,RZ[Úroveň 3 (P0)],AZ30,RZ[Úroveň 4 (P0)],BA30,RZ[Úroveň 5 (P0)],BB30),$BL30*$IG30)</f>
        <v>0</v>
      </c>
      <c r="CJ30" s="138">
        <f ca="1">RZ[[#This Row],[Úroveň 6 s koef. (P2a)]]*RZ[[#This Row],[Počet MJHR (P0)]]</f>
        <v>0</v>
      </c>
      <c r="CK30" s="138">
        <f ca="1">RZ[Úroveň 6 bez koef. (P2a)]*RZ[[#This Row],[Počet MJHR (P0)]]</f>
        <v>0</v>
      </c>
      <c r="CL30" s="138">
        <f ca="1">IF(OFFSET(BD30,1,0,1,1)&lt;&gt;0,RZ[[#This Row],[Koeficient odhadu HR '[-'] (P1)]]*$BM30*SUMIFS(RZ[Úroveň 7 s koef. (P2)],RZ[0],AX30,RZ[Úroveň 2 (P0)],AY30,RZ[Úroveň 3 (P0)],AZ30,RZ[Úroveň 4 (P0)],BA30,RZ[Úroveň 5 (P0)],BB30,RZ[Úroveň 6 (P0)],BC30),RZ[[#This Row],[Koeficient odhadu HR '[-'] (P1)]]*$BM30*$IG30)</f>
        <v>0</v>
      </c>
      <c r="CM30" s="138">
        <f ca="1">IF(OFFSET(BD30,1,0,1,1)&lt;&gt;0,$BM30*SUMIFS(RZ[Úroveň 7 bez koef. (P2)],RZ[0],AX30,RZ[Úroveň 2 (P0)],AY30,RZ[Úroveň 3 (P0)],AZ30,RZ[Úroveň 4 (P0)],BA30,RZ[Úroveň 5 (P0)],BB30,RZ[Úroveň 6 (P0)],BC30),$BM30*$IG30)</f>
        <v>0</v>
      </c>
      <c r="CN30" s="132">
        <f ca="1">RZ[[#This Row],[Úroveň 7 s koef. (P2a)]]*RZ[[#This Row],[Počet MJHR (P0)]]</f>
        <v>0</v>
      </c>
      <c r="CO30" s="132">
        <f ca="1">RZ[Úroveň 7 bez koef. (P2a)]*RZ[[#This Row],[Počet MJHR (P0)]]</f>
        <v>0</v>
      </c>
      <c r="CP30" s="132">
        <f ca="1">IF(OFFSET(BE30,1,0,1,1)&lt;&gt;0,RZ[[#This Row],[Koeficient odhadu HR '[-'] (P1)]]*$BN30*SUMIFS(RZ[Úroveň 8 s koef. (P2)],RZ[0],AX30,RZ[Úroveň 2 (P0)],AY30,RZ[Úroveň 3 (P0)],AZ30,RZ[Úroveň 4 (P0)],BA30,RZ[Úroveň 5 (P0)],BB30,RZ[Úroveň 6 (P0)],BC30,RZ[Úroveň 7 (P0)],BD30),RZ[[#This Row],[Koeficient odhadu HR '[-'] (P1)]]*$BN30*$IG30)</f>
        <v>0</v>
      </c>
      <c r="CQ30" s="132">
        <f ca="1">IF(OFFSET(BE30,1,0,1,1)&lt;&gt;0,$BN30*SUMIFS(RZ[Úroveň 8 bez koef. (P2)],RZ[0],AX30,RZ[Úroveň 2 (P0)],AY30,RZ[Úroveň 3 (P0)],AZ30,RZ[Úroveň 4 (P0)],BA30,RZ[Úroveň 5 (P0)],BB30,RZ[Úroveň 6 (P0)],BC30,RZ[Úroveň 7 (P0)],BD30),$BN30*$IG30)</f>
        <v>0</v>
      </c>
      <c r="CR30" s="138">
        <f ca="1">RZ[[#This Row],[Úroveň 8 s koef. (P2a)]]*RZ[[#This Row],[Počet MJHR (P0)]]</f>
        <v>0</v>
      </c>
      <c r="CS30" s="138">
        <f ca="1">RZ[Úroveň 8 bez koef. (P2a)]*RZ[[#This Row],[Počet MJHR (P0)]]</f>
        <v>0</v>
      </c>
      <c r="CT30" s="138">
        <f ca="1">IF(OFFSET(BF30,1,0,1,1)&lt;&gt;0,RZ[[#This Row],[Koeficient odhadu HR '[-'] (P1)]]*$BO30*SUMIFS(RZ[Úroveň 9 s koef. (P2)],RZ[0],AX30,RZ[Úroveň 2 (P0)],AY30,RZ[Úroveň 3 (P0)],AZ30,RZ[Úroveň 4 (P0)],BA30,RZ[Úroveň 5 (P0)],BB30,RZ[Úroveň 6 (P0)],BC30,RZ[Úroveň 7 (P0)],BD30,RZ[Úroveň 8 (P0)],BE30),RZ[[#This Row],[Koeficient odhadu HR '[-'] (P1)]]*$BO30*$IG30)</f>
        <v>0</v>
      </c>
      <c r="CU30" s="138">
        <f ca="1">IF(OFFSET(BF30,1,0,1,1)&lt;&gt;0,$BO30*SUMIFS(RZ[Úroveň 9 bez koef. (P2)],RZ[0],AX30,RZ[Úroveň 2 (P0)],AY30,RZ[Úroveň 3 (P0)],AZ30,RZ[Úroveň 4 (P0)],BA30,RZ[Úroveň 5 (P0)],BB30,RZ[Úroveň 6 (P0)],BC30,RZ[Úroveň 7 (P0)],BD30,RZ[Úroveň 8 (P0)],BE30),$BO30*$IG30)</f>
        <v>0</v>
      </c>
      <c r="CV30" s="132">
        <f ca="1">RZ[[#This Row],[Úroveň 9 s koef. (P2a)]]*RZ[[#This Row],[Počet MJHR (P0)]]</f>
        <v>0</v>
      </c>
      <c r="CW30" s="132">
        <f ca="1">RZ[Úroveň 9 bez koef. (P2a)]*RZ[[#This Row],[Počet MJHR (P0)]]</f>
        <v>0</v>
      </c>
      <c r="CX30" s="132">
        <f ca="1">IF(OFFSET(BG30,1,0,1,1)&lt;&gt;0,RZ[[#This Row],[Koeficient odhadu HR '[-'] (P1)]]*$BP30*SUMIFS(RZ[Úroveň 10 s koef. (P2)],RZ[0],AX30,RZ[Úroveň 2 (P0)],AY30,RZ[Úroveň 3 (P0)],AZ30,RZ[Úroveň 4 (P0)],BA30,RZ[Úroveň 5 (P0)],BB30,RZ[Úroveň 6 (P0)],BC30,RZ[Úroveň 7 (P0)],BD30,RZ[Úroveň 8 (P0)],BE30,RZ[Úroveň 9 (P0)],BF30),RZ[[#This Row],[Koeficient odhadu HR '[-'] (P1)]]*$BP30*$IG30)</f>
        <v>0</v>
      </c>
      <c r="CY30" s="132">
        <f ca="1">IF(OFFSET(BG30,1,0,1,1)&lt;&gt;0,$BP30*SUMIFS(RZ[Úroveň 10 bez koef. (P2)],RZ[0],AX30,RZ[Úroveň 2 (P0)],AY30,RZ[Úroveň 3 (P0)],AZ30,RZ[Úroveň 4 (P0)],BA30,RZ[Úroveň 5 (P0)],BB30,RZ[Úroveň 6 (P0)],BC30,RZ[Úroveň 7 (P0)],BD30,RZ[Úroveň 8 (P0)],BE30,RZ[Úroveň 9 (P0)],BF30),$BP30*$IG30)</f>
        <v>0</v>
      </c>
      <c r="CZ30" s="138">
        <f>RZ[[#This Row],[Úroveň 10 s koef. (P2a)]]*RZ[[#This Row],[Počet MJHR (P0)]]</f>
        <v>0</v>
      </c>
      <c r="DA30" s="138">
        <f>RZ[Úroveň 10 bez koef. (P2a)]*RZ[[#This Row],[Počet MJHR (P0)]]</f>
        <v>0</v>
      </c>
      <c r="DB30" s="138">
        <f>RZ[[#This Row],[Koeficient odhadu HR '[-'] (P1)]]*$BQ30*IG30</f>
        <v>0</v>
      </c>
      <c r="DC30" s="231">
        <f t="shared" si="287"/>
        <v>0</v>
      </c>
      <c r="DD30" s="241">
        <f t="shared" ca="1" si="288"/>
        <v>12.1</v>
      </c>
      <c r="DE30" s="229">
        <f t="shared" ca="1" si="289"/>
        <v>12.1</v>
      </c>
      <c r="DF30" s="912">
        <f t="shared" si="290"/>
        <v>0</v>
      </c>
      <c r="DG30" s="913">
        <f t="shared" si="291"/>
        <v>0</v>
      </c>
      <c r="DH30" s="913">
        <f t="shared" si="292"/>
        <v>0</v>
      </c>
      <c r="DI30" s="913">
        <f t="shared" si="293"/>
        <v>1</v>
      </c>
      <c r="DJ30" s="913">
        <f t="shared" si="294"/>
        <v>0</v>
      </c>
      <c r="DK30" s="913">
        <f t="shared" si="295"/>
        <v>0</v>
      </c>
      <c r="DL30" s="913">
        <f t="shared" si="296"/>
        <v>0</v>
      </c>
      <c r="DM30" s="913">
        <f t="shared" si="297"/>
        <v>0</v>
      </c>
      <c r="DN30" s="913">
        <f t="shared" si="298"/>
        <v>0</v>
      </c>
      <c r="DO30" s="913">
        <f t="shared" si="299"/>
        <v>0</v>
      </c>
      <c r="DP30" s="914">
        <f ca="1">SUMIFS(RZ[Úroveň 1 (P4)],RZ[0],AX30)</f>
        <v>1</v>
      </c>
      <c r="DQ30" s="914">
        <f ca="1">SUMIFS(RZ[Úroveň 2 (P4)],RZ[0],AX30,RZ[Úroveň 2 (P0)],AY30)</f>
        <v>1</v>
      </c>
      <c r="DR30" s="914">
        <f ca="1">SUMIFS(RZ[Úroveň 3 (P4)],RZ[0],AX30,RZ[Úroveň 2 (P0)],AY30,RZ[Úroveň 3 (P0)],AZ30)</f>
        <v>2</v>
      </c>
      <c r="DS30" s="914">
        <f ca="1">SUMIFS(RZ[Úroveň 4 (P4)],RZ[0],AX30,RZ[Úroveň 2 (P0)],AY30,RZ[Úroveň 3 (P0)],AZ30,RZ[Úroveň 4 (P0)],BA30)</f>
        <v>1</v>
      </c>
      <c r="DT30" s="914">
        <f ca="1">SUMIFS(RZ[Úroveň 5 (P4)],RZ[0],AX30,RZ[Úroveň 2 (P0)],AY30,RZ[Úroveň 3 (P0)],AZ30,RZ[Úroveň 4 (P0)],BA30,RZ[Úroveň 5 (P0)],BB30)</f>
        <v>0</v>
      </c>
      <c r="DU30" s="914">
        <f ca="1">SUMIFS(RZ[Úroveň 6 (P4)],RZ[0],AX30,RZ[Úroveň 2 (P0)],AY30,RZ[Úroveň 3 (P0)],AZ30,RZ[Úroveň 4 (P0)],BA30,RZ[Úroveň 5 (P0)],BB30,RZ[Úroveň 6 (P0)],BC30)</f>
        <v>0</v>
      </c>
      <c r="DV30" s="914">
        <f ca="1">SUMIFS(RZ[Úroveň 7 (P4)],RZ[0],AX30,RZ[Úroveň 2 (P0)],AY30,RZ[Úroveň 3 (P0)],AZ30,RZ[Úroveň 4 (P0)],BA30,RZ[Úroveň 5 (P0)],BB30,RZ[Úroveň 6 (P0)],BC30,RZ[Úroveň 7 (P0)],BD30)</f>
        <v>0</v>
      </c>
      <c r="DW30" s="914">
        <f ca="1">SUMIFS(RZ[Úroveň 8 (P4)],RZ[0],AX30,RZ[Úroveň 2 (P0)],AY30,RZ[Úroveň 3 (P0)],AZ30,RZ[Úroveň 4 (P0)],BA30,RZ[Úroveň 5 (P0)],BB30,RZ[Úroveň 6 (P0)],BC30,RZ[Úroveň 7 (P0)],BD30,RZ[Úroveň 8 (P0)],BE30)</f>
        <v>0</v>
      </c>
      <c r="DX30" s="914">
        <f ca="1">SUMIFS(RZ[Úroveň 9 (P4)],RZ[0],AX30,RZ[Úroveň 2 (P0)],AY30,RZ[Úroveň 3 (P0)],AZ30,RZ[Úroveň 4 (P0)],BA30,RZ[Úroveň 5 (P0)],BB30,RZ[Úroveň 6 (P0)],BC30,RZ[Úroveň 7 (P0)],BD30,RZ[Úroveň 8 (P0)],BE30,RZ[Úroveň 9 (P0)],BF30)</f>
        <v>0</v>
      </c>
      <c r="DY30" s="914">
        <f ca="1">SUMIFS(RZ[Úroveň 10 (P4)],RZ[0],AX30,RZ[Úroveň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DZ30" s="915">
        <f t="shared" ca="1" si="300"/>
        <v>2</v>
      </c>
      <c r="EA30" s="916">
        <f ca="1">RZ[[#This Row],[Jednotková hmotnost bez koef. '[kg/MJHR'] (P0)]]*RZ[[#This Row],[Počet MJHR v rozpadu (P0)]]</f>
        <v>24.2</v>
      </c>
      <c r="EB30" s="917">
        <f ca="1">IF(OFFSET(AY30,1,0,1,1)&lt;&gt;0,RZ[[#This Row],[Koeficient odhadu CR '[-'] (P1)]]*$BH30*SUMIFS(RZ[Úroveň 2 s koef. (P3)],RZ[0],AX30),RZ[[#This Row],[Koeficient odhadu CR '[-'] (P1)]]*$BH30*$IQ30)</f>
        <v>0</v>
      </c>
      <c r="EC30" s="191">
        <f ca="1">IF(OFFSET(AY30,1,0,1,1)&lt;&gt;0,$BH30*SUMIFS(RZ[Úroveň 2 bez koef. (P3)],RZ[0],AX30),$BH30*$IQ30)</f>
        <v>0</v>
      </c>
      <c r="ED30" s="140">
        <f ca="1">RZ[[#This Row],[Úroveň 2 s koef. (P3a)]]*RZ[[#This Row],[Počet MJCR (P0) pro "kg"]]</f>
        <v>0</v>
      </c>
      <c r="EE30" s="140">
        <f ca="1">RZ[Úroveň 2 bez koef. (P3a)]*RZ[[#This Row],[Počet MJCR (P0) pro "kg"]]</f>
        <v>0</v>
      </c>
      <c r="EF30" s="140">
        <f ca="1">IF(OFFSET(AZ30,1,0,1,1)&lt;&gt;0,RZ[[#This Row],[Koeficient odhadu CR '[-'] (P1)]]*$BI30*SUMIFS(RZ[Úroveň 3 s koef. (P3)],RZ[0],AX30,RZ[Úroveň 2 (P0)],AY30),RZ[[#This Row],[Koeficient odhadu CR '[-'] (P1)]]*$BI30*$IQ30)</f>
        <v>0</v>
      </c>
      <c r="EG30" s="140">
        <f ca="1">IF(OFFSET(AZ30,1,0,1,1)&lt;&gt;0,$BI30*SUMIFS(RZ[Úroveň 3 bez koef. (P3)],RZ[0],AX30,RZ[Úroveň 2 (P0)],AY30),$BI30*$IQ30)</f>
        <v>0</v>
      </c>
      <c r="EH30" s="135">
        <f ca="1">RZ[[#This Row],[Úroveň 3 s koef. (P3a)]]*RZ[[#This Row],[Počet MJCR (P0) pro "kg"]]</f>
        <v>0</v>
      </c>
      <c r="EI30" s="135">
        <f ca="1">RZ[Úroveň 3 bez koef. (P3a)]*RZ[[#This Row],[Počet MJCR (P0) pro "kg"]]</f>
        <v>0</v>
      </c>
      <c r="EJ30" s="135">
        <f ca="1">IF(OFFSET(BA30,1,0,1,1)&lt;&gt;0,RZ[[#This Row],[Koeficient odhadu CR '[-'] (P1)]]*$BJ30*SUMIFS(RZ[Úroveň 4 s koef. (P3)],RZ[0],AX30,RZ[Úroveň 2 (P0)],AY30,RZ[Úroveň 3 (P0)],AZ30),RZ[[#This Row],[Koeficient odhadu CR '[-'] (P1)]]*$BJ30*$IQ30)</f>
        <v>0</v>
      </c>
      <c r="EK30" s="135">
        <f ca="1">IF(OFFSET(BA30,1,0,1,1)&lt;&gt;0,$BJ30*SUMIFS(RZ[Úroveň 4 bez koef. (P3)],RZ[0],AX30,RZ[Úroveň 2 (P0)],AY30,RZ[Úroveň 3 (P0)],AZ30),$BJ30*$IQ30)</f>
        <v>0</v>
      </c>
      <c r="EL30" s="140">
        <f ca="1">RZ[[#This Row],[Úroveň 4 s koef. (P3a)]]*RZ[[#This Row],[Počet MJCR (P0) pro "kg"]]</f>
        <v>6000</v>
      </c>
      <c r="EM30" s="140">
        <f ca="1">RZ[Úroveň 4 bez koef. (P3a)]*RZ[[#This Row],[Počet MJCR (P0) pro "kg"]]</f>
        <v>6000</v>
      </c>
      <c r="EN30" s="140">
        <f ca="1">IF(OFFSET(BB30,1,0,1,1)&lt;&gt;0,RZ[[#This Row],[Koeficient odhadu CR '[-'] (P1)]]*$BK30*SUMIFS(RZ[Úroveň 5 s koef. (P3)],RZ[0],AX30,RZ[Úroveň 2 (P0)],AY30,RZ[Úroveň 3 (P0)],AZ30,RZ[Úroveň 4 (P0)],BA30),RZ[[#This Row],[Koeficient odhadu CR '[-'] (P1)]]*$BK30*$IQ30)</f>
        <v>6000</v>
      </c>
      <c r="EO30" s="140">
        <f ca="1">IF(OFFSET(BB30,1,0,1,1)&lt;&gt;0,$BK30*SUMIFS(RZ[Úroveň 5 bez koef. (P3)],RZ[0],AX30,RZ[Úroveň 2 (P0)],AY30,RZ[Úroveň 3 (P0)],AZ30,RZ[Úroveň 4 (P0)],BA30),$BK30*$IQ30)</f>
        <v>6000</v>
      </c>
      <c r="EP30" s="135">
        <f ca="1">RZ[[#This Row],[Úroveň 5 s koef. (P3a)]]*RZ[[#This Row],[Počet MJCR (P0) pro "kg"]]</f>
        <v>0</v>
      </c>
      <c r="EQ30" s="135">
        <f ca="1">RZ[Úroveň 5 bez koef. (P3a)]*RZ[[#This Row],[Počet MJCR (P0) pro "kg"]]</f>
        <v>0</v>
      </c>
      <c r="ER30" s="135">
        <f ca="1">IF(OFFSET(BC30,1,0,1,1)&lt;&gt;0,RZ[[#This Row],[Koeficient odhadu CR '[-'] (P1)]]*$BL30*SUMIFS(RZ[Úroveň 6 s koef. (P3)],RZ[0],AX30,RZ[Úroveň 2 (P0)],AY30,RZ[Úroveň 3 (P0)],AZ30,RZ[Úroveň 4 (P0)],BA30,RZ[Úroveň 5 (P0)],BB30),RZ[[#This Row],[Koeficient odhadu CR '[-'] (P1)]]*$BL30*$IQ30)</f>
        <v>0</v>
      </c>
      <c r="ES30" s="135">
        <f ca="1">IF(OFFSET(BC30,1,0,1,1)&lt;&gt;0,$BL30*SUMIFS(RZ[Úroveň 6 bez koef. (P3)],RZ[0],AX30,RZ[Úroveň 2 (P0)],AY30,RZ[Úroveň 3 (P0)],AZ30,RZ[Úroveň 4 (P0)],BA30,RZ[Úroveň 5 (P0)],BB30),$BL30*$IQ30)</f>
        <v>0</v>
      </c>
      <c r="ET30" s="140">
        <f ca="1">RZ[[#This Row],[Úroveň 6 s koef. (P3a)]]*RZ[[#This Row],[Počet MJCR (P0) pro "kg"]]</f>
        <v>0</v>
      </c>
      <c r="EU30" s="140">
        <f ca="1">RZ[Úroveň 6 bez koef. (P3a)]*RZ[[#This Row],[Počet MJCR (P0) pro "kg"]]</f>
        <v>0</v>
      </c>
      <c r="EV30" s="140">
        <f ca="1">IF(OFFSET(BD30,1,0,1,1)&lt;&gt;0,RZ[[#This Row],[Koeficient odhadu CR '[-'] (P1)]]*$BM30*SUMIFS(RZ[Úroveň 7 s koef. (P3)],RZ[0],AX30,RZ[Úroveň 2 (P0)],AY30,RZ[Úroveň 3 (P0)],AZ30,RZ[Úroveň 4 (P0)],BA30,RZ[Úroveň 5 (P0)],BB30,RZ[Úroveň 6 (P0)],BC30),RZ[[#This Row],[Koeficient odhadu CR '[-'] (P1)]]*$BM30*$IQ30)</f>
        <v>0</v>
      </c>
      <c r="EW30" s="140">
        <f ca="1">IF(OFFSET(BD30,1,0,1,1)&lt;&gt;0,$BM30*SUMIFS(RZ[Úroveň 7 bez koef. (P3)],RZ[0],AX30,RZ[Úroveň 2 (P0)],AY30,RZ[Úroveň 3 (P0)],AZ30,RZ[Úroveň 4 (P0)],BA30,RZ[Úroveň 5 (P0)],BB30,RZ[Úroveň 6 (P0)],BC30),$BM30*$IQ30)</f>
        <v>0</v>
      </c>
      <c r="EX30" s="135">
        <f ca="1">RZ[[#This Row],[Úroveň 7 s koef. (P3a)]]*RZ[[#This Row],[Počet MJCR (P0) pro "kg"]]</f>
        <v>0</v>
      </c>
      <c r="EY30" s="135">
        <f ca="1">RZ[Úroveň 7 bez koef. (P3a)]*RZ[[#This Row],[Počet MJCR (P0) pro "kg"]]</f>
        <v>0</v>
      </c>
      <c r="EZ30" s="135">
        <f ca="1">IF(OFFSET(BE30,1,0,1,1)&lt;&gt;0,RZ[[#This Row],[Koeficient odhadu CR '[-'] (P1)]]*$BN30*SUMIFS(RZ[Úroveň 8 s koef. (P3)],RZ[0],AX30,RZ[Úroveň 2 (P0)],AY30,RZ[Úroveň 3 (P0)],AZ30,RZ[Úroveň 4 (P0)],BA30,RZ[Úroveň 5 (P0)],BB30,RZ[Úroveň 6 (P0)],BC30,RZ[Úroveň 7 (P0)],BD30),RZ[[#This Row],[Koeficient odhadu CR '[-'] (P1)]]*$BN30*$IQ30)</f>
        <v>0</v>
      </c>
      <c r="FA30" s="135">
        <f ca="1">IF(OFFSET(BE30,1,0,1,1)&lt;&gt;0,$BN30*SUMIFS(RZ[Úroveň 8 bez koef. (P3)],RZ[0],AX30,RZ[Úroveň 2 (P0)],AY30,RZ[Úroveň 3 (P0)],AZ30,RZ[Úroveň 4 (P0)],BA30,RZ[Úroveň 5 (P0)],BB30,RZ[Úroveň 6 (P0)],BC30,RZ[Úroveň 7 (P0)],BD30),$BN30*$IQ30)</f>
        <v>0</v>
      </c>
      <c r="FB30" s="140">
        <f ca="1">RZ[[#This Row],[Úroveň 8 s koef. (P3a)]]*RZ[[#This Row],[Počet MJCR (P0) pro "kg"]]</f>
        <v>0</v>
      </c>
      <c r="FC30" s="140">
        <f ca="1">RZ[Úroveň 8 bez koef. (P3a)]*RZ[[#This Row],[Počet MJCR (P0) pro "kg"]]</f>
        <v>0</v>
      </c>
      <c r="FD30" s="140">
        <f ca="1">IF(OFFSET(BF30,1,0,1,1)&lt;&gt;0,RZ[[#This Row],[Koeficient odhadu CR '[-'] (P1)]]*$BO30*SUMIFS(RZ[Úroveň 9 s koef. (P3)],RZ[0],AX30,RZ[Úroveň 2 (P0)],AY30,RZ[Úroveň 3 (P0)],AZ30,RZ[Úroveň 4 (P0)],BA30,RZ[Úroveň 5 (P0)],BB30,RZ[Úroveň 6 (P0)],BC30,RZ[Úroveň 7 (P0)],BD30,RZ[Úroveň 8 (P0)],BE30),RZ[[#This Row],[Koeficient odhadu CR '[-'] (P1)]]*$BO30*$IQ30)</f>
        <v>0</v>
      </c>
      <c r="FE30" s="140">
        <f ca="1">IF(OFFSET(BF30,1,0,1,1)&lt;&gt;0,$BO30*SUMIFS(RZ[Úroveň 9 bez koef. (P3)],RZ[0],AX30,RZ[Úroveň 2 (P0)],AY30,RZ[Úroveň 3 (P0)],AZ30,RZ[Úroveň 4 (P0)],BA30,RZ[Úroveň 5 (P0)],BB30,RZ[Úroveň 6 (P0)],BC30,RZ[Úroveň 7 (P0)],BD30,RZ[Úroveň 8 (P0)],BE30),$BO30*$IQ30)</f>
        <v>0</v>
      </c>
      <c r="FF30" s="135">
        <f ca="1">RZ[[#This Row],[Úroveň 9 s koef. (P3a)]]*RZ[[#This Row],[Počet MJCR (P0) pro "kg"]]</f>
        <v>0</v>
      </c>
      <c r="FG30" s="135">
        <f ca="1">RZ[Úroveň 9 bez koef. (P3a)]*RZ[[#This Row],[Počet MJCR (P0) pro "kg"]]</f>
        <v>0</v>
      </c>
      <c r="FH30" s="135">
        <f ca="1">IF(OFFSET(BG30,1,0,1,1)&lt;&gt;0,RZ[[#This Row],[Koeficient odhadu CR '[-'] (P1)]]*$BP30*SUMIFS(RZ[Úroveň 10 s koef. (P3)],RZ[0],AX30,RZ[Úroveň 2 (P0)],AY30,RZ[Úroveň 3 (P0)],AZ30,RZ[Úroveň 4 (P0)],BA30,RZ[Úroveň 5 (P0)],BB30,RZ[Úroveň 6 (P0)],BC30,RZ[Úroveň 7 (P0)],BD30,RZ[Úroveň 8 (P0)],BE30,RZ[Úroveň 9 (P0)],BF30),RZ[[#This Row],[Koeficient odhadu CR '[-'] (P1)]]*$BP30*$IQ30)</f>
        <v>0</v>
      </c>
      <c r="FI30" s="135">
        <f ca="1">IF(OFFSET(BG30,1,0,1,1)&lt;&gt;0,$BP30*SUMIFS(RZ[Úroveň 10 bez koef. (P3)],RZ[0],AX30,RZ[Úroveň 2 (P0)],AY30,RZ[Úroveň 3 (P0)],AZ30,RZ[Úroveň 4 (P0)],BA30,RZ[Úroveň 5 (P0)],BB30,RZ[Úroveň 6 (P0)],BC30,RZ[Úroveň 7 (P0)],BD30,RZ[Úroveň 8 (P0)],BE30,RZ[Úroveň 9 (P0)],BF30),$BP30*$IQ30)</f>
        <v>0</v>
      </c>
      <c r="FJ30" s="140">
        <f ca="1">RZ[[#This Row],[Úroveň 10 s koef. (P3a)]]*RZ[[#This Row],[Počet MJCR (P0) pro "kg"]]</f>
        <v>0</v>
      </c>
      <c r="FK30" s="140">
        <f ca="1">RZ[Úroveň 10 bez koef. (P3a)]*RZ[[#This Row],[Počet MJCR (P0) pro "kg"]]</f>
        <v>0</v>
      </c>
      <c r="FL30" s="140">
        <f ca="1">RZ[[#This Row],[Koeficient odhadu CR '[-'] (P1)]]*$BQ30*IQ30</f>
        <v>0</v>
      </c>
      <c r="FM30" s="236">
        <f t="shared" ca="1" si="301"/>
        <v>0</v>
      </c>
      <c r="FN30" s="194">
        <f t="shared" ca="1" si="302"/>
        <v>6000</v>
      </c>
      <c r="FO30" s="238">
        <f t="shared" ca="1" si="303"/>
        <v>6000</v>
      </c>
      <c r="FP30" s="135">
        <f t="shared" ca="1" si="304"/>
        <v>0</v>
      </c>
      <c r="FQ30" s="135">
        <f t="shared" ca="1" si="305"/>
        <v>0</v>
      </c>
      <c r="FR30" s="135">
        <f t="shared" ca="1" si="306"/>
        <v>0</v>
      </c>
      <c r="FS30" s="135">
        <f t="shared" ca="1" si="307"/>
        <v>1</v>
      </c>
      <c r="FT30" s="135">
        <f t="shared" ca="1" si="308"/>
        <v>0</v>
      </c>
      <c r="FU30" s="135">
        <f t="shared" ca="1" si="309"/>
        <v>0</v>
      </c>
      <c r="FV30" s="135">
        <f t="shared" ca="1" si="310"/>
        <v>0</v>
      </c>
      <c r="FW30" s="135">
        <f t="shared" ca="1" si="311"/>
        <v>0</v>
      </c>
      <c r="FX30" s="135">
        <f t="shared" ca="1" si="312"/>
        <v>0</v>
      </c>
      <c r="FY30" s="135">
        <f t="shared" ca="1" si="313"/>
        <v>0</v>
      </c>
      <c r="FZ30" s="140">
        <f ca="1">SUMIFS(RZ[Úroveň 1 (P6)],RZ[0],AX30)</f>
        <v>1</v>
      </c>
      <c r="GA30" s="140">
        <f ca="1">SUMIFS(RZ[Úroveň 2 (P6)],RZ[0],AX30,RZ[Úroveň 2 (P0)],AY30)</f>
        <v>1</v>
      </c>
      <c r="GB30" s="140">
        <f ca="1">SUMIFS(RZ[Úroveň 3 (P6)],RZ[0],AX30,RZ[Úroveň 2 (P0)],AY30,RZ[Úroveň 3 (P0)],AZ30)</f>
        <v>2</v>
      </c>
      <c r="GC30" s="140">
        <f ca="1">SUMIFS(RZ[Úroveň 4 (P6)],RZ[0],AX30,RZ[Úroveň 2 (P0)],AY30,RZ[Úroveň 3 (P0)],AZ30,RZ[Úroveň 4 (P0)],BA30)</f>
        <v>1</v>
      </c>
      <c r="GD30" s="140">
        <f ca="1">SUMIFS(RZ[Úroveň 5 (P6)],RZ[0],AX30,RZ[Úroveň 2 (P0)],AY30,RZ[Úroveň 3 (P0)],AZ30,RZ[Úroveň 4 (P0)],BA30,RZ[Úroveň 5 (P0)],BB30)</f>
        <v>0</v>
      </c>
      <c r="GE30" s="140">
        <f ca="1">SUMIFS(RZ[Úroveň 6 (P6)],RZ[0],AX30,RZ[Úroveň 2 (P0)],AY30,RZ[Úroveň 3 (P0)],AZ30,RZ[Úroveň 4 (P0)],BA30,RZ[Úroveň 5 (P0)],BB30,RZ[Úroveň 6 (P0)],BC30)</f>
        <v>0</v>
      </c>
      <c r="GF30" s="140">
        <f ca="1">SUMIFS(RZ[Úroveň 7 (P6)],RZ[0],AX30,RZ[Úroveň 2 (P0)],AY30,RZ[Úroveň 3 (P0)],AZ30,RZ[Úroveň 4 (P0)],BA30,RZ[Úroveň 5 (P0)],BB30,RZ[Úroveň 6 (P0)],BC30,RZ[Úroveň 7 (P0)],BD30)</f>
        <v>0</v>
      </c>
      <c r="GG30" s="140">
        <f ca="1">SUMIFS(RZ[Úroveň 8 (P6)],RZ[0],AX30,RZ[Úroveň 2 (P0)],AY30,RZ[Úroveň 3 (P0)],AZ30,RZ[Úroveň 4 (P0)],BA30,RZ[Úroveň 5 (P0)],BB30,RZ[Úroveň 6 (P0)],BC30,RZ[Úroveň 7 (P0)],BD30,RZ[Úroveň 8 (P0)],BE30)</f>
        <v>0</v>
      </c>
      <c r="GH30" s="140">
        <f ca="1">SUMIFS(RZ[Úroveň 9 (P6)],RZ[0],AX30,RZ[Úroveň 2 (P0)],AY30,RZ[Úroveň 3 (P0)],AZ30,RZ[Úroveň 4 (P0)],BA30,RZ[Úroveň 5 (P0)],BB30,RZ[Úroveň 6 (P0)],BC30,RZ[Úroveň 7 (P0)],BD30,RZ[Úroveň 8 (P0)],BE30,RZ[Úroveň 9 (P0)],BF30)</f>
        <v>0</v>
      </c>
      <c r="GI30" s="140">
        <f ca="1">SUMIFS(RZ[Úroveň 10 (P6)],RZ[0],AX30,RZ[Úroveň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GJ30" s="918">
        <f t="shared" ca="1" si="314"/>
        <v>2</v>
      </c>
      <c r="GK30" s="808">
        <f t="shared" si="315"/>
        <v>0</v>
      </c>
      <c r="GL30" s="808">
        <f t="shared" si="316"/>
        <v>0</v>
      </c>
      <c r="GM30" s="808">
        <f t="shared" si="317"/>
        <v>0</v>
      </c>
      <c r="GN30" s="808">
        <f t="shared" si="318"/>
        <v>1</v>
      </c>
      <c r="GO30" s="808">
        <f t="shared" si="319"/>
        <v>0</v>
      </c>
      <c r="GP30" s="808">
        <f t="shared" si="320"/>
        <v>0</v>
      </c>
      <c r="GQ30" s="808">
        <f t="shared" si="321"/>
        <v>0</v>
      </c>
      <c r="GR30" s="808">
        <f t="shared" si="322"/>
        <v>0</v>
      </c>
      <c r="GS30" s="808">
        <f t="shared" si="323"/>
        <v>0</v>
      </c>
      <c r="GT30" s="808">
        <f t="shared" si="324"/>
        <v>0</v>
      </c>
      <c r="GU30" s="809">
        <f ca="1">SUMIFS(RZ[Sloupec1],RZ[0],AX30)</f>
        <v>1</v>
      </c>
      <c r="GV30" s="809">
        <f ca="1">SUMIFS(RZ[Sloupec2],RZ[0],AX30,RZ[Úroveň 2 (P0)],AY30)</f>
        <v>1</v>
      </c>
      <c r="GW30" s="809">
        <f ca="1">SUMIFS(RZ[Sloupec3],RZ[0],AX30,RZ[Úroveň 2 (P0)],AY30,RZ[Úroveň 3 (P0)],AZ30)</f>
        <v>1</v>
      </c>
      <c r="GX30" s="809">
        <f ca="1">SUMIFS(RZ[Sloupec4],RZ[0],AX30,RZ[Úroveň 2 (P0)],AY30,RZ[Úroveň 3 (P0)],AZ30,RZ[Úroveň 4 (P0)],BA30)</f>
        <v>1</v>
      </c>
      <c r="GY30" s="809">
        <f ca="1">SUMIFS(RZ[Sloupec5],RZ[0],AX30,RZ[Úroveň 2 (P0)],AY30,RZ[Úroveň 3 (P0)],AZ30,RZ[Úroveň 4 (P0)],BA30,RZ[Úroveň 5 (P0)],BB30)</f>
        <v>0</v>
      </c>
      <c r="GZ30" s="809">
        <f ca="1">SUMIFS(RZ[Sloupec6],RZ[0],AX30,RZ[Úroveň 2 (P0)],AY30,RZ[Úroveň 3 (P0)],AZ30,RZ[Úroveň 4 (P0)],BA30,RZ[Úroveň 5 (P0)],BB30,RZ[Úroveň 6 (P0)],BC30)</f>
        <v>0</v>
      </c>
      <c r="HA30" s="809">
        <f ca="1">SUMIFS(RZ[Sloupec62],RZ[0],AX30,RZ[Úroveň 2 (P0)],AY30,RZ[Úroveň 3 (P0)],AZ30,RZ[Úroveň 4 (P0)],BA30,RZ[Úroveň 5 (P0)],BB30,RZ[Úroveň 6 (P0)],BC30,RZ[Úroveň 7 (P0)],BD30)</f>
        <v>0</v>
      </c>
      <c r="HB30" s="809">
        <f ca="1">SUMIFS(RZ[Sloupec63],RZ[0],AX30,RZ[Úroveň 2 (P0)],AY30,RZ[Úroveň 3 (P0)],AZ30,RZ[Úroveň 4 (P0)],BA30,RZ[Úroveň 5 (P0)],BB30,RZ[Úroveň 6 (P0)],BC30,RZ[Úroveň 7 (P0)],BD30,RZ[Úroveň 8 (P0)],BE30)</f>
        <v>0</v>
      </c>
      <c r="HC30" s="809">
        <f ca="1">SUMIFS(RZ[Sloupec64],RZ[0],AX30,RZ[Úroveň 2 (P0)],AY30,RZ[Úroveň 3 (P0)],AZ30,RZ[Úroveň 4 (P0)],BA30,RZ[Úroveň 5 (P0)],BB30,RZ[Úroveň 6 (P0)],BC30,RZ[Úroveň 7 (P0)],BD30,RZ[Úroveň 8 (P0)],BE30,RZ[Úroveň 9 (P0)],BF30)</f>
        <v>0</v>
      </c>
      <c r="HD30" s="809">
        <f ca="1">SUMIFS(RZ[Sloupec65],RZ[0],AX30,RZ[Úroveň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HE30" s="919">
        <f t="shared" ca="1" si="325"/>
        <v>1</v>
      </c>
      <c r="HF30" s="920" t="str">
        <f t="shared" si="326"/>
        <v/>
      </c>
      <c r="HG30" s="94" t="str">
        <f t="shared" si="327"/>
        <v/>
      </c>
      <c r="HH30" s="95" t="str">
        <f t="shared" si="328"/>
        <v/>
      </c>
      <c r="HI30" s="95" t="str">
        <f t="shared" si="329"/>
        <v/>
      </c>
      <c r="HJ30" s="96" t="str">
        <f t="shared" si="330"/>
        <v>Upínací pouzdro H3140 MB</v>
      </c>
      <c r="HK30" s="96" t="str">
        <f t="shared" si="331"/>
        <v/>
      </c>
      <c r="HL30" s="96" t="str">
        <f t="shared" si="332"/>
        <v/>
      </c>
      <c r="HM30" s="96" t="str">
        <f t="shared" si="333"/>
        <v/>
      </c>
      <c r="HN30" s="96" t="str">
        <f t="shared" si="334"/>
        <v/>
      </c>
      <c r="HO30" s="96" t="str">
        <f t="shared" si="335"/>
        <v/>
      </c>
      <c r="HP30" s="96" t="str">
        <f t="shared" si="336"/>
        <v/>
      </c>
      <c r="HQ30" s="145" t="str">
        <f t="shared" si="337"/>
        <v>STLO</v>
      </c>
      <c r="HR30" s="921" t="str">
        <f t="shared" si="338"/>
        <v/>
      </c>
      <c r="HS30" s="173">
        <f t="shared" si="339"/>
        <v>0</v>
      </c>
      <c r="HT30" s="100">
        <f t="shared" si="340"/>
        <v>0</v>
      </c>
      <c r="HU30" s="100">
        <f t="shared" si="341"/>
        <v>0</v>
      </c>
      <c r="HV30" s="908" t="str">
        <f t="shared" si="342"/>
        <v>Zajíc</v>
      </c>
      <c r="HW30" s="922">
        <f t="shared" si="343"/>
        <v>42950.626875000002</v>
      </c>
      <c r="HX30" s="224">
        <f t="shared" si="344"/>
        <v>0</v>
      </c>
      <c r="HY30" s="263" t="str">
        <f t="shared" si="345"/>
        <v>S</v>
      </c>
      <c r="HZ30" s="263" t="str">
        <f t="shared" si="346"/>
        <v>N</v>
      </c>
      <c r="IA30" s="150">
        <f t="shared" si="347"/>
        <v>1</v>
      </c>
      <c r="IB30" s="319">
        <f t="shared" si="348"/>
        <v>6000</v>
      </c>
      <c r="IC30" s="923">
        <f t="shared" si="349"/>
        <v>1</v>
      </c>
      <c r="ID30" s="924" t="str">
        <f t="shared" ca="1" si="350"/>
        <v>OK</v>
      </c>
      <c r="IE30" s="201" t="str">
        <f t="shared" si="351"/>
        <v>ks</v>
      </c>
      <c r="IF30" s="145">
        <f t="shared" si="352"/>
        <v>1</v>
      </c>
      <c r="IG30" s="216">
        <f t="shared" si="353"/>
        <v>12.1</v>
      </c>
      <c r="IH30" s="217">
        <f t="shared" si="354"/>
        <v>1</v>
      </c>
      <c r="II30" s="224" t="str">
        <f ca="1">IF(RZ[[#This Row],[Rozhodný sloupec indikativní ceny]]=1,"kg",IF($IW30=$JL$15,IF(JX30=0,JO30,JX30),IF($IW30=$KE$15,IF(KQ30=0,KH30,KQ30),IF($IW30=$KX$15,IF(LJ30=0,LA30,LJ30),IF($IW30=$LQ$15,IF(MC30=0,LT30,MC30),IF($IW30=$MJ$15,IF(NQ30=0,NH30,NQ30),0))))))</f>
        <v>ks</v>
      </c>
      <c r="IJ30" s="224">
        <f ca="1">IF((BH30+OFFSET(BH30,1,1,1,1))=2,RZ[[#This Row],[Počet MJHR (P0)]],IF((BI30+OFFSET(BI30,1,1,1,1))=2,RZ[[#This Row],[Počet MJHR (P0)]],IF((BJ30+OFFSET(BJ30,1,1,1,1))=2,RZ[[#This Row],[Počet MJHR (P0)]],IF((BK30+OFFSET(BK30,1,1,1,1))=2,RZ[[#This Row],[Počet MJHR (P0)]],IF((BL30+OFFSET(BL30,1,1,1,1))=2,RZ[[#This Row],[Počet MJHR (P0)]],IF((BM30+OFFSET(BM30,1,1,1,1))=2,RZ[[#This Row],[Počet MJHR (P0)]],IF((BN30+OFFSET(BN30,1,1,1,1))=2,RZ[[#This Row],[Počet MJHR (P0)]],IF((BO30+OFFSET(BO30,1,1,1,1))=2,RZ[[#This Row],[Počet MJHR (P0)]],IF((BP30+OFFSET(BP30,1,1,1,1))=2,RZ[[#This Row],[Počet MJHR (P0)]],IF((BQ30+OFFSET(BQ30,1,1,1,1))=2,RZ[[#This Row],[Počet MJHR (P0)]],IF(RZ[[#This Row],[Měrná jednotka CR (MJCR) (P0)]]=RZ[[#This Row],[Měrná jednotka HR '[MJHR'] (P0)]],RZ[[#This Row],[Počet MJHR (P0)]],IF($IW30=$JL$15,JY30,IF($IW30=$KE$15,KR30,IF($IW30=$KX$15,LK30,IF($IW30=$LQ$15,MD30,IF($IW30=$MJ$15,NR30,0))))))))))))))))</f>
        <v>1</v>
      </c>
      <c r="IK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30" s="145">
        <f ca="1">IF(AND(RZ[[#This Row],[Jednotková cena bez DPH '[cena/MJCR'] (P0)]]=0,RZ[[#This Row],[Indikativní jednotková cena '[CZK/kg'] (P1)]]&lt;&gt;0),1,0)</f>
        <v>0</v>
      </c>
      <c r="IM30" s="217">
        <f ca="1">VLOOKUP(RZ[[#This Row],[Kód položek]],INDIKAT_CENA,2,FALSE)</f>
        <v>0</v>
      </c>
      <c r="IN30" s="222">
        <f ca="1">IF(RZ[[#This Row],[Rozhodný sloupec indikativní ceny]]=1,RZ[[#This Row],[Indikativní jednotková cena '[CZK/kg'] (P1)]],RZ[[#This Row],[Jednotková cena bez DPH '[cena/MJCR'] (P0)]])</f>
        <v>6000</v>
      </c>
      <c r="IO30" s="222">
        <f t="shared" si="355"/>
        <v>1</v>
      </c>
      <c r="IP30" s="224">
        <f ca="1">IF(RZ[[#This Row],[Rozhodný sloupec indikativní ceny]]=1,1,IF($IW30=$JL$15,KA30,IF($IW30=$KE$15,KT30,IF($IW30=$KX$15,LM30,IF($IW30=$LQ$15,MF30,IF($IW30=$MJ$15,NT30,0))))))</f>
        <v>1</v>
      </c>
      <c r="IQ30" s="225">
        <f ca="1">IF(RZ[[#This Row],[Jednotková cena bez DPH '[cena/MJCR'] (P1)]]="",0,IF(IP30=0,0,(RZ[[#This Row],[Jednotková cena bez DPH '[cena/MJCR'] (P1)]]*VLOOKUP(IP30,$BR$7:$BT$10,3))))</f>
        <v>6000</v>
      </c>
      <c r="IR30" s="737"/>
      <c r="IS30" s="627">
        <f>IF(HY30=0,"",VLOOKUP(RZ[[#This Row],[Stav Projekce (P0)]],Vstupy!$E$11:'Vstupy'!$E$11:$H$17,4,FALSE))</f>
        <v>100</v>
      </c>
      <c r="IT30" s="925" t="str">
        <f>IF(RZ[[#This Row],[Stav Projekce (P0)]]=0,"",RZ[[#This Row],[Stav Projekce (P0)]])</f>
        <v>S</v>
      </c>
      <c r="IU30" s="925" t="str">
        <f>IF(RZ[[#This Row],[Stav Nákup (P0)]]=0,"",RZ[[#This Row],[Stav Nákup (P0)]])</f>
        <v>N</v>
      </c>
      <c r="IV30" s="926" t="str">
        <f t="shared" si="356"/>
        <v>Zajíc</v>
      </c>
      <c r="IW30" s="641">
        <v>1</v>
      </c>
      <c r="IX30" s="630"/>
      <c r="IY30" s="264"/>
      <c r="IZ30" s="648"/>
      <c r="JA30" s="100"/>
      <c r="JB30" s="100"/>
      <c r="JC30" s="100" t="s">
        <v>838</v>
      </c>
      <c r="JD30" s="100"/>
      <c r="JE30" s="100"/>
      <c r="JF30" s="100"/>
      <c r="JG30" s="100"/>
      <c r="JH30" s="100"/>
      <c r="JI30" s="100"/>
      <c r="JJ30" s="145" t="s">
        <v>797</v>
      </c>
      <c r="JK30" s="529"/>
      <c r="JL30" s="286"/>
      <c r="JM30" s="100"/>
      <c r="JN30" s="100"/>
      <c r="JO30" s="145" t="s">
        <v>35</v>
      </c>
      <c r="JP30" s="117">
        <v>1</v>
      </c>
      <c r="JQ30" s="117">
        <v>12.1</v>
      </c>
      <c r="JR30" s="148">
        <v>1</v>
      </c>
      <c r="JS30" s="145" t="s">
        <v>602</v>
      </c>
      <c r="JT30" s="631"/>
      <c r="JU30" s="148" t="s">
        <v>853</v>
      </c>
      <c r="JV30" s="154">
        <v>42950.626875000002</v>
      </c>
      <c r="JW30" s="145"/>
      <c r="JX30" s="210" t="s">
        <v>35</v>
      </c>
      <c r="JY30" s="117"/>
      <c r="JZ30" s="662">
        <v>6000</v>
      </c>
      <c r="KA30" s="145">
        <v>1</v>
      </c>
      <c r="KB30" s="148">
        <v>1</v>
      </c>
      <c r="KC30" s="148" t="s">
        <v>611</v>
      </c>
      <c r="KD30" s="644"/>
      <c r="KE30" s="286"/>
      <c r="KF30" s="100"/>
      <c r="KG30" s="100"/>
      <c r="KH30" s="210"/>
      <c r="KI30" s="117"/>
      <c r="KJ30" s="117"/>
      <c r="KK30" s="148"/>
      <c r="KL30" s="145"/>
      <c r="KM30" s="632"/>
      <c r="KN30" s="148"/>
      <c r="KO30" s="154"/>
      <c r="KP30" s="154"/>
      <c r="KQ30" s="210"/>
      <c r="KR30" s="117"/>
      <c r="KS30" s="211"/>
      <c r="KT30" s="145"/>
      <c r="KU30" s="148"/>
      <c r="KV30" s="148"/>
      <c r="KW30" s="265"/>
      <c r="KX30" s="286"/>
      <c r="KY30" s="100"/>
      <c r="KZ30" s="100"/>
      <c r="LA30" s="210"/>
      <c r="LB30" s="117"/>
      <c r="LC30" s="117"/>
      <c r="LD30" s="148"/>
      <c r="LE30" s="145"/>
      <c r="LF30" s="632"/>
      <c r="LG30" s="148"/>
      <c r="LH30" s="154"/>
      <c r="LI30" s="154"/>
      <c r="LJ30" s="154"/>
      <c r="LK30" s="117"/>
      <c r="LL30" s="211"/>
      <c r="LM30" s="210"/>
      <c r="LN30" s="148"/>
      <c r="LO30" s="148"/>
      <c r="LP30" s="265"/>
      <c r="LQ30" s="286"/>
      <c r="LR30" s="100"/>
      <c r="LS30" s="100"/>
      <c r="LT30" s="210"/>
      <c r="LU30" s="117"/>
      <c r="LV30" s="117"/>
      <c r="LW30" s="148"/>
      <c r="LX30" s="145"/>
      <c r="LY30" s="632"/>
      <c r="LZ30" s="148"/>
      <c r="MA30" s="154"/>
      <c r="MB30" s="154"/>
      <c r="MC30" s="145"/>
      <c r="MD30" s="117"/>
      <c r="ME30" s="211"/>
      <c r="MF30" s="210"/>
      <c r="MG30" s="148"/>
      <c r="MH30" s="148"/>
      <c r="MI30" s="265"/>
      <c r="MJ30" s="647"/>
      <c r="MK30" s="264"/>
      <c r="ML30" s="153"/>
      <c r="MM30" s="153"/>
      <c r="MN30" s="153"/>
      <c r="MO30" s="153"/>
      <c r="MP30" s="153"/>
      <c r="MQ30" s="153"/>
      <c r="MR30" s="153"/>
      <c r="MS30" s="99"/>
      <c r="MT30" s="99"/>
      <c r="MU30" s="99"/>
      <c r="MV30" s="99"/>
      <c r="MW30" s="99"/>
      <c r="MX30" s="99"/>
      <c r="MY30" s="153"/>
      <c r="MZ30" s="153"/>
      <c r="NA30" s="153"/>
      <c r="NB30" s="153"/>
      <c r="NC30" s="153"/>
      <c r="ND30" s="153"/>
      <c r="NE30" s="148"/>
      <c r="NF30" s="153"/>
      <c r="NG30" s="153"/>
      <c r="NH30" s="330" t="str">
        <f t="shared" si="357"/>
        <v>ks</v>
      </c>
      <c r="NI30" s="797">
        <f>RZ[[#This Row],[Počet ks (K)]]</f>
        <v>0</v>
      </c>
      <c r="NJ30" s="798">
        <f>RZ[[#This Row],[Hmotnost '[kg/ks'] (K)]]</f>
        <v>0</v>
      </c>
      <c r="NK30" s="148"/>
      <c r="NL30" s="145"/>
      <c r="NM30" s="632"/>
      <c r="NN30" s="148"/>
      <c r="NO30" s="154"/>
      <c r="NP30" s="153"/>
      <c r="NQ30" s="153"/>
      <c r="NR30" s="210"/>
      <c r="NS30" s="148"/>
      <c r="NT30" s="210"/>
      <c r="NU30" s="148"/>
      <c r="NV30" s="148"/>
      <c r="NW30" s="175"/>
    </row>
    <row r="31" spans="2:387" ht="15.95" customHeight="1" x14ac:dyDescent="0.35">
      <c r="B31" s="118" t="str">
        <f t="shared" si="250"/>
        <v/>
      </c>
      <c r="C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1" s="262" t="str">
        <f t="shared" si="251"/>
        <v xml:space="preserve">      Spojovací materíál</v>
      </c>
      <c r="E31" s="120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Row],[Kód položek (P2)]]))))))))))</f>
        <v>STSM</v>
      </c>
      <c r="F31" s="791" t="str">
        <f t="shared" si="252"/>
        <v>N/A</v>
      </c>
      <c r="G31" s="792" t="str">
        <f t="shared" si="253"/>
        <v/>
      </c>
      <c r="H31" s="262" t="str">
        <f t="shared" si="254"/>
        <v/>
      </c>
      <c r="I31" s="123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HR '[MJHR'] (P0)]]))))))))))</f>
        <v>ks</v>
      </c>
      <c r="J31" s="123">
        <f t="shared" si="255"/>
        <v>1</v>
      </c>
      <c r="K31" s="793">
        <f>RZ[[#This Row],[Koeficient odhadu HR '[-'] (P1)]]</f>
        <v>1</v>
      </c>
      <c r="L31" s="124">
        <f ca="1">RZ[[#This Row],[Jednotková hmotnost s koef. '[kg/MJHR'] (P0)]]</f>
        <v>4.282</v>
      </c>
      <c r="M31" s="794">
        <f t="shared" ca="1" si="256"/>
        <v>0</v>
      </c>
      <c r="N31" s="125">
        <f t="shared" ca="1" si="257"/>
        <v>4.282</v>
      </c>
      <c r="O31" s="125">
        <f t="shared" ca="1" si="258"/>
        <v>0</v>
      </c>
      <c r="P31" s="126" t="str">
        <f t="shared" si="259"/>
        <v/>
      </c>
      <c r="Q31" s="795">
        <f ca="1">RZ[[#This Row],[Počet MJHR v rozpadu (P0)]]</f>
        <v>2</v>
      </c>
      <c r="R31" s="439" t="str">
        <f t="shared" si="260"/>
        <v/>
      </c>
      <c r="S31" s="129" t="str">
        <f t="shared" si="261"/>
        <v/>
      </c>
      <c r="T31" s="126" t="str">
        <f t="shared" si="262"/>
        <v/>
      </c>
      <c r="U31" s="126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CR (MJCR) (P0)]]))))))))))</f>
        <v>kg</v>
      </c>
      <c r="V31" s="575">
        <f t="shared" ca="1" si="263"/>
        <v>4.282</v>
      </c>
      <c r="W31" s="322">
        <f>RZ[[#This Row],[Koeficient odhadu CR '[-'] (P1)]]</f>
        <v>1</v>
      </c>
      <c r="X31" s="440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Row],[Jednotková cena bez DPH '[cena/MJCR'] (P1)]]*RZ[[#This Row],[Koeficient odhadu CR '[-']]]))))))))))</f>
        <v>110</v>
      </c>
      <c r="Y31" s="440">
        <f t="shared" ca="1" si="264"/>
        <v>0</v>
      </c>
      <c r="Z31" s="142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VLOOKUP(IP31,$BR$7:$BS$11,2,FALSE)))))))))))</f>
        <v>CZK</v>
      </c>
      <c r="AA31" s="909">
        <f t="shared" ca="1" si="265"/>
        <v>8.5640000000000001</v>
      </c>
      <c r="AB31" s="910">
        <f ca="1">RZ[[#This Row],[Kumulovaný koeficient v rozpadu (P0)]]</f>
        <v>1</v>
      </c>
      <c r="AC31" s="261"/>
      <c r="AD31" s="796">
        <f ca="1">RZ[[#This Row],[Jednotková cena bez DPH '[cena/MJCR'] s koef. (P0)]]/RZ[[#This Row],[Koeficient odhadu CR '[-']]]*RZ[[#This Row],[Kumulovaný koeficient odhadu CR  '[-']]]</f>
        <v>110</v>
      </c>
      <c r="AE31" s="796">
        <f t="shared" ca="1" si="266"/>
        <v>942.04</v>
      </c>
      <c r="AF31" s="796">
        <f ca="1">-IF(ISNUMBER(AA31),RZ[[#This Row],[Celková cena bez DPH (1)]]-RZ[[#This Row],[Jednotková cena bez DPH '[cena/MJCR'] bez koef. (P0)]]*AA31,0)</f>
        <v>0</v>
      </c>
      <c r="AG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31" s="261"/>
      <c r="AI31" s="796">
        <f t="shared" ca="1" si="146"/>
        <v>4.0740740740740744</v>
      </c>
      <c r="AJ31" s="796">
        <f t="shared" ca="1" si="147"/>
        <v>34.89037037037037</v>
      </c>
      <c r="AK31" s="796">
        <f t="shared" ca="1" si="148"/>
        <v>0</v>
      </c>
      <c r="AL31" s="753">
        <f ca="1">RZ[[#This Row],[Kilogramová cena bez DPH '[cena/kg'] (1)]]/$AK$13</f>
        <v>4.0740740740740744</v>
      </c>
      <c r="AM31" s="261"/>
      <c r="AN31" s="796">
        <f t="shared" ca="1" si="149"/>
        <v>5.3140096618357493</v>
      </c>
      <c r="AO31" s="796">
        <f t="shared" ca="1" si="150"/>
        <v>45.50917874396135</v>
      </c>
      <c r="AP31" s="796">
        <f t="shared" ca="1" si="151"/>
        <v>0</v>
      </c>
      <c r="AQ31" s="753">
        <f ca="1">RZ[[#This Row],[Kilogramová cena bez DPH '[cena/kg'] (1)]]/$AP$13</f>
        <v>5.3140096618357493</v>
      </c>
      <c r="AR31" s="261"/>
      <c r="AS31" s="796">
        <f t="shared" ca="1" si="152"/>
        <v>3.0087527352297592</v>
      </c>
      <c r="AT31" s="796">
        <f t="shared" ca="1" si="153"/>
        <v>25.766958424507656</v>
      </c>
      <c r="AU31" s="789">
        <f t="shared" ca="1" si="154"/>
        <v>0</v>
      </c>
      <c r="AV31" s="767">
        <f ca="1">RZ[[#This Row],[Kilogramová cena bez DPH '[cena/kg'] (1)]]/$AU$13</f>
        <v>3.0087527352297592</v>
      </c>
      <c r="AW31" s="165"/>
      <c r="AX31" s="911">
        <f t="shared" ca="1" si="267"/>
        <v>2</v>
      </c>
      <c r="AY31" s="111">
        <f t="shared" ca="1" si="268"/>
        <v>1</v>
      </c>
      <c r="AZ31" s="111">
        <f t="shared" ca="1" si="269"/>
        <v>8</v>
      </c>
      <c r="BA31" s="111">
        <f t="shared" ca="1" si="270"/>
        <v>4</v>
      </c>
      <c r="BB31" s="111">
        <f t="shared" ca="1" si="271"/>
        <v>0</v>
      </c>
      <c r="BC31" s="111">
        <f t="shared" ca="1" si="272"/>
        <v>0</v>
      </c>
      <c r="BD31" s="111">
        <f t="shared" ca="1" si="273"/>
        <v>0</v>
      </c>
      <c r="BE31" s="111">
        <f t="shared" ca="1" si="274"/>
        <v>0</v>
      </c>
      <c r="BF31" s="111">
        <f t="shared" ca="1" si="275"/>
        <v>0</v>
      </c>
      <c r="BG31" s="112">
        <f t="shared" ca="1" si="276"/>
        <v>0</v>
      </c>
      <c r="BH31" s="911">
        <f t="shared" si="277"/>
        <v>0</v>
      </c>
      <c r="BI31" s="111">
        <f t="shared" si="278"/>
        <v>0</v>
      </c>
      <c r="BJ31" s="111">
        <f t="shared" si="279"/>
        <v>0</v>
      </c>
      <c r="BK31" s="111">
        <f t="shared" si="280"/>
        <v>1</v>
      </c>
      <c r="BL31" s="111">
        <f t="shared" si="281"/>
        <v>0</v>
      </c>
      <c r="BM31" s="111">
        <f t="shared" si="282"/>
        <v>0</v>
      </c>
      <c r="BN31" s="111">
        <f t="shared" si="283"/>
        <v>0</v>
      </c>
      <c r="BO31" s="111">
        <f t="shared" si="284"/>
        <v>0</v>
      </c>
      <c r="BP31" s="111">
        <f t="shared" si="285"/>
        <v>0</v>
      </c>
      <c r="BQ31" s="112">
        <f t="shared" si="286"/>
        <v>0</v>
      </c>
      <c r="BR31" s="132">
        <f ca="1">IF(OFFSET(AY31,1,0,1,1)&lt;&gt;0,RZ[[#This Row],[Koeficient odhadu HR '[-'] (P1)]]*$BH31*SUMIFS(RZ[Úroveň 2 s koef. (P2)],RZ[0],AX31),RZ[[#This Row],[Koeficient odhadu HR '[-'] (P1)]]*$BH31*$IG31)</f>
        <v>0</v>
      </c>
      <c r="BS31" s="186">
        <f ca="1">IF(OFFSET(AY31,1,0,1,1)&lt;&gt;0,$BH31*SUMIFS(RZ[Úroveň 2 bez koef. (P2)],RZ[0],AX31),$BH31*$IG31)</f>
        <v>0</v>
      </c>
      <c r="BT31" s="138">
        <f ca="1">RZ[[#This Row],[Úroveň 2 s koef. (P2a)]]*RZ[[#This Row],[Počet MJHR (P0)]]</f>
        <v>0</v>
      </c>
      <c r="BU31" s="138">
        <f ca="1">RZ[[#This Row],[Úroveň 2 bez koef. (P2a)]]*RZ[[#This Row],[Počet MJHR (P0)]]</f>
        <v>0</v>
      </c>
      <c r="BV31" s="138">
        <f ca="1">IF(OFFSET(AZ31,1,0,1,1)&lt;&gt;0,RZ[[#This Row],[Koeficient odhadu HR '[-'] (P1)]]*$BI31*SUMIFS(RZ[Úroveň 3 s koef. (P2)],RZ[0],AX31,RZ[Úroveň 2 (P0)],AY31),RZ[[#This Row],[Koeficient odhadu HR '[-'] (P1)]]*$BI31*$IG31)</f>
        <v>0</v>
      </c>
      <c r="BW31" s="138">
        <f ca="1">IF(OFFSET(AZ31,1,0,1,1)&lt;&gt;0,$BI31*SUMIFS(RZ[Úroveň 3 bez koef. (P2)],RZ[0],AX31,RZ[Úroveň 2 (P0)],AY31),$BI31*$IG31)</f>
        <v>0</v>
      </c>
      <c r="BX31" s="132">
        <f ca="1">RZ[[#This Row],[Úroveň 3 s koef. (P2a)]]*RZ[[#This Row],[Počet MJHR (P0)]]</f>
        <v>0</v>
      </c>
      <c r="BY31" s="132">
        <f ca="1">RZ[Úroveň 3 bez koef. (P2a)]*RZ[[#This Row],[Počet MJHR (P0)]]</f>
        <v>0</v>
      </c>
      <c r="BZ31" s="132">
        <f ca="1">IF(OFFSET(BA31,1,0,1,1)&lt;&gt;0,RZ[[#This Row],[Koeficient odhadu HR '[-'] (P1)]]*$BJ31*SUMIFS(RZ[Úroveň 4 s koef. (P2)],RZ[0],AX31,RZ[Úroveň 2 (P0)],AY31,RZ[Úroveň 3 (P0)],AZ31),RZ[[#This Row],[Koeficient odhadu HR '[-'] (P1)]]*$BJ31*$IG31)</f>
        <v>0</v>
      </c>
      <c r="CA31" s="132">
        <f ca="1">IF(OFFSET(BA31,1,0,1,1)&lt;&gt;0,$BJ31*SUMIFS(RZ[Úroveň 4 bez koef. (P2)],RZ[0],AX31,RZ[Úroveň 2 (P0)],AY31,RZ[Úroveň 3 (P0)],AZ31),$BJ31*$IG31)</f>
        <v>0</v>
      </c>
      <c r="CB31" s="138">
        <f ca="1">RZ[[#This Row],[Úroveň 4 s koef. (P2a)]]*RZ[[#This Row],[Počet MJHR (P0)]]</f>
        <v>4.282</v>
      </c>
      <c r="CC31" s="138">
        <f ca="1">RZ[Úroveň 4 bez koef. (P2a)]*RZ[[#This Row],[Počet MJHR (P0)]]</f>
        <v>4.282</v>
      </c>
      <c r="CD31" s="138">
        <f ca="1">IF(OFFSET(BB31,1,0,1,1)&lt;&gt;0,RZ[[#This Row],[Koeficient odhadu HR '[-'] (P1)]]*$BK31*SUMIFS(RZ[Úroveň 5 s koef. (P2)],RZ[0],AX31,RZ[Úroveň 2 (P0)],AY31,RZ[Úroveň 3 (P0)],AZ31,RZ[Úroveň 4 (P0)],BA31),RZ[[#This Row],[Koeficient odhadu HR '[-'] (P1)]]*$BK31*$IG31)</f>
        <v>4.282</v>
      </c>
      <c r="CE31" s="138">
        <f ca="1">IF(OFFSET(BB31,1,0,1,1)&lt;&gt;0,$BK31*SUMIFS(RZ[Úroveň 5 bez koef. (P2)],RZ[0],AX31,RZ[Úroveň 2 (P0)],AY31,RZ[Úroveň 3 (P0)],AZ31,RZ[Úroveň 4 (P0)],BA31),$BK31*$IG31)</f>
        <v>4.282</v>
      </c>
      <c r="CF31" s="132">
        <f ca="1">RZ[[#This Row],[Úroveň 5 s koef. (P2a)]]*RZ[[#This Row],[Počet MJHR (P0)]]</f>
        <v>0</v>
      </c>
      <c r="CG31" s="132">
        <f ca="1">RZ[Úroveň 5 bez koef. (P2a)]*RZ[[#This Row],[Počet MJHR (P0)]]</f>
        <v>0</v>
      </c>
      <c r="CH31" s="132">
        <f ca="1">IF(OFFSET(BC31,1,0,1,1)&lt;&gt;0,RZ[[#This Row],[Koeficient odhadu HR '[-'] (P1)]]*$BL31*SUMIFS(RZ[Úroveň 6 s koef. (P2)],RZ[0],AX31,RZ[Úroveň 2 (P0)],AY31,RZ[Úroveň 3 (P0)],AZ31,RZ[Úroveň 4 (P0)],BA31,RZ[Úroveň 5 (P0)],BB31),RZ[[#This Row],[Koeficient odhadu HR '[-'] (P1)]]*$BL31*$IG31)</f>
        <v>0</v>
      </c>
      <c r="CI31" s="132">
        <f ca="1">IF(OFFSET(BC31,1,0,1,1)&lt;&gt;0,$BL31*SUMIFS(RZ[Úroveň 6 bez koef. (P2)],RZ[0],AX31,RZ[Úroveň 2 (P0)],AY31,RZ[Úroveň 3 (P0)],AZ31,RZ[Úroveň 4 (P0)],BA31,RZ[Úroveň 5 (P0)],BB31),$BL31*$IG31)</f>
        <v>0</v>
      </c>
      <c r="CJ31" s="138">
        <f ca="1">RZ[[#This Row],[Úroveň 6 s koef. (P2a)]]*RZ[[#This Row],[Počet MJHR (P0)]]</f>
        <v>0</v>
      </c>
      <c r="CK31" s="138">
        <f ca="1">RZ[Úroveň 6 bez koef. (P2a)]*RZ[[#This Row],[Počet MJHR (P0)]]</f>
        <v>0</v>
      </c>
      <c r="CL31" s="138">
        <f ca="1">IF(OFFSET(BD31,1,0,1,1)&lt;&gt;0,RZ[[#This Row],[Koeficient odhadu HR '[-'] (P1)]]*$BM31*SUMIFS(RZ[Úroveň 7 s koef. (P2)],RZ[0],AX31,RZ[Úroveň 2 (P0)],AY31,RZ[Úroveň 3 (P0)],AZ31,RZ[Úroveň 4 (P0)],BA31,RZ[Úroveň 5 (P0)],BB31,RZ[Úroveň 6 (P0)],BC31),RZ[[#This Row],[Koeficient odhadu HR '[-'] (P1)]]*$BM31*$IG31)</f>
        <v>0</v>
      </c>
      <c r="CM31" s="138">
        <f ca="1">IF(OFFSET(BD31,1,0,1,1)&lt;&gt;0,$BM31*SUMIFS(RZ[Úroveň 7 bez koef. (P2)],RZ[0],AX31,RZ[Úroveň 2 (P0)],AY31,RZ[Úroveň 3 (P0)],AZ31,RZ[Úroveň 4 (P0)],BA31,RZ[Úroveň 5 (P0)],BB31,RZ[Úroveň 6 (P0)],BC31),$BM31*$IG31)</f>
        <v>0</v>
      </c>
      <c r="CN31" s="132">
        <f ca="1">RZ[[#This Row],[Úroveň 7 s koef. (P2a)]]*RZ[[#This Row],[Počet MJHR (P0)]]</f>
        <v>0</v>
      </c>
      <c r="CO31" s="132">
        <f ca="1">RZ[Úroveň 7 bez koef. (P2a)]*RZ[[#This Row],[Počet MJHR (P0)]]</f>
        <v>0</v>
      </c>
      <c r="CP31" s="132">
        <f ca="1">IF(OFFSET(BE31,1,0,1,1)&lt;&gt;0,RZ[[#This Row],[Koeficient odhadu HR '[-'] (P1)]]*$BN31*SUMIFS(RZ[Úroveň 8 s koef. (P2)],RZ[0],AX31,RZ[Úroveň 2 (P0)],AY31,RZ[Úroveň 3 (P0)],AZ31,RZ[Úroveň 4 (P0)],BA31,RZ[Úroveň 5 (P0)],BB31,RZ[Úroveň 6 (P0)],BC31,RZ[Úroveň 7 (P0)],BD31),RZ[[#This Row],[Koeficient odhadu HR '[-'] (P1)]]*$BN31*$IG31)</f>
        <v>0</v>
      </c>
      <c r="CQ31" s="132">
        <f ca="1">IF(OFFSET(BE31,1,0,1,1)&lt;&gt;0,$BN31*SUMIFS(RZ[Úroveň 8 bez koef. (P2)],RZ[0],AX31,RZ[Úroveň 2 (P0)],AY31,RZ[Úroveň 3 (P0)],AZ31,RZ[Úroveň 4 (P0)],BA31,RZ[Úroveň 5 (P0)],BB31,RZ[Úroveň 6 (P0)],BC31,RZ[Úroveň 7 (P0)],BD31),$BN31*$IG31)</f>
        <v>0</v>
      </c>
      <c r="CR31" s="138">
        <f ca="1">RZ[[#This Row],[Úroveň 8 s koef. (P2a)]]*RZ[[#This Row],[Počet MJHR (P0)]]</f>
        <v>0</v>
      </c>
      <c r="CS31" s="138">
        <f ca="1">RZ[Úroveň 8 bez koef. (P2a)]*RZ[[#This Row],[Počet MJHR (P0)]]</f>
        <v>0</v>
      </c>
      <c r="CT31" s="138">
        <f ca="1">IF(OFFSET(BF31,1,0,1,1)&lt;&gt;0,RZ[[#This Row],[Koeficient odhadu HR '[-'] (P1)]]*$BO31*SUMIFS(RZ[Úroveň 9 s koef. (P2)],RZ[0],AX31,RZ[Úroveň 2 (P0)],AY31,RZ[Úroveň 3 (P0)],AZ31,RZ[Úroveň 4 (P0)],BA31,RZ[Úroveň 5 (P0)],BB31,RZ[Úroveň 6 (P0)],BC31,RZ[Úroveň 7 (P0)],BD31,RZ[Úroveň 8 (P0)],BE31),RZ[[#This Row],[Koeficient odhadu HR '[-'] (P1)]]*$BO31*$IG31)</f>
        <v>0</v>
      </c>
      <c r="CU31" s="138">
        <f ca="1">IF(OFFSET(BF31,1,0,1,1)&lt;&gt;0,$BO31*SUMIFS(RZ[Úroveň 9 bez koef. (P2)],RZ[0],AX31,RZ[Úroveň 2 (P0)],AY31,RZ[Úroveň 3 (P0)],AZ31,RZ[Úroveň 4 (P0)],BA31,RZ[Úroveň 5 (P0)],BB31,RZ[Úroveň 6 (P0)],BC31,RZ[Úroveň 7 (P0)],BD31,RZ[Úroveň 8 (P0)],BE31),$BO31*$IG31)</f>
        <v>0</v>
      </c>
      <c r="CV31" s="132">
        <f ca="1">RZ[[#This Row],[Úroveň 9 s koef. (P2a)]]*RZ[[#This Row],[Počet MJHR (P0)]]</f>
        <v>0</v>
      </c>
      <c r="CW31" s="132">
        <f ca="1">RZ[Úroveň 9 bez koef. (P2a)]*RZ[[#This Row],[Počet MJHR (P0)]]</f>
        <v>0</v>
      </c>
      <c r="CX31" s="132">
        <f ca="1">IF(OFFSET(BG31,1,0,1,1)&lt;&gt;0,RZ[[#This Row],[Koeficient odhadu HR '[-'] (P1)]]*$BP31*SUMIFS(RZ[Úroveň 10 s koef. (P2)],RZ[0],AX31,RZ[Úroveň 2 (P0)],AY31,RZ[Úroveň 3 (P0)],AZ31,RZ[Úroveň 4 (P0)],BA31,RZ[Úroveň 5 (P0)],BB31,RZ[Úroveň 6 (P0)],BC31,RZ[Úroveň 7 (P0)],BD31,RZ[Úroveň 8 (P0)],BE31,RZ[Úroveň 9 (P0)],BF31),RZ[[#This Row],[Koeficient odhadu HR '[-'] (P1)]]*$BP31*$IG31)</f>
        <v>0</v>
      </c>
      <c r="CY31" s="132">
        <f ca="1">IF(OFFSET(BG31,1,0,1,1)&lt;&gt;0,$BP31*SUMIFS(RZ[Úroveň 10 bez koef. (P2)],RZ[0],AX31,RZ[Úroveň 2 (P0)],AY31,RZ[Úroveň 3 (P0)],AZ31,RZ[Úroveň 4 (P0)],BA31,RZ[Úroveň 5 (P0)],BB31,RZ[Úroveň 6 (P0)],BC31,RZ[Úroveň 7 (P0)],BD31,RZ[Úroveň 8 (P0)],BE31,RZ[Úroveň 9 (P0)],BF31),$BP31*$IG31)</f>
        <v>0</v>
      </c>
      <c r="CZ31" s="138">
        <f>RZ[[#This Row],[Úroveň 10 s koef. (P2a)]]*RZ[[#This Row],[Počet MJHR (P0)]]</f>
        <v>0</v>
      </c>
      <c r="DA31" s="138">
        <f>RZ[Úroveň 10 bez koef. (P2a)]*RZ[[#This Row],[Počet MJHR (P0)]]</f>
        <v>0</v>
      </c>
      <c r="DB31" s="138">
        <f>RZ[[#This Row],[Koeficient odhadu HR '[-'] (P1)]]*$BQ31*IG31</f>
        <v>0</v>
      </c>
      <c r="DC31" s="231">
        <f t="shared" si="287"/>
        <v>0</v>
      </c>
      <c r="DD31" s="241">
        <f t="shared" ca="1" si="288"/>
        <v>4.282</v>
      </c>
      <c r="DE31" s="229">
        <f t="shared" ca="1" si="289"/>
        <v>4.282</v>
      </c>
      <c r="DF31" s="912">
        <f t="shared" si="290"/>
        <v>0</v>
      </c>
      <c r="DG31" s="913">
        <f t="shared" si="291"/>
        <v>0</v>
      </c>
      <c r="DH31" s="913">
        <f t="shared" si="292"/>
        <v>0</v>
      </c>
      <c r="DI31" s="913">
        <f t="shared" si="293"/>
        <v>1</v>
      </c>
      <c r="DJ31" s="913">
        <f t="shared" si="294"/>
        <v>0</v>
      </c>
      <c r="DK31" s="913">
        <f t="shared" si="295"/>
        <v>0</v>
      </c>
      <c r="DL31" s="913">
        <f t="shared" si="296"/>
        <v>0</v>
      </c>
      <c r="DM31" s="913">
        <f t="shared" si="297"/>
        <v>0</v>
      </c>
      <c r="DN31" s="913">
        <f t="shared" si="298"/>
        <v>0</v>
      </c>
      <c r="DO31" s="913">
        <f t="shared" si="299"/>
        <v>0</v>
      </c>
      <c r="DP31" s="914">
        <f ca="1">SUMIFS(RZ[Úroveň 1 (P4)],RZ[0],AX31)</f>
        <v>1</v>
      </c>
      <c r="DQ31" s="914">
        <f ca="1">SUMIFS(RZ[Úroveň 2 (P4)],RZ[0],AX31,RZ[Úroveň 2 (P0)],AY31)</f>
        <v>1</v>
      </c>
      <c r="DR31" s="914">
        <f ca="1">SUMIFS(RZ[Úroveň 3 (P4)],RZ[0],AX31,RZ[Úroveň 2 (P0)],AY31,RZ[Úroveň 3 (P0)],AZ31)</f>
        <v>2</v>
      </c>
      <c r="DS31" s="914">
        <f ca="1">SUMIFS(RZ[Úroveň 4 (P4)],RZ[0],AX31,RZ[Úroveň 2 (P0)],AY31,RZ[Úroveň 3 (P0)],AZ31,RZ[Úroveň 4 (P0)],BA31)</f>
        <v>1</v>
      </c>
      <c r="DT31" s="914">
        <f ca="1">SUMIFS(RZ[Úroveň 5 (P4)],RZ[0],AX31,RZ[Úroveň 2 (P0)],AY31,RZ[Úroveň 3 (P0)],AZ31,RZ[Úroveň 4 (P0)],BA31,RZ[Úroveň 5 (P0)],BB31)</f>
        <v>0</v>
      </c>
      <c r="DU31" s="914">
        <f ca="1">SUMIFS(RZ[Úroveň 6 (P4)],RZ[0],AX31,RZ[Úroveň 2 (P0)],AY31,RZ[Úroveň 3 (P0)],AZ31,RZ[Úroveň 4 (P0)],BA31,RZ[Úroveň 5 (P0)],BB31,RZ[Úroveň 6 (P0)],BC31)</f>
        <v>0</v>
      </c>
      <c r="DV31" s="914">
        <f ca="1">SUMIFS(RZ[Úroveň 7 (P4)],RZ[0],AX31,RZ[Úroveň 2 (P0)],AY31,RZ[Úroveň 3 (P0)],AZ31,RZ[Úroveň 4 (P0)],BA31,RZ[Úroveň 5 (P0)],BB31,RZ[Úroveň 6 (P0)],BC31,RZ[Úroveň 7 (P0)],BD31)</f>
        <v>0</v>
      </c>
      <c r="DW31" s="914">
        <f ca="1">SUMIFS(RZ[Úroveň 8 (P4)],RZ[0],AX31,RZ[Úroveň 2 (P0)],AY31,RZ[Úroveň 3 (P0)],AZ31,RZ[Úroveň 4 (P0)],BA31,RZ[Úroveň 5 (P0)],BB31,RZ[Úroveň 6 (P0)],BC31,RZ[Úroveň 7 (P0)],BD31,RZ[Úroveň 8 (P0)],BE31)</f>
        <v>0</v>
      </c>
      <c r="DX31" s="914">
        <f ca="1">SUMIFS(RZ[Úroveň 9 (P4)],RZ[0],AX31,RZ[Úroveň 2 (P0)],AY31,RZ[Úroveň 3 (P0)],AZ31,RZ[Úroveň 4 (P0)],BA31,RZ[Úroveň 5 (P0)],BB31,RZ[Úroveň 6 (P0)],BC31,RZ[Úroveň 7 (P0)],BD31,RZ[Úroveň 8 (P0)],BE31,RZ[Úroveň 9 (P0)],BF31)</f>
        <v>0</v>
      </c>
      <c r="DY31" s="914">
        <f ca="1">SUMIFS(RZ[Úroveň 10 (P4)],RZ[0],AX31,RZ[Úroveň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DZ31" s="915">
        <f t="shared" ca="1" si="300"/>
        <v>2</v>
      </c>
      <c r="EA31" s="916">
        <f ca="1">RZ[[#This Row],[Jednotková hmotnost bez koef. '[kg/MJHR'] (P0)]]*RZ[[#This Row],[Počet MJHR v rozpadu (P0)]]</f>
        <v>8.5640000000000001</v>
      </c>
      <c r="EB31" s="917">
        <f ca="1">IF(OFFSET(AY31,1,0,1,1)&lt;&gt;0,RZ[[#This Row],[Koeficient odhadu CR '[-'] (P1)]]*$BH31*SUMIFS(RZ[Úroveň 2 s koef. (P3)],RZ[0],AX31),RZ[[#This Row],[Koeficient odhadu CR '[-'] (P1)]]*$BH31*$IQ31)</f>
        <v>0</v>
      </c>
      <c r="EC31" s="191">
        <f ca="1">IF(OFFSET(AY31,1,0,1,1)&lt;&gt;0,$BH31*SUMIFS(RZ[Úroveň 2 bez koef. (P3)],RZ[0],AX31),$BH31*$IQ31)</f>
        <v>0</v>
      </c>
      <c r="ED31" s="140">
        <f ca="1">RZ[[#This Row],[Úroveň 2 s koef. (P3a)]]*RZ[[#This Row],[Počet MJCR (P0) pro "kg"]]</f>
        <v>0</v>
      </c>
      <c r="EE31" s="140">
        <f ca="1">RZ[Úroveň 2 bez koef. (P3a)]*RZ[[#This Row],[Počet MJCR (P0) pro "kg"]]</f>
        <v>0</v>
      </c>
      <c r="EF31" s="140">
        <f ca="1">IF(OFFSET(AZ31,1,0,1,1)&lt;&gt;0,RZ[[#This Row],[Koeficient odhadu CR '[-'] (P1)]]*$BI31*SUMIFS(RZ[Úroveň 3 s koef. (P3)],RZ[0],AX31,RZ[Úroveň 2 (P0)],AY31),RZ[[#This Row],[Koeficient odhadu CR '[-'] (P1)]]*$BI31*$IQ31)</f>
        <v>0</v>
      </c>
      <c r="EG31" s="140">
        <f ca="1">IF(OFFSET(AZ31,1,0,1,1)&lt;&gt;0,$BI31*SUMIFS(RZ[Úroveň 3 bez koef. (P3)],RZ[0],AX31,RZ[Úroveň 2 (P0)],AY31),$BI31*$IQ31)</f>
        <v>0</v>
      </c>
      <c r="EH31" s="135">
        <f ca="1">RZ[[#This Row],[Úroveň 3 s koef. (P3a)]]*RZ[[#This Row],[Počet MJCR (P0) pro "kg"]]</f>
        <v>0</v>
      </c>
      <c r="EI31" s="135">
        <f ca="1">RZ[Úroveň 3 bez koef. (P3a)]*RZ[[#This Row],[Počet MJCR (P0) pro "kg"]]</f>
        <v>0</v>
      </c>
      <c r="EJ31" s="135">
        <f ca="1">IF(OFFSET(BA31,1,0,1,1)&lt;&gt;0,RZ[[#This Row],[Koeficient odhadu CR '[-'] (P1)]]*$BJ31*SUMIFS(RZ[Úroveň 4 s koef. (P3)],RZ[0],AX31,RZ[Úroveň 2 (P0)],AY31,RZ[Úroveň 3 (P0)],AZ31),RZ[[#This Row],[Koeficient odhadu CR '[-'] (P1)]]*$BJ31*$IQ31)</f>
        <v>0</v>
      </c>
      <c r="EK31" s="135">
        <f ca="1">IF(OFFSET(BA31,1,0,1,1)&lt;&gt;0,$BJ31*SUMIFS(RZ[Úroveň 4 bez koef. (P3)],RZ[0],AX31,RZ[Úroveň 2 (P0)],AY31,RZ[Úroveň 3 (P0)],AZ31),$BJ31*$IQ31)</f>
        <v>0</v>
      </c>
      <c r="EL31" s="140">
        <f ca="1">RZ[[#This Row],[Úroveň 4 s koef. (P3a)]]*RZ[[#This Row],[Počet MJCR (P0) pro "kg"]]</f>
        <v>471.02</v>
      </c>
      <c r="EM31" s="140">
        <f ca="1">RZ[Úroveň 4 bez koef. (P3a)]*RZ[[#This Row],[Počet MJCR (P0) pro "kg"]]</f>
        <v>471.02</v>
      </c>
      <c r="EN31" s="140">
        <f ca="1">IF(OFFSET(BB31,1,0,1,1)&lt;&gt;0,RZ[[#This Row],[Koeficient odhadu CR '[-'] (P1)]]*$BK31*SUMIFS(RZ[Úroveň 5 s koef. (P3)],RZ[0],AX31,RZ[Úroveň 2 (P0)],AY31,RZ[Úroveň 3 (P0)],AZ31,RZ[Úroveň 4 (P0)],BA31),RZ[[#This Row],[Koeficient odhadu CR '[-'] (P1)]]*$BK31*$IQ31)</f>
        <v>110</v>
      </c>
      <c r="EO31" s="140">
        <f ca="1">IF(OFFSET(BB31,1,0,1,1)&lt;&gt;0,$BK31*SUMIFS(RZ[Úroveň 5 bez koef. (P3)],RZ[0],AX31,RZ[Úroveň 2 (P0)],AY31,RZ[Úroveň 3 (P0)],AZ31,RZ[Úroveň 4 (P0)],BA31),$BK31*$IQ31)</f>
        <v>110</v>
      </c>
      <c r="EP31" s="135">
        <f ca="1">RZ[[#This Row],[Úroveň 5 s koef. (P3a)]]*RZ[[#This Row],[Počet MJCR (P0) pro "kg"]]</f>
        <v>0</v>
      </c>
      <c r="EQ31" s="135">
        <f ca="1">RZ[Úroveň 5 bez koef. (P3a)]*RZ[[#This Row],[Počet MJCR (P0) pro "kg"]]</f>
        <v>0</v>
      </c>
      <c r="ER31" s="135">
        <f ca="1">IF(OFFSET(BC31,1,0,1,1)&lt;&gt;0,RZ[[#This Row],[Koeficient odhadu CR '[-'] (P1)]]*$BL31*SUMIFS(RZ[Úroveň 6 s koef. (P3)],RZ[0],AX31,RZ[Úroveň 2 (P0)],AY31,RZ[Úroveň 3 (P0)],AZ31,RZ[Úroveň 4 (P0)],BA31,RZ[Úroveň 5 (P0)],BB31),RZ[[#This Row],[Koeficient odhadu CR '[-'] (P1)]]*$BL31*$IQ31)</f>
        <v>0</v>
      </c>
      <c r="ES31" s="135">
        <f ca="1">IF(OFFSET(BC31,1,0,1,1)&lt;&gt;0,$BL31*SUMIFS(RZ[Úroveň 6 bez koef. (P3)],RZ[0],AX31,RZ[Úroveň 2 (P0)],AY31,RZ[Úroveň 3 (P0)],AZ31,RZ[Úroveň 4 (P0)],BA31,RZ[Úroveň 5 (P0)],BB31),$BL31*$IQ31)</f>
        <v>0</v>
      </c>
      <c r="ET31" s="140">
        <f ca="1">RZ[[#This Row],[Úroveň 6 s koef. (P3a)]]*RZ[[#This Row],[Počet MJCR (P0) pro "kg"]]</f>
        <v>0</v>
      </c>
      <c r="EU31" s="140">
        <f ca="1">RZ[Úroveň 6 bez koef. (P3a)]*RZ[[#This Row],[Počet MJCR (P0) pro "kg"]]</f>
        <v>0</v>
      </c>
      <c r="EV31" s="140">
        <f ca="1">IF(OFFSET(BD31,1,0,1,1)&lt;&gt;0,RZ[[#This Row],[Koeficient odhadu CR '[-'] (P1)]]*$BM31*SUMIFS(RZ[Úroveň 7 s koef. (P3)],RZ[0],AX31,RZ[Úroveň 2 (P0)],AY31,RZ[Úroveň 3 (P0)],AZ31,RZ[Úroveň 4 (P0)],BA31,RZ[Úroveň 5 (P0)],BB31,RZ[Úroveň 6 (P0)],BC31),RZ[[#This Row],[Koeficient odhadu CR '[-'] (P1)]]*$BM31*$IQ31)</f>
        <v>0</v>
      </c>
      <c r="EW31" s="140">
        <f ca="1">IF(OFFSET(BD31,1,0,1,1)&lt;&gt;0,$BM31*SUMIFS(RZ[Úroveň 7 bez koef. (P3)],RZ[0],AX31,RZ[Úroveň 2 (P0)],AY31,RZ[Úroveň 3 (P0)],AZ31,RZ[Úroveň 4 (P0)],BA31,RZ[Úroveň 5 (P0)],BB31,RZ[Úroveň 6 (P0)],BC31),$BM31*$IQ31)</f>
        <v>0</v>
      </c>
      <c r="EX31" s="135">
        <f ca="1">RZ[[#This Row],[Úroveň 7 s koef. (P3a)]]*RZ[[#This Row],[Počet MJCR (P0) pro "kg"]]</f>
        <v>0</v>
      </c>
      <c r="EY31" s="135">
        <f ca="1">RZ[Úroveň 7 bez koef. (P3a)]*RZ[[#This Row],[Počet MJCR (P0) pro "kg"]]</f>
        <v>0</v>
      </c>
      <c r="EZ31" s="135">
        <f ca="1">IF(OFFSET(BE31,1,0,1,1)&lt;&gt;0,RZ[[#This Row],[Koeficient odhadu CR '[-'] (P1)]]*$BN31*SUMIFS(RZ[Úroveň 8 s koef. (P3)],RZ[0],AX31,RZ[Úroveň 2 (P0)],AY31,RZ[Úroveň 3 (P0)],AZ31,RZ[Úroveň 4 (P0)],BA31,RZ[Úroveň 5 (P0)],BB31,RZ[Úroveň 6 (P0)],BC31,RZ[Úroveň 7 (P0)],BD31),RZ[[#This Row],[Koeficient odhadu CR '[-'] (P1)]]*$BN31*$IQ31)</f>
        <v>0</v>
      </c>
      <c r="FA31" s="135">
        <f ca="1">IF(OFFSET(BE31,1,0,1,1)&lt;&gt;0,$BN31*SUMIFS(RZ[Úroveň 8 bez koef. (P3)],RZ[0],AX31,RZ[Úroveň 2 (P0)],AY31,RZ[Úroveň 3 (P0)],AZ31,RZ[Úroveň 4 (P0)],BA31,RZ[Úroveň 5 (P0)],BB31,RZ[Úroveň 6 (P0)],BC31,RZ[Úroveň 7 (P0)],BD31),$BN31*$IQ31)</f>
        <v>0</v>
      </c>
      <c r="FB31" s="140">
        <f ca="1">RZ[[#This Row],[Úroveň 8 s koef. (P3a)]]*RZ[[#This Row],[Počet MJCR (P0) pro "kg"]]</f>
        <v>0</v>
      </c>
      <c r="FC31" s="140">
        <f ca="1">RZ[Úroveň 8 bez koef. (P3a)]*RZ[[#This Row],[Počet MJCR (P0) pro "kg"]]</f>
        <v>0</v>
      </c>
      <c r="FD31" s="140">
        <f ca="1">IF(OFFSET(BF31,1,0,1,1)&lt;&gt;0,RZ[[#This Row],[Koeficient odhadu CR '[-'] (P1)]]*$BO31*SUMIFS(RZ[Úroveň 9 s koef. (P3)],RZ[0],AX31,RZ[Úroveň 2 (P0)],AY31,RZ[Úroveň 3 (P0)],AZ31,RZ[Úroveň 4 (P0)],BA31,RZ[Úroveň 5 (P0)],BB31,RZ[Úroveň 6 (P0)],BC31,RZ[Úroveň 7 (P0)],BD31,RZ[Úroveň 8 (P0)],BE31),RZ[[#This Row],[Koeficient odhadu CR '[-'] (P1)]]*$BO31*$IQ31)</f>
        <v>0</v>
      </c>
      <c r="FE31" s="140">
        <f ca="1">IF(OFFSET(BF31,1,0,1,1)&lt;&gt;0,$BO31*SUMIFS(RZ[Úroveň 9 bez koef. (P3)],RZ[0],AX31,RZ[Úroveň 2 (P0)],AY31,RZ[Úroveň 3 (P0)],AZ31,RZ[Úroveň 4 (P0)],BA31,RZ[Úroveň 5 (P0)],BB31,RZ[Úroveň 6 (P0)],BC31,RZ[Úroveň 7 (P0)],BD31,RZ[Úroveň 8 (P0)],BE31),$BO31*$IQ31)</f>
        <v>0</v>
      </c>
      <c r="FF31" s="135">
        <f ca="1">RZ[[#This Row],[Úroveň 9 s koef. (P3a)]]*RZ[[#This Row],[Počet MJCR (P0) pro "kg"]]</f>
        <v>0</v>
      </c>
      <c r="FG31" s="135">
        <f ca="1">RZ[Úroveň 9 bez koef. (P3a)]*RZ[[#This Row],[Počet MJCR (P0) pro "kg"]]</f>
        <v>0</v>
      </c>
      <c r="FH31" s="135">
        <f ca="1">IF(OFFSET(BG31,1,0,1,1)&lt;&gt;0,RZ[[#This Row],[Koeficient odhadu CR '[-'] (P1)]]*$BP31*SUMIFS(RZ[Úroveň 10 s koef. (P3)],RZ[0],AX31,RZ[Úroveň 2 (P0)],AY31,RZ[Úroveň 3 (P0)],AZ31,RZ[Úroveň 4 (P0)],BA31,RZ[Úroveň 5 (P0)],BB31,RZ[Úroveň 6 (P0)],BC31,RZ[Úroveň 7 (P0)],BD31,RZ[Úroveň 8 (P0)],BE31,RZ[Úroveň 9 (P0)],BF31),RZ[[#This Row],[Koeficient odhadu CR '[-'] (P1)]]*$BP31*$IQ31)</f>
        <v>0</v>
      </c>
      <c r="FI31" s="135">
        <f ca="1">IF(OFFSET(BG31,1,0,1,1)&lt;&gt;0,$BP31*SUMIFS(RZ[Úroveň 10 bez koef. (P3)],RZ[0],AX31,RZ[Úroveň 2 (P0)],AY31,RZ[Úroveň 3 (P0)],AZ31,RZ[Úroveň 4 (P0)],BA31,RZ[Úroveň 5 (P0)],BB31,RZ[Úroveň 6 (P0)],BC31,RZ[Úroveň 7 (P0)],BD31,RZ[Úroveň 8 (P0)],BE31,RZ[Úroveň 9 (P0)],BF31),$BP31*$IQ31)</f>
        <v>0</v>
      </c>
      <c r="FJ31" s="140">
        <f ca="1">RZ[[#This Row],[Úroveň 10 s koef. (P3a)]]*RZ[[#This Row],[Počet MJCR (P0) pro "kg"]]</f>
        <v>0</v>
      </c>
      <c r="FK31" s="140">
        <f ca="1">RZ[Úroveň 10 bez koef. (P3a)]*RZ[[#This Row],[Počet MJCR (P0) pro "kg"]]</f>
        <v>0</v>
      </c>
      <c r="FL31" s="140">
        <f ca="1">RZ[[#This Row],[Koeficient odhadu CR '[-'] (P1)]]*$BQ31*IQ31</f>
        <v>0</v>
      </c>
      <c r="FM31" s="236">
        <f t="shared" ca="1" si="301"/>
        <v>0</v>
      </c>
      <c r="FN31" s="194">
        <f t="shared" ca="1" si="302"/>
        <v>110</v>
      </c>
      <c r="FO31" s="238">
        <f t="shared" ca="1" si="303"/>
        <v>110</v>
      </c>
      <c r="FP31" s="135">
        <f t="shared" ca="1" si="304"/>
        <v>0</v>
      </c>
      <c r="FQ31" s="135">
        <f t="shared" ca="1" si="305"/>
        <v>0</v>
      </c>
      <c r="FR31" s="135">
        <f t="shared" ca="1" si="306"/>
        <v>0</v>
      </c>
      <c r="FS31" s="135">
        <f t="shared" ca="1" si="307"/>
        <v>4.282</v>
      </c>
      <c r="FT31" s="135">
        <f t="shared" ca="1" si="308"/>
        <v>0</v>
      </c>
      <c r="FU31" s="135">
        <f t="shared" ca="1" si="309"/>
        <v>0</v>
      </c>
      <c r="FV31" s="135">
        <f t="shared" ca="1" si="310"/>
        <v>0</v>
      </c>
      <c r="FW31" s="135">
        <f t="shared" ca="1" si="311"/>
        <v>0</v>
      </c>
      <c r="FX31" s="135">
        <f t="shared" ca="1" si="312"/>
        <v>0</v>
      </c>
      <c r="FY31" s="135">
        <f t="shared" ca="1" si="313"/>
        <v>0</v>
      </c>
      <c r="FZ31" s="140">
        <f ca="1">SUMIFS(RZ[Úroveň 1 (P6)],RZ[0],AX31)</f>
        <v>1</v>
      </c>
      <c r="GA31" s="140">
        <f ca="1">SUMIFS(RZ[Úroveň 2 (P6)],RZ[0],AX31,RZ[Úroveň 2 (P0)],AY31)</f>
        <v>1</v>
      </c>
      <c r="GB31" s="140">
        <f ca="1">SUMIFS(RZ[Úroveň 3 (P6)],RZ[0],AX31,RZ[Úroveň 2 (P0)],AY31,RZ[Úroveň 3 (P0)],AZ31)</f>
        <v>2</v>
      </c>
      <c r="GC31" s="140">
        <f ca="1">SUMIFS(RZ[Úroveň 4 (P6)],RZ[0],AX31,RZ[Úroveň 2 (P0)],AY31,RZ[Úroveň 3 (P0)],AZ31,RZ[Úroveň 4 (P0)],BA31)</f>
        <v>4.282</v>
      </c>
      <c r="GD31" s="140">
        <f ca="1">SUMIFS(RZ[Úroveň 5 (P6)],RZ[0],AX31,RZ[Úroveň 2 (P0)],AY31,RZ[Úroveň 3 (P0)],AZ31,RZ[Úroveň 4 (P0)],BA31,RZ[Úroveň 5 (P0)],BB31)</f>
        <v>0</v>
      </c>
      <c r="GE31" s="140">
        <f ca="1">SUMIFS(RZ[Úroveň 6 (P6)],RZ[0],AX31,RZ[Úroveň 2 (P0)],AY31,RZ[Úroveň 3 (P0)],AZ31,RZ[Úroveň 4 (P0)],BA31,RZ[Úroveň 5 (P0)],BB31,RZ[Úroveň 6 (P0)],BC31)</f>
        <v>0</v>
      </c>
      <c r="GF31" s="140">
        <f ca="1">SUMIFS(RZ[Úroveň 7 (P6)],RZ[0],AX31,RZ[Úroveň 2 (P0)],AY31,RZ[Úroveň 3 (P0)],AZ31,RZ[Úroveň 4 (P0)],BA31,RZ[Úroveň 5 (P0)],BB31,RZ[Úroveň 6 (P0)],BC31,RZ[Úroveň 7 (P0)],BD31)</f>
        <v>0</v>
      </c>
      <c r="GG31" s="140">
        <f ca="1">SUMIFS(RZ[Úroveň 8 (P6)],RZ[0],AX31,RZ[Úroveň 2 (P0)],AY31,RZ[Úroveň 3 (P0)],AZ31,RZ[Úroveň 4 (P0)],BA31,RZ[Úroveň 5 (P0)],BB31,RZ[Úroveň 6 (P0)],BC31,RZ[Úroveň 7 (P0)],BD31,RZ[Úroveň 8 (P0)],BE31)</f>
        <v>0</v>
      </c>
      <c r="GH31" s="140">
        <f ca="1">SUMIFS(RZ[Úroveň 9 (P6)],RZ[0],AX31,RZ[Úroveň 2 (P0)],AY31,RZ[Úroveň 3 (P0)],AZ31,RZ[Úroveň 4 (P0)],BA31,RZ[Úroveň 5 (P0)],BB31,RZ[Úroveň 6 (P0)],BC31,RZ[Úroveň 7 (P0)],BD31,RZ[Úroveň 8 (P0)],BE31,RZ[Úroveň 9 (P0)],BF31)</f>
        <v>0</v>
      </c>
      <c r="GI31" s="140">
        <f ca="1">SUMIFS(RZ[Úroveň 10 (P6)],RZ[0],AX31,RZ[Úroveň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GJ31" s="918">
        <f t="shared" ca="1" si="314"/>
        <v>8.5640000000000001</v>
      </c>
      <c r="GK31" s="808">
        <f t="shared" si="315"/>
        <v>0</v>
      </c>
      <c r="GL31" s="808">
        <f t="shared" si="316"/>
        <v>0</v>
      </c>
      <c r="GM31" s="808">
        <f t="shared" si="317"/>
        <v>0</v>
      </c>
      <c r="GN31" s="808">
        <f t="shared" si="318"/>
        <v>1</v>
      </c>
      <c r="GO31" s="808">
        <f t="shared" si="319"/>
        <v>0</v>
      </c>
      <c r="GP31" s="808">
        <f t="shared" si="320"/>
        <v>0</v>
      </c>
      <c r="GQ31" s="808">
        <f t="shared" si="321"/>
        <v>0</v>
      </c>
      <c r="GR31" s="808">
        <f t="shared" si="322"/>
        <v>0</v>
      </c>
      <c r="GS31" s="808">
        <f t="shared" si="323"/>
        <v>0</v>
      </c>
      <c r="GT31" s="808">
        <f t="shared" si="324"/>
        <v>0</v>
      </c>
      <c r="GU31" s="809">
        <f ca="1">SUMIFS(RZ[Sloupec1],RZ[0],AX31)</f>
        <v>1</v>
      </c>
      <c r="GV31" s="809">
        <f ca="1">SUMIFS(RZ[Sloupec2],RZ[0],AX31,RZ[Úroveň 2 (P0)],AY31)</f>
        <v>1</v>
      </c>
      <c r="GW31" s="809">
        <f ca="1">SUMIFS(RZ[Sloupec3],RZ[0],AX31,RZ[Úroveň 2 (P0)],AY31,RZ[Úroveň 3 (P0)],AZ31)</f>
        <v>1</v>
      </c>
      <c r="GX31" s="809">
        <f ca="1">SUMIFS(RZ[Sloupec4],RZ[0],AX31,RZ[Úroveň 2 (P0)],AY31,RZ[Úroveň 3 (P0)],AZ31,RZ[Úroveň 4 (P0)],BA31)</f>
        <v>1</v>
      </c>
      <c r="GY31" s="809">
        <f ca="1">SUMIFS(RZ[Sloupec5],RZ[0],AX31,RZ[Úroveň 2 (P0)],AY31,RZ[Úroveň 3 (P0)],AZ31,RZ[Úroveň 4 (P0)],BA31,RZ[Úroveň 5 (P0)],BB31)</f>
        <v>0</v>
      </c>
      <c r="GZ31" s="809">
        <f ca="1">SUMIFS(RZ[Sloupec6],RZ[0],AX31,RZ[Úroveň 2 (P0)],AY31,RZ[Úroveň 3 (P0)],AZ31,RZ[Úroveň 4 (P0)],BA31,RZ[Úroveň 5 (P0)],BB31,RZ[Úroveň 6 (P0)],BC31)</f>
        <v>0</v>
      </c>
      <c r="HA31" s="809">
        <f ca="1">SUMIFS(RZ[Sloupec62],RZ[0],AX31,RZ[Úroveň 2 (P0)],AY31,RZ[Úroveň 3 (P0)],AZ31,RZ[Úroveň 4 (P0)],BA31,RZ[Úroveň 5 (P0)],BB31,RZ[Úroveň 6 (P0)],BC31,RZ[Úroveň 7 (P0)],BD31)</f>
        <v>0</v>
      </c>
      <c r="HB31" s="809">
        <f ca="1">SUMIFS(RZ[Sloupec63],RZ[0],AX31,RZ[Úroveň 2 (P0)],AY31,RZ[Úroveň 3 (P0)],AZ31,RZ[Úroveň 4 (P0)],BA31,RZ[Úroveň 5 (P0)],BB31,RZ[Úroveň 6 (P0)],BC31,RZ[Úroveň 7 (P0)],BD31,RZ[Úroveň 8 (P0)],BE31)</f>
        <v>0</v>
      </c>
      <c r="HC31" s="809">
        <f ca="1">SUMIFS(RZ[Sloupec64],RZ[0],AX31,RZ[Úroveň 2 (P0)],AY31,RZ[Úroveň 3 (P0)],AZ31,RZ[Úroveň 4 (P0)],BA31,RZ[Úroveň 5 (P0)],BB31,RZ[Úroveň 6 (P0)],BC31,RZ[Úroveň 7 (P0)],BD31,RZ[Úroveň 8 (P0)],BE31,RZ[Úroveň 9 (P0)],BF31)</f>
        <v>0</v>
      </c>
      <c r="HD31" s="809">
        <f ca="1">SUMIFS(RZ[Sloupec65],RZ[0],AX31,RZ[Úroveň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HE31" s="919">
        <f t="shared" ca="1" si="325"/>
        <v>1</v>
      </c>
      <c r="HF31" s="920" t="str">
        <f t="shared" si="326"/>
        <v/>
      </c>
      <c r="HG31" s="94" t="str">
        <f t="shared" si="327"/>
        <v/>
      </c>
      <c r="HH31" s="95" t="str">
        <f t="shared" si="328"/>
        <v/>
      </c>
      <c r="HI31" s="95" t="str">
        <f t="shared" si="329"/>
        <v/>
      </c>
      <c r="HJ31" s="96" t="str">
        <f t="shared" si="330"/>
        <v>Spojovací materíál</v>
      </c>
      <c r="HK31" s="96" t="str">
        <f t="shared" si="331"/>
        <v/>
      </c>
      <c r="HL31" s="96" t="str">
        <f t="shared" si="332"/>
        <v/>
      </c>
      <c r="HM31" s="96" t="str">
        <f t="shared" si="333"/>
        <v/>
      </c>
      <c r="HN31" s="96" t="str">
        <f t="shared" si="334"/>
        <v/>
      </c>
      <c r="HO31" s="96" t="str">
        <f t="shared" si="335"/>
        <v/>
      </c>
      <c r="HP31" s="96" t="str">
        <f t="shared" si="336"/>
        <v/>
      </c>
      <c r="HQ31" s="145" t="str">
        <f t="shared" si="337"/>
        <v>STSM</v>
      </c>
      <c r="HR31" s="921" t="str">
        <f t="shared" si="338"/>
        <v/>
      </c>
      <c r="HS31" s="173">
        <f t="shared" si="339"/>
        <v>0</v>
      </c>
      <c r="HT31" s="100">
        <f t="shared" si="340"/>
        <v>0</v>
      </c>
      <c r="HU31" s="100">
        <f t="shared" si="341"/>
        <v>0</v>
      </c>
      <c r="HV31" s="908">
        <f t="shared" si="342"/>
        <v>0</v>
      </c>
      <c r="HW31" s="922">
        <f t="shared" si="343"/>
        <v>0</v>
      </c>
      <c r="HX31" s="224">
        <f t="shared" si="344"/>
        <v>0</v>
      </c>
      <c r="HY31" s="263" t="str">
        <f t="shared" si="345"/>
        <v>S</v>
      </c>
      <c r="HZ31" s="263">
        <f t="shared" si="346"/>
        <v>0</v>
      </c>
      <c r="IA31" s="150">
        <f t="shared" si="347"/>
        <v>1</v>
      </c>
      <c r="IB31" s="319">
        <f t="shared" si="348"/>
        <v>0</v>
      </c>
      <c r="IC31" s="923">
        <f t="shared" si="349"/>
        <v>0</v>
      </c>
      <c r="ID31" s="924" t="str">
        <f t="shared" ca="1" si="350"/>
        <v>OK</v>
      </c>
      <c r="IE31" s="201" t="str">
        <f t="shared" si="351"/>
        <v>ks</v>
      </c>
      <c r="IF31" s="145">
        <f t="shared" si="352"/>
        <v>1</v>
      </c>
      <c r="IG31" s="216">
        <f t="shared" si="353"/>
        <v>4.282</v>
      </c>
      <c r="IH31" s="217">
        <f t="shared" si="354"/>
        <v>1</v>
      </c>
      <c r="II31" s="224" t="str">
        <f ca="1">IF(RZ[[#This Row],[Rozhodný sloupec indikativní ceny]]=1,"kg",IF($IW31=$JL$15,IF(JX31=0,JO31,JX31),IF($IW31=$KE$15,IF(KQ31=0,KH31,KQ31),IF($IW31=$KX$15,IF(LJ31=0,LA31,LJ31),IF($IW31=$LQ$15,IF(MC31=0,LT31,MC31),IF($IW31=$MJ$15,IF(NQ31=0,NH31,NQ31),0))))))</f>
        <v>kg</v>
      </c>
      <c r="IJ31" s="224">
        <f ca="1">IF((BH31+OFFSET(BH31,1,1,1,1))=2,RZ[[#This Row],[Počet MJHR (P0)]],IF((BI31+OFFSET(BI31,1,1,1,1))=2,RZ[[#This Row],[Počet MJHR (P0)]],IF((BJ31+OFFSET(BJ31,1,1,1,1))=2,RZ[[#This Row],[Počet MJHR (P0)]],IF((BK31+OFFSET(BK31,1,1,1,1))=2,RZ[[#This Row],[Počet MJHR (P0)]],IF((BL31+OFFSET(BL31,1,1,1,1))=2,RZ[[#This Row],[Počet MJHR (P0)]],IF((BM31+OFFSET(BM31,1,1,1,1))=2,RZ[[#This Row],[Počet MJHR (P0)]],IF((BN31+OFFSET(BN31,1,1,1,1))=2,RZ[[#This Row],[Počet MJHR (P0)]],IF((BO31+OFFSET(BO31,1,1,1,1))=2,RZ[[#This Row],[Počet MJHR (P0)]],IF((BP31+OFFSET(BP31,1,1,1,1))=2,RZ[[#This Row],[Počet MJHR (P0)]],IF((BQ31+OFFSET(BQ31,1,1,1,1))=2,RZ[[#This Row],[Počet MJHR (P0)]],IF(RZ[[#This Row],[Měrná jednotka CR (MJCR) (P0)]]=RZ[[#This Row],[Měrná jednotka HR '[MJHR'] (P0)]],RZ[[#This Row],[Počet MJHR (P0)]],IF($IW31=$JL$15,JY31,IF($IW31=$KE$15,KR31,IF($IW31=$KX$15,LK31,IF($IW31=$LQ$15,MD31,IF($IW31=$MJ$15,NR31,0))))))))))))))))</f>
        <v>0</v>
      </c>
      <c r="IK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4.282</v>
      </c>
      <c r="IL31" s="145">
        <f ca="1">IF(AND(RZ[[#This Row],[Jednotková cena bez DPH '[cena/MJCR'] (P0)]]=0,RZ[[#This Row],[Indikativní jednotková cena '[CZK/kg'] (P1)]]&lt;&gt;0),1,0)</f>
        <v>1</v>
      </c>
      <c r="IM31" s="217">
        <f ca="1">VLOOKUP(RZ[[#This Row],[Kód položek]],INDIKAT_CENA,2,FALSE)</f>
        <v>110</v>
      </c>
      <c r="IN31" s="222">
        <f ca="1">IF(RZ[[#This Row],[Rozhodný sloupec indikativní ceny]]=1,RZ[[#This Row],[Indikativní jednotková cena '[CZK/kg'] (P1)]],RZ[[#This Row],[Jednotková cena bez DPH '[cena/MJCR'] (P0)]])</f>
        <v>110</v>
      </c>
      <c r="IO31" s="222">
        <f t="shared" si="355"/>
        <v>1</v>
      </c>
      <c r="IP31" s="224">
        <f ca="1">IF(RZ[[#This Row],[Rozhodný sloupec indikativní ceny]]=1,1,IF($IW31=$JL$15,KA31,IF($IW31=$KE$15,KT31,IF($IW31=$KX$15,LM31,IF($IW31=$LQ$15,MF31,IF($IW31=$MJ$15,NT31,0))))))</f>
        <v>1</v>
      </c>
      <c r="IQ31" s="225">
        <f ca="1">IF(RZ[[#This Row],[Jednotková cena bez DPH '[cena/MJCR'] (P1)]]="",0,IF(IP31=0,0,(RZ[[#This Row],[Jednotková cena bez DPH '[cena/MJCR'] (P1)]]*VLOOKUP(IP31,$BR$7:$BT$10,3))))</f>
        <v>110</v>
      </c>
      <c r="IR31" s="737"/>
      <c r="IS31" s="627">
        <f>IF(HY31=0,"",VLOOKUP(RZ[[#This Row],[Stav Projekce (P0)]],Vstupy!$E$11:'Vstupy'!$E$11:$H$17,4,FALSE))</f>
        <v>100</v>
      </c>
      <c r="IT31" s="925" t="str">
        <f>IF(RZ[[#This Row],[Stav Projekce (P0)]]=0,"",RZ[[#This Row],[Stav Projekce (P0)]])</f>
        <v>S</v>
      </c>
      <c r="IU31" s="925" t="str">
        <f>IF(RZ[[#This Row],[Stav Nákup (P0)]]=0,"",RZ[[#This Row],[Stav Nákup (P0)]])</f>
        <v/>
      </c>
      <c r="IV31" s="926" t="str">
        <f t="shared" si="356"/>
        <v/>
      </c>
      <c r="IW31" s="641">
        <v>1</v>
      </c>
      <c r="IX31" s="630"/>
      <c r="IY31" s="264"/>
      <c r="IZ31" s="648"/>
      <c r="JA31" s="100"/>
      <c r="JB31" s="100"/>
      <c r="JC31" s="100" t="s">
        <v>839</v>
      </c>
      <c r="JD31" s="100"/>
      <c r="JE31" s="100"/>
      <c r="JF31" s="100"/>
      <c r="JG31" s="100"/>
      <c r="JH31" s="100"/>
      <c r="JI31" s="100"/>
      <c r="JJ31" s="145" t="s">
        <v>766</v>
      </c>
      <c r="JK31" s="529"/>
      <c r="JL31" s="286"/>
      <c r="JM31" s="100"/>
      <c r="JN31" s="100"/>
      <c r="JO31" s="145" t="s">
        <v>35</v>
      </c>
      <c r="JP31" s="117">
        <v>1</v>
      </c>
      <c r="JQ31" s="117">
        <v>4.282</v>
      </c>
      <c r="JR31" s="148">
        <v>1</v>
      </c>
      <c r="JS31" s="145" t="s">
        <v>602</v>
      </c>
      <c r="JT31" s="631"/>
      <c r="JU31" s="148"/>
      <c r="JV31" s="154"/>
      <c r="JW31" s="145"/>
      <c r="JX31" s="210"/>
      <c r="JY31" s="117"/>
      <c r="JZ31" s="662"/>
      <c r="KA31" s="145"/>
      <c r="KB31" s="148"/>
      <c r="KC31" s="148"/>
      <c r="KD31" s="644"/>
      <c r="KE31" s="286"/>
      <c r="KF31" s="100"/>
      <c r="KG31" s="100"/>
      <c r="KH31" s="210"/>
      <c r="KI31" s="117"/>
      <c r="KJ31" s="117"/>
      <c r="KK31" s="148"/>
      <c r="KL31" s="145"/>
      <c r="KM31" s="632"/>
      <c r="KN31" s="148"/>
      <c r="KO31" s="154"/>
      <c r="KP31" s="154"/>
      <c r="KQ31" s="210"/>
      <c r="KR31" s="117"/>
      <c r="KS31" s="211"/>
      <c r="KT31" s="145"/>
      <c r="KU31" s="148"/>
      <c r="KV31" s="148"/>
      <c r="KW31" s="265"/>
      <c r="KX31" s="286"/>
      <c r="KY31" s="100"/>
      <c r="KZ31" s="100"/>
      <c r="LA31" s="210"/>
      <c r="LB31" s="117"/>
      <c r="LC31" s="117"/>
      <c r="LD31" s="148"/>
      <c r="LE31" s="145"/>
      <c r="LF31" s="632"/>
      <c r="LG31" s="148"/>
      <c r="LH31" s="154"/>
      <c r="LI31" s="154"/>
      <c r="LJ31" s="154"/>
      <c r="LK31" s="117"/>
      <c r="LL31" s="211"/>
      <c r="LM31" s="210"/>
      <c r="LN31" s="148"/>
      <c r="LO31" s="148"/>
      <c r="LP31" s="265"/>
      <c r="LQ31" s="286"/>
      <c r="LR31" s="100"/>
      <c r="LS31" s="100"/>
      <c r="LT31" s="210"/>
      <c r="LU31" s="117"/>
      <c r="LV31" s="117"/>
      <c r="LW31" s="148"/>
      <c r="LX31" s="145"/>
      <c r="LY31" s="632"/>
      <c r="LZ31" s="148"/>
      <c r="MA31" s="154"/>
      <c r="MB31" s="154"/>
      <c r="MC31" s="145"/>
      <c r="MD31" s="117"/>
      <c r="ME31" s="211"/>
      <c r="MF31" s="210"/>
      <c r="MG31" s="148"/>
      <c r="MH31" s="148"/>
      <c r="MI31" s="265"/>
      <c r="MJ31" s="647"/>
      <c r="MK31" s="264"/>
      <c r="ML31" s="153"/>
      <c r="MM31" s="153"/>
      <c r="MN31" s="153"/>
      <c r="MO31" s="153"/>
      <c r="MP31" s="153"/>
      <c r="MQ31" s="153"/>
      <c r="MR31" s="153"/>
      <c r="MS31" s="99"/>
      <c r="MT31" s="99"/>
      <c r="MU31" s="99"/>
      <c r="MV31" s="99"/>
      <c r="MW31" s="99"/>
      <c r="MX31" s="99"/>
      <c r="MY31" s="153"/>
      <c r="MZ31" s="153"/>
      <c r="NA31" s="153"/>
      <c r="NB31" s="153"/>
      <c r="NC31" s="153"/>
      <c r="ND31" s="153"/>
      <c r="NE31" s="148"/>
      <c r="NF31" s="153"/>
      <c r="NG31" s="153"/>
      <c r="NH31" s="330" t="str">
        <f t="shared" si="357"/>
        <v>ks</v>
      </c>
      <c r="NI31" s="797">
        <f>RZ[[#This Row],[Počet ks (K)]]</f>
        <v>0</v>
      </c>
      <c r="NJ31" s="798">
        <f>RZ[[#This Row],[Hmotnost '[kg/ks'] (K)]]</f>
        <v>0</v>
      </c>
      <c r="NK31" s="148"/>
      <c r="NL31" s="145"/>
      <c r="NM31" s="632"/>
      <c r="NN31" s="148"/>
      <c r="NO31" s="154"/>
      <c r="NP31" s="153"/>
      <c r="NQ31" s="153"/>
      <c r="NR31" s="210"/>
      <c r="NS31" s="148"/>
      <c r="NT31" s="210"/>
      <c r="NU31" s="148"/>
      <c r="NV31" s="148"/>
      <c r="NW31" s="175"/>
    </row>
    <row r="32" spans="2:387" ht="15.95" customHeight="1" x14ac:dyDescent="0.35">
      <c r="B32" s="118" t="str">
        <f t="shared" si="129"/>
        <v/>
      </c>
      <c r="C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2" s="262" t="str">
        <f t="shared" si="130"/>
        <v xml:space="preserve">    Polovina spojky</v>
      </c>
      <c r="E32" s="120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Row],[Kód položek (P2)]]))))))))))</f>
        <v>STSP</v>
      </c>
      <c r="F32" s="791" t="str">
        <f t="shared" si="131"/>
        <v>N/A</v>
      </c>
      <c r="G32" s="792" t="str">
        <f t="shared" si="132"/>
        <v/>
      </c>
      <c r="H32" s="262" t="str">
        <f t="shared" si="133"/>
        <v/>
      </c>
      <c r="I32" s="123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HR '[MJHR'] (P0)]]))))))))))</f>
        <v>ks</v>
      </c>
      <c r="J32" s="123">
        <f t="shared" si="134"/>
        <v>4</v>
      </c>
      <c r="K32" s="793">
        <f>RZ[[#This Row],[Koeficient odhadu HR '[-'] (P1)]]</f>
        <v>1</v>
      </c>
      <c r="L32" s="124">
        <f ca="1">RZ[[#This Row],[Jednotková hmotnost s koef. '[kg/MJHR'] (P0)]]</f>
        <v>55</v>
      </c>
      <c r="M32" s="794">
        <f t="shared" ca="1" si="135"/>
        <v>0</v>
      </c>
      <c r="N32" s="125">
        <f t="shared" ca="1" si="136"/>
        <v>220</v>
      </c>
      <c r="O32" s="125">
        <f t="shared" ca="1" si="137"/>
        <v>0</v>
      </c>
      <c r="P32" s="126" t="str">
        <f t="shared" si="138"/>
        <v/>
      </c>
      <c r="Q32" s="795">
        <f ca="1">RZ[[#This Row],[Počet MJHR v rozpadu (P0)]]</f>
        <v>4</v>
      </c>
      <c r="R32" s="439" t="str">
        <f t="shared" si="139"/>
        <v>Zajíc</v>
      </c>
      <c r="S32" s="129">
        <f t="shared" si="140"/>
        <v>42950.629745370374</v>
      </c>
      <c r="T32" s="126" t="str">
        <f t="shared" si="141"/>
        <v/>
      </c>
      <c r="U32" s="126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CR (MJCR) (P0)]]))))))))))</f>
        <v>ks</v>
      </c>
      <c r="V32" s="575">
        <f t="shared" ca="1" si="142"/>
        <v>4</v>
      </c>
      <c r="W32" s="322">
        <f>RZ[[#This Row],[Koeficient odhadu CR '[-'] (P1)]]</f>
        <v>1</v>
      </c>
      <c r="X32" s="440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Row],[Jednotková cena bez DPH '[cena/MJCR'] (P1)]]*RZ[[#This Row],[Koeficient odhadu CR '[-']]]))))))))))</f>
        <v>25000</v>
      </c>
      <c r="Y32" s="440">
        <f t="shared" ca="1" si="143"/>
        <v>0</v>
      </c>
      <c r="Z32" s="142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VLOOKUP(IP32,$BR$7:$BS$11,2,FALSE)))))))))))</f>
        <v>CZK</v>
      </c>
      <c r="AA32" s="909">
        <f t="shared" ca="1" si="144"/>
        <v>4</v>
      </c>
      <c r="AB32" s="910">
        <f ca="1">RZ[[#This Row],[Kumulovaný koeficient v rozpadu (P0)]]</f>
        <v>1</v>
      </c>
      <c r="AC32" s="261"/>
      <c r="AD32" s="796">
        <f ca="1">RZ[[#This Row],[Jednotková cena bez DPH '[cena/MJCR'] s koef. (P0)]]/RZ[[#This Row],[Koeficient odhadu CR '[-']]]*RZ[[#This Row],[Kumulovaný koeficient odhadu CR  '[-']]]</f>
        <v>25000</v>
      </c>
      <c r="AE32" s="796">
        <f t="shared" ca="1" si="145"/>
        <v>100000</v>
      </c>
      <c r="AF32" s="796">
        <f ca="1">-IF(ISNUMBER(AA32),RZ[[#This Row],[Celková cena bez DPH (1)]]-RZ[[#This Row],[Jednotková cena bez DPH '[cena/MJCR'] bez koef. (P0)]]*AA32,0)</f>
        <v>0</v>
      </c>
      <c r="AG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454.54545454545456</v>
      </c>
      <c r="AH32" s="261"/>
      <c r="AI32" s="796">
        <f t="shared" ca="1" si="146"/>
        <v>925.92592592592598</v>
      </c>
      <c r="AJ32" s="796">
        <f t="shared" ca="1" si="147"/>
        <v>3703.7037037037039</v>
      </c>
      <c r="AK32" s="796">
        <f t="shared" ca="1" si="148"/>
        <v>0</v>
      </c>
      <c r="AL32" s="753">
        <f ca="1">RZ[[#This Row],[Kilogramová cena bez DPH '[cena/kg'] (1)]]/$AK$13</f>
        <v>16.835016835016834</v>
      </c>
      <c r="AM32" s="261"/>
      <c r="AN32" s="796">
        <f t="shared" ca="1" si="149"/>
        <v>1207.7294685990339</v>
      </c>
      <c r="AO32" s="796">
        <f t="shared" ca="1" si="150"/>
        <v>4830.9178743961356</v>
      </c>
      <c r="AP32" s="796">
        <f t="shared" ca="1" si="151"/>
        <v>0</v>
      </c>
      <c r="AQ32" s="753">
        <f ca="1">RZ[[#This Row],[Kilogramová cena bez DPH '[cena/kg'] (1)]]/$AP$13</f>
        <v>21.958717610891526</v>
      </c>
      <c r="AR32" s="261"/>
      <c r="AS32" s="796">
        <f t="shared" ca="1" si="152"/>
        <v>683.80743982494528</v>
      </c>
      <c r="AT32" s="796">
        <f t="shared" ca="1" si="153"/>
        <v>2735.2297592997811</v>
      </c>
      <c r="AU32" s="789">
        <f t="shared" ca="1" si="154"/>
        <v>0</v>
      </c>
      <c r="AV32" s="767">
        <f ca="1">RZ[[#This Row],[Kilogramová cena bez DPH '[cena/kg'] (1)]]/$AU$13</f>
        <v>12.432862542271732</v>
      </c>
      <c r="AW32" s="165"/>
      <c r="AX32" s="911">
        <f t="shared" ca="1" si="155"/>
        <v>2</v>
      </c>
      <c r="AY32" s="111">
        <f t="shared" ca="1" si="156"/>
        <v>1</v>
      </c>
      <c r="AZ32" s="111">
        <f t="shared" ca="1" si="157"/>
        <v>9</v>
      </c>
      <c r="BA32" s="111">
        <f t="shared" ca="1" si="158"/>
        <v>0</v>
      </c>
      <c r="BB32" s="111">
        <f t="shared" ca="1" si="159"/>
        <v>0</v>
      </c>
      <c r="BC32" s="111">
        <f t="shared" ca="1" si="160"/>
        <v>0</v>
      </c>
      <c r="BD32" s="111">
        <f t="shared" ca="1" si="161"/>
        <v>0</v>
      </c>
      <c r="BE32" s="111">
        <f t="shared" ca="1" si="162"/>
        <v>0</v>
      </c>
      <c r="BF32" s="111">
        <f t="shared" ca="1" si="163"/>
        <v>0</v>
      </c>
      <c r="BG32" s="112">
        <f t="shared" ca="1" si="164"/>
        <v>0</v>
      </c>
      <c r="BH32" s="911">
        <f t="shared" si="165"/>
        <v>0</v>
      </c>
      <c r="BI32" s="111">
        <f t="shared" si="166"/>
        <v>0</v>
      </c>
      <c r="BJ32" s="111">
        <f t="shared" si="167"/>
        <v>1</v>
      </c>
      <c r="BK32" s="111">
        <f t="shared" si="168"/>
        <v>0</v>
      </c>
      <c r="BL32" s="111">
        <f t="shared" si="169"/>
        <v>0</v>
      </c>
      <c r="BM32" s="111">
        <f t="shared" si="170"/>
        <v>0</v>
      </c>
      <c r="BN32" s="111">
        <f t="shared" si="171"/>
        <v>0</v>
      </c>
      <c r="BO32" s="111">
        <f t="shared" si="172"/>
        <v>0</v>
      </c>
      <c r="BP32" s="111">
        <f t="shared" si="173"/>
        <v>0</v>
      </c>
      <c r="BQ32" s="112">
        <f t="shared" si="174"/>
        <v>0</v>
      </c>
      <c r="BR32" s="132">
        <f ca="1">IF(OFFSET(AY32,1,0,1,1)&lt;&gt;0,RZ[[#This Row],[Koeficient odhadu HR '[-'] (P1)]]*$BH32*SUMIFS(RZ[Úroveň 2 s koef. (P2)],RZ[0],AX32),RZ[[#This Row],[Koeficient odhadu HR '[-'] (P1)]]*$BH32*$IG32)</f>
        <v>0</v>
      </c>
      <c r="BS32" s="186">
        <f ca="1">IF(OFFSET(AY32,1,0,1,1)&lt;&gt;0,$BH32*SUMIFS(RZ[Úroveň 2 bez koef. (P2)],RZ[0],AX32),$BH32*$IG32)</f>
        <v>0</v>
      </c>
      <c r="BT32" s="138">
        <f ca="1">RZ[[#This Row],[Úroveň 2 s koef. (P2a)]]*RZ[[#This Row],[Počet MJHR (P0)]]</f>
        <v>0</v>
      </c>
      <c r="BU32" s="138">
        <f ca="1">RZ[[#This Row],[Úroveň 2 bez koef. (P2a)]]*RZ[[#This Row],[Počet MJHR (P0)]]</f>
        <v>0</v>
      </c>
      <c r="BV32" s="138">
        <f ca="1">IF(OFFSET(AZ32,1,0,1,1)&lt;&gt;0,RZ[[#This Row],[Koeficient odhadu HR '[-'] (P1)]]*$BI32*SUMIFS(RZ[Úroveň 3 s koef. (P2)],RZ[0],AX32,RZ[Úroveň 2 (P0)],AY32),RZ[[#This Row],[Koeficient odhadu HR '[-'] (P1)]]*$BI32*$IG32)</f>
        <v>0</v>
      </c>
      <c r="BW32" s="138">
        <f ca="1">IF(OFFSET(AZ32,1,0,1,1)&lt;&gt;0,$BI32*SUMIFS(RZ[Úroveň 3 bez koef. (P2)],RZ[0],AX32,RZ[Úroveň 2 (P0)],AY32),$BI32*$IG32)</f>
        <v>0</v>
      </c>
      <c r="BX32" s="132">
        <f ca="1">RZ[[#This Row],[Úroveň 3 s koef. (P2a)]]*RZ[[#This Row],[Počet MJHR (P0)]]</f>
        <v>220</v>
      </c>
      <c r="BY32" s="132">
        <f ca="1">RZ[Úroveň 3 bez koef. (P2a)]*RZ[[#This Row],[Počet MJHR (P0)]]</f>
        <v>220</v>
      </c>
      <c r="BZ32" s="132">
        <f ca="1">IF(OFFSET(BA32,1,0,1,1)&lt;&gt;0,RZ[[#This Row],[Koeficient odhadu HR '[-'] (P1)]]*$BJ32*SUMIFS(RZ[Úroveň 4 s koef. (P2)],RZ[0],AX32,RZ[Úroveň 2 (P0)],AY32,RZ[Úroveň 3 (P0)],AZ32),RZ[[#This Row],[Koeficient odhadu HR '[-'] (P1)]]*$BJ32*$IG32)</f>
        <v>55</v>
      </c>
      <c r="CA32" s="132">
        <f ca="1">IF(OFFSET(BA32,1,0,1,1)&lt;&gt;0,$BJ32*SUMIFS(RZ[Úroveň 4 bez koef. (P2)],RZ[0],AX32,RZ[Úroveň 2 (P0)],AY32,RZ[Úroveň 3 (P0)],AZ32),$BJ32*$IG32)</f>
        <v>55</v>
      </c>
      <c r="CB32" s="138">
        <f ca="1">RZ[[#This Row],[Úroveň 4 s koef. (P2a)]]*RZ[[#This Row],[Počet MJHR (P0)]]</f>
        <v>0</v>
      </c>
      <c r="CC32" s="138">
        <f ca="1">RZ[Úroveň 4 bez koef. (P2a)]*RZ[[#This Row],[Počet MJHR (P0)]]</f>
        <v>0</v>
      </c>
      <c r="CD32" s="138">
        <f ca="1">IF(OFFSET(BB32,1,0,1,1)&lt;&gt;0,RZ[[#This Row],[Koeficient odhadu HR '[-'] (P1)]]*$BK32*SUMIFS(RZ[Úroveň 5 s koef. (P2)],RZ[0],AX32,RZ[Úroveň 2 (P0)],AY32,RZ[Úroveň 3 (P0)],AZ32,RZ[Úroveň 4 (P0)],BA32),RZ[[#This Row],[Koeficient odhadu HR '[-'] (P1)]]*$BK32*$IG32)</f>
        <v>0</v>
      </c>
      <c r="CE32" s="138">
        <f ca="1">IF(OFFSET(BB32,1,0,1,1)&lt;&gt;0,$BK32*SUMIFS(RZ[Úroveň 5 bez koef. (P2)],RZ[0],AX32,RZ[Úroveň 2 (P0)],AY32,RZ[Úroveň 3 (P0)],AZ32,RZ[Úroveň 4 (P0)],BA32),$BK32*$IG32)</f>
        <v>0</v>
      </c>
      <c r="CF32" s="132">
        <f ca="1">RZ[[#This Row],[Úroveň 5 s koef. (P2a)]]*RZ[[#This Row],[Počet MJHR (P0)]]</f>
        <v>0</v>
      </c>
      <c r="CG32" s="132">
        <f ca="1">RZ[Úroveň 5 bez koef. (P2a)]*RZ[[#This Row],[Počet MJHR (P0)]]</f>
        <v>0</v>
      </c>
      <c r="CH32" s="132">
        <f ca="1">IF(OFFSET(BC32,1,0,1,1)&lt;&gt;0,RZ[[#This Row],[Koeficient odhadu HR '[-'] (P1)]]*$BL32*SUMIFS(RZ[Úroveň 6 s koef. (P2)],RZ[0],AX32,RZ[Úroveň 2 (P0)],AY32,RZ[Úroveň 3 (P0)],AZ32,RZ[Úroveň 4 (P0)],BA32,RZ[Úroveň 5 (P0)],BB32),RZ[[#This Row],[Koeficient odhadu HR '[-'] (P1)]]*$BL32*$IG32)</f>
        <v>0</v>
      </c>
      <c r="CI32" s="132">
        <f ca="1">IF(OFFSET(BC32,1,0,1,1)&lt;&gt;0,$BL32*SUMIFS(RZ[Úroveň 6 bez koef. (P2)],RZ[0],AX32,RZ[Úroveň 2 (P0)],AY32,RZ[Úroveň 3 (P0)],AZ32,RZ[Úroveň 4 (P0)],BA32,RZ[Úroveň 5 (P0)],BB32),$BL32*$IG32)</f>
        <v>0</v>
      </c>
      <c r="CJ32" s="138">
        <f ca="1">RZ[[#This Row],[Úroveň 6 s koef. (P2a)]]*RZ[[#This Row],[Počet MJHR (P0)]]</f>
        <v>0</v>
      </c>
      <c r="CK32" s="138">
        <f ca="1">RZ[Úroveň 6 bez koef. (P2a)]*RZ[[#This Row],[Počet MJHR (P0)]]</f>
        <v>0</v>
      </c>
      <c r="CL32" s="138">
        <f ca="1">IF(OFFSET(BD32,1,0,1,1)&lt;&gt;0,RZ[[#This Row],[Koeficient odhadu HR '[-'] (P1)]]*$BM32*SUMIFS(RZ[Úroveň 7 s koef. (P2)],RZ[0],AX32,RZ[Úroveň 2 (P0)],AY32,RZ[Úroveň 3 (P0)],AZ32,RZ[Úroveň 4 (P0)],BA32,RZ[Úroveň 5 (P0)],BB32,RZ[Úroveň 6 (P0)],BC32),RZ[[#This Row],[Koeficient odhadu HR '[-'] (P1)]]*$BM32*$IG32)</f>
        <v>0</v>
      </c>
      <c r="CM32" s="138">
        <f ca="1">IF(OFFSET(BD32,1,0,1,1)&lt;&gt;0,$BM32*SUMIFS(RZ[Úroveň 7 bez koef. (P2)],RZ[0],AX32,RZ[Úroveň 2 (P0)],AY32,RZ[Úroveň 3 (P0)],AZ32,RZ[Úroveň 4 (P0)],BA32,RZ[Úroveň 5 (P0)],BB32,RZ[Úroveň 6 (P0)],BC32),$BM32*$IG32)</f>
        <v>0</v>
      </c>
      <c r="CN32" s="132">
        <f ca="1">RZ[[#This Row],[Úroveň 7 s koef. (P2a)]]*RZ[[#This Row],[Počet MJHR (P0)]]</f>
        <v>0</v>
      </c>
      <c r="CO32" s="132">
        <f ca="1">RZ[Úroveň 7 bez koef. (P2a)]*RZ[[#This Row],[Počet MJHR (P0)]]</f>
        <v>0</v>
      </c>
      <c r="CP32" s="132">
        <f ca="1">IF(OFFSET(BE32,1,0,1,1)&lt;&gt;0,RZ[[#This Row],[Koeficient odhadu HR '[-'] (P1)]]*$BN32*SUMIFS(RZ[Úroveň 8 s koef. (P2)],RZ[0],AX32,RZ[Úroveň 2 (P0)],AY32,RZ[Úroveň 3 (P0)],AZ32,RZ[Úroveň 4 (P0)],BA32,RZ[Úroveň 5 (P0)],BB32,RZ[Úroveň 6 (P0)],BC32,RZ[Úroveň 7 (P0)],BD32),RZ[[#This Row],[Koeficient odhadu HR '[-'] (P1)]]*$BN32*$IG32)</f>
        <v>0</v>
      </c>
      <c r="CQ32" s="132">
        <f ca="1">IF(OFFSET(BE32,1,0,1,1)&lt;&gt;0,$BN32*SUMIFS(RZ[Úroveň 8 bez koef. (P2)],RZ[0],AX32,RZ[Úroveň 2 (P0)],AY32,RZ[Úroveň 3 (P0)],AZ32,RZ[Úroveň 4 (P0)],BA32,RZ[Úroveň 5 (P0)],BB32,RZ[Úroveň 6 (P0)],BC32,RZ[Úroveň 7 (P0)],BD32),$BN32*$IG32)</f>
        <v>0</v>
      </c>
      <c r="CR32" s="138">
        <f ca="1">RZ[[#This Row],[Úroveň 8 s koef. (P2a)]]*RZ[[#This Row],[Počet MJHR (P0)]]</f>
        <v>0</v>
      </c>
      <c r="CS32" s="138">
        <f ca="1">RZ[Úroveň 8 bez koef. (P2a)]*RZ[[#This Row],[Počet MJHR (P0)]]</f>
        <v>0</v>
      </c>
      <c r="CT32" s="138">
        <f ca="1">IF(OFFSET(BF32,1,0,1,1)&lt;&gt;0,RZ[[#This Row],[Koeficient odhadu HR '[-'] (P1)]]*$BO32*SUMIFS(RZ[Úroveň 9 s koef. (P2)],RZ[0],AX32,RZ[Úroveň 2 (P0)],AY32,RZ[Úroveň 3 (P0)],AZ32,RZ[Úroveň 4 (P0)],BA32,RZ[Úroveň 5 (P0)],BB32,RZ[Úroveň 6 (P0)],BC32,RZ[Úroveň 7 (P0)],BD32,RZ[Úroveň 8 (P0)],BE32),RZ[[#This Row],[Koeficient odhadu HR '[-'] (P1)]]*$BO32*$IG32)</f>
        <v>0</v>
      </c>
      <c r="CU32" s="138">
        <f ca="1">IF(OFFSET(BF32,1,0,1,1)&lt;&gt;0,$BO32*SUMIFS(RZ[Úroveň 9 bez koef. (P2)],RZ[0],AX32,RZ[Úroveň 2 (P0)],AY32,RZ[Úroveň 3 (P0)],AZ32,RZ[Úroveň 4 (P0)],BA32,RZ[Úroveň 5 (P0)],BB32,RZ[Úroveň 6 (P0)],BC32,RZ[Úroveň 7 (P0)],BD32,RZ[Úroveň 8 (P0)],BE32),$BO32*$IG32)</f>
        <v>0</v>
      </c>
      <c r="CV32" s="132">
        <f ca="1">RZ[[#This Row],[Úroveň 9 s koef. (P2a)]]*RZ[[#This Row],[Počet MJHR (P0)]]</f>
        <v>0</v>
      </c>
      <c r="CW32" s="132">
        <f ca="1">RZ[Úroveň 9 bez koef. (P2a)]*RZ[[#This Row],[Počet MJHR (P0)]]</f>
        <v>0</v>
      </c>
      <c r="CX32" s="132">
        <f ca="1">IF(OFFSET(BG32,1,0,1,1)&lt;&gt;0,RZ[[#This Row],[Koeficient odhadu HR '[-'] (P1)]]*$BP32*SUMIFS(RZ[Úroveň 10 s koef. (P2)],RZ[0],AX32,RZ[Úroveň 2 (P0)],AY32,RZ[Úroveň 3 (P0)],AZ32,RZ[Úroveň 4 (P0)],BA32,RZ[Úroveň 5 (P0)],BB32,RZ[Úroveň 6 (P0)],BC32,RZ[Úroveň 7 (P0)],BD32,RZ[Úroveň 8 (P0)],BE32,RZ[Úroveň 9 (P0)],BF32),RZ[[#This Row],[Koeficient odhadu HR '[-'] (P1)]]*$BP32*$IG32)</f>
        <v>0</v>
      </c>
      <c r="CY32" s="132">
        <f ca="1">IF(OFFSET(BG32,1,0,1,1)&lt;&gt;0,$BP32*SUMIFS(RZ[Úroveň 10 bez koef. (P2)],RZ[0],AX32,RZ[Úroveň 2 (P0)],AY32,RZ[Úroveň 3 (P0)],AZ32,RZ[Úroveň 4 (P0)],BA32,RZ[Úroveň 5 (P0)],BB32,RZ[Úroveň 6 (P0)],BC32,RZ[Úroveň 7 (P0)],BD32,RZ[Úroveň 8 (P0)],BE32,RZ[Úroveň 9 (P0)],BF32),$BP32*$IG32)</f>
        <v>0</v>
      </c>
      <c r="CZ32" s="138">
        <f>RZ[[#This Row],[Úroveň 10 s koef. (P2a)]]*RZ[[#This Row],[Počet MJHR (P0)]]</f>
        <v>0</v>
      </c>
      <c r="DA32" s="138">
        <f>RZ[Úroveň 10 bez koef. (P2a)]*RZ[[#This Row],[Počet MJHR (P0)]]</f>
        <v>0</v>
      </c>
      <c r="DB32" s="138">
        <f>RZ[[#This Row],[Koeficient odhadu HR '[-'] (P1)]]*$BQ32*IG32</f>
        <v>0</v>
      </c>
      <c r="DC32" s="231">
        <f t="shared" si="175"/>
        <v>0</v>
      </c>
      <c r="DD32" s="241">
        <f t="shared" ca="1" si="176"/>
        <v>55</v>
      </c>
      <c r="DE32" s="229">
        <f t="shared" ca="1" si="177"/>
        <v>55</v>
      </c>
      <c r="DF32" s="912">
        <f t="shared" si="178"/>
        <v>0</v>
      </c>
      <c r="DG32" s="913">
        <f t="shared" si="179"/>
        <v>0</v>
      </c>
      <c r="DH32" s="913">
        <f t="shared" si="180"/>
        <v>4</v>
      </c>
      <c r="DI32" s="913">
        <f t="shared" si="181"/>
        <v>0</v>
      </c>
      <c r="DJ32" s="913">
        <f t="shared" si="182"/>
        <v>0</v>
      </c>
      <c r="DK32" s="913">
        <f t="shared" si="183"/>
        <v>0</v>
      </c>
      <c r="DL32" s="913">
        <f t="shared" si="184"/>
        <v>0</v>
      </c>
      <c r="DM32" s="913">
        <f t="shared" si="185"/>
        <v>0</v>
      </c>
      <c r="DN32" s="913">
        <f t="shared" si="186"/>
        <v>0</v>
      </c>
      <c r="DO32" s="913">
        <f t="shared" si="187"/>
        <v>0</v>
      </c>
      <c r="DP32" s="914">
        <f ca="1">SUMIFS(RZ[Úroveň 1 (P4)],RZ[0],AX32)</f>
        <v>1</v>
      </c>
      <c r="DQ32" s="914">
        <f ca="1">SUMIFS(RZ[Úroveň 2 (P4)],RZ[0],AX32,RZ[Úroveň 2 (P0)],AY32)</f>
        <v>1</v>
      </c>
      <c r="DR32" s="914">
        <f ca="1">SUMIFS(RZ[Úroveň 3 (P4)],RZ[0],AX32,RZ[Úroveň 2 (P0)],AY32,RZ[Úroveň 3 (P0)],AZ32)</f>
        <v>4</v>
      </c>
      <c r="DS32" s="914">
        <f ca="1">SUMIFS(RZ[Úroveň 4 (P4)],RZ[0],AX32,RZ[Úroveň 2 (P0)],AY32,RZ[Úroveň 3 (P0)],AZ32,RZ[Úroveň 4 (P0)],BA32)</f>
        <v>0</v>
      </c>
      <c r="DT32" s="914">
        <f ca="1">SUMIFS(RZ[Úroveň 5 (P4)],RZ[0],AX32,RZ[Úroveň 2 (P0)],AY32,RZ[Úroveň 3 (P0)],AZ32,RZ[Úroveň 4 (P0)],BA32,RZ[Úroveň 5 (P0)],BB32)</f>
        <v>0</v>
      </c>
      <c r="DU32" s="914">
        <f ca="1">SUMIFS(RZ[Úroveň 6 (P4)],RZ[0],AX32,RZ[Úroveň 2 (P0)],AY32,RZ[Úroveň 3 (P0)],AZ32,RZ[Úroveň 4 (P0)],BA32,RZ[Úroveň 5 (P0)],BB32,RZ[Úroveň 6 (P0)],BC32)</f>
        <v>0</v>
      </c>
      <c r="DV32" s="914">
        <f ca="1">SUMIFS(RZ[Úroveň 7 (P4)],RZ[0],AX32,RZ[Úroveň 2 (P0)],AY32,RZ[Úroveň 3 (P0)],AZ32,RZ[Úroveň 4 (P0)],BA32,RZ[Úroveň 5 (P0)],BB32,RZ[Úroveň 6 (P0)],BC32,RZ[Úroveň 7 (P0)],BD32)</f>
        <v>0</v>
      </c>
      <c r="DW32" s="914">
        <f ca="1">SUMIFS(RZ[Úroveň 8 (P4)],RZ[0],AX32,RZ[Úroveň 2 (P0)],AY32,RZ[Úroveň 3 (P0)],AZ32,RZ[Úroveň 4 (P0)],BA32,RZ[Úroveň 5 (P0)],BB32,RZ[Úroveň 6 (P0)],BC32,RZ[Úroveň 7 (P0)],BD32,RZ[Úroveň 8 (P0)],BE32)</f>
        <v>0</v>
      </c>
      <c r="DX32" s="914">
        <f ca="1">SUMIFS(RZ[Úroveň 9 (P4)],RZ[0],AX32,RZ[Úroveň 2 (P0)],AY32,RZ[Úroveň 3 (P0)],AZ32,RZ[Úroveň 4 (P0)],BA32,RZ[Úroveň 5 (P0)],BB32,RZ[Úroveň 6 (P0)],BC32,RZ[Úroveň 7 (P0)],BD32,RZ[Úroveň 8 (P0)],BE32,RZ[Úroveň 9 (P0)],BF32)</f>
        <v>0</v>
      </c>
      <c r="DY32" s="914">
        <f ca="1">SUMIFS(RZ[Úroveň 10 (P4)],RZ[0],AX32,RZ[Úroveň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DZ32" s="915">
        <f t="shared" ca="1" si="188"/>
        <v>4</v>
      </c>
      <c r="EA32" s="916">
        <f ca="1">RZ[[#This Row],[Jednotková hmotnost bez koef. '[kg/MJHR'] (P0)]]*RZ[[#This Row],[Počet MJHR v rozpadu (P0)]]</f>
        <v>220</v>
      </c>
      <c r="EB32" s="917">
        <f ca="1">IF(OFFSET(AY32,1,0,1,1)&lt;&gt;0,RZ[[#This Row],[Koeficient odhadu CR '[-'] (P1)]]*$BH32*SUMIFS(RZ[Úroveň 2 s koef. (P3)],RZ[0],AX32),RZ[[#This Row],[Koeficient odhadu CR '[-'] (P1)]]*$BH32*$IQ32)</f>
        <v>0</v>
      </c>
      <c r="EC32" s="191">
        <f ca="1">IF(OFFSET(AY32,1,0,1,1)&lt;&gt;0,$BH32*SUMIFS(RZ[Úroveň 2 bez koef. (P3)],RZ[0],AX32),$BH32*$IQ32)</f>
        <v>0</v>
      </c>
      <c r="ED32" s="140">
        <f ca="1">RZ[[#This Row],[Úroveň 2 s koef. (P3a)]]*RZ[[#This Row],[Počet MJCR (P0) pro "kg"]]</f>
        <v>0</v>
      </c>
      <c r="EE32" s="140">
        <f ca="1">RZ[Úroveň 2 bez koef. (P3a)]*RZ[[#This Row],[Počet MJCR (P0) pro "kg"]]</f>
        <v>0</v>
      </c>
      <c r="EF32" s="140">
        <f ca="1">IF(OFFSET(AZ32,1,0,1,1)&lt;&gt;0,RZ[[#This Row],[Koeficient odhadu CR '[-'] (P1)]]*$BI32*SUMIFS(RZ[Úroveň 3 s koef. (P3)],RZ[0],AX32,RZ[Úroveň 2 (P0)],AY32),RZ[[#This Row],[Koeficient odhadu CR '[-'] (P1)]]*$BI32*$IQ32)</f>
        <v>0</v>
      </c>
      <c r="EG32" s="140">
        <f ca="1">IF(OFFSET(AZ32,1,0,1,1)&lt;&gt;0,$BI32*SUMIFS(RZ[Úroveň 3 bez koef. (P3)],RZ[0],AX32,RZ[Úroveň 2 (P0)],AY32),$BI32*$IQ32)</f>
        <v>0</v>
      </c>
      <c r="EH32" s="135">
        <f ca="1">RZ[[#This Row],[Úroveň 3 s koef. (P3a)]]*RZ[[#This Row],[Počet MJCR (P0) pro "kg"]]</f>
        <v>100000</v>
      </c>
      <c r="EI32" s="135">
        <f ca="1">RZ[Úroveň 3 bez koef. (P3a)]*RZ[[#This Row],[Počet MJCR (P0) pro "kg"]]</f>
        <v>100000</v>
      </c>
      <c r="EJ32" s="135">
        <f ca="1">IF(OFFSET(BA32,1,0,1,1)&lt;&gt;0,RZ[[#This Row],[Koeficient odhadu CR '[-'] (P1)]]*$BJ32*SUMIFS(RZ[Úroveň 4 s koef. (P3)],RZ[0],AX32,RZ[Úroveň 2 (P0)],AY32,RZ[Úroveň 3 (P0)],AZ32),RZ[[#This Row],[Koeficient odhadu CR '[-'] (P1)]]*$BJ32*$IQ32)</f>
        <v>25000</v>
      </c>
      <c r="EK32" s="135">
        <f ca="1">IF(OFFSET(BA32,1,0,1,1)&lt;&gt;0,$BJ32*SUMIFS(RZ[Úroveň 4 bez koef. (P3)],RZ[0],AX32,RZ[Úroveň 2 (P0)],AY32,RZ[Úroveň 3 (P0)],AZ32),$BJ32*$IQ32)</f>
        <v>25000</v>
      </c>
      <c r="EL32" s="140">
        <f ca="1">RZ[[#This Row],[Úroveň 4 s koef. (P3a)]]*RZ[[#This Row],[Počet MJCR (P0) pro "kg"]]</f>
        <v>0</v>
      </c>
      <c r="EM32" s="140">
        <f ca="1">RZ[Úroveň 4 bez koef. (P3a)]*RZ[[#This Row],[Počet MJCR (P0) pro "kg"]]</f>
        <v>0</v>
      </c>
      <c r="EN32" s="140">
        <f ca="1">IF(OFFSET(BB32,1,0,1,1)&lt;&gt;0,RZ[[#This Row],[Koeficient odhadu CR '[-'] (P1)]]*$BK32*SUMIFS(RZ[Úroveň 5 s koef. (P3)],RZ[0],AX32,RZ[Úroveň 2 (P0)],AY32,RZ[Úroveň 3 (P0)],AZ32,RZ[Úroveň 4 (P0)],BA32),RZ[[#This Row],[Koeficient odhadu CR '[-'] (P1)]]*$BK32*$IQ32)</f>
        <v>0</v>
      </c>
      <c r="EO32" s="140">
        <f ca="1">IF(OFFSET(BB32,1,0,1,1)&lt;&gt;0,$BK32*SUMIFS(RZ[Úroveň 5 bez koef. (P3)],RZ[0],AX32,RZ[Úroveň 2 (P0)],AY32,RZ[Úroveň 3 (P0)],AZ32,RZ[Úroveň 4 (P0)],BA32),$BK32*$IQ32)</f>
        <v>0</v>
      </c>
      <c r="EP32" s="135">
        <f ca="1">RZ[[#This Row],[Úroveň 5 s koef. (P3a)]]*RZ[[#This Row],[Počet MJCR (P0) pro "kg"]]</f>
        <v>0</v>
      </c>
      <c r="EQ32" s="135">
        <f ca="1">RZ[Úroveň 5 bez koef. (P3a)]*RZ[[#This Row],[Počet MJCR (P0) pro "kg"]]</f>
        <v>0</v>
      </c>
      <c r="ER32" s="135">
        <f ca="1">IF(OFFSET(BC32,1,0,1,1)&lt;&gt;0,RZ[[#This Row],[Koeficient odhadu CR '[-'] (P1)]]*$BL32*SUMIFS(RZ[Úroveň 6 s koef. (P3)],RZ[0],AX32,RZ[Úroveň 2 (P0)],AY32,RZ[Úroveň 3 (P0)],AZ32,RZ[Úroveň 4 (P0)],BA32,RZ[Úroveň 5 (P0)],BB32),RZ[[#This Row],[Koeficient odhadu CR '[-'] (P1)]]*$BL32*$IQ32)</f>
        <v>0</v>
      </c>
      <c r="ES32" s="135">
        <f ca="1">IF(OFFSET(BC32,1,0,1,1)&lt;&gt;0,$BL32*SUMIFS(RZ[Úroveň 6 bez koef. (P3)],RZ[0],AX32,RZ[Úroveň 2 (P0)],AY32,RZ[Úroveň 3 (P0)],AZ32,RZ[Úroveň 4 (P0)],BA32,RZ[Úroveň 5 (P0)],BB32),$BL32*$IQ32)</f>
        <v>0</v>
      </c>
      <c r="ET32" s="140">
        <f ca="1">RZ[[#This Row],[Úroveň 6 s koef. (P3a)]]*RZ[[#This Row],[Počet MJCR (P0) pro "kg"]]</f>
        <v>0</v>
      </c>
      <c r="EU32" s="140">
        <f ca="1">RZ[Úroveň 6 bez koef. (P3a)]*RZ[[#This Row],[Počet MJCR (P0) pro "kg"]]</f>
        <v>0</v>
      </c>
      <c r="EV32" s="140">
        <f ca="1">IF(OFFSET(BD32,1,0,1,1)&lt;&gt;0,RZ[[#This Row],[Koeficient odhadu CR '[-'] (P1)]]*$BM32*SUMIFS(RZ[Úroveň 7 s koef. (P3)],RZ[0],AX32,RZ[Úroveň 2 (P0)],AY32,RZ[Úroveň 3 (P0)],AZ32,RZ[Úroveň 4 (P0)],BA32,RZ[Úroveň 5 (P0)],BB32,RZ[Úroveň 6 (P0)],BC32),RZ[[#This Row],[Koeficient odhadu CR '[-'] (P1)]]*$BM32*$IQ32)</f>
        <v>0</v>
      </c>
      <c r="EW32" s="140">
        <f ca="1">IF(OFFSET(BD32,1,0,1,1)&lt;&gt;0,$BM32*SUMIFS(RZ[Úroveň 7 bez koef. (P3)],RZ[0],AX32,RZ[Úroveň 2 (P0)],AY32,RZ[Úroveň 3 (P0)],AZ32,RZ[Úroveň 4 (P0)],BA32,RZ[Úroveň 5 (P0)],BB32,RZ[Úroveň 6 (P0)],BC32),$BM32*$IQ32)</f>
        <v>0</v>
      </c>
      <c r="EX32" s="135">
        <f ca="1">RZ[[#This Row],[Úroveň 7 s koef. (P3a)]]*RZ[[#This Row],[Počet MJCR (P0) pro "kg"]]</f>
        <v>0</v>
      </c>
      <c r="EY32" s="135">
        <f ca="1">RZ[Úroveň 7 bez koef. (P3a)]*RZ[[#This Row],[Počet MJCR (P0) pro "kg"]]</f>
        <v>0</v>
      </c>
      <c r="EZ32" s="135">
        <f ca="1">IF(OFFSET(BE32,1,0,1,1)&lt;&gt;0,RZ[[#This Row],[Koeficient odhadu CR '[-'] (P1)]]*$BN32*SUMIFS(RZ[Úroveň 8 s koef. (P3)],RZ[0],AX32,RZ[Úroveň 2 (P0)],AY32,RZ[Úroveň 3 (P0)],AZ32,RZ[Úroveň 4 (P0)],BA32,RZ[Úroveň 5 (P0)],BB32,RZ[Úroveň 6 (P0)],BC32,RZ[Úroveň 7 (P0)],BD32),RZ[[#This Row],[Koeficient odhadu CR '[-'] (P1)]]*$BN32*$IQ32)</f>
        <v>0</v>
      </c>
      <c r="FA32" s="135">
        <f ca="1">IF(OFFSET(BE32,1,0,1,1)&lt;&gt;0,$BN32*SUMIFS(RZ[Úroveň 8 bez koef. (P3)],RZ[0],AX32,RZ[Úroveň 2 (P0)],AY32,RZ[Úroveň 3 (P0)],AZ32,RZ[Úroveň 4 (P0)],BA32,RZ[Úroveň 5 (P0)],BB32,RZ[Úroveň 6 (P0)],BC32,RZ[Úroveň 7 (P0)],BD32),$BN32*$IQ32)</f>
        <v>0</v>
      </c>
      <c r="FB32" s="140">
        <f ca="1">RZ[[#This Row],[Úroveň 8 s koef. (P3a)]]*RZ[[#This Row],[Počet MJCR (P0) pro "kg"]]</f>
        <v>0</v>
      </c>
      <c r="FC32" s="140">
        <f ca="1">RZ[Úroveň 8 bez koef. (P3a)]*RZ[[#This Row],[Počet MJCR (P0) pro "kg"]]</f>
        <v>0</v>
      </c>
      <c r="FD32" s="140">
        <f ca="1">IF(OFFSET(BF32,1,0,1,1)&lt;&gt;0,RZ[[#This Row],[Koeficient odhadu CR '[-'] (P1)]]*$BO32*SUMIFS(RZ[Úroveň 9 s koef. (P3)],RZ[0],AX32,RZ[Úroveň 2 (P0)],AY32,RZ[Úroveň 3 (P0)],AZ32,RZ[Úroveň 4 (P0)],BA32,RZ[Úroveň 5 (P0)],BB32,RZ[Úroveň 6 (P0)],BC32,RZ[Úroveň 7 (P0)],BD32,RZ[Úroveň 8 (P0)],BE32),RZ[[#This Row],[Koeficient odhadu CR '[-'] (P1)]]*$BO32*$IQ32)</f>
        <v>0</v>
      </c>
      <c r="FE32" s="140">
        <f ca="1">IF(OFFSET(BF32,1,0,1,1)&lt;&gt;0,$BO32*SUMIFS(RZ[Úroveň 9 bez koef. (P3)],RZ[0],AX32,RZ[Úroveň 2 (P0)],AY32,RZ[Úroveň 3 (P0)],AZ32,RZ[Úroveň 4 (P0)],BA32,RZ[Úroveň 5 (P0)],BB32,RZ[Úroveň 6 (P0)],BC32,RZ[Úroveň 7 (P0)],BD32,RZ[Úroveň 8 (P0)],BE32),$BO32*$IQ32)</f>
        <v>0</v>
      </c>
      <c r="FF32" s="135">
        <f ca="1">RZ[[#This Row],[Úroveň 9 s koef. (P3a)]]*RZ[[#This Row],[Počet MJCR (P0) pro "kg"]]</f>
        <v>0</v>
      </c>
      <c r="FG32" s="135">
        <f ca="1">RZ[Úroveň 9 bez koef. (P3a)]*RZ[[#This Row],[Počet MJCR (P0) pro "kg"]]</f>
        <v>0</v>
      </c>
      <c r="FH32" s="135">
        <f ca="1">IF(OFFSET(BG32,1,0,1,1)&lt;&gt;0,RZ[[#This Row],[Koeficient odhadu CR '[-'] (P1)]]*$BP32*SUMIFS(RZ[Úroveň 10 s koef. (P3)],RZ[0],AX32,RZ[Úroveň 2 (P0)],AY32,RZ[Úroveň 3 (P0)],AZ32,RZ[Úroveň 4 (P0)],BA32,RZ[Úroveň 5 (P0)],BB32,RZ[Úroveň 6 (P0)],BC32,RZ[Úroveň 7 (P0)],BD32,RZ[Úroveň 8 (P0)],BE32,RZ[Úroveň 9 (P0)],BF32),RZ[[#This Row],[Koeficient odhadu CR '[-'] (P1)]]*$BP32*$IQ32)</f>
        <v>0</v>
      </c>
      <c r="FI32" s="135">
        <f ca="1">IF(OFFSET(BG32,1,0,1,1)&lt;&gt;0,$BP32*SUMIFS(RZ[Úroveň 10 bez koef. (P3)],RZ[0],AX32,RZ[Úroveň 2 (P0)],AY32,RZ[Úroveň 3 (P0)],AZ32,RZ[Úroveň 4 (P0)],BA32,RZ[Úroveň 5 (P0)],BB32,RZ[Úroveň 6 (P0)],BC32,RZ[Úroveň 7 (P0)],BD32,RZ[Úroveň 8 (P0)],BE32,RZ[Úroveň 9 (P0)],BF32),$BP32*$IQ32)</f>
        <v>0</v>
      </c>
      <c r="FJ32" s="140">
        <f ca="1">RZ[[#This Row],[Úroveň 10 s koef. (P3a)]]*RZ[[#This Row],[Počet MJCR (P0) pro "kg"]]</f>
        <v>0</v>
      </c>
      <c r="FK32" s="140">
        <f ca="1">RZ[Úroveň 10 bez koef. (P3a)]*RZ[[#This Row],[Počet MJCR (P0) pro "kg"]]</f>
        <v>0</v>
      </c>
      <c r="FL32" s="140">
        <f ca="1">RZ[[#This Row],[Koeficient odhadu CR '[-'] (P1)]]*$BQ32*IQ32</f>
        <v>0</v>
      </c>
      <c r="FM32" s="236">
        <f t="shared" ca="1" si="189"/>
        <v>0</v>
      </c>
      <c r="FN32" s="194">
        <f t="shared" ca="1" si="190"/>
        <v>25000</v>
      </c>
      <c r="FO32" s="238">
        <f t="shared" ca="1" si="191"/>
        <v>25000</v>
      </c>
      <c r="FP32" s="135">
        <f t="shared" ca="1" si="192"/>
        <v>0</v>
      </c>
      <c r="FQ32" s="135">
        <f t="shared" ca="1" si="193"/>
        <v>0</v>
      </c>
      <c r="FR32" s="135">
        <f t="shared" ca="1" si="194"/>
        <v>4</v>
      </c>
      <c r="FS32" s="135">
        <f t="shared" ca="1" si="195"/>
        <v>0</v>
      </c>
      <c r="FT32" s="135">
        <f t="shared" ca="1" si="196"/>
        <v>0</v>
      </c>
      <c r="FU32" s="135">
        <f t="shared" ca="1" si="197"/>
        <v>0</v>
      </c>
      <c r="FV32" s="135">
        <f t="shared" ca="1" si="198"/>
        <v>0</v>
      </c>
      <c r="FW32" s="135">
        <f t="shared" ca="1" si="199"/>
        <v>0</v>
      </c>
      <c r="FX32" s="135">
        <f t="shared" ca="1" si="200"/>
        <v>0</v>
      </c>
      <c r="FY32" s="135">
        <f t="shared" ca="1" si="201"/>
        <v>0</v>
      </c>
      <c r="FZ32" s="140">
        <f ca="1">SUMIFS(RZ[Úroveň 1 (P6)],RZ[0],AX32)</f>
        <v>1</v>
      </c>
      <c r="GA32" s="140">
        <f ca="1">SUMIFS(RZ[Úroveň 2 (P6)],RZ[0],AX32,RZ[Úroveň 2 (P0)],AY32)</f>
        <v>1</v>
      </c>
      <c r="GB32" s="140">
        <f ca="1">SUMIFS(RZ[Úroveň 3 (P6)],RZ[0],AX32,RZ[Úroveň 2 (P0)],AY32,RZ[Úroveň 3 (P0)],AZ32)</f>
        <v>4</v>
      </c>
      <c r="GC32" s="140">
        <f ca="1">SUMIFS(RZ[Úroveň 4 (P6)],RZ[0],AX32,RZ[Úroveň 2 (P0)],AY32,RZ[Úroveň 3 (P0)],AZ32,RZ[Úroveň 4 (P0)],BA32)</f>
        <v>0</v>
      </c>
      <c r="GD32" s="140">
        <f ca="1">SUMIFS(RZ[Úroveň 5 (P6)],RZ[0],AX32,RZ[Úroveň 2 (P0)],AY32,RZ[Úroveň 3 (P0)],AZ32,RZ[Úroveň 4 (P0)],BA32,RZ[Úroveň 5 (P0)],BB32)</f>
        <v>0</v>
      </c>
      <c r="GE32" s="140">
        <f ca="1">SUMIFS(RZ[Úroveň 6 (P6)],RZ[0],AX32,RZ[Úroveň 2 (P0)],AY32,RZ[Úroveň 3 (P0)],AZ32,RZ[Úroveň 4 (P0)],BA32,RZ[Úroveň 5 (P0)],BB32,RZ[Úroveň 6 (P0)],BC32)</f>
        <v>0</v>
      </c>
      <c r="GF32" s="140">
        <f ca="1">SUMIFS(RZ[Úroveň 7 (P6)],RZ[0],AX32,RZ[Úroveň 2 (P0)],AY32,RZ[Úroveň 3 (P0)],AZ32,RZ[Úroveň 4 (P0)],BA32,RZ[Úroveň 5 (P0)],BB32,RZ[Úroveň 6 (P0)],BC32,RZ[Úroveň 7 (P0)],BD32)</f>
        <v>0</v>
      </c>
      <c r="GG32" s="140">
        <f ca="1">SUMIFS(RZ[Úroveň 8 (P6)],RZ[0],AX32,RZ[Úroveň 2 (P0)],AY32,RZ[Úroveň 3 (P0)],AZ32,RZ[Úroveň 4 (P0)],BA32,RZ[Úroveň 5 (P0)],BB32,RZ[Úroveň 6 (P0)],BC32,RZ[Úroveň 7 (P0)],BD32,RZ[Úroveň 8 (P0)],BE32)</f>
        <v>0</v>
      </c>
      <c r="GH32" s="140">
        <f ca="1">SUMIFS(RZ[Úroveň 9 (P6)],RZ[0],AX32,RZ[Úroveň 2 (P0)],AY32,RZ[Úroveň 3 (P0)],AZ32,RZ[Úroveň 4 (P0)],BA32,RZ[Úroveň 5 (P0)],BB32,RZ[Úroveň 6 (P0)],BC32,RZ[Úroveň 7 (P0)],BD32,RZ[Úroveň 8 (P0)],BE32,RZ[Úroveň 9 (P0)],BF32)</f>
        <v>0</v>
      </c>
      <c r="GI32" s="140">
        <f ca="1">SUMIFS(RZ[Úroveň 10 (P6)],RZ[0],AX32,RZ[Úroveň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GJ32" s="918">
        <f t="shared" ca="1" si="202"/>
        <v>4</v>
      </c>
      <c r="GK32" s="808">
        <f t="shared" si="203"/>
        <v>0</v>
      </c>
      <c r="GL32" s="808">
        <f t="shared" si="204"/>
        <v>0</v>
      </c>
      <c r="GM32" s="808">
        <f t="shared" si="205"/>
        <v>1</v>
      </c>
      <c r="GN32" s="808">
        <f t="shared" si="206"/>
        <v>0</v>
      </c>
      <c r="GO32" s="808">
        <f t="shared" si="207"/>
        <v>0</v>
      </c>
      <c r="GP32" s="808">
        <f t="shared" si="208"/>
        <v>0</v>
      </c>
      <c r="GQ32" s="808">
        <f t="shared" si="209"/>
        <v>0</v>
      </c>
      <c r="GR32" s="808">
        <f t="shared" si="210"/>
        <v>0</v>
      </c>
      <c r="GS32" s="808">
        <f t="shared" si="211"/>
        <v>0</v>
      </c>
      <c r="GT32" s="808">
        <f t="shared" si="212"/>
        <v>0</v>
      </c>
      <c r="GU32" s="809">
        <f ca="1">SUMIFS(RZ[Sloupec1],RZ[0],AX32)</f>
        <v>1</v>
      </c>
      <c r="GV32" s="809">
        <f ca="1">SUMIFS(RZ[Sloupec2],RZ[0],AX32,RZ[Úroveň 2 (P0)],AY32)</f>
        <v>1</v>
      </c>
      <c r="GW32" s="809">
        <f ca="1">SUMIFS(RZ[Sloupec3],RZ[0],AX32,RZ[Úroveň 2 (P0)],AY32,RZ[Úroveň 3 (P0)],AZ32)</f>
        <v>1</v>
      </c>
      <c r="GX32" s="809">
        <f ca="1">SUMIFS(RZ[Sloupec4],RZ[0],AX32,RZ[Úroveň 2 (P0)],AY32,RZ[Úroveň 3 (P0)],AZ32,RZ[Úroveň 4 (P0)],BA32)</f>
        <v>0</v>
      </c>
      <c r="GY32" s="809">
        <f ca="1">SUMIFS(RZ[Sloupec5],RZ[0],AX32,RZ[Úroveň 2 (P0)],AY32,RZ[Úroveň 3 (P0)],AZ32,RZ[Úroveň 4 (P0)],BA32,RZ[Úroveň 5 (P0)],BB32)</f>
        <v>0</v>
      </c>
      <c r="GZ32" s="809">
        <f ca="1">SUMIFS(RZ[Sloupec6],RZ[0],AX32,RZ[Úroveň 2 (P0)],AY32,RZ[Úroveň 3 (P0)],AZ32,RZ[Úroveň 4 (P0)],BA32,RZ[Úroveň 5 (P0)],BB32,RZ[Úroveň 6 (P0)],BC32)</f>
        <v>0</v>
      </c>
      <c r="HA32" s="809">
        <f ca="1">SUMIFS(RZ[Sloupec62],RZ[0],AX32,RZ[Úroveň 2 (P0)],AY32,RZ[Úroveň 3 (P0)],AZ32,RZ[Úroveň 4 (P0)],BA32,RZ[Úroveň 5 (P0)],BB32,RZ[Úroveň 6 (P0)],BC32,RZ[Úroveň 7 (P0)],BD32)</f>
        <v>0</v>
      </c>
      <c r="HB32" s="809">
        <f ca="1">SUMIFS(RZ[Sloupec63],RZ[0],AX32,RZ[Úroveň 2 (P0)],AY32,RZ[Úroveň 3 (P0)],AZ32,RZ[Úroveň 4 (P0)],BA32,RZ[Úroveň 5 (P0)],BB32,RZ[Úroveň 6 (P0)],BC32,RZ[Úroveň 7 (P0)],BD32,RZ[Úroveň 8 (P0)],BE32)</f>
        <v>0</v>
      </c>
      <c r="HC32" s="809">
        <f ca="1">SUMIFS(RZ[Sloupec64],RZ[0],AX32,RZ[Úroveň 2 (P0)],AY32,RZ[Úroveň 3 (P0)],AZ32,RZ[Úroveň 4 (P0)],BA32,RZ[Úroveň 5 (P0)],BB32,RZ[Úroveň 6 (P0)],BC32,RZ[Úroveň 7 (P0)],BD32,RZ[Úroveň 8 (P0)],BE32,RZ[Úroveň 9 (P0)],BF32)</f>
        <v>0</v>
      </c>
      <c r="HD32" s="809">
        <f ca="1">SUMIFS(RZ[Sloupec65],RZ[0],AX32,RZ[Úroveň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HE32" s="919">
        <f t="shared" ca="1" si="213"/>
        <v>1</v>
      </c>
      <c r="HF32" s="920" t="str">
        <f t="shared" si="214"/>
        <v/>
      </c>
      <c r="HG32" s="94" t="str">
        <f t="shared" si="215"/>
        <v/>
      </c>
      <c r="HH32" s="95" t="str">
        <f t="shared" si="216"/>
        <v/>
      </c>
      <c r="HI32" s="95" t="str">
        <f t="shared" si="217"/>
        <v>Polovina spojky</v>
      </c>
      <c r="HJ32" s="96" t="str">
        <f t="shared" si="218"/>
        <v/>
      </c>
      <c r="HK32" s="96" t="str">
        <f t="shared" si="219"/>
        <v/>
      </c>
      <c r="HL32" s="96" t="str">
        <f t="shared" si="220"/>
        <v/>
      </c>
      <c r="HM32" s="96" t="str">
        <f t="shared" si="221"/>
        <v/>
      </c>
      <c r="HN32" s="96" t="str">
        <f t="shared" si="222"/>
        <v/>
      </c>
      <c r="HO32" s="96" t="str">
        <f t="shared" si="223"/>
        <v/>
      </c>
      <c r="HP32" s="96" t="str">
        <f t="shared" si="224"/>
        <v/>
      </c>
      <c r="HQ32" s="145" t="str">
        <f t="shared" si="225"/>
        <v>STSP</v>
      </c>
      <c r="HR32" s="921" t="str">
        <f t="shared" si="226"/>
        <v/>
      </c>
      <c r="HS32" s="173">
        <f t="shared" si="227"/>
        <v>0</v>
      </c>
      <c r="HT32" s="100">
        <f t="shared" si="228"/>
        <v>0</v>
      </c>
      <c r="HU32" s="100">
        <f t="shared" si="229"/>
        <v>0</v>
      </c>
      <c r="HV32" s="908" t="str">
        <f t="shared" si="230"/>
        <v>Zajíc</v>
      </c>
      <c r="HW32" s="922">
        <f t="shared" si="231"/>
        <v>42950.629745370374</v>
      </c>
      <c r="HX32" s="224">
        <f t="shared" si="232"/>
        <v>0</v>
      </c>
      <c r="HY32" s="263" t="str">
        <f t="shared" si="233"/>
        <v>S</v>
      </c>
      <c r="HZ32" s="263" t="str">
        <f t="shared" si="234"/>
        <v>N</v>
      </c>
      <c r="IA32" s="150">
        <f t="shared" si="235"/>
        <v>1</v>
      </c>
      <c r="IB32" s="319">
        <f t="shared" si="236"/>
        <v>25000</v>
      </c>
      <c r="IC32" s="923">
        <f t="shared" si="237"/>
        <v>1</v>
      </c>
      <c r="ID32" s="924" t="str">
        <f t="shared" ca="1" si="238"/>
        <v>OK</v>
      </c>
      <c r="IE32" s="201" t="str">
        <f t="shared" si="239"/>
        <v>ks</v>
      </c>
      <c r="IF32" s="145">
        <f t="shared" si="240"/>
        <v>4</v>
      </c>
      <c r="IG32" s="216">
        <f t="shared" si="241"/>
        <v>55</v>
      </c>
      <c r="IH32" s="217">
        <f t="shared" si="242"/>
        <v>1</v>
      </c>
      <c r="II32" s="224" t="str">
        <f ca="1">IF(RZ[[#This Row],[Rozhodný sloupec indikativní ceny]]=1,"kg",IF($IW32=$JL$15,IF(JX32=0,JO32,JX32),IF($IW32=$KE$15,IF(KQ32=0,KH32,KQ32),IF($IW32=$KX$15,IF(LJ32=0,LA32,LJ32),IF($IW32=$LQ$15,IF(MC32=0,LT32,MC32),IF($IW32=$MJ$15,IF(NQ32=0,NH32,NQ32),0))))))</f>
        <v>ks</v>
      </c>
      <c r="IJ32" s="224">
        <f ca="1">IF((BH32+OFFSET(BH32,1,1,1,1))=2,RZ[[#This Row],[Počet MJHR (P0)]],IF((BI32+OFFSET(BI32,1,1,1,1))=2,RZ[[#This Row],[Počet MJHR (P0)]],IF((BJ32+OFFSET(BJ32,1,1,1,1))=2,RZ[[#This Row],[Počet MJHR (P0)]],IF((BK32+OFFSET(BK32,1,1,1,1))=2,RZ[[#This Row],[Počet MJHR (P0)]],IF((BL32+OFFSET(BL32,1,1,1,1))=2,RZ[[#This Row],[Počet MJHR (P0)]],IF((BM32+OFFSET(BM32,1,1,1,1))=2,RZ[[#This Row],[Počet MJHR (P0)]],IF((BN32+OFFSET(BN32,1,1,1,1))=2,RZ[[#This Row],[Počet MJHR (P0)]],IF((BO32+OFFSET(BO32,1,1,1,1))=2,RZ[[#This Row],[Počet MJHR (P0)]],IF((BP32+OFFSET(BP32,1,1,1,1))=2,RZ[[#This Row],[Počet MJHR (P0)]],IF((BQ32+OFFSET(BQ32,1,1,1,1))=2,RZ[[#This Row],[Počet MJHR (P0)]],IF(RZ[[#This Row],[Měrná jednotka CR (MJCR) (P0)]]=RZ[[#This Row],[Měrná jednotka HR '[MJHR'] (P0)]],RZ[[#This Row],[Počet MJHR (P0)]],IF($IW32=$JL$15,JY32,IF($IW32=$KE$15,KR32,IF($IW32=$KX$15,LK32,IF($IW32=$LQ$15,MD32,IF($IW32=$MJ$15,NR32,0))))))))))))))))</f>
        <v>4</v>
      </c>
      <c r="IK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2" s="145">
        <f ca="1">IF(AND(RZ[[#This Row],[Jednotková cena bez DPH '[cena/MJCR'] (P0)]]=0,RZ[[#This Row],[Indikativní jednotková cena '[CZK/kg'] (P1)]]&lt;&gt;0),1,0)</f>
        <v>0</v>
      </c>
      <c r="IM32" s="217">
        <f ca="1">VLOOKUP(RZ[[#This Row],[Kód položek]],INDIKAT_CENA,2,FALSE)</f>
        <v>0</v>
      </c>
      <c r="IN32" s="222">
        <f ca="1">IF(RZ[[#This Row],[Rozhodný sloupec indikativní ceny]]=1,RZ[[#This Row],[Indikativní jednotková cena '[CZK/kg'] (P1)]],RZ[[#This Row],[Jednotková cena bez DPH '[cena/MJCR'] (P0)]])</f>
        <v>25000</v>
      </c>
      <c r="IO32" s="222">
        <f t="shared" si="243"/>
        <v>1</v>
      </c>
      <c r="IP32" s="224">
        <f ca="1">IF(RZ[[#This Row],[Rozhodný sloupec indikativní ceny]]=1,1,IF($IW32=$JL$15,KA32,IF($IW32=$KE$15,KT32,IF($IW32=$KX$15,LM32,IF($IW32=$LQ$15,MF32,IF($IW32=$MJ$15,NT32,0))))))</f>
        <v>1</v>
      </c>
      <c r="IQ32" s="225">
        <f ca="1">IF(RZ[[#This Row],[Jednotková cena bez DPH '[cena/MJCR'] (P1)]]="",0,IF(IP32=0,0,(RZ[[#This Row],[Jednotková cena bez DPH '[cena/MJCR'] (P1)]]*VLOOKUP(IP32,$BR$7:$BT$10,3))))</f>
        <v>25000</v>
      </c>
      <c r="IR32" s="737"/>
      <c r="IS32" s="627">
        <f>IF(HY32=0,"",VLOOKUP(RZ[[#This Row],[Stav Projekce (P0)]],Vstupy!$E$11:'Vstupy'!$E$11:$H$17,4,FALSE))</f>
        <v>100</v>
      </c>
      <c r="IT32" s="925" t="str">
        <f>IF(RZ[[#This Row],[Stav Projekce (P0)]]=0,"",RZ[[#This Row],[Stav Projekce (P0)]])</f>
        <v>S</v>
      </c>
      <c r="IU32" s="925" t="str">
        <f>IF(RZ[[#This Row],[Stav Nákup (P0)]]=0,"",RZ[[#This Row],[Stav Nákup (P0)]])</f>
        <v>N</v>
      </c>
      <c r="IV32" s="926" t="str">
        <f t="shared" si="244"/>
        <v>Zajíc</v>
      </c>
      <c r="IW32" s="641">
        <v>1</v>
      </c>
      <c r="IX32" s="630"/>
      <c r="IY32" s="264"/>
      <c r="IZ32" s="648"/>
      <c r="JA32" s="100"/>
      <c r="JB32" s="100" t="s">
        <v>809</v>
      </c>
      <c r="JC32" s="100"/>
      <c r="JD32" s="100"/>
      <c r="JE32" s="100"/>
      <c r="JF32" s="100"/>
      <c r="JG32" s="100"/>
      <c r="JH32" s="100"/>
      <c r="JI32" s="100"/>
      <c r="JJ32" s="145" t="s">
        <v>828</v>
      </c>
      <c r="JK32" s="529"/>
      <c r="JL32" s="286"/>
      <c r="JM32" s="100"/>
      <c r="JN32" s="100"/>
      <c r="JO32" s="145" t="s">
        <v>35</v>
      </c>
      <c r="JP32" s="117">
        <v>4</v>
      </c>
      <c r="JQ32" s="117">
        <v>55</v>
      </c>
      <c r="JR32" s="148">
        <v>1</v>
      </c>
      <c r="JS32" s="145" t="s">
        <v>602</v>
      </c>
      <c r="JT32" s="631"/>
      <c r="JU32" s="148" t="s">
        <v>853</v>
      </c>
      <c r="JV32" s="154">
        <v>42950.629745370374</v>
      </c>
      <c r="JW32" s="145"/>
      <c r="JX32" s="210"/>
      <c r="JY32" s="117"/>
      <c r="JZ32" s="662">
        <v>25000</v>
      </c>
      <c r="KA32" s="145">
        <v>1</v>
      </c>
      <c r="KB32" s="148">
        <v>1</v>
      </c>
      <c r="KC32" s="148" t="s">
        <v>611</v>
      </c>
      <c r="KD32" s="644"/>
      <c r="KE32" s="286"/>
      <c r="KF32" s="100"/>
      <c r="KG32" s="100"/>
      <c r="KH32" s="210"/>
      <c r="KI32" s="117"/>
      <c r="KJ32" s="117"/>
      <c r="KK32" s="148"/>
      <c r="KL32" s="145"/>
      <c r="KM32" s="632"/>
      <c r="KN32" s="148"/>
      <c r="KO32" s="154"/>
      <c r="KP32" s="154"/>
      <c r="KQ32" s="210"/>
      <c r="KR32" s="117"/>
      <c r="KS32" s="211"/>
      <c r="KT32" s="145"/>
      <c r="KU32" s="148"/>
      <c r="KV32" s="148"/>
      <c r="KW32" s="265"/>
      <c r="KX32" s="286"/>
      <c r="KY32" s="100"/>
      <c r="KZ32" s="100"/>
      <c r="LA32" s="210"/>
      <c r="LB32" s="117"/>
      <c r="LC32" s="117"/>
      <c r="LD32" s="148"/>
      <c r="LE32" s="145"/>
      <c r="LF32" s="632"/>
      <c r="LG32" s="148"/>
      <c r="LH32" s="154"/>
      <c r="LI32" s="154"/>
      <c r="LJ32" s="154"/>
      <c r="LK32" s="117"/>
      <c r="LL32" s="211"/>
      <c r="LM32" s="210"/>
      <c r="LN32" s="148"/>
      <c r="LO32" s="148"/>
      <c r="LP32" s="265"/>
      <c r="LQ32" s="286"/>
      <c r="LR32" s="100"/>
      <c r="LS32" s="100"/>
      <c r="LT32" s="210"/>
      <c r="LU32" s="117"/>
      <c r="LV32" s="117"/>
      <c r="LW32" s="148"/>
      <c r="LX32" s="145"/>
      <c r="LY32" s="632"/>
      <c r="LZ32" s="148"/>
      <c r="MA32" s="154"/>
      <c r="MB32" s="154"/>
      <c r="MC32" s="145"/>
      <c r="MD32" s="117"/>
      <c r="ME32" s="211"/>
      <c r="MF32" s="210"/>
      <c r="MG32" s="148"/>
      <c r="MH32" s="148"/>
      <c r="MI32" s="265"/>
      <c r="MJ32" s="647"/>
      <c r="MK32" s="264"/>
      <c r="ML32" s="153"/>
      <c r="MM32" s="153"/>
      <c r="MN32" s="153"/>
      <c r="MO32" s="153"/>
      <c r="MP32" s="153"/>
      <c r="MQ32" s="153"/>
      <c r="MR32" s="153"/>
      <c r="MS32" s="99"/>
      <c r="MT32" s="99"/>
      <c r="MU32" s="99"/>
      <c r="MV32" s="99"/>
      <c r="MW32" s="99"/>
      <c r="MX32" s="99"/>
      <c r="MY32" s="153"/>
      <c r="MZ32" s="153"/>
      <c r="NA32" s="153"/>
      <c r="NB32" s="153"/>
      <c r="NC32" s="153"/>
      <c r="ND32" s="153"/>
      <c r="NE32" s="148"/>
      <c r="NF32" s="153"/>
      <c r="NG32" s="153"/>
      <c r="NH32" s="330" t="str">
        <f t="shared" si="245"/>
        <v>ks</v>
      </c>
      <c r="NI32" s="797">
        <f>RZ[[#This Row],[Počet ks (K)]]</f>
        <v>0</v>
      </c>
      <c r="NJ32" s="798">
        <f>RZ[[#This Row],[Hmotnost '[kg/ks'] (K)]]</f>
        <v>0</v>
      </c>
      <c r="NK32" s="148"/>
      <c r="NL32" s="145"/>
      <c r="NM32" s="632"/>
      <c r="NN32" s="148"/>
      <c r="NO32" s="154"/>
      <c r="NP32" s="153"/>
      <c r="NQ32" s="153"/>
      <c r="NR32" s="210"/>
      <c r="NS32" s="148"/>
      <c r="NT32" s="210"/>
      <c r="NU32" s="148"/>
      <c r="NV32" s="148"/>
      <c r="NW32" s="175"/>
    </row>
    <row r="33" spans="2:387" ht="15.95" customHeight="1" x14ac:dyDescent="0.35">
      <c r="B33" s="118" t="str">
        <f t="shared" si="129"/>
        <v/>
      </c>
      <c r="C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3" s="262" t="str">
        <f t="shared" si="130"/>
        <v xml:space="preserve">    Kardanový hřídel</v>
      </c>
      <c r="E33" s="120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Row],[Kód položek (P2)]]))))))))))</f>
        <v>SUOS</v>
      </c>
      <c r="F33" s="791" t="str">
        <f t="shared" si="131"/>
        <v>N/A</v>
      </c>
      <c r="G33" s="792" t="str">
        <f t="shared" si="132"/>
        <v/>
      </c>
      <c r="H33" s="262" t="str">
        <f t="shared" si="133"/>
        <v/>
      </c>
      <c r="I33" s="123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HR '[MJHR'] (P0)]]))))))))))</f>
        <v>ks</v>
      </c>
      <c r="J33" s="123">
        <f t="shared" si="134"/>
        <v>2</v>
      </c>
      <c r="K33" s="793">
        <f>RZ[[#This Row],[Koeficient odhadu HR '[-'] (P1)]]</f>
        <v>1</v>
      </c>
      <c r="L33" s="124">
        <f ca="1">RZ[[#This Row],[Jednotková hmotnost s koef. '[kg/MJHR'] (P0)]]</f>
        <v>496</v>
      </c>
      <c r="M33" s="794">
        <f t="shared" ca="1" si="135"/>
        <v>0</v>
      </c>
      <c r="N33" s="125">
        <f t="shared" ca="1" si="136"/>
        <v>992</v>
      </c>
      <c r="O33" s="125">
        <f t="shared" ca="1" si="137"/>
        <v>0</v>
      </c>
      <c r="P33" s="126" t="str">
        <f t="shared" si="138"/>
        <v/>
      </c>
      <c r="Q33" s="795">
        <f ca="1">RZ[[#This Row],[Počet MJHR v rozpadu (P0)]]</f>
        <v>2</v>
      </c>
      <c r="R33" s="439" t="str">
        <f t="shared" si="139"/>
        <v>Zajíc</v>
      </c>
      <c r="S33" s="129">
        <f t="shared" si="140"/>
        <v>42950.629386574074</v>
      </c>
      <c r="T33" s="126" t="str">
        <f t="shared" si="141"/>
        <v/>
      </c>
      <c r="U33" s="126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CR (MJCR) (P0)]]))))))))))</f>
        <v>ks</v>
      </c>
      <c r="V33" s="575">
        <f t="shared" ca="1" si="142"/>
        <v>2</v>
      </c>
      <c r="W33" s="322">
        <f>RZ[[#This Row],[Koeficient odhadu CR '[-'] (P1)]]</f>
        <v>1</v>
      </c>
      <c r="X33" s="440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Row],[Jednotková cena bez DPH '[cena/MJCR'] (P1)]]*RZ[[#This Row],[Koeficient odhadu CR '[-']]]))))))))))</f>
        <v>175000</v>
      </c>
      <c r="Y33" s="440">
        <f t="shared" ca="1" si="143"/>
        <v>0</v>
      </c>
      <c r="Z33" s="142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VLOOKUP(IP33,$BR$7:$BS$11,2,FALSE)))))))))))</f>
        <v>CZK</v>
      </c>
      <c r="AA33" s="909">
        <f t="shared" ca="1" si="144"/>
        <v>2</v>
      </c>
      <c r="AB33" s="910">
        <f ca="1">RZ[[#This Row],[Kumulovaný koeficient v rozpadu (P0)]]</f>
        <v>1</v>
      </c>
      <c r="AC33" s="261"/>
      <c r="AD33" s="796">
        <f ca="1">RZ[[#This Row],[Jednotková cena bez DPH '[cena/MJCR'] s koef. (P0)]]/RZ[[#This Row],[Koeficient odhadu CR '[-']]]*RZ[[#This Row],[Kumulovaný koeficient odhadu CR  '[-']]]</f>
        <v>175000</v>
      </c>
      <c r="AE33" s="796">
        <f t="shared" ca="1" si="145"/>
        <v>350000</v>
      </c>
      <c r="AF33" s="796">
        <f ca="1">-IF(ISNUMBER(AA33),RZ[[#This Row],[Celková cena bez DPH (1)]]-RZ[[#This Row],[Jednotková cena bez DPH '[cena/MJCR'] bez koef. (P0)]]*AA33,0)</f>
        <v>0</v>
      </c>
      <c r="AG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352.82258064516128</v>
      </c>
      <c r="AH33" s="261"/>
      <c r="AI33" s="796">
        <f t="shared" ca="1" si="146"/>
        <v>6481.4814814814818</v>
      </c>
      <c r="AJ33" s="796">
        <f t="shared" ca="1" si="147"/>
        <v>12962.962962962964</v>
      </c>
      <c r="AK33" s="796">
        <f t="shared" ca="1" si="148"/>
        <v>0</v>
      </c>
      <c r="AL33" s="753">
        <f ca="1">RZ[[#This Row],[Kilogramová cena bez DPH '[cena/kg'] (1)]]/$AK$13</f>
        <v>13.067502986857825</v>
      </c>
      <c r="AM33" s="261"/>
      <c r="AN33" s="796">
        <f t="shared" ca="1" si="149"/>
        <v>8454.1062801932367</v>
      </c>
      <c r="AO33" s="796">
        <f t="shared" ca="1" si="150"/>
        <v>16908.212560386473</v>
      </c>
      <c r="AP33" s="796">
        <f t="shared" ca="1" si="151"/>
        <v>0</v>
      </c>
      <c r="AQ33" s="753">
        <f ca="1">RZ[[#This Row],[Kilogramová cena bez DPH '[cena/kg'] (1)]]/$AP$13</f>
        <v>17.044569113292816</v>
      </c>
      <c r="AR33" s="261"/>
      <c r="AS33" s="796">
        <f t="shared" ca="1" si="152"/>
        <v>4786.6520787746167</v>
      </c>
      <c r="AT33" s="796">
        <f t="shared" ca="1" si="153"/>
        <v>9573.3041575492334</v>
      </c>
      <c r="AU33" s="789">
        <f t="shared" ca="1" si="154"/>
        <v>0</v>
      </c>
      <c r="AV33" s="767">
        <f ca="1">RZ[[#This Row],[Kilogramová cena bez DPH '[cena/kg'] (1)]]/$AU$13</f>
        <v>9.6505082233359207</v>
      </c>
      <c r="AW33" s="165"/>
      <c r="AX33" s="911">
        <f t="shared" ca="1" si="155"/>
        <v>2</v>
      </c>
      <c r="AY33" s="111">
        <f t="shared" ca="1" si="156"/>
        <v>1</v>
      </c>
      <c r="AZ33" s="111">
        <f t="shared" ca="1" si="157"/>
        <v>10</v>
      </c>
      <c r="BA33" s="111">
        <f t="shared" ca="1" si="158"/>
        <v>0</v>
      </c>
      <c r="BB33" s="111">
        <f t="shared" ca="1" si="159"/>
        <v>0</v>
      </c>
      <c r="BC33" s="111">
        <f t="shared" ca="1" si="160"/>
        <v>0</v>
      </c>
      <c r="BD33" s="111">
        <f t="shared" ca="1" si="161"/>
        <v>0</v>
      </c>
      <c r="BE33" s="111">
        <f t="shared" ca="1" si="162"/>
        <v>0</v>
      </c>
      <c r="BF33" s="111">
        <f t="shared" ca="1" si="163"/>
        <v>0</v>
      </c>
      <c r="BG33" s="112">
        <f t="shared" ca="1" si="164"/>
        <v>0</v>
      </c>
      <c r="BH33" s="911">
        <f t="shared" si="165"/>
        <v>0</v>
      </c>
      <c r="BI33" s="111">
        <f t="shared" si="166"/>
        <v>0</v>
      </c>
      <c r="BJ33" s="111">
        <f t="shared" si="167"/>
        <v>1</v>
      </c>
      <c r="BK33" s="111">
        <f t="shared" si="168"/>
        <v>0</v>
      </c>
      <c r="BL33" s="111">
        <f t="shared" si="169"/>
        <v>0</v>
      </c>
      <c r="BM33" s="111">
        <f t="shared" si="170"/>
        <v>0</v>
      </c>
      <c r="BN33" s="111">
        <f t="shared" si="171"/>
        <v>0</v>
      </c>
      <c r="BO33" s="111">
        <f t="shared" si="172"/>
        <v>0</v>
      </c>
      <c r="BP33" s="111">
        <f t="shared" si="173"/>
        <v>0</v>
      </c>
      <c r="BQ33" s="112">
        <f t="shared" si="174"/>
        <v>0</v>
      </c>
      <c r="BR33" s="132">
        <f ca="1">IF(OFFSET(AY33,1,0,1,1)&lt;&gt;0,RZ[[#This Row],[Koeficient odhadu HR '[-'] (P1)]]*$BH33*SUMIFS(RZ[Úroveň 2 s koef. (P2)],RZ[0],AX33),RZ[[#This Row],[Koeficient odhadu HR '[-'] (P1)]]*$BH33*$IG33)</f>
        <v>0</v>
      </c>
      <c r="BS33" s="186">
        <f ca="1">IF(OFFSET(AY33,1,0,1,1)&lt;&gt;0,$BH33*SUMIFS(RZ[Úroveň 2 bez koef. (P2)],RZ[0],AX33),$BH33*$IG33)</f>
        <v>0</v>
      </c>
      <c r="BT33" s="138">
        <f ca="1">RZ[[#This Row],[Úroveň 2 s koef. (P2a)]]*RZ[[#This Row],[Počet MJHR (P0)]]</f>
        <v>0</v>
      </c>
      <c r="BU33" s="138">
        <f ca="1">RZ[[#This Row],[Úroveň 2 bez koef. (P2a)]]*RZ[[#This Row],[Počet MJHR (P0)]]</f>
        <v>0</v>
      </c>
      <c r="BV33" s="138">
        <f ca="1">IF(OFFSET(AZ33,1,0,1,1)&lt;&gt;0,RZ[[#This Row],[Koeficient odhadu HR '[-'] (P1)]]*$BI33*SUMIFS(RZ[Úroveň 3 s koef. (P2)],RZ[0],AX33,RZ[Úroveň 2 (P0)],AY33),RZ[[#This Row],[Koeficient odhadu HR '[-'] (P1)]]*$BI33*$IG33)</f>
        <v>0</v>
      </c>
      <c r="BW33" s="138">
        <f ca="1">IF(OFFSET(AZ33,1,0,1,1)&lt;&gt;0,$BI33*SUMIFS(RZ[Úroveň 3 bez koef. (P2)],RZ[0],AX33,RZ[Úroveň 2 (P0)],AY33),$BI33*$IG33)</f>
        <v>0</v>
      </c>
      <c r="BX33" s="132">
        <f ca="1">RZ[[#This Row],[Úroveň 3 s koef. (P2a)]]*RZ[[#This Row],[Počet MJHR (P0)]]</f>
        <v>992</v>
      </c>
      <c r="BY33" s="132">
        <f ca="1">RZ[Úroveň 3 bez koef. (P2a)]*RZ[[#This Row],[Počet MJHR (P0)]]</f>
        <v>992</v>
      </c>
      <c r="BZ33" s="132">
        <f ca="1">IF(OFFSET(BA33,1,0,1,1)&lt;&gt;0,RZ[[#This Row],[Koeficient odhadu HR '[-'] (P1)]]*$BJ33*SUMIFS(RZ[Úroveň 4 s koef. (P2)],RZ[0],AX33,RZ[Úroveň 2 (P0)],AY33,RZ[Úroveň 3 (P0)],AZ33),RZ[[#This Row],[Koeficient odhadu HR '[-'] (P1)]]*$BJ33*$IG33)</f>
        <v>496</v>
      </c>
      <c r="CA33" s="132">
        <f ca="1">IF(OFFSET(BA33,1,0,1,1)&lt;&gt;0,$BJ33*SUMIFS(RZ[Úroveň 4 bez koef. (P2)],RZ[0],AX33,RZ[Úroveň 2 (P0)],AY33,RZ[Úroveň 3 (P0)],AZ33),$BJ33*$IG33)</f>
        <v>496</v>
      </c>
      <c r="CB33" s="138">
        <f ca="1">RZ[[#This Row],[Úroveň 4 s koef. (P2a)]]*RZ[[#This Row],[Počet MJHR (P0)]]</f>
        <v>0</v>
      </c>
      <c r="CC33" s="138">
        <f ca="1">RZ[Úroveň 4 bez koef. (P2a)]*RZ[[#This Row],[Počet MJHR (P0)]]</f>
        <v>0</v>
      </c>
      <c r="CD33" s="138">
        <f ca="1">IF(OFFSET(BB33,1,0,1,1)&lt;&gt;0,RZ[[#This Row],[Koeficient odhadu HR '[-'] (P1)]]*$BK33*SUMIFS(RZ[Úroveň 5 s koef. (P2)],RZ[0],AX33,RZ[Úroveň 2 (P0)],AY33,RZ[Úroveň 3 (P0)],AZ33,RZ[Úroveň 4 (P0)],BA33),RZ[[#This Row],[Koeficient odhadu HR '[-'] (P1)]]*$BK33*$IG33)</f>
        <v>0</v>
      </c>
      <c r="CE33" s="138">
        <f ca="1">IF(OFFSET(BB33,1,0,1,1)&lt;&gt;0,$BK33*SUMIFS(RZ[Úroveň 5 bez koef. (P2)],RZ[0],AX33,RZ[Úroveň 2 (P0)],AY33,RZ[Úroveň 3 (P0)],AZ33,RZ[Úroveň 4 (P0)],BA33),$BK33*$IG33)</f>
        <v>0</v>
      </c>
      <c r="CF33" s="132">
        <f ca="1">RZ[[#This Row],[Úroveň 5 s koef. (P2a)]]*RZ[[#This Row],[Počet MJHR (P0)]]</f>
        <v>0</v>
      </c>
      <c r="CG33" s="132">
        <f ca="1">RZ[Úroveň 5 bez koef. (P2a)]*RZ[[#This Row],[Počet MJHR (P0)]]</f>
        <v>0</v>
      </c>
      <c r="CH33" s="132">
        <f ca="1">IF(OFFSET(BC33,1,0,1,1)&lt;&gt;0,RZ[[#This Row],[Koeficient odhadu HR '[-'] (P1)]]*$BL33*SUMIFS(RZ[Úroveň 6 s koef. (P2)],RZ[0],AX33,RZ[Úroveň 2 (P0)],AY33,RZ[Úroveň 3 (P0)],AZ33,RZ[Úroveň 4 (P0)],BA33,RZ[Úroveň 5 (P0)],BB33),RZ[[#This Row],[Koeficient odhadu HR '[-'] (P1)]]*$BL33*$IG33)</f>
        <v>0</v>
      </c>
      <c r="CI33" s="132">
        <f ca="1">IF(OFFSET(BC33,1,0,1,1)&lt;&gt;0,$BL33*SUMIFS(RZ[Úroveň 6 bez koef. (P2)],RZ[0],AX33,RZ[Úroveň 2 (P0)],AY33,RZ[Úroveň 3 (P0)],AZ33,RZ[Úroveň 4 (P0)],BA33,RZ[Úroveň 5 (P0)],BB33),$BL33*$IG33)</f>
        <v>0</v>
      </c>
      <c r="CJ33" s="138">
        <f ca="1">RZ[[#This Row],[Úroveň 6 s koef. (P2a)]]*RZ[[#This Row],[Počet MJHR (P0)]]</f>
        <v>0</v>
      </c>
      <c r="CK33" s="138">
        <f ca="1">RZ[Úroveň 6 bez koef. (P2a)]*RZ[[#This Row],[Počet MJHR (P0)]]</f>
        <v>0</v>
      </c>
      <c r="CL33" s="138">
        <f ca="1">IF(OFFSET(BD33,1,0,1,1)&lt;&gt;0,RZ[[#This Row],[Koeficient odhadu HR '[-'] (P1)]]*$BM33*SUMIFS(RZ[Úroveň 7 s koef. (P2)],RZ[0],AX33,RZ[Úroveň 2 (P0)],AY33,RZ[Úroveň 3 (P0)],AZ33,RZ[Úroveň 4 (P0)],BA33,RZ[Úroveň 5 (P0)],BB33,RZ[Úroveň 6 (P0)],BC33),RZ[[#This Row],[Koeficient odhadu HR '[-'] (P1)]]*$BM33*$IG33)</f>
        <v>0</v>
      </c>
      <c r="CM33" s="138">
        <f ca="1">IF(OFFSET(BD33,1,0,1,1)&lt;&gt;0,$BM33*SUMIFS(RZ[Úroveň 7 bez koef. (P2)],RZ[0],AX33,RZ[Úroveň 2 (P0)],AY33,RZ[Úroveň 3 (P0)],AZ33,RZ[Úroveň 4 (P0)],BA33,RZ[Úroveň 5 (P0)],BB33,RZ[Úroveň 6 (P0)],BC33),$BM33*$IG33)</f>
        <v>0</v>
      </c>
      <c r="CN33" s="132">
        <f ca="1">RZ[[#This Row],[Úroveň 7 s koef. (P2a)]]*RZ[[#This Row],[Počet MJHR (P0)]]</f>
        <v>0</v>
      </c>
      <c r="CO33" s="132">
        <f ca="1">RZ[Úroveň 7 bez koef. (P2a)]*RZ[[#This Row],[Počet MJHR (P0)]]</f>
        <v>0</v>
      </c>
      <c r="CP33" s="132">
        <f ca="1">IF(OFFSET(BE33,1,0,1,1)&lt;&gt;0,RZ[[#This Row],[Koeficient odhadu HR '[-'] (P1)]]*$BN33*SUMIFS(RZ[Úroveň 8 s koef. (P2)],RZ[0],AX33,RZ[Úroveň 2 (P0)],AY33,RZ[Úroveň 3 (P0)],AZ33,RZ[Úroveň 4 (P0)],BA33,RZ[Úroveň 5 (P0)],BB33,RZ[Úroveň 6 (P0)],BC33,RZ[Úroveň 7 (P0)],BD33),RZ[[#This Row],[Koeficient odhadu HR '[-'] (P1)]]*$BN33*$IG33)</f>
        <v>0</v>
      </c>
      <c r="CQ33" s="132">
        <f ca="1">IF(OFFSET(BE33,1,0,1,1)&lt;&gt;0,$BN33*SUMIFS(RZ[Úroveň 8 bez koef. (P2)],RZ[0],AX33,RZ[Úroveň 2 (P0)],AY33,RZ[Úroveň 3 (P0)],AZ33,RZ[Úroveň 4 (P0)],BA33,RZ[Úroveň 5 (P0)],BB33,RZ[Úroveň 6 (P0)],BC33,RZ[Úroveň 7 (P0)],BD33),$BN33*$IG33)</f>
        <v>0</v>
      </c>
      <c r="CR33" s="138">
        <f ca="1">RZ[[#This Row],[Úroveň 8 s koef. (P2a)]]*RZ[[#This Row],[Počet MJHR (P0)]]</f>
        <v>0</v>
      </c>
      <c r="CS33" s="138">
        <f ca="1">RZ[Úroveň 8 bez koef. (P2a)]*RZ[[#This Row],[Počet MJHR (P0)]]</f>
        <v>0</v>
      </c>
      <c r="CT33" s="138">
        <f ca="1">IF(OFFSET(BF33,1,0,1,1)&lt;&gt;0,RZ[[#This Row],[Koeficient odhadu HR '[-'] (P1)]]*$BO33*SUMIFS(RZ[Úroveň 9 s koef. (P2)],RZ[0],AX33,RZ[Úroveň 2 (P0)],AY33,RZ[Úroveň 3 (P0)],AZ33,RZ[Úroveň 4 (P0)],BA33,RZ[Úroveň 5 (P0)],BB33,RZ[Úroveň 6 (P0)],BC33,RZ[Úroveň 7 (P0)],BD33,RZ[Úroveň 8 (P0)],BE33),RZ[[#This Row],[Koeficient odhadu HR '[-'] (P1)]]*$BO33*$IG33)</f>
        <v>0</v>
      </c>
      <c r="CU33" s="138">
        <f ca="1">IF(OFFSET(BF33,1,0,1,1)&lt;&gt;0,$BO33*SUMIFS(RZ[Úroveň 9 bez koef. (P2)],RZ[0],AX33,RZ[Úroveň 2 (P0)],AY33,RZ[Úroveň 3 (P0)],AZ33,RZ[Úroveň 4 (P0)],BA33,RZ[Úroveň 5 (P0)],BB33,RZ[Úroveň 6 (P0)],BC33,RZ[Úroveň 7 (P0)],BD33,RZ[Úroveň 8 (P0)],BE33),$BO33*$IG33)</f>
        <v>0</v>
      </c>
      <c r="CV33" s="132">
        <f ca="1">RZ[[#This Row],[Úroveň 9 s koef. (P2a)]]*RZ[[#This Row],[Počet MJHR (P0)]]</f>
        <v>0</v>
      </c>
      <c r="CW33" s="132">
        <f ca="1">RZ[Úroveň 9 bez koef. (P2a)]*RZ[[#This Row],[Počet MJHR (P0)]]</f>
        <v>0</v>
      </c>
      <c r="CX33" s="132">
        <f ca="1">IF(OFFSET(BG33,1,0,1,1)&lt;&gt;0,RZ[[#This Row],[Koeficient odhadu HR '[-'] (P1)]]*$BP33*SUMIFS(RZ[Úroveň 10 s koef. (P2)],RZ[0],AX33,RZ[Úroveň 2 (P0)],AY33,RZ[Úroveň 3 (P0)],AZ33,RZ[Úroveň 4 (P0)],BA33,RZ[Úroveň 5 (P0)],BB33,RZ[Úroveň 6 (P0)],BC33,RZ[Úroveň 7 (P0)],BD33,RZ[Úroveň 8 (P0)],BE33,RZ[Úroveň 9 (P0)],BF33),RZ[[#This Row],[Koeficient odhadu HR '[-'] (P1)]]*$BP33*$IG33)</f>
        <v>0</v>
      </c>
      <c r="CY33" s="132">
        <f ca="1">IF(OFFSET(BG33,1,0,1,1)&lt;&gt;0,$BP33*SUMIFS(RZ[Úroveň 10 bez koef. (P2)],RZ[0],AX33,RZ[Úroveň 2 (P0)],AY33,RZ[Úroveň 3 (P0)],AZ33,RZ[Úroveň 4 (P0)],BA33,RZ[Úroveň 5 (P0)],BB33,RZ[Úroveň 6 (P0)],BC33,RZ[Úroveň 7 (P0)],BD33,RZ[Úroveň 8 (P0)],BE33,RZ[Úroveň 9 (P0)],BF33),$BP33*$IG33)</f>
        <v>0</v>
      </c>
      <c r="CZ33" s="138">
        <f>RZ[[#This Row],[Úroveň 10 s koef. (P2a)]]*RZ[[#This Row],[Počet MJHR (P0)]]</f>
        <v>0</v>
      </c>
      <c r="DA33" s="138">
        <f>RZ[Úroveň 10 bez koef. (P2a)]*RZ[[#This Row],[Počet MJHR (P0)]]</f>
        <v>0</v>
      </c>
      <c r="DB33" s="138">
        <f>RZ[[#This Row],[Koeficient odhadu HR '[-'] (P1)]]*$BQ33*IG33</f>
        <v>0</v>
      </c>
      <c r="DC33" s="231">
        <f t="shared" si="175"/>
        <v>0</v>
      </c>
      <c r="DD33" s="241">
        <f t="shared" ca="1" si="176"/>
        <v>496</v>
      </c>
      <c r="DE33" s="229">
        <f t="shared" ca="1" si="177"/>
        <v>496</v>
      </c>
      <c r="DF33" s="912">
        <f t="shared" si="178"/>
        <v>0</v>
      </c>
      <c r="DG33" s="913">
        <f t="shared" si="179"/>
        <v>0</v>
      </c>
      <c r="DH33" s="913">
        <f t="shared" si="180"/>
        <v>2</v>
      </c>
      <c r="DI33" s="913">
        <f t="shared" si="181"/>
        <v>0</v>
      </c>
      <c r="DJ33" s="913">
        <f t="shared" si="182"/>
        <v>0</v>
      </c>
      <c r="DK33" s="913">
        <f t="shared" si="183"/>
        <v>0</v>
      </c>
      <c r="DL33" s="913">
        <f t="shared" si="184"/>
        <v>0</v>
      </c>
      <c r="DM33" s="913">
        <f t="shared" si="185"/>
        <v>0</v>
      </c>
      <c r="DN33" s="913">
        <f t="shared" si="186"/>
        <v>0</v>
      </c>
      <c r="DO33" s="913">
        <f t="shared" si="187"/>
        <v>0</v>
      </c>
      <c r="DP33" s="914">
        <f ca="1">SUMIFS(RZ[Úroveň 1 (P4)],RZ[0],AX33)</f>
        <v>1</v>
      </c>
      <c r="DQ33" s="914">
        <f ca="1">SUMIFS(RZ[Úroveň 2 (P4)],RZ[0],AX33,RZ[Úroveň 2 (P0)],AY33)</f>
        <v>1</v>
      </c>
      <c r="DR33" s="914">
        <f ca="1">SUMIFS(RZ[Úroveň 3 (P4)],RZ[0],AX33,RZ[Úroveň 2 (P0)],AY33,RZ[Úroveň 3 (P0)],AZ33)</f>
        <v>2</v>
      </c>
      <c r="DS33" s="914">
        <f ca="1">SUMIFS(RZ[Úroveň 4 (P4)],RZ[0],AX33,RZ[Úroveň 2 (P0)],AY33,RZ[Úroveň 3 (P0)],AZ33,RZ[Úroveň 4 (P0)],BA33)</f>
        <v>0</v>
      </c>
      <c r="DT33" s="914">
        <f ca="1">SUMIFS(RZ[Úroveň 5 (P4)],RZ[0],AX33,RZ[Úroveň 2 (P0)],AY33,RZ[Úroveň 3 (P0)],AZ33,RZ[Úroveň 4 (P0)],BA33,RZ[Úroveň 5 (P0)],BB33)</f>
        <v>0</v>
      </c>
      <c r="DU33" s="914">
        <f ca="1">SUMIFS(RZ[Úroveň 6 (P4)],RZ[0],AX33,RZ[Úroveň 2 (P0)],AY33,RZ[Úroveň 3 (P0)],AZ33,RZ[Úroveň 4 (P0)],BA33,RZ[Úroveň 5 (P0)],BB33,RZ[Úroveň 6 (P0)],BC33)</f>
        <v>0</v>
      </c>
      <c r="DV33" s="914">
        <f ca="1">SUMIFS(RZ[Úroveň 7 (P4)],RZ[0],AX33,RZ[Úroveň 2 (P0)],AY33,RZ[Úroveň 3 (P0)],AZ33,RZ[Úroveň 4 (P0)],BA33,RZ[Úroveň 5 (P0)],BB33,RZ[Úroveň 6 (P0)],BC33,RZ[Úroveň 7 (P0)],BD33)</f>
        <v>0</v>
      </c>
      <c r="DW33" s="914">
        <f ca="1">SUMIFS(RZ[Úroveň 8 (P4)],RZ[0],AX33,RZ[Úroveň 2 (P0)],AY33,RZ[Úroveň 3 (P0)],AZ33,RZ[Úroveň 4 (P0)],BA33,RZ[Úroveň 5 (P0)],BB33,RZ[Úroveň 6 (P0)],BC33,RZ[Úroveň 7 (P0)],BD33,RZ[Úroveň 8 (P0)],BE33)</f>
        <v>0</v>
      </c>
      <c r="DX33" s="914">
        <f ca="1">SUMIFS(RZ[Úroveň 9 (P4)],RZ[0],AX33,RZ[Úroveň 2 (P0)],AY33,RZ[Úroveň 3 (P0)],AZ33,RZ[Úroveň 4 (P0)],BA33,RZ[Úroveň 5 (P0)],BB33,RZ[Úroveň 6 (P0)],BC33,RZ[Úroveň 7 (P0)],BD33,RZ[Úroveň 8 (P0)],BE33,RZ[Úroveň 9 (P0)],BF33)</f>
        <v>0</v>
      </c>
      <c r="DY33" s="914">
        <f ca="1">SUMIFS(RZ[Úroveň 10 (P4)],RZ[0],AX33,RZ[Úroveň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DZ33" s="915">
        <f t="shared" ca="1" si="188"/>
        <v>2</v>
      </c>
      <c r="EA33" s="916">
        <f ca="1">RZ[[#This Row],[Jednotková hmotnost bez koef. '[kg/MJHR'] (P0)]]*RZ[[#This Row],[Počet MJHR v rozpadu (P0)]]</f>
        <v>992</v>
      </c>
      <c r="EB33" s="917">
        <f ca="1">IF(OFFSET(AY33,1,0,1,1)&lt;&gt;0,RZ[[#This Row],[Koeficient odhadu CR '[-'] (P1)]]*$BH33*SUMIFS(RZ[Úroveň 2 s koef. (P3)],RZ[0],AX33),RZ[[#This Row],[Koeficient odhadu CR '[-'] (P1)]]*$BH33*$IQ33)</f>
        <v>0</v>
      </c>
      <c r="EC33" s="191">
        <f ca="1">IF(OFFSET(AY33,1,0,1,1)&lt;&gt;0,$BH33*SUMIFS(RZ[Úroveň 2 bez koef. (P3)],RZ[0],AX33),$BH33*$IQ33)</f>
        <v>0</v>
      </c>
      <c r="ED33" s="140">
        <f ca="1">RZ[[#This Row],[Úroveň 2 s koef. (P3a)]]*RZ[[#This Row],[Počet MJCR (P0) pro "kg"]]</f>
        <v>0</v>
      </c>
      <c r="EE33" s="140">
        <f ca="1">RZ[Úroveň 2 bez koef. (P3a)]*RZ[[#This Row],[Počet MJCR (P0) pro "kg"]]</f>
        <v>0</v>
      </c>
      <c r="EF33" s="140">
        <f ca="1">IF(OFFSET(AZ33,1,0,1,1)&lt;&gt;0,RZ[[#This Row],[Koeficient odhadu CR '[-'] (P1)]]*$BI33*SUMIFS(RZ[Úroveň 3 s koef. (P3)],RZ[0],AX33,RZ[Úroveň 2 (P0)],AY33),RZ[[#This Row],[Koeficient odhadu CR '[-'] (P1)]]*$BI33*$IQ33)</f>
        <v>0</v>
      </c>
      <c r="EG33" s="140">
        <f ca="1">IF(OFFSET(AZ33,1,0,1,1)&lt;&gt;0,$BI33*SUMIFS(RZ[Úroveň 3 bez koef. (P3)],RZ[0],AX33,RZ[Úroveň 2 (P0)],AY33),$BI33*$IQ33)</f>
        <v>0</v>
      </c>
      <c r="EH33" s="135">
        <f ca="1">RZ[[#This Row],[Úroveň 3 s koef. (P3a)]]*RZ[[#This Row],[Počet MJCR (P0) pro "kg"]]</f>
        <v>350000</v>
      </c>
      <c r="EI33" s="135">
        <f ca="1">RZ[Úroveň 3 bez koef. (P3a)]*RZ[[#This Row],[Počet MJCR (P0) pro "kg"]]</f>
        <v>350000</v>
      </c>
      <c r="EJ33" s="135">
        <f ca="1">IF(OFFSET(BA33,1,0,1,1)&lt;&gt;0,RZ[[#This Row],[Koeficient odhadu CR '[-'] (P1)]]*$BJ33*SUMIFS(RZ[Úroveň 4 s koef. (P3)],RZ[0],AX33,RZ[Úroveň 2 (P0)],AY33,RZ[Úroveň 3 (P0)],AZ33),RZ[[#This Row],[Koeficient odhadu CR '[-'] (P1)]]*$BJ33*$IQ33)</f>
        <v>175000</v>
      </c>
      <c r="EK33" s="135">
        <f ca="1">IF(OFFSET(BA33,1,0,1,1)&lt;&gt;0,$BJ33*SUMIFS(RZ[Úroveň 4 bez koef. (P3)],RZ[0],AX33,RZ[Úroveň 2 (P0)],AY33,RZ[Úroveň 3 (P0)],AZ33),$BJ33*$IQ33)</f>
        <v>175000</v>
      </c>
      <c r="EL33" s="140">
        <f ca="1">RZ[[#This Row],[Úroveň 4 s koef. (P3a)]]*RZ[[#This Row],[Počet MJCR (P0) pro "kg"]]</f>
        <v>0</v>
      </c>
      <c r="EM33" s="140">
        <f ca="1">RZ[Úroveň 4 bez koef. (P3a)]*RZ[[#This Row],[Počet MJCR (P0) pro "kg"]]</f>
        <v>0</v>
      </c>
      <c r="EN33" s="140">
        <f ca="1">IF(OFFSET(BB33,1,0,1,1)&lt;&gt;0,RZ[[#This Row],[Koeficient odhadu CR '[-'] (P1)]]*$BK33*SUMIFS(RZ[Úroveň 5 s koef. (P3)],RZ[0],AX33,RZ[Úroveň 2 (P0)],AY33,RZ[Úroveň 3 (P0)],AZ33,RZ[Úroveň 4 (P0)],BA33),RZ[[#This Row],[Koeficient odhadu CR '[-'] (P1)]]*$BK33*$IQ33)</f>
        <v>0</v>
      </c>
      <c r="EO33" s="140">
        <f ca="1">IF(OFFSET(BB33,1,0,1,1)&lt;&gt;0,$BK33*SUMIFS(RZ[Úroveň 5 bez koef. (P3)],RZ[0],AX33,RZ[Úroveň 2 (P0)],AY33,RZ[Úroveň 3 (P0)],AZ33,RZ[Úroveň 4 (P0)],BA33),$BK33*$IQ33)</f>
        <v>0</v>
      </c>
      <c r="EP33" s="135">
        <f ca="1">RZ[[#This Row],[Úroveň 5 s koef. (P3a)]]*RZ[[#This Row],[Počet MJCR (P0) pro "kg"]]</f>
        <v>0</v>
      </c>
      <c r="EQ33" s="135">
        <f ca="1">RZ[Úroveň 5 bez koef. (P3a)]*RZ[[#This Row],[Počet MJCR (P0) pro "kg"]]</f>
        <v>0</v>
      </c>
      <c r="ER33" s="135">
        <f ca="1">IF(OFFSET(BC33,1,0,1,1)&lt;&gt;0,RZ[[#This Row],[Koeficient odhadu CR '[-'] (P1)]]*$BL33*SUMIFS(RZ[Úroveň 6 s koef. (P3)],RZ[0],AX33,RZ[Úroveň 2 (P0)],AY33,RZ[Úroveň 3 (P0)],AZ33,RZ[Úroveň 4 (P0)],BA33,RZ[Úroveň 5 (P0)],BB33),RZ[[#This Row],[Koeficient odhadu CR '[-'] (P1)]]*$BL33*$IQ33)</f>
        <v>0</v>
      </c>
      <c r="ES33" s="135">
        <f ca="1">IF(OFFSET(BC33,1,0,1,1)&lt;&gt;0,$BL33*SUMIFS(RZ[Úroveň 6 bez koef. (P3)],RZ[0],AX33,RZ[Úroveň 2 (P0)],AY33,RZ[Úroveň 3 (P0)],AZ33,RZ[Úroveň 4 (P0)],BA33,RZ[Úroveň 5 (P0)],BB33),$BL33*$IQ33)</f>
        <v>0</v>
      </c>
      <c r="ET33" s="140">
        <f ca="1">RZ[[#This Row],[Úroveň 6 s koef. (P3a)]]*RZ[[#This Row],[Počet MJCR (P0) pro "kg"]]</f>
        <v>0</v>
      </c>
      <c r="EU33" s="140">
        <f ca="1">RZ[Úroveň 6 bez koef. (P3a)]*RZ[[#This Row],[Počet MJCR (P0) pro "kg"]]</f>
        <v>0</v>
      </c>
      <c r="EV33" s="140">
        <f ca="1">IF(OFFSET(BD33,1,0,1,1)&lt;&gt;0,RZ[[#This Row],[Koeficient odhadu CR '[-'] (P1)]]*$BM33*SUMIFS(RZ[Úroveň 7 s koef. (P3)],RZ[0],AX33,RZ[Úroveň 2 (P0)],AY33,RZ[Úroveň 3 (P0)],AZ33,RZ[Úroveň 4 (P0)],BA33,RZ[Úroveň 5 (P0)],BB33,RZ[Úroveň 6 (P0)],BC33),RZ[[#This Row],[Koeficient odhadu CR '[-'] (P1)]]*$BM33*$IQ33)</f>
        <v>0</v>
      </c>
      <c r="EW33" s="140">
        <f ca="1">IF(OFFSET(BD33,1,0,1,1)&lt;&gt;0,$BM33*SUMIFS(RZ[Úroveň 7 bez koef. (P3)],RZ[0],AX33,RZ[Úroveň 2 (P0)],AY33,RZ[Úroveň 3 (P0)],AZ33,RZ[Úroveň 4 (P0)],BA33,RZ[Úroveň 5 (P0)],BB33,RZ[Úroveň 6 (P0)],BC33),$BM33*$IQ33)</f>
        <v>0</v>
      </c>
      <c r="EX33" s="135">
        <f ca="1">RZ[[#This Row],[Úroveň 7 s koef. (P3a)]]*RZ[[#This Row],[Počet MJCR (P0) pro "kg"]]</f>
        <v>0</v>
      </c>
      <c r="EY33" s="135">
        <f ca="1">RZ[Úroveň 7 bez koef. (P3a)]*RZ[[#This Row],[Počet MJCR (P0) pro "kg"]]</f>
        <v>0</v>
      </c>
      <c r="EZ33" s="135">
        <f ca="1">IF(OFFSET(BE33,1,0,1,1)&lt;&gt;0,RZ[[#This Row],[Koeficient odhadu CR '[-'] (P1)]]*$BN33*SUMIFS(RZ[Úroveň 8 s koef. (P3)],RZ[0],AX33,RZ[Úroveň 2 (P0)],AY33,RZ[Úroveň 3 (P0)],AZ33,RZ[Úroveň 4 (P0)],BA33,RZ[Úroveň 5 (P0)],BB33,RZ[Úroveň 6 (P0)],BC33,RZ[Úroveň 7 (P0)],BD33),RZ[[#This Row],[Koeficient odhadu CR '[-'] (P1)]]*$BN33*$IQ33)</f>
        <v>0</v>
      </c>
      <c r="FA33" s="135">
        <f ca="1">IF(OFFSET(BE33,1,0,1,1)&lt;&gt;0,$BN33*SUMIFS(RZ[Úroveň 8 bez koef. (P3)],RZ[0],AX33,RZ[Úroveň 2 (P0)],AY33,RZ[Úroveň 3 (P0)],AZ33,RZ[Úroveň 4 (P0)],BA33,RZ[Úroveň 5 (P0)],BB33,RZ[Úroveň 6 (P0)],BC33,RZ[Úroveň 7 (P0)],BD33),$BN33*$IQ33)</f>
        <v>0</v>
      </c>
      <c r="FB33" s="140">
        <f ca="1">RZ[[#This Row],[Úroveň 8 s koef. (P3a)]]*RZ[[#This Row],[Počet MJCR (P0) pro "kg"]]</f>
        <v>0</v>
      </c>
      <c r="FC33" s="140">
        <f ca="1">RZ[Úroveň 8 bez koef. (P3a)]*RZ[[#This Row],[Počet MJCR (P0) pro "kg"]]</f>
        <v>0</v>
      </c>
      <c r="FD33" s="140">
        <f ca="1">IF(OFFSET(BF33,1,0,1,1)&lt;&gt;0,RZ[[#This Row],[Koeficient odhadu CR '[-'] (P1)]]*$BO33*SUMIFS(RZ[Úroveň 9 s koef. (P3)],RZ[0],AX33,RZ[Úroveň 2 (P0)],AY33,RZ[Úroveň 3 (P0)],AZ33,RZ[Úroveň 4 (P0)],BA33,RZ[Úroveň 5 (P0)],BB33,RZ[Úroveň 6 (P0)],BC33,RZ[Úroveň 7 (P0)],BD33,RZ[Úroveň 8 (P0)],BE33),RZ[[#This Row],[Koeficient odhadu CR '[-'] (P1)]]*$BO33*$IQ33)</f>
        <v>0</v>
      </c>
      <c r="FE33" s="140">
        <f ca="1">IF(OFFSET(BF33,1,0,1,1)&lt;&gt;0,$BO33*SUMIFS(RZ[Úroveň 9 bez koef. (P3)],RZ[0],AX33,RZ[Úroveň 2 (P0)],AY33,RZ[Úroveň 3 (P0)],AZ33,RZ[Úroveň 4 (P0)],BA33,RZ[Úroveň 5 (P0)],BB33,RZ[Úroveň 6 (P0)],BC33,RZ[Úroveň 7 (P0)],BD33,RZ[Úroveň 8 (P0)],BE33),$BO33*$IQ33)</f>
        <v>0</v>
      </c>
      <c r="FF33" s="135">
        <f ca="1">RZ[[#This Row],[Úroveň 9 s koef. (P3a)]]*RZ[[#This Row],[Počet MJCR (P0) pro "kg"]]</f>
        <v>0</v>
      </c>
      <c r="FG33" s="135">
        <f ca="1">RZ[Úroveň 9 bez koef. (P3a)]*RZ[[#This Row],[Počet MJCR (P0) pro "kg"]]</f>
        <v>0</v>
      </c>
      <c r="FH33" s="135">
        <f ca="1">IF(OFFSET(BG33,1,0,1,1)&lt;&gt;0,RZ[[#This Row],[Koeficient odhadu CR '[-'] (P1)]]*$BP33*SUMIFS(RZ[Úroveň 10 s koef. (P3)],RZ[0],AX33,RZ[Úroveň 2 (P0)],AY33,RZ[Úroveň 3 (P0)],AZ33,RZ[Úroveň 4 (P0)],BA33,RZ[Úroveň 5 (P0)],BB33,RZ[Úroveň 6 (P0)],BC33,RZ[Úroveň 7 (P0)],BD33,RZ[Úroveň 8 (P0)],BE33,RZ[Úroveň 9 (P0)],BF33),RZ[[#This Row],[Koeficient odhadu CR '[-'] (P1)]]*$BP33*$IQ33)</f>
        <v>0</v>
      </c>
      <c r="FI33" s="135">
        <f ca="1">IF(OFFSET(BG33,1,0,1,1)&lt;&gt;0,$BP33*SUMIFS(RZ[Úroveň 10 bez koef. (P3)],RZ[0],AX33,RZ[Úroveň 2 (P0)],AY33,RZ[Úroveň 3 (P0)],AZ33,RZ[Úroveň 4 (P0)],BA33,RZ[Úroveň 5 (P0)],BB33,RZ[Úroveň 6 (P0)],BC33,RZ[Úroveň 7 (P0)],BD33,RZ[Úroveň 8 (P0)],BE33,RZ[Úroveň 9 (P0)],BF33),$BP33*$IQ33)</f>
        <v>0</v>
      </c>
      <c r="FJ33" s="140">
        <f ca="1">RZ[[#This Row],[Úroveň 10 s koef. (P3a)]]*RZ[[#This Row],[Počet MJCR (P0) pro "kg"]]</f>
        <v>0</v>
      </c>
      <c r="FK33" s="140">
        <f ca="1">RZ[Úroveň 10 bez koef. (P3a)]*RZ[[#This Row],[Počet MJCR (P0) pro "kg"]]</f>
        <v>0</v>
      </c>
      <c r="FL33" s="140">
        <f ca="1">RZ[[#This Row],[Koeficient odhadu CR '[-'] (P1)]]*$BQ33*IQ33</f>
        <v>0</v>
      </c>
      <c r="FM33" s="236">
        <f t="shared" ca="1" si="189"/>
        <v>0</v>
      </c>
      <c r="FN33" s="194">
        <f t="shared" ca="1" si="190"/>
        <v>175000</v>
      </c>
      <c r="FO33" s="238">
        <f t="shared" ca="1" si="191"/>
        <v>175000</v>
      </c>
      <c r="FP33" s="135">
        <f t="shared" ca="1" si="192"/>
        <v>0</v>
      </c>
      <c r="FQ33" s="135">
        <f t="shared" ca="1" si="193"/>
        <v>0</v>
      </c>
      <c r="FR33" s="135">
        <f t="shared" ca="1" si="194"/>
        <v>2</v>
      </c>
      <c r="FS33" s="135">
        <f t="shared" ca="1" si="195"/>
        <v>0</v>
      </c>
      <c r="FT33" s="135">
        <f t="shared" ca="1" si="196"/>
        <v>0</v>
      </c>
      <c r="FU33" s="135">
        <f t="shared" ca="1" si="197"/>
        <v>0</v>
      </c>
      <c r="FV33" s="135">
        <f t="shared" ca="1" si="198"/>
        <v>0</v>
      </c>
      <c r="FW33" s="135">
        <f t="shared" ca="1" si="199"/>
        <v>0</v>
      </c>
      <c r="FX33" s="135">
        <f t="shared" ca="1" si="200"/>
        <v>0</v>
      </c>
      <c r="FY33" s="135">
        <f t="shared" ca="1" si="201"/>
        <v>0</v>
      </c>
      <c r="FZ33" s="140">
        <f ca="1">SUMIFS(RZ[Úroveň 1 (P6)],RZ[0],AX33)</f>
        <v>1</v>
      </c>
      <c r="GA33" s="140">
        <f ca="1">SUMIFS(RZ[Úroveň 2 (P6)],RZ[0],AX33,RZ[Úroveň 2 (P0)],AY33)</f>
        <v>1</v>
      </c>
      <c r="GB33" s="140">
        <f ca="1">SUMIFS(RZ[Úroveň 3 (P6)],RZ[0],AX33,RZ[Úroveň 2 (P0)],AY33,RZ[Úroveň 3 (P0)],AZ33)</f>
        <v>2</v>
      </c>
      <c r="GC33" s="140">
        <f ca="1">SUMIFS(RZ[Úroveň 4 (P6)],RZ[0],AX33,RZ[Úroveň 2 (P0)],AY33,RZ[Úroveň 3 (P0)],AZ33,RZ[Úroveň 4 (P0)],BA33)</f>
        <v>0</v>
      </c>
      <c r="GD33" s="140">
        <f ca="1">SUMIFS(RZ[Úroveň 5 (P6)],RZ[0],AX33,RZ[Úroveň 2 (P0)],AY33,RZ[Úroveň 3 (P0)],AZ33,RZ[Úroveň 4 (P0)],BA33,RZ[Úroveň 5 (P0)],BB33)</f>
        <v>0</v>
      </c>
      <c r="GE33" s="140">
        <f ca="1">SUMIFS(RZ[Úroveň 6 (P6)],RZ[0],AX33,RZ[Úroveň 2 (P0)],AY33,RZ[Úroveň 3 (P0)],AZ33,RZ[Úroveň 4 (P0)],BA33,RZ[Úroveň 5 (P0)],BB33,RZ[Úroveň 6 (P0)],BC33)</f>
        <v>0</v>
      </c>
      <c r="GF33" s="140">
        <f ca="1">SUMIFS(RZ[Úroveň 7 (P6)],RZ[0],AX33,RZ[Úroveň 2 (P0)],AY33,RZ[Úroveň 3 (P0)],AZ33,RZ[Úroveň 4 (P0)],BA33,RZ[Úroveň 5 (P0)],BB33,RZ[Úroveň 6 (P0)],BC33,RZ[Úroveň 7 (P0)],BD33)</f>
        <v>0</v>
      </c>
      <c r="GG33" s="140">
        <f ca="1">SUMIFS(RZ[Úroveň 8 (P6)],RZ[0],AX33,RZ[Úroveň 2 (P0)],AY33,RZ[Úroveň 3 (P0)],AZ33,RZ[Úroveň 4 (P0)],BA33,RZ[Úroveň 5 (P0)],BB33,RZ[Úroveň 6 (P0)],BC33,RZ[Úroveň 7 (P0)],BD33,RZ[Úroveň 8 (P0)],BE33)</f>
        <v>0</v>
      </c>
      <c r="GH33" s="140">
        <f ca="1">SUMIFS(RZ[Úroveň 9 (P6)],RZ[0],AX33,RZ[Úroveň 2 (P0)],AY33,RZ[Úroveň 3 (P0)],AZ33,RZ[Úroveň 4 (P0)],BA33,RZ[Úroveň 5 (P0)],BB33,RZ[Úroveň 6 (P0)],BC33,RZ[Úroveň 7 (P0)],BD33,RZ[Úroveň 8 (P0)],BE33,RZ[Úroveň 9 (P0)],BF33)</f>
        <v>0</v>
      </c>
      <c r="GI33" s="140">
        <f ca="1">SUMIFS(RZ[Úroveň 10 (P6)],RZ[0],AX33,RZ[Úroveň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GJ33" s="918">
        <f t="shared" ca="1" si="202"/>
        <v>2</v>
      </c>
      <c r="GK33" s="808">
        <f t="shared" si="203"/>
        <v>0</v>
      </c>
      <c r="GL33" s="808">
        <f t="shared" si="204"/>
        <v>0</v>
      </c>
      <c r="GM33" s="808">
        <f t="shared" si="205"/>
        <v>1</v>
      </c>
      <c r="GN33" s="808">
        <f t="shared" si="206"/>
        <v>0</v>
      </c>
      <c r="GO33" s="808">
        <f t="shared" si="207"/>
        <v>0</v>
      </c>
      <c r="GP33" s="808">
        <f t="shared" si="208"/>
        <v>0</v>
      </c>
      <c r="GQ33" s="808">
        <f t="shared" si="209"/>
        <v>0</v>
      </c>
      <c r="GR33" s="808">
        <f t="shared" si="210"/>
        <v>0</v>
      </c>
      <c r="GS33" s="808">
        <f t="shared" si="211"/>
        <v>0</v>
      </c>
      <c r="GT33" s="808">
        <f t="shared" si="212"/>
        <v>0</v>
      </c>
      <c r="GU33" s="809">
        <f ca="1">SUMIFS(RZ[Sloupec1],RZ[0],AX33)</f>
        <v>1</v>
      </c>
      <c r="GV33" s="809">
        <f ca="1">SUMIFS(RZ[Sloupec2],RZ[0],AX33,RZ[Úroveň 2 (P0)],AY33)</f>
        <v>1</v>
      </c>
      <c r="GW33" s="809">
        <f ca="1">SUMIFS(RZ[Sloupec3],RZ[0],AX33,RZ[Úroveň 2 (P0)],AY33,RZ[Úroveň 3 (P0)],AZ33)</f>
        <v>1</v>
      </c>
      <c r="GX33" s="809">
        <f ca="1">SUMIFS(RZ[Sloupec4],RZ[0],AX33,RZ[Úroveň 2 (P0)],AY33,RZ[Úroveň 3 (P0)],AZ33,RZ[Úroveň 4 (P0)],BA33)</f>
        <v>0</v>
      </c>
      <c r="GY33" s="809">
        <f ca="1">SUMIFS(RZ[Sloupec5],RZ[0],AX33,RZ[Úroveň 2 (P0)],AY33,RZ[Úroveň 3 (P0)],AZ33,RZ[Úroveň 4 (P0)],BA33,RZ[Úroveň 5 (P0)],BB33)</f>
        <v>0</v>
      </c>
      <c r="GZ33" s="809">
        <f ca="1">SUMIFS(RZ[Sloupec6],RZ[0],AX33,RZ[Úroveň 2 (P0)],AY33,RZ[Úroveň 3 (P0)],AZ33,RZ[Úroveň 4 (P0)],BA33,RZ[Úroveň 5 (P0)],BB33,RZ[Úroveň 6 (P0)],BC33)</f>
        <v>0</v>
      </c>
      <c r="HA33" s="809">
        <f ca="1">SUMIFS(RZ[Sloupec62],RZ[0],AX33,RZ[Úroveň 2 (P0)],AY33,RZ[Úroveň 3 (P0)],AZ33,RZ[Úroveň 4 (P0)],BA33,RZ[Úroveň 5 (P0)],BB33,RZ[Úroveň 6 (P0)],BC33,RZ[Úroveň 7 (P0)],BD33)</f>
        <v>0</v>
      </c>
      <c r="HB33" s="809">
        <f ca="1">SUMIFS(RZ[Sloupec63],RZ[0],AX33,RZ[Úroveň 2 (P0)],AY33,RZ[Úroveň 3 (P0)],AZ33,RZ[Úroveň 4 (P0)],BA33,RZ[Úroveň 5 (P0)],BB33,RZ[Úroveň 6 (P0)],BC33,RZ[Úroveň 7 (P0)],BD33,RZ[Úroveň 8 (P0)],BE33)</f>
        <v>0</v>
      </c>
      <c r="HC33" s="809">
        <f ca="1">SUMIFS(RZ[Sloupec64],RZ[0],AX33,RZ[Úroveň 2 (P0)],AY33,RZ[Úroveň 3 (P0)],AZ33,RZ[Úroveň 4 (P0)],BA33,RZ[Úroveň 5 (P0)],BB33,RZ[Úroveň 6 (P0)],BC33,RZ[Úroveň 7 (P0)],BD33,RZ[Úroveň 8 (P0)],BE33,RZ[Úroveň 9 (P0)],BF33)</f>
        <v>0</v>
      </c>
      <c r="HD33" s="809">
        <f ca="1">SUMIFS(RZ[Sloupec65],RZ[0],AX33,RZ[Úroveň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HE33" s="919">
        <f t="shared" ca="1" si="213"/>
        <v>1</v>
      </c>
      <c r="HF33" s="920" t="str">
        <f t="shared" si="214"/>
        <v/>
      </c>
      <c r="HG33" s="94" t="str">
        <f t="shared" si="215"/>
        <v/>
      </c>
      <c r="HH33" s="95" t="str">
        <f t="shared" si="216"/>
        <v/>
      </c>
      <c r="HI33" s="95" t="str">
        <f t="shared" si="217"/>
        <v>Kardanový hřídel</v>
      </c>
      <c r="HJ33" s="96" t="str">
        <f t="shared" si="218"/>
        <v/>
      </c>
      <c r="HK33" s="96" t="str">
        <f t="shared" si="219"/>
        <v/>
      </c>
      <c r="HL33" s="96" t="str">
        <f t="shared" si="220"/>
        <v/>
      </c>
      <c r="HM33" s="96" t="str">
        <f t="shared" si="221"/>
        <v/>
      </c>
      <c r="HN33" s="96" t="str">
        <f t="shared" si="222"/>
        <v/>
      </c>
      <c r="HO33" s="96" t="str">
        <f t="shared" si="223"/>
        <v/>
      </c>
      <c r="HP33" s="96" t="str">
        <f t="shared" si="224"/>
        <v/>
      </c>
      <c r="HQ33" s="145" t="str">
        <f t="shared" si="225"/>
        <v>SUOS</v>
      </c>
      <c r="HR33" s="921" t="str">
        <f t="shared" si="226"/>
        <v/>
      </c>
      <c r="HS33" s="173">
        <f t="shared" si="227"/>
        <v>0</v>
      </c>
      <c r="HT33" s="100">
        <f t="shared" si="228"/>
        <v>0</v>
      </c>
      <c r="HU33" s="100">
        <f t="shared" si="229"/>
        <v>0</v>
      </c>
      <c r="HV33" s="908" t="str">
        <f t="shared" si="230"/>
        <v>Zajíc</v>
      </c>
      <c r="HW33" s="922">
        <f t="shared" si="231"/>
        <v>42950.629386574074</v>
      </c>
      <c r="HX33" s="224">
        <f t="shared" si="232"/>
        <v>0</v>
      </c>
      <c r="HY33" s="263" t="str">
        <f t="shared" si="233"/>
        <v>S</v>
      </c>
      <c r="HZ33" s="263" t="str">
        <f t="shared" si="234"/>
        <v>N</v>
      </c>
      <c r="IA33" s="150">
        <f t="shared" si="235"/>
        <v>1</v>
      </c>
      <c r="IB33" s="319">
        <f t="shared" si="236"/>
        <v>175000</v>
      </c>
      <c r="IC33" s="923">
        <f t="shared" si="237"/>
        <v>1</v>
      </c>
      <c r="ID33" s="924" t="str">
        <f t="shared" ca="1" si="238"/>
        <v>OK</v>
      </c>
      <c r="IE33" s="201" t="str">
        <f t="shared" si="239"/>
        <v>ks</v>
      </c>
      <c r="IF33" s="145">
        <f t="shared" si="240"/>
        <v>2</v>
      </c>
      <c r="IG33" s="216">
        <f t="shared" si="241"/>
        <v>496</v>
      </c>
      <c r="IH33" s="217">
        <f t="shared" si="242"/>
        <v>1</v>
      </c>
      <c r="II33" s="224" t="str">
        <f ca="1">IF(RZ[[#This Row],[Rozhodný sloupec indikativní ceny]]=1,"kg",IF($IW33=$JL$15,IF(JX33=0,JO33,JX33),IF($IW33=$KE$15,IF(KQ33=0,KH33,KQ33),IF($IW33=$KX$15,IF(LJ33=0,LA33,LJ33),IF($IW33=$LQ$15,IF(MC33=0,LT33,MC33),IF($IW33=$MJ$15,IF(NQ33=0,NH33,NQ33),0))))))</f>
        <v>ks</v>
      </c>
      <c r="IJ33" s="224">
        <f ca="1">IF((BH33+OFFSET(BH33,1,1,1,1))=2,RZ[[#This Row],[Počet MJHR (P0)]],IF((BI33+OFFSET(BI33,1,1,1,1))=2,RZ[[#This Row],[Počet MJHR (P0)]],IF((BJ33+OFFSET(BJ33,1,1,1,1))=2,RZ[[#This Row],[Počet MJHR (P0)]],IF((BK33+OFFSET(BK33,1,1,1,1))=2,RZ[[#This Row],[Počet MJHR (P0)]],IF((BL33+OFFSET(BL33,1,1,1,1))=2,RZ[[#This Row],[Počet MJHR (P0)]],IF((BM33+OFFSET(BM33,1,1,1,1))=2,RZ[[#This Row],[Počet MJHR (P0)]],IF((BN33+OFFSET(BN33,1,1,1,1))=2,RZ[[#This Row],[Počet MJHR (P0)]],IF((BO33+OFFSET(BO33,1,1,1,1))=2,RZ[[#This Row],[Počet MJHR (P0)]],IF((BP33+OFFSET(BP33,1,1,1,1))=2,RZ[[#This Row],[Počet MJHR (P0)]],IF((BQ33+OFFSET(BQ33,1,1,1,1))=2,RZ[[#This Row],[Počet MJHR (P0)]],IF(RZ[[#This Row],[Měrná jednotka CR (MJCR) (P0)]]=RZ[[#This Row],[Měrná jednotka HR '[MJHR'] (P0)]],RZ[[#This Row],[Počet MJHR (P0)]],IF($IW33=$JL$15,JY33,IF($IW33=$KE$15,KR33,IF($IW33=$KX$15,LK33,IF($IW33=$LQ$15,MD33,IF($IW33=$MJ$15,NR33,0))))))))))))))))</f>
        <v>2</v>
      </c>
      <c r="IK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33" s="145">
        <f ca="1">IF(AND(RZ[[#This Row],[Jednotková cena bez DPH '[cena/MJCR'] (P0)]]=0,RZ[[#This Row],[Indikativní jednotková cena '[CZK/kg'] (P1)]]&lt;&gt;0),1,0)</f>
        <v>0</v>
      </c>
      <c r="IM33" s="217">
        <f ca="1">VLOOKUP(RZ[[#This Row],[Kód položek]],INDIKAT_CENA,2,FALSE)</f>
        <v>0</v>
      </c>
      <c r="IN33" s="222">
        <f ca="1">IF(RZ[[#This Row],[Rozhodný sloupec indikativní ceny]]=1,RZ[[#This Row],[Indikativní jednotková cena '[CZK/kg'] (P1)]],RZ[[#This Row],[Jednotková cena bez DPH '[cena/MJCR'] (P0)]])</f>
        <v>175000</v>
      </c>
      <c r="IO33" s="222">
        <f t="shared" si="243"/>
        <v>1</v>
      </c>
      <c r="IP33" s="224">
        <f ca="1">IF(RZ[[#This Row],[Rozhodný sloupec indikativní ceny]]=1,1,IF($IW33=$JL$15,KA33,IF($IW33=$KE$15,KT33,IF($IW33=$KX$15,LM33,IF($IW33=$LQ$15,MF33,IF($IW33=$MJ$15,NT33,0))))))</f>
        <v>1</v>
      </c>
      <c r="IQ33" s="225">
        <f ca="1">IF(RZ[[#This Row],[Jednotková cena bez DPH '[cena/MJCR'] (P1)]]="",0,IF(IP33=0,0,(RZ[[#This Row],[Jednotková cena bez DPH '[cena/MJCR'] (P1)]]*VLOOKUP(IP33,$BR$7:$BT$10,3))))</f>
        <v>175000</v>
      </c>
      <c r="IR33" s="737"/>
      <c r="IS33" s="627">
        <f>IF(HY33=0,"",VLOOKUP(RZ[[#This Row],[Stav Projekce (P0)]],Vstupy!$E$11:'Vstupy'!$E$11:$H$17,4,FALSE))</f>
        <v>100</v>
      </c>
      <c r="IT33" s="925" t="str">
        <f>IF(RZ[[#This Row],[Stav Projekce (P0)]]=0,"",RZ[[#This Row],[Stav Projekce (P0)]])</f>
        <v>S</v>
      </c>
      <c r="IU33" s="925" t="str">
        <f>IF(RZ[[#This Row],[Stav Nákup (P0)]]=0,"",RZ[[#This Row],[Stav Nákup (P0)]])</f>
        <v>N</v>
      </c>
      <c r="IV33" s="926" t="str">
        <f t="shared" si="244"/>
        <v>Zajíc</v>
      </c>
      <c r="IW33" s="641">
        <v>1</v>
      </c>
      <c r="IX33" s="630"/>
      <c r="IY33" s="264"/>
      <c r="IZ33" s="648"/>
      <c r="JA33" s="100"/>
      <c r="JB33" s="100" t="s">
        <v>810</v>
      </c>
      <c r="JC33" s="100"/>
      <c r="JD33" s="100"/>
      <c r="JE33" s="100"/>
      <c r="JF33" s="100"/>
      <c r="JG33" s="100"/>
      <c r="JH33" s="100"/>
      <c r="JI33" s="100"/>
      <c r="JJ33" s="145" t="s">
        <v>798</v>
      </c>
      <c r="JK33" s="529"/>
      <c r="JL33" s="286"/>
      <c r="JM33" s="100"/>
      <c r="JN33" s="100"/>
      <c r="JO33" s="145" t="s">
        <v>35</v>
      </c>
      <c r="JP33" s="117">
        <v>2</v>
      </c>
      <c r="JQ33" s="117">
        <v>496</v>
      </c>
      <c r="JR33" s="148">
        <v>1</v>
      </c>
      <c r="JS33" s="145" t="s">
        <v>602</v>
      </c>
      <c r="JT33" s="631"/>
      <c r="JU33" s="148" t="s">
        <v>853</v>
      </c>
      <c r="JV33" s="154">
        <v>42950.629386574074</v>
      </c>
      <c r="JW33" s="145"/>
      <c r="JX33" s="210" t="s">
        <v>35</v>
      </c>
      <c r="JY33" s="117"/>
      <c r="JZ33" s="662">
        <v>175000</v>
      </c>
      <c r="KA33" s="145">
        <v>1</v>
      </c>
      <c r="KB33" s="148">
        <v>1</v>
      </c>
      <c r="KC33" s="148" t="s">
        <v>611</v>
      </c>
      <c r="KD33" s="644"/>
      <c r="KE33" s="286"/>
      <c r="KF33" s="100"/>
      <c r="KG33" s="100"/>
      <c r="KH33" s="210"/>
      <c r="KI33" s="117"/>
      <c r="KJ33" s="117"/>
      <c r="KK33" s="148"/>
      <c r="KL33" s="145"/>
      <c r="KM33" s="632"/>
      <c r="KN33" s="148"/>
      <c r="KO33" s="154"/>
      <c r="KP33" s="154"/>
      <c r="KQ33" s="210"/>
      <c r="KR33" s="117"/>
      <c r="KS33" s="211"/>
      <c r="KT33" s="145"/>
      <c r="KU33" s="148"/>
      <c r="KV33" s="148"/>
      <c r="KW33" s="265"/>
      <c r="KX33" s="286"/>
      <c r="KY33" s="100"/>
      <c r="KZ33" s="100"/>
      <c r="LA33" s="210"/>
      <c r="LB33" s="117"/>
      <c r="LC33" s="117"/>
      <c r="LD33" s="148"/>
      <c r="LE33" s="145"/>
      <c r="LF33" s="632"/>
      <c r="LG33" s="148"/>
      <c r="LH33" s="154"/>
      <c r="LI33" s="154"/>
      <c r="LJ33" s="154"/>
      <c r="LK33" s="117"/>
      <c r="LL33" s="211"/>
      <c r="LM33" s="210"/>
      <c r="LN33" s="148"/>
      <c r="LO33" s="148"/>
      <c r="LP33" s="265"/>
      <c r="LQ33" s="286"/>
      <c r="LR33" s="100"/>
      <c r="LS33" s="100"/>
      <c r="LT33" s="210"/>
      <c r="LU33" s="117"/>
      <c r="LV33" s="117"/>
      <c r="LW33" s="148"/>
      <c r="LX33" s="145"/>
      <c r="LY33" s="632"/>
      <c r="LZ33" s="148"/>
      <c r="MA33" s="154"/>
      <c r="MB33" s="154"/>
      <c r="MC33" s="145"/>
      <c r="MD33" s="117"/>
      <c r="ME33" s="211"/>
      <c r="MF33" s="210"/>
      <c r="MG33" s="148"/>
      <c r="MH33" s="148"/>
      <c r="MI33" s="265"/>
      <c r="MJ33" s="647"/>
      <c r="MK33" s="264"/>
      <c r="ML33" s="153"/>
      <c r="MM33" s="153"/>
      <c r="MN33" s="153"/>
      <c r="MO33" s="153"/>
      <c r="MP33" s="153"/>
      <c r="MQ33" s="153"/>
      <c r="MR33" s="153"/>
      <c r="MS33" s="99"/>
      <c r="MT33" s="99"/>
      <c r="MU33" s="99"/>
      <c r="MV33" s="99"/>
      <c r="MW33" s="99"/>
      <c r="MX33" s="99"/>
      <c r="MY33" s="153"/>
      <c r="MZ33" s="153"/>
      <c r="NA33" s="153"/>
      <c r="NB33" s="153"/>
      <c r="NC33" s="153"/>
      <c r="ND33" s="153"/>
      <c r="NE33" s="148"/>
      <c r="NF33" s="153"/>
      <c r="NG33" s="153"/>
      <c r="NH33" s="330" t="str">
        <f t="shared" si="245"/>
        <v>ks</v>
      </c>
      <c r="NI33" s="797">
        <f>RZ[[#This Row],[Počet ks (K)]]</f>
        <v>0</v>
      </c>
      <c r="NJ33" s="798">
        <f>RZ[[#This Row],[Hmotnost '[kg/ks'] (K)]]</f>
        <v>0</v>
      </c>
      <c r="NK33" s="148"/>
      <c r="NL33" s="145"/>
      <c r="NM33" s="632"/>
      <c r="NN33" s="148"/>
      <c r="NO33" s="154"/>
      <c r="NP33" s="153"/>
      <c r="NQ33" s="153"/>
      <c r="NR33" s="210"/>
      <c r="NS33" s="148"/>
      <c r="NT33" s="210"/>
      <c r="NU33" s="148"/>
      <c r="NV33" s="148"/>
      <c r="NW33" s="175"/>
    </row>
    <row r="34" spans="2:387" ht="15.95" customHeight="1" x14ac:dyDescent="0.35">
      <c r="B34" s="118" t="str">
        <f t="shared" si="129"/>
        <v/>
      </c>
      <c r="C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4" s="262" t="str">
        <f t="shared" si="130"/>
        <v xml:space="preserve">    Hřídel pastorku</v>
      </c>
      <c r="E34" s="120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Row],[Kód položek (P2)]]))))))))))</f>
        <v>STO1</v>
      </c>
      <c r="F34" s="791" t="str">
        <f t="shared" si="131"/>
        <v>N/A</v>
      </c>
      <c r="G34" s="792" t="str">
        <f t="shared" si="132"/>
        <v/>
      </c>
      <c r="H34" s="262" t="str">
        <f t="shared" si="133"/>
        <v/>
      </c>
      <c r="I34" s="123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HR '[MJHR'] (P0)]]))))))))))</f>
        <v>ks</v>
      </c>
      <c r="J34" s="123">
        <f t="shared" si="134"/>
        <v>2</v>
      </c>
      <c r="K34" s="793">
        <f>RZ[[#This Row],[Koeficient odhadu HR '[-'] (P1)]]</f>
        <v>1</v>
      </c>
      <c r="L34" s="124">
        <f ca="1">RZ[[#This Row],[Jednotková hmotnost s koef. '[kg/MJHR'] (P0)]]</f>
        <v>292</v>
      </c>
      <c r="M34" s="794">
        <f t="shared" ca="1" si="135"/>
        <v>0</v>
      </c>
      <c r="N34" s="125">
        <f t="shared" ca="1" si="136"/>
        <v>584</v>
      </c>
      <c r="O34" s="125">
        <f t="shared" ca="1" si="137"/>
        <v>0</v>
      </c>
      <c r="P34" s="126" t="str">
        <f t="shared" si="138"/>
        <v/>
      </c>
      <c r="Q34" s="795">
        <f ca="1">RZ[[#This Row],[Počet MJHR v rozpadu (P0)]]</f>
        <v>2</v>
      </c>
      <c r="R34" s="439" t="str">
        <f t="shared" si="139"/>
        <v/>
      </c>
      <c r="S34" s="129" t="str">
        <f t="shared" si="140"/>
        <v/>
      </c>
      <c r="T34" s="126" t="str">
        <f t="shared" si="141"/>
        <v/>
      </c>
      <c r="U34" s="126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CR (MJCR) (P0)]]))))))))))</f>
        <v>kg</v>
      </c>
      <c r="V34" s="575">
        <f t="shared" ca="1" si="142"/>
        <v>584</v>
      </c>
      <c r="W34" s="322">
        <f>RZ[[#This Row],[Koeficient odhadu CR '[-'] (P1)]]</f>
        <v>1</v>
      </c>
      <c r="X34" s="440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Row],[Jednotková cena bez DPH '[cena/MJCR'] (P1)]]*RZ[[#This Row],[Koeficient odhadu CR '[-']]]))))))))))</f>
        <v>145</v>
      </c>
      <c r="Y34" s="440">
        <f t="shared" ca="1" si="143"/>
        <v>0</v>
      </c>
      <c r="Z34" s="142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VLOOKUP(IP34,$BR$7:$BS$11,2,FALSE)))))))))))</f>
        <v>CZK</v>
      </c>
      <c r="AA34" s="909">
        <f t="shared" ca="1" si="144"/>
        <v>584</v>
      </c>
      <c r="AB34" s="910">
        <f ca="1">RZ[[#This Row],[Kumulovaný koeficient v rozpadu (P0)]]</f>
        <v>1</v>
      </c>
      <c r="AC34" s="261"/>
      <c r="AD34" s="796">
        <f ca="1">RZ[[#This Row],[Jednotková cena bez DPH '[cena/MJCR'] s koef. (P0)]]/RZ[[#This Row],[Koeficient odhadu CR '[-']]]*RZ[[#This Row],[Kumulovaný koeficient odhadu CR  '[-']]]</f>
        <v>145</v>
      </c>
      <c r="AE34" s="796">
        <f t="shared" ca="1" si="145"/>
        <v>84680</v>
      </c>
      <c r="AF34" s="796">
        <f ca="1">-IF(ISNUMBER(AA34),RZ[[#This Row],[Celková cena bez DPH (1)]]-RZ[[#This Row],[Jednotková cena bez DPH '[cena/MJCR'] bez koef. (P0)]]*AA34,0)</f>
        <v>0</v>
      </c>
      <c r="AG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4" s="261"/>
      <c r="AI34" s="796">
        <f t="shared" ca="1" si="146"/>
        <v>5.3703703703703702</v>
      </c>
      <c r="AJ34" s="796">
        <f t="shared" ca="1" si="147"/>
        <v>3136.2962962962961</v>
      </c>
      <c r="AK34" s="796">
        <f t="shared" ca="1" si="148"/>
        <v>0</v>
      </c>
      <c r="AL34" s="753">
        <f ca="1">RZ[[#This Row],[Kilogramová cena bez DPH '[cena/kg'] (1)]]/$AK$13</f>
        <v>5.3703703703703702</v>
      </c>
      <c r="AM34" s="261"/>
      <c r="AN34" s="796">
        <f t="shared" ca="1" si="149"/>
        <v>7.0048309178743962</v>
      </c>
      <c r="AO34" s="796">
        <f t="shared" ca="1" si="150"/>
        <v>4090.8212560386473</v>
      </c>
      <c r="AP34" s="796">
        <f t="shared" ca="1" si="151"/>
        <v>0</v>
      </c>
      <c r="AQ34" s="753">
        <f ca="1">RZ[[#This Row],[Kilogramová cena bez DPH '[cena/kg'] (1)]]/$AP$13</f>
        <v>7.0048309178743962</v>
      </c>
      <c r="AR34" s="261"/>
      <c r="AS34" s="796">
        <f t="shared" ca="1" si="152"/>
        <v>3.9660831509846823</v>
      </c>
      <c r="AT34" s="796">
        <f t="shared" ca="1" si="153"/>
        <v>2316.1925601750545</v>
      </c>
      <c r="AU34" s="789">
        <f t="shared" ca="1" si="154"/>
        <v>0</v>
      </c>
      <c r="AV34" s="767">
        <f ca="1">RZ[[#This Row],[Kilogramová cena bez DPH '[cena/kg'] (1)]]/$AU$13</f>
        <v>3.9660831509846823</v>
      </c>
      <c r="AW34" s="165"/>
      <c r="AX34" s="911">
        <f t="shared" ca="1" si="155"/>
        <v>2</v>
      </c>
      <c r="AY34" s="111">
        <f t="shared" ca="1" si="156"/>
        <v>1</v>
      </c>
      <c r="AZ34" s="111">
        <f t="shared" ca="1" si="157"/>
        <v>11</v>
      </c>
      <c r="BA34" s="111">
        <f t="shared" ca="1" si="158"/>
        <v>0</v>
      </c>
      <c r="BB34" s="111">
        <f t="shared" ca="1" si="159"/>
        <v>0</v>
      </c>
      <c r="BC34" s="111">
        <f t="shared" ca="1" si="160"/>
        <v>0</v>
      </c>
      <c r="BD34" s="111">
        <f t="shared" ca="1" si="161"/>
        <v>0</v>
      </c>
      <c r="BE34" s="111">
        <f t="shared" ca="1" si="162"/>
        <v>0</v>
      </c>
      <c r="BF34" s="111">
        <f t="shared" ca="1" si="163"/>
        <v>0</v>
      </c>
      <c r="BG34" s="112">
        <f t="shared" ca="1" si="164"/>
        <v>0</v>
      </c>
      <c r="BH34" s="911">
        <f t="shared" si="165"/>
        <v>0</v>
      </c>
      <c r="BI34" s="111">
        <f t="shared" si="166"/>
        <v>0</v>
      </c>
      <c r="BJ34" s="111">
        <f t="shared" si="167"/>
        <v>1</v>
      </c>
      <c r="BK34" s="111">
        <f t="shared" si="168"/>
        <v>0</v>
      </c>
      <c r="BL34" s="111">
        <f t="shared" si="169"/>
        <v>0</v>
      </c>
      <c r="BM34" s="111">
        <f t="shared" si="170"/>
        <v>0</v>
      </c>
      <c r="BN34" s="111">
        <f t="shared" si="171"/>
        <v>0</v>
      </c>
      <c r="BO34" s="111">
        <f t="shared" si="172"/>
        <v>0</v>
      </c>
      <c r="BP34" s="111">
        <f t="shared" si="173"/>
        <v>0</v>
      </c>
      <c r="BQ34" s="112">
        <f t="shared" si="174"/>
        <v>0</v>
      </c>
      <c r="BR34" s="132">
        <f ca="1">IF(OFFSET(AY34,1,0,1,1)&lt;&gt;0,RZ[[#This Row],[Koeficient odhadu HR '[-'] (P1)]]*$BH34*SUMIFS(RZ[Úroveň 2 s koef. (P2)],RZ[0],AX34),RZ[[#This Row],[Koeficient odhadu HR '[-'] (P1)]]*$BH34*$IG34)</f>
        <v>0</v>
      </c>
      <c r="BS34" s="186">
        <f ca="1">IF(OFFSET(AY34,1,0,1,1)&lt;&gt;0,$BH34*SUMIFS(RZ[Úroveň 2 bez koef. (P2)],RZ[0],AX34),$BH34*$IG34)</f>
        <v>0</v>
      </c>
      <c r="BT34" s="138">
        <f ca="1">RZ[[#This Row],[Úroveň 2 s koef. (P2a)]]*RZ[[#This Row],[Počet MJHR (P0)]]</f>
        <v>0</v>
      </c>
      <c r="BU34" s="138">
        <f ca="1">RZ[[#This Row],[Úroveň 2 bez koef. (P2a)]]*RZ[[#This Row],[Počet MJHR (P0)]]</f>
        <v>0</v>
      </c>
      <c r="BV34" s="138">
        <f ca="1">IF(OFFSET(AZ34,1,0,1,1)&lt;&gt;0,RZ[[#This Row],[Koeficient odhadu HR '[-'] (P1)]]*$BI34*SUMIFS(RZ[Úroveň 3 s koef. (P2)],RZ[0],AX34,RZ[Úroveň 2 (P0)],AY34),RZ[[#This Row],[Koeficient odhadu HR '[-'] (P1)]]*$BI34*$IG34)</f>
        <v>0</v>
      </c>
      <c r="BW34" s="138">
        <f ca="1">IF(OFFSET(AZ34,1,0,1,1)&lt;&gt;0,$BI34*SUMIFS(RZ[Úroveň 3 bez koef. (P2)],RZ[0],AX34,RZ[Úroveň 2 (P0)],AY34),$BI34*$IG34)</f>
        <v>0</v>
      </c>
      <c r="BX34" s="132">
        <f ca="1">RZ[[#This Row],[Úroveň 3 s koef. (P2a)]]*RZ[[#This Row],[Počet MJHR (P0)]]</f>
        <v>584</v>
      </c>
      <c r="BY34" s="132">
        <f ca="1">RZ[Úroveň 3 bez koef. (P2a)]*RZ[[#This Row],[Počet MJHR (P0)]]</f>
        <v>584</v>
      </c>
      <c r="BZ34" s="132">
        <f ca="1">IF(OFFSET(BA34,1,0,1,1)&lt;&gt;0,RZ[[#This Row],[Koeficient odhadu HR '[-'] (P1)]]*$BJ34*SUMIFS(RZ[Úroveň 4 s koef. (P2)],RZ[0],AX34,RZ[Úroveň 2 (P0)],AY34,RZ[Úroveň 3 (P0)],AZ34),RZ[[#This Row],[Koeficient odhadu HR '[-'] (P1)]]*$BJ34*$IG34)</f>
        <v>292</v>
      </c>
      <c r="CA34" s="132">
        <f ca="1">IF(OFFSET(BA34,1,0,1,1)&lt;&gt;0,$BJ34*SUMIFS(RZ[Úroveň 4 bez koef. (P2)],RZ[0],AX34,RZ[Úroveň 2 (P0)],AY34,RZ[Úroveň 3 (P0)],AZ34),$BJ34*$IG34)</f>
        <v>292</v>
      </c>
      <c r="CB34" s="138">
        <f ca="1">RZ[[#This Row],[Úroveň 4 s koef. (P2a)]]*RZ[[#This Row],[Počet MJHR (P0)]]</f>
        <v>0</v>
      </c>
      <c r="CC34" s="138">
        <f ca="1">RZ[Úroveň 4 bez koef. (P2a)]*RZ[[#This Row],[Počet MJHR (P0)]]</f>
        <v>0</v>
      </c>
      <c r="CD34" s="138">
        <f ca="1">IF(OFFSET(BB34,1,0,1,1)&lt;&gt;0,RZ[[#This Row],[Koeficient odhadu HR '[-'] (P1)]]*$BK34*SUMIFS(RZ[Úroveň 5 s koef. (P2)],RZ[0],AX34,RZ[Úroveň 2 (P0)],AY34,RZ[Úroveň 3 (P0)],AZ34,RZ[Úroveň 4 (P0)],BA34),RZ[[#This Row],[Koeficient odhadu HR '[-'] (P1)]]*$BK34*$IG34)</f>
        <v>0</v>
      </c>
      <c r="CE34" s="138">
        <f ca="1">IF(OFFSET(BB34,1,0,1,1)&lt;&gt;0,$BK34*SUMIFS(RZ[Úroveň 5 bez koef. (P2)],RZ[0],AX34,RZ[Úroveň 2 (P0)],AY34,RZ[Úroveň 3 (P0)],AZ34,RZ[Úroveň 4 (P0)],BA34),$BK34*$IG34)</f>
        <v>0</v>
      </c>
      <c r="CF34" s="132">
        <f ca="1">RZ[[#This Row],[Úroveň 5 s koef. (P2a)]]*RZ[[#This Row],[Počet MJHR (P0)]]</f>
        <v>0</v>
      </c>
      <c r="CG34" s="132">
        <f ca="1">RZ[Úroveň 5 bez koef. (P2a)]*RZ[[#This Row],[Počet MJHR (P0)]]</f>
        <v>0</v>
      </c>
      <c r="CH34" s="132">
        <f ca="1">IF(OFFSET(BC34,1,0,1,1)&lt;&gt;0,RZ[[#This Row],[Koeficient odhadu HR '[-'] (P1)]]*$BL34*SUMIFS(RZ[Úroveň 6 s koef. (P2)],RZ[0],AX34,RZ[Úroveň 2 (P0)],AY34,RZ[Úroveň 3 (P0)],AZ34,RZ[Úroveň 4 (P0)],BA34,RZ[Úroveň 5 (P0)],BB34),RZ[[#This Row],[Koeficient odhadu HR '[-'] (P1)]]*$BL34*$IG34)</f>
        <v>0</v>
      </c>
      <c r="CI34" s="132">
        <f ca="1">IF(OFFSET(BC34,1,0,1,1)&lt;&gt;0,$BL34*SUMIFS(RZ[Úroveň 6 bez koef. (P2)],RZ[0],AX34,RZ[Úroveň 2 (P0)],AY34,RZ[Úroveň 3 (P0)],AZ34,RZ[Úroveň 4 (P0)],BA34,RZ[Úroveň 5 (P0)],BB34),$BL34*$IG34)</f>
        <v>0</v>
      </c>
      <c r="CJ34" s="138">
        <f ca="1">RZ[[#This Row],[Úroveň 6 s koef. (P2a)]]*RZ[[#This Row],[Počet MJHR (P0)]]</f>
        <v>0</v>
      </c>
      <c r="CK34" s="138">
        <f ca="1">RZ[Úroveň 6 bez koef. (P2a)]*RZ[[#This Row],[Počet MJHR (P0)]]</f>
        <v>0</v>
      </c>
      <c r="CL34" s="138">
        <f ca="1">IF(OFFSET(BD34,1,0,1,1)&lt;&gt;0,RZ[[#This Row],[Koeficient odhadu HR '[-'] (P1)]]*$BM34*SUMIFS(RZ[Úroveň 7 s koef. (P2)],RZ[0],AX34,RZ[Úroveň 2 (P0)],AY34,RZ[Úroveň 3 (P0)],AZ34,RZ[Úroveň 4 (P0)],BA34,RZ[Úroveň 5 (P0)],BB34,RZ[Úroveň 6 (P0)],BC34),RZ[[#This Row],[Koeficient odhadu HR '[-'] (P1)]]*$BM34*$IG34)</f>
        <v>0</v>
      </c>
      <c r="CM34" s="138">
        <f ca="1">IF(OFFSET(BD34,1,0,1,1)&lt;&gt;0,$BM34*SUMIFS(RZ[Úroveň 7 bez koef. (P2)],RZ[0],AX34,RZ[Úroveň 2 (P0)],AY34,RZ[Úroveň 3 (P0)],AZ34,RZ[Úroveň 4 (P0)],BA34,RZ[Úroveň 5 (P0)],BB34,RZ[Úroveň 6 (P0)],BC34),$BM34*$IG34)</f>
        <v>0</v>
      </c>
      <c r="CN34" s="132">
        <f ca="1">RZ[[#This Row],[Úroveň 7 s koef. (P2a)]]*RZ[[#This Row],[Počet MJHR (P0)]]</f>
        <v>0</v>
      </c>
      <c r="CO34" s="132">
        <f ca="1">RZ[Úroveň 7 bez koef. (P2a)]*RZ[[#This Row],[Počet MJHR (P0)]]</f>
        <v>0</v>
      </c>
      <c r="CP34" s="132">
        <f ca="1">IF(OFFSET(BE34,1,0,1,1)&lt;&gt;0,RZ[[#This Row],[Koeficient odhadu HR '[-'] (P1)]]*$BN34*SUMIFS(RZ[Úroveň 8 s koef. (P2)],RZ[0],AX34,RZ[Úroveň 2 (P0)],AY34,RZ[Úroveň 3 (P0)],AZ34,RZ[Úroveň 4 (P0)],BA34,RZ[Úroveň 5 (P0)],BB34,RZ[Úroveň 6 (P0)],BC34,RZ[Úroveň 7 (P0)],BD34),RZ[[#This Row],[Koeficient odhadu HR '[-'] (P1)]]*$BN34*$IG34)</f>
        <v>0</v>
      </c>
      <c r="CQ34" s="132">
        <f ca="1">IF(OFFSET(BE34,1,0,1,1)&lt;&gt;0,$BN34*SUMIFS(RZ[Úroveň 8 bez koef. (P2)],RZ[0],AX34,RZ[Úroveň 2 (P0)],AY34,RZ[Úroveň 3 (P0)],AZ34,RZ[Úroveň 4 (P0)],BA34,RZ[Úroveň 5 (P0)],BB34,RZ[Úroveň 6 (P0)],BC34,RZ[Úroveň 7 (P0)],BD34),$BN34*$IG34)</f>
        <v>0</v>
      </c>
      <c r="CR34" s="138">
        <f ca="1">RZ[[#This Row],[Úroveň 8 s koef. (P2a)]]*RZ[[#This Row],[Počet MJHR (P0)]]</f>
        <v>0</v>
      </c>
      <c r="CS34" s="138">
        <f ca="1">RZ[Úroveň 8 bez koef. (P2a)]*RZ[[#This Row],[Počet MJHR (P0)]]</f>
        <v>0</v>
      </c>
      <c r="CT34" s="138">
        <f ca="1">IF(OFFSET(BF34,1,0,1,1)&lt;&gt;0,RZ[[#This Row],[Koeficient odhadu HR '[-'] (P1)]]*$BO34*SUMIFS(RZ[Úroveň 9 s koef. (P2)],RZ[0],AX34,RZ[Úroveň 2 (P0)],AY34,RZ[Úroveň 3 (P0)],AZ34,RZ[Úroveň 4 (P0)],BA34,RZ[Úroveň 5 (P0)],BB34,RZ[Úroveň 6 (P0)],BC34,RZ[Úroveň 7 (P0)],BD34,RZ[Úroveň 8 (P0)],BE34),RZ[[#This Row],[Koeficient odhadu HR '[-'] (P1)]]*$BO34*$IG34)</f>
        <v>0</v>
      </c>
      <c r="CU34" s="138">
        <f ca="1">IF(OFFSET(BF34,1,0,1,1)&lt;&gt;0,$BO34*SUMIFS(RZ[Úroveň 9 bez koef. (P2)],RZ[0],AX34,RZ[Úroveň 2 (P0)],AY34,RZ[Úroveň 3 (P0)],AZ34,RZ[Úroveň 4 (P0)],BA34,RZ[Úroveň 5 (P0)],BB34,RZ[Úroveň 6 (P0)],BC34,RZ[Úroveň 7 (P0)],BD34,RZ[Úroveň 8 (P0)],BE34),$BO34*$IG34)</f>
        <v>0</v>
      </c>
      <c r="CV34" s="132">
        <f ca="1">RZ[[#This Row],[Úroveň 9 s koef. (P2a)]]*RZ[[#This Row],[Počet MJHR (P0)]]</f>
        <v>0</v>
      </c>
      <c r="CW34" s="132">
        <f ca="1">RZ[Úroveň 9 bez koef. (P2a)]*RZ[[#This Row],[Počet MJHR (P0)]]</f>
        <v>0</v>
      </c>
      <c r="CX34" s="132">
        <f ca="1">IF(OFFSET(BG34,1,0,1,1)&lt;&gt;0,RZ[[#This Row],[Koeficient odhadu HR '[-'] (P1)]]*$BP34*SUMIFS(RZ[Úroveň 10 s koef. (P2)],RZ[0],AX34,RZ[Úroveň 2 (P0)],AY34,RZ[Úroveň 3 (P0)],AZ34,RZ[Úroveň 4 (P0)],BA34,RZ[Úroveň 5 (P0)],BB34,RZ[Úroveň 6 (P0)],BC34,RZ[Úroveň 7 (P0)],BD34,RZ[Úroveň 8 (P0)],BE34,RZ[Úroveň 9 (P0)],BF34),RZ[[#This Row],[Koeficient odhadu HR '[-'] (P1)]]*$BP34*$IG34)</f>
        <v>0</v>
      </c>
      <c r="CY34" s="132">
        <f ca="1">IF(OFFSET(BG34,1,0,1,1)&lt;&gt;0,$BP34*SUMIFS(RZ[Úroveň 10 bez koef. (P2)],RZ[0],AX34,RZ[Úroveň 2 (P0)],AY34,RZ[Úroveň 3 (P0)],AZ34,RZ[Úroveň 4 (P0)],BA34,RZ[Úroveň 5 (P0)],BB34,RZ[Úroveň 6 (P0)],BC34,RZ[Úroveň 7 (P0)],BD34,RZ[Úroveň 8 (P0)],BE34,RZ[Úroveň 9 (P0)],BF34),$BP34*$IG34)</f>
        <v>0</v>
      </c>
      <c r="CZ34" s="138">
        <f>RZ[[#This Row],[Úroveň 10 s koef. (P2a)]]*RZ[[#This Row],[Počet MJHR (P0)]]</f>
        <v>0</v>
      </c>
      <c r="DA34" s="138">
        <f>RZ[Úroveň 10 bez koef. (P2a)]*RZ[[#This Row],[Počet MJHR (P0)]]</f>
        <v>0</v>
      </c>
      <c r="DB34" s="138">
        <f>RZ[[#This Row],[Koeficient odhadu HR '[-'] (P1)]]*$BQ34*IG34</f>
        <v>0</v>
      </c>
      <c r="DC34" s="231">
        <f t="shared" si="175"/>
        <v>0</v>
      </c>
      <c r="DD34" s="241">
        <f t="shared" ca="1" si="176"/>
        <v>292</v>
      </c>
      <c r="DE34" s="229">
        <f t="shared" ca="1" si="177"/>
        <v>292</v>
      </c>
      <c r="DF34" s="912">
        <f t="shared" si="178"/>
        <v>0</v>
      </c>
      <c r="DG34" s="913">
        <f t="shared" si="179"/>
        <v>0</v>
      </c>
      <c r="DH34" s="913">
        <f t="shared" si="180"/>
        <v>2</v>
      </c>
      <c r="DI34" s="913">
        <f t="shared" si="181"/>
        <v>0</v>
      </c>
      <c r="DJ34" s="913">
        <f t="shared" si="182"/>
        <v>0</v>
      </c>
      <c r="DK34" s="913">
        <f t="shared" si="183"/>
        <v>0</v>
      </c>
      <c r="DL34" s="913">
        <f t="shared" si="184"/>
        <v>0</v>
      </c>
      <c r="DM34" s="913">
        <f t="shared" si="185"/>
        <v>0</v>
      </c>
      <c r="DN34" s="913">
        <f t="shared" si="186"/>
        <v>0</v>
      </c>
      <c r="DO34" s="913">
        <f t="shared" si="187"/>
        <v>0</v>
      </c>
      <c r="DP34" s="914">
        <f ca="1">SUMIFS(RZ[Úroveň 1 (P4)],RZ[0],AX34)</f>
        <v>1</v>
      </c>
      <c r="DQ34" s="914">
        <f ca="1">SUMIFS(RZ[Úroveň 2 (P4)],RZ[0],AX34,RZ[Úroveň 2 (P0)],AY34)</f>
        <v>1</v>
      </c>
      <c r="DR34" s="914">
        <f ca="1">SUMIFS(RZ[Úroveň 3 (P4)],RZ[0],AX34,RZ[Úroveň 2 (P0)],AY34,RZ[Úroveň 3 (P0)],AZ34)</f>
        <v>2</v>
      </c>
      <c r="DS34" s="914">
        <f ca="1">SUMIFS(RZ[Úroveň 4 (P4)],RZ[0],AX34,RZ[Úroveň 2 (P0)],AY34,RZ[Úroveň 3 (P0)],AZ34,RZ[Úroveň 4 (P0)],BA34)</f>
        <v>0</v>
      </c>
      <c r="DT34" s="914">
        <f ca="1">SUMIFS(RZ[Úroveň 5 (P4)],RZ[0],AX34,RZ[Úroveň 2 (P0)],AY34,RZ[Úroveň 3 (P0)],AZ34,RZ[Úroveň 4 (P0)],BA34,RZ[Úroveň 5 (P0)],BB34)</f>
        <v>0</v>
      </c>
      <c r="DU34" s="914">
        <f ca="1">SUMIFS(RZ[Úroveň 6 (P4)],RZ[0],AX34,RZ[Úroveň 2 (P0)],AY34,RZ[Úroveň 3 (P0)],AZ34,RZ[Úroveň 4 (P0)],BA34,RZ[Úroveň 5 (P0)],BB34,RZ[Úroveň 6 (P0)],BC34)</f>
        <v>0</v>
      </c>
      <c r="DV34" s="914">
        <f ca="1">SUMIFS(RZ[Úroveň 7 (P4)],RZ[0],AX34,RZ[Úroveň 2 (P0)],AY34,RZ[Úroveň 3 (P0)],AZ34,RZ[Úroveň 4 (P0)],BA34,RZ[Úroveň 5 (P0)],BB34,RZ[Úroveň 6 (P0)],BC34,RZ[Úroveň 7 (P0)],BD34)</f>
        <v>0</v>
      </c>
      <c r="DW34" s="914">
        <f ca="1">SUMIFS(RZ[Úroveň 8 (P4)],RZ[0],AX34,RZ[Úroveň 2 (P0)],AY34,RZ[Úroveň 3 (P0)],AZ34,RZ[Úroveň 4 (P0)],BA34,RZ[Úroveň 5 (P0)],BB34,RZ[Úroveň 6 (P0)],BC34,RZ[Úroveň 7 (P0)],BD34,RZ[Úroveň 8 (P0)],BE34)</f>
        <v>0</v>
      </c>
      <c r="DX34" s="914">
        <f ca="1">SUMIFS(RZ[Úroveň 9 (P4)],RZ[0],AX34,RZ[Úroveň 2 (P0)],AY34,RZ[Úroveň 3 (P0)],AZ34,RZ[Úroveň 4 (P0)],BA34,RZ[Úroveň 5 (P0)],BB34,RZ[Úroveň 6 (P0)],BC34,RZ[Úroveň 7 (P0)],BD34,RZ[Úroveň 8 (P0)],BE34,RZ[Úroveň 9 (P0)],BF34)</f>
        <v>0</v>
      </c>
      <c r="DY34" s="914">
        <f ca="1">SUMIFS(RZ[Úroveň 10 (P4)],RZ[0],AX34,RZ[Úroveň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DZ34" s="915">
        <f t="shared" ca="1" si="188"/>
        <v>2</v>
      </c>
      <c r="EA34" s="916">
        <f ca="1">RZ[[#This Row],[Jednotková hmotnost bez koef. '[kg/MJHR'] (P0)]]*RZ[[#This Row],[Počet MJHR v rozpadu (P0)]]</f>
        <v>584</v>
      </c>
      <c r="EB34" s="917">
        <f ca="1">IF(OFFSET(AY34,1,0,1,1)&lt;&gt;0,RZ[[#This Row],[Koeficient odhadu CR '[-'] (P1)]]*$BH34*SUMIFS(RZ[Úroveň 2 s koef. (P3)],RZ[0],AX34),RZ[[#This Row],[Koeficient odhadu CR '[-'] (P1)]]*$BH34*$IQ34)</f>
        <v>0</v>
      </c>
      <c r="EC34" s="191">
        <f ca="1">IF(OFFSET(AY34,1,0,1,1)&lt;&gt;0,$BH34*SUMIFS(RZ[Úroveň 2 bez koef. (P3)],RZ[0],AX34),$BH34*$IQ34)</f>
        <v>0</v>
      </c>
      <c r="ED34" s="140">
        <f ca="1">RZ[[#This Row],[Úroveň 2 s koef. (P3a)]]*RZ[[#This Row],[Počet MJCR (P0) pro "kg"]]</f>
        <v>0</v>
      </c>
      <c r="EE34" s="140">
        <f ca="1">RZ[Úroveň 2 bez koef. (P3a)]*RZ[[#This Row],[Počet MJCR (P0) pro "kg"]]</f>
        <v>0</v>
      </c>
      <c r="EF34" s="140">
        <f ca="1">IF(OFFSET(AZ34,1,0,1,1)&lt;&gt;0,RZ[[#This Row],[Koeficient odhadu CR '[-'] (P1)]]*$BI34*SUMIFS(RZ[Úroveň 3 s koef. (P3)],RZ[0],AX34,RZ[Úroveň 2 (P0)],AY34),RZ[[#This Row],[Koeficient odhadu CR '[-'] (P1)]]*$BI34*$IQ34)</f>
        <v>0</v>
      </c>
      <c r="EG34" s="140">
        <f ca="1">IF(OFFSET(AZ34,1,0,1,1)&lt;&gt;0,$BI34*SUMIFS(RZ[Úroveň 3 bez koef. (P3)],RZ[0],AX34,RZ[Úroveň 2 (P0)],AY34),$BI34*$IQ34)</f>
        <v>0</v>
      </c>
      <c r="EH34" s="135">
        <f ca="1">RZ[[#This Row],[Úroveň 3 s koef. (P3a)]]*RZ[[#This Row],[Počet MJCR (P0) pro "kg"]]</f>
        <v>84680</v>
      </c>
      <c r="EI34" s="135">
        <f ca="1">RZ[Úroveň 3 bez koef. (P3a)]*RZ[[#This Row],[Počet MJCR (P0) pro "kg"]]</f>
        <v>84680</v>
      </c>
      <c r="EJ34" s="135">
        <f ca="1">IF(OFFSET(BA34,1,0,1,1)&lt;&gt;0,RZ[[#This Row],[Koeficient odhadu CR '[-'] (P1)]]*$BJ34*SUMIFS(RZ[Úroveň 4 s koef. (P3)],RZ[0],AX34,RZ[Úroveň 2 (P0)],AY34,RZ[Úroveň 3 (P0)],AZ34),RZ[[#This Row],[Koeficient odhadu CR '[-'] (P1)]]*$BJ34*$IQ34)</f>
        <v>145</v>
      </c>
      <c r="EK34" s="135">
        <f ca="1">IF(OFFSET(BA34,1,0,1,1)&lt;&gt;0,$BJ34*SUMIFS(RZ[Úroveň 4 bez koef. (P3)],RZ[0],AX34,RZ[Úroveň 2 (P0)],AY34,RZ[Úroveň 3 (P0)],AZ34),$BJ34*$IQ34)</f>
        <v>145</v>
      </c>
      <c r="EL34" s="140">
        <f ca="1">RZ[[#This Row],[Úroveň 4 s koef. (P3a)]]*RZ[[#This Row],[Počet MJCR (P0) pro "kg"]]</f>
        <v>0</v>
      </c>
      <c r="EM34" s="140">
        <f ca="1">RZ[Úroveň 4 bez koef. (P3a)]*RZ[[#This Row],[Počet MJCR (P0) pro "kg"]]</f>
        <v>0</v>
      </c>
      <c r="EN34" s="140">
        <f ca="1">IF(OFFSET(BB34,1,0,1,1)&lt;&gt;0,RZ[[#This Row],[Koeficient odhadu CR '[-'] (P1)]]*$BK34*SUMIFS(RZ[Úroveň 5 s koef. (P3)],RZ[0],AX34,RZ[Úroveň 2 (P0)],AY34,RZ[Úroveň 3 (P0)],AZ34,RZ[Úroveň 4 (P0)],BA34),RZ[[#This Row],[Koeficient odhadu CR '[-'] (P1)]]*$BK34*$IQ34)</f>
        <v>0</v>
      </c>
      <c r="EO34" s="140">
        <f ca="1">IF(OFFSET(BB34,1,0,1,1)&lt;&gt;0,$BK34*SUMIFS(RZ[Úroveň 5 bez koef. (P3)],RZ[0],AX34,RZ[Úroveň 2 (P0)],AY34,RZ[Úroveň 3 (P0)],AZ34,RZ[Úroveň 4 (P0)],BA34),$BK34*$IQ34)</f>
        <v>0</v>
      </c>
      <c r="EP34" s="135">
        <f ca="1">RZ[[#This Row],[Úroveň 5 s koef. (P3a)]]*RZ[[#This Row],[Počet MJCR (P0) pro "kg"]]</f>
        <v>0</v>
      </c>
      <c r="EQ34" s="135">
        <f ca="1">RZ[Úroveň 5 bez koef. (P3a)]*RZ[[#This Row],[Počet MJCR (P0) pro "kg"]]</f>
        <v>0</v>
      </c>
      <c r="ER34" s="135">
        <f ca="1">IF(OFFSET(BC34,1,0,1,1)&lt;&gt;0,RZ[[#This Row],[Koeficient odhadu CR '[-'] (P1)]]*$BL34*SUMIFS(RZ[Úroveň 6 s koef. (P3)],RZ[0],AX34,RZ[Úroveň 2 (P0)],AY34,RZ[Úroveň 3 (P0)],AZ34,RZ[Úroveň 4 (P0)],BA34,RZ[Úroveň 5 (P0)],BB34),RZ[[#This Row],[Koeficient odhadu CR '[-'] (P1)]]*$BL34*$IQ34)</f>
        <v>0</v>
      </c>
      <c r="ES34" s="135">
        <f ca="1">IF(OFFSET(BC34,1,0,1,1)&lt;&gt;0,$BL34*SUMIFS(RZ[Úroveň 6 bez koef. (P3)],RZ[0],AX34,RZ[Úroveň 2 (P0)],AY34,RZ[Úroveň 3 (P0)],AZ34,RZ[Úroveň 4 (P0)],BA34,RZ[Úroveň 5 (P0)],BB34),$BL34*$IQ34)</f>
        <v>0</v>
      </c>
      <c r="ET34" s="140">
        <f ca="1">RZ[[#This Row],[Úroveň 6 s koef. (P3a)]]*RZ[[#This Row],[Počet MJCR (P0) pro "kg"]]</f>
        <v>0</v>
      </c>
      <c r="EU34" s="140">
        <f ca="1">RZ[Úroveň 6 bez koef. (P3a)]*RZ[[#This Row],[Počet MJCR (P0) pro "kg"]]</f>
        <v>0</v>
      </c>
      <c r="EV34" s="140">
        <f ca="1">IF(OFFSET(BD34,1,0,1,1)&lt;&gt;0,RZ[[#This Row],[Koeficient odhadu CR '[-'] (P1)]]*$BM34*SUMIFS(RZ[Úroveň 7 s koef. (P3)],RZ[0],AX34,RZ[Úroveň 2 (P0)],AY34,RZ[Úroveň 3 (P0)],AZ34,RZ[Úroveň 4 (P0)],BA34,RZ[Úroveň 5 (P0)],BB34,RZ[Úroveň 6 (P0)],BC34),RZ[[#This Row],[Koeficient odhadu CR '[-'] (P1)]]*$BM34*$IQ34)</f>
        <v>0</v>
      </c>
      <c r="EW34" s="140">
        <f ca="1">IF(OFFSET(BD34,1,0,1,1)&lt;&gt;0,$BM34*SUMIFS(RZ[Úroveň 7 bez koef. (P3)],RZ[0],AX34,RZ[Úroveň 2 (P0)],AY34,RZ[Úroveň 3 (P0)],AZ34,RZ[Úroveň 4 (P0)],BA34,RZ[Úroveň 5 (P0)],BB34,RZ[Úroveň 6 (P0)],BC34),$BM34*$IQ34)</f>
        <v>0</v>
      </c>
      <c r="EX34" s="135">
        <f ca="1">RZ[[#This Row],[Úroveň 7 s koef. (P3a)]]*RZ[[#This Row],[Počet MJCR (P0) pro "kg"]]</f>
        <v>0</v>
      </c>
      <c r="EY34" s="135">
        <f ca="1">RZ[Úroveň 7 bez koef. (P3a)]*RZ[[#This Row],[Počet MJCR (P0) pro "kg"]]</f>
        <v>0</v>
      </c>
      <c r="EZ34" s="135">
        <f ca="1">IF(OFFSET(BE34,1,0,1,1)&lt;&gt;0,RZ[[#This Row],[Koeficient odhadu CR '[-'] (P1)]]*$BN34*SUMIFS(RZ[Úroveň 8 s koef. (P3)],RZ[0],AX34,RZ[Úroveň 2 (P0)],AY34,RZ[Úroveň 3 (P0)],AZ34,RZ[Úroveň 4 (P0)],BA34,RZ[Úroveň 5 (P0)],BB34,RZ[Úroveň 6 (P0)],BC34,RZ[Úroveň 7 (P0)],BD34),RZ[[#This Row],[Koeficient odhadu CR '[-'] (P1)]]*$BN34*$IQ34)</f>
        <v>0</v>
      </c>
      <c r="FA34" s="135">
        <f ca="1">IF(OFFSET(BE34,1,0,1,1)&lt;&gt;0,$BN34*SUMIFS(RZ[Úroveň 8 bez koef. (P3)],RZ[0],AX34,RZ[Úroveň 2 (P0)],AY34,RZ[Úroveň 3 (P0)],AZ34,RZ[Úroveň 4 (P0)],BA34,RZ[Úroveň 5 (P0)],BB34,RZ[Úroveň 6 (P0)],BC34,RZ[Úroveň 7 (P0)],BD34),$BN34*$IQ34)</f>
        <v>0</v>
      </c>
      <c r="FB34" s="140">
        <f ca="1">RZ[[#This Row],[Úroveň 8 s koef. (P3a)]]*RZ[[#This Row],[Počet MJCR (P0) pro "kg"]]</f>
        <v>0</v>
      </c>
      <c r="FC34" s="140">
        <f ca="1">RZ[Úroveň 8 bez koef. (P3a)]*RZ[[#This Row],[Počet MJCR (P0) pro "kg"]]</f>
        <v>0</v>
      </c>
      <c r="FD34" s="140">
        <f ca="1">IF(OFFSET(BF34,1,0,1,1)&lt;&gt;0,RZ[[#This Row],[Koeficient odhadu CR '[-'] (P1)]]*$BO34*SUMIFS(RZ[Úroveň 9 s koef. (P3)],RZ[0],AX34,RZ[Úroveň 2 (P0)],AY34,RZ[Úroveň 3 (P0)],AZ34,RZ[Úroveň 4 (P0)],BA34,RZ[Úroveň 5 (P0)],BB34,RZ[Úroveň 6 (P0)],BC34,RZ[Úroveň 7 (P0)],BD34,RZ[Úroveň 8 (P0)],BE34),RZ[[#This Row],[Koeficient odhadu CR '[-'] (P1)]]*$BO34*$IQ34)</f>
        <v>0</v>
      </c>
      <c r="FE34" s="140">
        <f ca="1">IF(OFFSET(BF34,1,0,1,1)&lt;&gt;0,$BO34*SUMIFS(RZ[Úroveň 9 bez koef. (P3)],RZ[0],AX34,RZ[Úroveň 2 (P0)],AY34,RZ[Úroveň 3 (P0)],AZ34,RZ[Úroveň 4 (P0)],BA34,RZ[Úroveň 5 (P0)],BB34,RZ[Úroveň 6 (P0)],BC34,RZ[Úroveň 7 (P0)],BD34,RZ[Úroveň 8 (P0)],BE34),$BO34*$IQ34)</f>
        <v>0</v>
      </c>
      <c r="FF34" s="135">
        <f ca="1">RZ[[#This Row],[Úroveň 9 s koef. (P3a)]]*RZ[[#This Row],[Počet MJCR (P0) pro "kg"]]</f>
        <v>0</v>
      </c>
      <c r="FG34" s="135">
        <f ca="1">RZ[Úroveň 9 bez koef. (P3a)]*RZ[[#This Row],[Počet MJCR (P0) pro "kg"]]</f>
        <v>0</v>
      </c>
      <c r="FH34" s="135">
        <f ca="1">IF(OFFSET(BG34,1,0,1,1)&lt;&gt;0,RZ[[#This Row],[Koeficient odhadu CR '[-'] (P1)]]*$BP34*SUMIFS(RZ[Úroveň 10 s koef. (P3)],RZ[0],AX34,RZ[Úroveň 2 (P0)],AY34,RZ[Úroveň 3 (P0)],AZ34,RZ[Úroveň 4 (P0)],BA34,RZ[Úroveň 5 (P0)],BB34,RZ[Úroveň 6 (P0)],BC34,RZ[Úroveň 7 (P0)],BD34,RZ[Úroveň 8 (P0)],BE34,RZ[Úroveň 9 (P0)],BF34),RZ[[#This Row],[Koeficient odhadu CR '[-'] (P1)]]*$BP34*$IQ34)</f>
        <v>0</v>
      </c>
      <c r="FI34" s="135">
        <f ca="1">IF(OFFSET(BG34,1,0,1,1)&lt;&gt;0,$BP34*SUMIFS(RZ[Úroveň 10 bez koef. (P3)],RZ[0],AX34,RZ[Úroveň 2 (P0)],AY34,RZ[Úroveň 3 (P0)],AZ34,RZ[Úroveň 4 (P0)],BA34,RZ[Úroveň 5 (P0)],BB34,RZ[Úroveň 6 (P0)],BC34,RZ[Úroveň 7 (P0)],BD34,RZ[Úroveň 8 (P0)],BE34,RZ[Úroveň 9 (P0)],BF34),$BP34*$IQ34)</f>
        <v>0</v>
      </c>
      <c r="FJ34" s="140">
        <f ca="1">RZ[[#This Row],[Úroveň 10 s koef. (P3a)]]*RZ[[#This Row],[Počet MJCR (P0) pro "kg"]]</f>
        <v>0</v>
      </c>
      <c r="FK34" s="140">
        <f ca="1">RZ[Úroveň 10 bez koef. (P3a)]*RZ[[#This Row],[Počet MJCR (P0) pro "kg"]]</f>
        <v>0</v>
      </c>
      <c r="FL34" s="140">
        <f ca="1">RZ[[#This Row],[Koeficient odhadu CR '[-'] (P1)]]*$BQ34*IQ34</f>
        <v>0</v>
      </c>
      <c r="FM34" s="236">
        <f t="shared" ca="1" si="189"/>
        <v>0</v>
      </c>
      <c r="FN34" s="194">
        <f t="shared" ca="1" si="190"/>
        <v>145</v>
      </c>
      <c r="FO34" s="238">
        <f t="shared" ca="1" si="191"/>
        <v>145</v>
      </c>
      <c r="FP34" s="135">
        <f t="shared" ca="1" si="192"/>
        <v>0</v>
      </c>
      <c r="FQ34" s="135">
        <f t="shared" ca="1" si="193"/>
        <v>0</v>
      </c>
      <c r="FR34" s="135">
        <f t="shared" ca="1" si="194"/>
        <v>584</v>
      </c>
      <c r="FS34" s="135">
        <f t="shared" ca="1" si="195"/>
        <v>0</v>
      </c>
      <c r="FT34" s="135">
        <f t="shared" ca="1" si="196"/>
        <v>0</v>
      </c>
      <c r="FU34" s="135">
        <f t="shared" ca="1" si="197"/>
        <v>0</v>
      </c>
      <c r="FV34" s="135">
        <f t="shared" ca="1" si="198"/>
        <v>0</v>
      </c>
      <c r="FW34" s="135">
        <f t="shared" ca="1" si="199"/>
        <v>0</v>
      </c>
      <c r="FX34" s="135">
        <f t="shared" ca="1" si="200"/>
        <v>0</v>
      </c>
      <c r="FY34" s="135">
        <f t="shared" ca="1" si="201"/>
        <v>0</v>
      </c>
      <c r="FZ34" s="140">
        <f ca="1">SUMIFS(RZ[Úroveň 1 (P6)],RZ[0],AX34)</f>
        <v>1</v>
      </c>
      <c r="GA34" s="140">
        <f ca="1">SUMIFS(RZ[Úroveň 2 (P6)],RZ[0],AX34,RZ[Úroveň 2 (P0)],AY34)</f>
        <v>1</v>
      </c>
      <c r="GB34" s="140">
        <f ca="1">SUMIFS(RZ[Úroveň 3 (P6)],RZ[0],AX34,RZ[Úroveň 2 (P0)],AY34,RZ[Úroveň 3 (P0)],AZ34)</f>
        <v>584</v>
      </c>
      <c r="GC34" s="140">
        <f ca="1">SUMIFS(RZ[Úroveň 4 (P6)],RZ[0],AX34,RZ[Úroveň 2 (P0)],AY34,RZ[Úroveň 3 (P0)],AZ34,RZ[Úroveň 4 (P0)],BA34)</f>
        <v>0</v>
      </c>
      <c r="GD34" s="140">
        <f ca="1">SUMIFS(RZ[Úroveň 5 (P6)],RZ[0],AX34,RZ[Úroveň 2 (P0)],AY34,RZ[Úroveň 3 (P0)],AZ34,RZ[Úroveň 4 (P0)],BA34,RZ[Úroveň 5 (P0)],BB34)</f>
        <v>0</v>
      </c>
      <c r="GE34" s="140">
        <f ca="1">SUMIFS(RZ[Úroveň 6 (P6)],RZ[0],AX34,RZ[Úroveň 2 (P0)],AY34,RZ[Úroveň 3 (P0)],AZ34,RZ[Úroveň 4 (P0)],BA34,RZ[Úroveň 5 (P0)],BB34,RZ[Úroveň 6 (P0)],BC34)</f>
        <v>0</v>
      </c>
      <c r="GF34" s="140">
        <f ca="1">SUMIFS(RZ[Úroveň 7 (P6)],RZ[0],AX34,RZ[Úroveň 2 (P0)],AY34,RZ[Úroveň 3 (P0)],AZ34,RZ[Úroveň 4 (P0)],BA34,RZ[Úroveň 5 (P0)],BB34,RZ[Úroveň 6 (P0)],BC34,RZ[Úroveň 7 (P0)],BD34)</f>
        <v>0</v>
      </c>
      <c r="GG34" s="140">
        <f ca="1">SUMIFS(RZ[Úroveň 8 (P6)],RZ[0],AX34,RZ[Úroveň 2 (P0)],AY34,RZ[Úroveň 3 (P0)],AZ34,RZ[Úroveň 4 (P0)],BA34,RZ[Úroveň 5 (P0)],BB34,RZ[Úroveň 6 (P0)],BC34,RZ[Úroveň 7 (P0)],BD34,RZ[Úroveň 8 (P0)],BE34)</f>
        <v>0</v>
      </c>
      <c r="GH34" s="140">
        <f ca="1">SUMIFS(RZ[Úroveň 9 (P6)],RZ[0],AX34,RZ[Úroveň 2 (P0)],AY34,RZ[Úroveň 3 (P0)],AZ34,RZ[Úroveň 4 (P0)],BA34,RZ[Úroveň 5 (P0)],BB34,RZ[Úroveň 6 (P0)],BC34,RZ[Úroveň 7 (P0)],BD34,RZ[Úroveň 8 (P0)],BE34,RZ[Úroveň 9 (P0)],BF34)</f>
        <v>0</v>
      </c>
      <c r="GI34" s="140">
        <f ca="1">SUMIFS(RZ[Úroveň 10 (P6)],RZ[0],AX34,RZ[Úroveň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GJ34" s="918">
        <f t="shared" ca="1" si="202"/>
        <v>584</v>
      </c>
      <c r="GK34" s="808">
        <f t="shared" si="203"/>
        <v>0</v>
      </c>
      <c r="GL34" s="808">
        <f t="shared" si="204"/>
        <v>0</v>
      </c>
      <c r="GM34" s="808">
        <f t="shared" si="205"/>
        <v>1</v>
      </c>
      <c r="GN34" s="808">
        <f t="shared" si="206"/>
        <v>0</v>
      </c>
      <c r="GO34" s="808">
        <f t="shared" si="207"/>
        <v>0</v>
      </c>
      <c r="GP34" s="808">
        <f t="shared" si="208"/>
        <v>0</v>
      </c>
      <c r="GQ34" s="808">
        <f t="shared" si="209"/>
        <v>0</v>
      </c>
      <c r="GR34" s="808">
        <f t="shared" si="210"/>
        <v>0</v>
      </c>
      <c r="GS34" s="808">
        <f t="shared" si="211"/>
        <v>0</v>
      </c>
      <c r="GT34" s="808">
        <f t="shared" si="212"/>
        <v>0</v>
      </c>
      <c r="GU34" s="809">
        <f ca="1">SUMIFS(RZ[Sloupec1],RZ[0],AX34)</f>
        <v>1</v>
      </c>
      <c r="GV34" s="809">
        <f ca="1">SUMIFS(RZ[Sloupec2],RZ[0],AX34,RZ[Úroveň 2 (P0)],AY34)</f>
        <v>1</v>
      </c>
      <c r="GW34" s="809">
        <f ca="1">SUMIFS(RZ[Sloupec3],RZ[0],AX34,RZ[Úroveň 2 (P0)],AY34,RZ[Úroveň 3 (P0)],AZ34)</f>
        <v>1</v>
      </c>
      <c r="GX34" s="809">
        <f ca="1">SUMIFS(RZ[Sloupec4],RZ[0],AX34,RZ[Úroveň 2 (P0)],AY34,RZ[Úroveň 3 (P0)],AZ34,RZ[Úroveň 4 (P0)],BA34)</f>
        <v>0</v>
      </c>
      <c r="GY34" s="809">
        <f ca="1">SUMIFS(RZ[Sloupec5],RZ[0],AX34,RZ[Úroveň 2 (P0)],AY34,RZ[Úroveň 3 (P0)],AZ34,RZ[Úroveň 4 (P0)],BA34,RZ[Úroveň 5 (P0)],BB34)</f>
        <v>0</v>
      </c>
      <c r="GZ34" s="809">
        <f ca="1">SUMIFS(RZ[Sloupec6],RZ[0],AX34,RZ[Úroveň 2 (P0)],AY34,RZ[Úroveň 3 (P0)],AZ34,RZ[Úroveň 4 (P0)],BA34,RZ[Úroveň 5 (P0)],BB34,RZ[Úroveň 6 (P0)],BC34)</f>
        <v>0</v>
      </c>
      <c r="HA34" s="809">
        <f ca="1">SUMIFS(RZ[Sloupec62],RZ[0],AX34,RZ[Úroveň 2 (P0)],AY34,RZ[Úroveň 3 (P0)],AZ34,RZ[Úroveň 4 (P0)],BA34,RZ[Úroveň 5 (P0)],BB34,RZ[Úroveň 6 (P0)],BC34,RZ[Úroveň 7 (P0)],BD34)</f>
        <v>0</v>
      </c>
      <c r="HB34" s="809">
        <f ca="1">SUMIFS(RZ[Sloupec63],RZ[0],AX34,RZ[Úroveň 2 (P0)],AY34,RZ[Úroveň 3 (P0)],AZ34,RZ[Úroveň 4 (P0)],BA34,RZ[Úroveň 5 (P0)],BB34,RZ[Úroveň 6 (P0)],BC34,RZ[Úroveň 7 (P0)],BD34,RZ[Úroveň 8 (P0)],BE34)</f>
        <v>0</v>
      </c>
      <c r="HC34" s="809">
        <f ca="1">SUMIFS(RZ[Sloupec64],RZ[0],AX34,RZ[Úroveň 2 (P0)],AY34,RZ[Úroveň 3 (P0)],AZ34,RZ[Úroveň 4 (P0)],BA34,RZ[Úroveň 5 (P0)],BB34,RZ[Úroveň 6 (P0)],BC34,RZ[Úroveň 7 (P0)],BD34,RZ[Úroveň 8 (P0)],BE34,RZ[Úroveň 9 (P0)],BF34)</f>
        <v>0</v>
      </c>
      <c r="HD34" s="809">
        <f ca="1">SUMIFS(RZ[Sloupec65],RZ[0],AX34,RZ[Úroveň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HE34" s="919">
        <f t="shared" ca="1" si="213"/>
        <v>1</v>
      </c>
      <c r="HF34" s="920" t="str">
        <f t="shared" si="214"/>
        <v/>
      </c>
      <c r="HG34" s="94" t="str">
        <f t="shared" si="215"/>
        <v/>
      </c>
      <c r="HH34" s="95" t="str">
        <f t="shared" si="216"/>
        <v/>
      </c>
      <c r="HI34" s="95" t="str">
        <f t="shared" si="217"/>
        <v>Hřídel pastorku</v>
      </c>
      <c r="HJ34" s="96" t="str">
        <f t="shared" si="218"/>
        <v/>
      </c>
      <c r="HK34" s="96" t="str">
        <f t="shared" si="219"/>
        <v/>
      </c>
      <c r="HL34" s="96" t="str">
        <f t="shared" si="220"/>
        <v/>
      </c>
      <c r="HM34" s="96" t="str">
        <f t="shared" si="221"/>
        <v/>
      </c>
      <c r="HN34" s="96" t="str">
        <f t="shared" si="222"/>
        <v/>
      </c>
      <c r="HO34" s="96" t="str">
        <f t="shared" si="223"/>
        <v/>
      </c>
      <c r="HP34" s="96" t="str">
        <f t="shared" si="224"/>
        <v/>
      </c>
      <c r="HQ34" s="145" t="str">
        <f t="shared" si="225"/>
        <v>STO1</v>
      </c>
      <c r="HR34" s="921" t="str">
        <f t="shared" si="226"/>
        <v/>
      </c>
      <c r="HS34" s="173">
        <f t="shared" si="227"/>
        <v>0</v>
      </c>
      <c r="HT34" s="100">
        <f t="shared" si="228"/>
        <v>0</v>
      </c>
      <c r="HU34" s="100">
        <f t="shared" si="229"/>
        <v>0</v>
      </c>
      <c r="HV34" s="908">
        <f t="shared" si="230"/>
        <v>0</v>
      </c>
      <c r="HW34" s="922">
        <f t="shared" si="231"/>
        <v>0</v>
      </c>
      <c r="HX34" s="224">
        <f t="shared" si="232"/>
        <v>0</v>
      </c>
      <c r="HY34" s="263" t="str">
        <f t="shared" si="233"/>
        <v>S</v>
      </c>
      <c r="HZ34" s="263">
        <f t="shared" si="234"/>
        <v>0</v>
      </c>
      <c r="IA34" s="150">
        <f t="shared" si="235"/>
        <v>1</v>
      </c>
      <c r="IB34" s="319">
        <f t="shared" si="236"/>
        <v>0</v>
      </c>
      <c r="IC34" s="923">
        <f t="shared" si="237"/>
        <v>0</v>
      </c>
      <c r="ID34" s="924" t="str">
        <f t="shared" ca="1" si="238"/>
        <v>OK</v>
      </c>
      <c r="IE34" s="201" t="str">
        <f t="shared" si="239"/>
        <v>ks</v>
      </c>
      <c r="IF34" s="145">
        <f t="shared" si="240"/>
        <v>2</v>
      </c>
      <c r="IG34" s="216">
        <f t="shared" si="241"/>
        <v>292</v>
      </c>
      <c r="IH34" s="217">
        <f t="shared" si="242"/>
        <v>1</v>
      </c>
      <c r="II34" s="224" t="str">
        <f ca="1">IF(RZ[[#This Row],[Rozhodný sloupec indikativní ceny]]=1,"kg",IF($IW34=$JL$15,IF(JX34=0,JO34,JX34),IF($IW34=$KE$15,IF(KQ34=0,KH34,KQ34),IF($IW34=$KX$15,IF(LJ34=0,LA34,LJ34),IF($IW34=$LQ$15,IF(MC34=0,LT34,MC34),IF($IW34=$MJ$15,IF(NQ34=0,NH34,NQ34),0))))))</f>
        <v>kg</v>
      </c>
      <c r="IJ34" s="224">
        <f ca="1">IF((BH34+OFFSET(BH34,1,1,1,1))=2,RZ[[#This Row],[Počet MJHR (P0)]],IF((BI34+OFFSET(BI34,1,1,1,1))=2,RZ[[#This Row],[Počet MJHR (P0)]],IF((BJ34+OFFSET(BJ34,1,1,1,1))=2,RZ[[#This Row],[Počet MJHR (P0)]],IF((BK34+OFFSET(BK34,1,1,1,1))=2,RZ[[#This Row],[Počet MJHR (P0)]],IF((BL34+OFFSET(BL34,1,1,1,1))=2,RZ[[#This Row],[Počet MJHR (P0)]],IF((BM34+OFFSET(BM34,1,1,1,1))=2,RZ[[#This Row],[Počet MJHR (P0)]],IF((BN34+OFFSET(BN34,1,1,1,1))=2,RZ[[#This Row],[Počet MJHR (P0)]],IF((BO34+OFFSET(BO34,1,1,1,1))=2,RZ[[#This Row],[Počet MJHR (P0)]],IF((BP34+OFFSET(BP34,1,1,1,1))=2,RZ[[#This Row],[Počet MJHR (P0)]],IF((BQ34+OFFSET(BQ34,1,1,1,1))=2,RZ[[#This Row],[Počet MJHR (P0)]],IF(RZ[[#This Row],[Měrná jednotka CR (MJCR) (P0)]]=RZ[[#This Row],[Měrná jednotka HR '[MJHR'] (P0)]],RZ[[#This Row],[Počet MJHR (P0)]],IF($IW34=$JL$15,JY34,IF($IW34=$KE$15,KR34,IF($IW34=$KX$15,LK34,IF($IW34=$LQ$15,MD34,IF($IW34=$MJ$15,NR34,0))))))))))))))))</f>
        <v>0</v>
      </c>
      <c r="IK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584</v>
      </c>
      <c r="IL34" s="145">
        <f ca="1">IF(AND(RZ[[#This Row],[Jednotková cena bez DPH '[cena/MJCR'] (P0)]]=0,RZ[[#This Row],[Indikativní jednotková cena '[CZK/kg'] (P1)]]&lt;&gt;0),1,0)</f>
        <v>1</v>
      </c>
      <c r="IM34" s="217">
        <f ca="1">VLOOKUP(RZ[[#This Row],[Kód položek]],INDIKAT_CENA,2,FALSE)</f>
        <v>145</v>
      </c>
      <c r="IN34" s="222">
        <f ca="1">IF(RZ[[#This Row],[Rozhodný sloupec indikativní ceny]]=1,RZ[[#This Row],[Indikativní jednotková cena '[CZK/kg'] (P1)]],RZ[[#This Row],[Jednotková cena bez DPH '[cena/MJCR'] (P0)]])</f>
        <v>145</v>
      </c>
      <c r="IO34" s="222">
        <f t="shared" si="243"/>
        <v>1</v>
      </c>
      <c r="IP34" s="224">
        <f ca="1">IF(RZ[[#This Row],[Rozhodný sloupec indikativní ceny]]=1,1,IF($IW34=$JL$15,KA34,IF($IW34=$KE$15,KT34,IF($IW34=$KX$15,LM34,IF($IW34=$LQ$15,MF34,IF($IW34=$MJ$15,NT34,0))))))</f>
        <v>1</v>
      </c>
      <c r="IQ34" s="225">
        <f ca="1">IF(RZ[[#This Row],[Jednotková cena bez DPH '[cena/MJCR'] (P1)]]="",0,IF(IP34=0,0,(RZ[[#This Row],[Jednotková cena bez DPH '[cena/MJCR'] (P1)]]*VLOOKUP(IP34,$BR$7:$BT$10,3))))</f>
        <v>145</v>
      </c>
      <c r="IR34" s="737"/>
      <c r="IS34" s="627">
        <f>IF(HY34=0,"",VLOOKUP(RZ[[#This Row],[Stav Projekce (P0)]],Vstupy!$E$11:'Vstupy'!$E$11:$H$17,4,FALSE))</f>
        <v>100</v>
      </c>
      <c r="IT34" s="925" t="str">
        <f>IF(RZ[[#This Row],[Stav Projekce (P0)]]=0,"",RZ[[#This Row],[Stav Projekce (P0)]])</f>
        <v>S</v>
      </c>
      <c r="IU34" s="925" t="str">
        <f>IF(RZ[[#This Row],[Stav Nákup (P0)]]=0,"",RZ[[#This Row],[Stav Nákup (P0)]])</f>
        <v/>
      </c>
      <c r="IV34" s="926" t="str">
        <f t="shared" si="244"/>
        <v/>
      </c>
      <c r="IW34" s="641">
        <v>1</v>
      </c>
      <c r="IX34" s="630"/>
      <c r="IY34" s="264"/>
      <c r="IZ34" s="648"/>
      <c r="JA34" s="100"/>
      <c r="JB34" s="100" t="s">
        <v>811</v>
      </c>
      <c r="JC34" s="100"/>
      <c r="JD34" s="100"/>
      <c r="JE34" s="100"/>
      <c r="JF34" s="100"/>
      <c r="JG34" s="100"/>
      <c r="JH34" s="100"/>
      <c r="JI34" s="100"/>
      <c r="JJ34" s="145" t="s">
        <v>829</v>
      </c>
      <c r="JK34" s="529"/>
      <c r="JL34" s="286"/>
      <c r="JM34" s="100"/>
      <c r="JN34" s="100"/>
      <c r="JO34" s="145" t="s">
        <v>35</v>
      </c>
      <c r="JP34" s="117">
        <v>2</v>
      </c>
      <c r="JQ34" s="117">
        <v>292</v>
      </c>
      <c r="JR34" s="148">
        <v>1</v>
      </c>
      <c r="JS34" s="145" t="s">
        <v>602</v>
      </c>
      <c r="JT34" s="631"/>
      <c r="JU34" s="148"/>
      <c r="JV34" s="154"/>
      <c r="JW34" s="145"/>
      <c r="JX34" s="210"/>
      <c r="JY34" s="117"/>
      <c r="JZ34" s="662"/>
      <c r="KA34" s="145"/>
      <c r="KB34" s="148"/>
      <c r="KC34" s="148"/>
      <c r="KD34" s="644"/>
      <c r="KE34" s="286"/>
      <c r="KF34" s="100"/>
      <c r="KG34" s="100"/>
      <c r="KH34" s="210"/>
      <c r="KI34" s="117"/>
      <c r="KJ34" s="117"/>
      <c r="KK34" s="148"/>
      <c r="KL34" s="145"/>
      <c r="KM34" s="632"/>
      <c r="KN34" s="148"/>
      <c r="KO34" s="154"/>
      <c r="KP34" s="154"/>
      <c r="KQ34" s="210"/>
      <c r="KR34" s="117"/>
      <c r="KS34" s="211"/>
      <c r="KT34" s="145"/>
      <c r="KU34" s="148"/>
      <c r="KV34" s="148"/>
      <c r="KW34" s="265"/>
      <c r="KX34" s="286"/>
      <c r="KY34" s="100"/>
      <c r="KZ34" s="100"/>
      <c r="LA34" s="210"/>
      <c r="LB34" s="117"/>
      <c r="LC34" s="117"/>
      <c r="LD34" s="148"/>
      <c r="LE34" s="145"/>
      <c r="LF34" s="632"/>
      <c r="LG34" s="148"/>
      <c r="LH34" s="154"/>
      <c r="LI34" s="154"/>
      <c r="LJ34" s="154"/>
      <c r="LK34" s="117"/>
      <c r="LL34" s="211"/>
      <c r="LM34" s="210"/>
      <c r="LN34" s="148"/>
      <c r="LO34" s="148"/>
      <c r="LP34" s="265"/>
      <c r="LQ34" s="286"/>
      <c r="LR34" s="100"/>
      <c r="LS34" s="100"/>
      <c r="LT34" s="210"/>
      <c r="LU34" s="117"/>
      <c r="LV34" s="117"/>
      <c r="LW34" s="148"/>
      <c r="LX34" s="145"/>
      <c r="LY34" s="632"/>
      <c r="LZ34" s="148"/>
      <c r="MA34" s="154"/>
      <c r="MB34" s="154"/>
      <c r="MC34" s="145"/>
      <c r="MD34" s="117"/>
      <c r="ME34" s="211"/>
      <c r="MF34" s="210"/>
      <c r="MG34" s="148"/>
      <c r="MH34" s="148"/>
      <c r="MI34" s="265"/>
      <c r="MJ34" s="647"/>
      <c r="MK34" s="264"/>
      <c r="ML34" s="153"/>
      <c r="MM34" s="153"/>
      <c r="MN34" s="153"/>
      <c r="MO34" s="153"/>
      <c r="MP34" s="153"/>
      <c r="MQ34" s="153"/>
      <c r="MR34" s="153"/>
      <c r="MS34" s="99"/>
      <c r="MT34" s="99"/>
      <c r="MU34" s="99"/>
      <c r="MV34" s="99"/>
      <c r="MW34" s="99"/>
      <c r="MX34" s="99"/>
      <c r="MY34" s="153"/>
      <c r="MZ34" s="153"/>
      <c r="NA34" s="153"/>
      <c r="NB34" s="153"/>
      <c r="NC34" s="153"/>
      <c r="ND34" s="153"/>
      <c r="NE34" s="148"/>
      <c r="NF34" s="153"/>
      <c r="NG34" s="153"/>
      <c r="NH34" s="330" t="str">
        <f t="shared" si="245"/>
        <v>ks</v>
      </c>
      <c r="NI34" s="797">
        <f>RZ[[#This Row],[Počet ks (K)]]</f>
        <v>0</v>
      </c>
      <c r="NJ34" s="798">
        <f>RZ[[#This Row],[Hmotnost '[kg/ks'] (K)]]</f>
        <v>0</v>
      </c>
      <c r="NK34" s="148"/>
      <c r="NL34" s="145"/>
      <c r="NM34" s="632"/>
      <c r="NN34" s="148"/>
      <c r="NO34" s="154"/>
      <c r="NP34" s="153"/>
      <c r="NQ34" s="153"/>
      <c r="NR34" s="210"/>
      <c r="NS34" s="148"/>
      <c r="NT34" s="210"/>
      <c r="NU34" s="148"/>
      <c r="NV34" s="148"/>
      <c r="NW34" s="175"/>
    </row>
    <row r="35" spans="2:387" ht="15.95" customHeight="1" x14ac:dyDescent="0.35">
      <c r="B35" s="118" t="str">
        <f t="shared" si="129"/>
        <v/>
      </c>
      <c r="C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5" s="262" t="str">
        <f t="shared" si="130"/>
        <v xml:space="preserve">    Pastorek s cévovým ozubením</v>
      </c>
      <c r="E35" s="120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Row],[Kód položek (P2)]]))))))))))</f>
        <v>STO1</v>
      </c>
      <c r="F35" s="791" t="str">
        <f t="shared" si="131"/>
        <v>N/A</v>
      </c>
      <c r="G35" s="792" t="str">
        <f t="shared" si="132"/>
        <v/>
      </c>
      <c r="H35" s="262" t="str">
        <f t="shared" si="133"/>
        <v/>
      </c>
      <c r="I35" s="123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HR '[MJHR'] (P0)]]))))))))))</f>
        <v>ks</v>
      </c>
      <c r="J35" s="123">
        <f t="shared" si="134"/>
        <v>2</v>
      </c>
      <c r="K35" s="793">
        <f>RZ[[#This Row],[Koeficient odhadu HR '[-'] (P1)]]</f>
        <v>1</v>
      </c>
      <c r="L35" s="124">
        <f ca="1">RZ[[#This Row],[Jednotková hmotnost s koef. '[kg/MJHR'] (P0)]]</f>
        <v>455</v>
      </c>
      <c r="M35" s="794">
        <f t="shared" ca="1" si="135"/>
        <v>0</v>
      </c>
      <c r="N35" s="125">
        <f t="shared" ca="1" si="136"/>
        <v>910</v>
      </c>
      <c r="O35" s="125">
        <f t="shared" ca="1" si="137"/>
        <v>0</v>
      </c>
      <c r="P35" s="126" t="str">
        <f t="shared" si="138"/>
        <v/>
      </c>
      <c r="Q35" s="795">
        <f ca="1">RZ[[#This Row],[Počet MJHR v rozpadu (P0)]]</f>
        <v>2</v>
      </c>
      <c r="R35" s="439" t="str">
        <f t="shared" si="139"/>
        <v/>
      </c>
      <c r="S35" s="129" t="str">
        <f t="shared" si="140"/>
        <v/>
      </c>
      <c r="T35" s="126" t="str">
        <f t="shared" si="141"/>
        <v/>
      </c>
      <c r="U35" s="126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CR (MJCR) (P0)]]))))))))))</f>
        <v>kg</v>
      </c>
      <c r="V35" s="575">
        <f t="shared" ca="1" si="142"/>
        <v>910</v>
      </c>
      <c r="W35" s="322">
        <f>RZ[[#This Row],[Koeficient odhadu CR '[-'] (P1)]]</f>
        <v>1</v>
      </c>
      <c r="X35" s="440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Row],[Jednotková cena bez DPH '[cena/MJCR'] (P1)]]*RZ[[#This Row],[Koeficient odhadu CR '[-']]]))))))))))</f>
        <v>145</v>
      </c>
      <c r="Y35" s="440">
        <f t="shared" ca="1" si="143"/>
        <v>0</v>
      </c>
      <c r="Z35" s="142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VLOOKUP(IP35,$BR$7:$BS$11,2,FALSE)))))))))))</f>
        <v>CZK</v>
      </c>
      <c r="AA35" s="909">
        <f t="shared" ca="1" si="144"/>
        <v>910</v>
      </c>
      <c r="AB35" s="910">
        <f ca="1">RZ[[#This Row],[Kumulovaný koeficient v rozpadu (P0)]]</f>
        <v>1</v>
      </c>
      <c r="AC35" s="261"/>
      <c r="AD35" s="796">
        <f ca="1">RZ[[#This Row],[Jednotková cena bez DPH '[cena/MJCR'] s koef. (P0)]]/RZ[[#This Row],[Koeficient odhadu CR '[-']]]*RZ[[#This Row],[Kumulovaný koeficient odhadu CR  '[-']]]</f>
        <v>145</v>
      </c>
      <c r="AE35" s="796">
        <f t="shared" ca="1" si="145"/>
        <v>131950</v>
      </c>
      <c r="AF35" s="796">
        <f ca="1">-IF(ISNUMBER(AA35),RZ[[#This Row],[Celková cena bez DPH (1)]]-RZ[[#This Row],[Jednotková cena bez DPH '[cena/MJCR'] bez koef. (P0)]]*AA35,0)</f>
        <v>0</v>
      </c>
      <c r="AG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5" s="261"/>
      <c r="AI35" s="796">
        <f t="shared" ca="1" si="146"/>
        <v>5.3703703703703702</v>
      </c>
      <c r="AJ35" s="796">
        <f t="shared" ca="1" si="147"/>
        <v>4887.0370370370374</v>
      </c>
      <c r="AK35" s="796">
        <f t="shared" ca="1" si="148"/>
        <v>0</v>
      </c>
      <c r="AL35" s="753">
        <f ca="1">RZ[[#This Row],[Kilogramová cena bez DPH '[cena/kg'] (1)]]/$AK$13</f>
        <v>5.3703703703703702</v>
      </c>
      <c r="AM35" s="261"/>
      <c r="AN35" s="796">
        <f t="shared" ca="1" si="149"/>
        <v>7.0048309178743962</v>
      </c>
      <c r="AO35" s="796">
        <f t="shared" ca="1" si="150"/>
        <v>6374.3961352657007</v>
      </c>
      <c r="AP35" s="796">
        <f t="shared" ca="1" si="151"/>
        <v>0</v>
      </c>
      <c r="AQ35" s="753">
        <f ca="1">RZ[[#This Row],[Kilogramová cena bez DPH '[cena/kg'] (1)]]/$AP$13</f>
        <v>7.0048309178743962</v>
      </c>
      <c r="AR35" s="261"/>
      <c r="AS35" s="796">
        <f t="shared" ca="1" si="152"/>
        <v>3.9660831509846823</v>
      </c>
      <c r="AT35" s="796">
        <f t="shared" ca="1" si="153"/>
        <v>3609.1356673960609</v>
      </c>
      <c r="AU35" s="789">
        <f t="shared" ca="1" si="154"/>
        <v>0</v>
      </c>
      <c r="AV35" s="767">
        <f ca="1">RZ[[#This Row],[Kilogramová cena bez DPH '[cena/kg'] (1)]]/$AU$13</f>
        <v>3.9660831509846823</v>
      </c>
      <c r="AW35" s="165"/>
      <c r="AX35" s="911">
        <f t="shared" ca="1" si="155"/>
        <v>2</v>
      </c>
      <c r="AY35" s="111">
        <f t="shared" ca="1" si="156"/>
        <v>1</v>
      </c>
      <c r="AZ35" s="111">
        <f t="shared" ca="1" si="157"/>
        <v>12</v>
      </c>
      <c r="BA35" s="111">
        <f t="shared" ca="1" si="158"/>
        <v>0</v>
      </c>
      <c r="BB35" s="111">
        <f t="shared" ca="1" si="159"/>
        <v>0</v>
      </c>
      <c r="BC35" s="111">
        <f t="shared" ca="1" si="160"/>
        <v>0</v>
      </c>
      <c r="BD35" s="111">
        <f t="shared" ca="1" si="161"/>
        <v>0</v>
      </c>
      <c r="BE35" s="111">
        <f t="shared" ca="1" si="162"/>
        <v>0</v>
      </c>
      <c r="BF35" s="111">
        <f t="shared" ca="1" si="163"/>
        <v>0</v>
      </c>
      <c r="BG35" s="112">
        <f t="shared" ca="1" si="164"/>
        <v>0</v>
      </c>
      <c r="BH35" s="911">
        <f t="shared" si="165"/>
        <v>0</v>
      </c>
      <c r="BI35" s="111">
        <f t="shared" si="166"/>
        <v>0</v>
      </c>
      <c r="BJ35" s="111">
        <f t="shared" si="167"/>
        <v>1</v>
      </c>
      <c r="BK35" s="111">
        <f t="shared" si="168"/>
        <v>0</v>
      </c>
      <c r="BL35" s="111">
        <f t="shared" si="169"/>
        <v>0</v>
      </c>
      <c r="BM35" s="111">
        <f t="shared" si="170"/>
        <v>0</v>
      </c>
      <c r="BN35" s="111">
        <f t="shared" si="171"/>
        <v>0</v>
      </c>
      <c r="BO35" s="111">
        <f t="shared" si="172"/>
        <v>0</v>
      </c>
      <c r="BP35" s="111">
        <f t="shared" si="173"/>
        <v>0</v>
      </c>
      <c r="BQ35" s="112">
        <f t="shared" si="174"/>
        <v>0</v>
      </c>
      <c r="BR35" s="132">
        <f ca="1">IF(OFFSET(AY35,1,0,1,1)&lt;&gt;0,RZ[[#This Row],[Koeficient odhadu HR '[-'] (P1)]]*$BH35*SUMIFS(RZ[Úroveň 2 s koef. (P2)],RZ[0],AX35),RZ[[#This Row],[Koeficient odhadu HR '[-'] (P1)]]*$BH35*$IG35)</f>
        <v>0</v>
      </c>
      <c r="BS35" s="186">
        <f ca="1">IF(OFFSET(AY35,1,0,1,1)&lt;&gt;0,$BH35*SUMIFS(RZ[Úroveň 2 bez koef. (P2)],RZ[0],AX35),$BH35*$IG35)</f>
        <v>0</v>
      </c>
      <c r="BT35" s="138">
        <f ca="1">RZ[[#This Row],[Úroveň 2 s koef. (P2a)]]*RZ[[#This Row],[Počet MJHR (P0)]]</f>
        <v>0</v>
      </c>
      <c r="BU35" s="138">
        <f ca="1">RZ[[#This Row],[Úroveň 2 bez koef. (P2a)]]*RZ[[#This Row],[Počet MJHR (P0)]]</f>
        <v>0</v>
      </c>
      <c r="BV35" s="138">
        <f ca="1">IF(OFFSET(AZ35,1,0,1,1)&lt;&gt;0,RZ[[#This Row],[Koeficient odhadu HR '[-'] (P1)]]*$BI35*SUMIFS(RZ[Úroveň 3 s koef. (P2)],RZ[0],AX35,RZ[Úroveň 2 (P0)],AY35),RZ[[#This Row],[Koeficient odhadu HR '[-'] (P1)]]*$BI35*$IG35)</f>
        <v>0</v>
      </c>
      <c r="BW35" s="138">
        <f ca="1">IF(OFFSET(AZ35,1,0,1,1)&lt;&gt;0,$BI35*SUMIFS(RZ[Úroveň 3 bez koef. (P2)],RZ[0],AX35,RZ[Úroveň 2 (P0)],AY35),$BI35*$IG35)</f>
        <v>0</v>
      </c>
      <c r="BX35" s="132">
        <f ca="1">RZ[[#This Row],[Úroveň 3 s koef. (P2a)]]*RZ[[#This Row],[Počet MJHR (P0)]]</f>
        <v>910</v>
      </c>
      <c r="BY35" s="132">
        <f ca="1">RZ[Úroveň 3 bez koef. (P2a)]*RZ[[#This Row],[Počet MJHR (P0)]]</f>
        <v>910</v>
      </c>
      <c r="BZ35" s="132">
        <f ca="1">IF(OFFSET(BA35,1,0,1,1)&lt;&gt;0,RZ[[#This Row],[Koeficient odhadu HR '[-'] (P1)]]*$BJ35*SUMIFS(RZ[Úroveň 4 s koef. (P2)],RZ[0],AX35,RZ[Úroveň 2 (P0)],AY35,RZ[Úroveň 3 (P0)],AZ35),RZ[[#This Row],[Koeficient odhadu HR '[-'] (P1)]]*$BJ35*$IG35)</f>
        <v>455</v>
      </c>
      <c r="CA35" s="132">
        <f ca="1">IF(OFFSET(BA35,1,0,1,1)&lt;&gt;0,$BJ35*SUMIFS(RZ[Úroveň 4 bez koef. (P2)],RZ[0],AX35,RZ[Úroveň 2 (P0)],AY35,RZ[Úroveň 3 (P0)],AZ35),$BJ35*$IG35)</f>
        <v>455</v>
      </c>
      <c r="CB35" s="138">
        <f ca="1">RZ[[#This Row],[Úroveň 4 s koef. (P2a)]]*RZ[[#This Row],[Počet MJHR (P0)]]</f>
        <v>0</v>
      </c>
      <c r="CC35" s="138">
        <f ca="1">RZ[Úroveň 4 bez koef. (P2a)]*RZ[[#This Row],[Počet MJHR (P0)]]</f>
        <v>0</v>
      </c>
      <c r="CD35" s="138">
        <f ca="1">IF(OFFSET(BB35,1,0,1,1)&lt;&gt;0,RZ[[#This Row],[Koeficient odhadu HR '[-'] (P1)]]*$BK35*SUMIFS(RZ[Úroveň 5 s koef. (P2)],RZ[0],AX35,RZ[Úroveň 2 (P0)],AY35,RZ[Úroveň 3 (P0)],AZ35,RZ[Úroveň 4 (P0)],BA35),RZ[[#This Row],[Koeficient odhadu HR '[-'] (P1)]]*$BK35*$IG35)</f>
        <v>0</v>
      </c>
      <c r="CE35" s="138">
        <f ca="1">IF(OFFSET(BB35,1,0,1,1)&lt;&gt;0,$BK35*SUMIFS(RZ[Úroveň 5 bez koef. (P2)],RZ[0],AX35,RZ[Úroveň 2 (P0)],AY35,RZ[Úroveň 3 (P0)],AZ35,RZ[Úroveň 4 (P0)],BA35),$BK35*$IG35)</f>
        <v>0</v>
      </c>
      <c r="CF35" s="132">
        <f ca="1">RZ[[#This Row],[Úroveň 5 s koef. (P2a)]]*RZ[[#This Row],[Počet MJHR (P0)]]</f>
        <v>0</v>
      </c>
      <c r="CG35" s="132">
        <f ca="1">RZ[Úroveň 5 bez koef. (P2a)]*RZ[[#This Row],[Počet MJHR (P0)]]</f>
        <v>0</v>
      </c>
      <c r="CH35" s="132">
        <f ca="1">IF(OFFSET(BC35,1,0,1,1)&lt;&gt;0,RZ[[#This Row],[Koeficient odhadu HR '[-'] (P1)]]*$BL35*SUMIFS(RZ[Úroveň 6 s koef. (P2)],RZ[0],AX35,RZ[Úroveň 2 (P0)],AY35,RZ[Úroveň 3 (P0)],AZ35,RZ[Úroveň 4 (P0)],BA35,RZ[Úroveň 5 (P0)],BB35),RZ[[#This Row],[Koeficient odhadu HR '[-'] (P1)]]*$BL35*$IG35)</f>
        <v>0</v>
      </c>
      <c r="CI35" s="132">
        <f ca="1">IF(OFFSET(BC35,1,0,1,1)&lt;&gt;0,$BL35*SUMIFS(RZ[Úroveň 6 bez koef. (P2)],RZ[0],AX35,RZ[Úroveň 2 (P0)],AY35,RZ[Úroveň 3 (P0)],AZ35,RZ[Úroveň 4 (P0)],BA35,RZ[Úroveň 5 (P0)],BB35),$BL35*$IG35)</f>
        <v>0</v>
      </c>
      <c r="CJ35" s="138">
        <f ca="1">RZ[[#This Row],[Úroveň 6 s koef. (P2a)]]*RZ[[#This Row],[Počet MJHR (P0)]]</f>
        <v>0</v>
      </c>
      <c r="CK35" s="138">
        <f ca="1">RZ[Úroveň 6 bez koef. (P2a)]*RZ[[#This Row],[Počet MJHR (P0)]]</f>
        <v>0</v>
      </c>
      <c r="CL35" s="138">
        <f ca="1">IF(OFFSET(BD35,1,0,1,1)&lt;&gt;0,RZ[[#This Row],[Koeficient odhadu HR '[-'] (P1)]]*$BM35*SUMIFS(RZ[Úroveň 7 s koef. (P2)],RZ[0],AX35,RZ[Úroveň 2 (P0)],AY35,RZ[Úroveň 3 (P0)],AZ35,RZ[Úroveň 4 (P0)],BA35,RZ[Úroveň 5 (P0)],BB35,RZ[Úroveň 6 (P0)],BC35),RZ[[#This Row],[Koeficient odhadu HR '[-'] (P1)]]*$BM35*$IG35)</f>
        <v>0</v>
      </c>
      <c r="CM35" s="138">
        <f ca="1">IF(OFFSET(BD35,1,0,1,1)&lt;&gt;0,$BM35*SUMIFS(RZ[Úroveň 7 bez koef. (P2)],RZ[0],AX35,RZ[Úroveň 2 (P0)],AY35,RZ[Úroveň 3 (P0)],AZ35,RZ[Úroveň 4 (P0)],BA35,RZ[Úroveň 5 (P0)],BB35,RZ[Úroveň 6 (P0)],BC35),$BM35*$IG35)</f>
        <v>0</v>
      </c>
      <c r="CN35" s="132">
        <f ca="1">RZ[[#This Row],[Úroveň 7 s koef. (P2a)]]*RZ[[#This Row],[Počet MJHR (P0)]]</f>
        <v>0</v>
      </c>
      <c r="CO35" s="132">
        <f ca="1">RZ[Úroveň 7 bez koef. (P2a)]*RZ[[#This Row],[Počet MJHR (P0)]]</f>
        <v>0</v>
      </c>
      <c r="CP35" s="132">
        <f ca="1">IF(OFFSET(BE35,1,0,1,1)&lt;&gt;0,RZ[[#This Row],[Koeficient odhadu HR '[-'] (P1)]]*$BN35*SUMIFS(RZ[Úroveň 8 s koef. (P2)],RZ[0],AX35,RZ[Úroveň 2 (P0)],AY35,RZ[Úroveň 3 (P0)],AZ35,RZ[Úroveň 4 (P0)],BA35,RZ[Úroveň 5 (P0)],BB35,RZ[Úroveň 6 (P0)],BC35,RZ[Úroveň 7 (P0)],BD35),RZ[[#This Row],[Koeficient odhadu HR '[-'] (P1)]]*$BN35*$IG35)</f>
        <v>0</v>
      </c>
      <c r="CQ35" s="132">
        <f ca="1">IF(OFFSET(BE35,1,0,1,1)&lt;&gt;0,$BN35*SUMIFS(RZ[Úroveň 8 bez koef. (P2)],RZ[0],AX35,RZ[Úroveň 2 (P0)],AY35,RZ[Úroveň 3 (P0)],AZ35,RZ[Úroveň 4 (P0)],BA35,RZ[Úroveň 5 (P0)],BB35,RZ[Úroveň 6 (P0)],BC35,RZ[Úroveň 7 (P0)],BD35),$BN35*$IG35)</f>
        <v>0</v>
      </c>
      <c r="CR35" s="138">
        <f ca="1">RZ[[#This Row],[Úroveň 8 s koef. (P2a)]]*RZ[[#This Row],[Počet MJHR (P0)]]</f>
        <v>0</v>
      </c>
      <c r="CS35" s="138">
        <f ca="1">RZ[Úroveň 8 bez koef. (P2a)]*RZ[[#This Row],[Počet MJHR (P0)]]</f>
        <v>0</v>
      </c>
      <c r="CT35" s="138">
        <f ca="1">IF(OFFSET(BF35,1,0,1,1)&lt;&gt;0,RZ[[#This Row],[Koeficient odhadu HR '[-'] (P1)]]*$BO35*SUMIFS(RZ[Úroveň 9 s koef. (P2)],RZ[0],AX35,RZ[Úroveň 2 (P0)],AY35,RZ[Úroveň 3 (P0)],AZ35,RZ[Úroveň 4 (P0)],BA35,RZ[Úroveň 5 (P0)],BB35,RZ[Úroveň 6 (P0)],BC35,RZ[Úroveň 7 (P0)],BD35,RZ[Úroveň 8 (P0)],BE35),RZ[[#This Row],[Koeficient odhadu HR '[-'] (P1)]]*$BO35*$IG35)</f>
        <v>0</v>
      </c>
      <c r="CU35" s="138">
        <f ca="1">IF(OFFSET(BF35,1,0,1,1)&lt;&gt;0,$BO35*SUMIFS(RZ[Úroveň 9 bez koef. (P2)],RZ[0],AX35,RZ[Úroveň 2 (P0)],AY35,RZ[Úroveň 3 (P0)],AZ35,RZ[Úroveň 4 (P0)],BA35,RZ[Úroveň 5 (P0)],BB35,RZ[Úroveň 6 (P0)],BC35,RZ[Úroveň 7 (P0)],BD35,RZ[Úroveň 8 (P0)],BE35),$BO35*$IG35)</f>
        <v>0</v>
      </c>
      <c r="CV35" s="132">
        <f ca="1">RZ[[#This Row],[Úroveň 9 s koef. (P2a)]]*RZ[[#This Row],[Počet MJHR (P0)]]</f>
        <v>0</v>
      </c>
      <c r="CW35" s="132">
        <f ca="1">RZ[Úroveň 9 bez koef. (P2a)]*RZ[[#This Row],[Počet MJHR (P0)]]</f>
        <v>0</v>
      </c>
      <c r="CX35" s="132">
        <f ca="1">IF(OFFSET(BG35,1,0,1,1)&lt;&gt;0,RZ[[#This Row],[Koeficient odhadu HR '[-'] (P1)]]*$BP35*SUMIFS(RZ[Úroveň 10 s koef. (P2)],RZ[0],AX35,RZ[Úroveň 2 (P0)],AY35,RZ[Úroveň 3 (P0)],AZ35,RZ[Úroveň 4 (P0)],BA35,RZ[Úroveň 5 (P0)],BB35,RZ[Úroveň 6 (P0)],BC35,RZ[Úroveň 7 (P0)],BD35,RZ[Úroveň 8 (P0)],BE35,RZ[Úroveň 9 (P0)],BF35),RZ[[#This Row],[Koeficient odhadu HR '[-'] (P1)]]*$BP35*$IG35)</f>
        <v>0</v>
      </c>
      <c r="CY35" s="132">
        <f ca="1">IF(OFFSET(BG35,1,0,1,1)&lt;&gt;0,$BP35*SUMIFS(RZ[Úroveň 10 bez koef. (P2)],RZ[0],AX35,RZ[Úroveň 2 (P0)],AY35,RZ[Úroveň 3 (P0)],AZ35,RZ[Úroveň 4 (P0)],BA35,RZ[Úroveň 5 (P0)],BB35,RZ[Úroveň 6 (P0)],BC35,RZ[Úroveň 7 (P0)],BD35,RZ[Úroveň 8 (P0)],BE35,RZ[Úroveň 9 (P0)],BF35),$BP35*$IG35)</f>
        <v>0</v>
      </c>
      <c r="CZ35" s="138">
        <f>RZ[[#This Row],[Úroveň 10 s koef. (P2a)]]*RZ[[#This Row],[Počet MJHR (P0)]]</f>
        <v>0</v>
      </c>
      <c r="DA35" s="138">
        <f>RZ[Úroveň 10 bez koef. (P2a)]*RZ[[#This Row],[Počet MJHR (P0)]]</f>
        <v>0</v>
      </c>
      <c r="DB35" s="138">
        <f>RZ[[#This Row],[Koeficient odhadu HR '[-'] (P1)]]*$BQ35*IG35</f>
        <v>0</v>
      </c>
      <c r="DC35" s="231">
        <f t="shared" si="175"/>
        <v>0</v>
      </c>
      <c r="DD35" s="241">
        <f t="shared" ca="1" si="176"/>
        <v>455</v>
      </c>
      <c r="DE35" s="229">
        <f t="shared" ca="1" si="177"/>
        <v>455</v>
      </c>
      <c r="DF35" s="912">
        <f t="shared" si="178"/>
        <v>0</v>
      </c>
      <c r="DG35" s="913">
        <f t="shared" si="179"/>
        <v>0</v>
      </c>
      <c r="DH35" s="913">
        <f t="shared" si="180"/>
        <v>2</v>
      </c>
      <c r="DI35" s="913">
        <f t="shared" si="181"/>
        <v>0</v>
      </c>
      <c r="DJ35" s="913">
        <f t="shared" si="182"/>
        <v>0</v>
      </c>
      <c r="DK35" s="913">
        <f t="shared" si="183"/>
        <v>0</v>
      </c>
      <c r="DL35" s="913">
        <f t="shared" si="184"/>
        <v>0</v>
      </c>
      <c r="DM35" s="913">
        <f t="shared" si="185"/>
        <v>0</v>
      </c>
      <c r="DN35" s="913">
        <f t="shared" si="186"/>
        <v>0</v>
      </c>
      <c r="DO35" s="913">
        <f t="shared" si="187"/>
        <v>0</v>
      </c>
      <c r="DP35" s="914">
        <f ca="1">SUMIFS(RZ[Úroveň 1 (P4)],RZ[0],AX35)</f>
        <v>1</v>
      </c>
      <c r="DQ35" s="914">
        <f ca="1">SUMIFS(RZ[Úroveň 2 (P4)],RZ[0],AX35,RZ[Úroveň 2 (P0)],AY35)</f>
        <v>1</v>
      </c>
      <c r="DR35" s="914">
        <f ca="1">SUMIFS(RZ[Úroveň 3 (P4)],RZ[0],AX35,RZ[Úroveň 2 (P0)],AY35,RZ[Úroveň 3 (P0)],AZ35)</f>
        <v>2</v>
      </c>
      <c r="DS35" s="914">
        <f ca="1">SUMIFS(RZ[Úroveň 4 (P4)],RZ[0],AX35,RZ[Úroveň 2 (P0)],AY35,RZ[Úroveň 3 (P0)],AZ35,RZ[Úroveň 4 (P0)],BA35)</f>
        <v>0</v>
      </c>
      <c r="DT35" s="914">
        <f ca="1">SUMIFS(RZ[Úroveň 5 (P4)],RZ[0],AX35,RZ[Úroveň 2 (P0)],AY35,RZ[Úroveň 3 (P0)],AZ35,RZ[Úroveň 4 (P0)],BA35,RZ[Úroveň 5 (P0)],BB35)</f>
        <v>0</v>
      </c>
      <c r="DU35" s="914">
        <f ca="1">SUMIFS(RZ[Úroveň 6 (P4)],RZ[0],AX35,RZ[Úroveň 2 (P0)],AY35,RZ[Úroveň 3 (P0)],AZ35,RZ[Úroveň 4 (P0)],BA35,RZ[Úroveň 5 (P0)],BB35,RZ[Úroveň 6 (P0)],BC35)</f>
        <v>0</v>
      </c>
      <c r="DV35" s="914">
        <f ca="1">SUMIFS(RZ[Úroveň 7 (P4)],RZ[0],AX35,RZ[Úroveň 2 (P0)],AY35,RZ[Úroveň 3 (P0)],AZ35,RZ[Úroveň 4 (P0)],BA35,RZ[Úroveň 5 (P0)],BB35,RZ[Úroveň 6 (P0)],BC35,RZ[Úroveň 7 (P0)],BD35)</f>
        <v>0</v>
      </c>
      <c r="DW35" s="914">
        <f ca="1">SUMIFS(RZ[Úroveň 8 (P4)],RZ[0],AX35,RZ[Úroveň 2 (P0)],AY35,RZ[Úroveň 3 (P0)],AZ35,RZ[Úroveň 4 (P0)],BA35,RZ[Úroveň 5 (P0)],BB35,RZ[Úroveň 6 (P0)],BC35,RZ[Úroveň 7 (P0)],BD35,RZ[Úroveň 8 (P0)],BE35)</f>
        <v>0</v>
      </c>
      <c r="DX35" s="914">
        <f ca="1">SUMIFS(RZ[Úroveň 9 (P4)],RZ[0],AX35,RZ[Úroveň 2 (P0)],AY35,RZ[Úroveň 3 (P0)],AZ35,RZ[Úroveň 4 (P0)],BA35,RZ[Úroveň 5 (P0)],BB35,RZ[Úroveň 6 (P0)],BC35,RZ[Úroveň 7 (P0)],BD35,RZ[Úroveň 8 (P0)],BE35,RZ[Úroveň 9 (P0)],BF35)</f>
        <v>0</v>
      </c>
      <c r="DY35" s="914">
        <f ca="1">SUMIFS(RZ[Úroveň 10 (P4)],RZ[0],AX35,RZ[Úroveň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DZ35" s="915">
        <f t="shared" ca="1" si="188"/>
        <v>2</v>
      </c>
      <c r="EA35" s="916">
        <f ca="1">RZ[[#This Row],[Jednotková hmotnost bez koef. '[kg/MJHR'] (P0)]]*RZ[[#This Row],[Počet MJHR v rozpadu (P0)]]</f>
        <v>910</v>
      </c>
      <c r="EB35" s="917">
        <f ca="1">IF(OFFSET(AY35,1,0,1,1)&lt;&gt;0,RZ[[#This Row],[Koeficient odhadu CR '[-'] (P1)]]*$BH35*SUMIFS(RZ[Úroveň 2 s koef. (P3)],RZ[0],AX35),RZ[[#This Row],[Koeficient odhadu CR '[-'] (P1)]]*$BH35*$IQ35)</f>
        <v>0</v>
      </c>
      <c r="EC35" s="191">
        <f ca="1">IF(OFFSET(AY35,1,0,1,1)&lt;&gt;0,$BH35*SUMIFS(RZ[Úroveň 2 bez koef. (P3)],RZ[0],AX35),$BH35*$IQ35)</f>
        <v>0</v>
      </c>
      <c r="ED35" s="140">
        <f ca="1">RZ[[#This Row],[Úroveň 2 s koef. (P3a)]]*RZ[[#This Row],[Počet MJCR (P0) pro "kg"]]</f>
        <v>0</v>
      </c>
      <c r="EE35" s="140">
        <f ca="1">RZ[Úroveň 2 bez koef. (P3a)]*RZ[[#This Row],[Počet MJCR (P0) pro "kg"]]</f>
        <v>0</v>
      </c>
      <c r="EF35" s="140">
        <f ca="1">IF(OFFSET(AZ35,1,0,1,1)&lt;&gt;0,RZ[[#This Row],[Koeficient odhadu CR '[-'] (P1)]]*$BI35*SUMIFS(RZ[Úroveň 3 s koef. (P3)],RZ[0],AX35,RZ[Úroveň 2 (P0)],AY35),RZ[[#This Row],[Koeficient odhadu CR '[-'] (P1)]]*$BI35*$IQ35)</f>
        <v>0</v>
      </c>
      <c r="EG35" s="140">
        <f ca="1">IF(OFFSET(AZ35,1,0,1,1)&lt;&gt;0,$BI35*SUMIFS(RZ[Úroveň 3 bez koef. (P3)],RZ[0],AX35,RZ[Úroveň 2 (P0)],AY35),$BI35*$IQ35)</f>
        <v>0</v>
      </c>
      <c r="EH35" s="135">
        <f ca="1">RZ[[#This Row],[Úroveň 3 s koef. (P3a)]]*RZ[[#This Row],[Počet MJCR (P0) pro "kg"]]</f>
        <v>131950</v>
      </c>
      <c r="EI35" s="135">
        <f ca="1">RZ[Úroveň 3 bez koef. (P3a)]*RZ[[#This Row],[Počet MJCR (P0) pro "kg"]]</f>
        <v>131950</v>
      </c>
      <c r="EJ35" s="135">
        <f ca="1">IF(OFFSET(BA35,1,0,1,1)&lt;&gt;0,RZ[[#This Row],[Koeficient odhadu CR '[-'] (P1)]]*$BJ35*SUMIFS(RZ[Úroveň 4 s koef. (P3)],RZ[0],AX35,RZ[Úroveň 2 (P0)],AY35,RZ[Úroveň 3 (P0)],AZ35),RZ[[#This Row],[Koeficient odhadu CR '[-'] (P1)]]*$BJ35*$IQ35)</f>
        <v>145</v>
      </c>
      <c r="EK35" s="135">
        <f ca="1">IF(OFFSET(BA35,1,0,1,1)&lt;&gt;0,$BJ35*SUMIFS(RZ[Úroveň 4 bez koef. (P3)],RZ[0],AX35,RZ[Úroveň 2 (P0)],AY35,RZ[Úroveň 3 (P0)],AZ35),$BJ35*$IQ35)</f>
        <v>145</v>
      </c>
      <c r="EL35" s="140">
        <f ca="1">RZ[[#This Row],[Úroveň 4 s koef. (P3a)]]*RZ[[#This Row],[Počet MJCR (P0) pro "kg"]]</f>
        <v>0</v>
      </c>
      <c r="EM35" s="140">
        <f ca="1">RZ[Úroveň 4 bez koef. (P3a)]*RZ[[#This Row],[Počet MJCR (P0) pro "kg"]]</f>
        <v>0</v>
      </c>
      <c r="EN35" s="140">
        <f ca="1">IF(OFFSET(BB35,1,0,1,1)&lt;&gt;0,RZ[[#This Row],[Koeficient odhadu CR '[-'] (P1)]]*$BK35*SUMIFS(RZ[Úroveň 5 s koef. (P3)],RZ[0],AX35,RZ[Úroveň 2 (P0)],AY35,RZ[Úroveň 3 (P0)],AZ35,RZ[Úroveň 4 (P0)],BA35),RZ[[#This Row],[Koeficient odhadu CR '[-'] (P1)]]*$BK35*$IQ35)</f>
        <v>0</v>
      </c>
      <c r="EO35" s="140">
        <f ca="1">IF(OFFSET(BB35,1,0,1,1)&lt;&gt;0,$BK35*SUMIFS(RZ[Úroveň 5 bez koef. (P3)],RZ[0],AX35,RZ[Úroveň 2 (P0)],AY35,RZ[Úroveň 3 (P0)],AZ35,RZ[Úroveň 4 (P0)],BA35),$BK35*$IQ35)</f>
        <v>0</v>
      </c>
      <c r="EP35" s="135">
        <f ca="1">RZ[[#This Row],[Úroveň 5 s koef. (P3a)]]*RZ[[#This Row],[Počet MJCR (P0) pro "kg"]]</f>
        <v>0</v>
      </c>
      <c r="EQ35" s="135">
        <f ca="1">RZ[Úroveň 5 bez koef. (P3a)]*RZ[[#This Row],[Počet MJCR (P0) pro "kg"]]</f>
        <v>0</v>
      </c>
      <c r="ER35" s="135">
        <f ca="1">IF(OFFSET(BC35,1,0,1,1)&lt;&gt;0,RZ[[#This Row],[Koeficient odhadu CR '[-'] (P1)]]*$BL35*SUMIFS(RZ[Úroveň 6 s koef. (P3)],RZ[0],AX35,RZ[Úroveň 2 (P0)],AY35,RZ[Úroveň 3 (P0)],AZ35,RZ[Úroveň 4 (P0)],BA35,RZ[Úroveň 5 (P0)],BB35),RZ[[#This Row],[Koeficient odhadu CR '[-'] (P1)]]*$BL35*$IQ35)</f>
        <v>0</v>
      </c>
      <c r="ES35" s="135">
        <f ca="1">IF(OFFSET(BC35,1,0,1,1)&lt;&gt;0,$BL35*SUMIFS(RZ[Úroveň 6 bez koef. (P3)],RZ[0],AX35,RZ[Úroveň 2 (P0)],AY35,RZ[Úroveň 3 (P0)],AZ35,RZ[Úroveň 4 (P0)],BA35,RZ[Úroveň 5 (P0)],BB35),$BL35*$IQ35)</f>
        <v>0</v>
      </c>
      <c r="ET35" s="140">
        <f ca="1">RZ[[#This Row],[Úroveň 6 s koef. (P3a)]]*RZ[[#This Row],[Počet MJCR (P0) pro "kg"]]</f>
        <v>0</v>
      </c>
      <c r="EU35" s="140">
        <f ca="1">RZ[Úroveň 6 bez koef. (P3a)]*RZ[[#This Row],[Počet MJCR (P0) pro "kg"]]</f>
        <v>0</v>
      </c>
      <c r="EV35" s="140">
        <f ca="1">IF(OFFSET(BD35,1,0,1,1)&lt;&gt;0,RZ[[#This Row],[Koeficient odhadu CR '[-'] (P1)]]*$BM35*SUMIFS(RZ[Úroveň 7 s koef. (P3)],RZ[0],AX35,RZ[Úroveň 2 (P0)],AY35,RZ[Úroveň 3 (P0)],AZ35,RZ[Úroveň 4 (P0)],BA35,RZ[Úroveň 5 (P0)],BB35,RZ[Úroveň 6 (P0)],BC35),RZ[[#This Row],[Koeficient odhadu CR '[-'] (P1)]]*$BM35*$IQ35)</f>
        <v>0</v>
      </c>
      <c r="EW35" s="140">
        <f ca="1">IF(OFFSET(BD35,1,0,1,1)&lt;&gt;0,$BM35*SUMIFS(RZ[Úroveň 7 bez koef. (P3)],RZ[0],AX35,RZ[Úroveň 2 (P0)],AY35,RZ[Úroveň 3 (P0)],AZ35,RZ[Úroveň 4 (P0)],BA35,RZ[Úroveň 5 (P0)],BB35,RZ[Úroveň 6 (P0)],BC35),$BM35*$IQ35)</f>
        <v>0</v>
      </c>
      <c r="EX35" s="135">
        <f ca="1">RZ[[#This Row],[Úroveň 7 s koef. (P3a)]]*RZ[[#This Row],[Počet MJCR (P0) pro "kg"]]</f>
        <v>0</v>
      </c>
      <c r="EY35" s="135">
        <f ca="1">RZ[Úroveň 7 bez koef. (P3a)]*RZ[[#This Row],[Počet MJCR (P0) pro "kg"]]</f>
        <v>0</v>
      </c>
      <c r="EZ35" s="135">
        <f ca="1">IF(OFFSET(BE35,1,0,1,1)&lt;&gt;0,RZ[[#This Row],[Koeficient odhadu CR '[-'] (P1)]]*$BN35*SUMIFS(RZ[Úroveň 8 s koef. (P3)],RZ[0],AX35,RZ[Úroveň 2 (P0)],AY35,RZ[Úroveň 3 (P0)],AZ35,RZ[Úroveň 4 (P0)],BA35,RZ[Úroveň 5 (P0)],BB35,RZ[Úroveň 6 (P0)],BC35,RZ[Úroveň 7 (P0)],BD35),RZ[[#This Row],[Koeficient odhadu CR '[-'] (P1)]]*$BN35*$IQ35)</f>
        <v>0</v>
      </c>
      <c r="FA35" s="135">
        <f ca="1">IF(OFFSET(BE35,1,0,1,1)&lt;&gt;0,$BN35*SUMIFS(RZ[Úroveň 8 bez koef. (P3)],RZ[0],AX35,RZ[Úroveň 2 (P0)],AY35,RZ[Úroveň 3 (P0)],AZ35,RZ[Úroveň 4 (P0)],BA35,RZ[Úroveň 5 (P0)],BB35,RZ[Úroveň 6 (P0)],BC35,RZ[Úroveň 7 (P0)],BD35),$BN35*$IQ35)</f>
        <v>0</v>
      </c>
      <c r="FB35" s="140">
        <f ca="1">RZ[[#This Row],[Úroveň 8 s koef. (P3a)]]*RZ[[#This Row],[Počet MJCR (P0) pro "kg"]]</f>
        <v>0</v>
      </c>
      <c r="FC35" s="140">
        <f ca="1">RZ[Úroveň 8 bez koef. (P3a)]*RZ[[#This Row],[Počet MJCR (P0) pro "kg"]]</f>
        <v>0</v>
      </c>
      <c r="FD35" s="140">
        <f ca="1">IF(OFFSET(BF35,1,0,1,1)&lt;&gt;0,RZ[[#This Row],[Koeficient odhadu CR '[-'] (P1)]]*$BO35*SUMIFS(RZ[Úroveň 9 s koef. (P3)],RZ[0],AX35,RZ[Úroveň 2 (P0)],AY35,RZ[Úroveň 3 (P0)],AZ35,RZ[Úroveň 4 (P0)],BA35,RZ[Úroveň 5 (P0)],BB35,RZ[Úroveň 6 (P0)],BC35,RZ[Úroveň 7 (P0)],BD35,RZ[Úroveň 8 (P0)],BE35),RZ[[#This Row],[Koeficient odhadu CR '[-'] (P1)]]*$BO35*$IQ35)</f>
        <v>0</v>
      </c>
      <c r="FE35" s="140">
        <f ca="1">IF(OFFSET(BF35,1,0,1,1)&lt;&gt;0,$BO35*SUMIFS(RZ[Úroveň 9 bez koef. (P3)],RZ[0],AX35,RZ[Úroveň 2 (P0)],AY35,RZ[Úroveň 3 (P0)],AZ35,RZ[Úroveň 4 (P0)],BA35,RZ[Úroveň 5 (P0)],BB35,RZ[Úroveň 6 (P0)],BC35,RZ[Úroveň 7 (P0)],BD35,RZ[Úroveň 8 (P0)],BE35),$BO35*$IQ35)</f>
        <v>0</v>
      </c>
      <c r="FF35" s="135">
        <f ca="1">RZ[[#This Row],[Úroveň 9 s koef. (P3a)]]*RZ[[#This Row],[Počet MJCR (P0) pro "kg"]]</f>
        <v>0</v>
      </c>
      <c r="FG35" s="135">
        <f ca="1">RZ[Úroveň 9 bez koef. (P3a)]*RZ[[#This Row],[Počet MJCR (P0) pro "kg"]]</f>
        <v>0</v>
      </c>
      <c r="FH35" s="135">
        <f ca="1">IF(OFFSET(BG35,1,0,1,1)&lt;&gt;0,RZ[[#This Row],[Koeficient odhadu CR '[-'] (P1)]]*$BP35*SUMIFS(RZ[Úroveň 10 s koef. (P3)],RZ[0],AX35,RZ[Úroveň 2 (P0)],AY35,RZ[Úroveň 3 (P0)],AZ35,RZ[Úroveň 4 (P0)],BA35,RZ[Úroveň 5 (P0)],BB35,RZ[Úroveň 6 (P0)],BC35,RZ[Úroveň 7 (P0)],BD35,RZ[Úroveň 8 (P0)],BE35,RZ[Úroveň 9 (P0)],BF35),RZ[[#This Row],[Koeficient odhadu CR '[-'] (P1)]]*$BP35*$IQ35)</f>
        <v>0</v>
      </c>
      <c r="FI35" s="135">
        <f ca="1">IF(OFFSET(BG35,1,0,1,1)&lt;&gt;0,$BP35*SUMIFS(RZ[Úroveň 10 bez koef. (P3)],RZ[0],AX35,RZ[Úroveň 2 (P0)],AY35,RZ[Úroveň 3 (P0)],AZ35,RZ[Úroveň 4 (P0)],BA35,RZ[Úroveň 5 (P0)],BB35,RZ[Úroveň 6 (P0)],BC35,RZ[Úroveň 7 (P0)],BD35,RZ[Úroveň 8 (P0)],BE35,RZ[Úroveň 9 (P0)],BF35),$BP35*$IQ35)</f>
        <v>0</v>
      </c>
      <c r="FJ35" s="140">
        <f ca="1">RZ[[#This Row],[Úroveň 10 s koef. (P3a)]]*RZ[[#This Row],[Počet MJCR (P0) pro "kg"]]</f>
        <v>0</v>
      </c>
      <c r="FK35" s="140">
        <f ca="1">RZ[Úroveň 10 bez koef. (P3a)]*RZ[[#This Row],[Počet MJCR (P0) pro "kg"]]</f>
        <v>0</v>
      </c>
      <c r="FL35" s="140">
        <f ca="1">RZ[[#This Row],[Koeficient odhadu CR '[-'] (P1)]]*$BQ35*IQ35</f>
        <v>0</v>
      </c>
      <c r="FM35" s="236">
        <f t="shared" ca="1" si="189"/>
        <v>0</v>
      </c>
      <c r="FN35" s="194">
        <f t="shared" ca="1" si="190"/>
        <v>145</v>
      </c>
      <c r="FO35" s="238">
        <f t="shared" ca="1" si="191"/>
        <v>145</v>
      </c>
      <c r="FP35" s="135">
        <f t="shared" ca="1" si="192"/>
        <v>0</v>
      </c>
      <c r="FQ35" s="135">
        <f t="shared" ca="1" si="193"/>
        <v>0</v>
      </c>
      <c r="FR35" s="135">
        <f t="shared" ca="1" si="194"/>
        <v>910</v>
      </c>
      <c r="FS35" s="135">
        <f t="shared" ca="1" si="195"/>
        <v>0</v>
      </c>
      <c r="FT35" s="135">
        <f t="shared" ca="1" si="196"/>
        <v>0</v>
      </c>
      <c r="FU35" s="135">
        <f t="shared" ca="1" si="197"/>
        <v>0</v>
      </c>
      <c r="FV35" s="135">
        <f t="shared" ca="1" si="198"/>
        <v>0</v>
      </c>
      <c r="FW35" s="135">
        <f t="shared" ca="1" si="199"/>
        <v>0</v>
      </c>
      <c r="FX35" s="135">
        <f t="shared" ca="1" si="200"/>
        <v>0</v>
      </c>
      <c r="FY35" s="135">
        <f t="shared" ca="1" si="201"/>
        <v>0</v>
      </c>
      <c r="FZ35" s="140">
        <f ca="1">SUMIFS(RZ[Úroveň 1 (P6)],RZ[0],AX35)</f>
        <v>1</v>
      </c>
      <c r="GA35" s="140">
        <f ca="1">SUMIFS(RZ[Úroveň 2 (P6)],RZ[0],AX35,RZ[Úroveň 2 (P0)],AY35)</f>
        <v>1</v>
      </c>
      <c r="GB35" s="140">
        <f ca="1">SUMIFS(RZ[Úroveň 3 (P6)],RZ[0],AX35,RZ[Úroveň 2 (P0)],AY35,RZ[Úroveň 3 (P0)],AZ35)</f>
        <v>910</v>
      </c>
      <c r="GC35" s="140">
        <f ca="1">SUMIFS(RZ[Úroveň 4 (P6)],RZ[0],AX35,RZ[Úroveň 2 (P0)],AY35,RZ[Úroveň 3 (P0)],AZ35,RZ[Úroveň 4 (P0)],BA35)</f>
        <v>0</v>
      </c>
      <c r="GD35" s="140">
        <f ca="1">SUMIFS(RZ[Úroveň 5 (P6)],RZ[0],AX35,RZ[Úroveň 2 (P0)],AY35,RZ[Úroveň 3 (P0)],AZ35,RZ[Úroveň 4 (P0)],BA35,RZ[Úroveň 5 (P0)],BB35)</f>
        <v>0</v>
      </c>
      <c r="GE35" s="140">
        <f ca="1">SUMIFS(RZ[Úroveň 6 (P6)],RZ[0],AX35,RZ[Úroveň 2 (P0)],AY35,RZ[Úroveň 3 (P0)],AZ35,RZ[Úroveň 4 (P0)],BA35,RZ[Úroveň 5 (P0)],BB35,RZ[Úroveň 6 (P0)],BC35)</f>
        <v>0</v>
      </c>
      <c r="GF35" s="140">
        <f ca="1">SUMIFS(RZ[Úroveň 7 (P6)],RZ[0],AX35,RZ[Úroveň 2 (P0)],AY35,RZ[Úroveň 3 (P0)],AZ35,RZ[Úroveň 4 (P0)],BA35,RZ[Úroveň 5 (P0)],BB35,RZ[Úroveň 6 (P0)],BC35,RZ[Úroveň 7 (P0)],BD35)</f>
        <v>0</v>
      </c>
      <c r="GG35" s="140">
        <f ca="1">SUMIFS(RZ[Úroveň 8 (P6)],RZ[0],AX35,RZ[Úroveň 2 (P0)],AY35,RZ[Úroveň 3 (P0)],AZ35,RZ[Úroveň 4 (P0)],BA35,RZ[Úroveň 5 (P0)],BB35,RZ[Úroveň 6 (P0)],BC35,RZ[Úroveň 7 (P0)],BD35,RZ[Úroveň 8 (P0)],BE35)</f>
        <v>0</v>
      </c>
      <c r="GH35" s="140">
        <f ca="1">SUMIFS(RZ[Úroveň 9 (P6)],RZ[0],AX35,RZ[Úroveň 2 (P0)],AY35,RZ[Úroveň 3 (P0)],AZ35,RZ[Úroveň 4 (P0)],BA35,RZ[Úroveň 5 (P0)],BB35,RZ[Úroveň 6 (P0)],BC35,RZ[Úroveň 7 (P0)],BD35,RZ[Úroveň 8 (P0)],BE35,RZ[Úroveň 9 (P0)],BF35)</f>
        <v>0</v>
      </c>
      <c r="GI35" s="140">
        <f ca="1">SUMIFS(RZ[Úroveň 10 (P6)],RZ[0],AX35,RZ[Úroveň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GJ35" s="918">
        <f t="shared" ca="1" si="202"/>
        <v>910</v>
      </c>
      <c r="GK35" s="808">
        <f t="shared" si="203"/>
        <v>0</v>
      </c>
      <c r="GL35" s="808">
        <f t="shared" si="204"/>
        <v>0</v>
      </c>
      <c r="GM35" s="808">
        <f t="shared" si="205"/>
        <v>1</v>
      </c>
      <c r="GN35" s="808">
        <f t="shared" si="206"/>
        <v>0</v>
      </c>
      <c r="GO35" s="808">
        <f t="shared" si="207"/>
        <v>0</v>
      </c>
      <c r="GP35" s="808">
        <f t="shared" si="208"/>
        <v>0</v>
      </c>
      <c r="GQ35" s="808">
        <f t="shared" si="209"/>
        <v>0</v>
      </c>
      <c r="GR35" s="808">
        <f t="shared" si="210"/>
        <v>0</v>
      </c>
      <c r="GS35" s="808">
        <f t="shared" si="211"/>
        <v>0</v>
      </c>
      <c r="GT35" s="808">
        <f t="shared" si="212"/>
        <v>0</v>
      </c>
      <c r="GU35" s="809">
        <f ca="1">SUMIFS(RZ[Sloupec1],RZ[0],AX35)</f>
        <v>1</v>
      </c>
      <c r="GV35" s="809">
        <f ca="1">SUMIFS(RZ[Sloupec2],RZ[0],AX35,RZ[Úroveň 2 (P0)],AY35)</f>
        <v>1</v>
      </c>
      <c r="GW35" s="809">
        <f ca="1">SUMIFS(RZ[Sloupec3],RZ[0],AX35,RZ[Úroveň 2 (P0)],AY35,RZ[Úroveň 3 (P0)],AZ35)</f>
        <v>1</v>
      </c>
      <c r="GX35" s="809">
        <f ca="1">SUMIFS(RZ[Sloupec4],RZ[0],AX35,RZ[Úroveň 2 (P0)],AY35,RZ[Úroveň 3 (P0)],AZ35,RZ[Úroveň 4 (P0)],BA35)</f>
        <v>0</v>
      </c>
      <c r="GY35" s="809">
        <f ca="1">SUMIFS(RZ[Sloupec5],RZ[0],AX35,RZ[Úroveň 2 (P0)],AY35,RZ[Úroveň 3 (P0)],AZ35,RZ[Úroveň 4 (P0)],BA35,RZ[Úroveň 5 (P0)],BB35)</f>
        <v>0</v>
      </c>
      <c r="GZ35" s="809">
        <f ca="1">SUMIFS(RZ[Sloupec6],RZ[0],AX35,RZ[Úroveň 2 (P0)],AY35,RZ[Úroveň 3 (P0)],AZ35,RZ[Úroveň 4 (P0)],BA35,RZ[Úroveň 5 (P0)],BB35,RZ[Úroveň 6 (P0)],BC35)</f>
        <v>0</v>
      </c>
      <c r="HA35" s="809">
        <f ca="1">SUMIFS(RZ[Sloupec62],RZ[0],AX35,RZ[Úroveň 2 (P0)],AY35,RZ[Úroveň 3 (P0)],AZ35,RZ[Úroveň 4 (P0)],BA35,RZ[Úroveň 5 (P0)],BB35,RZ[Úroveň 6 (P0)],BC35,RZ[Úroveň 7 (P0)],BD35)</f>
        <v>0</v>
      </c>
      <c r="HB35" s="809">
        <f ca="1">SUMIFS(RZ[Sloupec63],RZ[0],AX35,RZ[Úroveň 2 (P0)],AY35,RZ[Úroveň 3 (P0)],AZ35,RZ[Úroveň 4 (P0)],BA35,RZ[Úroveň 5 (P0)],BB35,RZ[Úroveň 6 (P0)],BC35,RZ[Úroveň 7 (P0)],BD35,RZ[Úroveň 8 (P0)],BE35)</f>
        <v>0</v>
      </c>
      <c r="HC35" s="809">
        <f ca="1">SUMIFS(RZ[Sloupec64],RZ[0],AX35,RZ[Úroveň 2 (P0)],AY35,RZ[Úroveň 3 (P0)],AZ35,RZ[Úroveň 4 (P0)],BA35,RZ[Úroveň 5 (P0)],BB35,RZ[Úroveň 6 (P0)],BC35,RZ[Úroveň 7 (P0)],BD35,RZ[Úroveň 8 (P0)],BE35,RZ[Úroveň 9 (P0)],BF35)</f>
        <v>0</v>
      </c>
      <c r="HD35" s="809">
        <f ca="1">SUMIFS(RZ[Sloupec65],RZ[0],AX35,RZ[Úroveň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HE35" s="919">
        <f t="shared" ca="1" si="213"/>
        <v>1</v>
      </c>
      <c r="HF35" s="920" t="str">
        <f t="shared" si="214"/>
        <v/>
      </c>
      <c r="HG35" s="94" t="str">
        <f t="shared" si="215"/>
        <v/>
      </c>
      <c r="HH35" s="95" t="str">
        <f t="shared" si="216"/>
        <v/>
      </c>
      <c r="HI35" s="95" t="str">
        <f t="shared" si="217"/>
        <v>Pastorek s cévovým ozubením</v>
      </c>
      <c r="HJ35" s="96" t="str">
        <f t="shared" si="218"/>
        <v/>
      </c>
      <c r="HK35" s="96" t="str">
        <f t="shared" si="219"/>
        <v/>
      </c>
      <c r="HL35" s="96" t="str">
        <f t="shared" si="220"/>
        <v/>
      </c>
      <c r="HM35" s="96" t="str">
        <f t="shared" si="221"/>
        <v/>
      </c>
      <c r="HN35" s="96" t="str">
        <f t="shared" si="222"/>
        <v/>
      </c>
      <c r="HO35" s="96" t="str">
        <f t="shared" si="223"/>
        <v/>
      </c>
      <c r="HP35" s="96" t="str">
        <f t="shared" si="224"/>
        <v/>
      </c>
      <c r="HQ35" s="145" t="str">
        <f t="shared" si="225"/>
        <v>STO1</v>
      </c>
      <c r="HR35" s="921" t="str">
        <f t="shared" si="226"/>
        <v/>
      </c>
      <c r="HS35" s="173">
        <f t="shared" si="227"/>
        <v>0</v>
      </c>
      <c r="HT35" s="100">
        <f t="shared" si="228"/>
        <v>0</v>
      </c>
      <c r="HU35" s="100">
        <f t="shared" si="229"/>
        <v>0</v>
      </c>
      <c r="HV35" s="908">
        <f t="shared" si="230"/>
        <v>0</v>
      </c>
      <c r="HW35" s="922">
        <f t="shared" si="231"/>
        <v>0</v>
      </c>
      <c r="HX35" s="224">
        <f t="shared" si="232"/>
        <v>0</v>
      </c>
      <c r="HY35" s="263" t="str">
        <f t="shared" si="233"/>
        <v>S</v>
      </c>
      <c r="HZ35" s="263">
        <f t="shared" si="234"/>
        <v>0</v>
      </c>
      <c r="IA35" s="150">
        <f t="shared" si="235"/>
        <v>1</v>
      </c>
      <c r="IB35" s="319">
        <f t="shared" si="236"/>
        <v>0</v>
      </c>
      <c r="IC35" s="923">
        <f t="shared" si="237"/>
        <v>0</v>
      </c>
      <c r="ID35" s="924" t="str">
        <f t="shared" ca="1" si="238"/>
        <v>OK</v>
      </c>
      <c r="IE35" s="201" t="str">
        <f t="shared" si="239"/>
        <v>ks</v>
      </c>
      <c r="IF35" s="145">
        <f t="shared" si="240"/>
        <v>2</v>
      </c>
      <c r="IG35" s="216">
        <f t="shared" si="241"/>
        <v>455</v>
      </c>
      <c r="IH35" s="217">
        <f t="shared" si="242"/>
        <v>1</v>
      </c>
      <c r="II35" s="224" t="str">
        <f ca="1">IF(RZ[[#This Row],[Rozhodný sloupec indikativní ceny]]=1,"kg",IF($IW35=$JL$15,IF(JX35=0,JO35,JX35),IF($IW35=$KE$15,IF(KQ35=0,KH35,KQ35),IF($IW35=$KX$15,IF(LJ35=0,LA35,LJ35),IF($IW35=$LQ$15,IF(MC35=0,LT35,MC35),IF($IW35=$MJ$15,IF(NQ35=0,NH35,NQ35),0))))))</f>
        <v>kg</v>
      </c>
      <c r="IJ35" s="224">
        <f ca="1">IF((BH35+OFFSET(BH35,1,1,1,1))=2,RZ[[#This Row],[Počet MJHR (P0)]],IF((BI35+OFFSET(BI35,1,1,1,1))=2,RZ[[#This Row],[Počet MJHR (P0)]],IF((BJ35+OFFSET(BJ35,1,1,1,1))=2,RZ[[#This Row],[Počet MJHR (P0)]],IF((BK35+OFFSET(BK35,1,1,1,1))=2,RZ[[#This Row],[Počet MJHR (P0)]],IF((BL35+OFFSET(BL35,1,1,1,1))=2,RZ[[#This Row],[Počet MJHR (P0)]],IF((BM35+OFFSET(BM35,1,1,1,1))=2,RZ[[#This Row],[Počet MJHR (P0)]],IF((BN35+OFFSET(BN35,1,1,1,1))=2,RZ[[#This Row],[Počet MJHR (P0)]],IF((BO35+OFFSET(BO35,1,1,1,1))=2,RZ[[#This Row],[Počet MJHR (P0)]],IF((BP35+OFFSET(BP35,1,1,1,1))=2,RZ[[#This Row],[Počet MJHR (P0)]],IF((BQ35+OFFSET(BQ35,1,1,1,1))=2,RZ[[#This Row],[Počet MJHR (P0)]],IF(RZ[[#This Row],[Měrná jednotka CR (MJCR) (P0)]]=RZ[[#This Row],[Měrná jednotka HR '[MJHR'] (P0)]],RZ[[#This Row],[Počet MJHR (P0)]],IF($IW35=$JL$15,JY35,IF($IW35=$KE$15,KR35,IF($IW35=$KX$15,LK35,IF($IW35=$LQ$15,MD35,IF($IW35=$MJ$15,NR35,0))))))))))))))))</f>
        <v>0</v>
      </c>
      <c r="IK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910</v>
      </c>
      <c r="IL35" s="145">
        <f ca="1">IF(AND(RZ[[#This Row],[Jednotková cena bez DPH '[cena/MJCR'] (P0)]]=0,RZ[[#This Row],[Indikativní jednotková cena '[CZK/kg'] (P1)]]&lt;&gt;0),1,0)</f>
        <v>1</v>
      </c>
      <c r="IM35" s="217">
        <f ca="1">VLOOKUP(RZ[[#This Row],[Kód položek]],INDIKAT_CENA,2,FALSE)</f>
        <v>145</v>
      </c>
      <c r="IN35" s="222">
        <f ca="1">IF(RZ[[#This Row],[Rozhodný sloupec indikativní ceny]]=1,RZ[[#This Row],[Indikativní jednotková cena '[CZK/kg'] (P1)]],RZ[[#This Row],[Jednotková cena bez DPH '[cena/MJCR'] (P0)]])</f>
        <v>145</v>
      </c>
      <c r="IO35" s="222">
        <f t="shared" si="243"/>
        <v>1</v>
      </c>
      <c r="IP35" s="224">
        <f ca="1">IF(RZ[[#This Row],[Rozhodný sloupec indikativní ceny]]=1,1,IF($IW35=$JL$15,KA35,IF($IW35=$KE$15,KT35,IF($IW35=$KX$15,LM35,IF($IW35=$LQ$15,MF35,IF($IW35=$MJ$15,NT35,0))))))</f>
        <v>1</v>
      </c>
      <c r="IQ35" s="225">
        <f ca="1">IF(RZ[[#This Row],[Jednotková cena bez DPH '[cena/MJCR'] (P1)]]="",0,IF(IP35=0,0,(RZ[[#This Row],[Jednotková cena bez DPH '[cena/MJCR'] (P1)]]*VLOOKUP(IP35,$BR$7:$BT$10,3))))</f>
        <v>145</v>
      </c>
      <c r="IR35" s="737"/>
      <c r="IS35" s="627">
        <f>IF(HY35=0,"",VLOOKUP(RZ[[#This Row],[Stav Projekce (P0)]],Vstupy!$E$11:'Vstupy'!$E$11:$H$17,4,FALSE))</f>
        <v>100</v>
      </c>
      <c r="IT35" s="925" t="str">
        <f>IF(RZ[[#This Row],[Stav Projekce (P0)]]=0,"",RZ[[#This Row],[Stav Projekce (P0)]])</f>
        <v>S</v>
      </c>
      <c r="IU35" s="925" t="str">
        <f>IF(RZ[[#This Row],[Stav Nákup (P0)]]=0,"",RZ[[#This Row],[Stav Nákup (P0)]])</f>
        <v/>
      </c>
      <c r="IV35" s="926" t="str">
        <f t="shared" si="244"/>
        <v/>
      </c>
      <c r="IW35" s="641">
        <v>1</v>
      </c>
      <c r="IX35" s="630"/>
      <c r="IY35" s="264"/>
      <c r="IZ35" s="648"/>
      <c r="JA35" s="100"/>
      <c r="JB35" s="100" t="s">
        <v>812</v>
      </c>
      <c r="JC35" s="100"/>
      <c r="JD35" s="100"/>
      <c r="JE35" s="100"/>
      <c r="JF35" s="100"/>
      <c r="JG35" s="100"/>
      <c r="JH35" s="100"/>
      <c r="JI35" s="100"/>
      <c r="JJ35" s="145" t="s">
        <v>829</v>
      </c>
      <c r="JK35" s="529"/>
      <c r="JL35" s="286"/>
      <c r="JM35" s="100"/>
      <c r="JN35" s="100"/>
      <c r="JO35" s="145" t="s">
        <v>35</v>
      </c>
      <c r="JP35" s="117">
        <v>2</v>
      </c>
      <c r="JQ35" s="117">
        <v>455</v>
      </c>
      <c r="JR35" s="148">
        <v>1</v>
      </c>
      <c r="JS35" s="145" t="s">
        <v>602</v>
      </c>
      <c r="JT35" s="631"/>
      <c r="JU35" s="148"/>
      <c r="JV35" s="154"/>
      <c r="JW35" s="145"/>
      <c r="JX35" s="210"/>
      <c r="JY35" s="117"/>
      <c r="JZ35" s="662"/>
      <c r="KA35" s="145"/>
      <c r="KB35" s="148"/>
      <c r="KC35" s="148"/>
      <c r="KD35" s="644"/>
      <c r="KE35" s="286"/>
      <c r="KF35" s="100"/>
      <c r="KG35" s="100"/>
      <c r="KH35" s="210"/>
      <c r="KI35" s="117"/>
      <c r="KJ35" s="117"/>
      <c r="KK35" s="148"/>
      <c r="KL35" s="145"/>
      <c r="KM35" s="632"/>
      <c r="KN35" s="148"/>
      <c r="KO35" s="154"/>
      <c r="KP35" s="154"/>
      <c r="KQ35" s="210"/>
      <c r="KR35" s="117"/>
      <c r="KS35" s="211"/>
      <c r="KT35" s="145"/>
      <c r="KU35" s="148"/>
      <c r="KV35" s="148"/>
      <c r="KW35" s="265"/>
      <c r="KX35" s="286"/>
      <c r="KY35" s="100"/>
      <c r="KZ35" s="100"/>
      <c r="LA35" s="210"/>
      <c r="LB35" s="117"/>
      <c r="LC35" s="117"/>
      <c r="LD35" s="148"/>
      <c r="LE35" s="145"/>
      <c r="LF35" s="632"/>
      <c r="LG35" s="148"/>
      <c r="LH35" s="154"/>
      <c r="LI35" s="154"/>
      <c r="LJ35" s="154"/>
      <c r="LK35" s="117"/>
      <c r="LL35" s="211"/>
      <c r="LM35" s="210"/>
      <c r="LN35" s="148"/>
      <c r="LO35" s="148"/>
      <c r="LP35" s="265"/>
      <c r="LQ35" s="286"/>
      <c r="LR35" s="100"/>
      <c r="LS35" s="100"/>
      <c r="LT35" s="210"/>
      <c r="LU35" s="117"/>
      <c r="LV35" s="117"/>
      <c r="LW35" s="148"/>
      <c r="LX35" s="145"/>
      <c r="LY35" s="632"/>
      <c r="LZ35" s="148"/>
      <c r="MA35" s="154"/>
      <c r="MB35" s="154"/>
      <c r="MC35" s="145"/>
      <c r="MD35" s="117"/>
      <c r="ME35" s="211"/>
      <c r="MF35" s="210"/>
      <c r="MG35" s="148"/>
      <c r="MH35" s="148"/>
      <c r="MI35" s="265"/>
      <c r="MJ35" s="647"/>
      <c r="MK35" s="264"/>
      <c r="ML35" s="153"/>
      <c r="MM35" s="153"/>
      <c r="MN35" s="153"/>
      <c r="MO35" s="153"/>
      <c r="MP35" s="153"/>
      <c r="MQ35" s="153"/>
      <c r="MR35" s="153"/>
      <c r="MS35" s="99"/>
      <c r="MT35" s="99"/>
      <c r="MU35" s="99"/>
      <c r="MV35" s="99"/>
      <c r="MW35" s="99"/>
      <c r="MX35" s="99"/>
      <c r="MY35" s="153"/>
      <c r="MZ35" s="153"/>
      <c r="NA35" s="153"/>
      <c r="NB35" s="153"/>
      <c r="NC35" s="153"/>
      <c r="ND35" s="153"/>
      <c r="NE35" s="148"/>
      <c r="NF35" s="153"/>
      <c r="NG35" s="153"/>
      <c r="NH35" s="330" t="str">
        <f t="shared" si="245"/>
        <v>ks</v>
      </c>
      <c r="NI35" s="797">
        <f>RZ[[#This Row],[Počet ks (K)]]</f>
        <v>0</v>
      </c>
      <c r="NJ35" s="798">
        <f>RZ[[#This Row],[Hmotnost '[kg/ks'] (K)]]</f>
        <v>0</v>
      </c>
      <c r="NK35" s="148"/>
      <c r="NL35" s="145"/>
      <c r="NM35" s="632"/>
      <c r="NN35" s="148"/>
      <c r="NO35" s="154"/>
      <c r="NP35" s="153"/>
      <c r="NQ35" s="153"/>
      <c r="NR35" s="210"/>
      <c r="NS35" s="148"/>
      <c r="NT35" s="210"/>
      <c r="NU35" s="148"/>
      <c r="NV35" s="148"/>
      <c r="NW35" s="175"/>
    </row>
    <row r="36" spans="2:387" ht="15.95" customHeight="1" x14ac:dyDescent="0.35">
      <c r="B36" s="118" t="str">
        <f t="shared" si="129"/>
        <v/>
      </c>
      <c r="C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6" s="262" t="str">
        <f t="shared" si="130"/>
        <v xml:space="preserve">    Ložisko - průměr 200 mm</v>
      </c>
      <c r="E36" s="120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Row],[Kód položek (P2)]]))))))))))</f>
        <v>STLO</v>
      </c>
      <c r="F36" s="791" t="str">
        <f t="shared" si="131"/>
        <v>N/A</v>
      </c>
      <c r="G36" s="792" t="str">
        <f t="shared" si="132"/>
        <v/>
      </c>
      <c r="H36" s="262" t="str">
        <f t="shared" si="133"/>
        <v/>
      </c>
      <c r="I36" s="123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HR '[MJHR'] (P0)]]))))))))))</f>
        <v>ks</v>
      </c>
      <c r="J36" s="123">
        <f t="shared" si="134"/>
        <v>4</v>
      </c>
      <c r="K36" s="793">
        <f>RZ[[#This Row],[Koeficient odhadu HR '[-'] (P1)]]</f>
        <v>1</v>
      </c>
      <c r="L36" s="124">
        <f ca="1">RZ[[#This Row],[Jednotková hmotnost s koef. '[kg/MJHR'] (P0)]]</f>
        <v>284</v>
      </c>
      <c r="M36" s="794">
        <f t="shared" ca="1" si="135"/>
        <v>0</v>
      </c>
      <c r="N36" s="125">
        <f t="shared" ca="1" si="136"/>
        <v>1136</v>
      </c>
      <c r="O36" s="125">
        <f t="shared" ca="1" si="137"/>
        <v>0</v>
      </c>
      <c r="P36" s="126" t="str">
        <f t="shared" si="138"/>
        <v/>
      </c>
      <c r="Q36" s="795">
        <f ca="1">RZ[[#This Row],[Počet MJHR v rozpadu (P0)]]</f>
        <v>4</v>
      </c>
      <c r="R36" s="439" t="str">
        <f t="shared" si="139"/>
        <v>Zajíc</v>
      </c>
      <c r="S36" s="129">
        <f t="shared" si="140"/>
        <v>42950.623298611114</v>
      </c>
      <c r="T36" s="126" t="str">
        <f t="shared" si="141"/>
        <v/>
      </c>
      <c r="U36" s="126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CR (MJCR) (P0)]]))))))))))</f>
        <v>ks</v>
      </c>
      <c r="V36" s="575">
        <f t="shared" ca="1" si="142"/>
        <v>4</v>
      </c>
      <c r="W36" s="322">
        <f>RZ[[#This Row],[Koeficient odhadu CR '[-'] (P1)]]</f>
        <v>1</v>
      </c>
      <c r="X36" s="440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Row],[Jednotková cena bez DPH '[cena/MJCR'] (P1)]]*RZ[[#This Row],[Koeficient odhadu CR '[-']]]))))))))))</f>
        <v>110000</v>
      </c>
      <c r="Y36" s="440">
        <f t="shared" ca="1" si="143"/>
        <v>0</v>
      </c>
      <c r="Z36" s="142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VLOOKUP(IP36,$BR$7:$BS$11,2,FALSE)))))))))))</f>
        <v>CZK</v>
      </c>
      <c r="AA36" s="909">
        <f t="shared" ca="1" si="144"/>
        <v>4</v>
      </c>
      <c r="AB36" s="910">
        <f ca="1">RZ[[#This Row],[Kumulovaný koeficient v rozpadu (P0)]]</f>
        <v>1</v>
      </c>
      <c r="AC36" s="261"/>
      <c r="AD36" s="796">
        <f ca="1">RZ[[#This Row],[Jednotková cena bez DPH '[cena/MJCR'] s koef. (P0)]]/RZ[[#This Row],[Koeficient odhadu CR '[-']]]*RZ[[#This Row],[Kumulovaný koeficient odhadu CR  '[-']]]</f>
        <v>110000</v>
      </c>
      <c r="AE36" s="796">
        <f t="shared" ca="1" si="145"/>
        <v>440000</v>
      </c>
      <c r="AF36" s="796">
        <f ca="1">-IF(ISNUMBER(AA36),RZ[[#This Row],[Celková cena bez DPH (1)]]-RZ[[#This Row],[Jednotková cena bez DPH '[cena/MJCR'] bez koef. (P0)]]*AA36,0)</f>
        <v>0</v>
      </c>
      <c r="AG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387.32394366197184</v>
      </c>
      <c r="AH36" s="261"/>
      <c r="AI36" s="796">
        <f t="shared" ca="1" si="146"/>
        <v>4074.0740740740739</v>
      </c>
      <c r="AJ36" s="796">
        <f t="shared" ca="1" si="147"/>
        <v>16296.296296296296</v>
      </c>
      <c r="AK36" s="796">
        <f t="shared" ca="1" si="148"/>
        <v>0</v>
      </c>
      <c r="AL36" s="753">
        <f ca="1">RZ[[#This Row],[Kilogramová cena bez DPH '[cena/kg'] (1)]]/$AK$13</f>
        <v>14.345331246739697</v>
      </c>
      <c r="AM36" s="261"/>
      <c r="AN36" s="796">
        <f t="shared" ca="1" si="149"/>
        <v>5314.0096618357493</v>
      </c>
      <c r="AO36" s="796">
        <f t="shared" ca="1" si="150"/>
        <v>21256.038647342997</v>
      </c>
      <c r="AP36" s="796">
        <f t="shared" ca="1" si="151"/>
        <v>0</v>
      </c>
      <c r="AQ36" s="753">
        <f ca="1">RZ[[#This Row],[Kilogramová cena bez DPH '[cena/kg'] (1)]]/$AP$13</f>
        <v>18.711301626182216</v>
      </c>
      <c r="AR36" s="261"/>
      <c r="AS36" s="796">
        <f t="shared" ca="1" si="152"/>
        <v>3008.7527352297593</v>
      </c>
      <c r="AT36" s="796">
        <f t="shared" ca="1" si="153"/>
        <v>12035.010940919037</v>
      </c>
      <c r="AU36" s="789">
        <f t="shared" ca="1" si="154"/>
        <v>0</v>
      </c>
      <c r="AV36" s="767">
        <f ca="1">RZ[[#This Row],[Kilogramová cena bez DPH '[cena/kg'] (1)]]/$AU$13</f>
        <v>10.594199771935772</v>
      </c>
      <c r="AW36" s="165"/>
      <c r="AX36" s="911">
        <f t="shared" ca="1" si="155"/>
        <v>2</v>
      </c>
      <c r="AY36" s="111">
        <f t="shared" ca="1" si="156"/>
        <v>1</v>
      </c>
      <c r="AZ36" s="111">
        <f t="shared" ca="1" si="157"/>
        <v>13</v>
      </c>
      <c r="BA36" s="111">
        <f t="shared" ca="1" si="158"/>
        <v>0</v>
      </c>
      <c r="BB36" s="111">
        <f t="shared" ca="1" si="159"/>
        <v>0</v>
      </c>
      <c r="BC36" s="111">
        <f t="shared" ca="1" si="160"/>
        <v>0</v>
      </c>
      <c r="BD36" s="111">
        <f t="shared" ca="1" si="161"/>
        <v>0</v>
      </c>
      <c r="BE36" s="111">
        <f t="shared" ca="1" si="162"/>
        <v>0</v>
      </c>
      <c r="BF36" s="111">
        <f t="shared" ca="1" si="163"/>
        <v>0</v>
      </c>
      <c r="BG36" s="112">
        <f t="shared" ca="1" si="164"/>
        <v>0</v>
      </c>
      <c r="BH36" s="911">
        <f t="shared" si="165"/>
        <v>0</v>
      </c>
      <c r="BI36" s="111">
        <f t="shared" si="166"/>
        <v>0</v>
      </c>
      <c r="BJ36" s="111">
        <f t="shared" si="167"/>
        <v>1</v>
      </c>
      <c r="BK36" s="111">
        <f t="shared" si="168"/>
        <v>0</v>
      </c>
      <c r="BL36" s="111">
        <f t="shared" si="169"/>
        <v>0</v>
      </c>
      <c r="BM36" s="111">
        <f t="shared" si="170"/>
        <v>0</v>
      </c>
      <c r="BN36" s="111">
        <f t="shared" si="171"/>
        <v>0</v>
      </c>
      <c r="BO36" s="111">
        <f t="shared" si="172"/>
        <v>0</v>
      </c>
      <c r="BP36" s="111">
        <f t="shared" si="173"/>
        <v>0</v>
      </c>
      <c r="BQ36" s="112">
        <f t="shared" si="174"/>
        <v>0</v>
      </c>
      <c r="BR36" s="132">
        <f ca="1">IF(OFFSET(AY36,1,0,1,1)&lt;&gt;0,RZ[[#This Row],[Koeficient odhadu HR '[-'] (P1)]]*$BH36*SUMIFS(RZ[Úroveň 2 s koef. (P2)],RZ[0],AX36),RZ[[#This Row],[Koeficient odhadu HR '[-'] (P1)]]*$BH36*$IG36)</f>
        <v>0</v>
      </c>
      <c r="BS36" s="186">
        <f ca="1">IF(OFFSET(AY36,1,0,1,1)&lt;&gt;0,$BH36*SUMIFS(RZ[Úroveň 2 bez koef. (P2)],RZ[0],AX36),$BH36*$IG36)</f>
        <v>0</v>
      </c>
      <c r="BT36" s="138">
        <f ca="1">RZ[[#This Row],[Úroveň 2 s koef. (P2a)]]*RZ[[#This Row],[Počet MJHR (P0)]]</f>
        <v>0</v>
      </c>
      <c r="BU36" s="138">
        <f ca="1">RZ[[#This Row],[Úroveň 2 bez koef. (P2a)]]*RZ[[#This Row],[Počet MJHR (P0)]]</f>
        <v>0</v>
      </c>
      <c r="BV36" s="138">
        <f ca="1">IF(OFFSET(AZ36,1,0,1,1)&lt;&gt;0,RZ[[#This Row],[Koeficient odhadu HR '[-'] (P1)]]*$BI36*SUMIFS(RZ[Úroveň 3 s koef. (P2)],RZ[0],AX36,RZ[Úroveň 2 (P0)],AY36),RZ[[#This Row],[Koeficient odhadu HR '[-'] (P1)]]*$BI36*$IG36)</f>
        <v>0</v>
      </c>
      <c r="BW36" s="138">
        <f ca="1">IF(OFFSET(AZ36,1,0,1,1)&lt;&gt;0,$BI36*SUMIFS(RZ[Úroveň 3 bez koef. (P2)],RZ[0],AX36,RZ[Úroveň 2 (P0)],AY36),$BI36*$IG36)</f>
        <v>0</v>
      </c>
      <c r="BX36" s="132">
        <f ca="1">RZ[[#This Row],[Úroveň 3 s koef. (P2a)]]*RZ[[#This Row],[Počet MJHR (P0)]]</f>
        <v>1136</v>
      </c>
      <c r="BY36" s="132">
        <f ca="1">RZ[Úroveň 3 bez koef. (P2a)]*RZ[[#This Row],[Počet MJHR (P0)]]</f>
        <v>1136</v>
      </c>
      <c r="BZ36" s="132">
        <f ca="1">IF(OFFSET(BA36,1,0,1,1)&lt;&gt;0,RZ[[#This Row],[Koeficient odhadu HR '[-'] (P1)]]*$BJ36*SUMIFS(RZ[Úroveň 4 s koef. (P2)],RZ[0],AX36,RZ[Úroveň 2 (P0)],AY36,RZ[Úroveň 3 (P0)],AZ36),RZ[[#This Row],[Koeficient odhadu HR '[-'] (P1)]]*$BJ36*$IG36)</f>
        <v>284</v>
      </c>
      <c r="CA36" s="132">
        <f ca="1">IF(OFFSET(BA36,1,0,1,1)&lt;&gt;0,$BJ36*SUMIFS(RZ[Úroveň 4 bez koef. (P2)],RZ[0],AX36,RZ[Úroveň 2 (P0)],AY36,RZ[Úroveň 3 (P0)],AZ36),$BJ36*$IG36)</f>
        <v>284</v>
      </c>
      <c r="CB36" s="138">
        <f ca="1">RZ[[#This Row],[Úroveň 4 s koef. (P2a)]]*RZ[[#This Row],[Počet MJHR (P0)]]</f>
        <v>0</v>
      </c>
      <c r="CC36" s="138">
        <f ca="1">RZ[Úroveň 4 bez koef. (P2a)]*RZ[[#This Row],[Počet MJHR (P0)]]</f>
        <v>0</v>
      </c>
      <c r="CD36" s="138">
        <f ca="1">IF(OFFSET(BB36,1,0,1,1)&lt;&gt;0,RZ[[#This Row],[Koeficient odhadu HR '[-'] (P1)]]*$BK36*SUMIFS(RZ[Úroveň 5 s koef. (P2)],RZ[0],AX36,RZ[Úroveň 2 (P0)],AY36,RZ[Úroveň 3 (P0)],AZ36,RZ[Úroveň 4 (P0)],BA36),RZ[[#This Row],[Koeficient odhadu HR '[-'] (P1)]]*$BK36*$IG36)</f>
        <v>0</v>
      </c>
      <c r="CE36" s="138">
        <f ca="1">IF(OFFSET(BB36,1,0,1,1)&lt;&gt;0,$BK36*SUMIFS(RZ[Úroveň 5 bez koef. (P2)],RZ[0],AX36,RZ[Úroveň 2 (P0)],AY36,RZ[Úroveň 3 (P0)],AZ36,RZ[Úroveň 4 (P0)],BA36),$BK36*$IG36)</f>
        <v>0</v>
      </c>
      <c r="CF36" s="132">
        <f ca="1">RZ[[#This Row],[Úroveň 5 s koef. (P2a)]]*RZ[[#This Row],[Počet MJHR (P0)]]</f>
        <v>0</v>
      </c>
      <c r="CG36" s="132">
        <f ca="1">RZ[Úroveň 5 bez koef. (P2a)]*RZ[[#This Row],[Počet MJHR (P0)]]</f>
        <v>0</v>
      </c>
      <c r="CH36" s="132">
        <f ca="1">IF(OFFSET(BC36,1,0,1,1)&lt;&gt;0,RZ[[#This Row],[Koeficient odhadu HR '[-'] (P1)]]*$BL36*SUMIFS(RZ[Úroveň 6 s koef. (P2)],RZ[0],AX36,RZ[Úroveň 2 (P0)],AY36,RZ[Úroveň 3 (P0)],AZ36,RZ[Úroveň 4 (P0)],BA36,RZ[Úroveň 5 (P0)],BB36),RZ[[#This Row],[Koeficient odhadu HR '[-'] (P1)]]*$BL36*$IG36)</f>
        <v>0</v>
      </c>
      <c r="CI36" s="132">
        <f ca="1">IF(OFFSET(BC36,1,0,1,1)&lt;&gt;0,$BL36*SUMIFS(RZ[Úroveň 6 bez koef. (P2)],RZ[0],AX36,RZ[Úroveň 2 (P0)],AY36,RZ[Úroveň 3 (P0)],AZ36,RZ[Úroveň 4 (P0)],BA36,RZ[Úroveň 5 (P0)],BB36),$BL36*$IG36)</f>
        <v>0</v>
      </c>
      <c r="CJ36" s="138">
        <f ca="1">RZ[[#This Row],[Úroveň 6 s koef. (P2a)]]*RZ[[#This Row],[Počet MJHR (P0)]]</f>
        <v>0</v>
      </c>
      <c r="CK36" s="138">
        <f ca="1">RZ[Úroveň 6 bez koef. (P2a)]*RZ[[#This Row],[Počet MJHR (P0)]]</f>
        <v>0</v>
      </c>
      <c r="CL36" s="138">
        <f ca="1">IF(OFFSET(BD36,1,0,1,1)&lt;&gt;0,RZ[[#This Row],[Koeficient odhadu HR '[-'] (P1)]]*$BM36*SUMIFS(RZ[Úroveň 7 s koef. (P2)],RZ[0],AX36,RZ[Úroveň 2 (P0)],AY36,RZ[Úroveň 3 (P0)],AZ36,RZ[Úroveň 4 (P0)],BA36,RZ[Úroveň 5 (P0)],BB36,RZ[Úroveň 6 (P0)],BC36),RZ[[#This Row],[Koeficient odhadu HR '[-'] (P1)]]*$BM36*$IG36)</f>
        <v>0</v>
      </c>
      <c r="CM36" s="138">
        <f ca="1">IF(OFFSET(BD36,1,0,1,1)&lt;&gt;0,$BM36*SUMIFS(RZ[Úroveň 7 bez koef. (P2)],RZ[0],AX36,RZ[Úroveň 2 (P0)],AY36,RZ[Úroveň 3 (P0)],AZ36,RZ[Úroveň 4 (P0)],BA36,RZ[Úroveň 5 (P0)],BB36,RZ[Úroveň 6 (P0)],BC36),$BM36*$IG36)</f>
        <v>0</v>
      </c>
      <c r="CN36" s="132">
        <f ca="1">RZ[[#This Row],[Úroveň 7 s koef. (P2a)]]*RZ[[#This Row],[Počet MJHR (P0)]]</f>
        <v>0</v>
      </c>
      <c r="CO36" s="132">
        <f ca="1">RZ[Úroveň 7 bez koef. (P2a)]*RZ[[#This Row],[Počet MJHR (P0)]]</f>
        <v>0</v>
      </c>
      <c r="CP36" s="132">
        <f ca="1">IF(OFFSET(BE36,1,0,1,1)&lt;&gt;0,RZ[[#This Row],[Koeficient odhadu HR '[-'] (P1)]]*$BN36*SUMIFS(RZ[Úroveň 8 s koef. (P2)],RZ[0],AX36,RZ[Úroveň 2 (P0)],AY36,RZ[Úroveň 3 (P0)],AZ36,RZ[Úroveň 4 (P0)],BA36,RZ[Úroveň 5 (P0)],BB36,RZ[Úroveň 6 (P0)],BC36,RZ[Úroveň 7 (P0)],BD36),RZ[[#This Row],[Koeficient odhadu HR '[-'] (P1)]]*$BN36*$IG36)</f>
        <v>0</v>
      </c>
      <c r="CQ36" s="132">
        <f ca="1">IF(OFFSET(BE36,1,0,1,1)&lt;&gt;0,$BN36*SUMIFS(RZ[Úroveň 8 bez koef. (P2)],RZ[0],AX36,RZ[Úroveň 2 (P0)],AY36,RZ[Úroveň 3 (P0)],AZ36,RZ[Úroveň 4 (P0)],BA36,RZ[Úroveň 5 (P0)],BB36,RZ[Úroveň 6 (P0)],BC36,RZ[Úroveň 7 (P0)],BD36),$BN36*$IG36)</f>
        <v>0</v>
      </c>
      <c r="CR36" s="138">
        <f ca="1">RZ[[#This Row],[Úroveň 8 s koef. (P2a)]]*RZ[[#This Row],[Počet MJHR (P0)]]</f>
        <v>0</v>
      </c>
      <c r="CS36" s="138">
        <f ca="1">RZ[Úroveň 8 bez koef. (P2a)]*RZ[[#This Row],[Počet MJHR (P0)]]</f>
        <v>0</v>
      </c>
      <c r="CT36" s="138">
        <f ca="1">IF(OFFSET(BF36,1,0,1,1)&lt;&gt;0,RZ[[#This Row],[Koeficient odhadu HR '[-'] (P1)]]*$BO36*SUMIFS(RZ[Úroveň 9 s koef. (P2)],RZ[0],AX36,RZ[Úroveň 2 (P0)],AY36,RZ[Úroveň 3 (P0)],AZ36,RZ[Úroveň 4 (P0)],BA36,RZ[Úroveň 5 (P0)],BB36,RZ[Úroveň 6 (P0)],BC36,RZ[Úroveň 7 (P0)],BD36,RZ[Úroveň 8 (P0)],BE36),RZ[[#This Row],[Koeficient odhadu HR '[-'] (P1)]]*$BO36*$IG36)</f>
        <v>0</v>
      </c>
      <c r="CU36" s="138">
        <f ca="1">IF(OFFSET(BF36,1,0,1,1)&lt;&gt;0,$BO36*SUMIFS(RZ[Úroveň 9 bez koef. (P2)],RZ[0],AX36,RZ[Úroveň 2 (P0)],AY36,RZ[Úroveň 3 (P0)],AZ36,RZ[Úroveň 4 (P0)],BA36,RZ[Úroveň 5 (P0)],BB36,RZ[Úroveň 6 (P0)],BC36,RZ[Úroveň 7 (P0)],BD36,RZ[Úroveň 8 (P0)],BE36),$BO36*$IG36)</f>
        <v>0</v>
      </c>
      <c r="CV36" s="132">
        <f ca="1">RZ[[#This Row],[Úroveň 9 s koef. (P2a)]]*RZ[[#This Row],[Počet MJHR (P0)]]</f>
        <v>0</v>
      </c>
      <c r="CW36" s="132">
        <f ca="1">RZ[Úroveň 9 bez koef. (P2a)]*RZ[[#This Row],[Počet MJHR (P0)]]</f>
        <v>0</v>
      </c>
      <c r="CX36" s="132">
        <f ca="1">IF(OFFSET(BG36,1,0,1,1)&lt;&gt;0,RZ[[#This Row],[Koeficient odhadu HR '[-'] (P1)]]*$BP36*SUMIFS(RZ[Úroveň 10 s koef. (P2)],RZ[0],AX36,RZ[Úroveň 2 (P0)],AY36,RZ[Úroveň 3 (P0)],AZ36,RZ[Úroveň 4 (P0)],BA36,RZ[Úroveň 5 (P0)],BB36,RZ[Úroveň 6 (P0)],BC36,RZ[Úroveň 7 (P0)],BD36,RZ[Úroveň 8 (P0)],BE36,RZ[Úroveň 9 (P0)],BF36),RZ[[#This Row],[Koeficient odhadu HR '[-'] (P1)]]*$BP36*$IG36)</f>
        <v>0</v>
      </c>
      <c r="CY36" s="132">
        <f ca="1">IF(OFFSET(BG36,1,0,1,1)&lt;&gt;0,$BP36*SUMIFS(RZ[Úroveň 10 bez koef. (P2)],RZ[0],AX36,RZ[Úroveň 2 (P0)],AY36,RZ[Úroveň 3 (P0)],AZ36,RZ[Úroveň 4 (P0)],BA36,RZ[Úroveň 5 (P0)],BB36,RZ[Úroveň 6 (P0)],BC36,RZ[Úroveň 7 (P0)],BD36,RZ[Úroveň 8 (P0)],BE36,RZ[Úroveň 9 (P0)],BF36),$BP36*$IG36)</f>
        <v>0</v>
      </c>
      <c r="CZ36" s="138">
        <f>RZ[[#This Row],[Úroveň 10 s koef. (P2a)]]*RZ[[#This Row],[Počet MJHR (P0)]]</f>
        <v>0</v>
      </c>
      <c r="DA36" s="138">
        <f>RZ[Úroveň 10 bez koef. (P2a)]*RZ[[#This Row],[Počet MJHR (P0)]]</f>
        <v>0</v>
      </c>
      <c r="DB36" s="138">
        <f>RZ[[#This Row],[Koeficient odhadu HR '[-'] (P1)]]*$BQ36*IG36</f>
        <v>0</v>
      </c>
      <c r="DC36" s="231">
        <f t="shared" si="175"/>
        <v>0</v>
      </c>
      <c r="DD36" s="241">
        <f t="shared" ca="1" si="176"/>
        <v>284</v>
      </c>
      <c r="DE36" s="229">
        <f t="shared" ca="1" si="177"/>
        <v>284</v>
      </c>
      <c r="DF36" s="912">
        <f t="shared" si="178"/>
        <v>0</v>
      </c>
      <c r="DG36" s="913">
        <f t="shared" si="179"/>
        <v>0</v>
      </c>
      <c r="DH36" s="913">
        <f t="shared" si="180"/>
        <v>4</v>
      </c>
      <c r="DI36" s="913">
        <f t="shared" si="181"/>
        <v>0</v>
      </c>
      <c r="DJ36" s="913">
        <f t="shared" si="182"/>
        <v>0</v>
      </c>
      <c r="DK36" s="913">
        <f t="shared" si="183"/>
        <v>0</v>
      </c>
      <c r="DL36" s="913">
        <f t="shared" si="184"/>
        <v>0</v>
      </c>
      <c r="DM36" s="913">
        <f t="shared" si="185"/>
        <v>0</v>
      </c>
      <c r="DN36" s="913">
        <f t="shared" si="186"/>
        <v>0</v>
      </c>
      <c r="DO36" s="913">
        <f t="shared" si="187"/>
        <v>0</v>
      </c>
      <c r="DP36" s="914">
        <f ca="1">SUMIFS(RZ[Úroveň 1 (P4)],RZ[0],AX36)</f>
        <v>1</v>
      </c>
      <c r="DQ36" s="914">
        <f ca="1">SUMIFS(RZ[Úroveň 2 (P4)],RZ[0],AX36,RZ[Úroveň 2 (P0)],AY36)</f>
        <v>1</v>
      </c>
      <c r="DR36" s="914">
        <f ca="1">SUMIFS(RZ[Úroveň 3 (P4)],RZ[0],AX36,RZ[Úroveň 2 (P0)],AY36,RZ[Úroveň 3 (P0)],AZ36)</f>
        <v>4</v>
      </c>
      <c r="DS36" s="914">
        <f ca="1">SUMIFS(RZ[Úroveň 4 (P4)],RZ[0],AX36,RZ[Úroveň 2 (P0)],AY36,RZ[Úroveň 3 (P0)],AZ36,RZ[Úroveň 4 (P0)],BA36)</f>
        <v>0</v>
      </c>
      <c r="DT36" s="914">
        <f ca="1">SUMIFS(RZ[Úroveň 5 (P4)],RZ[0],AX36,RZ[Úroveň 2 (P0)],AY36,RZ[Úroveň 3 (P0)],AZ36,RZ[Úroveň 4 (P0)],BA36,RZ[Úroveň 5 (P0)],BB36)</f>
        <v>0</v>
      </c>
      <c r="DU36" s="914">
        <f ca="1">SUMIFS(RZ[Úroveň 6 (P4)],RZ[0],AX36,RZ[Úroveň 2 (P0)],AY36,RZ[Úroveň 3 (P0)],AZ36,RZ[Úroveň 4 (P0)],BA36,RZ[Úroveň 5 (P0)],BB36,RZ[Úroveň 6 (P0)],BC36)</f>
        <v>0</v>
      </c>
      <c r="DV36" s="914">
        <f ca="1">SUMIFS(RZ[Úroveň 7 (P4)],RZ[0],AX36,RZ[Úroveň 2 (P0)],AY36,RZ[Úroveň 3 (P0)],AZ36,RZ[Úroveň 4 (P0)],BA36,RZ[Úroveň 5 (P0)],BB36,RZ[Úroveň 6 (P0)],BC36,RZ[Úroveň 7 (P0)],BD36)</f>
        <v>0</v>
      </c>
      <c r="DW36" s="914">
        <f ca="1">SUMIFS(RZ[Úroveň 8 (P4)],RZ[0],AX36,RZ[Úroveň 2 (P0)],AY36,RZ[Úroveň 3 (P0)],AZ36,RZ[Úroveň 4 (P0)],BA36,RZ[Úroveň 5 (P0)],BB36,RZ[Úroveň 6 (P0)],BC36,RZ[Úroveň 7 (P0)],BD36,RZ[Úroveň 8 (P0)],BE36)</f>
        <v>0</v>
      </c>
      <c r="DX36" s="914">
        <f ca="1">SUMIFS(RZ[Úroveň 9 (P4)],RZ[0],AX36,RZ[Úroveň 2 (P0)],AY36,RZ[Úroveň 3 (P0)],AZ36,RZ[Úroveň 4 (P0)],BA36,RZ[Úroveň 5 (P0)],BB36,RZ[Úroveň 6 (P0)],BC36,RZ[Úroveň 7 (P0)],BD36,RZ[Úroveň 8 (P0)],BE36,RZ[Úroveň 9 (P0)],BF36)</f>
        <v>0</v>
      </c>
      <c r="DY36" s="914">
        <f ca="1">SUMIFS(RZ[Úroveň 10 (P4)],RZ[0],AX36,RZ[Úroveň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DZ36" s="915">
        <f t="shared" ca="1" si="188"/>
        <v>4</v>
      </c>
      <c r="EA36" s="916">
        <f ca="1">RZ[[#This Row],[Jednotková hmotnost bez koef. '[kg/MJHR'] (P0)]]*RZ[[#This Row],[Počet MJHR v rozpadu (P0)]]</f>
        <v>1136</v>
      </c>
      <c r="EB36" s="917">
        <f ca="1">IF(OFFSET(AY36,1,0,1,1)&lt;&gt;0,RZ[[#This Row],[Koeficient odhadu CR '[-'] (P1)]]*$BH36*SUMIFS(RZ[Úroveň 2 s koef. (P3)],RZ[0],AX36),RZ[[#This Row],[Koeficient odhadu CR '[-'] (P1)]]*$BH36*$IQ36)</f>
        <v>0</v>
      </c>
      <c r="EC36" s="191">
        <f ca="1">IF(OFFSET(AY36,1,0,1,1)&lt;&gt;0,$BH36*SUMIFS(RZ[Úroveň 2 bez koef. (P3)],RZ[0],AX36),$BH36*$IQ36)</f>
        <v>0</v>
      </c>
      <c r="ED36" s="140">
        <f ca="1">RZ[[#This Row],[Úroveň 2 s koef. (P3a)]]*RZ[[#This Row],[Počet MJCR (P0) pro "kg"]]</f>
        <v>0</v>
      </c>
      <c r="EE36" s="140">
        <f ca="1">RZ[Úroveň 2 bez koef. (P3a)]*RZ[[#This Row],[Počet MJCR (P0) pro "kg"]]</f>
        <v>0</v>
      </c>
      <c r="EF36" s="140">
        <f ca="1">IF(OFFSET(AZ36,1,0,1,1)&lt;&gt;0,RZ[[#This Row],[Koeficient odhadu CR '[-'] (P1)]]*$BI36*SUMIFS(RZ[Úroveň 3 s koef. (P3)],RZ[0],AX36,RZ[Úroveň 2 (P0)],AY36),RZ[[#This Row],[Koeficient odhadu CR '[-'] (P1)]]*$BI36*$IQ36)</f>
        <v>0</v>
      </c>
      <c r="EG36" s="140">
        <f ca="1">IF(OFFSET(AZ36,1,0,1,1)&lt;&gt;0,$BI36*SUMIFS(RZ[Úroveň 3 bez koef. (P3)],RZ[0],AX36,RZ[Úroveň 2 (P0)],AY36),$BI36*$IQ36)</f>
        <v>0</v>
      </c>
      <c r="EH36" s="135">
        <f ca="1">RZ[[#This Row],[Úroveň 3 s koef. (P3a)]]*RZ[[#This Row],[Počet MJCR (P0) pro "kg"]]</f>
        <v>440000</v>
      </c>
      <c r="EI36" s="135">
        <f ca="1">RZ[Úroveň 3 bez koef. (P3a)]*RZ[[#This Row],[Počet MJCR (P0) pro "kg"]]</f>
        <v>440000</v>
      </c>
      <c r="EJ36" s="135">
        <f ca="1">IF(OFFSET(BA36,1,0,1,1)&lt;&gt;0,RZ[[#This Row],[Koeficient odhadu CR '[-'] (P1)]]*$BJ36*SUMIFS(RZ[Úroveň 4 s koef. (P3)],RZ[0],AX36,RZ[Úroveň 2 (P0)],AY36,RZ[Úroveň 3 (P0)],AZ36),RZ[[#This Row],[Koeficient odhadu CR '[-'] (P1)]]*$BJ36*$IQ36)</f>
        <v>110000</v>
      </c>
      <c r="EK36" s="135">
        <f ca="1">IF(OFFSET(BA36,1,0,1,1)&lt;&gt;0,$BJ36*SUMIFS(RZ[Úroveň 4 bez koef. (P3)],RZ[0],AX36,RZ[Úroveň 2 (P0)],AY36,RZ[Úroveň 3 (P0)],AZ36),$BJ36*$IQ36)</f>
        <v>110000</v>
      </c>
      <c r="EL36" s="140">
        <f ca="1">RZ[[#This Row],[Úroveň 4 s koef. (P3a)]]*RZ[[#This Row],[Počet MJCR (P0) pro "kg"]]</f>
        <v>0</v>
      </c>
      <c r="EM36" s="140">
        <f ca="1">RZ[Úroveň 4 bez koef. (P3a)]*RZ[[#This Row],[Počet MJCR (P0) pro "kg"]]</f>
        <v>0</v>
      </c>
      <c r="EN36" s="140">
        <f ca="1">IF(OFFSET(BB36,1,0,1,1)&lt;&gt;0,RZ[[#This Row],[Koeficient odhadu CR '[-'] (P1)]]*$BK36*SUMIFS(RZ[Úroveň 5 s koef. (P3)],RZ[0],AX36,RZ[Úroveň 2 (P0)],AY36,RZ[Úroveň 3 (P0)],AZ36,RZ[Úroveň 4 (P0)],BA36),RZ[[#This Row],[Koeficient odhadu CR '[-'] (P1)]]*$BK36*$IQ36)</f>
        <v>0</v>
      </c>
      <c r="EO36" s="140">
        <f ca="1">IF(OFFSET(BB36,1,0,1,1)&lt;&gt;0,$BK36*SUMIFS(RZ[Úroveň 5 bez koef. (P3)],RZ[0],AX36,RZ[Úroveň 2 (P0)],AY36,RZ[Úroveň 3 (P0)],AZ36,RZ[Úroveň 4 (P0)],BA36),$BK36*$IQ36)</f>
        <v>0</v>
      </c>
      <c r="EP36" s="135">
        <f ca="1">RZ[[#This Row],[Úroveň 5 s koef. (P3a)]]*RZ[[#This Row],[Počet MJCR (P0) pro "kg"]]</f>
        <v>0</v>
      </c>
      <c r="EQ36" s="135">
        <f ca="1">RZ[Úroveň 5 bez koef. (P3a)]*RZ[[#This Row],[Počet MJCR (P0) pro "kg"]]</f>
        <v>0</v>
      </c>
      <c r="ER36" s="135">
        <f ca="1">IF(OFFSET(BC36,1,0,1,1)&lt;&gt;0,RZ[[#This Row],[Koeficient odhadu CR '[-'] (P1)]]*$BL36*SUMIFS(RZ[Úroveň 6 s koef. (P3)],RZ[0],AX36,RZ[Úroveň 2 (P0)],AY36,RZ[Úroveň 3 (P0)],AZ36,RZ[Úroveň 4 (P0)],BA36,RZ[Úroveň 5 (P0)],BB36),RZ[[#This Row],[Koeficient odhadu CR '[-'] (P1)]]*$BL36*$IQ36)</f>
        <v>0</v>
      </c>
      <c r="ES36" s="135">
        <f ca="1">IF(OFFSET(BC36,1,0,1,1)&lt;&gt;0,$BL36*SUMIFS(RZ[Úroveň 6 bez koef. (P3)],RZ[0],AX36,RZ[Úroveň 2 (P0)],AY36,RZ[Úroveň 3 (P0)],AZ36,RZ[Úroveň 4 (P0)],BA36,RZ[Úroveň 5 (P0)],BB36),$BL36*$IQ36)</f>
        <v>0</v>
      </c>
      <c r="ET36" s="140">
        <f ca="1">RZ[[#This Row],[Úroveň 6 s koef. (P3a)]]*RZ[[#This Row],[Počet MJCR (P0) pro "kg"]]</f>
        <v>0</v>
      </c>
      <c r="EU36" s="140">
        <f ca="1">RZ[Úroveň 6 bez koef. (P3a)]*RZ[[#This Row],[Počet MJCR (P0) pro "kg"]]</f>
        <v>0</v>
      </c>
      <c r="EV36" s="140">
        <f ca="1">IF(OFFSET(BD36,1,0,1,1)&lt;&gt;0,RZ[[#This Row],[Koeficient odhadu CR '[-'] (P1)]]*$BM36*SUMIFS(RZ[Úroveň 7 s koef. (P3)],RZ[0],AX36,RZ[Úroveň 2 (P0)],AY36,RZ[Úroveň 3 (P0)],AZ36,RZ[Úroveň 4 (P0)],BA36,RZ[Úroveň 5 (P0)],BB36,RZ[Úroveň 6 (P0)],BC36),RZ[[#This Row],[Koeficient odhadu CR '[-'] (P1)]]*$BM36*$IQ36)</f>
        <v>0</v>
      </c>
      <c r="EW36" s="140">
        <f ca="1">IF(OFFSET(BD36,1,0,1,1)&lt;&gt;0,$BM36*SUMIFS(RZ[Úroveň 7 bez koef. (P3)],RZ[0],AX36,RZ[Úroveň 2 (P0)],AY36,RZ[Úroveň 3 (P0)],AZ36,RZ[Úroveň 4 (P0)],BA36,RZ[Úroveň 5 (P0)],BB36,RZ[Úroveň 6 (P0)],BC36),$BM36*$IQ36)</f>
        <v>0</v>
      </c>
      <c r="EX36" s="135">
        <f ca="1">RZ[[#This Row],[Úroveň 7 s koef. (P3a)]]*RZ[[#This Row],[Počet MJCR (P0) pro "kg"]]</f>
        <v>0</v>
      </c>
      <c r="EY36" s="135">
        <f ca="1">RZ[Úroveň 7 bez koef. (P3a)]*RZ[[#This Row],[Počet MJCR (P0) pro "kg"]]</f>
        <v>0</v>
      </c>
      <c r="EZ36" s="135">
        <f ca="1">IF(OFFSET(BE36,1,0,1,1)&lt;&gt;0,RZ[[#This Row],[Koeficient odhadu CR '[-'] (P1)]]*$BN36*SUMIFS(RZ[Úroveň 8 s koef. (P3)],RZ[0],AX36,RZ[Úroveň 2 (P0)],AY36,RZ[Úroveň 3 (P0)],AZ36,RZ[Úroveň 4 (P0)],BA36,RZ[Úroveň 5 (P0)],BB36,RZ[Úroveň 6 (P0)],BC36,RZ[Úroveň 7 (P0)],BD36),RZ[[#This Row],[Koeficient odhadu CR '[-'] (P1)]]*$BN36*$IQ36)</f>
        <v>0</v>
      </c>
      <c r="FA36" s="135">
        <f ca="1">IF(OFFSET(BE36,1,0,1,1)&lt;&gt;0,$BN36*SUMIFS(RZ[Úroveň 8 bez koef. (P3)],RZ[0],AX36,RZ[Úroveň 2 (P0)],AY36,RZ[Úroveň 3 (P0)],AZ36,RZ[Úroveň 4 (P0)],BA36,RZ[Úroveň 5 (P0)],BB36,RZ[Úroveň 6 (P0)],BC36,RZ[Úroveň 7 (P0)],BD36),$BN36*$IQ36)</f>
        <v>0</v>
      </c>
      <c r="FB36" s="140">
        <f ca="1">RZ[[#This Row],[Úroveň 8 s koef. (P3a)]]*RZ[[#This Row],[Počet MJCR (P0) pro "kg"]]</f>
        <v>0</v>
      </c>
      <c r="FC36" s="140">
        <f ca="1">RZ[Úroveň 8 bez koef. (P3a)]*RZ[[#This Row],[Počet MJCR (P0) pro "kg"]]</f>
        <v>0</v>
      </c>
      <c r="FD36" s="140">
        <f ca="1">IF(OFFSET(BF36,1,0,1,1)&lt;&gt;0,RZ[[#This Row],[Koeficient odhadu CR '[-'] (P1)]]*$BO36*SUMIFS(RZ[Úroveň 9 s koef. (P3)],RZ[0],AX36,RZ[Úroveň 2 (P0)],AY36,RZ[Úroveň 3 (P0)],AZ36,RZ[Úroveň 4 (P0)],BA36,RZ[Úroveň 5 (P0)],BB36,RZ[Úroveň 6 (P0)],BC36,RZ[Úroveň 7 (P0)],BD36,RZ[Úroveň 8 (P0)],BE36),RZ[[#This Row],[Koeficient odhadu CR '[-'] (P1)]]*$BO36*$IQ36)</f>
        <v>0</v>
      </c>
      <c r="FE36" s="140">
        <f ca="1">IF(OFFSET(BF36,1,0,1,1)&lt;&gt;0,$BO36*SUMIFS(RZ[Úroveň 9 bez koef. (P3)],RZ[0],AX36,RZ[Úroveň 2 (P0)],AY36,RZ[Úroveň 3 (P0)],AZ36,RZ[Úroveň 4 (P0)],BA36,RZ[Úroveň 5 (P0)],BB36,RZ[Úroveň 6 (P0)],BC36,RZ[Úroveň 7 (P0)],BD36,RZ[Úroveň 8 (P0)],BE36),$BO36*$IQ36)</f>
        <v>0</v>
      </c>
      <c r="FF36" s="135">
        <f ca="1">RZ[[#This Row],[Úroveň 9 s koef. (P3a)]]*RZ[[#This Row],[Počet MJCR (P0) pro "kg"]]</f>
        <v>0</v>
      </c>
      <c r="FG36" s="135">
        <f ca="1">RZ[Úroveň 9 bez koef. (P3a)]*RZ[[#This Row],[Počet MJCR (P0) pro "kg"]]</f>
        <v>0</v>
      </c>
      <c r="FH36" s="135">
        <f ca="1">IF(OFFSET(BG36,1,0,1,1)&lt;&gt;0,RZ[[#This Row],[Koeficient odhadu CR '[-'] (P1)]]*$BP36*SUMIFS(RZ[Úroveň 10 s koef. (P3)],RZ[0],AX36,RZ[Úroveň 2 (P0)],AY36,RZ[Úroveň 3 (P0)],AZ36,RZ[Úroveň 4 (P0)],BA36,RZ[Úroveň 5 (P0)],BB36,RZ[Úroveň 6 (P0)],BC36,RZ[Úroveň 7 (P0)],BD36,RZ[Úroveň 8 (P0)],BE36,RZ[Úroveň 9 (P0)],BF36),RZ[[#This Row],[Koeficient odhadu CR '[-'] (P1)]]*$BP36*$IQ36)</f>
        <v>0</v>
      </c>
      <c r="FI36" s="135">
        <f ca="1">IF(OFFSET(BG36,1,0,1,1)&lt;&gt;0,$BP36*SUMIFS(RZ[Úroveň 10 bez koef. (P3)],RZ[0],AX36,RZ[Úroveň 2 (P0)],AY36,RZ[Úroveň 3 (P0)],AZ36,RZ[Úroveň 4 (P0)],BA36,RZ[Úroveň 5 (P0)],BB36,RZ[Úroveň 6 (P0)],BC36,RZ[Úroveň 7 (P0)],BD36,RZ[Úroveň 8 (P0)],BE36,RZ[Úroveň 9 (P0)],BF36),$BP36*$IQ36)</f>
        <v>0</v>
      </c>
      <c r="FJ36" s="140">
        <f ca="1">RZ[[#This Row],[Úroveň 10 s koef. (P3a)]]*RZ[[#This Row],[Počet MJCR (P0) pro "kg"]]</f>
        <v>0</v>
      </c>
      <c r="FK36" s="140">
        <f ca="1">RZ[Úroveň 10 bez koef. (P3a)]*RZ[[#This Row],[Počet MJCR (P0) pro "kg"]]</f>
        <v>0</v>
      </c>
      <c r="FL36" s="140">
        <f ca="1">RZ[[#This Row],[Koeficient odhadu CR '[-'] (P1)]]*$BQ36*IQ36</f>
        <v>0</v>
      </c>
      <c r="FM36" s="236">
        <f t="shared" ca="1" si="189"/>
        <v>0</v>
      </c>
      <c r="FN36" s="194">
        <f t="shared" ca="1" si="190"/>
        <v>110000</v>
      </c>
      <c r="FO36" s="238">
        <f t="shared" ca="1" si="191"/>
        <v>110000</v>
      </c>
      <c r="FP36" s="135">
        <f t="shared" ca="1" si="192"/>
        <v>0</v>
      </c>
      <c r="FQ36" s="135">
        <f t="shared" ca="1" si="193"/>
        <v>0</v>
      </c>
      <c r="FR36" s="135">
        <f t="shared" ca="1" si="194"/>
        <v>4</v>
      </c>
      <c r="FS36" s="135">
        <f t="shared" ca="1" si="195"/>
        <v>0</v>
      </c>
      <c r="FT36" s="135">
        <f t="shared" ca="1" si="196"/>
        <v>0</v>
      </c>
      <c r="FU36" s="135">
        <f t="shared" ca="1" si="197"/>
        <v>0</v>
      </c>
      <c r="FV36" s="135">
        <f t="shared" ca="1" si="198"/>
        <v>0</v>
      </c>
      <c r="FW36" s="135">
        <f t="shared" ca="1" si="199"/>
        <v>0</v>
      </c>
      <c r="FX36" s="135">
        <f t="shared" ca="1" si="200"/>
        <v>0</v>
      </c>
      <c r="FY36" s="135">
        <f t="shared" ca="1" si="201"/>
        <v>0</v>
      </c>
      <c r="FZ36" s="140">
        <f ca="1">SUMIFS(RZ[Úroveň 1 (P6)],RZ[0],AX36)</f>
        <v>1</v>
      </c>
      <c r="GA36" s="140">
        <f ca="1">SUMIFS(RZ[Úroveň 2 (P6)],RZ[0],AX36,RZ[Úroveň 2 (P0)],AY36)</f>
        <v>1</v>
      </c>
      <c r="GB36" s="140">
        <f ca="1">SUMIFS(RZ[Úroveň 3 (P6)],RZ[0],AX36,RZ[Úroveň 2 (P0)],AY36,RZ[Úroveň 3 (P0)],AZ36)</f>
        <v>4</v>
      </c>
      <c r="GC36" s="140">
        <f ca="1">SUMIFS(RZ[Úroveň 4 (P6)],RZ[0],AX36,RZ[Úroveň 2 (P0)],AY36,RZ[Úroveň 3 (P0)],AZ36,RZ[Úroveň 4 (P0)],BA36)</f>
        <v>0</v>
      </c>
      <c r="GD36" s="140">
        <f ca="1">SUMIFS(RZ[Úroveň 5 (P6)],RZ[0],AX36,RZ[Úroveň 2 (P0)],AY36,RZ[Úroveň 3 (P0)],AZ36,RZ[Úroveň 4 (P0)],BA36,RZ[Úroveň 5 (P0)],BB36)</f>
        <v>0</v>
      </c>
      <c r="GE36" s="140">
        <f ca="1">SUMIFS(RZ[Úroveň 6 (P6)],RZ[0],AX36,RZ[Úroveň 2 (P0)],AY36,RZ[Úroveň 3 (P0)],AZ36,RZ[Úroveň 4 (P0)],BA36,RZ[Úroveň 5 (P0)],BB36,RZ[Úroveň 6 (P0)],BC36)</f>
        <v>0</v>
      </c>
      <c r="GF36" s="140">
        <f ca="1">SUMIFS(RZ[Úroveň 7 (P6)],RZ[0],AX36,RZ[Úroveň 2 (P0)],AY36,RZ[Úroveň 3 (P0)],AZ36,RZ[Úroveň 4 (P0)],BA36,RZ[Úroveň 5 (P0)],BB36,RZ[Úroveň 6 (P0)],BC36,RZ[Úroveň 7 (P0)],BD36)</f>
        <v>0</v>
      </c>
      <c r="GG36" s="140">
        <f ca="1">SUMIFS(RZ[Úroveň 8 (P6)],RZ[0],AX36,RZ[Úroveň 2 (P0)],AY36,RZ[Úroveň 3 (P0)],AZ36,RZ[Úroveň 4 (P0)],BA36,RZ[Úroveň 5 (P0)],BB36,RZ[Úroveň 6 (P0)],BC36,RZ[Úroveň 7 (P0)],BD36,RZ[Úroveň 8 (P0)],BE36)</f>
        <v>0</v>
      </c>
      <c r="GH36" s="140">
        <f ca="1">SUMIFS(RZ[Úroveň 9 (P6)],RZ[0],AX36,RZ[Úroveň 2 (P0)],AY36,RZ[Úroveň 3 (P0)],AZ36,RZ[Úroveň 4 (P0)],BA36,RZ[Úroveň 5 (P0)],BB36,RZ[Úroveň 6 (P0)],BC36,RZ[Úroveň 7 (P0)],BD36,RZ[Úroveň 8 (P0)],BE36,RZ[Úroveň 9 (P0)],BF36)</f>
        <v>0</v>
      </c>
      <c r="GI36" s="140">
        <f ca="1">SUMIFS(RZ[Úroveň 10 (P6)],RZ[0],AX36,RZ[Úroveň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GJ36" s="918">
        <f t="shared" ca="1" si="202"/>
        <v>4</v>
      </c>
      <c r="GK36" s="808">
        <f t="shared" si="203"/>
        <v>0</v>
      </c>
      <c r="GL36" s="808">
        <f t="shared" si="204"/>
        <v>0</v>
      </c>
      <c r="GM36" s="808">
        <f t="shared" si="205"/>
        <v>1</v>
      </c>
      <c r="GN36" s="808">
        <f t="shared" si="206"/>
        <v>0</v>
      </c>
      <c r="GO36" s="808">
        <f t="shared" si="207"/>
        <v>0</v>
      </c>
      <c r="GP36" s="808">
        <f t="shared" si="208"/>
        <v>0</v>
      </c>
      <c r="GQ36" s="808">
        <f t="shared" si="209"/>
        <v>0</v>
      </c>
      <c r="GR36" s="808">
        <f t="shared" si="210"/>
        <v>0</v>
      </c>
      <c r="GS36" s="808">
        <f t="shared" si="211"/>
        <v>0</v>
      </c>
      <c r="GT36" s="808">
        <f t="shared" si="212"/>
        <v>0</v>
      </c>
      <c r="GU36" s="809">
        <f ca="1">SUMIFS(RZ[Sloupec1],RZ[0],AX36)</f>
        <v>1</v>
      </c>
      <c r="GV36" s="809">
        <f ca="1">SUMIFS(RZ[Sloupec2],RZ[0],AX36,RZ[Úroveň 2 (P0)],AY36)</f>
        <v>1</v>
      </c>
      <c r="GW36" s="809">
        <f ca="1">SUMIFS(RZ[Sloupec3],RZ[0],AX36,RZ[Úroveň 2 (P0)],AY36,RZ[Úroveň 3 (P0)],AZ36)</f>
        <v>1</v>
      </c>
      <c r="GX36" s="809">
        <f ca="1">SUMIFS(RZ[Sloupec4],RZ[0],AX36,RZ[Úroveň 2 (P0)],AY36,RZ[Úroveň 3 (P0)],AZ36,RZ[Úroveň 4 (P0)],BA36)</f>
        <v>0</v>
      </c>
      <c r="GY36" s="809">
        <f ca="1">SUMIFS(RZ[Sloupec5],RZ[0],AX36,RZ[Úroveň 2 (P0)],AY36,RZ[Úroveň 3 (P0)],AZ36,RZ[Úroveň 4 (P0)],BA36,RZ[Úroveň 5 (P0)],BB36)</f>
        <v>0</v>
      </c>
      <c r="GZ36" s="809">
        <f ca="1">SUMIFS(RZ[Sloupec6],RZ[0],AX36,RZ[Úroveň 2 (P0)],AY36,RZ[Úroveň 3 (P0)],AZ36,RZ[Úroveň 4 (P0)],BA36,RZ[Úroveň 5 (P0)],BB36,RZ[Úroveň 6 (P0)],BC36)</f>
        <v>0</v>
      </c>
      <c r="HA36" s="809">
        <f ca="1">SUMIFS(RZ[Sloupec62],RZ[0],AX36,RZ[Úroveň 2 (P0)],AY36,RZ[Úroveň 3 (P0)],AZ36,RZ[Úroveň 4 (P0)],BA36,RZ[Úroveň 5 (P0)],BB36,RZ[Úroveň 6 (P0)],BC36,RZ[Úroveň 7 (P0)],BD36)</f>
        <v>0</v>
      </c>
      <c r="HB36" s="809">
        <f ca="1">SUMIFS(RZ[Sloupec63],RZ[0],AX36,RZ[Úroveň 2 (P0)],AY36,RZ[Úroveň 3 (P0)],AZ36,RZ[Úroveň 4 (P0)],BA36,RZ[Úroveň 5 (P0)],BB36,RZ[Úroveň 6 (P0)],BC36,RZ[Úroveň 7 (P0)],BD36,RZ[Úroveň 8 (P0)],BE36)</f>
        <v>0</v>
      </c>
      <c r="HC36" s="809">
        <f ca="1">SUMIFS(RZ[Sloupec64],RZ[0],AX36,RZ[Úroveň 2 (P0)],AY36,RZ[Úroveň 3 (P0)],AZ36,RZ[Úroveň 4 (P0)],BA36,RZ[Úroveň 5 (P0)],BB36,RZ[Úroveň 6 (P0)],BC36,RZ[Úroveň 7 (P0)],BD36,RZ[Úroveň 8 (P0)],BE36,RZ[Úroveň 9 (P0)],BF36)</f>
        <v>0</v>
      </c>
      <c r="HD36" s="809">
        <f ca="1">SUMIFS(RZ[Sloupec65],RZ[0],AX36,RZ[Úroveň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HE36" s="919">
        <f t="shared" ca="1" si="213"/>
        <v>1</v>
      </c>
      <c r="HF36" s="920" t="str">
        <f t="shared" si="214"/>
        <v/>
      </c>
      <c r="HG36" s="94" t="str">
        <f t="shared" si="215"/>
        <v/>
      </c>
      <c r="HH36" s="95" t="str">
        <f t="shared" si="216"/>
        <v/>
      </c>
      <c r="HI36" s="95" t="str">
        <f t="shared" si="217"/>
        <v>Ložisko - průměr 200 mm</v>
      </c>
      <c r="HJ36" s="96" t="str">
        <f t="shared" si="218"/>
        <v/>
      </c>
      <c r="HK36" s="96" t="str">
        <f t="shared" si="219"/>
        <v/>
      </c>
      <c r="HL36" s="96" t="str">
        <f t="shared" si="220"/>
        <v/>
      </c>
      <c r="HM36" s="96" t="str">
        <f t="shared" si="221"/>
        <v/>
      </c>
      <c r="HN36" s="96" t="str">
        <f t="shared" si="222"/>
        <v/>
      </c>
      <c r="HO36" s="96" t="str">
        <f t="shared" si="223"/>
        <v/>
      </c>
      <c r="HP36" s="96" t="str">
        <f t="shared" si="224"/>
        <v/>
      </c>
      <c r="HQ36" s="145" t="str">
        <f t="shared" si="225"/>
        <v>STLO</v>
      </c>
      <c r="HR36" s="921" t="str">
        <f t="shared" si="226"/>
        <v/>
      </c>
      <c r="HS36" s="173">
        <f t="shared" si="227"/>
        <v>0</v>
      </c>
      <c r="HT36" s="100">
        <f t="shared" si="228"/>
        <v>0</v>
      </c>
      <c r="HU36" s="100">
        <f t="shared" si="229"/>
        <v>0</v>
      </c>
      <c r="HV36" s="908" t="str">
        <f t="shared" si="230"/>
        <v>Zajíc</v>
      </c>
      <c r="HW36" s="922">
        <f t="shared" si="231"/>
        <v>42950.623298611114</v>
      </c>
      <c r="HX36" s="224">
        <f t="shared" si="232"/>
        <v>0</v>
      </c>
      <c r="HY36" s="263" t="str">
        <f t="shared" si="233"/>
        <v>S</v>
      </c>
      <c r="HZ36" s="263" t="str">
        <f t="shared" si="234"/>
        <v>N</v>
      </c>
      <c r="IA36" s="150">
        <f t="shared" si="235"/>
        <v>1</v>
      </c>
      <c r="IB36" s="319">
        <f t="shared" si="236"/>
        <v>110000</v>
      </c>
      <c r="IC36" s="923">
        <f t="shared" si="237"/>
        <v>1</v>
      </c>
      <c r="ID36" s="924" t="str">
        <f t="shared" ca="1" si="238"/>
        <v>OK</v>
      </c>
      <c r="IE36" s="201" t="str">
        <f t="shared" si="239"/>
        <v>ks</v>
      </c>
      <c r="IF36" s="145">
        <f t="shared" si="240"/>
        <v>4</v>
      </c>
      <c r="IG36" s="216">
        <f t="shared" si="241"/>
        <v>284</v>
      </c>
      <c r="IH36" s="217">
        <f t="shared" si="242"/>
        <v>1</v>
      </c>
      <c r="II36" s="224" t="str">
        <f ca="1">IF(RZ[[#This Row],[Rozhodný sloupec indikativní ceny]]=1,"kg",IF($IW36=$JL$15,IF(JX36=0,JO36,JX36),IF($IW36=$KE$15,IF(KQ36=0,KH36,KQ36),IF($IW36=$KX$15,IF(LJ36=0,LA36,LJ36),IF($IW36=$LQ$15,IF(MC36=0,LT36,MC36),IF($IW36=$MJ$15,IF(NQ36=0,NH36,NQ36),0))))))</f>
        <v>ks</v>
      </c>
      <c r="IJ36" s="224">
        <f ca="1">IF((BH36+OFFSET(BH36,1,1,1,1))=2,RZ[[#This Row],[Počet MJHR (P0)]],IF((BI36+OFFSET(BI36,1,1,1,1))=2,RZ[[#This Row],[Počet MJHR (P0)]],IF((BJ36+OFFSET(BJ36,1,1,1,1))=2,RZ[[#This Row],[Počet MJHR (P0)]],IF((BK36+OFFSET(BK36,1,1,1,1))=2,RZ[[#This Row],[Počet MJHR (P0)]],IF((BL36+OFFSET(BL36,1,1,1,1))=2,RZ[[#This Row],[Počet MJHR (P0)]],IF((BM36+OFFSET(BM36,1,1,1,1))=2,RZ[[#This Row],[Počet MJHR (P0)]],IF((BN36+OFFSET(BN36,1,1,1,1))=2,RZ[[#This Row],[Počet MJHR (P0)]],IF((BO36+OFFSET(BO36,1,1,1,1))=2,RZ[[#This Row],[Počet MJHR (P0)]],IF((BP36+OFFSET(BP36,1,1,1,1))=2,RZ[[#This Row],[Počet MJHR (P0)]],IF((BQ36+OFFSET(BQ36,1,1,1,1))=2,RZ[[#This Row],[Počet MJHR (P0)]],IF(RZ[[#This Row],[Měrná jednotka CR (MJCR) (P0)]]=RZ[[#This Row],[Měrná jednotka HR '[MJHR'] (P0)]],RZ[[#This Row],[Počet MJHR (P0)]],IF($IW36=$JL$15,JY36,IF($IW36=$KE$15,KR36,IF($IW36=$KX$15,LK36,IF($IW36=$LQ$15,MD36,IF($IW36=$MJ$15,NR36,0))))))))))))))))</f>
        <v>4</v>
      </c>
      <c r="IK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6" s="145">
        <f ca="1">IF(AND(RZ[[#This Row],[Jednotková cena bez DPH '[cena/MJCR'] (P0)]]=0,RZ[[#This Row],[Indikativní jednotková cena '[CZK/kg'] (P1)]]&lt;&gt;0),1,0)</f>
        <v>0</v>
      </c>
      <c r="IM36" s="217">
        <f ca="1">VLOOKUP(RZ[[#This Row],[Kód položek]],INDIKAT_CENA,2,FALSE)</f>
        <v>0</v>
      </c>
      <c r="IN36" s="222">
        <f ca="1">IF(RZ[[#This Row],[Rozhodný sloupec indikativní ceny]]=1,RZ[[#This Row],[Indikativní jednotková cena '[CZK/kg'] (P1)]],RZ[[#This Row],[Jednotková cena bez DPH '[cena/MJCR'] (P0)]])</f>
        <v>110000</v>
      </c>
      <c r="IO36" s="222">
        <f t="shared" si="243"/>
        <v>1</v>
      </c>
      <c r="IP36" s="224">
        <f ca="1">IF(RZ[[#This Row],[Rozhodný sloupec indikativní ceny]]=1,1,IF($IW36=$JL$15,KA36,IF($IW36=$KE$15,KT36,IF($IW36=$KX$15,LM36,IF($IW36=$LQ$15,MF36,IF($IW36=$MJ$15,NT36,0))))))</f>
        <v>1</v>
      </c>
      <c r="IQ36" s="225">
        <f ca="1">IF(RZ[[#This Row],[Jednotková cena bez DPH '[cena/MJCR'] (P1)]]="",0,IF(IP36=0,0,(RZ[[#This Row],[Jednotková cena bez DPH '[cena/MJCR'] (P1)]]*VLOOKUP(IP36,$BR$7:$BT$10,3))))</f>
        <v>110000</v>
      </c>
      <c r="IR36" s="737"/>
      <c r="IS36" s="627">
        <f>IF(HY36=0,"",VLOOKUP(RZ[[#This Row],[Stav Projekce (P0)]],Vstupy!$E$11:'Vstupy'!$E$11:$H$17,4,FALSE))</f>
        <v>100</v>
      </c>
      <c r="IT36" s="925" t="str">
        <f>IF(RZ[[#This Row],[Stav Projekce (P0)]]=0,"",RZ[[#This Row],[Stav Projekce (P0)]])</f>
        <v>S</v>
      </c>
      <c r="IU36" s="925" t="str">
        <f>IF(RZ[[#This Row],[Stav Nákup (P0)]]=0,"",RZ[[#This Row],[Stav Nákup (P0)]])</f>
        <v>N</v>
      </c>
      <c r="IV36" s="926" t="str">
        <f t="shared" si="244"/>
        <v>Zajíc</v>
      </c>
      <c r="IW36" s="641">
        <v>1</v>
      </c>
      <c r="IX36" s="630"/>
      <c r="IY36" s="264"/>
      <c r="IZ36" s="648"/>
      <c r="JA36" s="100"/>
      <c r="JB36" s="100" t="s">
        <v>813</v>
      </c>
      <c r="JC36" s="100"/>
      <c r="JD36" s="100"/>
      <c r="JE36" s="100"/>
      <c r="JF36" s="100"/>
      <c r="JG36" s="100"/>
      <c r="JH36" s="100"/>
      <c r="JI36" s="100"/>
      <c r="JJ36" s="145" t="s">
        <v>797</v>
      </c>
      <c r="JK36" s="529"/>
      <c r="JL36" s="286"/>
      <c r="JM36" s="100"/>
      <c r="JN36" s="100"/>
      <c r="JO36" s="145" t="s">
        <v>35</v>
      </c>
      <c r="JP36" s="117">
        <v>4</v>
      </c>
      <c r="JQ36" s="117">
        <v>284</v>
      </c>
      <c r="JR36" s="148">
        <v>1</v>
      </c>
      <c r="JS36" s="145" t="s">
        <v>602</v>
      </c>
      <c r="JT36" s="631"/>
      <c r="JU36" s="148" t="s">
        <v>853</v>
      </c>
      <c r="JV36" s="154">
        <v>42950.623298611114</v>
      </c>
      <c r="JW36" s="145"/>
      <c r="JX36" s="210" t="s">
        <v>35</v>
      </c>
      <c r="JY36" s="117"/>
      <c r="JZ36" s="662">
        <v>110000</v>
      </c>
      <c r="KA36" s="145">
        <v>1</v>
      </c>
      <c r="KB36" s="148">
        <v>1</v>
      </c>
      <c r="KC36" s="148" t="s">
        <v>611</v>
      </c>
      <c r="KD36" s="644"/>
      <c r="KE36" s="286"/>
      <c r="KF36" s="100"/>
      <c r="KG36" s="100"/>
      <c r="KH36" s="210"/>
      <c r="KI36" s="117"/>
      <c r="KJ36" s="117"/>
      <c r="KK36" s="148"/>
      <c r="KL36" s="145"/>
      <c r="KM36" s="632"/>
      <c r="KN36" s="148"/>
      <c r="KO36" s="154"/>
      <c r="KP36" s="154"/>
      <c r="KQ36" s="210"/>
      <c r="KR36" s="117"/>
      <c r="KS36" s="211"/>
      <c r="KT36" s="145"/>
      <c r="KU36" s="148"/>
      <c r="KV36" s="148"/>
      <c r="KW36" s="265"/>
      <c r="KX36" s="286"/>
      <c r="KY36" s="100"/>
      <c r="KZ36" s="100"/>
      <c r="LA36" s="210"/>
      <c r="LB36" s="117"/>
      <c r="LC36" s="117"/>
      <c r="LD36" s="148"/>
      <c r="LE36" s="145"/>
      <c r="LF36" s="632"/>
      <c r="LG36" s="148"/>
      <c r="LH36" s="154"/>
      <c r="LI36" s="154"/>
      <c r="LJ36" s="154"/>
      <c r="LK36" s="117"/>
      <c r="LL36" s="211"/>
      <c r="LM36" s="210"/>
      <c r="LN36" s="148"/>
      <c r="LO36" s="148"/>
      <c r="LP36" s="265"/>
      <c r="LQ36" s="286"/>
      <c r="LR36" s="100"/>
      <c r="LS36" s="100"/>
      <c r="LT36" s="210"/>
      <c r="LU36" s="117"/>
      <c r="LV36" s="117"/>
      <c r="LW36" s="148"/>
      <c r="LX36" s="145"/>
      <c r="LY36" s="632"/>
      <c r="LZ36" s="148"/>
      <c r="MA36" s="154"/>
      <c r="MB36" s="154"/>
      <c r="MC36" s="145"/>
      <c r="MD36" s="117"/>
      <c r="ME36" s="211"/>
      <c r="MF36" s="210"/>
      <c r="MG36" s="148"/>
      <c r="MH36" s="148"/>
      <c r="MI36" s="265"/>
      <c r="MJ36" s="647"/>
      <c r="MK36" s="264"/>
      <c r="ML36" s="153"/>
      <c r="MM36" s="153"/>
      <c r="MN36" s="153"/>
      <c r="MO36" s="153"/>
      <c r="MP36" s="153"/>
      <c r="MQ36" s="153"/>
      <c r="MR36" s="153"/>
      <c r="MS36" s="99"/>
      <c r="MT36" s="99"/>
      <c r="MU36" s="99"/>
      <c r="MV36" s="99"/>
      <c r="MW36" s="99"/>
      <c r="MX36" s="99"/>
      <c r="MY36" s="153"/>
      <c r="MZ36" s="153"/>
      <c r="NA36" s="153"/>
      <c r="NB36" s="153"/>
      <c r="NC36" s="153"/>
      <c r="ND36" s="153"/>
      <c r="NE36" s="148"/>
      <c r="NF36" s="153"/>
      <c r="NG36" s="153"/>
      <c r="NH36" s="330" t="str">
        <f t="shared" si="245"/>
        <v>ks</v>
      </c>
      <c r="NI36" s="797">
        <f>RZ[[#This Row],[Počet ks (K)]]</f>
        <v>0</v>
      </c>
      <c r="NJ36" s="798">
        <f>RZ[[#This Row],[Hmotnost '[kg/ks'] (K)]]</f>
        <v>0</v>
      </c>
      <c r="NK36" s="148"/>
      <c r="NL36" s="145"/>
      <c r="NM36" s="632"/>
      <c r="NN36" s="148"/>
      <c r="NO36" s="154"/>
      <c r="NP36" s="153"/>
      <c r="NQ36" s="153"/>
      <c r="NR36" s="210"/>
      <c r="NS36" s="148"/>
      <c r="NT36" s="210"/>
      <c r="NU36" s="148"/>
      <c r="NV36" s="148"/>
      <c r="NW36" s="175"/>
    </row>
    <row r="37" spans="2:387" ht="15.95" customHeight="1" x14ac:dyDescent="0.35">
      <c r="B37" s="118" t="str">
        <f t="shared" si="129"/>
        <v/>
      </c>
      <c r="C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7" s="262" t="str">
        <f t="shared" si="130"/>
        <v xml:space="preserve">    Rám pastorku</v>
      </c>
      <c r="E37" s="120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Row],[Kód položek (P2)]]))))))))))</f>
        <v>OKS3</v>
      </c>
      <c r="F37" s="791" t="str">
        <f t="shared" si="131"/>
        <v>N/A</v>
      </c>
      <c r="G37" s="792" t="str">
        <f t="shared" si="132"/>
        <v/>
      </c>
      <c r="H37" s="262" t="str">
        <f t="shared" si="133"/>
        <v/>
      </c>
      <c r="I37" s="123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HR '[MJHR'] (P0)]]))))))))))</f>
        <v>ks</v>
      </c>
      <c r="J37" s="123">
        <f t="shared" si="134"/>
        <v>2</v>
      </c>
      <c r="K37" s="793">
        <f>RZ[[#This Row],[Koeficient odhadu HR '[-'] (P1)]]</f>
        <v>1</v>
      </c>
      <c r="L37" s="124">
        <f ca="1">RZ[[#This Row],[Jednotková hmotnost s koef. '[kg/MJHR'] (P0)]]</f>
        <v>245.7</v>
      </c>
      <c r="M37" s="794">
        <f t="shared" ca="1" si="135"/>
        <v>0</v>
      </c>
      <c r="N37" s="125">
        <f t="shared" ca="1" si="136"/>
        <v>491.4</v>
      </c>
      <c r="O37" s="125">
        <f t="shared" ca="1" si="137"/>
        <v>0</v>
      </c>
      <c r="P37" s="126" t="str">
        <f t="shared" si="138"/>
        <v/>
      </c>
      <c r="Q37" s="795">
        <f ca="1">RZ[[#This Row],[Počet MJHR v rozpadu (P0)]]</f>
        <v>2</v>
      </c>
      <c r="R37" s="439" t="str">
        <f t="shared" si="139"/>
        <v/>
      </c>
      <c r="S37" s="129" t="str">
        <f t="shared" si="140"/>
        <v/>
      </c>
      <c r="T37" s="126" t="str">
        <f t="shared" si="141"/>
        <v/>
      </c>
      <c r="U37" s="126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CR (MJCR) (P0)]]))))))))))</f>
        <v>kg</v>
      </c>
      <c r="V37" s="575">
        <f t="shared" ca="1" si="142"/>
        <v>491.4</v>
      </c>
      <c r="W37" s="322">
        <f>RZ[[#This Row],[Koeficient odhadu CR '[-'] (P1)]]</f>
        <v>1</v>
      </c>
      <c r="X37" s="440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Row],[Jednotková cena bez DPH '[cena/MJCR'] (P1)]]*RZ[[#This Row],[Koeficient odhadu CR '[-']]]))))))))))</f>
        <v>80</v>
      </c>
      <c r="Y37" s="440">
        <f t="shared" ca="1" si="143"/>
        <v>0</v>
      </c>
      <c r="Z37" s="142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VLOOKUP(IP37,$BR$7:$BS$11,2,FALSE)))))))))))</f>
        <v>CZK</v>
      </c>
      <c r="AA37" s="909">
        <f t="shared" ca="1" si="144"/>
        <v>491.4</v>
      </c>
      <c r="AB37" s="910">
        <f ca="1">RZ[[#This Row],[Kumulovaný koeficient v rozpadu (P0)]]</f>
        <v>1</v>
      </c>
      <c r="AC37" s="261"/>
      <c r="AD37" s="796">
        <f ca="1">RZ[[#This Row],[Jednotková cena bez DPH '[cena/MJCR'] s koef. (P0)]]/RZ[[#This Row],[Koeficient odhadu CR '[-']]]*RZ[[#This Row],[Kumulovaný koeficient odhadu CR  '[-']]]</f>
        <v>80</v>
      </c>
      <c r="AE37" s="796">
        <f t="shared" ca="1" si="145"/>
        <v>39312</v>
      </c>
      <c r="AF37" s="796">
        <f ca="1">-IF(ISNUMBER(AA37),RZ[[#This Row],[Celková cena bez DPH (1)]]-RZ[[#This Row],[Jednotková cena bez DPH '[cena/MJCR'] bez koef. (P0)]]*AA37,0)</f>
        <v>0</v>
      </c>
      <c r="AG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7" s="261"/>
      <c r="AI37" s="796">
        <f t="shared" ca="1" si="146"/>
        <v>2.9629629629629628</v>
      </c>
      <c r="AJ37" s="796">
        <f t="shared" ca="1" si="147"/>
        <v>1456</v>
      </c>
      <c r="AK37" s="796">
        <f t="shared" ca="1" si="148"/>
        <v>0</v>
      </c>
      <c r="AL37" s="753">
        <f ca="1">RZ[[#This Row],[Kilogramová cena bez DPH '[cena/kg'] (1)]]/$AK$13</f>
        <v>2.9629629629629628</v>
      </c>
      <c r="AM37" s="261"/>
      <c r="AN37" s="796">
        <f t="shared" ca="1" si="149"/>
        <v>3.8647342995169085</v>
      </c>
      <c r="AO37" s="796">
        <f t="shared" ca="1" si="150"/>
        <v>1899.1304347826087</v>
      </c>
      <c r="AP37" s="796">
        <f t="shared" ca="1" si="151"/>
        <v>0</v>
      </c>
      <c r="AQ37" s="753">
        <f ca="1">RZ[[#This Row],[Kilogramová cena bez DPH '[cena/kg'] (1)]]/$AP$13</f>
        <v>3.8647342995169085</v>
      </c>
      <c r="AR37" s="261"/>
      <c r="AS37" s="796">
        <f t="shared" ca="1" si="152"/>
        <v>2.1881838074398248</v>
      </c>
      <c r="AT37" s="796">
        <f t="shared" ca="1" si="153"/>
        <v>1075.2735229759298</v>
      </c>
      <c r="AU37" s="789">
        <f t="shared" ca="1" si="154"/>
        <v>0</v>
      </c>
      <c r="AV37" s="767">
        <f ca="1">RZ[[#This Row],[Kilogramová cena bez DPH '[cena/kg'] (1)]]/$AU$13</f>
        <v>2.1881838074398248</v>
      </c>
      <c r="AW37" s="165"/>
      <c r="AX37" s="911">
        <f t="shared" ca="1" si="155"/>
        <v>2</v>
      </c>
      <c r="AY37" s="111">
        <f t="shared" ca="1" si="156"/>
        <v>1</v>
      </c>
      <c r="AZ37" s="111">
        <f t="shared" ca="1" si="157"/>
        <v>14</v>
      </c>
      <c r="BA37" s="111">
        <f t="shared" ca="1" si="158"/>
        <v>0</v>
      </c>
      <c r="BB37" s="111">
        <f t="shared" ca="1" si="159"/>
        <v>0</v>
      </c>
      <c r="BC37" s="111">
        <f t="shared" ca="1" si="160"/>
        <v>0</v>
      </c>
      <c r="BD37" s="111">
        <f t="shared" ca="1" si="161"/>
        <v>0</v>
      </c>
      <c r="BE37" s="111">
        <f t="shared" ca="1" si="162"/>
        <v>0</v>
      </c>
      <c r="BF37" s="111">
        <f t="shared" ca="1" si="163"/>
        <v>0</v>
      </c>
      <c r="BG37" s="112">
        <f t="shared" ca="1" si="164"/>
        <v>0</v>
      </c>
      <c r="BH37" s="911">
        <f t="shared" si="165"/>
        <v>0</v>
      </c>
      <c r="BI37" s="111">
        <f t="shared" si="166"/>
        <v>0</v>
      </c>
      <c r="BJ37" s="111">
        <f t="shared" si="167"/>
        <v>1</v>
      </c>
      <c r="BK37" s="111">
        <f t="shared" si="168"/>
        <v>0</v>
      </c>
      <c r="BL37" s="111">
        <f t="shared" si="169"/>
        <v>0</v>
      </c>
      <c r="BM37" s="111">
        <f t="shared" si="170"/>
        <v>0</v>
      </c>
      <c r="BN37" s="111">
        <f t="shared" si="171"/>
        <v>0</v>
      </c>
      <c r="BO37" s="111">
        <f t="shared" si="172"/>
        <v>0</v>
      </c>
      <c r="BP37" s="111">
        <f t="shared" si="173"/>
        <v>0</v>
      </c>
      <c r="BQ37" s="112">
        <f t="shared" si="174"/>
        <v>0</v>
      </c>
      <c r="BR37" s="132">
        <f ca="1">IF(OFFSET(AY37,1,0,1,1)&lt;&gt;0,RZ[[#This Row],[Koeficient odhadu HR '[-'] (P1)]]*$BH37*SUMIFS(RZ[Úroveň 2 s koef. (P2)],RZ[0],AX37),RZ[[#This Row],[Koeficient odhadu HR '[-'] (P1)]]*$BH37*$IG37)</f>
        <v>0</v>
      </c>
      <c r="BS37" s="186">
        <f ca="1">IF(OFFSET(AY37,1,0,1,1)&lt;&gt;0,$BH37*SUMIFS(RZ[Úroveň 2 bez koef. (P2)],RZ[0],AX37),$BH37*$IG37)</f>
        <v>0</v>
      </c>
      <c r="BT37" s="138">
        <f ca="1">RZ[[#This Row],[Úroveň 2 s koef. (P2a)]]*RZ[[#This Row],[Počet MJHR (P0)]]</f>
        <v>0</v>
      </c>
      <c r="BU37" s="138">
        <f ca="1">RZ[[#This Row],[Úroveň 2 bez koef. (P2a)]]*RZ[[#This Row],[Počet MJHR (P0)]]</f>
        <v>0</v>
      </c>
      <c r="BV37" s="138">
        <f ca="1">IF(OFFSET(AZ37,1,0,1,1)&lt;&gt;0,RZ[[#This Row],[Koeficient odhadu HR '[-'] (P1)]]*$BI37*SUMIFS(RZ[Úroveň 3 s koef. (P2)],RZ[0],AX37,RZ[Úroveň 2 (P0)],AY37),RZ[[#This Row],[Koeficient odhadu HR '[-'] (P1)]]*$BI37*$IG37)</f>
        <v>0</v>
      </c>
      <c r="BW37" s="138">
        <f ca="1">IF(OFFSET(AZ37,1,0,1,1)&lt;&gt;0,$BI37*SUMIFS(RZ[Úroveň 3 bez koef. (P2)],RZ[0],AX37,RZ[Úroveň 2 (P0)],AY37),$BI37*$IG37)</f>
        <v>0</v>
      </c>
      <c r="BX37" s="132">
        <f ca="1">RZ[[#This Row],[Úroveň 3 s koef. (P2a)]]*RZ[[#This Row],[Počet MJHR (P0)]]</f>
        <v>491.4</v>
      </c>
      <c r="BY37" s="132">
        <f ca="1">RZ[Úroveň 3 bez koef. (P2a)]*RZ[[#This Row],[Počet MJHR (P0)]]</f>
        <v>491.4</v>
      </c>
      <c r="BZ37" s="132">
        <f ca="1">IF(OFFSET(BA37,1,0,1,1)&lt;&gt;0,RZ[[#This Row],[Koeficient odhadu HR '[-'] (P1)]]*$BJ37*SUMIFS(RZ[Úroveň 4 s koef. (P2)],RZ[0],AX37,RZ[Úroveň 2 (P0)],AY37,RZ[Úroveň 3 (P0)],AZ37),RZ[[#This Row],[Koeficient odhadu HR '[-'] (P1)]]*$BJ37*$IG37)</f>
        <v>245.7</v>
      </c>
      <c r="CA37" s="132">
        <f ca="1">IF(OFFSET(BA37,1,0,1,1)&lt;&gt;0,$BJ37*SUMIFS(RZ[Úroveň 4 bez koef. (P2)],RZ[0],AX37,RZ[Úroveň 2 (P0)],AY37,RZ[Úroveň 3 (P0)],AZ37),$BJ37*$IG37)</f>
        <v>245.7</v>
      </c>
      <c r="CB37" s="138">
        <f ca="1">RZ[[#This Row],[Úroveň 4 s koef. (P2a)]]*RZ[[#This Row],[Počet MJHR (P0)]]</f>
        <v>0</v>
      </c>
      <c r="CC37" s="138">
        <f ca="1">RZ[Úroveň 4 bez koef. (P2a)]*RZ[[#This Row],[Počet MJHR (P0)]]</f>
        <v>0</v>
      </c>
      <c r="CD37" s="138">
        <f ca="1">IF(OFFSET(BB37,1,0,1,1)&lt;&gt;0,RZ[[#This Row],[Koeficient odhadu HR '[-'] (P1)]]*$BK37*SUMIFS(RZ[Úroveň 5 s koef. (P2)],RZ[0],AX37,RZ[Úroveň 2 (P0)],AY37,RZ[Úroveň 3 (P0)],AZ37,RZ[Úroveň 4 (P0)],BA37),RZ[[#This Row],[Koeficient odhadu HR '[-'] (P1)]]*$BK37*$IG37)</f>
        <v>0</v>
      </c>
      <c r="CE37" s="138">
        <f ca="1">IF(OFFSET(BB37,1,0,1,1)&lt;&gt;0,$BK37*SUMIFS(RZ[Úroveň 5 bez koef. (P2)],RZ[0],AX37,RZ[Úroveň 2 (P0)],AY37,RZ[Úroveň 3 (P0)],AZ37,RZ[Úroveň 4 (P0)],BA37),$BK37*$IG37)</f>
        <v>0</v>
      </c>
      <c r="CF37" s="132">
        <f ca="1">RZ[[#This Row],[Úroveň 5 s koef. (P2a)]]*RZ[[#This Row],[Počet MJHR (P0)]]</f>
        <v>0</v>
      </c>
      <c r="CG37" s="132">
        <f ca="1">RZ[Úroveň 5 bez koef. (P2a)]*RZ[[#This Row],[Počet MJHR (P0)]]</f>
        <v>0</v>
      </c>
      <c r="CH37" s="132">
        <f ca="1">IF(OFFSET(BC37,1,0,1,1)&lt;&gt;0,RZ[[#This Row],[Koeficient odhadu HR '[-'] (P1)]]*$BL37*SUMIFS(RZ[Úroveň 6 s koef. (P2)],RZ[0],AX37,RZ[Úroveň 2 (P0)],AY37,RZ[Úroveň 3 (P0)],AZ37,RZ[Úroveň 4 (P0)],BA37,RZ[Úroveň 5 (P0)],BB37),RZ[[#This Row],[Koeficient odhadu HR '[-'] (P1)]]*$BL37*$IG37)</f>
        <v>0</v>
      </c>
      <c r="CI37" s="132">
        <f ca="1">IF(OFFSET(BC37,1,0,1,1)&lt;&gt;0,$BL37*SUMIFS(RZ[Úroveň 6 bez koef. (P2)],RZ[0],AX37,RZ[Úroveň 2 (P0)],AY37,RZ[Úroveň 3 (P0)],AZ37,RZ[Úroveň 4 (P0)],BA37,RZ[Úroveň 5 (P0)],BB37),$BL37*$IG37)</f>
        <v>0</v>
      </c>
      <c r="CJ37" s="138">
        <f ca="1">RZ[[#This Row],[Úroveň 6 s koef. (P2a)]]*RZ[[#This Row],[Počet MJHR (P0)]]</f>
        <v>0</v>
      </c>
      <c r="CK37" s="138">
        <f ca="1">RZ[Úroveň 6 bez koef. (P2a)]*RZ[[#This Row],[Počet MJHR (P0)]]</f>
        <v>0</v>
      </c>
      <c r="CL37" s="138">
        <f ca="1">IF(OFFSET(BD37,1,0,1,1)&lt;&gt;0,RZ[[#This Row],[Koeficient odhadu HR '[-'] (P1)]]*$BM37*SUMIFS(RZ[Úroveň 7 s koef. (P2)],RZ[0],AX37,RZ[Úroveň 2 (P0)],AY37,RZ[Úroveň 3 (P0)],AZ37,RZ[Úroveň 4 (P0)],BA37,RZ[Úroveň 5 (P0)],BB37,RZ[Úroveň 6 (P0)],BC37),RZ[[#This Row],[Koeficient odhadu HR '[-'] (P1)]]*$BM37*$IG37)</f>
        <v>0</v>
      </c>
      <c r="CM37" s="138">
        <f ca="1">IF(OFFSET(BD37,1,0,1,1)&lt;&gt;0,$BM37*SUMIFS(RZ[Úroveň 7 bez koef. (P2)],RZ[0],AX37,RZ[Úroveň 2 (P0)],AY37,RZ[Úroveň 3 (P0)],AZ37,RZ[Úroveň 4 (P0)],BA37,RZ[Úroveň 5 (P0)],BB37,RZ[Úroveň 6 (P0)],BC37),$BM37*$IG37)</f>
        <v>0</v>
      </c>
      <c r="CN37" s="132">
        <f ca="1">RZ[[#This Row],[Úroveň 7 s koef. (P2a)]]*RZ[[#This Row],[Počet MJHR (P0)]]</f>
        <v>0</v>
      </c>
      <c r="CO37" s="132">
        <f ca="1">RZ[Úroveň 7 bez koef. (P2a)]*RZ[[#This Row],[Počet MJHR (P0)]]</f>
        <v>0</v>
      </c>
      <c r="CP37" s="132">
        <f ca="1">IF(OFFSET(BE37,1,0,1,1)&lt;&gt;0,RZ[[#This Row],[Koeficient odhadu HR '[-'] (P1)]]*$BN37*SUMIFS(RZ[Úroveň 8 s koef. (P2)],RZ[0],AX37,RZ[Úroveň 2 (P0)],AY37,RZ[Úroveň 3 (P0)],AZ37,RZ[Úroveň 4 (P0)],BA37,RZ[Úroveň 5 (P0)],BB37,RZ[Úroveň 6 (P0)],BC37,RZ[Úroveň 7 (P0)],BD37),RZ[[#This Row],[Koeficient odhadu HR '[-'] (P1)]]*$BN37*$IG37)</f>
        <v>0</v>
      </c>
      <c r="CQ37" s="132">
        <f ca="1">IF(OFFSET(BE37,1,0,1,1)&lt;&gt;0,$BN37*SUMIFS(RZ[Úroveň 8 bez koef. (P2)],RZ[0],AX37,RZ[Úroveň 2 (P0)],AY37,RZ[Úroveň 3 (P0)],AZ37,RZ[Úroveň 4 (P0)],BA37,RZ[Úroveň 5 (P0)],BB37,RZ[Úroveň 6 (P0)],BC37,RZ[Úroveň 7 (P0)],BD37),$BN37*$IG37)</f>
        <v>0</v>
      </c>
      <c r="CR37" s="138">
        <f ca="1">RZ[[#This Row],[Úroveň 8 s koef. (P2a)]]*RZ[[#This Row],[Počet MJHR (P0)]]</f>
        <v>0</v>
      </c>
      <c r="CS37" s="138">
        <f ca="1">RZ[Úroveň 8 bez koef. (P2a)]*RZ[[#This Row],[Počet MJHR (P0)]]</f>
        <v>0</v>
      </c>
      <c r="CT37" s="138">
        <f ca="1">IF(OFFSET(BF37,1,0,1,1)&lt;&gt;0,RZ[[#This Row],[Koeficient odhadu HR '[-'] (P1)]]*$BO37*SUMIFS(RZ[Úroveň 9 s koef. (P2)],RZ[0],AX37,RZ[Úroveň 2 (P0)],AY37,RZ[Úroveň 3 (P0)],AZ37,RZ[Úroveň 4 (P0)],BA37,RZ[Úroveň 5 (P0)],BB37,RZ[Úroveň 6 (P0)],BC37,RZ[Úroveň 7 (P0)],BD37,RZ[Úroveň 8 (P0)],BE37),RZ[[#This Row],[Koeficient odhadu HR '[-'] (P1)]]*$BO37*$IG37)</f>
        <v>0</v>
      </c>
      <c r="CU37" s="138">
        <f ca="1">IF(OFFSET(BF37,1,0,1,1)&lt;&gt;0,$BO37*SUMIFS(RZ[Úroveň 9 bez koef. (P2)],RZ[0],AX37,RZ[Úroveň 2 (P0)],AY37,RZ[Úroveň 3 (P0)],AZ37,RZ[Úroveň 4 (P0)],BA37,RZ[Úroveň 5 (P0)],BB37,RZ[Úroveň 6 (P0)],BC37,RZ[Úroveň 7 (P0)],BD37,RZ[Úroveň 8 (P0)],BE37),$BO37*$IG37)</f>
        <v>0</v>
      </c>
      <c r="CV37" s="132">
        <f ca="1">RZ[[#This Row],[Úroveň 9 s koef. (P2a)]]*RZ[[#This Row],[Počet MJHR (P0)]]</f>
        <v>0</v>
      </c>
      <c r="CW37" s="132">
        <f ca="1">RZ[Úroveň 9 bez koef. (P2a)]*RZ[[#This Row],[Počet MJHR (P0)]]</f>
        <v>0</v>
      </c>
      <c r="CX37" s="132">
        <f ca="1">IF(OFFSET(BG37,1,0,1,1)&lt;&gt;0,RZ[[#This Row],[Koeficient odhadu HR '[-'] (P1)]]*$BP37*SUMIFS(RZ[Úroveň 10 s koef. (P2)],RZ[0],AX37,RZ[Úroveň 2 (P0)],AY37,RZ[Úroveň 3 (P0)],AZ37,RZ[Úroveň 4 (P0)],BA37,RZ[Úroveň 5 (P0)],BB37,RZ[Úroveň 6 (P0)],BC37,RZ[Úroveň 7 (P0)],BD37,RZ[Úroveň 8 (P0)],BE37,RZ[Úroveň 9 (P0)],BF37),RZ[[#This Row],[Koeficient odhadu HR '[-'] (P1)]]*$BP37*$IG37)</f>
        <v>0</v>
      </c>
      <c r="CY37" s="132">
        <f ca="1">IF(OFFSET(BG37,1,0,1,1)&lt;&gt;0,$BP37*SUMIFS(RZ[Úroveň 10 bez koef. (P2)],RZ[0],AX37,RZ[Úroveň 2 (P0)],AY37,RZ[Úroveň 3 (P0)],AZ37,RZ[Úroveň 4 (P0)],BA37,RZ[Úroveň 5 (P0)],BB37,RZ[Úroveň 6 (P0)],BC37,RZ[Úroveň 7 (P0)],BD37,RZ[Úroveň 8 (P0)],BE37,RZ[Úroveň 9 (P0)],BF37),$BP37*$IG37)</f>
        <v>0</v>
      </c>
      <c r="CZ37" s="138">
        <f>RZ[[#This Row],[Úroveň 10 s koef. (P2a)]]*RZ[[#This Row],[Počet MJHR (P0)]]</f>
        <v>0</v>
      </c>
      <c r="DA37" s="138">
        <f>RZ[Úroveň 10 bez koef. (P2a)]*RZ[[#This Row],[Počet MJHR (P0)]]</f>
        <v>0</v>
      </c>
      <c r="DB37" s="138">
        <f>RZ[[#This Row],[Koeficient odhadu HR '[-'] (P1)]]*$BQ37*IG37</f>
        <v>0</v>
      </c>
      <c r="DC37" s="231">
        <f t="shared" si="175"/>
        <v>0</v>
      </c>
      <c r="DD37" s="241">
        <f t="shared" ca="1" si="176"/>
        <v>245.7</v>
      </c>
      <c r="DE37" s="229">
        <f t="shared" ca="1" si="177"/>
        <v>245.7</v>
      </c>
      <c r="DF37" s="912">
        <f t="shared" si="178"/>
        <v>0</v>
      </c>
      <c r="DG37" s="913">
        <f t="shared" si="179"/>
        <v>0</v>
      </c>
      <c r="DH37" s="913">
        <f t="shared" si="180"/>
        <v>2</v>
      </c>
      <c r="DI37" s="913">
        <f t="shared" si="181"/>
        <v>0</v>
      </c>
      <c r="DJ37" s="913">
        <f t="shared" si="182"/>
        <v>0</v>
      </c>
      <c r="DK37" s="913">
        <f t="shared" si="183"/>
        <v>0</v>
      </c>
      <c r="DL37" s="913">
        <f t="shared" si="184"/>
        <v>0</v>
      </c>
      <c r="DM37" s="913">
        <f t="shared" si="185"/>
        <v>0</v>
      </c>
      <c r="DN37" s="913">
        <f t="shared" si="186"/>
        <v>0</v>
      </c>
      <c r="DO37" s="913">
        <f t="shared" si="187"/>
        <v>0</v>
      </c>
      <c r="DP37" s="914">
        <f ca="1">SUMIFS(RZ[Úroveň 1 (P4)],RZ[0],AX37)</f>
        <v>1</v>
      </c>
      <c r="DQ37" s="914">
        <f ca="1">SUMIFS(RZ[Úroveň 2 (P4)],RZ[0],AX37,RZ[Úroveň 2 (P0)],AY37)</f>
        <v>1</v>
      </c>
      <c r="DR37" s="914">
        <f ca="1">SUMIFS(RZ[Úroveň 3 (P4)],RZ[0],AX37,RZ[Úroveň 2 (P0)],AY37,RZ[Úroveň 3 (P0)],AZ37)</f>
        <v>2</v>
      </c>
      <c r="DS37" s="914">
        <f ca="1">SUMIFS(RZ[Úroveň 4 (P4)],RZ[0],AX37,RZ[Úroveň 2 (P0)],AY37,RZ[Úroveň 3 (P0)],AZ37,RZ[Úroveň 4 (P0)],BA37)</f>
        <v>0</v>
      </c>
      <c r="DT37" s="914">
        <f ca="1">SUMIFS(RZ[Úroveň 5 (P4)],RZ[0],AX37,RZ[Úroveň 2 (P0)],AY37,RZ[Úroveň 3 (P0)],AZ37,RZ[Úroveň 4 (P0)],BA37,RZ[Úroveň 5 (P0)],BB37)</f>
        <v>0</v>
      </c>
      <c r="DU37" s="914">
        <f ca="1">SUMIFS(RZ[Úroveň 6 (P4)],RZ[0],AX37,RZ[Úroveň 2 (P0)],AY37,RZ[Úroveň 3 (P0)],AZ37,RZ[Úroveň 4 (P0)],BA37,RZ[Úroveň 5 (P0)],BB37,RZ[Úroveň 6 (P0)],BC37)</f>
        <v>0</v>
      </c>
      <c r="DV37" s="914">
        <f ca="1">SUMIFS(RZ[Úroveň 7 (P4)],RZ[0],AX37,RZ[Úroveň 2 (P0)],AY37,RZ[Úroveň 3 (P0)],AZ37,RZ[Úroveň 4 (P0)],BA37,RZ[Úroveň 5 (P0)],BB37,RZ[Úroveň 6 (P0)],BC37,RZ[Úroveň 7 (P0)],BD37)</f>
        <v>0</v>
      </c>
      <c r="DW37" s="914">
        <f ca="1">SUMIFS(RZ[Úroveň 8 (P4)],RZ[0],AX37,RZ[Úroveň 2 (P0)],AY37,RZ[Úroveň 3 (P0)],AZ37,RZ[Úroveň 4 (P0)],BA37,RZ[Úroveň 5 (P0)],BB37,RZ[Úroveň 6 (P0)],BC37,RZ[Úroveň 7 (P0)],BD37,RZ[Úroveň 8 (P0)],BE37)</f>
        <v>0</v>
      </c>
      <c r="DX37" s="914">
        <f ca="1">SUMIFS(RZ[Úroveň 9 (P4)],RZ[0],AX37,RZ[Úroveň 2 (P0)],AY37,RZ[Úroveň 3 (P0)],AZ37,RZ[Úroveň 4 (P0)],BA37,RZ[Úroveň 5 (P0)],BB37,RZ[Úroveň 6 (P0)],BC37,RZ[Úroveň 7 (P0)],BD37,RZ[Úroveň 8 (P0)],BE37,RZ[Úroveň 9 (P0)],BF37)</f>
        <v>0</v>
      </c>
      <c r="DY37" s="914">
        <f ca="1">SUMIFS(RZ[Úroveň 10 (P4)],RZ[0],AX37,RZ[Úroveň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DZ37" s="915">
        <f t="shared" ca="1" si="188"/>
        <v>2</v>
      </c>
      <c r="EA37" s="916">
        <f ca="1">RZ[[#This Row],[Jednotková hmotnost bez koef. '[kg/MJHR'] (P0)]]*RZ[[#This Row],[Počet MJHR v rozpadu (P0)]]</f>
        <v>491.4</v>
      </c>
      <c r="EB37" s="917">
        <f ca="1">IF(OFFSET(AY37,1,0,1,1)&lt;&gt;0,RZ[[#This Row],[Koeficient odhadu CR '[-'] (P1)]]*$BH37*SUMIFS(RZ[Úroveň 2 s koef. (P3)],RZ[0],AX37),RZ[[#This Row],[Koeficient odhadu CR '[-'] (P1)]]*$BH37*$IQ37)</f>
        <v>0</v>
      </c>
      <c r="EC37" s="191">
        <f ca="1">IF(OFFSET(AY37,1,0,1,1)&lt;&gt;0,$BH37*SUMIFS(RZ[Úroveň 2 bez koef. (P3)],RZ[0],AX37),$BH37*$IQ37)</f>
        <v>0</v>
      </c>
      <c r="ED37" s="140">
        <f ca="1">RZ[[#This Row],[Úroveň 2 s koef. (P3a)]]*RZ[[#This Row],[Počet MJCR (P0) pro "kg"]]</f>
        <v>0</v>
      </c>
      <c r="EE37" s="140">
        <f ca="1">RZ[Úroveň 2 bez koef. (P3a)]*RZ[[#This Row],[Počet MJCR (P0) pro "kg"]]</f>
        <v>0</v>
      </c>
      <c r="EF37" s="140">
        <f ca="1">IF(OFFSET(AZ37,1,0,1,1)&lt;&gt;0,RZ[[#This Row],[Koeficient odhadu CR '[-'] (P1)]]*$BI37*SUMIFS(RZ[Úroveň 3 s koef. (P3)],RZ[0],AX37,RZ[Úroveň 2 (P0)],AY37),RZ[[#This Row],[Koeficient odhadu CR '[-'] (P1)]]*$BI37*$IQ37)</f>
        <v>0</v>
      </c>
      <c r="EG37" s="140">
        <f ca="1">IF(OFFSET(AZ37,1,0,1,1)&lt;&gt;0,$BI37*SUMIFS(RZ[Úroveň 3 bez koef. (P3)],RZ[0],AX37,RZ[Úroveň 2 (P0)],AY37),$BI37*$IQ37)</f>
        <v>0</v>
      </c>
      <c r="EH37" s="135">
        <f ca="1">RZ[[#This Row],[Úroveň 3 s koef. (P3a)]]*RZ[[#This Row],[Počet MJCR (P0) pro "kg"]]</f>
        <v>39312</v>
      </c>
      <c r="EI37" s="135">
        <f ca="1">RZ[Úroveň 3 bez koef. (P3a)]*RZ[[#This Row],[Počet MJCR (P0) pro "kg"]]</f>
        <v>39312</v>
      </c>
      <c r="EJ37" s="135">
        <f ca="1">IF(OFFSET(BA37,1,0,1,1)&lt;&gt;0,RZ[[#This Row],[Koeficient odhadu CR '[-'] (P1)]]*$BJ37*SUMIFS(RZ[Úroveň 4 s koef. (P3)],RZ[0],AX37,RZ[Úroveň 2 (P0)],AY37,RZ[Úroveň 3 (P0)],AZ37),RZ[[#This Row],[Koeficient odhadu CR '[-'] (P1)]]*$BJ37*$IQ37)</f>
        <v>80</v>
      </c>
      <c r="EK37" s="135">
        <f ca="1">IF(OFFSET(BA37,1,0,1,1)&lt;&gt;0,$BJ37*SUMIFS(RZ[Úroveň 4 bez koef. (P3)],RZ[0],AX37,RZ[Úroveň 2 (P0)],AY37,RZ[Úroveň 3 (P0)],AZ37),$BJ37*$IQ37)</f>
        <v>80</v>
      </c>
      <c r="EL37" s="140">
        <f ca="1">RZ[[#This Row],[Úroveň 4 s koef. (P3a)]]*RZ[[#This Row],[Počet MJCR (P0) pro "kg"]]</f>
        <v>0</v>
      </c>
      <c r="EM37" s="140">
        <f ca="1">RZ[Úroveň 4 bez koef. (P3a)]*RZ[[#This Row],[Počet MJCR (P0) pro "kg"]]</f>
        <v>0</v>
      </c>
      <c r="EN37" s="140">
        <f ca="1">IF(OFFSET(BB37,1,0,1,1)&lt;&gt;0,RZ[[#This Row],[Koeficient odhadu CR '[-'] (P1)]]*$BK37*SUMIFS(RZ[Úroveň 5 s koef. (P3)],RZ[0],AX37,RZ[Úroveň 2 (P0)],AY37,RZ[Úroveň 3 (P0)],AZ37,RZ[Úroveň 4 (P0)],BA37),RZ[[#This Row],[Koeficient odhadu CR '[-'] (P1)]]*$BK37*$IQ37)</f>
        <v>0</v>
      </c>
      <c r="EO37" s="140">
        <f ca="1">IF(OFFSET(BB37,1,0,1,1)&lt;&gt;0,$BK37*SUMIFS(RZ[Úroveň 5 bez koef. (P3)],RZ[0],AX37,RZ[Úroveň 2 (P0)],AY37,RZ[Úroveň 3 (P0)],AZ37,RZ[Úroveň 4 (P0)],BA37),$BK37*$IQ37)</f>
        <v>0</v>
      </c>
      <c r="EP37" s="135">
        <f ca="1">RZ[[#This Row],[Úroveň 5 s koef. (P3a)]]*RZ[[#This Row],[Počet MJCR (P0) pro "kg"]]</f>
        <v>0</v>
      </c>
      <c r="EQ37" s="135">
        <f ca="1">RZ[Úroveň 5 bez koef. (P3a)]*RZ[[#This Row],[Počet MJCR (P0) pro "kg"]]</f>
        <v>0</v>
      </c>
      <c r="ER37" s="135">
        <f ca="1">IF(OFFSET(BC37,1,0,1,1)&lt;&gt;0,RZ[[#This Row],[Koeficient odhadu CR '[-'] (P1)]]*$BL37*SUMIFS(RZ[Úroveň 6 s koef. (P3)],RZ[0],AX37,RZ[Úroveň 2 (P0)],AY37,RZ[Úroveň 3 (P0)],AZ37,RZ[Úroveň 4 (P0)],BA37,RZ[Úroveň 5 (P0)],BB37),RZ[[#This Row],[Koeficient odhadu CR '[-'] (P1)]]*$BL37*$IQ37)</f>
        <v>0</v>
      </c>
      <c r="ES37" s="135">
        <f ca="1">IF(OFFSET(BC37,1,0,1,1)&lt;&gt;0,$BL37*SUMIFS(RZ[Úroveň 6 bez koef. (P3)],RZ[0],AX37,RZ[Úroveň 2 (P0)],AY37,RZ[Úroveň 3 (P0)],AZ37,RZ[Úroveň 4 (P0)],BA37,RZ[Úroveň 5 (P0)],BB37),$BL37*$IQ37)</f>
        <v>0</v>
      </c>
      <c r="ET37" s="140">
        <f ca="1">RZ[[#This Row],[Úroveň 6 s koef. (P3a)]]*RZ[[#This Row],[Počet MJCR (P0) pro "kg"]]</f>
        <v>0</v>
      </c>
      <c r="EU37" s="140">
        <f ca="1">RZ[Úroveň 6 bez koef. (P3a)]*RZ[[#This Row],[Počet MJCR (P0) pro "kg"]]</f>
        <v>0</v>
      </c>
      <c r="EV37" s="140">
        <f ca="1">IF(OFFSET(BD37,1,0,1,1)&lt;&gt;0,RZ[[#This Row],[Koeficient odhadu CR '[-'] (P1)]]*$BM37*SUMIFS(RZ[Úroveň 7 s koef. (P3)],RZ[0],AX37,RZ[Úroveň 2 (P0)],AY37,RZ[Úroveň 3 (P0)],AZ37,RZ[Úroveň 4 (P0)],BA37,RZ[Úroveň 5 (P0)],BB37,RZ[Úroveň 6 (P0)],BC37),RZ[[#This Row],[Koeficient odhadu CR '[-'] (P1)]]*$BM37*$IQ37)</f>
        <v>0</v>
      </c>
      <c r="EW37" s="140">
        <f ca="1">IF(OFFSET(BD37,1,0,1,1)&lt;&gt;0,$BM37*SUMIFS(RZ[Úroveň 7 bez koef. (P3)],RZ[0],AX37,RZ[Úroveň 2 (P0)],AY37,RZ[Úroveň 3 (P0)],AZ37,RZ[Úroveň 4 (P0)],BA37,RZ[Úroveň 5 (P0)],BB37,RZ[Úroveň 6 (P0)],BC37),$BM37*$IQ37)</f>
        <v>0</v>
      </c>
      <c r="EX37" s="135">
        <f ca="1">RZ[[#This Row],[Úroveň 7 s koef. (P3a)]]*RZ[[#This Row],[Počet MJCR (P0) pro "kg"]]</f>
        <v>0</v>
      </c>
      <c r="EY37" s="135">
        <f ca="1">RZ[Úroveň 7 bez koef. (P3a)]*RZ[[#This Row],[Počet MJCR (P0) pro "kg"]]</f>
        <v>0</v>
      </c>
      <c r="EZ37" s="135">
        <f ca="1">IF(OFFSET(BE37,1,0,1,1)&lt;&gt;0,RZ[[#This Row],[Koeficient odhadu CR '[-'] (P1)]]*$BN37*SUMIFS(RZ[Úroveň 8 s koef. (P3)],RZ[0],AX37,RZ[Úroveň 2 (P0)],AY37,RZ[Úroveň 3 (P0)],AZ37,RZ[Úroveň 4 (P0)],BA37,RZ[Úroveň 5 (P0)],BB37,RZ[Úroveň 6 (P0)],BC37,RZ[Úroveň 7 (P0)],BD37),RZ[[#This Row],[Koeficient odhadu CR '[-'] (P1)]]*$BN37*$IQ37)</f>
        <v>0</v>
      </c>
      <c r="FA37" s="135">
        <f ca="1">IF(OFFSET(BE37,1,0,1,1)&lt;&gt;0,$BN37*SUMIFS(RZ[Úroveň 8 bez koef. (P3)],RZ[0],AX37,RZ[Úroveň 2 (P0)],AY37,RZ[Úroveň 3 (P0)],AZ37,RZ[Úroveň 4 (P0)],BA37,RZ[Úroveň 5 (P0)],BB37,RZ[Úroveň 6 (P0)],BC37,RZ[Úroveň 7 (P0)],BD37),$BN37*$IQ37)</f>
        <v>0</v>
      </c>
      <c r="FB37" s="140">
        <f ca="1">RZ[[#This Row],[Úroveň 8 s koef. (P3a)]]*RZ[[#This Row],[Počet MJCR (P0) pro "kg"]]</f>
        <v>0</v>
      </c>
      <c r="FC37" s="140">
        <f ca="1">RZ[Úroveň 8 bez koef. (P3a)]*RZ[[#This Row],[Počet MJCR (P0) pro "kg"]]</f>
        <v>0</v>
      </c>
      <c r="FD37" s="140">
        <f ca="1">IF(OFFSET(BF37,1,0,1,1)&lt;&gt;0,RZ[[#This Row],[Koeficient odhadu CR '[-'] (P1)]]*$BO37*SUMIFS(RZ[Úroveň 9 s koef. (P3)],RZ[0],AX37,RZ[Úroveň 2 (P0)],AY37,RZ[Úroveň 3 (P0)],AZ37,RZ[Úroveň 4 (P0)],BA37,RZ[Úroveň 5 (P0)],BB37,RZ[Úroveň 6 (P0)],BC37,RZ[Úroveň 7 (P0)],BD37,RZ[Úroveň 8 (P0)],BE37),RZ[[#This Row],[Koeficient odhadu CR '[-'] (P1)]]*$BO37*$IQ37)</f>
        <v>0</v>
      </c>
      <c r="FE37" s="140">
        <f ca="1">IF(OFFSET(BF37,1,0,1,1)&lt;&gt;0,$BO37*SUMIFS(RZ[Úroveň 9 bez koef. (P3)],RZ[0],AX37,RZ[Úroveň 2 (P0)],AY37,RZ[Úroveň 3 (P0)],AZ37,RZ[Úroveň 4 (P0)],BA37,RZ[Úroveň 5 (P0)],BB37,RZ[Úroveň 6 (P0)],BC37,RZ[Úroveň 7 (P0)],BD37,RZ[Úroveň 8 (P0)],BE37),$BO37*$IQ37)</f>
        <v>0</v>
      </c>
      <c r="FF37" s="135">
        <f ca="1">RZ[[#This Row],[Úroveň 9 s koef. (P3a)]]*RZ[[#This Row],[Počet MJCR (P0) pro "kg"]]</f>
        <v>0</v>
      </c>
      <c r="FG37" s="135">
        <f ca="1">RZ[Úroveň 9 bez koef. (P3a)]*RZ[[#This Row],[Počet MJCR (P0) pro "kg"]]</f>
        <v>0</v>
      </c>
      <c r="FH37" s="135">
        <f ca="1">IF(OFFSET(BG37,1,0,1,1)&lt;&gt;0,RZ[[#This Row],[Koeficient odhadu CR '[-'] (P1)]]*$BP37*SUMIFS(RZ[Úroveň 10 s koef. (P3)],RZ[0],AX37,RZ[Úroveň 2 (P0)],AY37,RZ[Úroveň 3 (P0)],AZ37,RZ[Úroveň 4 (P0)],BA37,RZ[Úroveň 5 (P0)],BB37,RZ[Úroveň 6 (P0)],BC37,RZ[Úroveň 7 (P0)],BD37,RZ[Úroveň 8 (P0)],BE37,RZ[Úroveň 9 (P0)],BF37),RZ[[#This Row],[Koeficient odhadu CR '[-'] (P1)]]*$BP37*$IQ37)</f>
        <v>0</v>
      </c>
      <c r="FI37" s="135">
        <f ca="1">IF(OFFSET(BG37,1,0,1,1)&lt;&gt;0,$BP37*SUMIFS(RZ[Úroveň 10 bez koef. (P3)],RZ[0],AX37,RZ[Úroveň 2 (P0)],AY37,RZ[Úroveň 3 (P0)],AZ37,RZ[Úroveň 4 (P0)],BA37,RZ[Úroveň 5 (P0)],BB37,RZ[Úroveň 6 (P0)],BC37,RZ[Úroveň 7 (P0)],BD37,RZ[Úroveň 8 (P0)],BE37,RZ[Úroveň 9 (P0)],BF37),$BP37*$IQ37)</f>
        <v>0</v>
      </c>
      <c r="FJ37" s="140">
        <f ca="1">RZ[[#This Row],[Úroveň 10 s koef. (P3a)]]*RZ[[#This Row],[Počet MJCR (P0) pro "kg"]]</f>
        <v>0</v>
      </c>
      <c r="FK37" s="140">
        <f ca="1">RZ[Úroveň 10 bez koef. (P3a)]*RZ[[#This Row],[Počet MJCR (P0) pro "kg"]]</f>
        <v>0</v>
      </c>
      <c r="FL37" s="140">
        <f ca="1">RZ[[#This Row],[Koeficient odhadu CR '[-'] (P1)]]*$BQ37*IQ37</f>
        <v>0</v>
      </c>
      <c r="FM37" s="236">
        <f t="shared" ca="1" si="189"/>
        <v>0</v>
      </c>
      <c r="FN37" s="194">
        <f t="shared" ca="1" si="190"/>
        <v>80</v>
      </c>
      <c r="FO37" s="238">
        <f t="shared" ca="1" si="191"/>
        <v>80</v>
      </c>
      <c r="FP37" s="135">
        <f t="shared" ca="1" si="192"/>
        <v>0</v>
      </c>
      <c r="FQ37" s="135">
        <f t="shared" ca="1" si="193"/>
        <v>0</v>
      </c>
      <c r="FR37" s="135">
        <f t="shared" ca="1" si="194"/>
        <v>491.4</v>
      </c>
      <c r="FS37" s="135">
        <f t="shared" ca="1" si="195"/>
        <v>0</v>
      </c>
      <c r="FT37" s="135">
        <f t="shared" ca="1" si="196"/>
        <v>0</v>
      </c>
      <c r="FU37" s="135">
        <f t="shared" ca="1" si="197"/>
        <v>0</v>
      </c>
      <c r="FV37" s="135">
        <f t="shared" ca="1" si="198"/>
        <v>0</v>
      </c>
      <c r="FW37" s="135">
        <f t="shared" ca="1" si="199"/>
        <v>0</v>
      </c>
      <c r="FX37" s="135">
        <f t="shared" ca="1" si="200"/>
        <v>0</v>
      </c>
      <c r="FY37" s="135">
        <f t="shared" ca="1" si="201"/>
        <v>0</v>
      </c>
      <c r="FZ37" s="140">
        <f ca="1">SUMIFS(RZ[Úroveň 1 (P6)],RZ[0],AX37)</f>
        <v>1</v>
      </c>
      <c r="GA37" s="140">
        <f ca="1">SUMIFS(RZ[Úroveň 2 (P6)],RZ[0],AX37,RZ[Úroveň 2 (P0)],AY37)</f>
        <v>1</v>
      </c>
      <c r="GB37" s="140">
        <f ca="1">SUMIFS(RZ[Úroveň 3 (P6)],RZ[0],AX37,RZ[Úroveň 2 (P0)],AY37,RZ[Úroveň 3 (P0)],AZ37)</f>
        <v>491.4</v>
      </c>
      <c r="GC37" s="140">
        <f ca="1">SUMIFS(RZ[Úroveň 4 (P6)],RZ[0],AX37,RZ[Úroveň 2 (P0)],AY37,RZ[Úroveň 3 (P0)],AZ37,RZ[Úroveň 4 (P0)],BA37)</f>
        <v>0</v>
      </c>
      <c r="GD37" s="140">
        <f ca="1">SUMIFS(RZ[Úroveň 5 (P6)],RZ[0],AX37,RZ[Úroveň 2 (P0)],AY37,RZ[Úroveň 3 (P0)],AZ37,RZ[Úroveň 4 (P0)],BA37,RZ[Úroveň 5 (P0)],BB37)</f>
        <v>0</v>
      </c>
      <c r="GE37" s="140">
        <f ca="1">SUMIFS(RZ[Úroveň 6 (P6)],RZ[0],AX37,RZ[Úroveň 2 (P0)],AY37,RZ[Úroveň 3 (P0)],AZ37,RZ[Úroveň 4 (P0)],BA37,RZ[Úroveň 5 (P0)],BB37,RZ[Úroveň 6 (P0)],BC37)</f>
        <v>0</v>
      </c>
      <c r="GF37" s="140">
        <f ca="1">SUMIFS(RZ[Úroveň 7 (P6)],RZ[0],AX37,RZ[Úroveň 2 (P0)],AY37,RZ[Úroveň 3 (P0)],AZ37,RZ[Úroveň 4 (P0)],BA37,RZ[Úroveň 5 (P0)],BB37,RZ[Úroveň 6 (P0)],BC37,RZ[Úroveň 7 (P0)],BD37)</f>
        <v>0</v>
      </c>
      <c r="GG37" s="140">
        <f ca="1">SUMIFS(RZ[Úroveň 8 (P6)],RZ[0],AX37,RZ[Úroveň 2 (P0)],AY37,RZ[Úroveň 3 (P0)],AZ37,RZ[Úroveň 4 (P0)],BA37,RZ[Úroveň 5 (P0)],BB37,RZ[Úroveň 6 (P0)],BC37,RZ[Úroveň 7 (P0)],BD37,RZ[Úroveň 8 (P0)],BE37)</f>
        <v>0</v>
      </c>
      <c r="GH37" s="140">
        <f ca="1">SUMIFS(RZ[Úroveň 9 (P6)],RZ[0],AX37,RZ[Úroveň 2 (P0)],AY37,RZ[Úroveň 3 (P0)],AZ37,RZ[Úroveň 4 (P0)],BA37,RZ[Úroveň 5 (P0)],BB37,RZ[Úroveň 6 (P0)],BC37,RZ[Úroveň 7 (P0)],BD37,RZ[Úroveň 8 (P0)],BE37,RZ[Úroveň 9 (P0)],BF37)</f>
        <v>0</v>
      </c>
      <c r="GI37" s="140">
        <f ca="1">SUMIFS(RZ[Úroveň 10 (P6)],RZ[0],AX37,RZ[Úroveň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GJ37" s="918">
        <f t="shared" ca="1" si="202"/>
        <v>491.4</v>
      </c>
      <c r="GK37" s="808">
        <f t="shared" si="203"/>
        <v>0</v>
      </c>
      <c r="GL37" s="808">
        <f t="shared" si="204"/>
        <v>0</v>
      </c>
      <c r="GM37" s="808">
        <f t="shared" si="205"/>
        <v>1</v>
      </c>
      <c r="GN37" s="808">
        <f t="shared" si="206"/>
        <v>0</v>
      </c>
      <c r="GO37" s="808">
        <f t="shared" si="207"/>
        <v>0</v>
      </c>
      <c r="GP37" s="808">
        <f t="shared" si="208"/>
        <v>0</v>
      </c>
      <c r="GQ37" s="808">
        <f t="shared" si="209"/>
        <v>0</v>
      </c>
      <c r="GR37" s="808">
        <f t="shared" si="210"/>
        <v>0</v>
      </c>
      <c r="GS37" s="808">
        <f t="shared" si="211"/>
        <v>0</v>
      </c>
      <c r="GT37" s="808">
        <f t="shared" si="212"/>
        <v>0</v>
      </c>
      <c r="GU37" s="809">
        <f ca="1">SUMIFS(RZ[Sloupec1],RZ[0],AX37)</f>
        <v>1</v>
      </c>
      <c r="GV37" s="809">
        <f ca="1">SUMIFS(RZ[Sloupec2],RZ[0],AX37,RZ[Úroveň 2 (P0)],AY37)</f>
        <v>1</v>
      </c>
      <c r="GW37" s="809">
        <f ca="1">SUMIFS(RZ[Sloupec3],RZ[0],AX37,RZ[Úroveň 2 (P0)],AY37,RZ[Úroveň 3 (P0)],AZ37)</f>
        <v>1</v>
      </c>
      <c r="GX37" s="809">
        <f ca="1">SUMIFS(RZ[Sloupec4],RZ[0],AX37,RZ[Úroveň 2 (P0)],AY37,RZ[Úroveň 3 (P0)],AZ37,RZ[Úroveň 4 (P0)],BA37)</f>
        <v>0</v>
      </c>
      <c r="GY37" s="809">
        <f ca="1">SUMIFS(RZ[Sloupec5],RZ[0],AX37,RZ[Úroveň 2 (P0)],AY37,RZ[Úroveň 3 (P0)],AZ37,RZ[Úroveň 4 (P0)],BA37,RZ[Úroveň 5 (P0)],BB37)</f>
        <v>0</v>
      </c>
      <c r="GZ37" s="809">
        <f ca="1">SUMIFS(RZ[Sloupec6],RZ[0],AX37,RZ[Úroveň 2 (P0)],AY37,RZ[Úroveň 3 (P0)],AZ37,RZ[Úroveň 4 (P0)],BA37,RZ[Úroveň 5 (P0)],BB37,RZ[Úroveň 6 (P0)],BC37)</f>
        <v>0</v>
      </c>
      <c r="HA37" s="809">
        <f ca="1">SUMIFS(RZ[Sloupec62],RZ[0],AX37,RZ[Úroveň 2 (P0)],AY37,RZ[Úroveň 3 (P0)],AZ37,RZ[Úroveň 4 (P0)],BA37,RZ[Úroveň 5 (P0)],BB37,RZ[Úroveň 6 (P0)],BC37,RZ[Úroveň 7 (P0)],BD37)</f>
        <v>0</v>
      </c>
      <c r="HB37" s="809">
        <f ca="1">SUMIFS(RZ[Sloupec63],RZ[0],AX37,RZ[Úroveň 2 (P0)],AY37,RZ[Úroveň 3 (P0)],AZ37,RZ[Úroveň 4 (P0)],BA37,RZ[Úroveň 5 (P0)],BB37,RZ[Úroveň 6 (P0)],BC37,RZ[Úroveň 7 (P0)],BD37,RZ[Úroveň 8 (P0)],BE37)</f>
        <v>0</v>
      </c>
      <c r="HC37" s="809">
        <f ca="1">SUMIFS(RZ[Sloupec64],RZ[0],AX37,RZ[Úroveň 2 (P0)],AY37,RZ[Úroveň 3 (P0)],AZ37,RZ[Úroveň 4 (P0)],BA37,RZ[Úroveň 5 (P0)],BB37,RZ[Úroveň 6 (P0)],BC37,RZ[Úroveň 7 (P0)],BD37,RZ[Úroveň 8 (P0)],BE37,RZ[Úroveň 9 (P0)],BF37)</f>
        <v>0</v>
      </c>
      <c r="HD37" s="809">
        <f ca="1">SUMIFS(RZ[Sloupec65],RZ[0],AX37,RZ[Úroveň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HE37" s="919">
        <f t="shared" ca="1" si="213"/>
        <v>1</v>
      </c>
      <c r="HF37" s="920" t="str">
        <f t="shared" si="214"/>
        <v/>
      </c>
      <c r="HG37" s="94" t="str">
        <f t="shared" si="215"/>
        <v/>
      </c>
      <c r="HH37" s="95" t="str">
        <f t="shared" si="216"/>
        <v/>
      </c>
      <c r="HI37" s="95" t="str">
        <f t="shared" si="217"/>
        <v>Rám pastorku</v>
      </c>
      <c r="HJ37" s="96" t="str">
        <f t="shared" si="218"/>
        <v/>
      </c>
      <c r="HK37" s="96" t="str">
        <f t="shared" si="219"/>
        <v/>
      </c>
      <c r="HL37" s="96" t="str">
        <f t="shared" si="220"/>
        <v/>
      </c>
      <c r="HM37" s="96" t="str">
        <f t="shared" si="221"/>
        <v/>
      </c>
      <c r="HN37" s="96" t="str">
        <f t="shared" si="222"/>
        <v/>
      </c>
      <c r="HO37" s="96" t="str">
        <f t="shared" si="223"/>
        <v/>
      </c>
      <c r="HP37" s="96" t="str">
        <f t="shared" si="224"/>
        <v/>
      </c>
      <c r="HQ37" s="145" t="str">
        <f t="shared" si="225"/>
        <v>OKS3</v>
      </c>
      <c r="HR37" s="921" t="str">
        <f t="shared" si="226"/>
        <v/>
      </c>
      <c r="HS37" s="173">
        <f t="shared" si="227"/>
        <v>0</v>
      </c>
      <c r="HT37" s="100">
        <f t="shared" si="228"/>
        <v>0</v>
      </c>
      <c r="HU37" s="100">
        <f t="shared" si="229"/>
        <v>0</v>
      </c>
      <c r="HV37" s="908">
        <f t="shared" si="230"/>
        <v>0</v>
      </c>
      <c r="HW37" s="922">
        <f t="shared" si="231"/>
        <v>0</v>
      </c>
      <c r="HX37" s="224">
        <f t="shared" si="232"/>
        <v>0</v>
      </c>
      <c r="HY37" s="263" t="str">
        <f t="shared" si="233"/>
        <v>S</v>
      </c>
      <c r="HZ37" s="263">
        <f t="shared" si="234"/>
        <v>0</v>
      </c>
      <c r="IA37" s="150">
        <f t="shared" si="235"/>
        <v>1</v>
      </c>
      <c r="IB37" s="319">
        <f t="shared" si="236"/>
        <v>0</v>
      </c>
      <c r="IC37" s="923">
        <f t="shared" si="237"/>
        <v>0</v>
      </c>
      <c r="ID37" s="924" t="str">
        <f t="shared" ca="1" si="238"/>
        <v>OK</v>
      </c>
      <c r="IE37" s="201" t="str">
        <f t="shared" si="239"/>
        <v>ks</v>
      </c>
      <c r="IF37" s="145">
        <f t="shared" si="240"/>
        <v>2</v>
      </c>
      <c r="IG37" s="216">
        <f t="shared" si="241"/>
        <v>245.7</v>
      </c>
      <c r="IH37" s="217">
        <f t="shared" si="242"/>
        <v>1</v>
      </c>
      <c r="II37" s="224" t="str">
        <f ca="1">IF(RZ[[#This Row],[Rozhodný sloupec indikativní ceny]]=1,"kg",IF($IW37=$JL$15,IF(JX37=0,JO37,JX37),IF($IW37=$KE$15,IF(KQ37=0,KH37,KQ37),IF($IW37=$KX$15,IF(LJ37=0,LA37,LJ37),IF($IW37=$LQ$15,IF(MC37=0,LT37,MC37),IF($IW37=$MJ$15,IF(NQ37=0,NH37,NQ37),0))))))</f>
        <v>kg</v>
      </c>
      <c r="IJ37" s="224">
        <f ca="1">IF((BH37+OFFSET(BH37,1,1,1,1))=2,RZ[[#This Row],[Počet MJHR (P0)]],IF((BI37+OFFSET(BI37,1,1,1,1))=2,RZ[[#This Row],[Počet MJHR (P0)]],IF((BJ37+OFFSET(BJ37,1,1,1,1))=2,RZ[[#This Row],[Počet MJHR (P0)]],IF((BK37+OFFSET(BK37,1,1,1,1))=2,RZ[[#This Row],[Počet MJHR (P0)]],IF((BL37+OFFSET(BL37,1,1,1,1))=2,RZ[[#This Row],[Počet MJHR (P0)]],IF((BM37+OFFSET(BM37,1,1,1,1))=2,RZ[[#This Row],[Počet MJHR (P0)]],IF((BN37+OFFSET(BN37,1,1,1,1))=2,RZ[[#This Row],[Počet MJHR (P0)]],IF((BO37+OFFSET(BO37,1,1,1,1))=2,RZ[[#This Row],[Počet MJHR (P0)]],IF((BP37+OFFSET(BP37,1,1,1,1))=2,RZ[[#This Row],[Počet MJHR (P0)]],IF((BQ37+OFFSET(BQ37,1,1,1,1))=2,RZ[[#This Row],[Počet MJHR (P0)]],IF(RZ[[#This Row],[Měrná jednotka CR (MJCR) (P0)]]=RZ[[#This Row],[Měrná jednotka HR '[MJHR'] (P0)]],RZ[[#This Row],[Počet MJHR (P0)]],IF($IW37=$JL$15,JY37,IF($IW37=$KE$15,KR37,IF($IW37=$KX$15,LK37,IF($IW37=$LQ$15,MD37,IF($IW37=$MJ$15,NR37,0))))))))))))))))</f>
        <v>0</v>
      </c>
      <c r="IK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491.4</v>
      </c>
      <c r="IL37" s="145">
        <f ca="1">IF(AND(RZ[[#This Row],[Jednotková cena bez DPH '[cena/MJCR'] (P0)]]=0,RZ[[#This Row],[Indikativní jednotková cena '[CZK/kg'] (P1)]]&lt;&gt;0),1,0)</f>
        <v>1</v>
      </c>
      <c r="IM37" s="217">
        <f ca="1">VLOOKUP(RZ[[#This Row],[Kód položek]],INDIKAT_CENA,2,FALSE)</f>
        <v>80</v>
      </c>
      <c r="IN37" s="222">
        <f ca="1">IF(RZ[[#This Row],[Rozhodný sloupec indikativní ceny]]=1,RZ[[#This Row],[Indikativní jednotková cena '[CZK/kg'] (P1)]],RZ[[#This Row],[Jednotková cena bez DPH '[cena/MJCR'] (P0)]])</f>
        <v>80</v>
      </c>
      <c r="IO37" s="222">
        <f t="shared" si="243"/>
        <v>1</v>
      </c>
      <c r="IP37" s="224">
        <f ca="1">IF(RZ[[#This Row],[Rozhodný sloupec indikativní ceny]]=1,1,IF($IW37=$JL$15,KA37,IF($IW37=$KE$15,KT37,IF($IW37=$KX$15,LM37,IF($IW37=$LQ$15,MF37,IF($IW37=$MJ$15,NT37,0))))))</f>
        <v>1</v>
      </c>
      <c r="IQ37" s="225">
        <f ca="1">IF(RZ[[#This Row],[Jednotková cena bez DPH '[cena/MJCR'] (P1)]]="",0,IF(IP37=0,0,(RZ[[#This Row],[Jednotková cena bez DPH '[cena/MJCR'] (P1)]]*VLOOKUP(IP37,$BR$7:$BT$10,3))))</f>
        <v>80</v>
      </c>
      <c r="IR37" s="737"/>
      <c r="IS37" s="627">
        <f>IF(HY37=0,"",VLOOKUP(RZ[[#This Row],[Stav Projekce (P0)]],Vstupy!$E$11:'Vstupy'!$E$11:$H$17,4,FALSE))</f>
        <v>100</v>
      </c>
      <c r="IT37" s="925" t="str">
        <f>IF(RZ[[#This Row],[Stav Projekce (P0)]]=0,"",RZ[[#This Row],[Stav Projekce (P0)]])</f>
        <v>S</v>
      </c>
      <c r="IU37" s="925" t="str">
        <f>IF(RZ[[#This Row],[Stav Nákup (P0)]]=0,"",RZ[[#This Row],[Stav Nákup (P0)]])</f>
        <v/>
      </c>
      <c r="IV37" s="926" t="str">
        <f t="shared" si="244"/>
        <v/>
      </c>
      <c r="IW37" s="641">
        <v>1</v>
      </c>
      <c r="IX37" s="630"/>
      <c r="IY37" s="264"/>
      <c r="IZ37" s="648"/>
      <c r="JA37" s="100"/>
      <c r="JB37" s="100" t="s">
        <v>814</v>
      </c>
      <c r="JC37" s="100"/>
      <c r="JD37" s="100"/>
      <c r="JE37" s="100"/>
      <c r="JF37" s="100"/>
      <c r="JG37" s="100"/>
      <c r="JH37" s="100"/>
      <c r="JI37" s="100"/>
      <c r="JJ37" s="145" t="s">
        <v>769</v>
      </c>
      <c r="JK37" s="529"/>
      <c r="JL37" s="286"/>
      <c r="JM37" s="100"/>
      <c r="JN37" s="100"/>
      <c r="JO37" s="145" t="s">
        <v>35</v>
      </c>
      <c r="JP37" s="117">
        <v>2</v>
      </c>
      <c r="JQ37" s="117">
        <v>245.7</v>
      </c>
      <c r="JR37" s="148">
        <v>1</v>
      </c>
      <c r="JS37" s="145" t="s">
        <v>602</v>
      </c>
      <c r="JT37" s="631"/>
      <c r="JU37" s="148"/>
      <c r="JV37" s="154"/>
      <c r="JW37" s="145"/>
      <c r="JX37" s="210"/>
      <c r="JY37" s="117"/>
      <c r="JZ37" s="662"/>
      <c r="KA37" s="145"/>
      <c r="KB37" s="148"/>
      <c r="KC37" s="148"/>
      <c r="KD37" s="644"/>
      <c r="KE37" s="286"/>
      <c r="KF37" s="100"/>
      <c r="KG37" s="100"/>
      <c r="KH37" s="210"/>
      <c r="KI37" s="117"/>
      <c r="KJ37" s="117"/>
      <c r="KK37" s="148"/>
      <c r="KL37" s="145"/>
      <c r="KM37" s="632"/>
      <c r="KN37" s="148"/>
      <c r="KO37" s="154"/>
      <c r="KP37" s="154"/>
      <c r="KQ37" s="210"/>
      <c r="KR37" s="117"/>
      <c r="KS37" s="211"/>
      <c r="KT37" s="145"/>
      <c r="KU37" s="148"/>
      <c r="KV37" s="148"/>
      <c r="KW37" s="265"/>
      <c r="KX37" s="286"/>
      <c r="KY37" s="100"/>
      <c r="KZ37" s="100"/>
      <c r="LA37" s="210"/>
      <c r="LB37" s="117"/>
      <c r="LC37" s="117"/>
      <c r="LD37" s="148"/>
      <c r="LE37" s="145"/>
      <c r="LF37" s="632"/>
      <c r="LG37" s="148"/>
      <c r="LH37" s="154"/>
      <c r="LI37" s="154"/>
      <c r="LJ37" s="154"/>
      <c r="LK37" s="117"/>
      <c r="LL37" s="211"/>
      <c r="LM37" s="210"/>
      <c r="LN37" s="148"/>
      <c r="LO37" s="148"/>
      <c r="LP37" s="265"/>
      <c r="LQ37" s="286"/>
      <c r="LR37" s="100"/>
      <c r="LS37" s="100"/>
      <c r="LT37" s="210"/>
      <c r="LU37" s="117"/>
      <c r="LV37" s="117"/>
      <c r="LW37" s="148"/>
      <c r="LX37" s="145"/>
      <c r="LY37" s="632"/>
      <c r="LZ37" s="148"/>
      <c r="MA37" s="154"/>
      <c r="MB37" s="154"/>
      <c r="MC37" s="145"/>
      <c r="MD37" s="117"/>
      <c r="ME37" s="211"/>
      <c r="MF37" s="210"/>
      <c r="MG37" s="148"/>
      <c r="MH37" s="148"/>
      <c r="MI37" s="265"/>
      <c r="MJ37" s="647"/>
      <c r="MK37" s="264"/>
      <c r="ML37" s="153"/>
      <c r="MM37" s="153"/>
      <c r="MN37" s="153"/>
      <c r="MO37" s="153"/>
      <c r="MP37" s="153"/>
      <c r="MQ37" s="153"/>
      <c r="MR37" s="153"/>
      <c r="MS37" s="99"/>
      <c r="MT37" s="99"/>
      <c r="MU37" s="99"/>
      <c r="MV37" s="99"/>
      <c r="MW37" s="99"/>
      <c r="MX37" s="99"/>
      <c r="MY37" s="153"/>
      <c r="MZ37" s="153"/>
      <c r="NA37" s="153"/>
      <c r="NB37" s="153"/>
      <c r="NC37" s="153"/>
      <c r="ND37" s="153"/>
      <c r="NE37" s="148"/>
      <c r="NF37" s="153"/>
      <c r="NG37" s="153"/>
      <c r="NH37" s="330" t="str">
        <f t="shared" si="245"/>
        <v>ks</v>
      </c>
      <c r="NI37" s="797">
        <f>RZ[[#This Row],[Počet ks (K)]]</f>
        <v>0</v>
      </c>
      <c r="NJ37" s="798">
        <f>RZ[[#This Row],[Hmotnost '[kg/ks'] (K)]]</f>
        <v>0</v>
      </c>
      <c r="NK37" s="148"/>
      <c r="NL37" s="145"/>
      <c r="NM37" s="632"/>
      <c r="NN37" s="148"/>
      <c r="NO37" s="154"/>
      <c r="NP37" s="153"/>
      <c r="NQ37" s="153"/>
      <c r="NR37" s="210"/>
      <c r="NS37" s="148"/>
      <c r="NT37" s="210"/>
      <c r="NU37" s="148"/>
      <c r="NV37" s="148"/>
      <c r="NW37" s="175"/>
    </row>
    <row r="38" spans="2:387" ht="15.95" customHeight="1" x14ac:dyDescent="0.35">
      <c r="B38" s="118" t="str">
        <f t="shared" si="129"/>
        <v/>
      </c>
      <c r="C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8" s="262" t="str">
        <f t="shared" si="130"/>
        <v xml:space="preserve">    Krat pastorku</v>
      </c>
      <c r="E38" s="120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Row],[Kód položek (P2)]]))))))))))</f>
        <v>OKS3</v>
      </c>
      <c r="F38" s="791" t="str">
        <f t="shared" si="131"/>
        <v>N/A</v>
      </c>
      <c r="G38" s="792" t="str">
        <f t="shared" si="132"/>
        <v/>
      </c>
      <c r="H38" s="262" t="str">
        <f t="shared" si="133"/>
        <v/>
      </c>
      <c r="I38" s="123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HR '[MJHR'] (P0)]]))))))))))</f>
        <v>ks</v>
      </c>
      <c r="J38" s="123">
        <f t="shared" si="134"/>
        <v>2</v>
      </c>
      <c r="K38" s="793">
        <f>RZ[[#This Row],[Koeficient odhadu HR '[-'] (P1)]]</f>
        <v>1</v>
      </c>
      <c r="L38" s="124">
        <f ca="1">RZ[[#This Row],[Jednotková hmotnost s koef. '[kg/MJHR'] (P0)]]</f>
        <v>51.36</v>
      </c>
      <c r="M38" s="794">
        <f t="shared" ca="1" si="135"/>
        <v>0</v>
      </c>
      <c r="N38" s="125">
        <f t="shared" ca="1" si="136"/>
        <v>102.72</v>
      </c>
      <c r="O38" s="125">
        <f t="shared" ca="1" si="137"/>
        <v>0</v>
      </c>
      <c r="P38" s="126" t="str">
        <f t="shared" si="138"/>
        <v/>
      </c>
      <c r="Q38" s="795">
        <f ca="1">RZ[[#This Row],[Počet MJHR v rozpadu (P0)]]</f>
        <v>2</v>
      </c>
      <c r="R38" s="439" t="str">
        <f t="shared" si="139"/>
        <v/>
      </c>
      <c r="S38" s="129" t="str">
        <f t="shared" si="140"/>
        <v/>
      </c>
      <c r="T38" s="126" t="str">
        <f t="shared" si="141"/>
        <v/>
      </c>
      <c r="U38" s="126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CR (MJCR) (P0)]]))))))))))</f>
        <v>kg</v>
      </c>
      <c r="V38" s="575">
        <f t="shared" ca="1" si="142"/>
        <v>102.72</v>
      </c>
      <c r="W38" s="322">
        <f>RZ[[#This Row],[Koeficient odhadu CR '[-'] (P1)]]</f>
        <v>1</v>
      </c>
      <c r="X38" s="440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Row],[Jednotková cena bez DPH '[cena/MJCR'] (P1)]]*RZ[[#This Row],[Koeficient odhadu CR '[-']]]))))))))))</f>
        <v>80</v>
      </c>
      <c r="Y38" s="440">
        <f t="shared" ca="1" si="143"/>
        <v>0</v>
      </c>
      <c r="Z38" s="142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VLOOKUP(IP38,$BR$7:$BS$11,2,FALSE)))))))))))</f>
        <v>CZK</v>
      </c>
      <c r="AA38" s="909">
        <f t="shared" ca="1" si="144"/>
        <v>102.72</v>
      </c>
      <c r="AB38" s="910">
        <f ca="1">RZ[[#This Row],[Kumulovaný koeficient v rozpadu (P0)]]</f>
        <v>1</v>
      </c>
      <c r="AC38" s="261"/>
      <c r="AD38" s="796">
        <f ca="1">RZ[[#This Row],[Jednotková cena bez DPH '[cena/MJCR'] s koef. (P0)]]/RZ[[#This Row],[Koeficient odhadu CR '[-']]]*RZ[[#This Row],[Kumulovaný koeficient odhadu CR  '[-']]]</f>
        <v>80</v>
      </c>
      <c r="AE38" s="796">
        <f t="shared" ca="1" si="145"/>
        <v>8217.6</v>
      </c>
      <c r="AF38" s="796">
        <f ca="1">-IF(ISNUMBER(AA38),RZ[[#This Row],[Celková cena bez DPH (1)]]-RZ[[#This Row],[Jednotková cena bez DPH '[cena/MJCR'] bez koef. (P0)]]*AA38,0)</f>
        <v>0</v>
      </c>
      <c r="AG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8" s="261"/>
      <c r="AI38" s="796">
        <f t="shared" ca="1" si="146"/>
        <v>2.9629629629629628</v>
      </c>
      <c r="AJ38" s="796">
        <f t="shared" ca="1" si="147"/>
        <v>304.35555555555555</v>
      </c>
      <c r="AK38" s="796">
        <f t="shared" ca="1" si="148"/>
        <v>0</v>
      </c>
      <c r="AL38" s="753">
        <f ca="1">RZ[[#This Row],[Kilogramová cena bez DPH '[cena/kg'] (1)]]/$AK$13</f>
        <v>2.9629629629629628</v>
      </c>
      <c r="AM38" s="261"/>
      <c r="AN38" s="796">
        <f t="shared" ca="1" si="149"/>
        <v>3.8647342995169085</v>
      </c>
      <c r="AO38" s="796">
        <f t="shared" ca="1" si="150"/>
        <v>396.98550724637687</v>
      </c>
      <c r="AP38" s="796">
        <f t="shared" ca="1" si="151"/>
        <v>0</v>
      </c>
      <c r="AQ38" s="753">
        <f ca="1">RZ[[#This Row],[Kilogramová cena bez DPH '[cena/kg'] (1)]]/$AP$13</f>
        <v>3.8647342995169085</v>
      </c>
      <c r="AR38" s="261"/>
      <c r="AS38" s="796">
        <f t="shared" ca="1" si="152"/>
        <v>2.1881838074398248</v>
      </c>
      <c r="AT38" s="796">
        <f t="shared" ca="1" si="153"/>
        <v>224.77024070021881</v>
      </c>
      <c r="AU38" s="789">
        <f t="shared" ca="1" si="154"/>
        <v>0</v>
      </c>
      <c r="AV38" s="767">
        <f ca="1">RZ[[#This Row],[Kilogramová cena bez DPH '[cena/kg'] (1)]]/$AU$13</f>
        <v>2.1881838074398248</v>
      </c>
      <c r="AW38" s="165"/>
      <c r="AX38" s="911">
        <f t="shared" ca="1" si="155"/>
        <v>2</v>
      </c>
      <c r="AY38" s="111">
        <f t="shared" ca="1" si="156"/>
        <v>1</v>
      </c>
      <c r="AZ38" s="111">
        <f t="shared" ca="1" si="157"/>
        <v>15</v>
      </c>
      <c r="BA38" s="111">
        <f t="shared" ca="1" si="158"/>
        <v>0</v>
      </c>
      <c r="BB38" s="111">
        <f t="shared" ca="1" si="159"/>
        <v>0</v>
      </c>
      <c r="BC38" s="111">
        <f t="shared" ca="1" si="160"/>
        <v>0</v>
      </c>
      <c r="BD38" s="111">
        <f t="shared" ca="1" si="161"/>
        <v>0</v>
      </c>
      <c r="BE38" s="111">
        <f t="shared" ca="1" si="162"/>
        <v>0</v>
      </c>
      <c r="BF38" s="111">
        <f t="shared" ca="1" si="163"/>
        <v>0</v>
      </c>
      <c r="BG38" s="112">
        <f t="shared" ca="1" si="164"/>
        <v>0</v>
      </c>
      <c r="BH38" s="911">
        <f t="shared" si="165"/>
        <v>0</v>
      </c>
      <c r="BI38" s="111">
        <f t="shared" si="166"/>
        <v>0</v>
      </c>
      <c r="BJ38" s="111">
        <f t="shared" si="167"/>
        <v>1</v>
      </c>
      <c r="BK38" s="111">
        <f t="shared" si="168"/>
        <v>0</v>
      </c>
      <c r="BL38" s="111">
        <f t="shared" si="169"/>
        <v>0</v>
      </c>
      <c r="BM38" s="111">
        <f t="shared" si="170"/>
        <v>0</v>
      </c>
      <c r="BN38" s="111">
        <f t="shared" si="171"/>
        <v>0</v>
      </c>
      <c r="BO38" s="111">
        <f t="shared" si="172"/>
        <v>0</v>
      </c>
      <c r="BP38" s="111">
        <f t="shared" si="173"/>
        <v>0</v>
      </c>
      <c r="BQ38" s="112">
        <f t="shared" si="174"/>
        <v>0</v>
      </c>
      <c r="BR38" s="132">
        <f ca="1">IF(OFFSET(AY38,1,0,1,1)&lt;&gt;0,RZ[[#This Row],[Koeficient odhadu HR '[-'] (P1)]]*$BH38*SUMIFS(RZ[Úroveň 2 s koef. (P2)],RZ[0],AX38),RZ[[#This Row],[Koeficient odhadu HR '[-'] (P1)]]*$BH38*$IG38)</f>
        <v>0</v>
      </c>
      <c r="BS38" s="186">
        <f ca="1">IF(OFFSET(AY38,1,0,1,1)&lt;&gt;0,$BH38*SUMIFS(RZ[Úroveň 2 bez koef. (P2)],RZ[0],AX38),$BH38*$IG38)</f>
        <v>0</v>
      </c>
      <c r="BT38" s="138">
        <f ca="1">RZ[[#This Row],[Úroveň 2 s koef. (P2a)]]*RZ[[#This Row],[Počet MJHR (P0)]]</f>
        <v>0</v>
      </c>
      <c r="BU38" s="138">
        <f ca="1">RZ[[#This Row],[Úroveň 2 bez koef. (P2a)]]*RZ[[#This Row],[Počet MJHR (P0)]]</f>
        <v>0</v>
      </c>
      <c r="BV38" s="138">
        <f ca="1">IF(OFFSET(AZ38,1,0,1,1)&lt;&gt;0,RZ[[#This Row],[Koeficient odhadu HR '[-'] (P1)]]*$BI38*SUMIFS(RZ[Úroveň 3 s koef. (P2)],RZ[0],AX38,RZ[Úroveň 2 (P0)],AY38),RZ[[#This Row],[Koeficient odhadu HR '[-'] (P1)]]*$BI38*$IG38)</f>
        <v>0</v>
      </c>
      <c r="BW38" s="138">
        <f ca="1">IF(OFFSET(AZ38,1,0,1,1)&lt;&gt;0,$BI38*SUMIFS(RZ[Úroveň 3 bez koef. (P2)],RZ[0],AX38,RZ[Úroveň 2 (P0)],AY38),$BI38*$IG38)</f>
        <v>0</v>
      </c>
      <c r="BX38" s="132">
        <f ca="1">RZ[[#This Row],[Úroveň 3 s koef. (P2a)]]*RZ[[#This Row],[Počet MJHR (P0)]]</f>
        <v>102.72</v>
      </c>
      <c r="BY38" s="132">
        <f ca="1">RZ[Úroveň 3 bez koef. (P2a)]*RZ[[#This Row],[Počet MJHR (P0)]]</f>
        <v>102.72</v>
      </c>
      <c r="BZ38" s="132">
        <f ca="1">IF(OFFSET(BA38,1,0,1,1)&lt;&gt;0,RZ[[#This Row],[Koeficient odhadu HR '[-'] (P1)]]*$BJ38*SUMIFS(RZ[Úroveň 4 s koef. (P2)],RZ[0],AX38,RZ[Úroveň 2 (P0)],AY38,RZ[Úroveň 3 (P0)],AZ38),RZ[[#This Row],[Koeficient odhadu HR '[-'] (P1)]]*$BJ38*$IG38)</f>
        <v>51.36</v>
      </c>
      <c r="CA38" s="132">
        <f ca="1">IF(OFFSET(BA38,1,0,1,1)&lt;&gt;0,$BJ38*SUMIFS(RZ[Úroveň 4 bez koef. (P2)],RZ[0],AX38,RZ[Úroveň 2 (P0)],AY38,RZ[Úroveň 3 (P0)],AZ38),$BJ38*$IG38)</f>
        <v>51.36</v>
      </c>
      <c r="CB38" s="138">
        <f ca="1">RZ[[#This Row],[Úroveň 4 s koef. (P2a)]]*RZ[[#This Row],[Počet MJHR (P0)]]</f>
        <v>0</v>
      </c>
      <c r="CC38" s="138">
        <f ca="1">RZ[Úroveň 4 bez koef. (P2a)]*RZ[[#This Row],[Počet MJHR (P0)]]</f>
        <v>0</v>
      </c>
      <c r="CD38" s="138">
        <f ca="1">IF(OFFSET(BB38,1,0,1,1)&lt;&gt;0,RZ[[#This Row],[Koeficient odhadu HR '[-'] (P1)]]*$BK38*SUMIFS(RZ[Úroveň 5 s koef. (P2)],RZ[0],AX38,RZ[Úroveň 2 (P0)],AY38,RZ[Úroveň 3 (P0)],AZ38,RZ[Úroveň 4 (P0)],BA38),RZ[[#This Row],[Koeficient odhadu HR '[-'] (P1)]]*$BK38*$IG38)</f>
        <v>0</v>
      </c>
      <c r="CE38" s="138">
        <f ca="1">IF(OFFSET(BB38,1,0,1,1)&lt;&gt;0,$BK38*SUMIFS(RZ[Úroveň 5 bez koef. (P2)],RZ[0],AX38,RZ[Úroveň 2 (P0)],AY38,RZ[Úroveň 3 (P0)],AZ38,RZ[Úroveň 4 (P0)],BA38),$BK38*$IG38)</f>
        <v>0</v>
      </c>
      <c r="CF38" s="132">
        <f ca="1">RZ[[#This Row],[Úroveň 5 s koef. (P2a)]]*RZ[[#This Row],[Počet MJHR (P0)]]</f>
        <v>0</v>
      </c>
      <c r="CG38" s="132">
        <f ca="1">RZ[Úroveň 5 bez koef. (P2a)]*RZ[[#This Row],[Počet MJHR (P0)]]</f>
        <v>0</v>
      </c>
      <c r="CH38" s="132">
        <f ca="1">IF(OFFSET(BC38,1,0,1,1)&lt;&gt;0,RZ[[#This Row],[Koeficient odhadu HR '[-'] (P1)]]*$BL38*SUMIFS(RZ[Úroveň 6 s koef. (P2)],RZ[0],AX38,RZ[Úroveň 2 (P0)],AY38,RZ[Úroveň 3 (P0)],AZ38,RZ[Úroveň 4 (P0)],BA38,RZ[Úroveň 5 (P0)],BB38),RZ[[#This Row],[Koeficient odhadu HR '[-'] (P1)]]*$BL38*$IG38)</f>
        <v>0</v>
      </c>
      <c r="CI38" s="132">
        <f ca="1">IF(OFFSET(BC38,1,0,1,1)&lt;&gt;0,$BL38*SUMIFS(RZ[Úroveň 6 bez koef. (P2)],RZ[0],AX38,RZ[Úroveň 2 (P0)],AY38,RZ[Úroveň 3 (P0)],AZ38,RZ[Úroveň 4 (P0)],BA38,RZ[Úroveň 5 (P0)],BB38),$BL38*$IG38)</f>
        <v>0</v>
      </c>
      <c r="CJ38" s="138">
        <f ca="1">RZ[[#This Row],[Úroveň 6 s koef. (P2a)]]*RZ[[#This Row],[Počet MJHR (P0)]]</f>
        <v>0</v>
      </c>
      <c r="CK38" s="138">
        <f ca="1">RZ[Úroveň 6 bez koef. (P2a)]*RZ[[#This Row],[Počet MJHR (P0)]]</f>
        <v>0</v>
      </c>
      <c r="CL38" s="138">
        <f ca="1">IF(OFFSET(BD38,1,0,1,1)&lt;&gt;0,RZ[[#This Row],[Koeficient odhadu HR '[-'] (P1)]]*$BM38*SUMIFS(RZ[Úroveň 7 s koef. (P2)],RZ[0],AX38,RZ[Úroveň 2 (P0)],AY38,RZ[Úroveň 3 (P0)],AZ38,RZ[Úroveň 4 (P0)],BA38,RZ[Úroveň 5 (P0)],BB38,RZ[Úroveň 6 (P0)],BC38),RZ[[#This Row],[Koeficient odhadu HR '[-'] (P1)]]*$BM38*$IG38)</f>
        <v>0</v>
      </c>
      <c r="CM38" s="138">
        <f ca="1">IF(OFFSET(BD38,1,0,1,1)&lt;&gt;0,$BM38*SUMIFS(RZ[Úroveň 7 bez koef. (P2)],RZ[0],AX38,RZ[Úroveň 2 (P0)],AY38,RZ[Úroveň 3 (P0)],AZ38,RZ[Úroveň 4 (P0)],BA38,RZ[Úroveň 5 (P0)],BB38,RZ[Úroveň 6 (P0)],BC38),$BM38*$IG38)</f>
        <v>0</v>
      </c>
      <c r="CN38" s="132">
        <f ca="1">RZ[[#This Row],[Úroveň 7 s koef. (P2a)]]*RZ[[#This Row],[Počet MJHR (P0)]]</f>
        <v>0</v>
      </c>
      <c r="CO38" s="132">
        <f ca="1">RZ[Úroveň 7 bez koef. (P2a)]*RZ[[#This Row],[Počet MJHR (P0)]]</f>
        <v>0</v>
      </c>
      <c r="CP38" s="132">
        <f ca="1">IF(OFFSET(BE38,1,0,1,1)&lt;&gt;0,RZ[[#This Row],[Koeficient odhadu HR '[-'] (P1)]]*$BN38*SUMIFS(RZ[Úroveň 8 s koef. (P2)],RZ[0],AX38,RZ[Úroveň 2 (P0)],AY38,RZ[Úroveň 3 (P0)],AZ38,RZ[Úroveň 4 (P0)],BA38,RZ[Úroveň 5 (P0)],BB38,RZ[Úroveň 6 (P0)],BC38,RZ[Úroveň 7 (P0)],BD38),RZ[[#This Row],[Koeficient odhadu HR '[-'] (P1)]]*$BN38*$IG38)</f>
        <v>0</v>
      </c>
      <c r="CQ38" s="132">
        <f ca="1">IF(OFFSET(BE38,1,0,1,1)&lt;&gt;0,$BN38*SUMIFS(RZ[Úroveň 8 bez koef. (P2)],RZ[0],AX38,RZ[Úroveň 2 (P0)],AY38,RZ[Úroveň 3 (P0)],AZ38,RZ[Úroveň 4 (P0)],BA38,RZ[Úroveň 5 (P0)],BB38,RZ[Úroveň 6 (P0)],BC38,RZ[Úroveň 7 (P0)],BD38),$BN38*$IG38)</f>
        <v>0</v>
      </c>
      <c r="CR38" s="138">
        <f ca="1">RZ[[#This Row],[Úroveň 8 s koef. (P2a)]]*RZ[[#This Row],[Počet MJHR (P0)]]</f>
        <v>0</v>
      </c>
      <c r="CS38" s="138">
        <f ca="1">RZ[Úroveň 8 bez koef. (P2a)]*RZ[[#This Row],[Počet MJHR (P0)]]</f>
        <v>0</v>
      </c>
      <c r="CT38" s="138">
        <f ca="1">IF(OFFSET(BF38,1,0,1,1)&lt;&gt;0,RZ[[#This Row],[Koeficient odhadu HR '[-'] (P1)]]*$BO38*SUMIFS(RZ[Úroveň 9 s koef. (P2)],RZ[0],AX38,RZ[Úroveň 2 (P0)],AY38,RZ[Úroveň 3 (P0)],AZ38,RZ[Úroveň 4 (P0)],BA38,RZ[Úroveň 5 (P0)],BB38,RZ[Úroveň 6 (P0)],BC38,RZ[Úroveň 7 (P0)],BD38,RZ[Úroveň 8 (P0)],BE38),RZ[[#This Row],[Koeficient odhadu HR '[-'] (P1)]]*$BO38*$IG38)</f>
        <v>0</v>
      </c>
      <c r="CU38" s="138">
        <f ca="1">IF(OFFSET(BF38,1,0,1,1)&lt;&gt;0,$BO38*SUMIFS(RZ[Úroveň 9 bez koef. (P2)],RZ[0],AX38,RZ[Úroveň 2 (P0)],AY38,RZ[Úroveň 3 (P0)],AZ38,RZ[Úroveň 4 (P0)],BA38,RZ[Úroveň 5 (P0)],BB38,RZ[Úroveň 6 (P0)],BC38,RZ[Úroveň 7 (P0)],BD38,RZ[Úroveň 8 (P0)],BE38),$BO38*$IG38)</f>
        <v>0</v>
      </c>
      <c r="CV38" s="132">
        <f ca="1">RZ[[#This Row],[Úroveň 9 s koef. (P2a)]]*RZ[[#This Row],[Počet MJHR (P0)]]</f>
        <v>0</v>
      </c>
      <c r="CW38" s="132">
        <f ca="1">RZ[Úroveň 9 bez koef. (P2a)]*RZ[[#This Row],[Počet MJHR (P0)]]</f>
        <v>0</v>
      </c>
      <c r="CX38" s="132">
        <f ca="1">IF(OFFSET(BG38,1,0,1,1)&lt;&gt;0,RZ[[#This Row],[Koeficient odhadu HR '[-'] (P1)]]*$BP38*SUMIFS(RZ[Úroveň 10 s koef. (P2)],RZ[0],AX38,RZ[Úroveň 2 (P0)],AY38,RZ[Úroveň 3 (P0)],AZ38,RZ[Úroveň 4 (P0)],BA38,RZ[Úroveň 5 (P0)],BB38,RZ[Úroveň 6 (P0)],BC38,RZ[Úroveň 7 (P0)],BD38,RZ[Úroveň 8 (P0)],BE38,RZ[Úroveň 9 (P0)],BF38),RZ[[#This Row],[Koeficient odhadu HR '[-'] (P1)]]*$BP38*$IG38)</f>
        <v>0</v>
      </c>
      <c r="CY38" s="132">
        <f ca="1">IF(OFFSET(BG38,1,0,1,1)&lt;&gt;0,$BP38*SUMIFS(RZ[Úroveň 10 bez koef. (P2)],RZ[0],AX38,RZ[Úroveň 2 (P0)],AY38,RZ[Úroveň 3 (P0)],AZ38,RZ[Úroveň 4 (P0)],BA38,RZ[Úroveň 5 (P0)],BB38,RZ[Úroveň 6 (P0)],BC38,RZ[Úroveň 7 (P0)],BD38,RZ[Úroveň 8 (P0)],BE38,RZ[Úroveň 9 (P0)],BF38),$BP38*$IG38)</f>
        <v>0</v>
      </c>
      <c r="CZ38" s="138">
        <f>RZ[[#This Row],[Úroveň 10 s koef. (P2a)]]*RZ[[#This Row],[Počet MJHR (P0)]]</f>
        <v>0</v>
      </c>
      <c r="DA38" s="138">
        <f>RZ[Úroveň 10 bez koef. (P2a)]*RZ[[#This Row],[Počet MJHR (P0)]]</f>
        <v>0</v>
      </c>
      <c r="DB38" s="138">
        <f>RZ[[#This Row],[Koeficient odhadu HR '[-'] (P1)]]*$BQ38*IG38</f>
        <v>0</v>
      </c>
      <c r="DC38" s="231">
        <f t="shared" si="175"/>
        <v>0</v>
      </c>
      <c r="DD38" s="241">
        <f t="shared" ca="1" si="176"/>
        <v>51.36</v>
      </c>
      <c r="DE38" s="229">
        <f t="shared" ca="1" si="177"/>
        <v>51.36</v>
      </c>
      <c r="DF38" s="912">
        <f t="shared" si="178"/>
        <v>0</v>
      </c>
      <c r="DG38" s="913">
        <f t="shared" si="179"/>
        <v>0</v>
      </c>
      <c r="DH38" s="913">
        <f t="shared" si="180"/>
        <v>2</v>
      </c>
      <c r="DI38" s="913">
        <f t="shared" si="181"/>
        <v>0</v>
      </c>
      <c r="DJ38" s="913">
        <f t="shared" si="182"/>
        <v>0</v>
      </c>
      <c r="DK38" s="913">
        <f t="shared" si="183"/>
        <v>0</v>
      </c>
      <c r="DL38" s="913">
        <f t="shared" si="184"/>
        <v>0</v>
      </c>
      <c r="DM38" s="913">
        <f t="shared" si="185"/>
        <v>0</v>
      </c>
      <c r="DN38" s="913">
        <f t="shared" si="186"/>
        <v>0</v>
      </c>
      <c r="DO38" s="913">
        <f t="shared" si="187"/>
        <v>0</v>
      </c>
      <c r="DP38" s="914">
        <f ca="1">SUMIFS(RZ[Úroveň 1 (P4)],RZ[0],AX38)</f>
        <v>1</v>
      </c>
      <c r="DQ38" s="914">
        <f ca="1">SUMIFS(RZ[Úroveň 2 (P4)],RZ[0],AX38,RZ[Úroveň 2 (P0)],AY38)</f>
        <v>1</v>
      </c>
      <c r="DR38" s="914">
        <f ca="1">SUMIFS(RZ[Úroveň 3 (P4)],RZ[0],AX38,RZ[Úroveň 2 (P0)],AY38,RZ[Úroveň 3 (P0)],AZ38)</f>
        <v>2</v>
      </c>
      <c r="DS38" s="914">
        <f ca="1">SUMIFS(RZ[Úroveň 4 (P4)],RZ[0],AX38,RZ[Úroveň 2 (P0)],AY38,RZ[Úroveň 3 (P0)],AZ38,RZ[Úroveň 4 (P0)],BA38)</f>
        <v>0</v>
      </c>
      <c r="DT38" s="914">
        <f ca="1">SUMIFS(RZ[Úroveň 5 (P4)],RZ[0],AX38,RZ[Úroveň 2 (P0)],AY38,RZ[Úroveň 3 (P0)],AZ38,RZ[Úroveň 4 (P0)],BA38,RZ[Úroveň 5 (P0)],BB38)</f>
        <v>0</v>
      </c>
      <c r="DU38" s="914">
        <f ca="1">SUMIFS(RZ[Úroveň 6 (P4)],RZ[0],AX38,RZ[Úroveň 2 (P0)],AY38,RZ[Úroveň 3 (P0)],AZ38,RZ[Úroveň 4 (P0)],BA38,RZ[Úroveň 5 (P0)],BB38,RZ[Úroveň 6 (P0)],BC38)</f>
        <v>0</v>
      </c>
      <c r="DV38" s="914">
        <f ca="1">SUMIFS(RZ[Úroveň 7 (P4)],RZ[0],AX38,RZ[Úroveň 2 (P0)],AY38,RZ[Úroveň 3 (P0)],AZ38,RZ[Úroveň 4 (P0)],BA38,RZ[Úroveň 5 (P0)],BB38,RZ[Úroveň 6 (P0)],BC38,RZ[Úroveň 7 (P0)],BD38)</f>
        <v>0</v>
      </c>
      <c r="DW38" s="914">
        <f ca="1">SUMIFS(RZ[Úroveň 8 (P4)],RZ[0],AX38,RZ[Úroveň 2 (P0)],AY38,RZ[Úroveň 3 (P0)],AZ38,RZ[Úroveň 4 (P0)],BA38,RZ[Úroveň 5 (P0)],BB38,RZ[Úroveň 6 (P0)],BC38,RZ[Úroveň 7 (P0)],BD38,RZ[Úroveň 8 (P0)],BE38)</f>
        <v>0</v>
      </c>
      <c r="DX38" s="914">
        <f ca="1">SUMIFS(RZ[Úroveň 9 (P4)],RZ[0],AX38,RZ[Úroveň 2 (P0)],AY38,RZ[Úroveň 3 (P0)],AZ38,RZ[Úroveň 4 (P0)],BA38,RZ[Úroveň 5 (P0)],BB38,RZ[Úroveň 6 (P0)],BC38,RZ[Úroveň 7 (P0)],BD38,RZ[Úroveň 8 (P0)],BE38,RZ[Úroveň 9 (P0)],BF38)</f>
        <v>0</v>
      </c>
      <c r="DY38" s="914">
        <f ca="1">SUMIFS(RZ[Úroveň 10 (P4)],RZ[0],AX38,RZ[Úroveň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DZ38" s="915">
        <f t="shared" ca="1" si="188"/>
        <v>2</v>
      </c>
      <c r="EA38" s="916">
        <f ca="1">RZ[[#This Row],[Jednotková hmotnost bez koef. '[kg/MJHR'] (P0)]]*RZ[[#This Row],[Počet MJHR v rozpadu (P0)]]</f>
        <v>102.72</v>
      </c>
      <c r="EB38" s="917">
        <f ca="1">IF(OFFSET(AY38,1,0,1,1)&lt;&gt;0,RZ[[#This Row],[Koeficient odhadu CR '[-'] (P1)]]*$BH38*SUMIFS(RZ[Úroveň 2 s koef. (P3)],RZ[0],AX38),RZ[[#This Row],[Koeficient odhadu CR '[-'] (P1)]]*$BH38*$IQ38)</f>
        <v>0</v>
      </c>
      <c r="EC38" s="191">
        <f ca="1">IF(OFFSET(AY38,1,0,1,1)&lt;&gt;0,$BH38*SUMIFS(RZ[Úroveň 2 bez koef. (P3)],RZ[0],AX38),$BH38*$IQ38)</f>
        <v>0</v>
      </c>
      <c r="ED38" s="140">
        <f ca="1">RZ[[#This Row],[Úroveň 2 s koef. (P3a)]]*RZ[[#This Row],[Počet MJCR (P0) pro "kg"]]</f>
        <v>0</v>
      </c>
      <c r="EE38" s="140">
        <f ca="1">RZ[Úroveň 2 bez koef. (P3a)]*RZ[[#This Row],[Počet MJCR (P0) pro "kg"]]</f>
        <v>0</v>
      </c>
      <c r="EF38" s="140">
        <f ca="1">IF(OFFSET(AZ38,1,0,1,1)&lt;&gt;0,RZ[[#This Row],[Koeficient odhadu CR '[-'] (P1)]]*$BI38*SUMIFS(RZ[Úroveň 3 s koef. (P3)],RZ[0],AX38,RZ[Úroveň 2 (P0)],AY38),RZ[[#This Row],[Koeficient odhadu CR '[-'] (P1)]]*$BI38*$IQ38)</f>
        <v>0</v>
      </c>
      <c r="EG38" s="140">
        <f ca="1">IF(OFFSET(AZ38,1,0,1,1)&lt;&gt;0,$BI38*SUMIFS(RZ[Úroveň 3 bez koef. (P3)],RZ[0],AX38,RZ[Úroveň 2 (P0)],AY38),$BI38*$IQ38)</f>
        <v>0</v>
      </c>
      <c r="EH38" s="135">
        <f ca="1">RZ[[#This Row],[Úroveň 3 s koef. (P3a)]]*RZ[[#This Row],[Počet MJCR (P0) pro "kg"]]</f>
        <v>8217.6</v>
      </c>
      <c r="EI38" s="135">
        <f ca="1">RZ[Úroveň 3 bez koef. (P3a)]*RZ[[#This Row],[Počet MJCR (P0) pro "kg"]]</f>
        <v>8217.6</v>
      </c>
      <c r="EJ38" s="135">
        <f ca="1">IF(OFFSET(BA38,1,0,1,1)&lt;&gt;0,RZ[[#This Row],[Koeficient odhadu CR '[-'] (P1)]]*$BJ38*SUMIFS(RZ[Úroveň 4 s koef. (P3)],RZ[0],AX38,RZ[Úroveň 2 (P0)],AY38,RZ[Úroveň 3 (P0)],AZ38),RZ[[#This Row],[Koeficient odhadu CR '[-'] (P1)]]*$BJ38*$IQ38)</f>
        <v>80</v>
      </c>
      <c r="EK38" s="135">
        <f ca="1">IF(OFFSET(BA38,1,0,1,1)&lt;&gt;0,$BJ38*SUMIFS(RZ[Úroveň 4 bez koef. (P3)],RZ[0],AX38,RZ[Úroveň 2 (P0)],AY38,RZ[Úroveň 3 (P0)],AZ38),$BJ38*$IQ38)</f>
        <v>80</v>
      </c>
      <c r="EL38" s="140">
        <f ca="1">RZ[[#This Row],[Úroveň 4 s koef. (P3a)]]*RZ[[#This Row],[Počet MJCR (P0) pro "kg"]]</f>
        <v>0</v>
      </c>
      <c r="EM38" s="140">
        <f ca="1">RZ[Úroveň 4 bez koef. (P3a)]*RZ[[#This Row],[Počet MJCR (P0) pro "kg"]]</f>
        <v>0</v>
      </c>
      <c r="EN38" s="140">
        <f ca="1">IF(OFFSET(BB38,1,0,1,1)&lt;&gt;0,RZ[[#This Row],[Koeficient odhadu CR '[-'] (P1)]]*$BK38*SUMIFS(RZ[Úroveň 5 s koef. (P3)],RZ[0],AX38,RZ[Úroveň 2 (P0)],AY38,RZ[Úroveň 3 (P0)],AZ38,RZ[Úroveň 4 (P0)],BA38),RZ[[#This Row],[Koeficient odhadu CR '[-'] (P1)]]*$BK38*$IQ38)</f>
        <v>0</v>
      </c>
      <c r="EO38" s="140">
        <f ca="1">IF(OFFSET(BB38,1,0,1,1)&lt;&gt;0,$BK38*SUMIFS(RZ[Úroveň 5 bez koef. (P3)],RZ[0],AX38,RZ[Úroveň 2 (P0)],AY38,RZ[Úroveň 3 (P0)],AZ38,RZ[Úroveň 4 (P0)],BA38),$BK38*$IQ38)</f>
        <v>0</v>
      </c>
      <c r="EP38" s="135">
        <f ca="1">RZ[[#This Row],[Úroveň 5 s koef. (P3a)]]*RZ[[#This Row],[Počet MJCR (P0) pro "kg"]]</f>
        <v>0</v>
      </c>
      <c r="EQ38" s="135">
        <f ca="1">RZ[Úroveň 5 bez koef. (P3a)]*RZ[[#This Row],[Počet MJCR (P0) pro "kg"]]</f>
        <v>0</v>
      </c>
      <c r="ER38" s="135">
        <f ca="1">IF(OFFSET(BC38,1,0,1,1)&lt;&gt;0,RZ[[#This Row],[Koeficient odhadu CR '[-'] (P1)]]*$BL38*SUMIFS(RZ[Úroveň 6 s koef. (P3)],RZ[0],AX38,RZ[Úroveň 2 (P0)],AY38,RZ[Úroveň 3 (P0)],AZ38,RZ[Úroveň 4 (P0)],BA38,RZ[Úroveň 5 (P0)],BB38),RZ[[#This Row],[Koeficient odhadu CR '[-'] (P1)]]*$BL38*$IQ38)</f>
        <v>0</v>
      </c>
      <c r="ES38" s="135">
        <f ca="1">IF(OFFSET(BC38,1,0,1,1)&lt;&gt;0,$BL38*SUMIFS(RZ[Úroveň 6 bez koef. (P3)],RZ[0],AX38,RZ[Úroveň 2 (P0)],AY38,RZ[Úroveň 3 (P0)],AZ38,RZ[Úroveň 4 (P0)],BA38,RZ[Úroveň 5 (P0)],BB38),$BL38*$IQ38)</f>
        <v>0</v>
      </c>
      <c r="ET38" s="140">
        <f ca="1">RZ[[#This Row],[Úroveň 6 s koef. (P3a)]]*RZ[[#This Row],[Počet MJCR (P0) pro "kg"]]</f>
        <v>0</v>
      </c>
      <c r="EU38" s="140">
        <f ca="1">RZ[Úroveň 6 bez koef. (P3a)]*RZ[[#This Row],[Počet MJCR (P0) pro "kg"]]</f>
        <v>0</v>
      </c>
      <c r="EV38" s="140">
        <f ca="1">IF(OFFSET(BD38,1,0,1,1)&lt;&gt;0,RZ[[#This Row],[Koeficient odhadu CR '[-'] (P1)]]*$BM38*SUMIFS(RZ[Úroveň 7 s koef. (P3)],RZ[0],AX38,RZ[Úroveň 2 (P0)],AY38,RZ[Úroveň 3 (P0)],AZ38,RZ[Úroveň 4 (P0)],BA38,RZ[Úroveň 5 (P0)],BB38,RZ[Úroveň 6 (P0)],BC38),RZ[[#This Row],[Koeficient odhadu CR '[-'] (P1)]]*$BM38*$IQ38)</f>
        <v>0</v>
      </c>
      <c r="EW38" s="140">
        <f ca="1">IF(OFFSET(BD38,1,0,1,1)&lt;&gt;0,$BM38*SUMIFS(RZ[Úroveň 7 bez koef. (P3)],RZ[0],AX38,RZ[Úroveň 2 (P0)],AY38,RZ[Úroveň 3 (P0)],AZ38,RZ[Úroveň 4 (P0)],BA38,RZ[Úroveň 5 (P0)],BB38,RZ[Úroveň 6 (P0)],BC38),$BM38*$IQ38)</f>
        <v>0</v>
      </c>
      <c r="EX38" s="135">
        <f ca="1">RZ[[#This Row],[Úroveň 7 s koef. (P3a)]]*RZ[[#This Row],[Počet MJCR (P0) pro "kg"]]</f>
        <v>0</v>
      </c>
      <c r="EY38" s="135">
        <f ca="1">RZ[Úroveň 7 bez koef. (P3a)]*RZ[[#This Row],[Počet MJCR (P0) pro "kg"]]</f>
        <v>0</v>
      </c>
      <c r="EZ38" s="135">
        <f ca="1">IF(OFFSET(BE38,1,0,1,1)&lt;&gt;0,RZ[[#This Row],[Koeficient odhadu CR '[-'] (P1)]]*$BN38*SUMIFS(RZ[Úroveň 8 s koef. (P3)],RZ[0],AX38,RZ[Úroveň 2 (P0)],AY38,RZ[Úroveň 3 (P0)],AZ38,RZ[Úroveň 4 (P0)],BA38,RZ[Úroveň 5 (P0)],BB38,RZ[Úroveň 6 (P0)],BC38,RZ[Úroveň 7 (P0)],BD38),RZ[[#This Row],[Koeficient odhadu CR '[-'] (P1)]]*$BN38*$IQ38)</f>
        <v>0</v>
      </c>
      <c r="FA38" s="135">
        <f ca="1">IF(OFFSET(BE38,1,0,1,1)&lt;&gt;0,$BN38*SUMIFS(RZ[Úroveň 8 bez koef. (P3)],RZ[0],AX38,RZ[Úroveň 2 (P0)],AY38,RZ[Úroveň 3 (P0)],AZ38,RZ[Úroveň 4 (P0)],BA38,RZ[Úroveň 5 (P0)],BB38,RZ[Úroveň 6 (P0)],BC38,RZ[Úroveň 7 (P0)],BD38),$BN38*$IQ38)</f>
        <v>0</v>
      </c>
      <c r="FB38" s="140">
        <f ca="1">RZ[[#This Row],[Úroveň 8 s koef. (P3a)]]*RZ[[#This Row],[Počet MJCR (P0) pro "kg"]]</f>
        <v>0</v>
      </c>
      <c r="FC38" s="140">
        <f ca="1">RZ[Úroveň 8 bez koef. (P3a)]*RZ[[#This Row],[Počet MJCR (P0) pro "kg"]]</f>
        <v>0</v>
      </c>
      <c r="FD38" s="140">
        <f ca="1">IF(OFFSET(BF38,1,0,1,1)&lt;&gt;0,RZ[[#This Row],[Koeficient odhadu CR '[-'] (P1)]]*$BO38*SUMIFS(RZ[Úroveň 9 s koef. (P3)],RZ[0],AX38,RZ[Úroveň 2 (P0)],AY38,RZ[Úroveň 3 (P0)],AZ38,RZ[Úroveň 4 (P0)],BA38,RZ[Úroveň 5 (P0)],BB38,RZ[Úroveň 6 (P0)],BC38,RZ[Úroveň 7 (P0)],BD38,RZ[Úroveň 8 (P0)],BE38),RZ[[#This Row],[Koeficient odhadu CR '[-'] (P1)]]*$BO38*$IQ38)</f>
        <v>0</v>
      </c>
      <c r="FE38" s="140">
        <f ca="1">IF(OFFSET(BF38,1,0,1,1)&lt;&gt;0,$BO38*SUMIFS(RZ[Úroveň 9 bez koef. (P3)],RZ[0],AX38,RZ[Úroveň 2 (P0)],AY38,RZ[Úroveň 3 (P0)],AZ38,RZ[Úroveň 4 (P0)],BA38,RZ[Úroveň 5 (P0)],BB38,RZ[Úroveň 6 (P0)],BC38,RZ[Úroveň 7 (P0)],BD38,RZ[Úroveň 8 (P0)],BE38),$BO38*$IQ38)</f>
        <v>0</v>
      </c>
      <c r="FF38" s="135">
        <f ca="1">RZ[[#This Row],[Úroveň 9 s koef. (P3a)]]*RZ[[#This Row],[Počet MJCR (P0) pro "kg"]]</f>
        <v>0</v>
      </c>
      <c r="FG38" s="135">
        <f ca="1">RZ[Úroveň 9 bez koef. (P3a)]*RZ[[#This Row],[Počet MJCR (P0) pro "kg"]]</f>
        <v>0</v>
      </c>
      <c r="FH38" s="135">
        <f ca="1">IF(OFFSET(BG38,1,0,1,1)&lt;&gt;0,RZ[[#This Row],[Koeficient odhadu CR '[-'] (P1)]]*$BP38*SUMIFS(RZ[Úroveň 10 s koef. (P3)],RZ[0],AX38,RZ[Úroveň 2 (P0)],AY38,RZ[Úroveň 3 (P0)],AZ38,RZ[Úroveň 4 (P0)],BA38,RZ[Úroveň 5 (P0)],BB38,RZ[Úroveň 6 (P0)],BC38,RZ[Úroveň 7 (P0)],BD38,RZ[Úroveň 8 (P0)],BE38,RZ[Úroveň 9 (P0)],BF38),RZ[[#This Row],[Koeficient odhadu CR '[-'] (P1)]]*$BP38*$IQ38)</f>
        <v>0</v>
      </c>
      <c r="FI38" s="135">
        <f ca="1">IF(OFFSET(BG38,1,0,1,1)&lt;&gt;0,$BP38*SUMIFS(RZ[Úroveň 10 bez koef. (P3)],RZ[0],AX38,RZ[Úroveň 2 (P0)],AY38,RZ[Úroveň 3 (P0)],AZ38,RZ[Úroveň 4 (P0)],BA38,RZ[Úroveň 5 (P0)],BB38,RZ[Úroveň 6 (P0)],BC38,RZ[Úroveň 7 (P0)],BD38,RZ[Úroveň 8 (P0)],BE38,RZ[Úroveň 9 (P0)],BF38),$BP38*$IQ38)</f>
        <v>0</v>
      </c>
      <c r="FJ38" s="140">
        <f ca="1">RZ[[#This Row],[Úroveň 10 s koef. (P3a)]]*RZ[[#This Row],[Počet MJCR (P0) pro "kg"]]</f>
        <v>0</v>
      </c>
      <c r="FK38" s="140">
        <f ca="1">RZ[Úroveň 10 bez koef. (P3a)]*RZ[[#This Row],[Počet MJCR (P0) pro "kg"]]</f>
        <v>0</v>
      </c>
      <c r="FL38" s="140">
        <f ca="1">RZ[[#This Row],[Koeficient odhadu CR '[-'] (P1)]]*$BQ38*IQ38</f>
        <v>0</v>
      </c>
      <c r="FM38" s="236">
        <f t="shared" ca="1" si="189"/>
        <v>0</v>
      </c>
      <c r="FN38" s="194">
        <f t="shared" ca="1" si="190"/>
        <v>80</v>
      </c>
      <c r="FO38" s="238">
        <f t="shared" ca="1" si="191"/>
        <v>80</v>
      </c>
      <c r="FP38" s="135">
        <f t="shared" ca="1" si="192"/>
        <v>0</v>
      </c>
      <c r="FQ38" s="135">
        <f t="shared" ca="1" si="193"/>
        <v>0</v>
      </c>
      <c r="FR38" s="135">
        <f t="shared" ca="1" si="194"/>
        <v>102.72</v>
      </c>
      <c r="FS38" s="135">
        <f t="shared" ca="1" si="195"/>
        <v>0</v>
      </c>
      <c r="FT38" s="135">
        <f t="shared" ca="1" si="196"/>
        <v>0</v>
      </c>
      <c r="FU38" s="135">
        <f t="shared" ca="1" si="197"/>
        <v>0</v>
      </c>
      <c r="FV38" s="135">
        <f t="shared" ca="1" si="198"/>
        <v>0</v>
      </c>
      <c r="FW38" s="135">
        <f t="shared" ca="1" si="199"/>
        <v>0</v>
      </c>
      <c r="FX38" s="135">
        <f t="shared" ca="1" si="200"/>
        <v>0</v>
      </c>
      <c r="FY38" s="135">
        <f t="shared" ca="1" si="201"/>
        <v>0</v>
      </c>
      <c r="FZ38" s="140">
        <f ca="1">SUMIFS(RZ[Úroveň 1 (P6)],RZ[0],AX38)</f>
        <v>1</v>
      </c>
      <c r="GA38" s="140">
        <f ca="1">SUMIFS(RZ[Úroveň 2 (P6)],RZ[0],AX38,RZ[Úroveň 2 (P0)],AY38)</f>
        <v>1</v>
      </c>
      <c r="GB38" s="140">
        <f ca="1">SUMIFS(RZ[Úroveň 3 (P6)],RZ[0],AX38,RZ[Úroveň 2 (P0)],AY38,RZ[Úroveň 3 (P0)],AZ38)</f>
        <v>102.72</v>
      </c>
      <c r="GC38" s="140">
        <f ca="1">SUMIFS(RZ[Úroveň 4 (P6)],RZ[0],AX38,RZ[Úroveň 2 (P0)],AY38,RZ[Úroveň 3 (P0)],AZ38,RZ[Úroveň 4 (P0)],BA38)</f>
        <v>0</v>
      </c>
      <c r="GD38" s="140">
        <f ca="1">SUMIFS(RZ[Úroveň 5 (P6)],RZ[0],AX38,RZ[Úroveň 2 (P0)],AY38,RZ[Úroveň 3 (P0)],AZ38,RZ[Úroveň 4 (P0)],BA38,RZ[Úroveň 5 (P0)],BB38)</f>
        <v>0</v>
      </c>
      <c r="GE38" s="140">
        <f ca="1">SUMIFS(RZ[Úroveň 6 (P6)],RZ[0],AX38,RZ[Úroveň 2 (P0)],AY38,RZ[Úroveň 3 (P0)],AZ38,RZ[Úroveň 4 (P0)],BA38,RZ[Úroveň 5 (P0)],BB38,RZ[Úroveň 6 (P0)],BC38)</f>
        <v>0</v>
      </c>
      <c r="GF38" s="140">
        <f ca="1">SUMIFS(RZ[Úroveň 7 (P6)],RZ[0],AX38,RZ[Úroveň 2 (P0)],AY38,RZ[Úroveň 3 (P0)],AZ38,RZ[Úroveň 4 (P0)],BA38,RZ[Úroveň 5 (P0)],BB38,RZ[Úroveň 6 (P0)],BC38,RZ[Úroveň 7 (P0)],BD38)</f>
        <v>0</v>
      </c>
      <c r="GG38" s="140">
        <f ca="1">SUMIFS(RZ[Úroveň 8 (P6)],RZ[0],AX38,RZ[Úroveň 2 (P0)],AY38,RZ[Úroveň 3 (P0)],AZ38,RZ[Úroveň 4 (P0)],BA38,RZ[Úroveň 5 (P0)],BB38,RZ[Úroveň 6 (P0)],BC38,RZ[Úroveň 7 (P0)],BD38,RZ[Úroveň 8 (P0)],BE38)</f>
        <v>0</v>
      </c>
      <c r="GH38" s="140">
        <f ca="1">SUMIFS(RZ[Úroveň 9 (P6)],RZ[0],AX38,RZ[Úroveň 2 (P0)],AY38,RZ[Úroveň 3 (P0)],AZ38,RZ[Úroveň 4 (P0)],BA38,RZ[Úroveň 5 (P0)],BB38,RZ[Úroveň 6 (P0)],BC38,RZ[Úroveň 7 (P0)],BD38,RZ[Úroveň 8 (P0)],BE38,RZ[Úroveň 9 (P0)],BF38)</f>
        <v>0</v>
      </c>
      <c r="GI38" s="140">
        <f ca="1">SUMIFS(RZ[Úroveň 10 (P6)],RZ[0],AX38,RZ[Úroveň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GJ38" s="918">
        <f t="shared" ca="1" si="202"/>
        <v>102.72</v>
      </c>
      <c r="GK38" s="808">
        <f t="shared" si="203"/>
        <v>0</v>
      </c>
      <c r="GL38" s="808">
        <f t="shared" si="204"/>
        <v>0</v>
      </c>
      <c r="GM38" s="808">
        <f t="shared" si="205"/>
        <v>1</v>
      </c>
      <c r="GN38" s="808">
        <f t="shared" si="206"/>
        <v>0</v>
      </c>
      <c r="GO38" s="808">
        <f t="shared" si="207"/>
        <v>0</v>
      </c>
      <c r="GP38" s="808">
        <f t="shared" si="208"/>
        <v>0</v>
      </c>
      <c r="GQ38" s="808">
        <f t="shared" si="209"/>
        <v>0</v>
      </c>
      <c r="GR38" s="808">
        <f t="shared" si="210"/>
        <v>0</v>
      </c>
      <c r="GS38" s="808">
        <f t="shared" si="211"/>
        <v>0</v>
      </c>
      <c r="GT38" s="808">
        <f t="shared" si="212"/>
        <v>0</v>
      </c>
      <c r="GU38" s="809">
        <f ca="1">SUMIFS(RZ[Sloupec1],RZ[0],AX38)</f>
        <v>1</v>
      </c>
      <c r="GV38" s="809">
        <f ca="1">SUMIFS(RZ[Sloupec2],RZ[0],AX38,RZ[Úroveň 2 (P0)],AY38)</f>
        <v>1</v>
      </c>
      <c r="GW38" s="809">
        <f ca="1">SUMIFS(RZ[Sloupec3],RZ[0],AX38,RZ[Úroveň 2 (P0)],AY38,RZ[Úroveň 3 (P0)],AZ38)</f>
        <v>1</v>
      </c>
      <c r="GX38" s="809">
        <f ca="1">SUMIFS(RZ[Sloupec4],RZ[0],AX38,RZ[Úroveň 2 (P0)],AY38,RZ[Úroveň 3 (P0)],AZ38,RZ[Úroveň 4 (P0)],BA38)</f>
        <v>0</v>
      </c>
      <c r="GY38" s="809">
        <f ca="1">SUMIFS(RZ[Sloupec5],RZ[0],AX38,RZ[Úroveň 2 (P0)],AY38,RZ[Úroveň 3 (P0)],AZ38,RZ[Úroveň 4 (P0)],BA38,RZ[Úroveň 5 (P0)],BB38)</f>
        <v>0</v>
      </c>
      <c r="GZ38" s="809">
        <f ca="1">SUMIFS(RZ[Sloupec6],RZ[0],AX38,RZ[Úroveň 2 (P0)],AY38,RZ[Úroveň 3 (P0)],AZ38,RZ[Úroveň 4 (P0)],BA38,RZ[Úroveň 5 (P0)],BB38,RZ[Úroveň 6 (P0)],BC38)</f>
        <v>0</v>
      </c>
      <c r="HA38" s="809">
        <f ca="1">SUMIFS(RZ[Sloupec62],RZ[0],AX38,RZ[Úroveň 2 (P0)],AY38,RZ[Úroveň 3 (P0)],AZ38,RZ[Úroveň 4 (P0)],BA38,RZ[Úroveň 5 (P0)],BB38,RZ[Úroveň 6 (P0)],BC38,RZ[Úroveň 7 (P0)],BD38)</f>
        <v>0</v>
      </c>
      <c r="HB38" s="809">
        <f ca="1">SUMIFS(RZ[Sloupec63],RZ[0],AX38,RZ[Úroveň 2 (P0)],AY38,RZ[Úroveň 3 (P0)],AZ38,RZ[Úroveň 4 (P0)],BA38,RZ[Úroveň 5 (P0)],BB38,RZ[Úroveň 6 (P0)],BC38,RZ[Úroveň 7 (P0)],BD38,RZ[Úroveň 8 (P0)],BE38)</f>
        <v>0</v>
      </c>
      <c r="HC38" s="809">
        <f ca="1">SUMIFS(RZ[Sloupec64],RZ[0],AX38,RZ[Úroveň 2 (P0)],AY38,RZ[Úroveň 3 (P0)],AZ38,RZ[Úroveň 4 (P0)],BA38,RZ[Úroveň 5 (P0)],BB38,RZ[Úroveň 6 (P0)],BC38,RZ[Úroveň 7 (P0)],BD38,RZ[Úroveň 8 (P0)],BE38,RZ[Úroveň 9 (P0)],BF38)</f>
        <v>0</v>
      </c>
      <c r="HD38" s="809">
        <f ca="1">SUMIFS(RZ[Sloupec65],RZ[0],AX38,RZ[Úroveň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HE38" s="919">
        <f t="shared" ca="1" si="213"/>
        <v>1</v>
      </c>
      <c r="HF38" s="920" t="str">
        <f t="shared" si="214"/>
        <v/>
      </c>
      <c r="HG38" s="94" t="str">
        <f t="shared" si="215"/>
        <v/>
      </c>
      <c r="HH38" s="95" t="str">
        <f t="shared" si="216"/>
        <v/>
      </c>
      <c r="HI38" s="95" t="str">
        <f t="shared" si="217"/>
        <v>Krat pastorku</v>
      </c>
      <c r="HJ38" s="96" t="str">
        <f t="shared" si="218"/>
        <v/>
      </c>
      <c r="HK38" s="96" t="str">
        <f t="shared" si="219"/>
        <v/>
      </c>
      <c r="HL38" s="96" t="str">
        <f t="shared" si="220"/>
        <v/>
      </c>
      <c r="HM38" s="96" t="str">
        <f t="shared" si="221"/>
        <v/>
      </c>
      <c r="HN38" s="96" t="str">
        <f t="shared" si="222"/>
        <v/>
      </c>
      <c r="HO38" s="96" t="str">
        <f t="shared" si="223"/>
        <v/>
      </c>
      <c r="HP38" s="96" t="str">
        <f t="shared" si="224"/>
        <v/>
      </c>
      <c r="HQ38" s="145" t="str">
        <f t="shared" si="225"/>
        <v>OKS3</v>
      </c>
      <c r="HR38" s="921" t="str">
        <f t="shared" si="226"/>
        <v/>
      </c>
      <c r="HS38" s="173">
        <f t="shared" si="227"/>
        <v>0</v>
      </c>
      <c r="HT38" s="100">
        <f t="shared" si="228"/>
        <v>0</v>
      </c>
      <c r="HU38" s="100">
        <f t="shared" si="229"/>
        <v>0</v>
      </c>
      <c r="HV38" s="908">
        <f t="shared" si="230"/>
        <v>0</v>
      </c>
      <c r="HW38" s="922">
        <f t="shared" si="231"/>
        <v>0</v>
      </c>
      <c r="HX38" s="224">
        <f t="shared" si="232"/>
        <v>0</v>
      </c>
      <c r="HY38" s="263" t="str">
        <f t="shared" si="233"/>
        <v>S</v>
      </c>
      <c r="HZ38" s="263">
        <f t="shared" si="234"/>
        <v>0</v>
      </c>
      <c r="IA38" s="150">
        <f t="shared" si="235"/>
        <v>1</v>
      </c>
      <c r="IB38" s="319">
        <f t="shared" si="236"/>
        <v>0</v>
      </c>
      <c r="IC38" s="923">
        <f t="shared" si="237"/>
        <v>0</v>
      </c>
      <c r="ID38" s="924" t="str">
        <f t="shared" ca="1" si="238"/>
        <v>OK</v>
      </c>
      <c r="IE38" s="201" t="str">
        <f t="shared" si="239"/>
        <v>ks</v>
      </c>
      <c r="IF38" s="145">
        <f t="shared" si="240"/>
        <v>2</v>
      </c>
      <c r="IG38" s="216">
        <f t="shared" si="241"/>
        <v>51.36</v>
      </c>
      <c r="IH38" s="217">
        <f t="shared" si="242"/>
        <v>1</v>
      </c>
      <c r="II38" s="224" t="str">
        <f ca="1">IF(RZ[[#This Row],[Rozhodný sloupec indikativní ceny]]=1,"kg",IF($IW38=$JL$15,IF(JX38=0,JO38,JX38),IF($IW38=$KE$15,IF(KQ38=0,KH38,KQ38),IF($IW38=$KX$15,IF(LJ38=0,LA38,LJ38),IF($IW38=$LQ$15,IF(MC38=0,LT38,MC38),IF($IW38=$MJ$15,IF(NQ38=0,NH38,NQ38),0))))))</f>
        <v>kg</v>
      </c>
      <c r="IJ38" s="224">
        <f ca="1">IF((BH38+OFFSET(BH38,1,1,1,1))=2,RZ[[#This Row],[Počet MJHR (P0)]],IF((BI38+OFFSET(BI38,1,1,1,1))=2,RZ[[#This Row],[Počet MJHR (P0)]],IF((BJ38+OFFSET(BJ38,1,1,1,1))=2,RZ[[#This Row],[Počet MJHR (P0)]],IF((BK38+OFFSET(BK38,1,1,1,1))=2,RZ[[#This Row],[Počet MJHR (P0)]],IF((BL38+OFFSET(BL38,1,1,1,1))=2,RZ[[#This Row],[Počet MJHR (P0)]],IF((BM38+OFFSET(BM38,1,1,1,1))=2,RZ[[#This Row],[Počet MJHR (P0)]],IF((BN38+OFFSET(BN38,1,1,1,1))=2,RZ[[#This Row],[Počet MJHR (P0)]],IF((BO38+OFFSET(BO38,1,1,1,1))=2,RZ[[#This Row],[Počet MJHR (P0)]],IF((BP38+OFFSET(BP38,1,1,1,1))=2,RZ[[#This Row],[Počet MJHR (P0)]],IF((BQ38+OFFSET(BQ38,1,1,1,1))=2,RZ[[#This Row],[Počet MJHR (P0)]],IF(RZ[[#This Row],[Měrná jednotka CR (MJCR) (P0)]]=RZ[[#This Row],[Měrná jednotka HR '[MJHR'] (P0)]],RZ[[#This Row],[Počet MJHR (P0)]],IF($IW38=$JL$15,JY38,IF($IW38=$KE$15,KR38,IF($IW38=$KX$15,LK38,IF($IW38=$LQ$15,MD38,IF($IW38=$MJ$15,NR38,0))))))))))))))))</f>
        <v>0</v>
      </c>
      <c r="IK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102.72</v>
      </c>
      <c r="IL38" s="145">
        <f ca="1">IF(AND(RZ[[#This Row],[Jednotková cena bez DPH '[cena/MJCR'] (P0)]]=0,RZ[[#This Row],[Indikativní jednotková cena '[CZK/kg'] (P1)]]&lt;&gt;0),1,0)</f>
        <v>1</v>
      </c>
      <c r="IM38" s="217">
        <f ca="1">VLOOKUP(RZ[[#This Row],[Kód položek]],INDIKAT_CENA,2,FALSE)</f>
        <v>80</v>
      </c>
      <c r="IN38" s="222">
        <f ca="1">IF(RZ[[#This Row],[Rozhodný sloupec indikativní ceny]]=1,RZ[[#This Row],[Indikativní jednotková cena '[CZK/kg'] (P1)]],RZ[[#This Row],[Jednotková cena bez DPH '[cena/MJCR'] (P0)]])</f>
        <v>80</v>
      </c>
      <c r="IO38" s="222">
        <f t="shared" si="243"/>
        <v>1</v>
      </c>
      <c r="IP38" s="224">
        <f ca="1">IF(RZ[[#This Row],[Rozhodný sloupec indikativní ceny]]=1,1,IF($IW38=$JL$15,KA38,IF($IW38=$KE$15,KT38,IF($IW38=$KX$15,LM38,IF($IW38=$LQ$15,MF38,IF($IW38=$MJ$15,NT38,0))))))</f>
        <v>1</v>
      </c>
      <c r="IQ38" s="225">
        <f ca="1">IF(RZ[[#This Row],[Jednotková cena bez DPH '[cena/MJCR'] (P1)]]="",0,IF(IP38=0,0,(RZ[[#This Row],[Jednotková cena bez DPH '[cena/MJCR'] (P1)]]*VLOOKUP(IP38,$BR$7:$BT$10,3))))</f>
        <v>80</v>
      </c>
      <c r="IR38" s="737"/>
      <c r="IS38" s="627">
        <f>IF(HY38=0,"",VLOOKUP(RZ[[#This Row],[Stav Projekce (P0)]],Vstupy!$E$11:'Vstupy'!$E$11:$H$17,4,FALSE))</f>
        <v>100</v>
      </c>
      <c r="IT38" s="925" t="str">
        <f>IF(RZ[[#This Row],[Stav Projekce (P0)]]=0,"",RZ[[#This Row],[Stav Projekce (P0)]])</f>
        <v>S</v>
      </c>
      <c r="IU38" s="925" t="str">
        <f>IF(RZ[[#This Row],[Stav Nákup (P0)]]=0,"",RZ[[#This Row],[Stav Nákup (P0)]])</f>
        <v/>
      </c>
      <c r="IV38" s="926" t="str">
        <f t="shared" si="244"/>
        <v/>
      </c>
      <c r="IW38" s="641">
        <v>1</v>
      </c>
      <c r="IX38" s="630"/>
      <c r="IY38" s="264"/>
      <c r="IZ38" s="648"/>
      <c r="JA38" s="100"/>
      <c r="JB38" s="100" t="s">
        <v>815</v>
      </c>
      <c r="JC38" s="100"/>
      <c r="JD38" s="100"/>
      <c r="JE38" s="100"/>
      <c r="JF38" s="100"/>
      <c r="JG38" s="100"/>
      <c r="JH38" s="100"/>
      <c r="JI38" s="100"/>
      <c r="JJ38" s="145" t="s">
        <v>769</v>
      </c>
      <c r="JK38" s="529"/>
      <c r="JL38" s="286"/>
      <c r="JM38" s="100"/>
      <c r="JN38" s="100"/>
      <c r="JO38" s="145" t="s">
        <v>35</v>
      </c>
      <c r="JP38" s="117">
        <v>2</v>
      </c>
      <c r="JQ38" s="117">
        <v>51.36</v>
      </c>
      <c r="JR38" s="148">
        <v>1</v>
      </c>
      <c r="JS38" s="145" t="s">
        <v>602</v>
      </c>
      <c r="JT38" s="631"/>
      <c r="JU38" s="148"/>
      <c r="JV38" s="154"/>
      <c r="JW38" s="145"/>
      <c r="JX38" s="210"/>
      <c r="JY38" s="117"/>
      <c r="JZ38" s="662"/>
      <c r="KA38" s="145"/>
      <c r="KB38" s="148"/>
      <c r="KC38" s="148"/>
      <c r="KD38" s="644"/>
      <c r="KE38" s="286"/>
      <c r="KF38" s="100"/>
      <c r="KG38" s="100"/>
      <c r="KH38" s="210"/>
      <c r="KI38" s="117"/>
      <c r="KJ38" s="117"/>
      <c r="KK38" s="148"/>
      <c r="KL38" s="145"/>
      <c r="KM38" s="632"/>
      <c r="KN38" s="148"/>
      <c r="KO38" s="154"/>
      <c r="KP38" s="154"/>
      <c r="KQ38" s="210"/>
      <c r="KR38" s="117"/>
      <c r="KS38" s="211"/>
      <c r="KT38" s="145"/>
      <c r="KU38" s="148"/>
      <c r="KV38" s="148"/>
      <c r="KW38" s="265"/>
      <c r="KX38" s="286"/>
      <c r="KY38" s="100"/>
      <c r="KZ38" s="100"/>
      <c r="LA38" s="210"/>
      <c r="LB38" s="117"/>
      <c r="LC38" s="117"/>
      <c r="LD38" s="148"/>
      <c r="LE38" s="145"/>
      <c r="LF38" s="632"/>
      <c r="LG38" s="148"/>
      <c r="LH38" s="154"/>
      <c r="LI38" s="154"/>
      <c r="LJ38" s="154"/>
      <c r="LK38" s="117"/>
      <c r="LL38" s="211"/>
      <c r="LM38" s="210"/>
      <c r="LN38" s="148"/>
      <c r="LO38" s="148"/>
      <c r="LP38" s="265"/>
      <c r="LQ38" s="286"/>
      <c r="LR38" s="100"/>
      <c r="LS38" s="100"/>
      <c r="LT38" s="210"/>
      <c r="LU38" s="117"/>
      <c r="LV38" s="117"/>
      <c r="LW38" s="148"/>
      <c r="LX38" s="145"/>
      <c r="LY38" s="632"/>
      <c r="LZ38" s="148"/>
      <c r="MA38" s="154"/>
      <c r="MB38" s="154"/>
      <c r="MC38" s="145"/>
      <c r="MD38" s="117"/>
      <c r="ME38" s="211"/>
      <c r="MF38" s="210"/>
      <c r="MG38" s="148"/>
      <c r="MH38" s="148"/>
      <c r="MI38" s="265"/>
      <c r="MJ38" s="647"/>
      <c r="MK38" s="264"/>
      <c r="ML38" s="153"/>
      <c r="MM38" s="153"/>
      <c r="MN38" s="153"/>
      <c r="MO38" s="153"/>
      <c r="MP38" s="153"/>
      <c r="MQ38" s="153"/>
      <c r="MR38" s="153"/>
      <c r="MS38" s="99"/>
      <c r="MT38" s="99"/>
      <c r="MU38" s="99"/>
      <c r="MV38" s="99"/>
      <c r="MW38" s="99"/>
      <c r="MX38" s="99"/>
      <c r="MY38" s="153"/>
      <c r="MZ38" s="153"/>
      <c r="NA38" s="153"/>
      <c r="NB38" s="153"/>
      <c r="NC38" s="153"/>
      <c r="ND38" s="153"/>
      <c r="NE38" s="148"/>
      <c r="NF38" s="153"/>
      <c r="NG38" s="153"/>
      <c r="NH38" s="330" t="str">
        <f t="shared" si="245"/>
        <v>ks</v>
      </c>
      <c r="NI38" s="797">
        <f>RZ[[#This Row],[Počet ks (K)]]</f>
        <v>0</v>
      </c>
      <c r="NJ38" s="798">
        <f>RZ[[#This Row],[Hmotnost '[kg/ks'] (K)]]</f>
        <v>0</v>
      </c>
      <c r="NK38" s="148"/>
      <c r="NL38" s="145"/>
      <c r="NM38" s="632"/>
      <c r="NN38" s="148"/>
      <c r="NO38" s="154"/>
      <c r="NP38" s="153"/>
      <c r="NQ38" s="153"/>
      <c r="NR38" s="210"/>
      <c r="NS38" s="148"/>
      <c r="NT38" s="210"/>
      <c r="NU38" s="148"/>
      <c r="NV38" s="148"/>
      <c r="NW38" s="175"/>
    </row>
    <row r="39" spans="2:387" ht="15.95" customHeight="1" x14ac:dyDescent="0.35">
      <c r="B39" s="118" t="str">
        <f t="shared" si="129"/>
        <v/>
      </c>
      <c r="C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9" s="262" t="str">
        <f t="shared" si="130"/>
        <v xml:space="preserve">    Příložka</v>
      </c>
      <c r="E39" s="120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Row],[Kód položek (P2)]]))))))))))</f>
        <v>OKS3</v>
      </c>
      <c r="F39" s="791" t="str">
        <f t="shared" si="131"/>
        <v>N/A</v>
      </c>
      <c r="G39" s="792" t="str">
        <f t="shared" si="132"/>
        <v/>
      </c>
      <c r="H39" s="262" t="str">
        <f t="shared" si="133"/>
        <v/>
      </c>
      <c r="I39" s="123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HR '[MJHR'] (P0)]]))))))))))</f>
        <v>ks</v>
      </c>
      <c r="J39" s="123">
        <f t="shared" si="134"/>
        <v>2</v>
      </c>
      <c r="K39" s="793">
        <f>RZ[[#This Row],[Koeficient odhadu HR '[-'] (P1)]]</f>
        <v>1</v>
      </c>
      <c r="L39" s="124">
        <f ca="1">RZ[[#This Row],[Jednotková hmotnost s koef. '[kg/MJHR'] (P0)]]</f>
        <v>3.7</v>
      </c>
      <c r="M39" s="794">
        <f t="shared" ca="1" si="135"/>
        <v>0</v>
      </c>
      <c r="N39" s="125">
        <f t="shared" ca="1" si="136"/>
        <v>7.4</v>
      </c>
      <c r="O39" s="125">
        <f t="shared" ca="1" si="137"/>
        <v>0</v>
      </c>
      <c r="P39" s="126" t="str">
        <f t="shared" si="138"/>
        <v/>
      </c>
      <c r="Q39" s="795">
        <f ca="1">RZ[[#This Row],[Počet MJHR v rozpadu (P0)]]</f>
        <v>2</v>
      </c>
      <c r="R39" s="439" t="str">
        <f t="shared" si="139"/>
        <v/>
      </c>
      <c r="S39" s="129" t="str">
        <f t="shared" si="140"/>
        <v/>
      </c>
      <c r="T39" s="126" t="str">
        <f t="shared" si="141"/>
        <v/>
      </c>
      <c r="U39" s="126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CR (MJCR) (P0)]]))))))))))</f>
        <v>kg</v>
      </c>
      <c r="V39" s="575">
        <f t="shared" ca="1" si="142"/>
        <v>7.4</v>
      </c>
      <c r="W39" s="322">
        <f>RZ[[#This Row],[Koeficient odhadu CR '[-'] (P1)]]</f>
        <v>1</v>
      </c>
      <c r="X39" s="440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Row],[Jednotková cena bez DPH '[cena/MJCR'] (P1)]]*RZ[[#This Row],[Koeficient odhadu CR '[-']]]))))))))))</f>
        <v>80</v>
      </c>
      <c r="Y39" s="440">
        <f t="shared" ca="1" si="143"/>
        <v>0</v>
      </c>
      <c r="Z39" s="142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VLOOKUP(IP39,$BR$7:$BS$11,2,FALSE)))))))))))</f>
        <v>CZK</v>
      </c>
      <c r="AA39" s="909">
        <f t="shared" ca="1" si="144"/>
        <v>7.4</v>
      </c>
      <c r="AB39" s="910">
        <f ca="1">RZ[[#This Row],[Kumulovaný koeficient v rozpadu (P0)]]</f>
        <v>1</v>
      </c>
      <c r="AC39" s="261"/>
      <c r="AD39" s="796">
        <f ca="1">RZ[[#This Row],[Jednotková cena bez DPH '[cena/MJCR'] s koef. (P0)]]/RZ[[#This Row],[Koeficient odhadu CR '[-']]]*RZ[[#This Row],[Kumulovaný koeficient odhadu CR  '[-']]]</f>
        <v>80</v>
      </c>
      <c r="AE39" s="796">
        <f t="shared" ca="1" si="145"/>
        <v>592</v>
      </c>
      <c r="AF39" s="796">
        <f ca="1">-IF(ISNUMBER(AA39),RZ[[#This Row],[Celková cena bez DPH (1)]]-RZ[[#This Row],[Jednotková cena bez DPH '[cena/MJCR'] bez koef. (P0)]]*AA39,0)</f>
        <v>0</v>
      </c>
      <c r="AG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9" s="261"/>
      <c r="AI39" s="796">
        <f t="shared" ca="1" si="146"/>
        <v>2.9629629629629628</v>
      </c>
      <c r="AJ39" s="796">
        <f t="shared" ca="1" si="147"/>
        <v>21.925925925925927</v>
      </c>
      <c r="AK39" s="796">
        <f t="shared" ca="1" si="148"/>
        <v>0</v>
      </c>
      <c r="AL39" s="753">
        <f ca="1">RZ[[#This Row],[Kilogramová cena bez DPH '[cena/kg'] (1)]]/$AK$13</f>
        <v>2.9629629629629628</v>
      </c>
      <c r="AM39" s="261"/>
      <c r="AN39" s="796">
        <f t="shared" ca="1" si="149"/>
        <v>3.8647342995169085</v>
      </c>
      <c r="AO39" s="796">
        <f t="shared" ca="1" si="150"/>
        <v>28.599033816425123</v>
      </c>
      <c r="AP39" s="796">
        <f t="shared" ca="1" si="151"/>
        <v>0</v>
      </c>
      <c r="AQ39" s="753">
        <f ca="1">RZ[[#This Row],[Kilogramová cena bez DPH '[cena/kg'] (1)]]/$AP$13</f>
        <v>3.8647342995169085</v>
      </c>
      <c r="AR39" s="261"/>
      <c r="AS39" s="796">
        <f t="shared" ca="1" si="152"/>
        <v>2.1881838074398248</v>
      </c>
      <c r="AT39" s="796">
        <f t="shared" ca="1" si="153"/>
        <v>16.192560175054705</v>
      </c>
      <c r="AU39" s="789">
        <f t="shared" ca="1" si="154"/>
        <v>0</v>
      </c>
      <c r="AV39" s="767">
        <f ca="1">RZ[[#This Row],[Kilogramová cena bez DPH '[cena/kg'] (1)]]/$AU$13</f>
        <v>2.1881838074398248</v>
      </c>
      <c r="AW39" s="165"/>
      <c r="AX39" s="911">
        <f t="shared" ca="1" si="155"/>
        <v>2</v>
      </c>
      <c r="AY39" s="111">
        <f t="shared" ca="1" si="156"/>
        <v>1</v>
      </c>
      <c r="AZ39" s="111">
        <f t="shared" ca="1" si="157"/>
        <v>16</v>
      </c>
      <c r="BA39" s="111">
        <f t="shared" ca="1" si="158"/>
        <v>0</v>
      </c>
      <c r="BB39" s="111">
        <f t="shared" ca="1" si="159"/>
        <v>0</v>
      </c>
      <c r="BC39" s="111">
        <f t="shared" ca="1" si="160"/>
        <v>0</v>
      </c>
      <c r="BD39" s="111">
        <f t="shared" ca="1" si="161"/>
        <v>0</v>
      </c>
      <c r="BE39" s="111">
        <f t="shared" ca="1" si="162"/>
        <v>0</v>
      </c>
      <c r="BF39" s="111">
        <f t="shared" ca="1" si="163"/>
        <v>0</v>
      </c>
      <c r="BG39" s="112">
        <f t="shared" ca="1" si="164"/>
        <v>0</v>
      </c>
      <c r="BH39" s="911">
        <f t="shared" si="165"/>
        <v>0</v>
      </c>
      <c r="BI39" s="111">
        <f t="shared" si="166"/>
        <v>0</v>
      </c>
      <c r="BJ39" s="111">
        <f t="shared" si="167"/>
        <v>1</v>
      </c>
      <c r="BK39" s="111">
        <f t="shared" si="168"/>
        <v>0</v>
      </c>
      <c r="BL39" s="111">
        <f t="shared" si="169"/>
        <v>0</v>
      </c>
      <c r="BM39" s="111">
        <f t="shared" si="170"/>
        <v>0</v>
      </c>
      <c r="BN39" s="111">
        <f t="shared" si="171"/>
        <v>0</v>
      </c>
      <c r="BO39" s="111">
        <f t="shared" si="172"/>
        <v>0</v>
      </c>
      <c r="BP39" s="111">
        <f t="shared" si="173"/>
        <v>0</v>
      </c>
      <c r="BQ39" s="112">
        <f t="shared" si="174"/>
        <v>0</v>
      </c>
      <c r="BR39" s="132">
        <f ca="1">IF(OFFSET(AY39,1,0,1,1)&lt;&gt;0,RZ[[#This Row],[Koeficient odhadu HR '[-'] (P1)]]*$BH39*SUMIFS(RZ[Úroveň 2 s koef. (P2)],RZ[0],AX39),RZ[[#This Row],[Koeficient odhadu HR '[-'] (P1)]]*$BH39*$IG39)</f>
        <v>0</v>
      </c>
      <c r="BS39" s="186">
        <f ca="1">IF(OFFSET(AY39,1,0,1,1)&lt;&gt;0,$BH39*SUMIFS(RZ[Úroveň 2 bez koef. (P2)],RZ[0],AX39),$BH39*$IG39)</f>
        <v>0</v>
      </c>
      <c r="BT39" s="138">
        <f ca="1">RZ[[#This Row],[Úroveň 2 s koef. (P2a)]]*RZ[[#This Row],[Počet MJHR (P0)]]</f>
        <v>0</v>
      </c>
      <c r="BU39" s="138">
        <f ca="1">RZ[[#This Row],[Úroveň 2 bez koef. (P2a)]]*RZ[[#This Row],[Počet MJHR (P0)]]</f>
        <v>0</v>
      </c>
      <c r="BV39" s="138">
        <f ca="1">IF(OFFSET(AZ39,1,0,1,1)&lt;&gt;0,RZ[[#This Row],[Koeficient odhadu HR '[-'] (P1)]]*$BI39*SUMIFS(RZ[Úroveň 3 s koef. (P2)],RZ[0],AX39,RZ[Úroveň 2 (P0)],AY39),RZ[[#This Row],[Koeficient odhadu HR '[-'] (P1)]]*$BI39*$IG39)</f>
        <v>0</v>
      </c>
      <c r="BW39" s="138">
        <f ca="1">IF(OFFSET(AZ39,1,0,1,1)&lt;&gt;0,$BI39*SUMIFS(RZ[Úroveň 3 bez koef. (P2)],RZ[0],AX39,RZ[Úroveň 2 (P0)],AY39),$BI39*$IG39)</f>
        <v>0</v>
      </c>
      <c r="BX39" s="132">
        <f ca="1">RZ[[#This Row],[Úroveň 3 s koef. (P2a)]]*RZ[[#This Row],[Počet MJHR (P0)]]</f>
        <v>7.4</v>
      </c>
      <c r="BY39" s="132">
        <f ca="1">RZ[Úroveň 3 bez koef. (P2a)]*RZ[[#This Row],[Počet MJHR (P0)]]</f>
        <v>7.4</v>
      </c>
      <c r="BZ39" s="132">
        <f ca="1">IF(OFFSET(BA39,1,0,1,1)&lt;&gt;0,RZ[[#This Row],[Koeficient odhadu HR '[-'] (P1)]]*$BJ39*SUMIFS(RZ[Úroveň 4 s koef. (P2)],RZ[0],AX39,RZ[Úroveň 2 (P0)],AY39,RZ[Úroveň 3 (P0)],AZ39),RZ[[#This Row],[Koeficient odhadu HR '[-'] (P1)]]*$BJ39*$IG39)</f>
        <v>3.7</v>
      </c>
      <c r="CA39" s="132">
        <f ca="1">IF(OFFSET(BA39,1,0,1,1)&lt;&gt;0,$BJ39*SUMIFS(RZ[Úroveň 4 bez koef. (P2)],RZ[0],AX39,RZ[Úroveň 2 (P0)],AY39,RZ[Úroveň 3 (P0)],AZ39),$BJ39*$IG39)</f>
        <v>3.7</v>
      </c>
      <c r="CB39" s="138">
        <f ca="1">RZ[[#This Row],[Úroveň 4 s koef. (P2a)]]*RZ[[#This Row],[Počet MJHR (P0)]]</f>
        <v>0</v>
      </c>
      <c r="CC39" s="138">
        <f ca="1">RZ[Úroveň 4 bez koef. (P2a)]*RZ[[#This Row],[Počet MJHR (P0)]]</f>
        <v>0</v>
      </c>
      <c r="CD39" s="138">
        <f ca="1">IF(OFFSET(BB39,1,0,1,1)&lt;&gt;0,RZ[[#This Row],[Koeficient odhadu HR '[-'] (P1)]]*$BK39*SUMIFS(RZ[Úroveň 5 s koef. (P2)],RZ[0],AX39,RZ[Úroveň 2 (P0)],AY39,RZ[Úroveň 3 (P0)],AZ39,RZ[Úroveň 4 (P0)],BA39),RZ[[#This Row],[Koeficient odhadu HR '[-'] (P1)]]*$BK39*$IG39)</f>
        <v>0</v>
      </c>
      <c r="CE39" s="138">
        <f ca="1">IF(OFFSET(BB39,1,0,1,1)&lt;&gt;0,$BK39*SUMIFS(RZ[Úroveň 5 bez koef. (P2)],RZ[0],AX39,RZ[Úroveň 2 (P0)],AY39,RZ[Úroveň 3 (P0)],AZ39,RZ[Úroveň 4 (P0)],BA39),$BK39*$IG39)</f>
        <v>0</v>
      </c>
      <c r="CF39" s="132">
        <f ca="1">RZ[[#This Row],[Úroveň 5 s koef. (P2a)]]*RZ[[#This Row],[Počet MJHR (P0)]]</f>
        <v>0</v>
      </c>
      <c r="CG39" s="132">
        <f ca="1">RZ[Úroveň 5 bez koef. (P2a)]*RZ[[#This Row],[Počet MJHR (P0)]]</f>
        <v>0</v>
      </c>
      <c r="CH39" s="132">
        <f ca="1">IF(OFFSET(BC39,1,0,1,1)&lt;&gt;0,RZ[[#This Row],[Koeficient odhadu HR '[-'] (P1)]]*$BL39*SUMIFS(RZ[Úroveň 6 s koef. (P2)],RZ[0],AX39,RZ[Úroveň 2 (P0)],AY39,RZ[Úroveň 3 (P0)],AZ39,RZ[Úroveň 4 (P0)],BA39,RZ[Úroveň 5 (P0)],BB39),RZ[[#This Row],[Koeficient odhadu HR '[-'] (P1)]]*$BL39*$IG39)</f>
        <v>0</v>
      </c>
      <c r="CI39" s="132">
        <f ca="1">IF(OFFSET(BC39,1,0,1,1)&lt;&gt;0,$BL39*SUMIFS(RZ[Úroveň 6 bez koef. (P2)],RZ[0],AX39,RZ[Úroveň 2 (P0)],AY39,RZ[Úroveň 3 (P0)],AZ39,RZ[Úroveň 4 (P0)],BA39,RZ[Úroveň 5 (P0)],BB39),$BL39*$IG39)</f>
        <v>0</v>
      </c>
      <c r="CJ39" s="138">
        <f ca="1">RZ[[#This Row],[Úroveň 6 s koef. (P2a)]]*RZ[[#This Row],[Počet MJHR (P0)]]</f>
        <v>0</v>
      </c>
      <c r="CK39" s="138">
        <f ca="1">RZ[Úroveň 6 bez koef. (P2a)]*RZ[[#This Row],[Počet MJHR (P0)]]</f>
        <v>0</v>
      </c>
      <c r="CL39" s="138">
        <f ca="1">IF(OFFSET(BD39,1,0,1,1)&lt;&gt;0,RZ[[#This Row],[Koeficient odhadu HR '[-'] (P1)]]*$BM39*SUMIFS(RZ[Úroveň 7 s koef. (P2)],RZ[0],AX39,RZ[Úroveň 2 (P0)],AY39,RZ[Úroveň 3 (P0)],AZ39,RZ[Úroveň 4 (P0)],BA39,RZ[Úroveň 5 (P0)],BB39,RZ[Úroveň 6 (P0)],BC39),RZ[[#This Row],[Koeficient odhadu HR '[-'] (P1)]]*$BM39*$IG39)</f>
        <v>0</v>
      </c>
      <c r="CM39" s="138">
        <f ca="1">IF(OFFSET(BD39,1,0,1,1)&lt;&gt;0,$BM39*SUMIFS(RZ[Úroveň 7 bez koef. (P2)],RZ[0],AX39,RZ[Úroveň 2 (P0)],AY39,RZ[Úroveň 3 (P0)],AZ39,RZ[Úroveň 4 (P0)],BA39,RZ[Úroveň 5 (P0)],BB39,RZ[Úroveň 6 (P0)],BC39),$BM39*$IG39)</f>
        <v>0</v>
      </c>
      <c r="CN39" s="132">
        <f ca="1">RZ[[#This Row],[Úroveň 7 s koef. (P2a)]]*RZ[[#This Row],[Počet MJHR (P0)]]</f>
        <v>0</v>
      </c>
      <c r="CO39" s="132">
        <f ca="1">RZ[Úroveň 7 bez koef. (P2a)]*RZ[[#This Row],[Počet MJHR (P0)]]</f>
        <v>0</v>
      </c>
      <c r="CP39" s="132">
        <f ca="1">IF(OFFSET(BE39,1,0,1,1)&lt;&gt;0,RZ[[#This Row],[Koeficient odhadu HR '[-'] (P1)]]*$BN39*SUMIFS(RZ[Úroveň 8 s koef. (P2)],RZ[0],AX39,RZ[Úroveň 2 (P0)],AY39,RZ[Úroveň 3 (P0)],AZ39,RZ[Úroveň 4 (P0)],BA39,RZ[Úroveň 5 (P0)],BB39,RZ[Úroveň 6 (P0)],BC39,RZ[Úroveň 7 (P0)],BD39),RZ[[#This Row],[Koeficient odhadu HR '[-'] (P1)]]*$BN39*$IG39)</f>
        <v>0</v>
      </c>
      <c r="CQ39" s="132">
        <f ca="1">IF(OFFSET(BE39,1,0,1,1)&lt;&gt;0,$BN39*SUMIFS(RZ[Úroveň 8 bez koef. (P2)],RZ[0],AX39,RZ[Úroveň 2 (P0)],AY39,RZ[Úroveň 3 (P0)],AZ39,RZ[Úroveň 4 (P0)],BA39,RZ[Úroveň 5 (P0)],BB39,RZ[Úroveň 6 (P0)],BC39,RZ[Úroveň 7 (P0)],BD39),$BN39*$IG39)</f>
        <v>0</v>
      </c>
      <c r="CR39" s="138">
        <f ca="1">RZ[[#This Row],[Úroveň 8 s koef. (P2a)]]*RZ[[#This Row],[Počet MJHR (P0)]]</f>
        <v>0</v>
      </c>
      <c r="CS39" s="138">
        <f ca="1">RZ[Úroveň 8 bez koef. (P2a)]*RZ[[#This Row],[Počet MJHR (P0)]]</f>
        <v>0</v>
      </c>
      <c r="CT39" s="138">
        <f ca="1">IF(OFFSET(BF39,1,0,1,1)&lt;&gt;0,RZ[[#This Row],[Koeficient odhadu HR '[-'] (P1)]]*$BO39*SUMIFS(RZ[Úroveň 9 s koef. (P2)],RZ[0],AX39,RZ[Úroveň 2 (P0)],AY39,RZ[Úroveň 3 (P0)],AZ39,RZ[Úroveň 4 (P0)],BA39,RZ[Úroveň 5 (P0)],BB39,RZ[Úroveň 6 (P0)],BC39,RZ[Úroveň 7 (P0)],BD39,RZ[Úroveň 8 (P0)],BE39),RZ[[#This Row],[Koeficient odhadu HR '[-'] (P1)]]*$BO39*$IG39)</f>
        <v>0</v>
      </c>
      <c r="CU39" s="138">
        <f ca="1">IF(OFFSET(BF39,1,0,1,1)&lt;&gt;0,$BO39*SUMIFS(RZ[Úroveň 9 bez koef. (P2)],RZ[0],AX39,RZ[Úroveň 2 (P0)],AY39,RZ[Úroveň 3 (P0)],AZ39,RZ[Úroveň 4 (P0)],BA39,RZ[Úroveň 5 (P0)],BB39,RZ[Úroveň 6 (P0)],BC39,RZ[Úroveň 7 (P0)],BD39,RZ[Úroveň 8 (P0)],BE39),$BO39*$IG39)</f>
        <v>0</v>
      </c>
      <c r="CV39" s="132">
        <f ca="1">RZ[[#This Row],[Úroveň 9 s koef. (P2a)]]*RZ[[#This Row],[Počet MJHR (P0)]]</f>
        <v>0</v>
      </c>
      <c r="CW39" s="132">
        <f ca="1">RZ[Úroveň 9 bez koef. (P2a)]*RZ[[#This Row],[Počet MJHR (P0)]]</f>
        <v>0</v>
      </c>
      <c r="CX39" s="132">
        <f ca="1">IF(OFFSET(BG39,1,0,1,1)&lt;&gt;0,RZ[[#This Row],[Koeficient odhadu HR '[-'] (P1)]]*$BP39*SUMIFS(RZ[Úroveň 10 s koef. (P2)],RZ[0],AX39,RZ[Úroveň 2 (P0)],AY39,RZ[Úroveň 3 (P0)],AZ39,RZ[Úroveň 4 (P0)],BA39,RZ[Úroveň 5 (P0)],BB39,RZ[Úroveň 6 (P0)],BC39,RZ[Úroveň 7 (P0)],BD39,RZ[Úroveň 8 (P0)],BE39,RZ[Úroveň 9 (P0)],BF39),RZ[[#This Row],[Koeficient odhadu HR '[-'] (P1)]]*$BP39*$IG39)</f>
        <v>0</v>
      </c>
      <c r="CY39" s="132">
        <f ca="1">IF(OFFSET(BG39,1,0,1,1)&lt;&gt;0,$BP39*SUMIFS(RZ[Úroveň 10 bez koef. (P2)],RZ[0],AX39,RZ[Úroveň 2 (P0)],AY39,RZ[Úroveň 3 (P0)],AZ39,RZ[Úroveň 4 (P0)],BA39,RZ[Úroveň 5 (P0)],BB39,RZ[Úroveň 6 (P0)],BC39,RZ[Úroveň 7 (P0)],BD39,RZ[Úroveň 8 (P0)],BE39,RZ[Úroveň 9 (P0)],BF39),$BP39*$IG39)</f>
        <v>0</v>
      </c>
      <c r="CZ39" s="138">
        <f>RZ[[#This Row],[Úroveň 10 s koef. (P2a)]]*RZ[[#This Row],[Počet MJHR (P0)]]</f>
        <v>0</v>
      </c>
      <c r="DA39" s="138">
        <f>RZ[Úroveň 10 bez koef. (P2a)]*RZ[[#This Row],[Počet MJHR (P0)]]</f>
        <v>0</v>
      </c>
      <c r="DB39" s="138">
        <f>RZ[[#This Row],[Koeficient odhadu HR '[-'] (P1)]]*$BQ39*IG39</f>
        <v>0</v>
      </c>
      <c r="DC39" s="231">
        <f t="shared" si="175"/>
        <v>0</v>
      </c>
      <c r="DD39" s="241">
        <f t="shared" ca="1" si="176"/>
        <v>3.7</v>
      </c>
      <c r="DE39" s="229">
        <f t="shared" ca="1" si="177"/>
        <v>3.7</v>
      </c>
      <c r="DF39" s="912">
        <f t="shared" si="178"/>
        <v>0</v>
      </c>
      <c r="DG39" s="913">
        <f t="shared" si="179"/>
        <v>0</v>
      </c>
      <c r="DH39" s="913">
        <f t="shared" si="180"/>
        <v>2</v>
      </c>
      <c r="DI39" s="913">
        <f t="shared" si="181"/>
        <v>0</v>
      </c>
      <c r="DJ39" s="913">
        <f t="shared" si="182"/>
        <v>0</v>
      </c>
      <c r="DK39" s="913">
        <f t="shared" si="183"/>
        <v>0</v>
      </c>
      <c r="DL39" s="913">
        <f t="shared" si="184"/>
        <v>0</v>
      </c>
      <c r="DM39" s="913">
        <f t="shared" si="185"/>
        <v>0</v>
      </c>
      <c r="DN39" s="913">
        <f t="shared" si="186"/>
        <v>0</v>
      </c>
      <c r="DO39" s="913">
        <f t="shared" si="187"/>
        <v>0</v>
      </c>
      <c r="DP39" s="914">
        <f ca="1">SUMIFS(RZ[Úroveň 1 (P4)],RZ[0],AX39)</f>
        <v>1</v>
      </c>
      <c r="DQ39" s="914">
        <f ca="1">SUMIFS(RZ[Úroveň 2 (P4)],RZ[0],AX39,RZ[Úroveň 2 (P0)],AY39)</f>
        <v>1</v>
      </c>
      <c r="DR39" s="914">
        <f ca="1">SUMIFS(RZ[Úroveň 3 (P4)],RZ[0],AX39,RZ[Úroveň 2 (P0)],AY39,RZ[Úroveň 3 (P0)],AZ39)</f>
        <v>2</v>
      </c>
      <c r="DS39" s="914">
        <f ca="1">SUMIFS(RZ[Úroveň 4 (P4)],RZ[0],AX39,RZ[Úroveň 2 (P0)],AY39,RZ[Úroveň 3 (P0)],AZ39,RZ[Úroveň 4 (P0)],BA39)</f>
        <v>0</v>
      </c>
      <c r="DT39" s="914">
        <f ca="1">SUMIFS(RZ[Úroveň 5 (P4)],RZ[0],AX39,RZ[Úroveň 2 (P0)],AY39,RZ[Úroveň 3 (P0)],AZ39,RZ[Úroveň 4 (P0)],BA39,RZ[Úroveň 5 (P0)],BB39)</f>
        <v>0</v>
      </c>
      <c r="DU39" s="914">
        <f ca="1">SUMIFS(RZ[Úroveň 6 (P4)],RZ[0],AX39,RZ[Úroveň 2 (P0)],AY39,RZ[Úroveň 3 (P0)],AZ39,RZ[Úroveň 4 (P0)],BA39,RZ[Úroveň 5 (P0)],BB39,RZ[Úroveň 6 (P0)],BC39)</f>
        <v>0</v>
      </c>
      <c r="DV39" s="914">
        <f ca="1">SUMIFS(RZ[Úroveň 7 (P4)],RZ[0],AX39,RZ[Úroveň 2 (P0)],AY39,RZ[Úroveň 3 (P0)],AZ39,RZ[Úroveň 4 (P0)],BA39,RZ[Úroveň 5 (P0)],BB39,RZ[Úroveň 6 (P0)],BC39,RZ[Úroveň 7 (P0)],BD39)</f>
        <v>0</v>
      </c>
      <c r="DW39" s="914">
        <f ca="1">SUMIFS(RZ[Úroveň 8 (P4)],RZ[0],AX39,RZ[Úroveň 2 (P0)],AY39,RZ[Úroveň 3 (P0)],AZ39,RZ[Úroveň 4 (P0)],BA39,RZ[Úroveň 5 (P0)],BB39,RZ[Úroveň 6 (P0)],BC39,RZ[Úroveň 7 (P0)],BD39,RZ[Úroveň 8 (P0)],BE39)</f>
        <v>0</v>
      </c>
      <c r="DX39" s="914">
        <f ca="1">SUMIFS(RZ[Úroveň 9 (P4)],RZ[0],AX39,RZ[Úroveň 2 (P0)],AY39,RZ[Úroveň 3 (P0)],AZ39,RZ[Úroveň 4 (P0)],BA39,RZ[Úroveň 5 (P0)],BB39,RZ[Úroveň 6 (P0)],BC39,RZ[Úroveň 7 (P0)],BD39,RZ[Úroveň 8 (P0)],BE39,RZ[Úroveň 9 (P0)],BF39)</f>
        <v>0</v>
      </c>
      <c r="DY39" s="914">
        <f ca="1">SUMIFS(RZ[Úroveň 10 (P4)],RZ[0],AX39,RZ[Úroveň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DZ39" s="915">
        <f t="shared" ca="1" si="188"/>
        <v>2</v>
      </c>
      <c r="EA39" s="916">
        <f ca="1">RZ[[#This Row],[Jednotková hmotnost bez koef. '[kg/MJHR'] (P0)]]*RZ[[#This Row],[Počet MJHR v rozpadu (P0)]]</f>
        <v>7.4</v>
      </c>
      <c r="EB39" s="917">
        <f ca="1">IF(OFFSET(AY39,1,0,1,1)&lt;&gt;0,RZ[[#This Row],[Koeficient odhadu CR '[-'] (P1)]]*$BH39*SUMIFS(RZ[Úroveň 2 s koef. (P3)],RZ[0],AX39),RZ[[#This Row],[Koeficient odhadu CR '[-'] (P1)]]*$BH39*$IQ39)</f>
        <v>0</v>
      </c>
      <c r="EC39" s="191">
        <f ca="1">IF(OFFSET(AY39,1,0,1,1)&lt;&gt;0,$BH39*SUMIFS(RZ[Úroveň 2 bez koef. (P3)],RZ[0],AX39),$BH39*$IQ39)</f>
        <v>0</v>
      </c>
      <c r="ED39" s="140">
        <f ca="1">RZ[[#This Row],[Úroveň 2 s koef. (P3a)]]*RZ[[#This Row],[Počet MJCR (P0) pro "kg"]]</f>
        <v>0</v>
      </c>
      <c r="EE39" s="140">
        <f ca="1">RZ[Úroveň 2 bez koef. (P3a)]*RZ[[#This Row],[Počet MJCR (P0) pro "kg"]]</f>
        <v>0</v>
      </c>
      <c r="EF39" s="140">
        <f ca="1">IF(OFFSET(AZ39,1,0,1,1)&lt;&gt;0,RZ[[#This Row],[Koeficient odhadu CR '[-'] (P1)]]*$BI39*SUMIFS(RZ[Úroveň 3 s koef. (P3)],RZ[0],AX39,RZ[Úroveň 2 (P0)],AY39),RZ[[#This Row],[Koeficient odhadu CR '[-'] (P1)]]*$BI39*$IQ39)</f>
        <v>0</v>
      </c>
      <c r="EG39" s="140">
        <f ca="1">IF(OFFSET(AZ39,1,0,1,1)&lt;&gt;0,$BI39*SUMIFS(RZ[Úroveň 3 bez koef. (P3)],RZ[0],AX39,RZ[Úroveň 2 (P0)],AY39),$BI39*$IQ39)</f>
        <v>0</v>
      </c>
      <c r="EH39" s="135">
        <f ca="1">RZ[[#This Row],[Úroveň 3 s koef. (P3a)]]*RZ[[#This Row],[Počet MJCR (P0) pro "kg"]]</f>
        <v>592</v>
      </c>
      <c r="EI39" s="135">
        <f ca="1">RZ[Úroveň 3 bez koef. (P3a)]*RZ[[#This Row],[Počet MJCR (P0) pro "kg"]]</f>
        <v>592</v>
      </c>
      <c r="EJ39" s="135">
        <f ca="1">IF(OFFSET(BA39,1,0,1,1)&lt;&gt;0,RZ[[#This Row],[Koeficient odhadu CR '[-'] (P1)]]*$BJ39*SUMIFS(RZ[Úroveň 4 s koef. (P3)],RZ[0],AX39,RZ[Úroveň 2 (P0)],AY39,RZ[Úroveň 3 (P0)],AZ39),RZ[[#This Row],[Koeficient odhadu CR '[-'] (P1)]]*$BJ39*$IQ39)</f>
        <v>80</v>
      </c>
      <c r="EK39" s="135">
        <f ca="1">IF(OFFSET(BA39,1,0,1,1)&lt;&gt;0,$BJ39*SUMIFS(RZ[Úroveň 4 bez koef. (P3)],RZ[0],AX39,RZ[Úroveň 2 (P0)],AY39,RZ[Úroveň 3 (P0)],AZ39),$BJ39*$IQ39)</f>
        <v>80</v>
      </c>
      <c r="EL39" s="140">
        <f ca="1">RZ[[#This Row],[Úroveň 4 s koef. (P3a)]]*RZ[[#This Row],[Počet MJCR (P0) pro "kg"]]</f>
        <v>0</v>
      </c>
      <c r="EM39" s="140">
        <f ca="1">RZ[Úroveň 4 bez koef. (P3a)]*RZ[[#This Row],[Počet MJCR (P0) pro "kg"]]</f>
        <v>0</v>
      </c>
      <c r="EN39" s="140">
        <f ca="1">IF(OFFSET(BB39,1,0,1,1)&lt;&gt;0,RZ[[#This Row],[Koeficient odhadu CR '[-'] (P1)]]*$BK39*SUMIFS(RZ[Úroveň 5 s koef. (P3)],RZ[0],AX39,RZ[Úroveň 2 (P0)],AY39,RZ[Úroveň 3 (P0)],AZ39,RZ[Úroveň 4 (P0)],BA39),RZ[[#This Row],[Koeficient odhadu CR '[-'] (P1)]]*$BK39*$IQ39)</f>
        <v>0</v>
      </c>
      <c r="EO39" s="140">
        <f ca="1">IF(OFFSET(BB39,1,0,1,1)&lt;&gt;0,$BK39*SUMIFS(RZ[Úroveň 5 bez koef. (P3)],RZ[0],AX39,RZ[Úroveň 2 (P0)],AY39,RZ[Úroveň 3 (P0)],AZ39,RZ[Úroveň 4 (P0)],BA39),$BK39*$IQ39)</f>
        <v>0</v>
      </c>
      <c r="EP39" s="135">
        <f ca="1">RZ[[#This Row],[Úroveň 5 s koef. (P3a)]]*RZ[[#This Row],[Počet MJCR (P0) pro "kg"]]</f>
        <v>0</v>
      </c>
      <c r="EQ39" s="135">
        <f ca="1">RZ[Úroveň 5 bez koef. (P3a)]*RZ[[#This Row],[Počet MJCR (P0) pro "kg"]]</f>
        <v>0</v>
      </c>
      <c r="ER39" s="135">
        <f ca="1">IF(OFFSET(BC39,1,0,1,1)&lt;&gt;0,RZ[[#This Row],[Koeficient odhadu CR '[-'] (P1)]]*$BL39*SUMIFS(RZ[Úroveň 6 s koef. (P3)],RZ[0],AX39,RZ[Úroveň 2 (P0)],AY39,RZ[Úroveň 3 (P0)],AZ39,RZ[Úroveň 4 (P0)],BA39,RZ[Úroveň 5 (P0)],BB39),RZ[[#This Row],[Koeficient odhadu CR '[-'] (P1)]]*$BL39*$IQ39)</f>
        <v>0</v>
      </c>
      <c r="ES39" s="135">
        <f ca="1">IF(OFFSET(BC39,1,0,1,1)&lt;&gt;0,$BL39*SUMIFS(RZ[Úroveň 6 bez koef. (P3)],RZ[0],AX39,RZ[Úroveň 2 (P0)],AY39,RZ[Úroveň 3 (P0)],AZ39,RZ[Úroveň 4 (P0)],BA39,RZ[Úroveň 5 (P0)],BB39),$BL39*$IQ39)</f>
        <v>0</v>
      </c>
      <c r="ET39" s="140">
        <f ca="1">RZ[[#This Row],[Úroveň 6 s koef. (P3a)]]*RZ[[#This Row],[Počet MJCR (P0) pro "kg"]]</f>
        <v>0</v>
      </c>
      <c r="EU39" s="140">
        <f ca="1">RZ[Úroveň 6 bez koef. (P3a)]*RZ[[#This Row],[Počet MJCR (P0) pro "kg"]]</f>
        <v>0</v>
      </c>
      <c r="EV39" s="140">
        <f ca="1">IF(OFFSET(BD39,1,0,1,1)&lt;&gt;0,RZ[[#This Row],[Koeficient odhadu CR '[-'] (P1)]]*$BM39*SUMIFS(RZ[Úroveň 7 s koef. (P3)],RZ[0],AX39,RZ[Úroveň 2 (P0)],AY39,RZ[Úroveň 3 (P0)],AZ39,RZ[Úroveň 4 (P0)],BA39,RZ[Úroveň 5 (P0)],BB39,RZ[Úroveň 6 (P0)],BC39),RZ[[#This Row],[Koeficient odhadu CR '[-'] (P1)]]*$BM39*$IQ39)</f>
        <v>0</v>
      </c>
      <c r="EW39" s="140">
        <f ca="1">IF(OFFSET(BD39,1,0,1,1)&lt;&gt;0,$BM39*SUMIFS(RZ[Úroveň 7 bez koef. (P3)],RZ[0],AX39,RZ[Úroveň 2 (P0)],AY39,RZ[Úroveň 3 (P0)],AZ39,RZ[Úroveň 4 (P0)],BA39,RZ[Úroveň 5 (P0)],BB39,RZ[Úroveň 6 (P0)],BC39),$BM39*$IQ39)</f>
        <v>0</v>
      </c>
      <c r="EX39" s="135">
        <f ca="1">RZ[[#This Row],[Úroveň 7 s koef. (P3a)]]*RZ[[#This Row],[Počet MJCR (P0) pro "kg"]]</f>
        <v>0</v>
      </c>
      <c r="EY39" s="135">
        <f ca="1">RZ[Úroveň 7 bez koef. (P3a)]*RZ[[#This Row],[Počet MJCR (P0) pro "kg"]]</f>
        <v>0</v>
      </c>
      <c r="EZ39" s="135">
        <f ca="1">IF(OFFSET(BE39,1,0,1,1)&lt;&gt;0,RZ[[#This Row],[Koeficient odhadu CR '[-'] (P1)]]*$BN39*SUMIFS(RZ[Úroveň 8 s koef. (P3)],RZ[0],AX39,RZ[Úroveň 2 (P0)],AY39,RZ[Úroveň 3 (P0)],AZ39,RZ[Úroveň 4 (P0)],BA39,RZ[Úroveň 5 (P0)],BB39,RZ[Úroveň 6 (P0)],BC39,RZ[Úroveň 7 (P0)],BD39),RZ[[#This Row],[Koeficient odhadu CR '[-'] (P1)]]*$BN39*$IQ39)</f>
        <v>0</v>
      </c>
      <c r="FA39" s="135">
        <f ca="1">IF(OFFSET(BE39,1,0,1,1)&lt;&gt;0,$BN39*SUMIFS(RZ[Úroveň 8 bez koef. (P3)],RZ[0],AX39,RZ[Úroveň 2 (P0)],AY39,RZ[Úroveň 3 (P0)],AZ39,RZ[Úroveň 4 (P0)],BA39,RZ[Úroveň 5 (P0)],BB39,RZ[Úroveň 6 (P0)],BC39,RZ[Úroveň 7 (P0)],BD39),$BN39*$IQ39)</f>
        <v>0</v>
      </c>
      <c r="FB39" s="140">
        <f ca="1">RZ[[#This Row],[Úroveň 8 s koef. (P3a)]]*RZ[[#This Row],[Počet MJCR (P0) pro "kg"]]</f>
        <v>0</v>
      </c>
      <c r="FC39" s="140">
        <f ca="1">RZ[Úroveň 8 bez koef. (P3a)]*RZ[[#This Row],[Počet MJCR (P0) pro "kg"]]</f>
        <v>0</v>
      </c>
      <c r="FD39" s="140">
        <f ca="1">IF(OFFSET(BF39,1,0,1,1)&lt;&gt;0,RZ[[#This Row],[Koeficient odhadu CR '[-'] (P1)]]*$BO39*SUMIFS(RZ[Úroveň 9 s koef. (P3)],RZ[0],AX39,RZ[Úroveň 2 (P0)],AY39,RZ[Úroveň 3 (P0)],AZ39,RZ[Úroveň 4 (P0)],BA39,RZ[Úroveň 5 (P0)],BB39,RZ[Úroveň 6 (P0)],BC39,RZ[Úroveň 7 (P0)],BD39,RZ[Úroveň 8 (P0)],BE39),RZ[[#This Row],[Koeficient odhadu CR '[-'] (P1)]]*$BO39*$IQ39)</f>
        <v>0</v>
      </c>
      <c r="FE39" s="140">
        <f ca="1">IF(OFFSET(BF39,1,0,1,1)&lt;&gt;0,$BO39*SUMIFS(RZ[Úroveň 9 bez koef. (P3)],RZ[0],AX39,RZ[Úroveň 2 (P0)],AY39,RZ[Úroveň 3 (P0)],AZ39,RZ[Úroveň 4 (P0)],BA39,RZ[Úroveň 5 (P0)],BB39,RZ[Úroveň 6 (P0)],BC39,RZ[Úroveň 7 (P0)],BD39,RZ[Úroveň 8 (P0)],BE39),$BO39*$IQ39)</f>
        <v>0</v>
      </c>
      <c r="FF39" s="135">
        <f ca="1">RZ[[#This Row],[Úroveň 9 s koef. (P3a)]]*RZ[[#This Row],[Počet MJCR (P0) pro "kg"]]</f>
        <v>0</v>
      </c>
      <c r="FG39" s="135">
        <f ca="1">RZ[Úroveň 9 bez koef. (P3a)]*RZ[[#This Row],[Počet MJCR (P0) pro "kg"]]</f>
        <v>0</v>
      </c>
      <c r="FH39" s="135">
        <f ca="1">IF(OFFSET(BG39,1,0,1,1)&lt;&gt;0,RZ[[#This Row],[Koeficient odhadu CR '[-'] (P1)]]*$BP39*SUMIFS(RZ[Úroveň 10 s koef. (P3)],RZ[0],AX39,RZ[Úroveň 2 (P0)],AY39,RZ[Úroveň 3 (P0)],AZ39,RZ[Úroveň 4 (P0)],BA39,RZ[Úroveň 5 (P0)],BB39,RZ[Úroveň 6 (P0)],BC39,RZ[Úroveň 7 (P0)],BD39,RZ[Úroveň 8 (P0)],BE39,RZ[Úroveň 9 (P0)],BF39),RZ[[#This Row],[Koeficient odhadu CR '[-'] (P1)]]*$BP39*$IQ39)</f>
        <v>0</v>
      </c>
      <c r="FI39" s="135">
        <f ca="1">IF(OFFSET(BG39,1,0,1,1)&lt;&gt;0,$BP39*SUMIFS(RZ[Úroveň 10 bez koef. (P3)],RZ[0],AX39,RZ[Úroveň 2 (P0)],AY39,RZ[Úroveň 3 (P0)],AZ39,RZ[Úroveň 4 (P0)],BA39,RZ[Úroveň 5 (P0)],BB39,RZ[Úroveň 6 (P0)],BC39,RZ[Úroveň 7 (P0)],BD39,RZ[Úroveň 8 (P0)],BE39,RZ[Úroveň 9 (P0)],BF39),$BP39*$IQ39)</f>
        <v>0</v>
      </c>
      <c r="FJ39" s="140">
        <f ca="1">RZ[[#This Row],[Úroveň 10 s koef. (P3a)]]*RZ[[#This Row],[Počet MJCR (P0) pro "kg"]]</f>
        <v>0</v>
      </c>
      <c r="FK39" s="140">
        <f ca="1">RZ[Úroveň 10 bez koef. (P3a)]*RZ[[#This Row],[Počet MJCR (P0) pro "kg"]]</f>
        <v>0</v>
      </c>
      <c r="FL39" s="140">
        <f ca="1">RZ[[#This Row],[Koeficient odhadu CR '[-'] (P1)]]*$BQ39*IQ39</f>
        <v>0</v>
      </c>
      <c r="FM39" s="236">
        <f t="shared" ca="1" si="189"/>
        <v>0</v>
      </c>
      <c r="FN39" s="194">
        <f t="shared" ca="1" si="190"/>
        <v>80</v>
      </c>
      <c r="FO39" s="238">
        <f t="shared" ca="1" si="191"/>
        <v>80</v>
      </c>
      <c r="FP39" s="135">
        <f t="shared" ca="1" si="192"/>
        <v>0</v>
      </c>
      <c r="FQ39" s="135">
        <f t="shared" ca="1" si="193"/>
        <v>0</v>
      </c>
      <c r="FR39" s="135">
        <f t="shared" ca="1" si="194"/>
        <v>7.4</v>
      </c>
      <c r="FS39" s="135">
        <f t="shared" ca="1" si="195"/>
        <v>0</v>
      </c>
      <c r="FT39" s="135">
        <f t="shared" ca="1" si="196"/>
        <v>0</v>
      </c>
      <c r="FU39" s="135">
        <f t="shared" ca="1" si="197"/>
        <v>0</v>
      </c>
      <c r="FV39" s="135">
        <f t="shared" ca="1" si="198"/>
        <v>0</v>
      </c>
      <c r="FW39" s="135">
        <f t="shared" ca="1" si="199"/>
        <v>0</v>
      </c>
      <c r="FX39" s="135">
        <f t="shared" ca="1" si="200"/>
        <v>0</v>
      </c>
      <c r="FY39" s="135">
        <f t="shared" ca="1" si="201"/>
        <v>0</v>
      </c>
      <c r="FZ39" s="140">
        <f ca="1">SUMIFS(RZ[Úroveň 1 (P6)],RZ[0],AX39)</f>
        <v>1</v>
      </c>
      <c r="GA39" s="140">
        <f ca="1">SUMIFS(RZ[Úroveň 2 (P6)],RZ[0],AX39,RZ[Úroveň 2 (P0)],AY39)</f>
        <v>1</v>
      </c>
      <c r="GB39" s="140">
        <f ca="1">SUMIFS(RZ[Úroveň 3 (P6)],RZ[0],AX39,RZ[Úroveň 2 (P0)],AY39,RZ[Úroveň 3 (P0)],AZ39)</f>
        <v>7.4</v>
      </c>
      <c r="GC39" s="140">
        <f ca="1">SUMIFS(RZ[Úroveň 4 (P6)],RZ[0],AX39,RZ[Úroveň 2 (P0)],AY39,RZ[Úroveň 3 (P0)],AZ39,RZ[Úroveň 4 (P0)],BA39)</f>
        <v>0</v>
      </c>
      <c r="GD39" s="140">
        <f ca="1">SUMIFS(RZ[Úroveň 5 (P6)],RZ[0],AX39,RZ[Úroveň 2 (P0)],AY39,RZ[Úroveň 3 (P0)],AZ39,RZ[Úroveň 4 (P0)],BA39,RZ[Úroveň 5 (P0)],BB39)</f>
        <v>0</v>
      </c>
      <c r="GE39" s="140">
        <f ca="1">SUMIFS(RZ[Úroveň 6 (P6)],RZ[0],AX39,RZ[Úroveň 2 (P0)],AY39,RZ[Úroveň 3 (P0)],AZ39,RZ[Úroveň 4 (P0)],BA39,RZ[Úroveň 5 (P0)],BB39,RZ[Úroveň 6 (P0)],BC39)</f>
        <v>0</v>
      </c>
      <c r="GF39" s="140">
        <f ca="1">SUMIFS(RZ[Úroveň 7 (P6)],RZ[0],AX39,RZ[Úroveň 2 (P0)],AY39,RZ[Úroveň 3 (P0)],AZ39,RZ[Úroveň 4 (P0)],BA39,RZ[Úroveň 5 (P0)],BB39,RZ[Úroveň 6 (P0)],BC39,RZ[Úroveň 7 (P0)],BD39)</f>
        <v>0</v>
      </c>
      <c r="GG39" s="140">
        <f ca="1">SUMIFS(RZ[Úroveň 8 (P6)],RZ[0],AX39,RZ[Úroveň 2 (P0)],AY39,RZ[Úroveň 3 (P0)],AZ39,RZ[Úroveň 4 (P0)],BA39,RZ[Úroveň 5 (P0)],BB39,RZ[Úroveň 6 (P0)],BC39,RZ[Úroveň 7 (P0)],BD39,RZ[Úroveň 8 (P0)],BE39)</f>
        <v>0</v>
      </c>
      <c r="GH39" s="140">
        <f ca="1">SUMIFS(RZ[Úroveň 9 (P6)],RZ[0],AX39,RZ[Úroveň 2 (P0)],AY39,RZ[Úroveň 3 (P0)],AZ39,RZ[Úroveň 4 (P0)],BA39,RZ[Úroveň 5 (P0)],BB39,RZ[Úroveň 6 (P0)],BC39,RZ[Úroveň 7 (P0)],BD39,RZ[Úroveň 8 (P0)],BE39,RZ[Úroveň 9 (P0)],BF39)</f>
        <v>0</v>
      </c>
      <c r="GI39" s="140">
        <f ca="1">SUMIFS(RZ[Úroveň 10 (P6)],RZ[0],AX39,RZ[Úroveň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GJ39" s="918">
        <f t="shared" ca="1" si="202"/>
        <v>7.4</v>
      </c>
      <c r="GK39" s="808">
        <f t="shared" si="203"/>
        <v>0</v>
      </c>
      <c r="GL39" s="808">
        <f t="shared" si="204"/>
        <v>0</v>
      </c>
      <c r="GM39" s="808">
        <f t="shared" si="205"/>
        <v>1</v>
      </c>
      <c r="GN39" s="808">
        <f t="shared" si="206"/>
        <v>0</v>
      </c>
      <c r="GO39" s="808">
        <f t="shared" si="207"/>
        <v>0</v>
      </c>
      <c r="GP39" s="808">
        <f t="shared" si="208"/>
        <v>0</v>
      </c>
      <c r="GQ39" s="808">
        <f t="shared" si="209"/>
        <v>0</v>
      </c>
      <c r="GR39" s="808">
        <f t="shared" si="210"/>
        <v>0</v>
      </c>
      <c r="GS39" s="808">
        <f t="shared" si="211"/>
        <v>0</v>
      </c>
      <c r="GT39" s="808">
        <f t="shared" si="212"/>
        <v>0</v>
      </c>
      <c r="GU39" s="809">
        <f ca="1">SUMIFS(RZ[Sloupec1],RZ[0],AX39)</f>
        <v>1</v>
      </c>
      <c r="GV39" s="809">
        <f ca="1">SUMIFS(RZ[Sloupec2],RZ[0],AX39,RZ[Úroveň 2 (P0)],AY39)</f>
        <v>1</v>
      </c>
      <c r="GW39" s="809">
        <f ca="1">SUMIFS(RZ[Sloupec3],RZ[0],AX39,RZ[Úroveň 2 (P0)],AY39,RZ[Úroveň 3 (P0)],AZ39)</f>
        <v>1</v>
      </c>
      <c r="GX39" s="809">
        <f ca="1">SUMIFS(RZ[Sloupec4],RZ[0],AX39,RZ[Úroveň 2 (P0)],AY39,RZ[Úroveň 3 (P0)],AZ39,RZ[Úroveň 4 (P0)],BA39)</f>
        <v>0</v>
      </c>
      <c r="GY39" s="809">
        <f ca="1">SUMIFS(RZ[Sloupec5],RZ[0],AX39,RZ[Úroveň 2 (P0)],AY39,RZ[Úroveň 3 (P0)],AZ39,RZ[Úroveň 4 (P0)],BA39,RZ[Úroveň 5 (P0)],BB39)</f>
        <v>0</v>
      </c>
      <c r="GZ39" s="809">
        <f ca="1">SUMIFS(RZ[Sloupec6],RZ[0],AX39,RZ[Úroveň 2 (P0)],AY39,RZ[Úroveň 3 (P0)],AZ39,RZ[Úroveň 4 (P0)],BA39,RZ[Úroveň 5 (P0)],BB39,RZ[Úroveň 6 (P0)],BC39)</f>
        <v>0</v>
      </c>
      <c r="HA39" s="809">
        <f ca="1">SUMIFS(RZ[Sloupec62],RZ[0],AX39,RZ[Úroveň 2 (P0)],AY39,RZ[Úroveň 3 (P0)],AZ39,RZ[Úroveň 4 (P0)],BA39,RZ[Úroveň 5 (P0)],BB39,RZ[Úroveň 6 (P0)],BC39,RZ[Úroveň 7 (P0)],BD39)</f>
        <v>0</v>
      </c>
      <c r="HB39" s="809">
        <f ca="1">SUMIFS(RZ[Sloupec63],RZ[0],AX39,RZ[Úroveň 2 (P0)],AY39,RZ[Úroveň 3 (P0)],AZ39,RZ[Úroveň 4 (P0)],BA39,RZ[Úroveň 5 (P0)],BB39,RZ[Úroveň 6 (P0)],BC39,RZ[Úroveň 7 (P0)],BD39,RZ[Úroveň 8 (P0)],BE39)</f>
        <v>0</v>
      </c>
      <c r="HC39" s="809">
        <f ca="1">SUMIFS(RZ[Sloupec64],RZ[0],AX39,RZ[Úroveň 2 (P0)],AY39,RZ[Úroveň 3 (P0)],AZ39,RZ[Úroveň 4 (P0)],BA39,RZ[Úroveň 5 (P0)],BB39,RZ[Úroveň 6 (P0)],BC39,RZ[Úroveň 7 (P0)],BD39,RZ[Úroveň 8 (P0)],BE39,RZ[Úroveň 9 (P0)],BF39)</f>
        <v>0</v>
      </c>
      <c r="HD39" s="809">
        <f ca="1">SUMIFS(RZ[Sloupec65],RZ[0],AX39,RZ[Úroveň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HE39" s="919">
        <f t="shared" ca="1" si="213"/>
        <v>1</v>
      </c>
      <c r="HF39" s="920" t="str">
        <f t="shared" si="214"/>
        <v/>
      </c>
      <c r="HG39" s="94" t="str">
        <f t="shared" si="215"/>
        <v/>
      </c>
      <c r="HH39" s="95" t="str">
        <f t="shared" si="216"/>
        <v/>
      </c>
      <c r="HI39" s="95" t="str">
        <f t="shared" si="217"/>
        <v>Příložka</v>
      </c>
      <c r="HJ39" s="96" t="str">
        <f t="shared" si="218"/>
        <v/>
      </c>
      <c r="HK39" s="96" t="str">
        <f t="shared" si="219"/>
        <v/>
      </c>
      <c r="HL39" s="96" t="str">
        <f t="shared" si="220"/>
        <v/>
      </c>
      <c r="HM39" s="96" t="str">
        <f t="shared" si="221"/>
        <v/>
      </c>
      <c r="HN39" s="96" t="str">
        <f t="shared" si="222"/>
        <v/>
      </c>
      <c r="HO39" s="96" t="str">
        <f t="shared" si="223"/>
        <v/>
      </c>
      <c r="HP39" s="96" t="str">
        <f t="shared" si="224"/>
        <v/>
      </c>
      <c r="HQ39" s="145" t="str">
        <f t="shared" si="225"/>
        <v>OKS3</v>
      </c>
      <c r="HR39" s="921" t="str">
        <f t="shared" si="226"/>
        <v/>
      </c>
      <c r="HS39" s="173">
        <f t="shared" si="227"/>
        <v>0</v>
      </c>
      <c r="HT39" s="100">
        <f t="shared" si="228"/>
        <v>0</v>
      </c>
      <c r="HU39" s="100">
        <f t="shared" si="229"/>
        <v>0</v>
      </c>
      <c r="HV39" s="908">
        <f t="shared" si="230"/>
        <v>0</v>
      </c>
      <c r="HW39" s="922">
        <f t="shared" si="231"/>
        <v>0</v>
      </c>
      <c r="HX39" s="224">
        <f t="shared" si="232"/>
        <v>0</v>
      </c>
      <c r="HY39" s="263" t="str">
        <f t="shared" si="233"/>
        <v>S</v>
      </c>
      <c r="HZ39" s="263">
        <f t="shared" si="234"/>
        <v>0</v>
      </c>
      <c r="IA39" s="150">
        <f t="shared" si="235"/>
        <v>1</v>
      </c>
      <c r="IB39" s="319">
        <f t="shared" si="236"/>
        <v>0</v>
      </c>
      <c r="IC39" s="923">
        <f t="shared" si="237"/>
        <v>0</v>
      </c>
      <c r="ID39" s="924" t="str">
        <f t="shared" ca="1" si="238"/>
        <v>OK</v>
      </c>
      <c r="IE39" s="201" t="str">
        <f t="shared" si="239"/>
        <v>ks</v>
      </c>
      <c r="IF39" s="145">
        <f t="shared" si="240"/>
        <v>2</v>
      </c>
      <c r="IG39" s="216">
        <f t="shared" si="241"/>
        <v>3.7</v>
      </c>
      <c r="IH39" s="217">
        <f t="shared" si="242"/>
        <v>1</v>
      </c>
      <c r="II39" s="224" t="str">
        <f ca="1">IF(RZ[[#This Row],[Rozhodný sloupec indikativní ceny]]=1,"kg",IF($IW39=$JL$15,IF(JX39=0,JO39,JX39),IF($IW39=$KE$15,IF(KQ39=0,KH39,KQ39),IF($IW39=$KX$15,IF(LJ39=0,LA39,LJ39),IF($IW39=$LQ$15,IF(MC39=0,LT39,MC39),IF($IW39=$MJ$15,IF(NQ39=0,NH39,NQ39),0))))))</f>
        <v>kg</v>
      </c>
      <c r="IJ39" s="224">
        <f ca="1">IF((BH39+OFFSET(BH39,1,1,1,1))=2,RZ[[#This Row],[Počet MJHR (P0)]],IF((BI39+OFFSET(BI39,1,1,1,1))=2,RZ[[#This Row],[Počet MJHR (P0)]],IF((BJ39+OFFSET(BJ39,1,1,1,1))=2,RZ[[#This Row],[Počet MJHR (P0)]],IF((BK39+OFFSET(BK39,1,1,1,1))=2,RZ[[#This Row],[Počet MJHR (P0)]],IF((BL39+OFFSET(BL39,1,1,1,1))=2,RZ[[#This Row],[Počet MJHR (P0)]],IF((BM39+OFFSET(BM39,1,1,1,1))=2,RZ[[#This Row],[Počet MJHR (P0)]],IF((BN39+OFFSET(BN39,1,1,1,1))=2,RZ[[#This Row],[Počet MJHR (P0)]],IF((BO39+OFFSET(BO39,1,1,1,1))=2,RZ[[#This Row],[Počet MJHR (P0)]],IF((BP39+OFFSET(BP39,1,1,1,1))=2,RZ[[#This Row],[Počet MJHR (P0)]],IF((BQ39+OFFSET(BQ39,1,1,1,1))=2,RZ[[#This Row],[Počet MJHR (P0)]],IF(RZ[[#This Row],[Měrná jednotka CR (MJCR) (P0)]]=RZ[[#This Row],[Měrná jednotka HR '[MJHR'] (P0)]],RZ[[#This Row],[Počet MJHR (P0)]],IF($IW39=$JL$15,JY39,IF($IW39=$KE$15,KR39,IF($IW39=$KX$15,LK39,IF($IW39=$LQ$15,MD39,IF($IW39=$MJ$15,NR39,0))))))))))))))))</f>
        <v>0</v>
      </c>
      <c r="IK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7.4</v>
      </c>
      <c r="IL39" s="145">
        <f ca="1">IF(AND(RZ[[#This Row],[Jednotková cena bez DPH '[cena/MJCR'] (P0)]]=0,RZ[[#This Row],[Indikativní jednotková cena '[CZK/kg'] (P1)]]&lt;&gt;0),1,0)</f>
        <v>1</v>
      </c>
      <c r="IM39" s="217">
        <f ca="1">VLOOKUP(RZ[[#This Row],[Kód položek]],INDIKAT_CENA,2,FALSE)</f>
        <v>80</v>
      </c>
      <c r="IN39" s="222">
        <f ca="1">IF(RZ[[#This Row],[Rozhodný sloupec indikativní ceny]]=1,RZ[[#This Row],[Indikativní jednotková cena '[CZK/kg'] (P1)]],RZ[[#This Row],[Jednotková cena bez DPH '[cena/MJCR'] (P0)]])</f>
        <v>80</v>
      </c>
      <c r="IO39" s="222">
        <f t="shared" si="243"/>
        <v>1</v>
      </c>
      <c r="IP39" s="224">
        <f ca="1">IF(RZ[[#This Row],[Rozhodný sloupec indikativní ceny]]=1,1,IF($IW39=$JL$15,KA39,IF($IW39=$KE$15,KT39,IF($IW39=$KX$15,LM39,IF($IW39=$LQ$15,MF39,IF($IW39=$MJ$15,NT39,0))))))</f>
        <v>1</v>
      </c>
      <c r="IQ39" s="225">
        <f ca="1">IF(RZ[[#This Row],[Jednotková cena bez DPH '[cena/MJCR'] (P1)]]="",0,IF(IP39=0,0,(RZ[[#This Row],[Jednotková cena bez DPH '[cena/MJCR'] (P1)]]*VLOOKUP(IP39,$BR$7:$BT$10,3))))</f>
        <v>80</v>
      </c>
      <c r="IR39" s="737"/>
      <c r="IS39" s="627">
        <f>IF(HY39=0,"",VLOOKUP(RZ[[#This Row],[Stav Projekce (P0)]],Vstupy!$E$11:'Vstupy'!$E$11:$H$17,4,FALSE))</f>
        <v>100</v>
      </c>
      <c r="IT39" s="925" t="str">
        <f>IF(RZ[[#This Row],[Stav Projekce (P0)]]=0,"",RZ[[#This Row],[Stav Projekce (P0)]])</f>
        <v>S</v>
      </c>
      <c r="IU39" s="925" t="str">
        <f>IF(RZ[[#This Row],[Stav Nákup (P0)]]=0,"",RZ[[#This Row],[Stav Nákup (P0)]])</f>
        <v/>
      </c>
      <c r="IV39" s="926" t="str">
        <f t="shared" si="244"/>
        <v/>
      </c>
      <c r="IW39" s="641">
        <v>1</v>
      </c>
      <c r="IX39" s="630"/>
      <c r="IY39" s="264"/>
      <c r="IZ39" s="648"/>
      <c r="JA39" s="100"/>
      <c r="JB39" s="100" t="s">
        <v>742</v>
      </c>
      <c r="JC39" s="100"/>
      <c r="JD39" s="100"/>
      <c r="JE39" s="100"/>
      <c r="JF39" s="100"/>
      <c r="JG39" s="100"/>
      <c r="JH39" s="100"/>
      <c r="JI39" s="100"/>
      <c r="JJ39" s="145" t="s">
        <v>769</v>
      </c>
      <c r="JK39" s="529"/>
      <c r="JL39" s="286"/>
      <c r="JM39" s="100"/>
      <c r="JN39" s="100"/>
      <c r="JO39" s="145" t="s">
        <v>35</v>
      </c>
      <c r="JP39" s="117">
        <v>2</v>
      </c>
      <c r="JQ39" s="117">
        <v>3.7</v>
      </c>
      <c r="JR39" s="148">
        <v>1</v>
      </c>
      <c r="JS39" s="145" t="s">
        <v>602</v>
      </c>
      <c r="JT39" s="631"/>
      <c r="JU39" s="148"/>
      <c r="JV39" s="154"/>
      <c r="JW39" s="145"/>
      <c r="JX39" s="210"/>
      <c r="JY39" s="117"/>
      <c r="JZ39" s="662"/>
      <c r="KA39" s="145"/>
      <c r="KB39" s="148"/>
      <c r="KC39" s="148"/>
      <c r="KD39" s="644"/>
      <c r="KE39" s="286"/>
      <c r="KF39" s="100"/>
      <c r="KG39" s="100"/>
      <c r="KH39" s="210"/>
      <c r="KI39" s="117"/>
      <c r="KJ39" s="117"/>
      <c r="KK39" s="148"/>
      <c r="KL39" s="145"/>
      <c r="KM39" s="632"/>
      <c r="KN39" s="148"/>
      <c r="KO39" s="154"/>
      <c r="KP39" s="154"/>
      <c r="KQ39" s="210"/>
      <c r="KR39" s="117"/>
      <c r="KS39" s="211"/>
      <c r="KT39" s="145"/>
      <c r="KU39" s="148"/>
      <c r="KV39" s="148"/>
      <c r="KW39" s="265"/>
      <c r="KX39" s="286"/>
      <c r="KY39" s="100"/>
      <c r="KZ39" s="100"/>
      <c r="LA39" s="210"/>
      <c r="LB39" s="117"/>
      <c r="LC39" s="117"/>
      <c r="LD39" s="148"/>
      <c r="LE39" s="145"/>
      <c r="LF39" s="632"/>
      <c r="LG39" s="148"/>
      <c r="LH39" s="154"/>
      <c r="LI39" s="154"/>
      <c r="LJ39" s="154"/>
      <c r="LK39" s="117"/>
      <c r="LL39" s="211"/>
      <c r="LM39" s="210"/>
      <c r="LN39" s="148"/>
      <c r="LO39" s="148"/>
      <c r="LP39" s="265"/>
      <c r="LQ39" s="286"/>
      <c r="LR39" s="100"/>
      <c r="LS39" s="100"/>
      <c r="LT39" s="210"/>
      <c r="LU39" s="117"/>
      <c r="LV39" s="117"/>
      <c r="LW39" s="148"/>
      <c r="LX39" s="145"/>
      <c r="LY39" s="632"/>
      <c r="LZ39" s="148"/>
      <c r="MA39" s="154"/>
      <c r="MB39" s="154"/>
      <c r="MC39" s="145"/>
      <c r="MD39" s="117"/>
      <c r="ME39" s="211"/>
      <c r="MF39" s="210"/>
      <c r="MG39" s="148"/>
      <c r="MH39" s="148"/>
      <c r="MI39" s="265"/>
      <c r="MJ39" s="647"/>
      <c r="MK39" s="264"/>
      <c r="ML39" s="153"/>
      <c r="MM39" s="153"/>
      <c r="MN39" s="153"/>
      <c r="MO39" s="153"/>
      <c r="MP39" s="153"/>
      <c r="MQ39" s="153"/>
      <c r="MR39" s="153"/>
      <c r="MS39" s="99"/>
      <c r="MT39" s="99"/>
      <c r="MU39" s="99"/>
      <c r="MV39" s="99"/>
      <c r="MW39" s="99"/>
      <c r="MX39" s="99"/>
      <c r="MY39" s="153"/>
      <c r="MZ39" s="153"/>
      <c r="NA39" s="153"/>
      <c r="NB39" s="153"/>
      <c r="NC39" s="153"/>
      <c r="ND39" s="153"/>
      <c r="NE39" s="148"/>
      <c r="NF39" s="153"/>
      <c r="NG39" s="153"/>
      <c r="NH39" s="330" t="str">
        <f t="shared" si="245"/>
        <v>ks</v>
      </c>
      <c r="NI39" s="797">
        <f>RZ[[#This Row],[Počet ks (K)]]</f>
        <v>0</v>
      </c>
      <c r="NJ39" s="798">
        <f>RZ[[#This Row],[Hmotnost '[kg/ks'] (K)]]</f>
        <v>0</v>
      </c>
      <c r="NK39" s="148"/>
      <c r="NL39" s="145"/>
      <c r="NM39" s="632"/>
      <c r="NN39" s="148"/>
      <c r="NO39" s="154"/>
      <c r="NP39" s="153"/>
      <c r="NQ39" s="153"/>
      <c r="NR39" s="210"/>
      <c r="NS39" s="148"/>
      <c r="NT39" s="210"/>
      <c r="NU39" s="148"/>
      <c r="NV39" s="148"/>
      <c r="NW39" s="175"/>
    </row>
    <row r="40" spans="2:387" ht="15.95" customHeight="1" x14ac:dyDescent="0.35">
      <c r="B40" s="118" t="str">
        <f t="shared" si="129"/>
        <v/>
      </c>
      <c r="C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0" s="262" t="str">
        <f t="shared" si="130"/>
        <v xml:space="preserve">    Ozubené kolečko</v>
      </c>
      <c r="E40" s="120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Row],[Kód položek (P2)]]))))))))))</f>
        <v>STO1</v>
      </c>
      <c r="F40" s="791" t="str">
        <f t="shared" si="131"/>
        <v>N/A</v>
      </c>
      <c r="G40" s="792" t="str">
        <f t="shared" si="132"/>
        <v/>
      </c>
      <c r="H40" s="262" t="str">
        <f t="shared" si="133"/>
        <v>Z = 80, m = 2</v>
      </c>
      <c r="I40" s="123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HR '[MJHR'] (P0)]]))))))))))</f>
        <v>ks</v>
      </c>
      <c r="J40" s="123">
        <f t="shared" si="134"/>
        <v>2</v>
      </c>
      <c r="K40" s="793">
        <f>RZ[[#This Row],[Koeficient odhadu HR '[-'] (P1)]]</f>
        <v>1</v>
      </c>
      <c r="L40" s="124">
        <f ca="1">RZ[[#This Row],[Jednotková hmotnost s koef. '[kg/MJHR'] (P0)]]</f>
        <v>3.4</v>
      </c>
      <c r="M40" s="794">
        <f t="shared" ca="1" si="135"/>
        <v>0</v>
      </c>
      <c r="N40" s="125">
        <f t="shared" ca="1" si="136"/>
        <v>6.8</v>
      </c>
      <c r="O40" s="125">
        <f t="shared" ca="1" si="137"/>
        <v>0</v>
      </c>
      <c r="P40" s="126" t="str">
        <f t="shared" si="138"/>
        <v/>
      </c>
      <c r="Q40" s="795">
        <f ca="1">RZ[[#This Row],[Počet MJHR v rozpadu (P0)]]</f>
        <v>2</v>
      </c>
      <c r="R40" s="439" t="str">
        <f t="shared" si="139"/>
        <v/>
      </c>
      <c r="S40" s="129" t="str">
        <f t="shared" si="140"/>
        <v/>
      </c>
      <c r="T40" s="126" t="str">
        <f t="shared" si="141"/>
        <v/>
      </c>
      <c r="U40" s="126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CR (MJCR) (P0)]]))))))))))</f>
        <v>kg</v>
      </c>
      <c r="V40" s="575">
        <f t="shared" ca="1" si="142"/>
        <v>6.8</v>
      </c>
      <c r="W40" s="322">
        <f>RZ[[#This Row],[Koeficient odhadu CR '[-'] (P1)]]</f>
        <v>1</v>
      </c>
      <c r="X40" s="440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Row],[Jednotková cena bez DPH '[cena/MJCR'] (P1)]]*RZ[[#This Row],[Koeficient odhadu CR '[-']]]))))))))))</f>
        <v>145</v>
      </c>
      <c r="Y40" s="440">
        <f t="shared" ca="1" si="143"/>
        <v>0</v>
      </c>
      <c r="Z40" s="142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VLOOKUP(IP40,$BR$7:$BS$11,2,FALSE)))))))))))</f>
        <v>CZK</v>
      </c>
      <c r="AA40" s="909">
        <f t="shared" ca="1" si="144"/>
        <v>6.8</v>
      </c>
      <c r="AB40" s="910">
        <f ca="1">RZ[[#This Row],[Kumulovaný koeficient v rozpadu (P0)]]</f>
        <v>1</v>
      </c>
      <c r="AC40" s="261"/>
      <c r="AD40" s="796">
        <f ca="1">RZ[[#This Row],[Jednotková cena bez DPH '[cena/MJCR'] s koef. (P0)]]/RZ[[#This Row],[Koeficient odhadu CR '[-']]]*RZ[[#This Row],[Kumulovaný koeficient odhadu CR  '[-']]]</f>
        <v>145</v>
      </c>
      <c r="AE40" s="796">
        <f t="shared" ca="1" si="145"/>
        <v>986</v>
      </c>
      <c r="AF40" s="796">
        <f ca="1">-IF(ISNUMBER(AA40),RZ[[#This Row],[Celková cena bez DPH (1)]]-RZ[[#This Row],[Jednotková cena bez DPH '[cena/MJCR'] bez koef. (P0)]]*AA40,0)</f>
        <v>0</v>
      </c>
      <c r="AG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0" s="261"/>
      <c r="AI40" s="796">
        <f t="shared" ca="1" si="146"/>
        <v>5.3703703703703702</v>
      </c>
      <c r="AJ40" s="796">
        <f t="shared" ca="1" si="147"/>
        <v>36.518518518518519</v>
      </c>
      <c r="AK40" s="796">
        <f t="shared" ca="1" si="148"/>
        <v>0</v>
      </c>
      <c r="AL40" s="753">
        <f ca="1">RZ[[#This Row],[Kilogramová cena bez DPH '[cena/kg'] (1)]]/$AK$13</f>
        <v>5.3703703703703702</v>
      </c>
      <c r="AM40" s="261"/>
      <c r="AN40" s="796">
        <f t="shared" ca="1" si="149"/>
        <v>7.0048309178743962</v>
      </c>
      <c r="AO40" s="796">
        <f t="shared" ca="1" si="150"/>
        <v>47.632850241545896</v>
      </c>
      <c r="AP40" s="796">
        <f t="shared" ca="1" si="151"/>
        <v>0</v>
      </c>
      <c r="AQ40" s="753">
        <f ca="1">RZ[[#This Row],[Kilogramová cena bez DPH '[cena/kg'] (1)]]/$AP$13</f>
        <v>7.0048309178743962</v>
      </c>
      <c r="AR40" s="261"/>
      <c r="AS40" s="796">
        <f t="shared" ca="1" si="152"/>
        <v>3.9660831509846823</v>
      </c>
      <c r="AT40" s="796">
        <f t="shared" ca="1" si="153"/>
        <v>26.969365426695841</v>
      </c>
      <c r="AU40" s="789">
        <f t="shared" ca="1" si="154"/>
        <v>0</v>
      </c>
      <c r="AV40" s="767">
        <f ca="1">RZ[[#This Row],[Kilogramová cena bez DPH '[cena/kg'] (1)]]/$AU$13</f>
        <v>3.9660831509846823</v>
      </c>
      <c r="AW40" s="165"/>
      <c r="AX40" s="911">
        <f t="shared" ca="1" si="155"/>
        <v>2</v>
      </c>
      <c r="AY40" s="111">
        <f t="shared" ca="1" si="156"/>
        <v>1</v>
      </c>
      <c r="AZ40" s="111">
        <f t="shared" ca="1" si="157"/>
        <v>17</v>
      </c>
      <c r="BA40" s="111">
        <f t="shared" ca="1" si="158"/>
        <v>0</v>
      </c>
      <c r="BB40" s="111">
        <f t="shared" ca="1" si="159"/>
        <v>0</v>
      </c>
      <c r="BC40" s="111">
        <f t="shared" ca="1" si="160"/>
        <v>0</v>
      </c>
      <c r="BD40" s="111">
        <f t="shared" ca="1" si="161"/>
        <v>0</v>
      </c>
      <c r="BE40" s="111">
        <f t="shared" ca="1" si="162"/>
        <v>0</v>
      </c>
      <c r="BF40" s="111">
        <f t="shared" ca="1" si="163"/>
        <v>0</v>
      </c>
      <c r="BG40" s="112">
        <f t="shared" ca="1" si="164"/>
        <v>0</v>
      </c>
      <c r="BH40" s="911">
        <f t="shared" si="165"/>
        <v>0</v>
      </c>
      <c r="BI40" s="111">
        <f t="shared" si="166"/>
        <v>0</v>
      </c>
      <c r="BJ40" s="111">
        <f t="shared" si="167"/>
        <v>1</v>
      </c>
      <c r="BK40" s="111">
        <f t="shared" si="168"/>
        <v>0</v>
      </c>
      <c r="BL40" s="111">
        <f t="shared" si="169"/>
        <v>0</v>
      </c>
      <c r="BM40" s="111">
        <f t="shared" si="170"/>
        <v>0</v>
      </c>
      <c r="BN40" s="111">
        <f t="shared" si="171"/>
        <v>0</v>
      </c>
      <c r="BO40" s="111">
        <f t="shared" si="172"/>
        <v>0</v>
      </c>
      <c r="BP40" s="111">
        <f t="shared" si="173"/>
        <v>0</v>
      </c>
      <c r="BQ40" s="112">
        <f t="shared" si="174"/>
        <v>0</v>
      </c>
      <c r="BR40" s="132">
        <f ca="1">IF(OFFSET(AY40,1,0,1,1)&lt;&gt;0,RZ[[#This Row],[Koeficient odhadu HR '[-'] (P1)]]*$BH40*SUMIFS(RZ[Úroveň 2 s koef. (P2)],RZ[0],AX40),RZ[[#This Row],[Koeficient odhadu HR '[-'] (P1)]]*$BH40*$IG40)</f>
        <v>0</v>
      </c>
      <c r="BS40" s="186">
        <f ca="1">IF(OFFSET(AY40,1,0,1,1)&lt;&gt;0,$BH40*SUMIFS(RZ[Úroveň 2 bez koef. (P2)],RZ[0],AX40),$BH40*$IG40)</f>
        <v>0</v>
      </c>
      <c r="BT40" s="138">
        <f ca="1">RZ[[#This Row],[Úroveň 2 s koef. (P2a)]]*RZ[[#This Row],[Počet MJHR (P0)]]</f>
        <v>0</v>
      </c>
      <c r="BU40" s="138">
        <f ca="1">RZ[[#This Row],[Úroveň 2 bez koef. (P2a)]]*RZ[[#This Row],[Počet MJHR (P0)]]</f>
        <v>0</v>
      </c>
      <c r="BV40" s="138">
        <f ca="1">IF(OFFSET(AZ40,1,0,1,1)&lt;&gt;0,RZ[[#This Row],[Koeficient odhadu HR '[-'] (P1)]]*$BI40*SUMIFS(RZ[Úroveň 3 s koef. (P2)],RZ[0],AX40,RZ[Úroveň 2 (P0)],AY40),RZ[[#This Row],[Koeficient odhadu HR '[-'] (P1)]]*$BI40*$IG40)</f>
        <v>0</v>
      </c>
      <c r="BW40" s="138">
        <f ca="1">IF(OFFSET(AZ40,1,0,1,1)&lt;&gt;0,$BI40*SUMIFS(RZ[Úroveň 3 bez koef. (P2)],RZ[0],AX40,RZ[Úroveň 2 (P0)],AY40),$BI40*$IG40)</f>
        <v>0</v>
      </c>
      <c r="BX40" s="132">
        <f ca="1">RZ[[#This Row],[Úroveň 3 s koef. (P2a)]]*RZ[[#This Row],[Počet MJHR (P0)]]</f>
        <v>6.8</v>
      </c>
      <c r="BY40" s="132">
        <f ca="1">RZ[Úroveň 3 bez koef. (P2a)]*RZ[[#This Row],[Počet MJHR (P0)]]</f>
        <v>6.8</v>
      </c>
      <c r="BZ40" s="132">
        <f ca="1">IF(OFFSET(BA40,1,0,1,1)&lt;&gt;0,RZ[[#This Row],[Koeficient odhadu HR '[-'] (P1)]]*$BJ40*SUMIFS(RZ[Úroveň 4 s koef. (P2)],RZ[0],AX40,RZ[Úroveň 2 (P0)],AY40,RZ[Úroveň 3 (P0)],AZ40),RZ[[#This Row],[Koeficient odhadu HR '[-'] (P1)]]*$BJ40*$IG40)</f>
        <v>3.4</v>
      </c>
      <c r="CA40" s="132">
        <f ca="1">IF(OFFSET(BA40,1,0,1,1)&lt;&gt;0,$BJ40*SUMIFS(RZ[Úroveň 4 bez koef. (P2)],RZ[0],AX40,RZ[Úroveň 2 (P0)],AY40,RZ[Úroveň 3 (P0)],AZ40),$BJ40*$IG40)</f>
        <v>3.4</v>
      </c>
      <c r="CB40" s="138">
        <f ca="1">RZ[[#This Row],[Úroveň 4 s koef. (P2a)]]*RZ[[#This Row],[Počet MJHR (P0)]]</f>
        <v>0</v>
      </c>
      <c r="CC40" s="138">
        <f ca="1">RZ[Úroveň 4 bez koef. (P2a)]*RZ[[#This Row],[Počet MJHR (P0)]]</f>
        <v>0</v>
      </c>
      <c r="CD40" s="138">
        <f ca="1">IF(OFFSET(BB40,1,0,1,1)&lt;&gt;0,RZ[[#This Row],[Koeficient odhadu HR '[-'] (P1)]]*$BK40*SUMIFS(RZ[Úroveň 5 s koef. (P2)],RZ[0],AX40,RZ[Úroveň 2 (P0)],AY40,RZ[Úroveň 3 (P0)],AZ40,RZ[Úroveň 4 (P0)],BA40),RZ[[#This Row],[Koeficient odhadu HR '[-'] (P1)]]*$BK40*$IG40)</f>
        <v>0</v>
      </c>
      <c r="CE40" s="138">
        <f ca="1">IF(OFFSET(BB40,1,0,1,1)&lt;&gt;0,$BK40*SUMIFS(RZ[Úroveň 5 bez koef. (P2)],RZ[0],AX40,RZ[Úroveň 2 (P0)],AY40,RZ[Úroveň 3 (P0)],AZ40,RZ[Úroveň 4 (P0)],BA40),$BK40*$IG40)</f>
        <v>0</v>
      </c>
      <c r="CF40" s="132">
        <f ca="1">RZ[[#This Row],[Úroveň 5 s koef. (P2a)]]*RZ[[#This Row],[Počet MJHR (P0)]]</f>
        <v>0</v>
      </c>
      <c r="CG40" s="132">
        <f ca="1">RZ[Úroveň 5 bez koef. (P2a)]*RZ[[#This Row],[Počet MJHR (P0)]]</f>
        <v>0</v>
      </c>
      <c r="CH40" s="132">
        <f ca="1">IF(OFFSET(BC40,1,0,1,1)&lt;&gt;0,RZ[[#This Row],[Koeficient odhadu HR '[-'] (P1)]]*$BL40*SUMIFS(RZ[Úroveň 6 s koef. (P2)],RZ[0],AX40,RZ[Úroveň 2 (P0)],AY40,RZ[Úroveň 3 (P0)],AZ40,RZ[Úroveň 4 (P0)],BA40,RZ[Úroveň 5 (P0)],BB40),RZ[[#This Row],[Koeficient odhadu HR '[-'] (P1)]]*$BL40*$IG40)</f>
        <v>0</v>
      </c>
      <c r="CI40" s="132">
        <f ca="1">IF(OFFSET(BC40,1,0,1,1)&lt;&gt;0,$BL40*SUMIFS(RZ[Úroveň 6 bez koef. (P2)],RZ[0],AX40,RZ[Úroveň 2 (P0)],AY40,RZ[Úroveň 3 (P0)],AZ40,RZ[Úroveň 4 (P0)],BA40,RZ[Úroveň 5 (P0)],BB40),$BL40*$IG40)</f>
        <v>0</v>
      </c>
      <c r="CJ40" s="138">
        <f ca="1">RZ[[#This Row],[Úroveň 6 s koef. (P2a)]]*RZ[[#This Row],[Počet MJHR (P0)]]</f>
        <v>0</v>
      </c>
      <c r="CK40" s="138">
        <f ca="1">RZ[Úroveň 6 bez koef. (P2a)]*RZ[[#This Row],[Počet MJHR (P0)]]</f>
        <v>0</v>
      </c>
      <c r="CL40" s="138">
        <f ca="1">IF(OFFSET(BD40,1,0,1,1)&lt;&gt;0,RZ[[#This Row],[Koeficient odhadu HR '[-'] (P1)]]*$BM40*SUMIFS(RZ[Úroveň 7 s koef. (P2)],RZ[0],AX40,RZ[Úroveň 2 (P0)],AY40,RZ[Úroveň 3 (P0)],AZ40,RZ[Úroveň 4 (P0)],BA40,RZ[Úroveň 5 (P0)],BB40,RZ[Úroveň 6 (P0)],BC40),RZ[[#This Row],[Koeficient odhadu HR '[-'] (P1)]]*$BM40*$IG40)</f>
        <v>0</v>
      </c>
      <c r="CM40" s="138">
        <f ca="1">IF(OFFSET(BD40,1,0,1,1)&lt;&gt;0,$BM40*SUMIFS(RZ[Úroveň 7 bez koef. (P2)],RZ[0],AX40,RZ[Úroveň 2 (P0)],AY40,RZ[Úroveň 3 (P0)],AZ40,RZ[Úroveň 4 (P0)],BA40,RZ[Úroveň 5 (P0)],BB40,RZ[Úroveň 6 (P0)],BC40),$BM40*$IG40)</f>
        <v>0</v>
      </c>
      <c r="CN40" s="132">
        <f ca="1">RZ[[#This Row],[Úroveň 7 s koef. (P2a)]]*RZ[[#This Row],[Počet MJHR (P0)]]</f>
        <v>0</v>
      </c>
      <c r="CO40" s="132">
        <f ca="1">RZ[Úroveň 7 bez koef. (P2a)]*RZ[[#This Row],[Počet MJHR (P0)]]</f>
        <v>0</v>
      </c>
      <c r="CP40" s="132">
        <f ca="1">IF(OFFSET(BE40,1,0,1,1)&lt;&gt;0,RZ[[#This Row],[Koeficient odhadu HR '[-'] (P1)]]*$BN40*SUMIFS(RZ[Úroveň 8 s koef. (P2)],RZ[0],AX40,RZ[Úroveň 2 (P0)],AY40,RZ[Úroveň 3 (P0)],AZ40,RZ[Úroveň 4 (P0)],BA40,RZ[Úroveň 5 (P0)],BB40,RZ[Úroveň 6 (P0)],BC40,RZ[Úroveň 7 (P0)],BD40),RZ[[#This Row],[Koeficient odhadu HR '[-'] (P1)]]*$BN40*$IG40)</f>
        <v>0</v>
      </c>
      <c r="CQ40" s="132">
        <f ca="1">IF(OFFSET(BE40,1,0,1,1)&lt;&gt;0,$BN40*SUMIFS(RZ[Úroveň 8 bez koef. (P2)],RZ[0],AX40,RZ[Úroveň 2 (P0)],AY40,RZ[Úroveň 3 (P0)],AZ40,RZ[Úroveň 4 (P0)],BA40,RZ[Úroveň 5 (P0)],BB40,RZ[Úroveň 6 (P0)],BC40,RZ[Úroveň 7 (P0)],BD40),$BN40*$IG40)</f>
        <v>0</v>
      </c>
      <c r="CR40" s="138">
        <f ca="1">RZ[[#This Row],[Úroveň 8 s koef. (P2a)]]*RZ[[#This Row],[Počet MJHR (P0)]]</f>
        <v>0</v>
      </c>
      <c r="CS40" s="138">
        <f ca="1">RZ[Úroveň 8 bez koef. (P2a)]*RZ[[#This Row],[Počet MJHR (P0)]]</f>
        <v>0</v>
      </c>
      <c r="CT40" s="138">
        <f ca="1">IF(OFFSET(BF40,1,0,1,1)&lt;&gt;0,RZ[[#This Row],[Koeficient odhadu HR '[-'] (P1)]]*$BO40*SUMIFS(RZ[Úroveň 9 s koef. (P2)],RZ[0],AX40,RZ[Úroveň 2 (P0)],AY40,RZ[Úroveň 3 (P0)],AZ40,RZ[Úroveň 4 (P0)],BA40,RZ[Úroveň 5 (P0)],BB40,RZ[Úroveň 6 (P0)],BC40,RZ[Úroveň 7 (P0)],BD40,RZ[Úroveň 8 (P0)],BE40),RZ[[#This Row],[Koeficient odhadu HR '[-'] (P1)]]*$BO40*$IG40)</f>
        <v>0</v>
      </c>
      <c r="CU40" s="138">
        <f ca="1">IF(OFFSET(BF40,1,0,1,1)&lt;&gt;0,$BO40*SUMIFS(RZ[Úroveň 9 bez koef. (P2)],RZ[0],AX40,RZ[Úroveň 2 (P0)],AY40,RZ[Úroveň 3 (P0)],AZ40,RZ[Úroveň 4 (P0)],BA40,RZ[Úroveň 5 (P0)],BB40,RZ[Úroveň 6 (P0)],BC40,RZ[Úroveň 7 (P0)],BD40,RZ[Úroveň 8 (P0)],BE40),$BO40*$IG40)</f>
        <v>0</v>
      </c>
      <c r="CV40" s="132">
        <f ca="1">RZ[[#This Row],[Úroveň 9 s koef. (P2a)]]*RZ[[#This Row],[Počet MJHR (P0)]]</f>
        <v>0</v>
      </c>
      <c r="CW40" s="132">
        <f ca="1">RZ[Úroveň 9 bez koef. (P2a)]*RZ[[#This Row],[Počet MJHR (P0)]]</f>
        <v>0</v>
      </c>
      <c r="CX40" s="132">
        <f ca="1">IF(OFFSET(BG40,1,0,1,1)&lt;&gt;0,RZ[[#This Row],[Koeficient odhadu HR '[-'] (P1)]]*$BP40*SUMIFS(RZ[Úroveň 10 s koef. (P2)],RZ[0],AX40,RZ[Úroveň 2 (P0)],AY40,RZ[Úroveň 3 (P0)],AZ40,RZ[Úroveň 4 (P0)],BA40,RZ[Úroveň 5 (P0)],BB40,RZ[Úroveň 6 (P0)],BC40,RZ[Úroveň 7 (P0)],BD40,RZ[Úroveň 8 (P0)],BE40,RZ[Úroveň 9 (P0)],BF40),RZ[[#This Row],[Koeficient odhadu HR '[-'] (P1)]]*$BP40*$IG40)</f>
        <v>0</v>
      </c>
      <c r="CY40" s="132">
        <f ca="1">IF(OFFSET(BG40,1,0,1,1)&lt;&gt;0,$BP40*SUMIFS(RZ[Úroveň 10 bez koef. (P2)],RZ[0],AX40,RZ[Úroveň 2 (P0)],AY40,RZ[Úroveň 3 (P0)],AZ40,RZ[Úroveň 4 (P0)],BA40,RZ[Úroveň 5 (P0)],BB40,RZ[Úroveň 6 (P0)],BC40,RZ[Úroveň 7 (P0)],BD40,RZ[Úroveň 8 (P0)],BE40,RZ[Úroveň 9 (P0)],BF40),$BP40*$IG40)</f>
        <v>0</v>
      </c>
      <c r="CZ40" s="138">
        <f>RZ[[#This Row],[Úroveň 10 s koef. (P2a)]]*RZ[[#This Row],[Počet MJHR (P0)]]</f>
        <v>0</v>
      </c>
      <c r="DA40" s="138">
        <f>RZ[Úroveň 10 bez koef. (P2a)]*RZ[[#This Row],[Počet MJHR (P0)]]</f>
        <v>0</v>
      </c>
      <c r="DB40" s="138">
        <f>RZ[[#This Row],[Koeficient odhadu HR '[-'] (P1)]]*$BQ40*IG40</f>
        <v>0</v>
      </c>
      <c r="DC40" s="231">
        <f t="shared" si="175"/>
        <v>0</v>
      </c>
      <c r="DD40" s="241">
        <f t="shared" ca="1" si="176"/>
        <v>3.4</v>
      </c>
      <c r="DE40" s="229">
        <f t="shared" ca="1" si="177"/>
        <v>3.4</v>
      </c>
      <c r="DF40" s="912">
        <f t="shared" si="178"/>
        <v>0</v>
      </c>
      <c r="DG40" s="913">
        <f t="shared" si="179"/>
        <v>0</v>
      </c>
      <c r="DH40" s="913">
        <f t="shared" si="180"/>
        <v>2</v>
      </c>
      <c r="DI40" s="913">
        <f t="shared" si="181"/>
        <v>0</v>
      </c>
      <c r="DJ40" s="913">
        <f t="shared" si="182"/>
        <v>0</v>
      </c>
      <c r="DK40" s="913">
        <f t="shared" si="183"/>
        <v>0</v>
      </c>
      <c r="DL40" s="913">
        <f t="shared" si="184"/>
        <v>0</v>
      </c>
      <c r="DM40" s="913">
        <f t="shared" si="185"/>
        <v>0</v>
      </c>
      <c r="DN40" s="913">
        <f t="shared" si="186"/>
        <v>0</v>
      </c>
      <c r="DO40" s="913">
        <f t="shared" si="187"/>
        <v>0</v>
      </c>
      <c r="DP40" s="914">
        <f ca="1">SUMIFS(RZ[Úroveň 1 (P4)],RZ[0],AX40)</f>
        <v>1</v>
      </c>
      <c r="DQ40" s="914">
        <f ca="1">SUMIFS(RZ[Úroveň 2 (P4)],RZ[0],AX40,RZ[Úroveň 2 (P0)],AY40)</f>
        <v>1</v>
      </c>
      <c r="DR40" s="914">
        <f ca="1">SUMIFS(RZ[Úroveň 3 (P4)],RZ[0],AX40,RZ[Úroveň 2 (P0)],AY40,RZ[Úroveň 3 (P0)],AZ40)</f>
        <v>2</v>
      </c>
      <c r="DS40" s="914">
        <f ca="1">SUMIFS(RZ[Úroveň 4 (P4)],RZ[0],AX40,RZ[Úroveň 2 (P0)],AY40,RZ[Úroveň 3 (P0)],AZ40,RZ[Úroveň 4 (P0)],BA40)</f>
        <v>0</v>
      </c>
      <c r="DT40" s="914">
        <f ca="1">SUMIFS(RZ[Úroveň 5 (P4)],RZ[0],AX40,RZ[Úroveň 2 (P0)],AY40,RZ[Úroveň 3 (P0)],AZ40,RZ[Úroveň 4 (P0)],BA40,RZ[Úroveň 5 (P0)],BB40)</f>
        <v>0</v>
      </c>
      <c r="DU40" s="914">
        <f ca="1">SUMIFS(RZ[Úroveň 6 (P4)],RZ[0],AX40,RZ[Úroveň 2 (P0)],AY40,RZ[Úroveň 3 (P0)],AZ40,RZ[Úroveň 4 (P0)],BA40,RZ[Úroveň 5 (P0)],BB40,RZ[Úroveň 6 (P0)],BC40)</f>
        <v>0</v>
      </c>
      <c r="DV40" s="914">
        <f ca="1">SUMIFS(RZ[Úroveň 7 (P4)],RZ[0],AX40,RZ[Úroveň 2 (P0)],AY40,RZ[Úroveň 3 (P0)],AZ40,RZ[Úroveň 4 (P0)],BA40,RZ[Úroveň 5 (P0)],BB40,RZ[Úroveň 6 (P0)],BC40,RZ[Úroveň 7 (P0)],BD40)</f>
        <v>0</v>
      </c>
      <c r="DW40" s="914">
        <f ca="1">SUMIFS(RZ[Úroveň 8 (P4)],RZ[0],AX40,RZ[Úroveň 2 (P0)],AY40,RZ[Úroveň 3 (P0)],AZ40,RZ[Úroveň 4 (P0)],BA40,RZ[Úroveň 5 (P0)],BB40,RZ[Úroveň 6 (P0)],BC40,RZ[Úroveň 7 (P0)],BD40,RZ[Úroveň 8 (P0)],BE40)</f>
        <v>0</v>
      </c>
      <c r="DX40" s="914">
        <f ca="1">SUMIFS(RZ[Úroveň 9 (P4)],RZ[0],AX40,RZ[Úroveň 2 (P0)],AY40,RZ[Úroveň 3 (P0)],AZ40,RZ[Úroveň 4 (P0)],BA40,RZ[Úroveň 5 (P0)],BB40,RZ[Úroveň 6 (P0)],BC40,RZ[Úroveň 7 (P0)],BD40,RZ[Úroveň 8 (P0)],BE40,RZ[Úroveň 9 (P0)],BF40)</f>
        <v>0</v>
      </c>
      <c r="DY40" s="914">
        <f ca="1">SUMIFS(RZ[Úroveň 10 (P4)],RZ[0],AX40,RZ[Úroveň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DZ40" s="915">
        <f t="shared" ca="1" si="188"/>
        <v>2</v>
      </c>
      <c r="EA40" s="916">
        <f ca="1">RZ[[#This Row],[Jednotková hmotnost bez koef. '[kg/MJHR'] (P0)]]*RZ[[#This Row],[Počet MJHR v rozpadu (P0)]]</f>
        <v>6.8</v>
      </c>
      <c r="EB40" s="917">
        <f ca="1">IF(OFFSET(AY40,1,0,1,1)&lt;&gt;0,RZ[[#This Row],[Koeficient odhadu CR '[-'] (P1)]]*$BH40*SUMIFS(RZ[Úroveň 2 s koef. (P3)],RZ[0],AX40),RZ[[#This Row],[Koeficient odhadu CR '[-'] (P1)]]*$BH40*$IQ40)</f>
        <v>0</v>
      </c>
      <c r="EC40" s="191">
        <f ca="1">IF(OFFSET(AY40,1,0,1,1)&lt;&gt;0,$BH40*SUMIFS(RZ[Úroveň 2 bez koef. (P3)],RZ[0],AX40),$BH40*$IQ40)</f>
        <v>0</v>
      </c>
      <c r="ED40" s="140">
        <f ca="1">RZ[[#This Row],[Úroveň 2 s koef. (P3a)]]*RZ[[#This Row],[Počet MJCR (P0) pro "kg"]]</f>
        <v>0</v>
      </c>
      <c r="EE40" s="140">
        <f ca="1">RZ[Úroveň 2 bez koef. (P3a)]*RZ[[#This Row],[Počet MJCR (P0) pro "kg"]]</f>
        <v>0</v>
      </c>
      <c r="EF40" s="140">
        <f ca="1">IF(OFFSET(AZ40,1,0,1,1)&lt;&gt;0,RZ[[#This Row],[Koeficient odhadu CR '[-'] (P1)]]*$BI40*SUMIFS(RZ[Úroveň 3 s koef. (P3)],RZ[0],AX40,RZ[Úroveň 2 (P0)],AY40),RZ[[#This Row],[Koeficient odhadu CR '[-'] (P1)]]*$BI40*$IQ40)</f>
        <v>0</v>
      </c>
      <c r="EG40" s="140">
        <f ca="1">IF(OFFSET(AZ40,1,0,1,1)&lt;&gt;0,$BI40*SUMIFS(RZ[Úroveň 3 bez koef. (P3)],RZ[0],AX40,RZ[Úroveň 2 (P0)],AY40),$BI40*$IQ40)</f>
        <v>0</v>
      </c>
      <c r="EH40" s="135">
        <f ca="1">RZ[[#This Row],[Úroveň 3 s koef. (P3a)]]*RZ[[#This Row],[Počet MJCR (P0) pro "kg"]]</f>
        <v>986</v>
      </c>
      <c r="EI40" s="135">
        <f ca="1">RZ[Úroveň 3 bez koef. (P3a)]*RZ[[#This Row],[Počet MJCR (P0) pro "kg"]]</f>
        <v>986</v>
      </c>
      <c r="EJ40" s="135">
        <f ca="1">IF(OFFSET(BA40,1,0,1,1)&lt;&gt;0,RZ[[#This Row],[Koeficient odhadu CR '[-'] (P1)]]*$BJ40*SUMIFS(RZ[Úroveň 4 s koef. (P3)],RZ[0],AX40,RZ[Úroveň 2 (P0)],AY40,RZ[Úroveň 3 (P0)],AZ40),RZ[[#This Row],[Koeficient odhadu CR '[-'] (P1)]]*$BJ40*$IQ40)</f>
        <v>145</v>
      </c>
      <c r="EK40" s="135">
        <f ca="1">IF(OFFSET(BA40,1,0,1,1)&lt;&gt;0,$BJ40*SUMIFS(RZ[Úroveň 4 bez koef. (P3)],RZ[0],AX40,RZ[Úroveň 2 (P0)],AY40,RZ[Úroveň 3 (P0)],AZ40),$BJ40*$IQ40)</f>
        <v>145</v>
      </c>
      <c r="EL40" s="140">
        <f ca="1">RZ[[#This Row],[Úroveň 4 s koef. (P3a)]]*RZ[[#This Row],[Počet MJCR (P0) pro "kg"]]</f>
        <v>0</v>
      </c>
      <c r="EM40" s="140">
        <f ca="1">RZ[Úroveň 4 bez koef. (P3a)]*RZ[[#This Row],[Počet MJCR (P0) pro "kg"]]</f>
        <v>0</v>
      </c>
      <c r="EN40" s="140">
        <f ca="1">IF(OFFSET(BB40,1,0,1,1)&lt;&gt;0,RZ[[#This Row],[Koeficient odhadu CR '[-'] (P1)]]*$BK40*SUMIFS(RZ[Úroveň 5 s koef. (P3)],RZ[0],AX40,RZ[Úroveň 2 (P0)],AY40,RZ[Úroveň 3 (P0)],AZ40,RZ[Úroveň 4 (P0)],BA40),RZ[[#This Row],[Koeficient odhadu CR '[-'] (P1)]]*$BK40*$IQ40)</f>
        <v>0</v>
      </c>
      <c r="EO40" s="140">
        <f ca="1">IF(OFFSET(BB40,1,0,1,1)&lt;&gt;0,$BK40*SUMIFS(RZ[Úroveň 5 bez koef. (P3)],RZ[0],AX40,RZ[Úroveň 2 (P0)],AY40,RZ[Úroveň 3 (P0)],AZ40,RZ[Úroveň 4 (P0)],BA40),$BK40*$IQ40)</f>
        <v>0</v>
      </c>
      <c r="EP40" s="135">
        <f ca="1">RZ[[#This Row],[Úroveň 5 s koef. (P3a)]]*RZ[[#This Row],[Počet MJCR (P0) pro "kg"]]</f>
        <v>0</v>
      </c>
      <c r="EQ40" s="135">
        <f ca="1">RZ[Úroveň 5 bez koef. (P3a)]*RZ[[#This Row],[Počet MJCR (P0) pro "kg"]]</f>
        <v>0</v>
      </c>
      <c r="ER40" s="135">
        <f ca="1">IF(OFFSET(BC40,1,0,1,1)&lt;&gt;0,RZ[[#This Row],[Koeficient odhadu CR '[-'] (P1)]]*$BL40*SUMIFS(RZ[Úroveň 6 s koef. (P3)],RZ[0],AX40,RZ[Úroveň 2 (P0)],AY40,RZ[Úroveň 3 (P0)],AZ40,RZ[Úroveň 4 (P0)],BA40,RZ[Úroveň 5 (P0)],BB40),RZ[[#This Row],[Koeficient odhadu CR '[-'] (P1)]]*$BL40*$IQ40)</f>
        <v>0</v>
      </c>
      <c r="ES40" s="135">
        <f ca="1">IF(OFFSET(BC40,1,0,1,1)&lt;&gt;0,$BL40*SUMIFS(RZ[Úroveň 6 bez koef. (P3)],RZ[0],AX40,RZ[Úroveň 2 (P0)],AY40,RZ[Úroveň 3 (P0)],AZ40,RZ[Úroveň 4 (P0)],BA40,RZ[Úroveň 5 (P0)],BB40),$BL40*$IQ40)</f>
        <v>0</v>
      </c>
      <c r="ET40" s="140">
        <f ca="1">RZ[[#This Row],[Úroveň 6 s koef. (P3a)]]*RZ[[#This Row],[Počet MJCR (P0) pro "kg"]]</f>
        <v>0</v>
      </c>
      <c r="EU40" s="140">
        <f ca="1">RZ[Úroveň 6 bez koef. (P3a)]*RZ[[#This Row],[Počet MJCR (P0) pro "kg"]]</f>
        <v>0</v>
      </c>
      <c r="EV40" s="140">
        <f ca="1">IF(OFFSET(BD40,1,0,1,1)&lt;&gt;0,RZ[[#This Row],[Koeficient odhadu CR '[-'] (P1)]]*$BM40*SUMIFS(RZ[Úroveň 7 s koef. (P3)],RZ[0],AX40,RZ[Úroveň 2 (P0)],AY40,RZ[Úroveň 3 (P0)],AZ40,RZ[Úroveň 4 (P0)],BA40,RZ[Úroveň 5 (P0)],BB40,RZ[Úroveň 6 (P0)],BC40),RZ[[#This Row],[Koeficient odhadu CR '[-'] (P1)]]*$BM40*$IQ40)</f>
        <v>0</v>
      </c>
      <c r="EW40" s="140">
        <f ca="1">IF(OFFSET(BD40,1,0,1,1)&lt;&gt;0,$BM40*SUMIFS(RZ[Úroveň 7 bez koef. (P3)],RZ[0],AX40,RZ[Úroveň 2 (P0)],AY40,RZ[Úroveň 3 (P0)],AZ40,RZ[Úroveň 4 (P0)],BA40,RZ[Úroveň 5 (P0)],BB40,RZ[Úroveň 6 (P0)],BC40),$BM40*$IQ40)</f>
        <v>0</v>
      </c>
      <c r="EX40" s="135">
        <f ca="1">RZ[[#This Row],[Úroveň 7 s koef. (P3a)]]*RZ[[#This Row],[Počet MJCR (P0) pro "kg"]]</f>
        <v>0</v>
      </c>
      <c r="EY40" s="135">
        <f ca="1">RZ[Úroveň 7 bez koef. (P3a)]*RZ[[#This Row],[Počet MJCR (P0) pro "kg"]]</f>
        <v>0</v>
      </c>
      <c r="EZ40" s="135">
        <f ca="1">IF(OFFSET(BE40,1,0,1,1)&lt;&gt;0,RZ[[#This Row],[Koeficient odhadu CR '[-'] (P1)]]*$BN40*SUMIFS(RZ[Úroveň 8 s koef. (P3)],RZ[0],AX40,RZ[Úroveň 2 (P0)],AY40,RZ[Úroveň 3 (P0)],AZ40,RZ[Úroveň 4 (P0)],BA40,RZ[Úroveň 5 (P0)],BB40,RZ[Úroveň 6 (P0)],BC40,RZ[Úroveň 7 (P0)],BD40),RZ[[#This Row],[Koeficient odhadu CR '[-'] (P1)]]*$BN40*$IQ40)</f>
        <v>0</v>
      </c>
      <c r="FA40" s="135">
        <f ca="1">IF(OFFSET(BE40,1,0,1,1)&lt;&gt;0,$BN40*SUMIFS(RZ[Úroveň 8 bez koef. (P3)],RZ[0],AX40,RZ[Úroveň 2 (P0)],AY40,RZ[Úroveň 3 (P0)],AZ40,RZ[Úroveň 4 (P0)],BA40,RZ[Úroveň 5 (P0)],BB40,RZ[Úroveň 6 (P0)],BC40,RZ[Úroveň 7 (P0)],BD40),$BN40*$IQ40)</f>
        <v>0</v>
      </c>
      <c r="FB40" s="140">
        <f ca="1">RZ[[#This Row],[Úroveň 8 s koef. (P3a)]]*RZ[[#This Row],[Počet MJCR (P0) pro "kg"]]</f>
        <v>0</v>
      </c>
      <c r="FC40" s="140">
        <f ca="1">RZ[Úroveň 8 bez koef. (P3a)]*RZ[[#This Row],[Počet MJCR (P0) pro "kg"]]</f>
        <v>0</v>
      </c>
      <c r="FD40" s="140">
        <f ca="1">IF(OFFSET(BF40,1,0,1,1)&lt;&gt;0,RZ[[#This Row],[Koeficient odhadu CR '[-'] (P1)]]*$BO40*SUMIFS(RZ[Úroveň 9 s koef. (P3)],RZ[0],AX40,RZ[Úroveň 2 (P0)],AY40,RZ[Úroveň 3 (P0)],AZ40,RZ[Úroveň 4 (P0)],BA40,RZ[Úroveň 5 (P0)],BB40,RZ[Úroveň 6 (P0)],BC40,RZ[Úroveň 7 (P0)],BD40,RZ[Úroveň 8 (P0)],BE40),RZ[[#This Row],[Koeficient odhadu CR '[-'] (P1)]]*$BO40*$IQ40)</f>
        <v>0</v>
      </c>
      <c r="FE40" s="140">
        <f ca="1">IF(OFFSET(BF40,1,0,1,1)&lt;&gt;0,$BO40*SUMIFS(RZ[Úroveň 9 bez koef. (P3)],RZ[0],AX40,RZ[Úroveň 2 (P0)],AY40,RZ[Úroveň 3 (P0)],AZ40,RZ[Úroveň 4 (P0)],BA40,RZ[Úroveň 5 (P0)],BB40,RZ[Úroveň 6 (P0)],BC40,RZ[Úroveň 7 (P0)],BD40,RZ[Úroveň 8 (P0)],BE40),$BO40*$IQ40)</f>
        <v>0</v>
      </c>
      <c r="FF40" s="135">
        <f ca="1">RZ[[#This Row],[Úroveň 9 s koef. (P3a)]]*RZ[[#This Row],[Počet MJCR (P0) pro "kg"]]</f>
        <v>0</v>
      </c>
      <c r="FG40" s="135">
        <f ca="1">RZ[Úroveň 9 bez koef. (P3a)]*RZ[[#This Row],[Počet MJCR (P0) pro "kg"]]</f>
        <v>0</v>
      </c>
      <c r="FH40" s="135">
        <f ca="1">IF(OFFSET(BG40,1,0,1,1)&lt;&gt;0,RZ[[#This Row],[Koeficient odhadu CR '[-'] (P1)]]*$BP40*SUMIFS(RZ[Úroveň 10 s koef. (P3)],RZ[0],AX40,RZ[Úroveň 2 (P0)],AY40,RZ[Úroveň 3 (P0)],AZ40,RZ[Úroveň 4 (P0)],BA40,RZ[Úroveň 5 (P0)],BB40,RZ[Úroveň 6 (P0)],BC40,RZ[Úroveň 7 (P0)],BD40,RZ[Úroveň 8 (P0)],BE40,RZ[Úroveň 9 (P0)],BF40),RZ[[#This Row],[Koeficient odhadu CR '[-'] (P1)]]*$BP40*$IQ40)</f>
        <v>0</v>
      </c>
      <c r="FI40" s="135">
        <f ca="1">IF(OFFSET(BG40,1,0,1,1)&lt;&gt;0,$BP40*SUMIFS(RZ[Úroveň 10 bez koef. (P3)],RZ[0],AX40,RZ[Úroveň 2 (P0)],AY40,RZ[Úroveň 3 (P0)],AZ40,RZ[Úroveň 4 (P0)],BA40,RZ[Úroveň 5 (P0)],BB40,RZ[Úroveň 6 (P0)],BC40,RZ[Úroveň 7 (P0)],BD40,RZ[Úroveň 8 (P0)],BE40,RZ[Úroveň 9 (P0)],BF40),$BP40*$IQ40)</f>
        <v>0</v>
      </c>
      <c r="FJ40" s="140">
        <f ca="1">RZ[[#This Row],[Úroveň 10 s koef. (P3a)]]*RZ[[#This Row],[Počet MJCR (P0) pro "kg"]]</f>
        <v>0</v>
      </c>
      <c r="FK40" s="140">
        <f ca="1">RZ[Úroveň 10 bez koef. (P3a)]*RZ[[#This Row],[Počet MJCR (P0) pro "kg"]]</f>
        <v>0</v>
      </c>
      <c r="FL40" s="140">
        <f ca="1">RZ[[#This Row],[Koeficient odhadu CR '[-'] (P1)]]*$BQ40*IQ40</f>
        <v>0</v>
      </c>
      <c r="FM40" s="236">
        <f t="shared" ca="1" si="189"/>
        <v>0</v>
      </c>
      <c r="FN40" s="194">
        <f t="shared" ca="1" si="190"/>
        <v>145</v>
      </c>
      <c r="FO40" s="238">
        <f t="shared" ca="1" si="191"/>
        <v>145</v>
      </c>
      <c r="FP40" s="135">
        <f t="shared" ca="1" si="192"/>
        <v>0</v>
      </c>
      <c r="FQ40" s="135">
        <f t="shared" ca="1" si="193"/>
        <v>0</v>
      </c>
      <c r="FR40" s="135">
        <f t="shared" ca="1" si="194"/>
        <v>6.8</v>
      </c>
      <c r="FS40" s="135">
        <f t="shared" ca="1" si="195"/>
        <v>0</v>
      </c>
      <c r="FT40" s="135">
        <f t="shared" ca="1" si="196"/>
        <v>0</v>
      </c>
      <c r="FU40" s="135">
        <f t="shared" ca="1" si="197"/>
        <v>0</v>
      </c>
      <c r="FV40" s="135">
        <f t="shared" ca="1" si="198"/>
        <v>0</v>
      </c>
      <c r="FW40" s="135">
        <f t="shared" ca="1" si="199"/>
        <v>0</v>
      </c>
      <c r="FX40" s="135">
        <f t="shared" ca="1" si="200"/>
        <v>0</v>
      </c>
      <c r="FY40" s="135">
        <f t="shared" ca="1" si="201"/>
        <v>0</v>
      </c>
      <c r="FZ40" s="140">
        <f ca="1">SUMIFS(RZ[Úroveň 1 (P6)],RZ[0],AX40)</f>
        <v>1</v>
      </c>
      <c r="GA40" s="140">
        <f ca="1">SUMIFS(RZ[Úroveň 2 (P6)],RZ[0],AX40,RZ[Úroveň 2 (P0)],AY40)</f>
        <v>1</v>
      </c>
      <c r="GB40" s="140">
        <f ca="1">SUMIFS(RZ[Úroveň 3 (P6)],RZ[0],AX40,RZ[Úroveň 2 (P0)],AY40,RZ[Úroveň 3 (P0)],AZ40)</f>
        <v>6.8</v>
      </c>
      <c r="GC40" s="140">
        <f ca="1">SUMIFS(RZ[Úroveň 4 (P6)],RZ[0],AX40,RZ[Úroveň 2 (P0)],AY40,RZ[Úroveň 3 (P0)],AZ40,RZ[Úroveň 4 (P0)],BA40)</f>
        <v>0</v>
      </c>
      <c r="GD40" s="140">
        <f ca="1">SUMIFS(RZ[Úroveň 5 (P6)],RZ[0],AX40,RZ[Úroveň 2 (P0)],AY40,RZ[Úroveň 3 (P0)],AZ40,RZ[Úroveň 4 (P0)],BA40,RZ[Úroveň 5 (P0)],BB40)</f>
        <v>0</v>
      </c>
      <c r="GE40" s="140">
        <f ca="1">SUMIFS(RZ[Úroveň 6 (P6)],RZ[0],AX40,RZ[Úroveň 2 (P0)],AY40,RZ[Úroveň 3 (P0)],AZ40,RZ[Úroveň 4 (P0)],BA40,RZ[Úroveň 5 (P0)],BB40,RZ[Úroveň 6 (P0)],BC40)</f>
        <v>0</v>
      </c>
      <c r="GF40" s="140">
        <f ca="1">SUMIFS(RZ[Úroveň 7 (P6)],RZ[0],AX40,RZ[Úroveň 2 (P0)],AY40,RZ[Úroveň 3 (P0)],AZ40,RZ[Úroveň 4 (P0)],BA40,RZ[Úroveň 5 (P0)],BB40,RZ[Úroveň 6 (P0)],BC40,RZ[Úroveň 7 (P0)],BD40)</f>
        <v>0</v>
      </c>
      <c r="GG40" s="140">
        <f ca="1">SUMIFS(RZ[Úroveň 8 (P6)],RZ[0],AX40,RZ[Úroveň 2 (P0)],AY40,RZ[Úroveň 3 (P0)],AZ40,RZ[Úroveň 4 (P0)],BA40,RZ[Úroveň 5 (P0)],BB40,RZ[Úroveň 6 (P0)],BC40,RZ[Úroveň 7 (P0)],BD40,RZ[Úroveň 8 (P0)],BE40)</f>
        <v>0</v>
      </c>
      <c r="GH40" s="140">
        <f ca="1">SUMIFS(RZ[Úroveň 9 (P6)],RZ[0],AX40,RZ[Úroveň 2 (P0)],AY40,RZ[Úroveň 3 (P0)],AZ40,RZ[Úroveň 4 (P0)],BA40,RZ[Úroveň 5 (P0)],BB40,RZ[Úroveň 6 (P0)],BC40,RZ[Úroveň 7 (P0)],BD40,RZ[Úroveň 8 (P0)],BE40,RZ[Úroveň 9 (P0)],BF40)</f>
        <v>0</v>
      </c>
      <c r="GI40" s="140">
        <f ca="1">SUMIFS(RZ[Úroveň 10 (P6)],RZ[0],AX40,RZ[Úroveň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GJ40" s="918">
        <f t="shared" ca="1" si="202"/>
        <v>6.8</v>
      </c>
      <c r="GK40" s="808">
        <f t="shared" si="203"/>
        <v>0</v>
      </c>
      <c r="GL40" s="808">
        <f t="shared" si="204"/>
        <v>0</v>
      </c>
      <c r="GM40" s="808">
        <f t="shared" si="205"/>
        <v>1</v>
      </c>
      <c r="GN40" s="808">
        <f t="shared" si="206"/>
        <v>0</v>
      </c>
      <c r="GO40" s="808">
        <f t="shared" si="207"/>
        <v>0</v>
      </c>
      <c r="GP40" s="808">
        <f t="shared" si="208"/>
        <v>0</v>
      </c>
      <c r="GQ40" s="808">
        <f t="shared" si="209"/>
        <v>0</v>
      </c>
      <c r="GR40" s="808">
        <f t="shared" si="210"/>
        <v>0</v>
      </c>
      <c r="GS40" s="808">
        <f t="shared" si="211"/>
        <v>0</v>
      </c>
      <c r="GT40" s="808">
        <f t="shared" si="212"/>
        <v>0</v>
      </c>
      <c r="GU40" s="809">
        <f ca="1">SUMIFS(RZ[Sloupec1],RZ[0],AX40)</f>
        <v>1</v>
      </c>
      <c r="GV40" s="809">
        <f ca="1">SUMIFS(RZ[Sloupec2],RZ[0],AX40,RZ[Úroveň 2 (P0)],AY40)</f>
        <v>1</v>
      </c>
      <c r="GW40" s="809">
        <f ca="1">SUMIFS(RZ[Sloupec3],RZ[0],AX40,RZ[Úroveň 2 (P0)],AY40,RZ[Úroveň 3 (P0)],AZ40)</f>
        <v>1</v>
      </c>
      <c r="GX40" s="809">
        <f ca="1">SUMIFS(RZ[Sloupec4],RZ[0],AX40,RZ[Úroveň 2 (P0)],AY40,RZ[Úroveň 3 (P0)],AZ40,RZ[Úroveň 4 (P0)],BA40)</f>
        <v>0</v>
      </c>
      <c r="GY40" s="809">
        <f ca="1">SUMIFS(RZ[Sloupec5],RZ[0],AX40,RZ[Úroveň 2 (P0)],AY40,RZ[Úroveň 3 (P0)],AZ40,RZ[Úroveň 4 (P0)],BA40,RZ[Úroveň 5 (P0)],BB40)</f>
        <v>0</v>
      </c>
      <c r="GZ40" s="809">
        <f ca="1">SUMIFS(RZ[Sloupec6],RZ[0],AX40,RZ[Úroveň 2 (P0)],AY40,RZ[Úroveň 3 (P0)],AZ40,RZ[Úroveň 4 (P0)],BA40,RZ[Úroveň 5 (P0)],BB40,RZ[Úroveň 6 (P0)],BC40)</f>
        <v>0</v>
      </c>
      <c r="HA40" s="809">
        <f ca="1">SUMIFS(RZ[Sloupec62],RZ[0],AX40,RZ[Úroveň 2 (P0)],AY40,RZ[Úroveň 3 (P0)],AZ40,RZ[Úroveň 4 (P0)],BA40,RZ[Úroveň 5 (P0)],BB40,RZ[Úroveň 6 (P0)],BC40,RZ[Úroveň 7 (P0)],BD40)</f>
        <v>0</v>
      </c>
      <c r="HB40" s="809">
        <f ca="1">SUMIFS(RZ[Sloupec63],RZ[0],AX40,RZ[Úroveň 2 (P0)],AY40,RZ[Úroveň 3 (P0)],AZ40,RZ[Úroveň 4 (P0)],BA40,RZ[Úroveň 5 (P0)],BB40,RZ[Úroveň 6 (P0)],BC40,RZ[Úroveň 7 (P0)],BD40,RZ[Úroveň 8 (P0)],BE40)</f>
        <v>0</v>
      </c>
      <c r="HC40" s="809">
        <f ca="1">SUMIFS(RZ[Sloupec64],RZ[0],AX40,RZ[Úroveň 2 (P0)],AY40,RZ[Úroveň 3 (P0)],AZ40,RZ[Úroveň 4 (P0)],BA40,RZ[Úroveň 5 (P0)],BB40,RZ[Úroveň 6 (P0)],BC40,RZ[Úroveň 7 (P0)],BD40,RZ[Úroveň 8 (P0)],BE40,RZ[Úroveň 9 (P0)],BF40)</f>
        <v>0</v>
      </c>
      <c r="HD40" s="809">
        <f ca="1">SUMIFS(RZ[Sloupec65],RZ[0],AX40,RZ[Úroveň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HE40" s="919">
        <f t="shared" ca="1" si="213"/>
        <v>1</v>
      </c>
      <c r="HF40" s="920" t="str">
        <f t="shared" si="214"/>
        <v/>
      </c>
      <c r="HG40" s="94" t="str">
        <f t="shared" si="215"/>
        <v/>
      </c>
      <c r="HH40" s="95" t="str">
        <f t="shared" si="216"/>
        <v/>
      </c>
      <c r="HI40" s="95" t="str">
        <f t="shared" si="217"/>
        <v>Ozubené kolečko</v>
      </c>
      <c r="HJ40" s="96" t="str">
        <f t="shared" si="218"/>
        <v/>
      </c>
      <c r="HK40" s="96" t="str">
        <f t="shared" si="219"/>
        <v/>
      </c>
      <c r="HL40" s="96" t="str">
        <f t="shared" si="220"/>
        <v/>
      </c>
      <c r="HM40" s="96" t="str">
        <f t="shared" si="221"/>
        <v/>
      </c>
      <c r="HN40" s="96" t="str">
        <f t="shared" si="222"/>
        <v/>
      </c>
      <c r="HO40" s="96" t="str">
        <f t="shared" si="223"/>
        <v/>
      </c>
      <c r="HP40" s="96" t="str">
        <f t="shared" si="224"/>
        <v/>
      </c>
      <c r="HQ40" s="145" t="str">
        <f t="shared" si="225"/>
        <v>STO1</v>
      </c>
      <c r="HR40" s="921" t="str">
        <f t="shared" si="226"/>
        <v/>
      </c>
      <c r="HS40" s="173">
        <f t="shared" si="227"/>
        <v>0</v>
      </c>
      <c r="HT40" s="100">
        <f t="shared" si="228"/>
        <v>0</v>
      </c>
      <c r="HU40" s="100" t="str">
        <f t="shared" si="229"/>
        <v>Z = 80, m = 2</v>
      </c>
      <c r="HV40" s="908">
        <f t="shared" si="230"/>
        <v>0</v>
      </c>
      <c r="HW40" s="922">
        <f t="shared" si="231"/>
        <v>0</v>
      </c>
      <c r="HX40" s="224">
        <f t="shared" si="232"/>
        <v>0</v>
      </c>
      <c r="HY40" s="263" t="str">
        <f t="shared" si="233"/>
        <v>S</v>
      </c>
      <c r="HZ40" s="263">
        <f t="shared" si="234"/>
        <v>0</v>
      </c>
      <c r="IA40" s="150">
        <f t="shared" si="235"/>
        <v>1</v>
      </c>
      <c r="IB40" s="319">
        <f t="shared" si="236"/>
        <v>0</v>
      </c>
      <c r="IC40" s="923">
        <f t="shared" si="237"/>
        <v>0</v>
      </c>
      <c r="ID40" s="924" t="str">
        <f t="shared" ca="1" si="238"/>
        <v>OK</v>
      </c>
      <c r="IE40" s="201" t="str">
        <f t="shared" si="239"/>
        <v>ks</v>
      </c>
      <c r="IF40" s="145">
        <f t="shared" si="240"/>
        <v>2</v>
      </c>
      <c r="IG40" s="216">
        <f t="shared" si="241"/>
        <v>3.4</v>
      </c>
      <c r="IH40" s="217">
        <f t="shared" si="242"/>
        <v>1</v>
      </c>
      <c r="II40" s="224" t="str">
        <f ca="1">IF(RZ[[#This Row],[Rozhodný sloupec indikativní ceny]]=1,"kg",IF($IW40=$JL$15,IF(JX40=0,JO40,JX40),IF($IW40=$KE$15,IF(KQ40=0,KH40,KQ40),IF($IW40=$KX$15,IF(LJ40=0,LA40,LJ40),IF($IW40=$LQ$15,IF(MC40=0,LT40,MC40),IF($IW40=$MJ$15,IF(NQ40=0,NH40,NQ40),0))))))</f>
        <v>kg</v>
      </c>
      <c r="IJ40" s="224">
        <f ca="1">IF((BH40+OFFSET(BH40,1,1,1,1))=2,RZ[[#This Row],[Počet MJHR (P0)]],IF((BI40+OFFSET(BI40,1,1,1,1))=2,RZ[[#This Row],[Počet MJHR (P0)]],IF((BJ40+OFFSET(BJ40,1,1,1,1))=2,RZ[[#This Row],[Počet MJHR (P0)]],IF((BK40+OFFSET(BK40,1,1,1,1))=2,RZ[[#This Row],[Počet MJHR (P0)]],IF((BL40+OFFSET(BL40,1,1,1,1))=2,RZ[[#This Row],[Počet MJHR (P0)]],IF((BM40+OFFSET(BM40,1,1,1,1))=2,RZ[[#This Row],[Počet MJHR (P0)]],IF((BN40+OFFSET(BN40,1,1,1,1))=2,RZ[[#This Row],[Počet MJHR (P0)]],IF((BO40+OFFSET(BO40,1,1,1,1))=2,RZ[[#This Row],[Počet MJHR (P0)]],IF((BP40+OFFSET(BP40,1,1,1,1))=2,RZ[[#This Row],[Počet MJHR (P0)]],IF((BQ40+OFFSET(BQ40,1,1,1,1))=2,RZ[[#This Row],[Počet MJHR (P0)]],IF(RZ[[#This Row],[Měrná jednotka CR (MJCR) (P0)]]=RZ[[#This Row],[Měrná jednotka HR '[MJHR'] (P0)]],RZ[[#This Row],[Počet MJHR (P0)]],IF($IW40=$JL$15,JY40,IF($IW40=$KE$15,KR40,IF($IW40=$KX$15,LK40,IF($IW40=$LQ$15,MD40,IF($IW40=$MJ$15,NR40,0))))))))))))))))</f>
        <v>0</v>
      </c>
      <c r="IK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6.8</v>
      </c>
      <c r="IL40" s="145">
        <f ca="1">IF(AND(RZ[[#This Row],[Jednotková cena bez DPH '[cena/MJCR'] (P0)]]=0,RZ[[#This Row],[Indikativní jednotková cena '[CZK/kg'] (P1)]]&lt;&gt;0),1,0)</f>
        <v>1</v>
      </c>
      <c r="IM40" s="217">
        <f ca="1">VLOOKUP(RZ[[#This Row],[Kód položek]],INDIKAT_CENA,2,FALSE)</f>
        <v>145</v>
      </c>
      <c r="IN40" s="222">
        <f ca="1">IF(RZ[[#This Row],[Rozhodný sloupec indikativní ceny]]=1,RZ[[#This Row],[Indikativní jednotková cena '[CZK/kg'] (P1)]],RZ[[#This Row],[Jednotková cena bez DPH '[cena/MJCR'] (P0)]])</f>
        <v>145</v>
      </c>
      <c r="IO40" s="222">
        <f t="shared" si="243"/>
        <v>1</v>
      </c>
      <c r="IP40" s="224">
        <f ca="1">IF(RZ[[#This Row],[Rozhodný sloupec indikativní ceny]]=1,1,IF($IW40=$JL$15,KA40,IF($IW40=$KE$15,KT40,IF($IW40=$KX$15,LM40,IF($IW40=$LQ$15,MF40,IF($IW40=$MJ$15,NT40,0))))))</f>
        <v>1</v>
      </c>
      <c r="IQ40" s="225">
        <f ca="1">IF(RZ[[#This Row],[Jednotková cena bez DPH '[cena/MJCR'] (P1)]]="",0,IF(IP40=0,0,(RZ[[#This Row],[Jednotková cena bez DPH '[cena/MJCR'] (P1)]]*VLOOKUP(IP40,$BR$7:$BT$10,3))))</f>
        <v>145</v>
      </c>
      <c r="IR40" s="737"/>
      <c r="IS40" s="627">
        <f>IF(HY40=0,"",VLOOKUP(RZ[[#This Row],[Stav Projekce (P0)]],Vstupy!$E$11:'Vstupy'!$E$11:$H$17,4,FALSE))</f>
        <v>100</v>
      </c>
      <c r="IT40" s="925" t="str">
        <f>IF(RZ[[#This Row],[Stav Projekce (P0)]]=0,"",RZ[[#This Row],[Stav Projekce (P0)]])</f>
        <v>S</v>
      </c>
      <c r="IU40" s="925" t="str">
        <f>IF(RZ[[#This Row],[Stav Nákup (P0)]]=0,"",RZ[[#This Row],[Stav Nákup (P0)]])</f>
        <v/>
      </c>
      <c r="IV40" s="926" t="str">
        <f t="shared" si="244"/>
        <v/>
      </c>
      <c r="IW40" s="641">
        <v>1</v>
      </c>
      <c r="IX40" s="630"/>
      <c r="IY40" s="264"/>
      <c r="IZ40" s="648"/>
      <c r="JA40" s="100"/>
      <c r="JB40" s="100" t="s">
        <v>816</v>
      </c>
      <c r="JC40" s="100"/>
      <c r="JD40" s="100"/>
      <c r="JE40" s="100"/>
      <c r="JF40" s="100"/>
      <c r="JG40" s="100"/>
      <c r="JH40" s="100"/>
      <c r="JI40" s="100"/>
      <c r="JJ40" s="145" t="s">
        <v>829</v>
      </c>
      <c r="JK40" s="529"/>
      <c r="JL40" s="286"/>
      <c r="JM40" s="100"/>
      <c r="JN40" s="100" t="s">
        <v>817</v>
      </c>
      <c r="JO40" s="145" t="s">
        <v>35</v>
      </c>
      <c r="JP40" s="117">
        <v>2</v>
      </c>
      <c r="JQ40" s="117">
        <v>3.4</v>
      </c>
      <c r="JR40" s="148">
        <v>1</v>
      </c>
      <c r="JS40" s="145" t="s">
        <v>602</v>
      </c>
      <c r="JT40" s="631"/>
      <c r="JU40" s="148"/>
      <c r="JV40" s="154"/>
      <c r="JW40" s="145"/>
      <c r="JX40" s="210"/>
      <c r="JY40" s="117"/>
      <c r="JZ40" s="662"/>
      <c r="KA40" s="145"/>
      <c r="KB40" s="148"/>
      <c r="KC40" s="148"/>
      <c r="KD40" s="644"/>
      <c r="KE40" s="286"/>
      <c r="KF40" s="100"/>
      <c r="KG40" s="100"/>
      <c r="KH40" s="210"/>
      <c r="KI40" s="117"/>
      <c r="KJ40" s="117"/>
      <c r="KK40" s="148"/>
      <c r="KL40" s="145"/>
      <c r="KM40" s="632"/>
      <c r="KN40" s="148"/>
      <c r="KO40" s="154"/>
      <c r="KP40" s="154"/>
      <c r="KQ40" s="210"/>
      <c r="KR40" s="117"/>
      <c r="KS40" s="211"/>
      <c r="KT40" s="145"/>
      <c r="KU40" s="148"/>
      <c r="KV40" s="148"/>
      <c r="KW40" s="265"/>
      <c r="KX40" s="286"/>
      <c r="KY40" s="100"/>
      <c r="KZ40" s="100"/>
      <c r="LA40" s="210"/>
      <c r="LB40" s="117"/>
      <c r="LC40" s="117"/>
      <c r="LD40" s="148"/>
      <c r="LE40" s="145"/>
      <c r="LF40" s="632"/>
      <c r="LG40" s="148"/>
      <c r="LH40" s="154"/>
      <c r="LI40" s="154"/>
      <c r="LJ40" s="154"/>
      <c r="LK40" s="117"/>
      <c r="LL40" s="211"/>
      <c r="LM40" s="210"/>
      <c r="LN40" s="148"/>
      <c r="LO40" s="148"/>
      <c r="LP40" s="265"/>
      <c r="LQ40" s="286"/>
      <c r="LR40" s="100"/>
      <c r="LS40" s="100"/>
      <c r="LT40" s="210"/>
      <c r="LU40" s="117"/>
      <c r="LV40" s="117"/>
      <c r="LW40" s="148"/>
      <c r="LX40" s="145"/>
      <c r="LY40" s="632"/>
      <c r="LZ40" s="148"/>
      <c r="MA40" s="154"/>
      <c r="MB40" s="154"/>
      <c r="MC40" s="145"/>
      <c r="MD40" s="117"/>
      <c r="ME40" s="211"/>
      <c r="MF40" s="210"/>
      <c r="MG40" s="148"/>
      <c r="MH40" s="148"/>
      <c r="MI40" s="265"/>
      <c r="MJ40" s="647"/>
      <c r="MK40" s="264"/>
      <c r="ML40" s="153"/>
      <c r="MM40" s="153"/>
      <c r="MN40" s="153"/>
      <c r="MO40" s="153"/>
      <c r="MP40" s="153"/>
      <c r="MQ40" s="153"/>
      <c r="MR40" s="153"/>
      <c r="MS40" s="99"/>
      <c r="MT40" s="99"/>
      <c r="MU40" s="99"/>
      <c r="MV40" s="99"/>
      <c r="MW40" s="99"/>
      <c r="MX40" s="99"/>
      <c r="MY40" s="153"/>
      <c r="MZ40" s="153"/>
      <c r="NA40" s="153"/>
      <c r="NB40" s="153"/>
      <c r="NC40" s="153"/>
      <c r="ND40" s="153"/>
      <c r="NE40" s="148"/>
      <c r="NF40" s="153"/>
      <c r="NG40" s="153"/>
      <c r="NH40" s="330" t="str">
        <f t="shared" si="245"/>
        <v>ks</v>
      </c>
      <c r="NI40" s="797">
        <f>RZ[[#This Row],[Počet ks (K)]]</f>
        <v>0</v>
      </c>
      <c r="NJ40" s="798">
        <f>RZ[[#This Row],[Hmotnost '[kg/ks'] (K)]]</f>
        <v>0</v>
      </c>
      <c r="NK40" s="148"/>
      <c r="NL40" s="145"/>
      <c r="NM40" s="632"/>
      <c r="NN40" s="148"/>
      <c r="NO40" s="154"/>
      <c r="NP40" s="153"/>
      <c r="NQ40" s="153"/>
      <c r="NR40" s="210"/>
      <c r="NS40" s="148"/>
      <c r="NT40" s="210"/>
      <c r="NU40" s="148"/>
      <c r="NV40" s="148"/>
      <c r="NW40" s="175"/>
    </row>
    <row r="41" spans="2:387" ht="15.95" customHeight="1" x14ac:dyDescent="0.35">
      <c r="B41" s="118" t="str">
        <f t="shared" si="129"/>
        <v/>
      </c>
      <c r="C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1" s="262" t="str">
        <f t="shared" si="130"/>
        <v xml:space="preserve">    Pastorek s cévovým ozubením</v>
      </c>
      <c r="E41" s="120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Row],[Kód položek (P2)]]))))))))))</f>
        <v>STO1</v>
      </c>
      <c r="F41" s="791" t="str">
        <f t="shared" si="131"/>
        <v>N/A</v>
      </c>
      <c r="G41" s="792" t="str">
        <f t="shared" si="132"/>
        <v/>
      </c>
      <c r="H41" s="262" t="str">
        <f t="shared" si="133"/>
        <v>z = 16, m = 2</v>
      </c>
      <c r="I41" s="123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HR '[MJHR'] (P0)]]))))))))))</f>
        <v>ks</v>
      </c>
      <c r="J41" s="123">
        <f t="shared" si="134"/>
        <v>2</v>
      </c>
      <c r="K41" s="793">
        <f>RZ[[#This Row],[Koeficient odhadu HR '[-'] (P1)]]</f>
        <v>1</v>
      </c>
      <c r="L41" s="124">
        <f ca="1">RZ[[#This Row],[Jednotková hmotnost s koef. '[kg/MJHR'] (P0)]]</f>
        <v>0.5</v>
      </c>
      <c r="M41" s="794">
        <f t="shared" ca="1" si="135"/>
        <v>0</v>
      </c>
      <c r="N41" s="125">
        <f t="shared" ca="1" si="136"/>
        <v>1</v>
      </c>
      <c r="O41" s="125">
        <f t="shared" ca="1" si="137"/>
        <v>0</v>
      </c>
      <c r="P41" s="126" t="str">
        <f t="shared" si="138"/>
        <v/>
      </c>
      <c r="Q41" s="795">
        <f ca="1">RZ[[#This Row],[Počet MJHR v rozpadu (P0)]]</f>
        <v>2</v>
      </c>
      <c r="R41" s="439" t="str">
        <f t="shared" si="139"/>
        <v/>
      </c>
      <c r="S41" s="129" t="str">
        <f t="shared" si="140"/>
        <v/>
      </c>
      <c r="T41" s="126" t="str">
        <f t="shared" si="141"/>
        <v/>
      </c>
      <c r="U41" s="126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CR (MJCR) (P0)]]))))))))))</f>
        <v>kg</v>
      </c>
      <c r="V41" s="575">
        <f t="shared" ca="1" si="142"/>
        <v>1</v>
      </c>
      <c r="W41" s="322">
        <f>RZ[[#This Row],[Koeficient odhadu CR '[-'] (P1)]]</f>
        <v>1</v>
      </c>
      <c r="X41" s="440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Row],[Jednotková cena bez DPH '[cena/MJCR'] (P1)]]*RZ[[#This Row],[Koeficient odhadu CR '[-']]]))))))))))</f>
        <v>145</v>
      </c>
      <c r="Y41" s="440">
        <f t="shared" ca="1" si="143"/>
        <v>0</v>
      </c>
      <c r="Z41" s="142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VLOOKUP(IP41,$BR$7:$BS$11,2,FALSE)))))))))))</f>
        <v>CZK</v>
      </c>
      <c r="AA41" s="909">
        <f t="shared" ca="1" si="144"/>
        <v>1</v>
      </c>
      <c r="AB41" s="910">
        <f ca="1">RZ[[#This Row],[Kumulovaný koeficient v rozpadu (P0)]]</f>
        <v>1</v>
      </c>
      <c r="AC41" s="261"/>
      <c r="AD41" s="796">
        <f ca="1">RZ[[#This Row],[Jednotková cena bez DPH '[cena/MJCR'] s koef. (P0)]]/RZ[[#This Row],[Koeficient odhadu CR '[-']]]*RZ[[#This Row],[Kumulovaný koeficient odhadu CR  '[-']]]</f>
        <v>145</v>
      </c>
      <c r="AE41" s="796">
        <f t="shared" ca="1" si="145"/>
        <v>145</v>
      </c>
      <c r="AF41" s="796">
        <f ca="1">-IF(ISNUMBER(AA41),RZ[[#This Row],[Celková cena bez DPH (1)]]-RZ[[#This Row],[Jednotková cena bez DPH '[cena/MJCR'] bez koef. (P0)]]*AA41,0)</f>
        <v>0</v>
      </c>
      <c r="AG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1" s="261"/>
      <c r="AI41" s="796">
        <f t="shared" ca="1" si="146"/>
        <v>5.3703703703703702</v>
      </c>
      <c r="AJ41" s="796">
        <f t="shared" ca="1" si="147"/>
        <v>5.3703703703703702</v>
      </c>
      <c r="AK41" s="796">
        <f t="shared" ca="1" si="148"/>
        <v>0</v>
      </c>
      <c r="AL41" s="753">
        <f ca="1">RZ[[#This Row],[Kilogramová cena bez DPH '[cena/kg'] (1)]]/$AK$13</f>
        <v>5.3703703703703702</v>
      </c>
      <c r="AM41" s="261"/>
      <c r="AN41" s="796">
        <f t="shared" ca="1" si="149"/>
        <v>7.0048309178743962</v>
      </c>
      <c r="AO41" s="796">
        <f t="shared" ca="1" si="150"/>
        <v>7.0048309178743962</v>
      </c>
      <c r="AP41" s="796">
        <f t="shared" ca="1" si="151"/>
        <v>0</v>
      </c>
      <c r="AQ41" s="753">
        <f ca="1">RZ[[#This Row],[Kilogramová cena bez DPH '[cena/kg'] (1)]]/$AP$13</f>
        <v>7.0048309178743962</v>
      </c>
      <c r="AR41" s="261"/>
      <c r="AS41" s="796">
        <f t="shared" ca="1" si="152"/>
        <v>3.9660831509846823</v>
      </c>
      <c r="AT41" s="796">
        <f t="shared" ca="1" si="153"/>
        <v>3.9660831509846823</v>
      </c>
      <c r="AU41" s="789">
        <f t="shared" ca="1" si="154"/>
        <v>0</v>
      </c>
      <c r="AV41" s="767">
        <f ca="1">RZ[[#This Row],[Kilogramová cena bez DPH '[cena/kg'] (1)]]/$AU$13</f>
        <v>3.9660831509846823</v>
      </c>
      <c r="AW41" s="165"/>
      <c r="AX41" s="911">
        <f t="shared" ca="1" si="155"/>
        <v>2</v>
      </c>
      <c r="AY41" s="111">
        <f t="shared" ca="1" si="156"/>
        <v>1</v>
      </c>
      <c r="AZ41" s="111">
        <f t="shared" ca="1" si="157"/>
        <v>18</v>
      </c>
      <c r="BA41" s="111">
        <f t="shared" ca="1" si="158"/>
        <v>0</v>
      </c>
      <c r="BB41" s="111">
        <f t="shared" ca="1" si="159"/>
        <v>0</v>
      </c>
      <c r="BC41" s="111">
        <f t="shared" ca="1" si="160"/>
        <v>0</v>
      </c>
      <c r="BD41" s="111">
        <f t="shared" ca="1" si="161"/>
        <v>0</v>
      </c>
      <c r="BE41" s="111">
        <f t="shared" ca="1" si="162"/>
        <v>0</v>
      </c>
      <c r="BF41" s="111">
        <f t="shared" ca="1" si="163"/>
        <v>0</v>
      </c>
      <c r="BG41" s="112">
        <f t="shared" ca="1" si="164"/>
        <v>0</v>
      </c>
      <c r="BH41" s="911">
        <f t="shared" si="165"/>
        <v>0</v>
      </c>
      <c r="BI41" s="111">
        <f t="shared" si="166"/>
        <v>0</v>
      </c>
      <c r="BJ41" s="111">
        <f t="shared" si="167"/>
        <v>1</v>
      </c>
      <c r="BK41" s="111">
        <f t="shared" si="168"/>
        <v>0</v>
      </c>
      <c r="BL41" s="111">
        <f t="shared" si="169"/>
        <v>0</v>
      </c>
      <c r="BM41" s="111">
        <f t="shared" si="170"/>
        <v>0</v>
      </c>
      <c r="BN41" s="111">
        <f t="shared" si="171"/>
        <v>0</v>
      </c>
      <c r="BO41" s="111">
        <f t="shared" si="172"/>
        <v>0</v>
      </c>
      <c r="BP41" s="111">
        <f t="shared" si="173"/>
        <v>0</v>
      </c>
      <c r="BQ41" s="112">
        <f t="shared" si="174"/>
        <v>0</v>
      </c>
      <c r="BR41" s="132">
        <f ca="1">IF(OFFSET(AY41,1,0,1,1)&lt;&gt;0,RZ[[#This Row],[Koeficient odhadu HR '[-'] (P1)]]*$BH41*SUMIFS(RZ[Úroveň 2 s koef. (P2)],RZ[0],AX41),RZ[[#This Row],[Koeficient odhadu HR '[-'] (P1)]]*$BH41*$IG41)</f>
        <v>0</v>
      </c>
      <c r="BS41" s="186">
        <f ca="1">IF(OFFSET(AY41,1,0,1,1)&lt;&gt;0,$BH41*SUMIFS(RZ[Úroveň 2 bez koef. (P2)],RZ[0],AX41),$BH41*$IG41)</f>
        <v>0</v>
      </c>
      <c r="BT41" s="138">
        <f ca="1">RZ[[#This Row],[Úroveň 2 s koef. (P2a)]]*RZ[[#This Row],[Počet MJHR (P0)]]</f>
        <v>0</v>
      </c>
      <c r="BU41" s="138">
        <f ca="1">RZ[[#This Row],[Úroveň 2 bez koef. (P2a)]]*RZ[[#This Row],[Počet MJHR (P0)]]</f>
        <v>0</v>
      </c>
      <c r="BV41" s="138">
        <f ca="1">IF(OFFSET(AZ41,1,0,1,1)&lt;&gt;0,RZ[[#This Row],[Koeficient odhadu HR '[-'] (P1)]]*$BI41*SUMIFS(RZ[Úroveň 3 s koef. (P2)],RZ[0],AX41,RZ[Úroveň 2 (P0)],AY41),RZ[[#This Row],[Koeficient odhadu HR '[-'] (P1)]]*$BI41*$IG41)</f>
        <v>0</v>
      </c>
      <c r="BW41" s="138">
        <f ca="1">IF(OFFSET(AZ41,1,0,1,1)&lt;&gt;0,$BI41*SUMIFS(RZ[Úroveň 3 bez koef. (P2)],RZ[0],AX41,RZ[Úroveň 2 (P0)],AY41),$BI41*$IG41)</f>
        <v>0</v>
      </c>
      <c r="BX41" s="132">
        <f ca="1">RZ[[#This Row],[Úroveň 3 s koef. (P2a)]]*RZ[[#This Row],[Počet MJHR (P0)]]</f>
        <v>1</v>
      </c>
      <c r="BY41" s="132">
        <f ca="1">RZ[Úroveň 3 bez koef. (P2a)]*RZ[[#This Row],[Počet MJHR (P0)]]</f>
        <v>1</v>
      </c>
      <c r="BZ41" s="132">
        <f ca="1">IF(OFFSET(BA41,1,0,1,1)&lt;&gt;0,RZ[[#This Row],[Koeficient odhadu HR '[-'] (P1)]]*$BJ41*SUMIFS(RZ[Úroveň 4 s koef. (P2)],RZ[0],AX41,RZ[Úroveň 2 (P0)],AY41,RZ[Úroveň 3 (P0)],AZ41),RZ[[#This Row],[Koeficient odhadu HR '[-'] (P1)]]*$BJ41*$IG41)</f>
        <v>0.5</v>
      </c>
      <c r="CA41" s="132">
        <f ca="1">IF(OFFSET(BA41,1,0,1,1)&lt;&gt;0,$BJ41*SUMIFS(RZ[Úroveň 4 bez koef. (P2)],RZ[0],AX41,RZ[Úroveň 2 (P0)],AY41,RZ[Úroveň 3 (P0)],AZ41),$BJ41*$IG41)</f>
        <v>0.5</v>
      </c>
      <c r="CB41" s="138">
        <f ca="1">RZ[[#This Row],[Úroveň 4 s koef. (P2a)]]*RZ[[#This Row],[Počet MJHR (P0)]]</f>
        <v>0</v>
      </c>
      <c r="CC41" s="138">
        <f ca="1">RZ[Úroveň 4 bez koef. (P2a)]*RZ[[#This Row],[Počet MJHR (P0)]]</f>
        <v>0</v>
      </c>
      <c r="CD41" s="138">
        <f ca="1">IF(OFFSET(BB41,1,0,1,1)&lt;&gt;0,RZ[[#This Row],[Koeficient odhadu HR '[-'] (P1)]]*$BK41*SUMIFS(RZ[Úroveň 5 s koef. (P2)],RZ[0],AX41,RZ[Úroveň 2 (P0)],AY41,RZ[Úroveň 3 (P0)],AZ41,RZ[Úroveň 4 (P0)],BA41),RZ[[#This Row],[Koeficient odhadu HR '[-'] (P1)]]*$BK41*$IG41)</f>
        <v>0</v>
      </c>
      <c r="CE41" s="138">
        <f ca="1">IF(OFFSET(BB41,1,0,1,1)&lt;&gt;0,$BK41*SUMIFS(RZ[Úroveň 5 bez koef. (P2)],RZ[0],AX41,RZ[Úroveň 2 (P0)],AY41,RZ[Úroveň 3 (P0)],AZ41,RZ[Úroveň 4 (P0)],BA41),$BK41*$IG41)</f>
        <v>0</v>
      </c>
      <c r="CF41" s="132">
        <f ca="1">RZ[[#This Row],[Úroveň 5 s koef. (P2a)]]*RZ[[#This Row],[Počet MJHR (P0)]]</f>
        <v>0</v>
      </c>
      <c r="CG41" s="132">
        <f ca="1">RZ[Úroveň 5 bez koef. (P2a)]*RZ[[#This Row],[Počet MJHR (P0)]]</f>
        <v>0</v>
      </c>
      <c r="CH41" s="132">
        <f ca="1">IF(OFFSET(BC41,1,0,1,1)&lt;&gt;0,RZ[[#This Row],[Koeficient odhadu HR '[-'] (P1)]]*$BL41*SUMIFS(RZ[Úroveň 6 s koef. (P2)],RZ[0],AX41,RZ[Úroveň 2 (P0)],AY41,RZ[Úroveň 3 (P0)],AZ41,RZ[Úroveň 4 (P0)],BA41,RZ[Úroveň 5 (P0)],BB41),RZ[[#This Row],[Koeficient odhadu HR '[-'] (P1)]]*$BL41*$IG41)</f>
        <v>0</v>
      </c>
      <c r="CI41" s="132">
        <f ca="1">IF(OFFSET(BC41,1,0,1,1)&lt;&gt;0,$BL41*SUMIFS(RZ[Úroveň 6 bez koef. (P2)],RZ[0],AX41,RZ[Úroveň 2 (P0)],AY41,RZ[Úroveň 3 (P0)],AZ41,RZ[Úroveň 4 (P0)],BA41,RZ[Úroveň 5 (P0)],BB41),$BL41*$IG41)</f>
        <v>0</v>
      </c>
      <c r="CJ41" s="138">
        <f ca="1">RZ[[#This Row],[Úroveň 6 s koef. (P2a)]]*RZ[[#This Row],[Počet MJHR (P0)]]</f>
        <v>0</v>
      </c>
      <c r="CK41" s="138">
        <f ca="1">RZ[Úroveň 6 bez koef. (P2a)]*RZ[[#This Row],[Počet MJHR (P0)]]</f>
        <v>0</v>
      </c>
      <c r="CL41" s="138">
        <f ca="1">IF(OFFSET(BD41,1,0,1,1)&lt;&gt;0,RZ[[#This Row],[Koeficient odhadu HR '[-'] (P1)]]*$BM41*SUMIFS(RZ[Úroveň 7 s koef. (P2)],RZ[0],AX41,RZ[Úroveň 2 (P0)],AY41,RZ[Úroveň 3 (P0)],AZ41,RZ[Úroveň 4 (P0)],BA41,RZ[Úroveň 5 (P0)],BB41,RZ[Úroveň 6 (P0)],BC41),RZ[[#This Row],[Koeficient odhadu HR '[-'] (P1)]]*$BM41*$IG41)</f>
        <v>0</v>
      </c>
      <c r="CM41" s="138">
        <f ca="1">IF(OFFSET(BD41,1,0,1,1)&lt;&gt;0,$BM41*SUMIFS(RZ[Úroveň 7 bez koef. (P2)],RZ[0],AX41,RZ[Úroveň 2 (P0)],AY41,RZ[Úroveň 3 (P0)],AZ41,RZ[Úroveň 4 (P0)],BA41,RZ[Úroveň 5 (P0)],BB41,RZ[Úroveň 6 (P0)],BC41),$BM41*$IG41)</f>
        <v>0</v>
      </c>
      <c r="CN41" s="132">
        <f ca="1">RZ[[#This Row],[Úroveň 7 s koef. (P2a)]]*RZ[[#This Row],[Počet MJHR (P0)]]</f>
        <v>0</v>
      </c>
      <c r="CO41" s="132">
        <f ca="1">RZ[Úroveň 7 bez koef. (P2a)]*RZ[[#This Row],[Počet MJHR (P0)]]</f>
        <v>0</v>
      </c>
      <c r="CP41" s="132">
        <f ca="1">IF(OFFSET(BE41,1,0,1,1)&lt;&gt;0,RZ[[#This Row],[Koeficient odhadu HR '[-'] (P1)]]*$BN41*SUMIFS(RZ[Úroveň 8 s koef. (P2)],RZ[0],AX41,RZ[Úroveň 2 (P0)],AY41,RZ[Úroveň 3 (P0)],AZ41,RZ[Úroveň 4 (P0)],BA41,RZ[Úroveň 5 (P0)],BB41,RZ[Úroveň 6 (P0)],BC41,RZ[Úroveň 7 (P0)],BD41),RZ[[#This Row],[Koeficient odhadu HR '[-'] (P1)]]*$BN41*$IG41)</f>
        <v>0</v>
      </c>
      <c r="CQ41" s="132">
        <f ca="1">IF(OFFSET(BE41,1,0,1,1)&lt;&gt;0,$BN41*SUMIFS(RZ[Úroveň 8 bez koef. (P2)],RZ[0],AX41,RZ[Úroveň 2 (P0)],AY41,RZ[Úroveň 3 (P0)],AZ41,RZ[Úroveň 4 (P0)],BA41,RZ[Úroveň 5 (P0)],BB41,RZ[Úroveň 6 (P0)],BC41,RZ[Úroveň 7 (P0)],BD41),$BN41*$IG41)</f>
        <v>0</v>
      </c>
      <c r="CR41" s="138">
        <f ca="1">RZ[[#This Row],[Úroveň 8 s koef. (P2a)]]*RZ[[#This Row],[Počet MJHR (P0)]]</f>
        <v>0</v>
      </c>
      <c r="CS41" s="138">
        <f ca="1">RZ[Úroveň 8 bez koef. (P2a)]*RZ[[#This Row],[Počet MJHR (P0)]]</f>
        <v>0</v>
      </c>
      <c r="CT41" s="138">
        <f ca="1">IF(OFFSET(BF41,1,0,1,1)&lt;&gt;0,RZ[[#This Row],[Koeficient odhadu HR '[-'] (P1)]]*$BO41*SUMIFS(RZ[Úroveň 9 s koef. (P2)],RZ[0],AX41,RZ[Úroveň 2 (P0)],AY41,RZ[Úroveň 3 (P0)],AZ41,RZ[Úroveň 4 (P0)],BA41,RZ[Úroveň 5 (P0)],BB41,RZ[Úroveň 6 (P0)],BC41,RZ[Úroveň 7 (P0)],BD41,RZ[Úroveň 8 (P0)],BE41),RZ[[#This Row],[Koeficient odhadu HR '[-'] (P1)]]*$BO41*$IG41)</f>
        <v>0</v>
      </c>
      <c r="CU41" s="138">
        <f ca="1">IF(OFFSET(BF41,1,0,1,1)&lt;&gt;0,$BO41*SUMIFS(RZ[Úroveň 9 bez koef. (P2)],RZ[0],AX41,RZ[Úroveň 2 (P0)],AY41,RZ[Úroveň 3 (P0)],AZ41,RZ[Úroveň 4 (P0)],BA41,RZ[Úroveň 5 (P0)],BB41,RZ[Úroveň 6 (P0)],BC41,RZ[Úroveň 7 (P0)],BD41,RZ[Úroveň 8 (P0)],BE41),$BO41*$IG41)</f>
        <v>0</v>
      </c>
      <c r="CV41" s="132">
        <f ca="1">RZ[[#This Row],[Úroveň 9 s koef. (P2a)]]*RZ[[#This Row],[Počet MJHR (P0)]]</f>
        <v>0</v>
      </c>
      <c r="CW41" s="132">
        <f ca="1">RZ[Úroveň 9 bez koef. (P2a)]*RZ[[#This Row],[Počet MJHR (P0)]]</f>
        <v>0</v>
      </c>
      <c r="CX41" s="132">
        <f ca="1">IF(OFFSET(BG41,1,0,1,1)&lt;&gt;0,RZ[[#This Row],[Koeficient odhadu HR '[-'] (P1)]]*$BP41*SUMIFS(RZ[Úroveň 10 s koef. (P2)],RZ[0],AX41,RZ[Úroveň 2 (P0)],AY41,RZ[Úroveň 3 (P0)],AZ41,RZ[Úroveň 4 (P0)],BA41,RZ[Úroveň 5 (P0)],BB41,RZ[Úroveň 6 (P0)],BC41,RZ[Úroveň 7 (P0)],BD41,RZ[Úroveň 8 (P0)],BE41,RZ[Úroveň 9 (P0)],BF41),RZ[[#This Row],[Koeficient odhadu HR '[-'] (P1)]]*$BP41*$IG41)</f>
        <v>0</v>
      </c>
      <c r="CY41" s="132">
        <f ca="1">IF(OFFSET(BG41,1,0,1,1)&lt;&gt;0,$BP41*SUMIFS(RZ[Úroveň 10 bez koef. (P2)],RZ[0],AX41,RZ[Úroveň 2 (P0)],AY41,RZ[Úroveň 3 (P0)],AZ41,RZ[Úroveň 4 (P0)],BA41,RZ[Úroveň 5 (P0)],BB41,RZ[Úroveň 6 (P0)],BC41,RZ[Úroveň 7 (P0)],BD41,RZ[Úroveň 8 (P0)],BE41,RZ[Úroveň 9 (P0)],BF41),$BP41*$IG41)</f>
        <v>0</v>
      </c>
      <c r="CZ41" s="138">
        <f>RZ[[#This Row],[Úroveň 10 s koef. (P2a)]]*RZ[[#This Row],[Počet MJHR (P0)]]</f>
        <v>0</v>
      </c>
      <c r="DA41" s="138">
        <f>RZ[Úroveň 10 bez koef. (P2a)]*RZ[[#This Row],[Počet MJHR (P0)]]</f>
        <v>0</v>
      </c>
      <c r="DB41" s="138">
        <f>RZ[[#This Row],[Koeficient odhadu HR '[-'] (P1)]]*$BQ41*IG41</f>
        <v>0</v>
      </c>
      <c r="DC41" s="231">
        <f t="shared" si="175"/>
        <v>0</v>
      </c>
      <c r="DD41" s="241">
        <f t="shared" ca="1" si="176"/>
        <v>0.5</v>
      </c>
      <c r="DE41" s="229">
        <f t="shared" ca="1" si="177"/>
        <v>0.5</v>
      </c>
      <c r="DF41" s="912">
        <f t="shared" si="178"/>
        <v>0</v>
      </c>
      <c r="DG41" s="913">
        <f t="shared" si="179"/>
        <v>0</v>
      </c>
      <c r="DH41" s="913">
        <f t="shared" si="180"/>
        <v>2</v>
      </c>
      <c r="DI41" s="913">
        <f t="shared" si="181"/>
        <v>0</v>
      </c>
      <c r="DJ41" s="913">
        <f t="shared" si="182"/>
        <v>0</v>
      </c>
      <c r="DK41" s="913">
        <f t="shared" si="183"/>
        <v>0</v>
      </c>
      <c r="DL41" s="913">
        <f t="shared" si="184"/>
        <v>0</v>
      </c>
      <c r="DM41" s="913">
        <f t="shared" si="185"/>
        <v>0</v>
      </c>
      <c r="DN41" s="913">
        <f t="shared" si="186"/>
        <v>0</v>
      </c>
      <c r="DO41" s="913">
        <f t="shared" si="187"/>
        <v>0</v>
      </c>
      <c r="DP41" s="914">
        <f ca="1">SUMIFS(RZ[Úroveň 1 (P4)],RZ[0],AX41)</f>
        <v>1</v>
      </c>
      <c r="DQ41" s="914">
        <f ca="1">SUMIFS(RZ[Úroveň 2 (P4)],RZ[0],AX41,RZ[Úroveň 2 (P0)],AY41)</f>
        <v>1</v>
      </c>
      <c r="DR41" s="914">
        <f ca="1">SUMIFS(RZ[Úroveň 3 (P4)],RZ[0],AX41,RZ[Úroveň 2 (P0)],AY41,RZ[Úroveň 3 (P0)],AZ41)</f>
        <v>2</v>
      </c>
      <c r="DS41" s="914">
        <f ca="1">SUMIFS(RZ[Úroveň 4 (P4)],RZ[0],AX41,RZ[Úroveň 2 (P0)],AY41,RZ[Úroveň 3 (P0)],AZ41,RZ[Úroveň 4 (P0)],BA41)</f>
        <v>0</v>
      </c>
      <c r="DT41" s="914">
        <f ca="1">SUMIFS(RZ[Úroveň 5 (P4)],RZ[0],AX41,RZ[Úroveň 2 (P0)],AY41,RZ[Úroveň 3 (P0)],AZ41,RZ[Úroveň 4 (P0)],BA41,RZ[Úroveň 5 (P0)],BB41)</f>
        <v>0</v>
      </c>
      <c r="DU41" s="914">
        <f ca="1">SUMIFS(RZ[Úroveň 6 (P4)],RZ[0],AX41,RZ[Úroveň 2 (P0)],AY41,RZ[Úroveň 3 (P0)],AZ41,RZ[Úroveň 4 (P0)],BA41,RZ[Úroveň 5 (P0)],BB41,RZ[Úroveň 6 (P0)],BC41)</f>
        <v>0</v>
      </c>
      <c r="DV41" s="914">
        <f ca="1">SUMIFS(RZ[Úroveň 7 (P4)],RZ[0],AX41,RZ[Úroveň 2 (P0)],AY41,RZ[Úroveň 3 (P0)],AZ41,RZ[Úroveň 4 (P0)],BA41,RZ[Úroveň 5 (P0)],BB41,RZ[Úroveň 6 (P0)],BC41,RZ[Úroveň 7 (P0)],BD41)</f>
        <v>0</v>
      </c>
      <c r="DW41" s="914">
        <f ca="1">SUMIFS(RZ[Úroveň 8 (P4)],RZ[0],AX41,RZ[Úroveň 2 (P0)],AY41,RZ[Úroveň 3 (P0)],AZ41,RZ[Úroveň 4 (P0)],BA41,RZ[Úroveň 5 (P0)],BB41,RZ[Úroveň 6 (P0)],BC41,RZ[Úroveň 7 (P0)],BD41,RZ[Úroveň 8 (P0)],BE41)</f>
        <v>0</v>
      </c>
      <c r="DX41" s="914">
        <f ca="1">SUMIFS(RZ[Úroveň 9 (P4)],RZ[0],AX41,RZ[Úroveň 2 (P0)],AY41,RZ[Úroveň 3 (P0)],AZ41,RZ[Úroveň 4 (P0)],BA41,RZ[Úroveň 5 (P0)],BB41,RZ[Úroveň 6 (P0)],BC41,RZ[Úroveň 7 (P0)],BD41,RZ[Úroveň 8 (P0)],BE41,RZ[Úroveň 9 (P0)],BF41)</f>
        <v>0</v>
      </c>
      <c r="DY41" s="914">
        <f ca="1">SUMIFS(RZ[Úroveň 10 (P4)],RZ[0],AX41,RZ[Úroveň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DZ41" s="915">
        <f t="shared" ca="1" si="188"/>
        <v>2</v>
      </c>
      <c r="EA41" s="916">
        <f ca="1">RZ[[#This Row],[Jednotková hmotnost bez koef. '[kg/MJHR'] (P0)]]*RZ[[#This Row],[Počet MJHR v rozpadu (P0)]]</f>
        <v>1</v>
      </c>
      <c r="EB41" s="917">
        <f ca="1">IF(OFFSET(AY41,1,0,1,1)&lt;&gt;0,RZ[[#This Row],[Koeficient odhadu CR '[-'] (P1)]]*$BH41*SUMIFS(RZ[Úroveň 2 s koef. (P3)],RZ[0],AX41),RZ[[#This Row],[Koeficient odhadu CR '[-'] (P1)]]*$BH41*$IQ41)</f>
        <v>0</v>
      </c>
      <c r="EC41" s="191">
        <f ca="1">IF(OFFSET(AY41,1,0,1,1)&lt;&gt;0,$BH41*SUMIFS(RZ[Úroveň 2 bez koef. (P3)],RZ[0],AX41),$BH41*$IQ41)</f>
        <v>0</v>
      </c>
      <c r="ED41" s="140">
        <f ca="1">RZ[[#This Row],[Úroveň 2 s koef. (P3a)]]*RZ[[#This Row],[Počet MJCR (P0) pro "kg"]]</f>
        <v>0</v>
      </c>
      <c r="EE41" s="140">
        <f ca="1">RZ[Úroveň 2 bez koef. (P3a)]*RZ[[#This Row],[Počet MJCR (P0) pro "kg"]]</f>
        <v>0</v>
      </c>
      <c r="EF41" s="140">
        <f ca="1">IF(OFFSET(AZ41,1,0,1,1)&lt;&gt;0,RZ[[#This Row],[Koeficient odhadu CR '[-'] (P1)]]*$BI41*SUMIFS(RZ[Úroveň 3 s koef. (P3)],RZ[0],AX41,RZ[Úroveň 2 (P0)],AY41),RZ[[#This Row],[Koeficient odhadu CR '[-'] (P1)]]*$BI41*$IQ41)</f>
        <v>0</v>
      </c>
      <c r="EG41" s="140">
        <f ca="1">IF(OFFSET(AZ41,1,0,1,1)&lt;&gt;0,$BI41*SUMIFS(RZ[Úroveň 3 bez koef. (P3)],RZ[0],AX41,RZ[Úroveň 2 (P0)],AY41),$BI41*$IQ41)</f>
        <v>0</v>
      </c>
      <c r="EH41" s="135">
        <f ca="1">RZ[[#This Row],[Úroveň 3 s koef. (P3a)]]*RZ[[#This Row],[Počet MJCR (P0) pro "kg"]]</f>
        <v>145</v>
      </c>
      <c r="EI41" s="135">
        <f ca="1">RZ[Úroveň 3 bez koef. (P3a)]*RZ[[#This Row],[Počet MJCR (P0) pro "kg"]]</f>
        <v>145</v>
      </c>
      <c r="EJ41" s="135">
        <f ca="1">IF(OFFSET(BA41,1,0,1,1)&lt;&gt;0,RZ[[#This Row],[Koeficient odhadu CR '[-'] (P1)]]*$BJ41*SUMIFS(RZ[Úroveň 4 s koef. (P3)],RZ[0],AX41,RZ[Úroveň 2 (P0)],AY41,RZ[Úroveň 3 (P0)],AZ41),RZ[[#This Row],[Koeficient odhadu CR '[-'] (P1)]]*$BJ41*$IQ41)</f>
        <v>145</v>
      </c>
      <c r="EK41" s="135">
        <f ca="1">IF(OFFSET(BA41,1,0,1,1)&lt;&gt;0,$BJ41*SUMIFS(RZ[Úroveň 4 bez koef. (P3)],RZ[0],AX41,RZ[Úroveň 2 (P0)],AY41,RZ[Úroveň 3 (P0)],AZ41),$BJ41*$IQ41)</f>
        <v>145</v>
      </c>
      <c r="EL41" s="140">
        <f ca="1">RZ[[#This Row],[Úroveň 4 s koef. (P3a)]]*RZ[[#This Row],[Počet MJCR (P0) pro "kg"]]</f>
        <v>0</v>
      </c>
      <c r="EM41" s="140">
        <f ca="1">RZ[Úroveň 4 bez koef. (P3a)]*RZ[[#This Row],[Počet MJCR (P0) pro "kg"]]</f>
        <v>0</v>
      </c>
      <c r="EN41" s="140">
        <f ca="1">IF(OFFSET(BB41,1,0,1,1)&lt;&gt;0,RZ[[#This Row],[Koeficient odhadu CR '[-'] (P1)]]*$BK41*SUMIFS(RZ[Úroveň 5 s koef. (P3)],RZ[0],AX41,RZ[Úroveň 2 (P0)],AY41,RZ[Úroveň 3 (P0)],AZ41,RZ[Úroveň 4 (P0)],BA41),RZ[[#This Row],[Koeficient odhadu CR '[-'] (P1)]]*$BK41*$IQ41)</f>
        <v>0</v>
      </c>
      <c r="EO41" s="140">
        <f ca="1">IF(OFFSET(BB41,1,0,1,1)&lt;&gt;0,$BK41*SUMIFS(RZ[Úroveň 5 bez koef. (P3)],RZ[0],AX41,RZ[Úroveň 2 (P0)],AY41,RZ[Úroveň 3 (P0)],AZ41,RZ[Úroveň 4 (P0)],BA41),$BK41*$IQ41)</f>
        <v>0</v>
      </c>
      <c r="EP41" s="135">
        <f ca="1">RZ[[#This Row],[Úroveň 5 s koef. (P3a)]]*RZ[[#This Row],[Počet MJCR (P0) pro "kg"]]</f>
        <v>0</v>
      </c>
      <c r="EQ41" s="135">
        <f ca="1">RZ[Úroveň 5 bez koef. (P3a)]*RZ[[#This Row],[Počet MJCR (P0) pro "kg"]]</f>
        <v>0</v>
      </c>
      <c r="ER41" s="135">
        <f ca="1">IF(OFFSET(BC41,1,0,1,1)&lt;&gt;0,RZ[[#This Row],[Koeficient odhadu CR '[-'] (P1)]]*$BL41*SUMIFS(RZ[Úroveň 6 s koef. (P3)],RZ[0],AX41,RZ[Úroveň 2 (P0)],AY41,RZ[Úroveň 3 (P0)],AZ41,RZ[Úroveň 4 (P0)],BA41,RZ[Úroveň 5 (P0)],BB41),RZ[[#This Row],[Koeficient odhadu CR '[-'] (P1)]]*$BL41*$IQ41)</f>
        <v>0</v>
      </c>
      <c r="ES41" s="135">
        <f ca="1">IF(OFFSET(BC41,1,0,1,1)&lt;&gt;0,$BL41*SUMIFS(RZ[Úroveň 6 bez koef. (P3)],RZ[0],AX41,RZ[Úroveň 2 (P0)],AY41,RZ[Úroveň 3 (P0)],AZ41,RZ[Úroveň 4 (P0)],BA41,RZ[Úroveň 5 (P0)],BB41),$BL41*$IQ41)</f>
        <v>0</v>
      </c>
      <c r="ET41" s="140">
        <f ca="1">RZ[[#This Row],[Úroveň 6 s koef. (P3a)]]*RZ[[#This Row],[Počet MJCR (P0) pro "kg"]]</f>
        <v>0</v>
      </c>
      <c r="EU41" s="140">
        <f ca="1">RZ[Úroveň 6 bez koef. (P3a)]*RZ[[#This Row],[Počet MJCR (P0) pro "kg"]]</f>
        <v>0</v>
      </c>
      <c r="EV41" s="140">
        <f ca="1">IF(OFFSET(BD41,1,0,1,1)&lt;&gt;0,RZ[[#This Row],[Koeficient odhadu CR '[-'] (P1)]]*$BM41*SUMIFS(RZ[Úroveň 7 s koef. (P3)],RZ[0],AX41,RZ[Úroveň 2 (P0)],AY41,RZ[Úroveň 3 (P0)],AZ41,RZ[Úroveň 4 (P0)],BA41,RZ[Úroveň 5 (P0)],BB41,RZ[Úroveň 6 (P0)],BC41),RZ[[#This Row],[Koeficient odhadu CR '[-'] (P1)]]*$BM41*$IQ41)</f>
        <v>0</v>
      </c>
      <c r="EW41" s="140">
        <f ca="1">IF(OFFSET(BD41,1,0,1,1)&lt;&gt;0,$BM41*SUMIFS(RZ[Úroveň 7 bez koef. (P3)],RZ[0],AX41,RZ[Úroveň 2 (P0)],AY41,RZ[Úroveň 3 (P0)],AZ41,RZ[Úroveň 4 (P0)],BA41,RZ[Úroveň 5 (P0)],BB41,RZ[Úroveň 6 (P0)],BC41),$BM41*$IQ41)</f>
        <v>0</v>
      </c>
      <c r="EX41" s="135">
        <f ca="1">RZ[[#This Row],[Úroveň 7 s koef. (P3a)]]*RZ[[#This Row],[Počet MJCR (P0) pro "kg"]]</f>
        <v>0</v>
      </c>
      <c r="EY41" s="135">
        <f ca="1">RZ[Úroveň 7 bez koef. (P3a)]*RZ[[#This Row],[Počet MJCR (P0) pro "kg"]]</f>
        <v>0</v>
      </c>
      <c r="EZ41" s="135">
        <f ca="1">IF(OFFSET(BE41,1,0,1,1)&lt;&gt;0,RZ[[#This Row],[Koeficient odhadu CR '[-'] (P1)]]*$BN41*SUMIFS(RZ[Úroveň 8 s koef. (P3)],RZ[0],AX41,RZ[Úroveň 2 (P0)],AY41,RZ[Úroveň 3 (P0)],AZ41,RZ[Úroveň 4 (P0)],BA41,RZ[Úroveň 5 (P0)],BB41,RZ[Úroveň 6 (P0)],BC41,RZ[Úroveň 7 (P0)],BD41),RZ[[#This Row],[Koeficient odhadu CR '[-'] (P1)]]*$BN41*$IQ41)</f>
        <v>0</v>
      </c>
      <c r="FA41" s="135">
        <f ca="1">IF(OFFSET(BE41,1,0,1,1)&lt;&gt;0,$BN41*SUMIFS(RZ[Úroveň 8 bez koef. (P3)],RZ[0],AX41,RZ[Úroveň 2 (P0)],AY41,RZ[Úroveň 3 (P0)],AZ41,RZ[Úroveň 4 (P0)],BA41,RZ[Úroveň 5 (P0)],BB41,RZ[Úroveň 6 (P0)],BC41,RZ[Úroveň 7 (P0)],BD41),$BN41*$IQ41)</f>
        <v>0</v>
      </c>
      <c r="FB41" s="140">
        <f ca="1">RZ[[#This Row],[Úroveň 8 s koef. (P3a)]]*RZ[[#This Row],[Počet MJCR (P0) pro "kg"]]</f>
        <v>0</v>
      </c>
      <c r="FC41" s="140">
        <f ca="1">RZ[Úroveň 8 bez koef. (P3a)]*RZ[[#This Row],[Počet MJCR (P0) pro "kg"]]</f>
        <v>0</v>
      </c>
      <c r="FD41" s="140">
        <f ca="1">IF(OFFSET(BF41,1,0,1,1)&lt;&gt;0,RZ[[#This Row],[Koeficient odhadu CR '[-'] (P1)]]*$BO41*SUMIFS(RZ[Úroveň 9 s koef. (P3)],RZ[0],AX41,RZ[Úroveň 2 (P0)],AY41,RZ[Úroveň 3 (P0)],AZ41,RZ[Úroveň 4 (P0)],BA41,RZ[Úroveň 5 (P0)],BB41,RZ[Úroveň 6 (P0)],BC41,RZ[Úroveň 7 (P0)],BD41,RZ[Úroveň 8 (P0)],BE41),RZ[[#This Row],[Koeficient odhadu CR '[-'] (P1)]]*$BO41*$IQ41)</f>
        <v>0</v>
      </c>
      <c r="FE41" s="140">
        <f ca="1">IF(OFFSET(BF41,1,0,1,1)&lt;&gt;0,$BO41*SUMIFS(RZ[Úroveň 9 bez koef. (P3)],RZ[0],AX41,RZ[Úroveň 2 (P0)],AY41,RZ[Úroveň 3 (P0)],AZ41,RZ[Úroveň 4 (P0)],BA41,RZ[Úroveň 5 (P0)],BB41,RZ[Úroveň 6 (P0)],BC41,RZ[Úroveň 7 (P0)],BD41,RZ[Úroveň 8 (P0)],BE41),$BO41*$IQ41)</f>
        <v>0</v>
      </c>
      <c r="FF41" s="135">
        <f ca="1">RZ[[#This Row],[Úroveň 9 s koef. (P3a)]]*RZ[[#This Row],[Počet MJCR (P0) pro "kg"]]</f>
        <v>0</v>
      </c>
      <c r="FG41" s="135">
        <f ca="1">RZ[Úroveň 9 bez koef. (P3a)]*RZ[[#This Row],[Počet MJCR (P0) pro "kg"]]</f>
        <v>0</v>
      </c>
      <c r="FH41" s="135">
        <f ca="1">IF(OFFSET(BG41,1,0,1,1)&lt;&gt;0,RZ[[#This Row],[Koeficient odhadu CR '[-'] (P1)]]*$BP41*SUMIFS(RZ[Úroveň 10 s koef. (P3)],RZ[0],AX41,RZ[Úroveň 2 (P0)],AY41,RZ[Úroveň 3 (P0)],AZ41,RZ[Úroveň 4 (P0)],BA41,RZ[Úroveň 5 (P0)],BB41,RZ[Úroveň 6 (P0)],BC41,RZ[Úroveň 7 (P0)],BD41,RZ[Úroveň 8 (P0)],BE41,RZ[Úroveň 9 (P0)],BF41),RZ[[#This Row],[Koeficient odhadu CR '[-'] (P1)]]*$BP41*$IQ41)</f>
        <v>0</v>
      </c>
      <c r="FI41" s="135">
        <f ca="1">IF(OFFSET(BG41,1,0,1,1)&lt;&gt;0,$BP41*SUMIFS(RZ[Úroveň 10 bez koef. (P3)],RZ[0],AX41,RZ[Úroveň 2 (P0)],AY41,RZ[Úroveň 3 (P0)],AZ41,RZ[Úroveň 4 (P0)],BA41,RZ[Úroveň 5 (P0)],BB41,RZ[Úroveň 6 (P0)],BC41,RZ[Úroveň 7 (P0)],BD41,RZ[Úroveň 8 (P0)],BE41,RZ[Úroveň 9 (P0)],BF41),$BP41*$IQ41)</f>
        <v>0</v>
      </c>
      <c r="FJ41" s="140">
        <f ca="1">RZ[[#This Row],[Úroveň 10 s koef. (P3a)]]*RZ[[#This Row],[Počet MJCR (P0) pro "kg"]]</f>
        <v>0</v>
      </c>
      <c r="FK41" s="140">
        <f ca="1">RZ[Úroveň 10 bez koef. (P3a)]*RZ[[#This Row],[Počet MJCR (P0) pro "kg"]]</f>
        <v>0</v>
      </c>
      <c r="FL41" s="140">
        <f ca="1">RZ[[#This Row],[Koeficient odhadu CR '[-'] (P1)]]*$BQ41*IQ41</f>
        <v>0</v>
      </c>
      <c r="FM41" s="236">
        <f t="shared" ca="1" si="189"/>
        <v>0</v>
      </c>
      <c r="FN41" s="194">
        <f t="shared" ca="1" si="190"/>
        <v>145</v>
      </c>
      <c r="FO41" s="238">
        <f t="shared" ca="1" si="191"/>
        <v>145</v>
      </c>
      <c r="FP41" s="135">
        <f t="shared" ca="1" si="192"/>
        <v>0</v>
      </c>
      <c r="FQ41" s="135">
        <f t="shared" ca="1" si="193"/>
        <v>0</v>
      </c>
      <c r="FR41" s="135">
        <f t="shared" ca="1" si="194"/>
        <v>1</v>
      </c>
      <c r="FS41" s="135">
        <f t="shared" ca="1" si="195"/>
        <v>0</v>
      </c>
      <c r="FT41" s="135">
        <f t="shared" ca="1" si="196"/>
        <v>0</v>
      </c>
      <c r="FU41" s="135">
        <f t="shared" ca="1" si="197"/>
        <v>0</v>
      </c>
      <c r="FV41" s="135">
        <f t="shared" ca="1" si="198"/>
        <v>0</v>
      </c>
      <c r="FW41" s="135">
        <f t="shared" ca="1" si="199"/>
        <v>0</v>
      </c>
      <c r="FX41" s="135">
        <f t="shared" ca="1" si="200"/>
        <v>0</v>
      </c>
      <c r="FY41" s="135">
        <f t="shared" ca="1" si="201"/>
        <v>0</v>
      </c>
      <c r="FZ41" s="140">
        <f ca="1">SUMIFS(RZ[Úroveň 1 (P6)],RZ[0],AX41)</f>
        <v>1</v>
      </c>
      <c r="GA41" s="140">
        <f ca="1">SUMIFS(RZ[Úroveň 2 (P6)],RZ[0],AX41,RZ[Úroveň 2 (P0)],AY41)</f>
        <v>1</v>
      </c>
      <c r="GB41" s="140">
        <f ca="1">SUMIFS(RZ[Úroveň 3 (P6)],RZ[0],AX41,RZ[Úroveň 2 (P0)],AY41,RZ[Úroveň 3 (P0)],AZ41)</f>
        <v>1</v>
      </c>
      <c r="GC41" s="140">
        <f ca="1">SUMIFS(RZ[Úroveň 4 (P6)],RZ[0],AX41,RZ[Úroveň 2 (P0)],AY41,RZ[Úroveň 3 (P0)],AZ41,RZ[Úroveň 4 (P0)],BA41)</f>
        <v>0</v>
      </c>
      <c r="GD41" s="140">
        <f ca="1">SUMIFS(RZ[Úroveň 5 (P6)],RZ[0],AX41,RZ[Úroveň 2 (P0)],AY41,RZ[Úroveň 3 (P0)],AZ41,RZ[Úroveň 4 (P0)],BA41,RZ[Úroveň 5 (P0)],BB41)</f>
        <v>0</v>
      </c>
      <c r="GE41" s="140">
        <f ca="1">SUMIFS(RZ[Úroveň 6 (P6)],RZ[0],AX41,RZ[Úroveň 2 (P0)],AY41,RZ[Úroveň 3 (P0)],AZ41,RZ[Úroveň 4 (P0)],BA41,RZ[Úroveň 5 (P0)],BB41,RZ[Úroveň 6 (P0)],BC41)</f>
        <v>0</v>
      </c>
      <c r="GF41" s="140">
        <f ca="1">SUMIFS(RZ[Úroveň 7 (P6)],RZ[0],AX41,RZ[Úroveň 2 (P0)],AY41,RZ[Úroveň 3 (P0)],AZ41,RZ[Úroveň 4 (P0)],BA41,RZ[Úroveň 5 (P0)],BB41,RZ[Úroveň 6 (P0)],BC41,RZ[Úroveň 7 (P0)],BD41)</f>
        <v>0</v>
      </c>
      <c r="GG41" s="140">
        <f ca="1">SUMIFS(RZ[Úroveň 8 (P6)],RZ[0],AX41,RZ[Úroveň 2 (P0)],AY41,RZ[Úroveň 3 (P0)],AZ41,RZ[Úroveň 4 (P0)],BA41,RZ[Úroveň 5 (P0)],BB41,RZ[Úroveň 6 (P0)],BC41,RZ[Úroveň 7 (P0)],BD41,RZ[Úroveň 8 (P0)],BE41)</f>
        <v>0</v>
      </c>
      <c r="GH41" s="140">
        <f ca="1">SUMIFS(RZ[Úroveň 9 (P6)],RZ[0],AX41,RZ[Úroveň 2 (P0)],AY41,RZ[Úroveň 3 (P0)],AZ41,RZ[Úroveň 4 (P0)],BA41,RZ[Úroveň 5 (P0)],BB41,RZ[Úroveň 6 (P0)],BC41,RZ[Úroveň 7 (P0)],BD41,RZ[Úroveň 8 (P0)],BE41,RZ[Úroveň 9 (P0)],BF41)</f>
        <v>0</v>
      </c>
      <c r="GI41" s="140">
        <f ca="1">SUMIFS(RZ[Úroveň 10 (P6)],RZ[0],AX41,RZ[Úroveň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GJ41" s="918">
        <f t="shared" ca="1" si="202"/>
        <v>1</v>
      </c>
      <c r="GK41" s="808">
        <f t="shared" si="203"/>
        <v>0</v>
      </c>
      <c r="GL41" s="808">
        <f t="shared" si="204"/>
        <v>0</v>
      </c>
      <c r="GM41" s="808">
        <f t="shared" si="205"/>
        <v>1</v>
      </c>
      <c r="GN41" s="808">
        <f t="shared" si="206"/>
        <v>0</v>
      </c>
      <c r="GO41" s="808">
        <f t="shared" si="207"/>
        <v>0</v>
      </c>
      <c r="GP41" s="808">
        <f t="shared" si="208"/>
        <v>0</v>
      </c>
      <c r="GQ41" s="808">
        <f t="shared" si="209"/>
        <v>0</v>
      </c>
      <c r="GR41" s="808">
        <f t="shared" si="210"/>
        <v>0</v>
      </c>
      <c r="GS41" s="808">
        <f t="shared" si="211"/>
        <v>0</v>
      </c>
      <c r="GT41" s="808">
        <f t="shared" si="212"/>
        <v>0</v>
      </c>
      <c r="GU41" s="809">
        <f ca="1">SUMIFS(RZ[Sloupec1],RZ[0],AX41)</f>
        <v>1</v>
      </c>
      <c r="GV41" s="809">
        <f ca="1">SUMIFS(RZ[Sloupec2],RZ[0],AX41,RZ[Úroveň 2 (P0)],AY41)</f>
        <v>1</v>
      </c>
      <c r="GW41" s="809">
        <f ca="1">SUMIFS(RZ[Sloupec3],RZ[0],AX41,RZ[Úroveň 2 (P0)],AY41,RZ[Úroveň 3 (P0)],AZ41)</f>
        <v>1</v>
      </c>
      <c r="GX41" s="809">
        <f ca="1">SUMIFS(RZ[Sloupec4],RZ[0],AX41,RZ[Úroveň 2 (P0)],AY41,RZ[Úroveň 3 (P0)],AZ41,RZ[Úroveň 4 (P0)],BA41)</f>
        <v>0</v>
      </c>
      <c r="GY41" s="809">
        <f ca="1">SUMIFS(RZ[Sloupec5],RZ[0],AX41,RZ[Úroveň 2 (P0)],AY41,RZ[Úroveň 3 (P0)],AZ41,RZ[Úroveň 4 (P0)],BA41,RZ[Úroveň 5 (P0)],BB41)</f>
        <v>0</v>
      </c>
      <c r="GZ41" s="809">
        <f ca="1">SUMIFS(RZ[Sloupec6],RZ[0],AX41,RZ[Úroveň 2 (P0)],AY41,RZ[Úroveň 3 (P0)],AZ41,RZ[Úroveň 4 (P0)],BA41,RZ[Úroveň 5 (P0)],BB41,RZ[Úroveň 6 (P0)],BC41)</f>
        <v>0</v>
      </c>
      <c r="HA41" s="809">
        <f ca="1">SUMIFS(RZ[Sloupec62],RZ[0],AX41,RZ[Úroveň 2 (P0)],AY41,RZ[Úroveň 3 (P0)],AZ41,RZ[Úroveň 4 (P0)],BA41,RZ[Úroveň 5 (P0)],BB41,RZ[Úroveň 6 (P0)],BC41,RZ[Úroveň 7 (P0)],BD41)</f>
        <v>0</v>
      </c>
      <c r="HB41" s="809">
        <f ca="1">SUMIFS(RZ[Sloupec63],RZ[0],AX41,RZ[Úroveň 2 (P0)],AY41,RZ[Úroveň 3 (P0)],AZ41,RZ[Úroveň 4 (P0)],BA41,RZ[Úroveň 5 (P0)],BB41,RZ[Úroveň 6 (P0)],BC41,RZ[Úroveň 7 (P0)],BD41,RZ[Úroveň 8 (P0)],BE41)</f>
        <v>0</v>
      </c>
      <c r="HC41" s="809">
        <f ca="1">SUMIFS(RZ[Sloupec64],RZ[0],AX41,RZ[Úroveň 2 (P0)],AY41,RZ[Úroveň 3 (P0)],AZ41,RZ[Úroveň 4 (P0)],BA41,RZ[Úroveň 5 (P0)],BB41,RZ[Úroveň 6 (P0)],BC41,RZ[Úroveň 7 (P0)],BD41,RZ[Úroveň 8 (P0)],BE41,RZ[Úroveň 9 (P0)],BF41)</f>
        <v>0</v>
      </c>
      <c r="HD41" s="809">
        <f ca="1">SUMIFS(RZ[Sloupec65],RZ[0],AX41,RZ[Úroveň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HE41" s="919">
        <f t="shared" ca="1" si="213"/>
        <v>1</v>
      </c>
      <c r="HF41" s="920" t="str">
        <f t="shared" si="214"/>
        <v/>
      </c>
      <c r="HG41" s="94" t="str">
        <f t="shared" si="215"/>
        <v/>
      </c>
      <c r="HH41" s="95" t="str">
        <f t="shared" si="216"/>
        <v/>
      </c>
      <c r="HI41" s="95" t="str">
        <f t="shared" si="217"/>
        <v>Pastorek s cévovým ozubením</v>
      </c>
      <c r="HJ41" s="96" t="str">
        <f t="shared" si="218"/>
        <v/>
      </c>
      <c r="HK41" s="96" t="str">
        <f t="shared" si="219"/>
        <v/>
      </c>
      <c r="HL41" s="96" t="str">
        <f t="shared" si="220"/>
        <v/>
      </c>
      <c r="HM41" s="96" t="str">
        <f t="shared" si="221"/>
        <v/>
      </c>
      <c r="HN41" s="96" t="str">
        <f t="shared" si="222"/>
        <v/>
      </c>
      <c r="HO41" s="96" t="str">
        <f t="shared" si="223"/>
        <v/>
      </c>
      <c r="HP41" s="96" t="str">
        <f t="shared" si="224"/>
        <v/>
      </c>
      <c r="HQ41" s="145" t="str">
        <f t="shared" si="225"/>
        <v>STO1</v>
      </c>
      <c r="HR41" s="921" t="str">
        <f t="shared" si="226"/>
        <v/>
      </c>
      <c r="HS41" s="173">
        <f t="shared" si="227"/>
        <v>0</v>
      </c>
      <c r="HT41" s="100">
        <f t="shared" si="228"/>
        <v>0</v>
      </c>
      <c r="HU41" s="100" t="str">
        <f t="shared" si="229"/>
        <v>z = 16, m = 2</v>
      </c>
      <c r="HV41" s="908">
        <f t="shared" si="230"/>
        <v>0</v>
      </c>
      <c r="HW41" s="922">
        <f t="shared" si="231"/>
        <v>0</v>
      </c>
      <c r="HX41" s="224">
        <f t="shared" si="232"/>
        <v>0</v>
      </c>
      <c r="HY41" s="263" t="str">
        <f t="shared" si="233"/>
        <v>S</v>
      </c>
      <c r="HZ41" s="263">
        <f t="shared" si="234"/>
        <v>0</v>
      </c>
      <c r="IA41" s="150">
        <f t="shared" si="235"/>
        <v>1</v>
      </c>
      <c r="IB41" s="319">
        <f t="shared" si="236"/>
        <v>0</v>
      </c>
      <c r="IC41" s="923">
        <f t="shared" si="237"/>
        <v>0</v>
      </c>
      <c r="ID41" s="924" t="str">
        <f t="shared" ca="1" si="238"/>
        <v>OK</v>
      </c>
      <c r="IE41" s="201" t="str">
        <f t="shared" si="239"/>
        <v>ks</v>
      </c>
      <c r="IF41" s="145">
        <f t="shared" si="240"/>
        <v>2</v>
      </c>
      <c r="IG41" s="216">
        <f t="shared" si="241"/>
        <v>0.5</v>
      </c>
      <c r="IH41" s="217">
        <f t="shared" si="242"/>
        <v>1</v>
      </c>
      <c r="II41" s="224" t="str">
        <f ca="1">IF(RZ[[#This Row],[Rozhodný sloupec indikativní ceny]]=1,"kg",IF($IW41=$JL$15,IF(JX41=0,JO41,JX41),IF($IW41=$KE$15,IF(KQ41=0,KH41,KQ41),IF($IW41=$KX$15,IF(LJ41=0,LA41,LJ41),IF($IW41=$LQ$15,IF(MC41=0,LT41,MC41),IF($IW41=$MJ$15,IF(NQ41=0,NH41,NQ41),0))))))</f>
        <v>kg</v>
      </c>
      <c r="IJ41" s="224">
        <f ca="1">IF((BH41+OFFSET(BH41,1,1,1,1))=2,RZ[[#This Row],[Počet MJHR (P0)]],IF((BI41+OFFSET(BI41,1,1,1,1))=2,RZ[[#This Row],[Počet MJHR (P0)]],IF((BJ41+OFFSET(BJ41,1,1,1,1))=2,RZ[[#This Row],[Počet MJHR (P0)]],IF((BK41+OFFSET(BK41,1,1,1,1))=2,RZ[[#This Row],[Počet MJHR (P0)]],IF((BL41+OFFSET(BL41,1,1,1,1))=2,RZ[[#This Row],[Počet MJHR (P0)]],IF((BM41+OFFSET(BM41,1,1,1,1))=2,RZ[[#This Row],[Počet MJHR (P0)]],IF((BN41+OFFSET(BN41,1,1,1,1))=2,RZ[[#This Row],[Počet MJHR (P0)]],IF((BO41+OFFSET(BO41,1,1,1,1))=2,RZ[[#This Row],[Počet MJHR (P0)]],IF((BP41+OFFSET(BP41,1,1,1,1))=2,RZ[[#This Row],[Počet MJHR (P0)]],IF((BQ41+OFFSET(BQ41,1,1,1,1))=2,RZ[[#This Row],[Počet MJHR (P0)]],IF(RZ[[#This Row],[Měrná jednotka CR (MJCR) (P0)]]=RZ[[#This Row],[Měrná jednotka HR '[MJHR'] (P0)]],RZ[[#This Row],[Počet MJHR (P0)]],IF($IW41=$JL$15,JY41,IF($IW41=$KE$15,KR41,IF($IW41=$KX$15,LK41,IF($IW41=$LQ$15,MD41,IF($IW41=$MJ$15,NR41,0))))))))))))))))</f>
        <v>0</v>
      </c>
      <c r="IK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1" s="145">
        <f ca="1">IF(AND(RZ[[#This Row],[Jednotková cena bez DPH '[cena/MJCR'] (P0)]]=0,RZ[[#This Row],[Indikativní jednotková cena '[CZK/kg'] (P1)]]&lt;&gt;0),1,0)</f>
        <v>1</v>
      </c>
      <c r="IM41" s="217">
        <f ca="1">VLOOKUP(RZ[[#This Row],[Kód položek]],INDIKAT_CENA,2,FALSE)</f>
        <v>145</v>
      </c>
      <c r="IN41" s="222">
        <f ca="1">IF(RZ[[#This Row],[Rozhodný sloupec indikativní ceny]]=1,RZ[[#This Row],[Indikativní jednotková cena '[CZK/kg'] (P1)]],RZ[[#This Row],[Jednotková cena bez DPH '[cena/MJCR'] (P0)]])</f>
        <v>145</v>
      </c>
      <c r="IO41" s="222">
        <f t="shared" si="243"/>
        <v>1</v>
      </c>
      <c r="IP41" s="224">
        <f ca="1">IF(RZ[[#This Row],[Rozhodný sloupec indikativní ceny]]=1,1,IF($IW41=$JL$15,KA41,IF($IW41=$KE$15,KT41,IF($IW41=$KX$15,LM41,IF($IW41=$LQ$15,MF41,IF($IW41=$MJ$15,NT41,0))))))</f>
        <v>1</v>
      </c>
      <c r="IQ41" s="225">
        <f ca="1">IF(RZ[[#This Row],[Jednotková cena bez DPH '[cena/MJCR'] (P1)]]="",0,IF(IP41=0,0,(RZ[[#This Row],[Jednotková cena bez DPH '[cena/MJCR'] (P1)]]*VLOOKUP(IP41,$BR$7:$BT$10,3))))</f>
        <v>145</v>
      </c>
      <c r="IR41" s="737"/>
      <c r="IS41" s="627">
        <f>IF(HY41=0,"",VLOOKUP(RZ[[#This Row],[Stav Projekce (P0)]],Vstupy!$E$11:'Vstupy'!$E$11:$H$17,4,FALSE))</f>
        <v>100</v>
      </c>
      <c r="IT41" s="925" t="str">
        <f>IF(RZ[[#This Row],[Stav Projekce (P0)]]=0,"",RZ[[#This Row],[Stav Projekce (P0)]])</f>
        <v>S</v>
      </c>
      <c r="IU41" s="925" t="str">
        <f>IF(RZ[[#This Row],[Stav Nákup (P0)]]=0,"",RZ[[#This Row],[Stav Nákup (P0)]])</f>
        <v/>
      </c>
      <c r="IV41" s="926" t="str">
        <f t="shared" si="244"/>
        <v/>
      </c>
      <c r="IW41" s="641">
        <v>1</v>
      </c>
      <c r="IX41" s="630"/>
      <c r="IY41" s="264"/>
      <c r="IZ41" s="648"/>
      <c r="JA41" s="100"/>
      <c r="JB41" s="100" t="s">
        <v>812</v>
      </c>
      <c r="JC41" s="100"/>
      <c r="JD41" s="100"/>
      <c r="JE41" s="100"/>
      <c r="JF41" s="100"/>
      <c r="JG41" s="100"/>
      <c r="JH41" s="100"/>
      <c r="JI41" s="100"/>
      <c r="JJ41" s="145" t="s">
        <v>829</v>
      </c>
      <c r="JK41" s="529"/>
      <c r="JL41" s="286"/>
      <c r="JM41" s="100"/>
      <c r="JN41" s="100" t="s">
        <v>818</v>
      </c>
      <c r="JO41" s="145" t="s">
        <v>35</v>
      </c>
      <c r="JP41" s="117">
        <v>2</v>
      </c>
      <c r="JQ41" s="117">
        <v>0.5</v>
      </c>
      <c r="JR41" s="148">
        <v>1</v>
      </c>
      <c r="JS41" s="145" t="s">
        <v>602</v>
      </c>
      <c r="JT41" s="631"/>
      <c r="JU41" s="148"/>
      <c r="JV41" s="154"/>
      <c r="JW41" s="145"/>
      <c r="JX41" s="210"/>
      <c r="JY41" s="117"/>
      <c r="JZ41" s="662"/>
      <c r="KA41" s="145"/>
      <c r="KB41" s="148"/>
      <c r="KC41" s="148"/>
      <c r="KD41" s="644"/>
      <c r="KE41" s="286"/>
      <c r="KF41" s="100"/>
      <c r="KG41" s="100"/>
      <c r="KH41" s="210"/>
      <c r="KI41" s="117"/>
      <c r="KJ41" s="117"/>
      <c r="KK41" s="148"/>
      <c r="KL41" s="145"/>
      <c r="KM41" s="632"/>
      <c r="KN41" s="148"/>
      <c r="KO41" s="154"/>
      <c r="KP41" s="154"/>
      <c r="KQ41" s="210"/>
      <c r="KR41" s="117"/>
      <c r="KS41" s="211"/>
      <c r="KT41" s="145"/>
      <c r="KU41" s="148"/>
      <c r="KV41" s="148"/>
      <c r="KW41" s="265"/>
      <c r="KX41" s="286"/>
      <c r="KY41" s="100"/>
      <c r="KZ41" s="100"/>
      <c r="LA41" s="210"/>
      <c r="LB41" s="117"/>
      <c r="LC41" s="117"/>
      <c r="LD41" s="148"/>
      <c r="LE41" s="145"/>
      <c r="LF41" s="632"/>
      <c r="LG41" s="148"/>
      <c r="LH41" s="154"/>
      <c r="LI41" s="154"/>
      <c r="LJ41" s="154"/>
      <c r="LK41" s="117"/>
      <c r="LL41" s="211"/>
      <c r="LM41" s="210"/>
      <c r="LN41" s="148"/>
      <c r="LO41" s="148"/>
      <c r="LP41" s="265"/>
      <c r="LQ41" s="286"/>
      <c r="LR41" s="100"/>
      <c r="LS41" s="100"/>
      <c r="LT41" s="210"/>
      <c r="LU41" s="117"/>
      <c r="LV41" s="117"/>
      <c r="LW41" s="148"/>
      <c r="LX41" s="145"/>
      <c r="LY41" s="632"/>
      <c r="LZ41" s="148"/>
      <c r="MA41" s="154"/>
      <c r="MB41" s="154"/>
      <c r="MC41" s="145"/>
      <c r="MD41" s="117"/>
      <c r="ME41" s="211"/>
      <c r="MF41" s="210"/>
      <c r="MG41" s="148"/>
      <c r="MH41" s="148"/>
      <c r="MI41" s="265"/>
      <c r="MJ41" s="647"/>
      <c r="MK41" s="264"/>
      <c r="ML41" s="153"/>
      <c r="MM41" s="153"/>
      <c r="MN41" s="153"/>
      <c r="MO41" s="153"/>
      <c r="MP41" s="153"/>
      <c r="MQ41" s="153"/>
      <c r="MR41" s="153"/>
      <c r="MS41" s="99"/>
      <c r="MT41" s="99"/>
      <c r="MU41" s="99"/>
      <c r="MV41" s="99"/>
      <c r="MW41" s="99"/>
      <c r="MX41" s="99"/>
      <c r="MY41" s="153"/>
      <c r="MZ41" s="153"/>
      <c r="NA41" s="153"/>
      <c r="NB41" s="153"/>
      <c r="NC41" s="153"/>
      <c r="ND41" s="153"/>
      <c r="NE41" s="148"/>
      <c r="NF41" s="153"/>
      <c r="NG41" s="153"/>
      <c r="NH41" s="330" t="str">
        <f t="shared" si="245"/>
        <v>ks</v>
      </c>
      <c r="NI41" s="797">
        <f>RZ[[#This Row],[Počet ks (K)]]</f>
        <v>0</v>
      </c>
      <c r="NJ41" s="798">
        <f>RZ[[#This Row],[Hmotnost '[kg/ks'] (K)]]</f>
        <v>0</v>
      </c>
      <c r="NK41" s="148"/>
      <c r="NL41" s="145"/>
      <c r="NM41" s="632"/>
      <c r="NN41" s="148"/>
      <c r="NO41" s="154"/>
      <c r="NP41" s="153"/>
      <c r="NQ41" s="153"/>
      <c r="NR41" s="210"/>
      <c r="NS41" s="148"/>
      <c r="NT41" s="210"/>
      <c r="NU41" s="148"/>
      <c r="NV41" s="148"/>
      <c r="NW41" s="175"/>
    </row>
    <row r="42" spans="2:387" ht="15.95" customHeight="1" x14ac:dyDescent="0.35">
      <c r="B42" s="118" t="str">
        <f t="shared" si="129"/>
        <v/>
      </c>
      <c r="C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2" s="262" t="str">
        <f t="shared" si="130"/>
        <v xml:space="preserve">    Kryt převodu</v>
      </c>
      <c r="E42" s="120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Row],[Kód položek (P2)]]))))))))))</f>
        <v>OKS3</v>
      </c>
      <c r="F42" s="791" t="str">
        <f t="shared" si="131"/>
        <v>N/A</v>
      </c>
      <c r="G42" s="792" t="str">
        <f t="shared" si="132"/>
        <v/>
      </c>
      <c r="H42" s="262" t="str">
        <f t="shared" si="133"/>
        <v/>
      </c>
      <c r="I42" s="123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HR '[MJHR'] (P0)]]))))))))))</f>
        <v>ks</v>
      </c>
      <c r="J42" s="123">
        <f t="shared" si="134"/>
        <v>2</v>
      </c>
      <c r="K42" s="793">
        <f>RZ[[#This Row],[Koeficient odhadu HR '[-'] (P1)]]</f>
        <v>1</v>
      </c>
      <c r="L42" s="124">
        <f ca="1">RZ[[#This Row],[Jednotková hmotnost s koef. '[kg/MJHR'] (P0)]]</f>
        <v>0.9</v>
      </c>
      <c r="M42" s="794">
        <f t="shared" ca="1" si="135"/>
        <v>0</v>
      </c>
      <c r="N42" s="125">
        <f t="shared" ca="1" si="136"/>
        <v>1.8</v>
      </c>
      <c r="O42" s="125">
        <f t="shared" ca="1" si="137"/>
        <v>0</v>
      </c>
      <c r="P42" s="126" t="str">
        <f t="shared" si="138"/>
        <v/>
      </c>
      <c r="Q42" s="795">
        <f ca="1">RZ[[#This Row],[Počet MJHR v rozpadu (P0)]]</f>
        <v>2</v>
      </c>
      <c r="R42" s="439" t="str">
        <f t="shared" si="139"/>
        <v/>
      </c>
      <c r="S42" s="129" t="str">
        <f t="shared" si="140"/>
        <v/>
      </c>
      <c r="T42" s="126" t="str">
        <f t="shared" si="141"/>
        <v/>
      </c>
      <c r="U42" s="126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CR (MJCR) (P0)]]))))))))))</f>
        <v>kg</v>
      </c>
      <c r="V42" s="575">
        <f t="shared" ca="1" si="142"/>
        <v>1.8</v>
      </c>
      <c r="W42" s="322">
        <f>RZ[[#This Row],[Koeficient odhadu CR '[-'] (P1)]]</f>
        <v>1</v>
      </c>
      <c r="X42" s="440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Row],[Jednotková cena bez DPH '[cena/MJCR'] (P1)]]*RZ[[#This Row],[Koeficient odhadu CR '[-']]]))))))))))</f>
        <v>80</v>
      </c>
      <c r="Y42" s="440">
        <f t="shared" ca="1" si="143"/>
        <v>0</v>
      </c>
      <c r="Z42" s="142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VLOOKUP(IP42,$BR$7:$BS$11,2,FALSE)))))))))))</f>
        <v>CZK</v>
      </c>
      <c r="AA42" s="909">
        <f t="shared" ca="1" si="144"/>
        <v>1.8</v>
      </c>
      <c r="AB42" s="910">
        <f ca="1">RZ[[#This Row],[Kumulovaný koeficient v rozpadu (P0)]]</f>
        <v>1</v>
      </c>
      <c r="AC42" s="261"/>
      <c r="AD42" s="796">
        <f ca="1">RZ[[#This Row],[Jednotková cena bez DPH '[cena/MJCR'] s koef. (P0)]]/RZ[[#This Row],[Koeficient odhadu CR '[-']]]*RZ[[#This Row],[Kumulovaný koeficient odhadu CR  '[-']]]</f>
        <v>80</v>
      </c>
      <c r="AE42" s="796">
        <f t="shared" ca="1" si="145"/>
        <v>144</v>
      </c>
      <c r="AF42" s="796">
        <f ca="1">-IF(ISNUMBER(AA42),RZ[[#This Row],[Celková cena bez DPH (1)]]-RZ[[#This Row],[Jednotková cena bez DPH '[cena/MJCR'] bez koef. (P0)]]*AA42,0)</f>
        <v>0</v>
      </c>
      <c r="AG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2" s="261"/>
      <c r="AI42" s="796">
        <f t="shared" ca="1" si="146"/>
        <v>2.9629629629629628</v>
      </c>
      <c r="AJ42" s="796">
        <f t="shared" ca="1" si="147"/>
        <v>5.333333333333333</v>
      </c>
      <c r="AK42" s="796">
        <f t="shared" ca="1" si="148"/>
        <v>0</v>
      </c>
      <c r="AL42" s="753">
        <f ca="1">RZ[[#This Row],[Kilogramová cena bez DPH '[cena/kg'] (1)]]/$AK$13</f>
        <v>2.9629629629629628</v>
      </c>
      <c r="AM42" s="261"/>
      <c r="AN42" s="796">
        <f t="shared" ca="1" si="149"/>
        <v>3.8647342995169085</v>
      </c>
      <c r="AO42" s="796">
        <f t="shared" ca="1" si="150"/>
        <v>6.9565217391304346</v>
      </c>
      <c r="AP42" s="796">
        <f t="shared" ca="1" si="151"/>
        <v>0</v>
      </c>
      <c r="AQ42" s="753">
        <f ca="1">RZ[[#This Row],[Kilogramová cena bez DPH '[cena/kg'] (1)]]/$AP$13</f>
        <v>3.8647342995169085</v>
      </c>
      <c r="AR42" s="261"/>
      <c r="AS42" s="796">
        <f t="shared" ca="1" si="152"/>
        <v>2.1881838074398248</v>
      </c>
      <c r="AT42" s="796">
        <f t="shared" ca="1" si="153"/>
        <v>3.9387308533916845</v>
      </c>
      <c r="AU42" s="789">
        <f t="shared" ca="1" si="154"/>
        <v>0</v>
      </c>
      <c r="AV42" s="767">
        <f ca="1">RZ[[#This Row],[Kilogramová cena bez DPH '[cena/kg'] (1)]]/$AU$13</f>
        <v>2.1881838074398248</v>
      </c>
      <c r="AW42" s="165"/>
      <c r="AX42" s="911">
        <f t="shared" ca="1" si="155"/>
        <v>2</v>
      </c>
      <c r="AY42" s="111">
        <f t="shared" ca="1" si="156"/>
        <v>1</v>
      </c>
      <c r="AZ42" s="111">
        <f t="shared" ca="1" si="157"/>
        <v>19</v>
      </c>
      <c r="BA42" s="111">
        <f t="shared" ca="1" si="158"/>
        <v>0</v>
      </c>
      <c r="BB42" s="111">
        <f t="shared" ca="1" si="159"/>
        <v>0</v>
      </c>
      <c r="BC42" s="111">
        <f t="shared" ca="1" si="160"/>
        <v>0</v>
      </c>
      <c r="BD42" s="111">
        <f t="shared" ca="1" si="161"/>
        <v>0</v>
      </c>
      <c r="BE42" s="111">
        <f t="shared" ca="1" si="162"/>
        <v>0</v>
      </c>
      <c r="BF42" s="111">
        <f t="shared" ca="1" si="163"/>
        <v>0</v>
      </c>
      <c r="BG42" s="112">
        <f t="shared" ca="1" si="164"/>
        <v>0</v>
      </c>
      <c r="BH42" s="911">
        <f t="shared" si="165"/>
        <v>0</v>
      </c>
      <c r="BI42" s="111">
        <f t="shared" si="166"/>
        <v>0</v>
      </c>
      <c r="BJ42" s="111">
        <f t="shared" si="167"/>
        <v>1</v>
      </c>
      <c r="BK42" s="111">
        <f t="shared" si="168"/>
        <v>0</v>
      </c>
      <c r="BL42" s="111">
        <f t="shared" si="169"/>
        <v>0</v>
      </c>
      <c r="BM42" s="111">
        <f t="shared" si="170"/>
        <v>0</v>
      </c>
      <c r="BN42" s="111">
        <f t="shared" si="171"/>
        <v>0</v>
      </c>
      <c r="BO42" s="111">
        <f t="shared" si="172"/>
        <v>0</v>
      </c>
      <c r="BP42" s="111">
        <f t="shared" si="173"/>
        <v>0</v>
      </c>
      <c r="BQ42" s="112">
        <f t="shared" si="174"/>
        <v>0</v>
      </c>
      <c r="BR42" s="132">
        <f ca="1">IF(OFFSET(AY42,1,0,1,1)&lt;&gt;0,RZ[[#This Row],[Koeficient odhadu HR '[-'] (P1)]]*$BH42*SUMIFS(RZ[Úroveň 2 s koef. (P2)],RZ[0],AX42),RZ[[#This Row],[Koeficient odhadu HR '[-'] (P1)]]*$BH42*$IG42)</f>
        <v>0</v>
      </c>
      <c r="BS42" s="186">
        <f ca="1">IF(OFFSET(AY42,1,0,1,1)&lt;&gt;0,$BH42*SUMIFS(RZ[Úroveň 2 bez koef. (P2)],RZ[0],AX42),$BH42*$IG42)</f>
        <v>0</v>
      </c>
      <c r="BT42" s="138">
        <f ca="1">RZ[[#This Row],[Úroveň 2 s koef. (P2a)]]*RZ[[#This Row],[Počet MJHR (P0)]]</f>
        <v>0</v>
      </c>
      <c r="BU42" s="138">
        <f ca="1">RZ[[#This Row],[Úroveň 2 bez koef. (P2a)]]*RZ[[#This Row],[Počet MJHR (P0)]]</f>
        <v>0</v>
      </c>
      <c r="BV42" s="138">
        <f ca="1">IF(OFFSET(AZ42,1,0,1,1)&lt;&gt;0,RZ[[#This Row],[Koeficient odhadu HR '[-'] (P1)]]*$BI42*SUMIFS(RZ[Úroveň 3 s koef. (P2)],RZ[0],AX42,RZ[Úroveň 2 (P0)],AY42),RZ[[#This Row],[Koeficient odhadu HR '[-'] (P1)]]*$BI42*$IG42)</f>
        <v>0</v>
      </c>
      <c r="BW42" s="138">
        <f ca="1">IF(OFFSET(AZ42,1,0,1,1)&lt;&gt;0,$BI42*SUMIFS(RZ[Úroveň 3 bez koef. (P2)],RZ[0],AX42,RZ[Úroveň 2 (P0)],AY42),$BI42*$IG42)</f>
        <v>0</v>
      </c>
      <c r="BX42" s="132">
        <f ca="1">RZ[[#This Row],[Úroveň 3 s koef. (P2a)]]*RZ[[#This Row],[Počet MJHR (P0)]]</f>
        <v>1.8</v>
      </c>
      <c r="BY42" s="132">
        <f ca="1">RZ[Úroveň 3 bez koef. (P2a)]*RZ[[#This Row],[Počet MJHR (P0)]]</f>
        <v>1.8</v>
      </c>
      <c r="BZ42" s="132">
        <f ca="1">IF(OFFSET(BA42,1,0,1,1)&lt;&gt;0,RZ[[#This Row],[Koeficient odhadu HR '[-'] (P1)]]*$BJ42*SUMIFS(RZ[Úroveň 4 s koef. (P2)],RZ[0],AX42,RZ[Úroveň 2 (P0)],AY42,RZ[Úroveň 3 (P0)],AZ42),RZ[[#This Row],[Koeficient odhadu HR '[-'] (P1)]]*$BJ42*$IG42)</f>
        <v>0.9</v>
      </c>
      <c r="CA42" s="132">
        <f ca="1">IF(OFFSET(BA42,1,0,1,1)&lt;&gt;0,$BJ42*SUMIFS(RZ[Úroveň 4 bez koef. (P2)],RZ[0],AX42,RZ[Úroveň 2 (P0)],AY42,RZ[Úroveň 3 (P0)],AZ42),$BJ42*$IG42)</f>
        <v>0.9</v>
      </c>
      <c r="CB42" s="138">
        <f ca="1">RZ[[#This Row],[Úroveň 4 s koef. (P2a)]]*RZ[[#This Row],[Počet MJHR (P0)]]</f>
        <v>0</v>
      </c>
      <c r="CC42" s="138">
        <f ca="1">RZ[Úroveň 4 bez koef. (P2a)]*RZ[[#This Row],[Počet MJHR (P0)]]</f>
        <v>0</v>
      </c>
      <c r="CD42" s="138">
        <f ca="1">IF(OFFSET(BB42,1,0,1,1)&lt;&gt;0,RZ[[#This Row],[Koeficient odhadu HR '[-'] (P1)]]*$BK42*SUMIFS(RZ[Úroveň 5 s koef. (P2)],RZ[0],AX42,RZ[Úroveň 2 (P0)],AY42,RZ[Úroveň 3 (P0)],AZ42,RZ[Úroveň 4 (P0)],BA42),RZ[[#This Row],[Koeficient odhadu HR '[-'] (P1)]]*$BK42*$IG42)</f>
        <v>0</v>
      </c>
      <c r="CE42" s="138">
        <f ca="1">IF(OFFSET(BB42,1,0,1,1)&lt;&gt;0,$BK42*SUMIFS(RZ[Úroveň 5 bez koef. (P2)],RZ[0],AX42,RZ[Úroveň 2 (P0)],AY42,RZ[Úroveň 3 (P0)],AZ42,RZ[Úroveň 4 (P0)],BA42),$BK42*$IG42)</f>
        <v>0</v>
      </c>
      <c r="CF42" s="132">
        <f ca="1">RZ[[#This Row],[Úroveň 5 s koef. (P2a)]]*RZ[[#This Row],[Počet MJHR (P0)]]</f>
        <v>0</v>
      </c>
      <c r="CG42" s="132">
        <f ca="1">RZ[Úroveň 5 bez koef. (P2a)]*RZ[[#This Row],[Počet MJHR (P0)]]</f>
        <v>0</v>
      </c>
      <c r="CH42" s="132">
        <f ca="1">IF(OFFSET(BC42,1,0,1,1)&lt;&gt;0,RZ[[#This Row],[Koeficient odhadu HR '[-'] (P1)]]*$BL42*SUMIFS(RZ[Úroveň 6 s koef. (P2)],RZ[0],AX42,RZ[Úroveň 2 (P0)],AY42,RZ[Úroveň 3 (P0)],AZ42,RZ[Úroveň 4 (P0)],BA42,RZ[Úroveň 5 (P0)],BB42),RZ[[#This Row],[Koeficient odhadu HR '[-'] (P1)]]*$BL42*$IG42)</f>
        <v>0</v>
      </c>
      <c r="CI42" s="132">
        <f ca="1">IF(OFFSET(BC42,1,0,1,1)&lt;&gt;0,$BL42*SUMIFS(RZ[Úroveň 6 bez koef. (P2)],RZ[0],AX42,RZ[Úroveň 2 (P0)],AY42,RZ[Úroveň 3 (P0)],AZ42,RZ[Úroveň 4 (P0)],BA42,RZ[Úroveň 5 (P0)],BB42),$BL42*$IG42)</f>
        <v>0</v>
      </c>
      <c r="CJ42" s="138">
        <f ca="1">RZ[[#This Row],[Úroveň 6 s koef. (P2a)]]*RZ[[#This Row],[Počet MJHR (P0)]]</f>
        <v>0</v>
      </c>
      <c r="CK42" s="138">
        <f ca="1">RZ[Úroveň 6 bez koef. (P2a)]*RZ[[#This Row],[Počet MJHR (P0)]]</f>
        <v>0</v>
      </c>
      <c r="CL42" s="138">
        <f ca="1">IF(OFFSET(BD42,1,0,1,1)&lt;&gt;0,RZ[[#This Row],[Koeficient odhadu HR '[-'] (P1)]]*$BM42*SUMIFS(RZ[Úroveň 7 s koef. (P2)],RZ[0],AX42,RZ[Úroveň 2 (P0)],AY42,RZ[Úroveň 3 (P0)],AZ42,RZ[Úroveň 4 (P0)],BA42,RZ[Úroveň 5 (P0)],BB42,RZ[Úroveň 6 (P0)],BC42),RZ[[#This Row],[Koeficient odhadu HR '[-'] (P1)]]*$BM42*$IG42)</f>
        <v>0</v>
      </c>
      <c r="CM42" s="138">
        <f ca="1">IF(OFFSET(BD42,1,0,1,1)&lt;&gt;0,$BM42*SUMIFS(RZ[Úroveň 7 bez koef. (P2)],RZ[0],AX42,RZ[Úroveň 2 (P0)],AY42,RZ[Úroveň 3 (P0)],AZ42,RZ[Úroveň 4 (P0)],BA42,RZ[Úroveň 5 (P0)],BB42,RZ[Úroveň 6 (P0)],BC42),$BM42*$IG42)</f>
        <v>0</v>
      </c>
      <c r="CN42" s="132">
        <f ca="1">RZ[[#This Row],[Úroveň 7 s koef. (P2a)]]*RZ[[#This Row],[Počet MJHR (P0)]]</f>
        <v>0</v>
      </c>
      <c r="CO42" s="132">
        <f ca="1">RZ[Úroveň 7 bez koef. (P2a)]*RZ[[#This Row],[Počet MJHR (P0)]]</f>
        <v>0</v>
      </c>
      <c r="CP42" s="132">
        <f ca="1">IF(OFFSET(BE42,1,0,1,1)&lt;&gt;0,RZ[[#This Row],[Koeficient odhadu HR '[-'] (P1)]]*$BN42*SUMIFS(RZ[Úroveň 8 s koef. (P2)],RZ[0],AX42,RZ[Úroveň 2 (P0)],AY42,RZ[Úroveň 3 (P0)],AZ42,RZ[Úroveň 4 (P0)],BA42,RZ[Úroveň 5 (P0)],BB42,RZ[Úroveň 6 (P0)],BC42,RZ[Úroveň 7 (P0)],BD42),RZ[[#This Row],[Koeficient odhadu HR '[-'] (P1)]]*$BN42*$IG42)</f>
        <v>0</v>
      </c>
      <c r="CQ42" s="132">
        <f ca="1">IF(OFFSET(BE42,1,0,1,1)&lt;&gt;0,$BN42*SUMIFS(RZ[Úroveň 8 bez koef. (P2)],RZ[0],AX42,RZ[Úroveň 2 (P0)],AY42,RZ[Úroveň 3 (P0)],AZ42,RZ[Úroveň 4 (P0)],BA42,RZ[Úroveň 5 (P0)],BB42,RZ[Úroveň 6 (P0)],BC42,RZ[Úroveň 7 (P0)],BD42),$BN42*$IG42)</f>
        <v>0</v>
      </c>
      <c r="CR42" s="138">
        <f ca="1">RZ[[#This Row],[Úroveň 8 s koef. (P2a)]]*RZ[[#This Row],[Počet MJHR (P0)]]</f>
        <v>0</v>
      </c>
      <c r="CS42" s="138">
        <f ca="1">RZ[Úroveň 8 bez koef. (P2a)]*RZ[[#This Row],[Počet MJHR (P0)]]</f>
        <v>0</v>
      </c>
      <c r="CT42" s="138">
        <f ca="1">IF(OFFSET(BF42,1,0,1,1)&lt;&gt;0,RZ[[#This Row],[Koeficient odhadu HR '[-'] (P1)]]*$BO42*SUMIFS(RZ[Úroveň 9 s koef. (P2)],RZ[0],AX42,RZ[Úroveň 2 (P0)],AY42,RZ[Úroveň 3 (P0)],AZ42,RZ[Úroveň 4 (P0)],BA42,RZ[Úroveň 5 (P0)],BB42,RZ[Úroveň 6 (P0)],BC42,RZ[Úroveň 7 (P0)],BD42,RZ[Úroveň 8 (P0)],BE42),RZ[[#This Row],[Koeficient odhadu HR '[-'] (P1)]]*$BO42*$IG42)</f>
        <v>0</v>
      </c>
      <c r="CU42" s="138">
        <f ca="1">IF(OFFSET(BF42,1,0,1,1)&lt;&gt;0,$BO42*SUMIFS(RZ[Úroveň 9 bez koef. (P2)],RZ[0],AX42,RZ[Úroveň 2 (P0)],AY42,RZ[Úroveň 3 (P0)],AZ42,RZ[Úroveň 4 (P0)],BA42,RZ[Úroveň 5 (P0)],BB42,RZ[Úroveň 6 (P0)],BC42,RZ[Úroveň 7 (P0)],BD42,RZ[Úroveň 8 (P0)],BE42),$BO42*$IG42)</f>
        <v>0</v>
      </c>
      <c r="CV42" s="132">
        <f ca="1">RZ[[#This Row],[Úroveň 9 s koef. (P2a)]]*RZ[[#This Row],[Počet MJHR (P0)]]</f>
        <v>0</v>
      </c>
      <c r="CW42" s="132">
        <f ca="1">RZ[Úroveň 9 bez koef. (P2a)]*RZ[[#This Row],[Počet MJHR (P0)]]</f>
        <v>0</v>
      </c>
      <c r="CX42" s="132">
        <f ca="1">IF(OFFSET(BG42,1,0,1,1)&lt;&gt;0,RZ[[#This Row],[Koeficient odhadu HR '[-'] (P1)]]*$BP42*SUMIFS(RZ[Úroveň 10 s koef. (P2)],RZ[0],AX42,RZ[Úroveň 2 (P0)],AY42,RZ[Úroveň 3 (P0)],AZ42,RZ[Úroveň 4 (P0)],BA42,RZ[Úroveň 5 (P0)],BB42,RZ[Úroveň 6 (P0)],BC42,RZ[Úroveň 7 (P0)],BD42,RZ[Úroveň 8 (P0)],BE42,RZ[Úroveň 9 (P0)],BF42),RZ[[#This Row],[Koeficient odhadu HR '[-'] (P1)]]*$BP42*$IG42)</f>
        <v>0</v>
      </c>
      <c r="CY42" s="132">
        <f ca="1">IF(OFFSET(BG42,1,0,1,1)&lt;&gt;0,$BP42*SUMIFS(RZ[Úroveň 10 bez koef. (P2)],RZ[0],AX42,RZ[Úroveň 2 (P0)],AY42,RZ[Úroveň 3 (P0)],AZ42,RZ[Úroveň 4 (P0)],BA42,RZ[Úroveň 5 (P0)],BB42,RZ[Úroveň 6 (P0)],BC42,RZ[Úroveň 7 (P0)],BD42,RZ[Úroveň 8 (P0)],BE42,RZ[Úroveň 9 (P0)],BF42),$BP42*$IG42)</f>
        <v>0</v>
      </c>
      <c r="CZ42" s="138">
        <f>RZ[[#This Row],[Úroveň 10 s koef. (P2a)]]*RZ[[#This Row],[Počet MJHR (P0)]]</f>
        <v>0</v>
      </c>
      <c r="DA42" s="138">
        <f>RZ[Úroveň 10 bez koef. (P2a)]*RZ[[#This Row],[Počet MJHR (P0)]]</f>
        <v>0</v>
      </c>
      <c r="DB42" s="138">
        <f>RZ[[#This Row],[Koeficient odhadu HR '[-'] (P1)]]*$BQ42*IG42</f>
        <v>0</v>
      </c>
      <c r="DC42" s="231">
        <f t="shared" si="175"/>
        <v>0</v>
      </c>
      <c r="DD42" s="241">
        <f t="shared" ca="1" si="176"/>
        <v>0.9</v>
      </c>
      <c r="DE42" s="229">
        <f t="shared" ca="1" si="177"/>
        <v>0.9</v>
      </c>
      <c r="DF42" s="912">
        <f t="shared" si="178"/>
        <v>0</v>
      </c>
      <c r="DG42" s="913">
        <f t="shared" si="179"/>
        <v>0</v>
      </c>
      <c r="DH42" s="913">
        <f t="shared" si="180"/>
        <v>2</v>
      </c>
      <c r="DI42" s="913">
        <f t="shared" si="181"/>
        <v>0</v>
      </c>
      <c r="DJ42" s="913">
        <f t="shared" si="182"/>
        <v>0</v>
      </c>
      <c r="DK42" s="913">
        <f t="shared" si="183"/>
        <v>0</v>
      </c>
      <c r="DL42" s="913">
        <f t="shared" si="184"/>
        <v>0</v>
      </c>
      <c r="DM42" s="913">
        <f t="shared" si="185"/>
        <v>0</v>
      </c>
      <c r="DN42" s="913">
        <f t="shared" si="186"/>
        <v>0</v>
      </c>
      <c r="DO42" s="913">
        <f t="shared" si="187"/>
        <v>0</v>
      </c>
      <c r="DP42" s="914">
        <f ca="1">SUMIFS(RZ[Úroveň 1 (P4)],RZ[0],AX42)</f>
        <v>1</v>
      </c>
      <c r="DQ42" s="914">
        <f ca="1">SUMIFS(RZ[Úroveň 2 (P4)],RZ[0],AX42,RZ[Úroveň 2 (P0)],AY42)</f>
        <v>1</v>
      </c>
      <c r="DR42" s="914">
        <f ca="1">SUMIFS(RZ[Úroveň 3 (P4)],RZ[0],AX42,RZ[Úroveň 2 (P0)],AY42,RZ[Úroveň 3 (P0)],AZ42)</f>
        <v>2</v>
      </c>
      <c r="DS42" s="914">
        <f ca="1">SUMIFS(RZ[Úroveň 4 (P4)],RZ[0],AX42,RZ[Úroveň 2 (P0)],AY42,RZ[Úroveň 3 (P0)],AZ42,RZ[Úroveň 4 (P0)],BA42)</f>
        <v>0</v>
      </c>
      <c r="DT42" s="914">
        <f ca="1">SUMIFS(RZ[Úroveň 5 (P4)],RZ[0],AX42,RZ[Úroveň 2 (P0)],AY42,RZ[Úroveň 3 (P0)],AZ42,RZ[Úroveň 4 (P0)],BA42,RZ[Úroveň 5 (P0)],BB42)</f>
        <v>0</v>
      </c>
      <c r="DU42" s="914">
        <f ca="1">SUMIFS(RZ[Úroveň 6 (P4)],RZ[0],AX42,RZ[Úroveň 2 (P0)],AY42,RZ[Úroveň 3 (P0)],AZ42,RZ[Úroveň 4 (P0)],BA42,RZ[Úroveň 5 (P0)],BB42,RZ[Úroveň 6 (P0)],BC42)</f>
        <v>0</v>
      </c>
      <c r="DV42" s="914">
        <f ca="1">SUMIFS(RZ[Úroveň 7 (P4)],RZ[0],AX42,RZ[Úroveň 2 (P0)],AY42,RZ[Úroveň 3 (P0)],AZ42,RZ[Úroveň 4 (P0)],BA42,RZ[Úroveň 5 (P0)],BB42,RZ[Úroveň 6 (P0)],BC42,RZ[Úroveň 7 (P0)],BD42)</f>
        <v>0</v>
      </c>
      <c r="DW42" s="914">
        <f ca="1">SUMIFS(RZ[Úroveň 8 (P4)],RZ[0],AX42,RZ[Úroveň 2 (P0)],AY42,RZ[Úroveň 3 (P0)],AZ42,RZ[Úroveň 4 (P0)],BA42,RZ[Úroveň 5 (P0)],BB42,RZ[Úroveň 6 (P0)],BC42,RZ[Úroveň 7 (P0)],BD42,RZ[Úroveň 8 (P0)],BE42)</f>
        <v>0</v>
      </c>
      <c r="DX42" s="914">
        <f ca="1">SUMIFS(RZ[Úroveň 9 (P4)],RZ[0],AX42,RZ[Úroveň 2 (P0)],AY42,RZ[Úroveň 3 (P0)],AZ42,RZ[Úroveň 4 (P0)],BA42,RZ[Úroveň 5 (P0)],BB42,RZ[Úroveň 6 (P0)],BC42,RZ[Úroveň 7 (P0)],BD42,RZ[Úroveň 8 (P0)],BE42,RZ[Úroveň 9 (P0)],BF42)</f>
        <v>0</v>
      </c>
      <c r="DY42" s="914">
        <f ca="1">SUMIFS(RZ[Úroveň 10 (P4)],RZ[0],AX42,RZ[Úroveň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DZ42" s="915">
        <f t="shared" ca="1" si="188"/>
        <v>2</v>
      </c>
      <c r="EA42" s="916">
        <f ca="1">RZ[[#This Row],[Jednotková hmotnost bez koef. '[kg/MJHR'] (P0)]]*RZ[[#This Row],[Počet MJHR v rozpadu (P0)]]</f>
        <v>1.8</v>
      </c>
      <c r="EB42" s="917">
        <f ca="1">IF(OFFSET(AY42,1,0,1,1)&lt;&gt;0,RZ[[#This Row],[Koeficient odhadu CR '[-'] (P1)]]*$BH42*SUMIFS(RZ[Úroveň 2 s koef. (P3)],RZ[0],AX42),RZ[[#This Row],[Koeficient odhadu CR '[-'] (P1)]]*$BH42*$IQ42)</f>
        <v>0</v>
      </c>
      <c r="EC42" s="191">
        <f ca="1">IF(OFFSET(AY42,1,0,1,1)&lt;&gt;0,$BH42*SUMIFS(RZ[Úroveň 2 bez koef. (P3)],RZ[0],AX42),$BH42*$IQ42)</f>
        <v>0</v>
      </c>
      <c r="ED42" s="140">
        <f ca="1">RZ[[#This Row],[Úroveň 2 s koef. (P3a)]]*RZ[[#This Row],[Počet MJCR (P0) pro "kg"]]</f>
        <v>0</v>
      </c>
      <c r="EE42" s="140">
        <f ca="1">RZ[Úroveň 2 bez koef. (P3a)]*RZ[[#This Row],[Počet MJCR (P0) pro "kg"]]</f>
        <v>0</v>
      </c>
      <c r="EF42" s="140">
        <f ca="1">IF(OFFSET(AZ42,1,0,1,1)&lt;&gt;0,RZ[[#This Row],[Koeficient odhadu CR '[-'] (P1)]]*$BI42*SUMIFS(RZ[Úroveň 3 s koef. (P3)],RZ[0],AX42,RZ[Úroveň 2 (P0)],AY42),RZ[[#This Row],[Koeficient odhadu CR '[-'] (P1)]]*$BI42*$IQ42)</f>
        <v>0</v>
      </c>
      <c r="EG42" s="140">
        <f ca="1">IF(OFFSET(AZ42,1,0,1,1)&lt;&gt;0,$BI42*SUMIFS(RZ[Úroveň 3 bez koef. (P3)],RZ[0],AX42,RZ[Úroveň 2 (P0)],AY42),$BI42*$IQ42)</f>
        <v>0</v>
      </c>
      <c r="EH42" s="135">
        <f ca="1">RZ[[#This Row],[Úroveň 3 s koef. (P3a)]]*RZ[[#This Row],[Počet MJCR (P0) pro "kg"]]</f>
        <v>144</v>
      </c>
      <c r="EI42" s="135">
        <f ca="1">RZ[Úroveň 3 bez koef. (P3a)]*RZ[[#This Row],[Počet MJCR (P0) pro "kg"]]</f>
        <v>144</v>
      </c>
      <c r="EJ42" s="135">
        <f ca="1">IF(OFFSET(BA42,1,0,1,1)&lt;&gt;0,RZ[[#This Row],[Koeficient odhadu CR '[-'] (P1)]]*$BJ42*SUMIFS(RZ[Úroveň 4 s koef. (P3)],RZ[0],AX42,RZ[Úroveň 2 (P0)],AY42,RZ[Úroveň 3 (P0)],AZ42),RZ[[#This Row],[Koeficient odhadu CR '[-'] (P1)]]*$BJ42*$IQ42)</f>
        <v>80</v>
      </c>
      <c r="EK42" s="135">
        <f ca="1">IF(OFFSET(BA42,1,0,1,1)&lt;&gt;0,$BJ42*SUMIFS(RZ[Úroveň 4 bez koef. (P3)],RZ[0],AX42,RZ[Úroveň 2 (P0)],AY42,RZ[Úroveň 3 (P0)],AZ42),$BJ42*$IQ42)</f>
        <v>80</v>
      </c>
      <c r="EL42" s="140">
        <f ca="1">RZ[[#This Row],[Úroveň 4 s koef. (P3a)]]*RZ[[#This Row],[Počet MJCR (P0) pro "kg"]]</f>
        <v>0</v>
      </c>
      <c r="EM42" s="140">
        <f ca="1">RZ[Úroveň 4 bez koef. (P3a)]*RZ[[#This Row],[Počet MJCR (P0) pro "kg"]]</f>
        <v>0</v>
      </c>
      <c r="EN42" s="140">
        <f ca="1">IF(OFFSET(BB42,1,0,1,1)&lt;&gt;0,RZ[[#This Row],[Koeficient odhadu CR '[-'] (P1)]]*$BK42*SUMIFS(RZ[Úroveň 5 s koef. (P3)],RZ[0],AX42,RZ[Úroveň 2 (P0)],AY42,RZ[Úroveň 3 (P0)],AZ42,RZ[Úroveň 4 (P0)],BA42),RZ[[#This Row],[Koeficient odhadu CR '[-'] (P1)]]*$BK42*$IQ42)</f>
        <v>0</v>
      </c>
      <c r="EO42" s="140">
        <f ca="1">IF(OFFSET(BB42,1,0,1,1)&lt;&gt;0,$BK42*SUMIFS(RZ[Úroveň 5 bez koef. (P3)],RZ[0],AX42,RZ[Úroveň 2 (P0)],AY42,RZ[Úroveň 3 (P0)],AZ42,RZ[Úroveň 4 (P0)],BA42),$BK42*$IQ42)</f>
        <v>0</v>
      </c>
      <c r="EP42" s="135">
        <f ca="1">RZ[[#This Row],[Úroveň 5 s koef. (P3a)]]*RZ[[#This Row],[Počet MJCR (P0) pro "kg"]]</f>
        <v>0</v>
      </c>
      <c r="EQ42" s="135">
        <f ca="1">RZ[Úroveň 5 bez koef. (P3a)]*RZ[[#This Row],[Počet MJCR (P0) pro "kg"]]</f>
        <v>0</v>
      </c>
      <c r="ER42" s="135">
        <f ca="1">IF(OFFSET(BC42,1,0,1,1)&lt;&gt;0,RZ[[#This Row],[Koeficient odhadu CR '[-'] (P1)]]*$BL42*SUMIFS(RZ[Úroveň 6 s koef. (P3)],RZ[0],AX42,RZ[Úroveň 2 (P0)],AY42,RZ[Úroveň 3 (P0)],AZ42,RZ[Úroveň 4 (P0)],BA42,RZ[Úroveň 5 (P0)],BB42),RZ[[#This Row],[Koeficient odhadu CR '[-'] (P1)]]*$BL42*$IQ42)</f>
        <v>0</v>
      </c>
      <c r="ES42" s="135">
        <f ca="1">IF(OFFSET(BC42,1,0,1,1)&lt;&gt;0,$BL42*SUMIFS(RZ[Úroveň 6 bez koef. (P3)],RZ[0],AX42,RZ[Úroveň 2 (P0)],AY42,RZ[Úroveň 3 (P0)],AZ42,RZ[Úroveň 4 (P0)],BA42,RZ[Úroveň 5 (P0)],BB42),$BL42*$IQ42)</f>
        <v>0</v>
      </c>
      <c r="ET42" s="140">
        <f ca="1">RZ[[#This Row],[Úroveň 6 s koef. (P3a)]]*RZ[[#This Row],[Počet MJCR (P0) pro "kg"]]</f>
        <v>0</v>
      </c>
      <c r="EU42" s="140">
        <f ca="1">RZ[Úroveň 6 bez koef. (P3a)]*RZ[[#This Row],[Počet MJCR (P0) pro "kg"]]</f>
        <v>0</v>
      </c>
      <c r="EV42" s="140">
        <f ca="1">IF(OFFSET(BD42,1,0,1,1)&lt;&gt;0,RZ[[#This Row],[Koeficient odhadu CR '[-'] (P1)]]*$BM42*SUMIFS(RZ[Úroveň 7 s koef. (P3)],RZ[0],AX42,RZ[Úroveň 2 (P0)],AY42,RZ[Úroveň 3 (P0)],AZ42,RZ[Úroveň 4 (P0)],BA42,RZ[Úroveň 5 (P0)],BB42,RZ[Úroveň 6 (P0)],BC42),RZ[[#This Row],[Koeficient odhadu CR '[-'] (P1)]]*$BM42*$IQ42)</f>
        <v>0</v>
      </c>
      <c r="EW42" s="140">
        <f ca="1">IF(OFFSET(BD42,1,0,1,1)&lt;&gt;0,$BM42*SUMIFS(RZ[Úroveň 7 bez koef. (P3)],RZ[0],AX42,RZ[Úroveň 2 (P0)],AY42,RZ[Úroveň 3 (P0)],AZ42,RZ[Úroveň 4 (P0)],BA42,RZ[Úroveň 5 (P0)],BB42,RZ[Úroveň 6 (P0)],BC42),$BM42*$IQ42)</f>
        <v>0</v>
      </c>
      <c r="EX42" s="135">
        <f ca="1">RZ[[#This Row],[Úroveň 7 s koef. (P3a)]]*RZ[[#This Row],[Počet MJCR (P0) pro "kg"]]</f>
        <v>0</v>
      </c>
      <c r="EY42" s="135">
        <f ca="1">RZ[Úroveň 7 bez koef. (P3a)]*RZ[[#This Row],[Počet MJCR (P0) pro "kg"]]</f>
        <v>0</v>
      </c>
      <c r="EZ42" s="135">
        <f ca="1">IF(OFFSET(BE42,1,0,1,1)&lt;&gt;0,RZ[[#This Row],[Koeficient odhadu CR '[-'] (P1)]]*$BN42*SUMIFS(RZ[Úroveň 8 s koef. (P3)],RZ[0],AX42,RZ[Úroveň 2 (P0)],AY42,RZ[Úroveň 3 (P0)],AZ42,RZ[Úroveň 4 (P0)],BA42,RZ[Úroveň 5 (P0)],BB42,RZ[Úroveň 6 (P0)],BC42,RZ[Úroveň 7 (P0)],BD42),RZ[[#This Row],[Koeficient odhadu CR '[-'] (P1)]]*$BN42*$IQ42)</f>
        <v>0</v>
      </c>
      <c r="FA42" s="135">
        <f ca="1">IF(OFFSET(BE42,1,0,1,1)&lt;&gt;0,$BN42*SUMIFS(RZ[Úroveň 8 bez koef. (P3)],RZ[0],AX42,RZ[Úroveň 2 (P0)],AY42,RZ[Úroveň 3 (P0)],AZ42,RZ[Úroveň 4 (P0)],BA42,RZ[Úroveň 5 (P0)],BB42,RZ[Úroveň 6 (P0)],BC42,RZ[Úroveň 7 (P0)],BD42),$BN42*$IQ42)</f>
        <v>0</v>
      </c>
      <c r="FB42" s="140">
        <f ca="1">RZ[[#This Row],[Úroveň 8 s koef. (P3a)]]*RZ[[#This Row],[Počet MJCR (P0) pro "kg"]]</f>
        <v>0</v>
      </c>
      <c r="FC42" s="140">
        <f ca="1">RZ[Úroveň 8 bez koef. (P3a)]*RZ[[#This Row],[Počet MJCR (P0) pro "kg"]]</f>
        <v>0</v>
      </c>
      <c r="FD42" s="140">
        <f ca="1">IF(OFFSET(BF42,1,0,1,1)&lt;&gt;0,RZ[[#This Row],[Koeficient odhadu CR '[-'] (P1)]]*$BO42*SUMIFS(RZ[Úroveň 9 s koef. (P3)],RZ[0],AX42,RZ[Úroveň 2 (P0)],AY42,RZ[Úroveň 3 (P0)],AZ42,RZ[Úroveň 4 (P0)],BA42,RZ[Úroveň 5 (P0)],BB42,RZ[Úroveň 6 (P0)],BC42,RZ[Úroveň 7 (P0)],BD42,RZ[Úroveň 8 (P0)],BE42),RZ[[#This Row],[Koeficient odhadu CR '[-'] (P1)]]*$BO42*$IQ42)</f>
        <v>0</v>
      </c>
      <c r="FE42" s="140">
        <f ca="1">IF(OFFSET(BF42,1,0,1,1)&lt;&gt;0,$BO42*SUMIFS(RZ[Úroveň 9 bez koef. (P3)],RZ[0],AX42,RZ[Úroveň 2 (P0)],AY42,RZ[Úroveň 3 (P0)],AZ42,RZ[Úroveň 4 (P0)],BA42,RZ[Úroveň 5 (P0)],BB42,RZ[Úroveň 6 (P0)],BC42,RZ[Úroveň 7 (P0)],BD42,RZ[Úroveň 8 (P0)],BE42),$BO42*$IQ42)</f>
        <v>0</v>
      </c>
      <c r="FF42" s="135">
        <f ca="1">RZ[[#This Row],[Úroveň 9 s koef. (P3a)]]*RZ[[#This Row],[Počet MJCR (P0) pro "kg"]]</f>
        <v>0</v>
      </c>
      <c r="FG42" s="135">
        <f ca="1">RZ[Úroveň 9 bez koef. (P3a)]*RZ[[#This Row],[Počet MJCR (P0) pro "kg"]]</f>
        <v>0</v>
      </c>
      <c r="FH42" s="135">
        <f ca="1">IF(OFFSET(BG42,1,0,1,1)&lt;&gt;0,RZ[[#This Row],[Koeficient odhadu CR '[-'] (P1)]]*$BP42*SUMIFS(RZ[Úroveň 10 s koef. (P3)],RZ[0],AX42,RZ[Úroveň 2 (P0)],AY42,RZ[Úroveň 3 (P0)],AZ42,RZ[Úroveň 4 (P0)],BA42,RZ[Úroveň 5 (P0)],BB42,RZ[Úroveň 6 (P0)],BC42,RZ[Úroveň 7 (P0)],BD42,RZ[Úroveň 8 (P0)],BE42,RZ[Úroveň 9 (P0)],BF42),RZ[[#This Row],[Koeficient odhadu CR '[-'] (P1)]]*$BP42*$IQ42)</f>
        <v>0</v>
      </c>
      <c r="FI42" s="135">
        <f ca="1">IF(OFFSET(BG42,1,0,1,1)&lt;&gt;0,$BP42*SUMIFS(RZ[Úroveň 10 bez koef. (P3)],RZ[0],AX42,RZ[Úroveň 2 (P0)],AY42,RZ[Úroveň 3 (P0)],AZ42,RZ[Úroveň 4 (P0)],BA42,RZ[Úroveň 5 (P0)],BB42,RZ[Úroveň 6 (P0)],BC42,RZ[Úroveň 7 (P0)],BD42,RZ[Úroveň 8 (P0)],BE42,RZ[Úroveň 9 (P0)],BF42),$BP42*$IQ42)</f>
        <v>0</v>
      </c>
      <c r="FJ42" s="140">
        <f ca="1">RZ[[#This Row],[Úroveň 10 s koef. (P3a)]]*RZ[[#This Row],[Počet MJCR (P0) pro "kg"]]</f>
        <v>0</v>
      </c>
      <c r="FK42" s="140">
        <f ca="1">RZ[Úroveň 10 bez koef. (P3a)]*RZ[[#This Row],[Počet MJCR (P0) pro "kg"]]</f>
        <v>0</v>
      </c>
      <c r="FL42" s="140">
        <f ca="1">RZ[[#This Row],[Koeficient odhadu CR '[-'] (P1)]]*$BQ42*IQ42</f>
        <v>0</v>
      </c>
      <c r="FM42" s="236">
        <f t="shared" ca="1" si="189"/>
        <v>0</v>
      </c>
      <c r="FN42" s="194">
        <f t="shared" ca="1" si="190"/>
        <v>80</v>
      </c>
      <c r="FO42" s="238">
        <f t="shared" ca="1" si="191"/>
        <v>80</v>
      </c>
      <c r="FP42" s="135">
        <f t="shared" ca="1" si="192"/>
        <v>0</v>
      </c>
      <c r="FQ42" s="135">
        <f t="shared" ca="1" si="193"/>
        <v>0</v>
      </c>
      <c r="FR42" s="135">
        <f t="shared" ca="1" si="194"/>
        <v>1.8</v>
      </c>
      <c r="FS42" s="135">
        <f t="shared" ca="1" si="195"/>
        <v>0</v>
      </c>
      <c r="FT42" s="135">
        <f t="shared" ca="1" si="196"/>
        <v>0</v>
      </c>
      <c r="FU42" s="135">
        <f t="shared" ca="1" si="197"/>
        <v>0</v>
      </c>
      <c r="FV42" s="135">
        <f t="shared" ca="1" si="198"/>
        <v>0</v>
      </c>
      <c r="FW42" s="135">
        <f t="shared" ca="1" si="199"/>
        <v>0</v>
      </c>
      <c r="FX42" s="135">
        <f t="shared" ca="1" si="200"/>
        <v>0</v>
      </c>
      <c r="FY42" s="135">
        <f t="shared" ca="1" si="201"/>
        <v>0</v>
      </c>
      <c r="FZ42" s="140">
        <f ca="1">SUMIFS(RZ[Úroveň 1 (P6)],RZ[0],AX42)</f>
        <v>1</v>
      </c>
      <c r="GA42" s="140">
        <f ca="1">SUMIFS(RZ[Úroveň 2 (P6)],RZ[0],AX42,RZ[Úroveň 2 (P0)],AY42)</f>
        <v>1</v>
      </c>
      <c r="GB42" s="140">
        <f ca="1">SUMIFS(RZ[Úroveň 3 (P6)],RZ[0],AX42,RZ[Úroveň 2 (P0)],AY42,RZ[Úroveň 3 (P0)],AZ42)</f>
        <v>1.8</v>
      </c>
      <c r="GC42" s="140">
        <f ca="1">SUMIFS(RZ[Úroveň 4 (P6)],RZ[0],AX42,RZ[Úroveň 2 (P0)],AY42,RZ[Úroveň 3 (P0)],AZ42,RZ[Úroveň 4 (P0)],BA42)</f>
        <v>0</v>
      </c>
      <c r="GD42" s="140">
        <f ca="1">SUMIFS(RZ[Úroveň 5 (P6)],RZ[0],AX42,RZ[Úroveň 2 (P0)],AY42,RZ[Úroveň 3 (P0)],AZ42,RZ[Úroveň 4 (P0)],BA42,RZ[Úroveň 5 (P0)],BB42)</f>
        <v>0</v>
      </c>
      <c r="GE42" s="140">
        <f ca="1">SUMIFS(RZ[Úroveň 6 (P6)],RZ[0],AX42,RZ[Úroveň 2 (P0)],AY42,RZ[Úroveň 3 (P0)],AZ42,RZ[Úroveň 4 (P0)],BA42,RZ[Úroveň 5 (P0)],BB42,RZ[Úroveň 6 (P0)],BC42)</f>
        <v>0</v>
      </c>
      <c r="GF42" s="140">
        <f ca="1">SUMIFS(RZ[Úroveň 7 (P6)],RZ[0],AX42,RZ[Úroveň 2 (P0)],AY42,RZ[Úroveň 3 (P0)],AZ42,RZ[Úroveň 4 (P0)],BA42,RZ[Úroveň 5 (P0)],BB42,RZ[Úroveň 6 (P0)],BC42,RZ[Úroveň 7 (P0)],BD42)</f>
        <v>0</v>
      </c>
      <c r="GG42" s="140">
        <f ca="1">SUMIFS(RZ[Úroveň 8 (P6)],RZ[0],AX42,RZ[Úroveň 2 (P0)],AY42,RZ[Úroveň 3 (P0)],AZ42,RZ[Úroveň 4 (P0)],BA42,RZ[Úroveň 5 (P0)],BB42,RZ[Úroveň 6 (P0)],BC42,RZ[Úroveň 7 (P0)],BD42,RZ[Úroveň 8 (P0)],BE42)</f>
        <v>0</v>
      </c>
      <c r="GH42" s="140">
        <f ca="1">SUMIFS(RZ[Úroveň 9 (P6)],RZ[0],AX42,RZ[Úroveň 2 (P0)],AY42,RZ[Úroveň 3 (P0)],AZ42,RZ[Úroveň 4 (P0)],BA42,RZ[Úroveň 5 (P0)],BB42,RZ[Úroveň 6 (P0)],BC42,RZ[Úroveň 7 (P0)],BD42,RZ[Úroveň 8 (P0)],BE42,RZ[Úroveň 9 (P0)],BF42)</f>
        <v>0</v>
      </c>
      <c r="GI42" s="140">
        <f ca="1">SUMIFS(RZ[Úroveň 10 (P6)],RZ[0],AX42,RZ[Úroveň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GJ42" s="918">
        <f t="shared" ca="1" si="202"/>
        <v>1.8</v>
      </c>
      <c r="GK42" s="808">
        <f t="shared" si="203"/>
        <v>0</v>
      </c>
      <c r="GL42" s="808">
        <f t="shared" si="204"/>
        <v>0</v>
      </c>
      <c r="GM42" s="808">
        <f t="shared" si="205"/>
        <v>1</v>
      </c>
      <c r="GN42" s="808">
        <f t="shared" si="206"/>
        <v>0</v>
      </c>
      <c r="GO42" s="808">
        <f t="shared" si="207"/>
        <v>0</v>
      </c>
      <c r="GP42" s="808">
        <f t="shared" si="208"/>
        <v>0</v>
      </c>
      <c r="GQ42" s="808">
        <f t="shared" si="209"/>
        <v>0</v>
      </c>
      <c r="GR42" s="808">
        <f t="shared" si="210"/>
        <v>0</v>
      </c>
      <c r="GS42" s="808">
        <f t="shared" si="211"/>
        <v>0</v>
      </c>
      <c r="GT42" s="808">
        <f t="shared" si="212"/>
        <v>0</v>
      </c>
      <c r="GU42" s="809">
        <f ca="1">SUMIFS(RZ[Sloupec1],RZ[0],AX42)</f>
        <v>1</v>
      </c>
      <c r="GV42" s="809">
        <f ca="1">SUMIFS(RZ[Sloupec2],RZ[0],AX42,RZ[Úroveň 2 (P0)],AY42)</f>
        <v>1</v>
      </c>
      <c r="GW42" s="809">
        <f ca="1">SUMIFS(RZ[Sloupec3],RZ[0],AX42,RZ[Úroveň 2 (P0)],AY42,RZ[Úroveň 3 (P0)],AZ42)</f>
        <v>1</v>
      </c>
      <c r="GX42" s="809">
        <f ca="1">SUMIFS(RZ[Sloupec4],RZ[0],AX42,RZ[Úroveň 2 (P0)],AY42,RZ[Úroveň 3 (P0)],AZ42,RZ[Úroveň 4 (P0)],BA42)</f>
        <v>0</v>
      </c>
      <c r="GY42" s="809">
        <f ca="1">SUMIFS(RZ[Sloupec5],RZ[0],AX42,RZ[Úroveň 2 (P0)],AY42,RZ[Úroveň 3 (P0)],AZ42,RZ[Úroveň 4 (P0)],BA42,RZ[Úroveň 5 (P0)],BB42)</f>
        <v>0</v>
      </c>
      <c r="GZ42" s="809">
        <f ca="1">SUMIFS(RZ[Sloupec6],RZ[0],AX42,RZ[Úroveň 2 (P0)],AY42,RZ[Úroveň 3 (P0)],AZ42,RZ[Úroveň 4 (P0)],BA42,RZ[Úroveň 5 (P0)],BB42,RZ[Úroveň 6 (P0)],BC42)</f>
        <v>0</v>
      </c>
      <c r="HA42" s="809">
        <f ca="1">SUMIFS(RZ[Sloupec62],RZ[0],AX42,RZ[Úroveň 2 (P0)],AY42,RZ[Úroveň 3 (P0)],AZ42,RZ[Úroveň 4 (P0)],BA42,RZ[Úroveň 5 (P0)],BB42,RZ[Úroveň 6 (P0)],BC42,RZ[Úroveň 7 (P0)],BD42)</f>
        <v>0</v>
      </c>
      <c r="HB42" s="809">
        <f ca="1">SUMIFS(RZ[Sloupec63],RZ[0],AX42,RZ[Úroveň 2 (P0)],AY42,RZ[Úroveň 3 (P0)],AZ42,RZ[Úroveň 4 (P0)],BA42,RZ[Úroveň 5 (P0)],BB42,RZ[Úroveň 6 (P0)],BC42,RZ[Úroveň 7 (P0)],BD42,RZ[Úroveň 8 (P0)],BE42)</f>
        <v>0</v>
      </c>
      <c r="HC42" s="809">
        <f ca="1">SUMIFS(RZ[Sloupec64],RZ[0],AX42,RZ[Úroveň 2 (P0)],AY42,RZ[Úroveň 3 (P0)],AZ42,RZ[Úroveň 4 (P0)],BA42,RZ[Úroveň 5 (P0)],BB42,RZ[Úroveň 6 (P0)],BC42,RZ[Úroveň 7 (P0)],BD42,RZ[Úroveň 8 (P0)],BE42,RZ[Úroveň 9 (P0)],BF42)</f>
        <v>0</v>
      </c>
      <c r="HD42" s="809">
        <f ca="1">SUMIFS(RZ[Sloupec65],RZ[0],AX42,RZ[Úroveň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HE42" s="919">
        <f t="shared" ca="1" si="213"/>
        <v>1</v>
      </c>
      <c r="HF42" s="920" t="str">
        <f t="shared" si="214"/>
        <v/>
      </c>
      <c r="HG42" s="94" t="str">
        <f t="shared" si="215"/>
        <v/>
      </c>
      <c r="HH42" s="95" t="str">
        <f t="shared" si="216"/>
        <v/>
      </c>
      <c r="HI42" s="95" t="str">
        <f t="shared" si="217"/>
        <v>Kryt převodu</v>
      </c>
      <c r="HJ42" s="96" t="str">
        <f t="shared" si="218"/>
        <v/>
      </c>
      <c r="HK42" s="96" t="str">
        <f t="shared" si="219"/>
        <v/>
      </c>
      <c r="HL42" s="96" t="str">
        <f t="shared" si="220"/>
        <v/>
      </c>
      <c r="HM42" s="96" t="str">
        <f t="shared" si="221"/>
        <v/>
      </c>
      <c r="HN42" s="96" t="str">
        <f t="shared" si="222"/>
        <v/>
      </c>
      <c r="HO42" s="96" t="str">
        <f t="shared" si="223"/>
        <v/>
      </c>
      <c r="HP42" s="96" t="str">
        <f t="shared" si="224"/>
        <v/>
      </c>
      <c r="HQ42" s="145" t="str">
        <f t="shared" si="225"/>
        <v>OKS3</v>
      </c>
      <c r="HR42" s="921" t="str">
        <f t="shared" si="226"/>
        <v/>
      </c>
      <c r="HS42" s="173">
        <f t="shared" si="227"/>
        <v>0</v>
      </c>
      <c r="HT42" s="100">
        <f t="shared" si="228"/>
        <v>0</v>
      </c>
      <c r="HU42" s="100">
        <f t="shared" si="229"/>
        <v>0</v>
      </c>
      <c r="HV42" s="908">
        <f t="shared" si="230"/>
        <v>0</v>
      </c>
      <c r="HW42" s="922">
        <f t="shared" si="231"/>
        <v>0</v>
      </c>
      <c r="HX42" s="224">
        <f t="shared" si="232"/>
        <v>0</v>
      </c>
      <c r="HY42" s="263" t="str">
        <f t="shared" si="233"/>
        <v>S</v>
      </c>
      <c r="HZ42" s="263">
        <f t="shared" si="234"/>
        <v>0</v>
      </c>
      <c r="IA42" s="150">
        <f t="shared" si="235"/>
        <v>1</v>
      </c>
      <c r="IB42" s="319">
        <f t="shared" si="236"/>
        <v>0</v>
      </c>
      <c r="IC42" s="923">
        <f t="shared" si="237"/>
        <v>0</v>
      </c>
      <c r="ID42" s="924" t="str">
        <f t="shared" ca="1" si="238"/>
        <v>OK</v>
      </c>
      <c r="IE42" s="201" t="str">
        <f t="shared" si="239"/>
        <v>ks</v>
      </c>
      <c r="IF42" s="145">
        <f t="shared" si="240"/>
        <v>2</v>
      </c>
      <c r="IG42" s="216">
        <f t="shared" si="241"/>
        <v>0.9</v>
      </c>
      <c r="IH42" s="217">
        <f t="shared" si="242"/>
        <v>1</v>
      </c>
      <c r="II42" s="224" t="str">
        <f ca="1">IF(RZ[[#This Row],[Rozhodný sloupec indikativní ceny]]=1,"kg",IF($IW42=$JL$15,IF(JX42=0,JO42,JX42),IF($IW42=$KE$15,IF(KQ42=0,KH42,KQ42),IF($IW42=$KX$15,IF(LJ42=0,LA42,LJ42),IF($IW42=$LQ$15,IF(MC42=0,LT42,MC42),IF($IW42=$MJ$15,IF(NQ42=0,NH42,NQ42),0))))))</f>
        <v>kg</v>
      </c>
      <c r="IJ42" s="224">
        <f ca="1">IF((BH42+OFFSET(BH42,1,1,1,1))=2,RZ[[#This Row],[Počet MJHR (P0)]],IF((BI42+OFFSET(BI42,1,1,1,1))=2,RZ[[#This Row],[Počet MJHR (P0)]],IF((BJ42+OFFSET(BJ42,1,1,1,1))=2,RZ[[#This Row],[Počet MJHR (P0)]],IF((BK42+OFFSET(BK42,1,1,1,1))=2,RZ[[#This Row],[Počet MJHR (P0)]],IF((BL42+OFFSET(BL42,1,1,1,1))=2,RZ[[#This Row],[Počet MJHR (P0)]],IF((BM42+OFFSET(BM42,1,1,1,1))=2,RZ[[#This Row],[Počet MJHR (P0)]],IF((BN42+OFFSET(BN42,1,1,1,1))=2,RZ[[#This Row],[Počet MJHR (P0)]],IF((BO42+OFFSET(BO42,1,1,1,1))=2,RZ[[#This Row],[Počet MJHR (P0)]],IF((BP42+OFFSET(BP42,1,1,1,1))=2,RZ[[#This Row],[Počet MJHR (P0)]],IF((BQ42+OFFSET(BQ42,1,1,1,1))=2,RZ[[#This Row],[Počet MJHR (P0)]],IF(RZ[[#This Row],[Měrná jednotka CR (MJCR) (P0)]]=RZ[[#This Row],[Měrná jednotka HR '[MJHR'] (P0)]],RZ[[#This Row],[Počet MJHR (P0)]],IF($IW42=$JL$15,JY42,IF($IW42=$KE$15,KR42,IF($IW42=$KX$15,LK42,IF($IW42=$LQ$15,MD42,IF($IW42=$MJ$15,NR42,0))))))))))))))))</f>
        <v>0</v>
      </c>
      <c r="IK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</v>
      </c>
      <c r="IL42" s="145">
        <f ca="1">IF(AND(RZ[[#This Row],[Jednotková cena bez DPH '[cena/MJCR'] (P0)]]=0,RZ[[#This Row],[Indikativní jednotková cena '[CZK/kg'] (P1)]]&lt;&gt;0),1,0)</f>
        <v>1</v>
      </c>
      <c r="IM42" s="217">
        <f ca="1">VLOOKUP(RZ[[#This Row],[Kód položek]],INDIKAT_CENA,2,FALSE)</f>
        <v>80</v>
      </c>
      <c r="IN42" s="222">
        <f ca="1">IF(RZ[[#This Row],[Rozhodný sloupec indikativní ceny]]=1,RZ[[#This Row],[Indikativní jednotková cena '[CZK/kg'] (P1)]],RZ[[#This Row],[Jednotková cena bez DPH '[cena/MJCR'] (P0)]])</f>
        <v>80</v>
      </c>
      <c r="IO42" s="222">
        <f t="shared" si="243"/>
        <v>1</v>
      </c>
      <c r="IP42" s="224">
        <f ca="1">IF(RZ[[#This Row],[Rozhodný sloupec indikativní ceny]]=1,1,IF($IW42=$JL$15,KA42,IF($IW42=$KE$15,KT42,IF($IW42=$KX$15,LM42,IF($IW42=$LQ$15,MF42,IF($IW42=$MJ$15,NT42,0))))))</f>
        <v>1</v>
      </c>
      <c r="IQ42" s="225">
        <f ca="1">IF(RZ[[#This Row],[Jednotková cena bez DPH '[cena/MJCR'] (P1)]]="",0,IF(IP42=0,0,(RZ[[#This Row],[Jednotková cena bez DPH '[cena/MJCR'] (P1)]]*VLOOKUP(IP42,$BR$7:$BT$10,3))))</f>
        <v>80</v>
      </c>
      <c r="IR42" s="737"/>
      <c r="IS42" s="627">
        <f>IF(HY42=0,"",VLOOKUP(RZ[[#This Row],[Stav Projekce (P0)]],Vstupy!$E$11:'Vstupy'!$E$11:$H$17,4,FALSE))</f>
        <v>100</v>
      </c>
      <c r="IT42" s="925" t="str">
        <f>IF(RZ[[#This Row],[Stav Projekce (P0)]]=0,"",RZ[[#This Row],[Stav Projekce (P0)]])</f>
        <v>S</v>
      </c>
      <c r="IU42" s="925" t="str">
        <f>IF(RZ[[#This Row],[Stav Nákup (P0)]]=0,"",RZ[[#This Row],[Stav Nákup (P0)]])</f>
        <v/>
      </c>
      <c r="IV42" s="926" t="str">
        <f t="shared" si="244"/>
        <v/>
      </c>
      <c r="IW42" s="641">
        <v>1</v>
      </c>
      <c r="IX42" s="630"/>
      <c r="IY42" s="264"/>
      <c r="IZ42" s="648"/>
      <c r="JA42" s="100"/>
      <c r="JB42" s="100" t="s">
        <v>819</v>
      </c>
      <c r="JC42" s="100"/>
      <c r="JD42" s="100"/>
      <c r="JE42" s="100"/>
      <c r="JF42" s="100"/>
      <c r="JG42" s="100"/>
      <c r="JH42" s="100"/>
      <c r="JI42" s="100"/>
      <c r="JJ42" s="145" t="s">
        <v>769</v>
      </c>
      <c r="JK42" s="529"/>
      <c r="JL42" s="286"/>
      <c r="JM42" s="100"/>
      <c r="JN42" s="100"/>
      <c r="JO42" s="145" t="s">
        <v>35</v>
      </c>
      <c r="JP42" s="117">
        <v>2</v>
      </c>
      <c r="JQ42" s="117">
        <v>0.9</v>
      </c>
      <c r="JR42" s="148">
        <v>1</v>
      </c>
      <c r="JS42" s="145" t="s">
        <v>602</v>
      </c>
      <c r="JT42" s="631"/>
      <c r="JU42" s="148"/>
      <c r="JV42" s="154"/>
      <c r="JW42" s="145"/>
      <c r="JX42" s="210"/>
      <c r="JY42" s="117"/>
      <c r="JZ42" s="662"/>
      <c r="KA42" s="145"/>
      <c r="KB42" s="148"/>
      <c r="KC42" s="148"/>
      <c r="KD42" s="644"/>
      <c r="KE42" s="286"/>
      <c r="KF42" s="100"/>
      <c r="KG42" s="100"/>
      <c r="KH42" s="210"/>
      <c r="KI42" s="117"/>
      <c r="KJ42" s="117"/>
      <c r="KK42" s="148"/>
      <c r="KL42" s="145"/>
      <c r="KM42" s="632"/>
      <c r="KN42" s="148"/>
      <c r="KO42" s="154"/>
      <c r="KP42" s="154"/>
      <c r="KQ42" s="210"/>
      <c r="KR42" s="117"/>
      <c r="KS42" s="211"/>
      <c r="KT42" s="145"/>
      <c r="KU42" s="148"/>
      <c r="KV42" s="148"/>
      <c r="KW42" s="265"/>
      <c r="KX42" s="286"/>
      <c r="KY42" s="100"/>
      <c r="KZ42" s="100"/>
      <c r="LA42" s="210"/>
      <c r="LB42" s="117"/>
      <c r="LC42" s="117"/>
      <c r="LD42" s="148"/>
      <c r="LE42" s="145"/>
      <c r="LF42" s="632"/>
      <c r="LG42" s="148"/>
      <c r="LH42" s="154"/>
      <c r="LI42" s="154"/>
      <c r="LJ42" s="154"/>
      <c r="LK42" s="117"/>
      <c r="LL42" s="211"/>
      <c r="LM42" s="210"/>
      <c r="LN42" s="148"/>
      <c r="LO42" s="148"/>
      <c r="LP42" s="265"/>
      <c r="LQ42" s="286"/>
      <c r="LR42" s="100"/>
      <c r="LS42" s="100"/>
      <c r="LT42" s="210"/>
      <c r="LU42" s="117"/>
      <c r="LV42" s="117"/>
      <c r="LW42" s="148"/>
      <c r="LX42" s="145"/>
      <c r="LY42" s="632"/>
      <c r="LZ42" s="148"/>
      <c r="MA42" s="154"/>
      <c r="MB42" s="154"/>
      <c r="MC42" s="145"/>
      <c r="MD42" s="117"/>
      <c r="ME42" s="211"/>
      <c r="MF42" s="210"/>
      <c r="MG42" s="148"/>
      <c r="MH42" s="148"/>
      <c r="MI42" s="265"/>
      <c r="MJ42" s="647"/>
      <c r="MK42" s="264"/>
      <c r="ML42" s="153"/>
      <c r="MM42" s="153"/>
      <c r="MN42" s="153"/>
      <c r="MO42" s="153"/>
      <c r="MP42" s="153"/>
      <c r="MQ42" s="153"/>
      <c r="MR42" s="153"/>
      <c r="MS42" s="99"/>
      <c r="MT42" s="99"/>
      <c r="MU42" s="99"/>
      <c r="MV42" s="99"/>
      <c r="MW42" s="99"/>
      <c r="MX42" s="99"/>
      <c r="MY42" s="153"/>
      <c r="MZ42" s="153"/>
      <c r="NA42" s="153"/>
      <c r="NB42" s="153"/>
      <c r="NC42" s="153"/>
      <c r="ND42" s="153"/>
      <c r="NE42" s="148"/>
      <c r="NF42" s="153"/>
      <c r="NG42" s="153"/>
      <c r="NH42" s="330" t="str">
        <f t="shared" si="245"/>
        <v>ks</v>
      </c>
      <c r="NI42" s="797">
        <f>RZ[[#This Row],[Počet ks (K)]]</f>
        <v>0</v>
      </c>
      <c r="NJ42" s="798">
        <f>RZ[[#This Row],[Hmotnost '[kg/ks'] (K)]]</f>
        <v>0</v>
      </c>
      <c r="NK42" s="148"/>
      <c r="NL42" s="145"/>
      <c r="NM42" s="632"/>
      <c r="NN42" s="148"/>
      <c r="NO42" s="154"/>
      <c r="NP42" s="153"/>
      <c r="NQ42" s="153"/>
      <c r="NR42" s="210"/>
      <c r="NS42" s="148"/>
      <c r="NT42" s="210"/>
      <c r="NU42" s="148"/>
      <c r="NV42" s="148"/>
      <c r="NW42" s="175"/>
    </row>
    <row r="43" spans="2:387" ht="15.95" customHeight="1" x14ac:dyDescent="0.35">
      <c r="B43" s="118" t="str">
        <f t="shared" si="129"/>
        <v/>
      </c>
      <c r="C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3" s="262" t="str">
        <f t="shared" si="130"/>
        <v xml:space="preserve">    Kryt brzdy</v>
      </c>
      <c r="E43" s="120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Row],[Kód položek (P2)]]))))))))))</f>
        <v>OKS3</v>
      </c>
      <c r="F43" s="791" t="str">
        <f t="shared" si="131"/>
        <v>N/A</v>
      </c>
      <c r="G43" s="792" t="str">
        <f t="shared" si="132"/>
        <v/>
      </c>
      <c r="H43" s="262" t="str">
        <f t="shared" si="133"/>
        <v/>
      </c>
      <c r="I43" s="123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HR '[MJHR'] (P0)]]))))))))))</f>
        <v>ks</v>
      </c>
      <c r="J43" s="123">
        <f t="shared" si="134"/>
        <v>2</v>
      </c>
      <c r="K43" s="793">
        <f>RZ[[#This Row],[Koeficient odhadu HR '[-'] (P1)]]</f>
        <v>1</v>
      </c>
      <c r="L43" s="124">
        <f ca="1">RZ[[#This Row],[Jednotková hmotnost s koef. '[kg/MJHR'] (P0)]]</f>
        <v>5.9</v>
      </c>
      <c r="M43" s="794">
        <f t="shared" ca="1" si="135"/>
        <v>0</v>
      </c>
      <c r="N43" s="125">
        <f t="shared" ca="1" si="136"/>
        <v>11.8</v>
      </c>
      <c r="O43" s="125">
        <f t="shared" ca="1" si="137"/>
        <v>0</v>
      </c>
      <c r="P43" s="126" t="str">
        <f t="shared" si="138"/>
        <v/>
      </c>
      <c r="Q43" s="795">
        <f ca="1">RZ[[#This Row],[Počet MJHR v rozpadu (P0)]]</f>
        <v>2</v>
      </c>
      <c r="R43" s="439" t="str">
        <f t="shared" si="139"/>
        <v/>
      </c>
      <c r="S43" s="129" t="str">
        <f t="shared" si="140"/>
        <v/>
      </c>
      <c r="T43" s="126" t="str">
        <f t="shared" si="141"/>
        <v/>
      </c>
      <c r="U43" s="126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CR (MJCR) (P0)]]))))))))))</f>
        <v>kg</v>
      </c>
      <c r="V43" s="575">
        <f t="shared" ca="1" si="142"/>
        <v>11.8</v>
      </c>
      <c r="W43" s="322">
        <f>RZ[[#This Row],[Koeficient odhadu CR '[-'] (P1)]]</f>
        <v>1</v>
      </c>
      <c r="X43" s="440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Row],[Jednotková cena bez DPH '[cena/MJCR'] (P1)]]*RZ[[#This Row],[Koeficient odhadu CR '[-']]]))))))))))</f>
        <v>80</v>
      </c>
      <c r="Y43" s="440">
        <f t="shared" ca="1" si="143"/>
        <v>0</v>
      </c>
      <c r="Z43" s="142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VLOOKUP(IP43,$BR$7:$BS$11,2,FALSE)))))))))))</f>
        <v>CZK</v>
      </c>
      <c r="AA43" s="909">
        <f t="shared" ca="1" si="144"/>
        <v>11.8</v>
      </c>
      <c r="AB43" s="910">
        <f ca="1">RZ[[#This Row],[Kumulovaný koeficient v rozpadu (P0)]]</f>
        <v>1</v>
      </c>
      <c r="AC43" s="261"/>
      <c r="AD43" s="796">
        <f ca="1">RZ[[#This Row],[Jednotková cena bez DPH '[cena/MJCR'] s koef. (P0)]]/RZ[[#This Row],[Koeficient odhadu CR '[-']]]*RZ[[#This Row],[Kumulovaný koeficient odhadu CR  '[-']]]</f>
        <v>80</v>
      </c>
      <c r="AE43" s="796">
        <f t="shared" ca="1" si="145"/>
        <v>944</v>
      </c>
      <c r="AF43" s="796">
        <f ca="1">-IF(ISNUMBER(AA43),RZ[[#This Row],[Celková cena bez DPH (1)]]-RZ[[#This Row],[Jednotková cena bez DPH '[cena/MJCR'] bez koef. (P0)]]*AA43,0)</f>
        <v>0</v>
      </c>
      <c r="AG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3" s="261"/>
      <c r="AI43" s="796">
        <f t="shared" ca="1" si="146"/>
        <v>2.9629629629629628</v>
      </c>
      <c r="AJ43" s="796">
        <f t="shared" ca="1" si="147"/>
        <v>34.962962962962962</v>
      </c>
      <c r="AK43" s="796">
        <f t="shared" ca="1" si="148"/>
        <v>0</v>
      </c>
      <c r="AL43" s="753">
        <f ca="1">RZ[[#This Row],[Kilogramová cena bez DPH '[cena/kg'] (1)]]/$AK$13</f>
        <v>2.9629629629629628</v>
      </c>
      <c r="AM43" s="261"/>
      <c r="AN43" s="796">
        <f t="shared" ca="1" si="149"/>
        <v>3.8647342995169085</v>
      </c>
      <c r="AO43" s="796">
        <f t="shared" ca="1" si="150"/>
        <v>45.60386473429952</v>
      </c>
      <c r="AP43" s="796">
        <f t="shared" ca="1" si="151"/>
        <v>0</v>
      </c>
      <c r="AQ43" s="753">
        <f ca="1">RZ[[#This Row],[Kilogramová cena bez DPH '[cena/kg'] (1)]]/$AP$13</f>
        <v>3.8647342995169085</v>
      </c>
      <c r="AR43" s="261"/>
      <c r="AS43" s="796">
        <f t="shared" ca="1" si="152"/>
        <v>2.1881838074398248</v>
      </c>
      <c r="AT43" s="796">
        <f t="shared" ca="1" si="153"/>
        <v>25.820568927789932</v>
      </c>
      <c r="AU43" s="789">
        <f t="shared" ca="1" si="154"/>
        <v>0</v>
      </c>
      <c r="AV43" s="767">
        <f ca="1">RZ[[#This Row],[Kilogramová cena bez DPH '[cena/kg'] (1)]]/$AU$13</f>
        <v>2.1881838074398248</v>
      </c>
      <c r="AW43" s="165"/>
      <c r="AX43" s="911">
        <f t="shared" ca="1" si="155"/>
        <v>2</v>
      </c>
      <c r="AY43" s="111">
        <f t="shared" ca="1" si="156"/>
        <v>1</v>
      </c>
      <c r="AZ43" s="111">
        <f t="shared" ca="1" si="157"/>
        <v>20</v>
      </c>
      <c r="BA43" s="111">
        <f t="shared" ca="1" si="158"/>
        <v>0</v>
      </c>
      <c r="BB43" s="111">
        <f t="shared" ca="1" si="159"/>
        <v>0</v>
      </c>
      <c r="BC43" s="111">
        <f t="shared" ca="1" si="160"/>
        <v>0</v>
      </c>
      <c r="BD43" s="111">
        <f t="shared" ca="1" si="161"/>
        <v>0</v>
      </c>
      <c r="BE43" s="111">
        <f t="shared" ca="1" si="162"/>
        <v>0</v>
      </c>
      <c r="BF43" s="111">
        <f t="shared" ca="1" si="163"/>
        <v>0</v>
      </c>
      <c r="BG43" s="112">
        <f t="shared" ca="1" si="164"/>
        <v>0</v>
      </c>
      <c r="BH43" s="911">
        <f t="shared" si="165"/>
        <v>0</v>
      </c>
      <c r="BI43" s="111">
        <f t="shared" si="166"/>
        <v>0</v>
      </c>
      <c r="BJ43" s="111">
        <f t="shared" si="167"/>
        <v>1</v>
      </c>
      <c r="BK43" s="111">
        <f t="shared" si="168"/>
        <v>0</v>
      </c>
      <c r="BL43" s="111">
        <f t="shared" si="169"/>
        <v>0</v>
      </c>
      <c r="BM43" s="111">
        <f t="shared" si="170"/>
        <v>0</v>
      </c>
      <c r="BN43" s="111">
        <f t="shared" si="171"/>
        <v>0</v>
      </c>
      <c r="BO43" s="111">
        <f t="shared" si="172"/>
        <v>0</v>
      </c>
      <c r="BP43" s="111">
        <f t="shared" si="173"/>
        <v>0</v>
      </c>
      <c r="BQ43" s="112">
        <f t="shared" si="174"/>
        <v>0</v>
      </c>
      <c r="BR43" s="132">
        <f ca="1">IF(OFFSET(AY43,1,0,1,1)&lt;&gt;0,RZ[[#This Row],[Koeficient odhadu HR '[-'] (P1)]]*$BH43*SUMIFS(RZ[Úroveň 2 s koef. (P2)],RZ[0],AX43),RZ[[#This Row],[Koeficient odhadu HR '[-'] (P1)]]*$BH43*$IG43)</f>
        <v>0</v>
      </c>
      <c r="BS43" s="186">
        <f ca="1">IF(OFFSET(AY43,1,0,1,1)&lt;&gt;0,$BH43*SUMIFS(RZ[Úroveň 2 bez koef. (P2)],RZ[0],AX43),$BH43*$IG43)</f>
        <v>0</v>
      </c>
      <c r="BT43" s="138">
        <f ca="1">RZ[[#This Row],[Úroveň 2 s koef. (P2a)]]*RZ[[#This Row],[Počet MJHR (P0)]]</f>
        <v>0</v>
      </c>
      <c r="BU43" s="138">
        <f ca="1">RZ[[#This Row],[Úroveň 2 bez koef. (P2a)]]*RZ[[#This Row],[Počet MJHR (P0)]]</f>
        <v>0</v>
      </c>
      <c r="BV43" s="138">
        <f ca="1">IF(OFFSET(AZ43,1,0,1,1)&lt;&gt;0,RZ[[#This Row],[Koeficient odhadu HR '[-'] (P1)]]*$BI43*SUMIFS(RZ[Úroveň 3 s koef. (P2)],RZ[0],AX43,RZ[Úroveň 2 (P0)],AY43),RZ[[#This Row],[Koeficient odhadu HR '[-'] (P1)]]*$BI43*$IG43)</f>
        <v>0</v>
      </c>
      <c r="BW43" s="138">
        <f ca="1">IF(OFFSET(AZ43,1,0,1,1)&lt;&gt;0,$BI43*SUMIFS(RZ[Úroveň 3 bez koef. (P2)],RZ[0],AX43,RZ[Úroveň 2 (P0)],AY43),$BI43*$IG43)</f>
        <v>0</v>
      </c>
      <c r="BX43" s="132">
        <f ca="1">RZ[[#This Row],[Úroveň 3 s koef. (P2a)]]*RZ[[#This Row],[Počet MJHR (P0)]]</f>
        <v>11.8</v>
      </c>
      <c r="BY43" s="132">
        <f ca="1">RZ[Úroveň 3 bez koef. (P2a)]*RZ[[#This Row],[Počet MJHR (P0)]]</f>
        <v>11.8</v>
      </c>
      <c r="BZ43" s="132">
        <f ca="1">IF(OFFSET(BA43,1,0,1,1)&lt;&gt;0,RZ[[#This Row],[Koeficient odhadu HR '[-'] (P1)]]*$BJ43*SUMIFS(RZ[Úroveň 4 s koef. (P2)],RZ[0],AX43,RZ[Úroveň 2 (P0)],AY43,RZ[Úroveň 3 (P0)],AZ43),RZ[[#This Row],[Koeficient odhadu HR '[-'] (P1)]]*$BJ43*$IG43)</f>
        <v>5.9</v>
      </c>
      <c r="CA43" s="132">
        <f ca="1">IF(OFFSET(BA43,1,0,1,1)&lt;&gt;0,$BJ43*SUMIFS(RZ[Úroveň 4 bez koef. (P2)],RZ[0],AX43,RZ[Úroveň 2 (P0)],AY43,RZ[Úroveň 3 (P0)],AZ43),$BJ43*$IG43)</f>
        <v>5.9</v>
      </c>
      <c r="CB43" s="138">
        <f ca="1">RZ[[#This Row],[Úroveň 4 s koef. (P2a)]]*RZ[[#This Row],[Počet MJHR (P0)]]</f>
        <v>0</v>
      </c>
      <c r="CC43" s="138">
        <f ca="1">RZ[Úroveň 4 bez koef. (P2a)]*RZ[[#This Row],[Počet MJHR (P0)]]</f>
        <v>0</v>
      </c>
      <c r="CD43" s="138">
        <f ca="1">IF(OFFSET(BB43,1,0,1,1)&lt;&gt;0,RZ[[#This Row],[Koeficient odhadu HR '[-'] (P1)]]*$BK43*SUMIFS(RZ[Úroveň 5 s koef. (P2)],RZ[0],AX43,RZ[Úroveň 2 (P0)],AY43,RZ[Úroveň 3 (P0)],AZ43,RZ[Úroveň 4 (P0)],BA43),RZ[[#This Row],[Koeficient odhadu HR '[-'] (P1)]]*$BK43*$IG43)</f>
        <v>0</v>
      </c>
      <c r="CE43" s="138">
        <f ca="1">IF(OFFSET(BB43,1,0,1,1)&lt;&gt;0,$BK43*SUMIFS(RZ[Úroveň 5 bez koef. (P2)],RZ[0],AX43,RZ[Úroveň 2 (P0)],AY43,RZ[Úroveň 3 (P0)],AZ43,RZ[Úroveň 4 (P0)],BA43),$BK43*$IG43)</f>
        <v>0</v>
      </c>
      <c r="CF43" s="132">
        <f ca="1">RZ[[#This Row],[Úroveň 5 s koef. (P2a)]]*RZ[[#This Row],[Počet MJHR (P0)]]</f>
        <v>0</v>
      </c>
      <c r="CG43" s="132">
        <f ca="1">RZ[Úroveň 5 bez koef. (P2a)]*RZ[[#This Row],[Počet MJHR (P0)]]</f>
        <v>0</v>
      </c>
      <c r="CH43" s="132">
        <f ca="1">IF(OFFSET(BC43,1,0,1,1)&lt;&gt;0,RZ[[#This Row],[Koeficient odhadu HR '[-'] (P1)]]*$BL43*SUMIFS(RZ[Úroveň 6 s koef. (P2)],RZ[0],AX43,RZ[Úroveň 2 (P0)],AY43,RZ[Úroveň 3 (P0)],AZ43,RZ[Úroveň 4 (P0)],BA43,RZ[Úroveň 5 (P0)],BB43),RZ[[#This Row],[Koeficient odhadu HR '[-'] (P1)]]*$BL43*$IG43)</f>
        <v>0</v>
      </c>
      <c r="CI43" s="132">
        <f ca="1">IF(OFFSET(BC43,1,0,1,1)&lt;&gt;0,$BL43*SUMIFS(RZ[Úroveň 6 bez koef. (P2)],RZ[0],AX43,RZ[Úroveň 2 (P0)],AY43,RZ[Úroveň 3 (P0)],AZ43,RZ[Úroveň 4 (P0)],BA43,RZ[Úroveň 5 (P0)],BB43),$BL43*$IG43)</f>
        <v>0</v>
      </c>
      <c r="CJ43" s="138">
        <f ca="1">RZ[[#This Row],[Úroveň 6 s koef. (P2a)]]*RZ[[#This Row],[Počet MJHR (P0)]]</f>
        <v>0</v>
      </c>
      <c r="CK43" s="138">
        <f ca="1">RZ[Úroveň 6 bez koef. (P2a)]*RZ[[#This Row],[Počet MJHR (P0)]]</f>
        <v>0</v>
      </c>
      <c r="CL43" s="138">
        <f ca="1">IF(OFFSET(BD43,1,0,1,1)&lt;&gt;0,RZ[[#This Row],[Koeficient odhadu HR '[-'] (P1)]]*$BM43*SUMIFS(RZ[Úroveň 7 s koef. (P2)],RZ[0],AX43,RZ[Úroveň 2 (P0)],AY43,RZ[Úroveň 3 (P0)],AZ43,RZ[Úroveň 4 (P0)],BA43,RZ[Úroveň 5 (P0)],BB43,RZ[Úroveň 6 (P0)],BC43),RZ[[#This Row],[Koeficient odhadu HR '[-'] (P1)]]*$BM43*$IG43)</f>
        <v>0</v>
      </c>
      <c r="CM43" s="138">
        <f ca="1">IF(OFFSET(BD43,1,0,1,1)&lt;&gt;0,$BM43*SUMIFS(RZ[Úroveň 7 bez koef. (P2)],RZ[0],AX43,RZ[Úroveň 2 (P0)],AY43,RZ[Úroveň 3 (P0)],AZ43,RZ[Úroveň 4 (P0)],BA43,RZ[Úroveň 5 (P0)],BB43,RZ[Úroveň 6 (P0)],BC43),$BM43*$IG43)</f>
        <v>0</v>
      </c>
      <c r="CN43" s="132">
        <f ca="1">RZ[[#This Row],[Úroveň 7 s koef. (P2a)]]*RZ[[#This Row],[Počet MJHR (P0)]]</f>
        <v>0</v>
      </c>
      <c r="CO43" s="132">
        <f ca="1">RZ[Úroveň 7 bez koef. (P2a)]*RZ[[#This Row],[Počet MJHR (P0)]]</f>
        <v>0</v>
      </c>
      <c r="CP43" s="132">
        <f ca="1">IF(OFFSET(BE43,1,0,1,1)&lt;&gt;0,RZ[[#This Row],[Koeficient odhadu HR '[-'] (P1)]]*$BN43*SUMIFS(RZ[Úroveň 8 s koef. (P2)],RZ[0],AX43,RZ[Úroveň 2 (P0)],AY43,RZ[Úroveň 3 (P0)],AZ43,RZ[Úroveň 4 (P0)],BA43,RZ[Úroveň 5 (P0)],BB43,RZ[Úroveň 6 (P0)],BC43,RZ[Úroveň 7 (P0)],BD43),RZ[[#This Row],[Koeficient odhadu HR '[-'] (P1)]]*$BN43*$IG43)</f>
        <v>0</v>
      </c>
      <c r="CQ43" s="132">
        <f ca="1">IF(OFFSET(BE43,1,0,1,1)&lt;&gt;0,$BN43*SUMIFS(RZ[Úroveň 8 bez koef. (P2)],RZ[0],AX43,RZ[Úroveň 2 (P0)],AY43,RZ[Úroveň 3 (P0)],AZ43,RZ[Úroveň 4 (P0)],BA43,RZ[Úroveň 5 (P0)],BB43,RZ[Úroveň 6 (P0)],BC43,RZ[Úroveň 7 (P0)],BD43),$BN43*$IG43)</f>
        <v>0</v>
      </c>
      <c r="CR43" s="138">
        <f ca="1">RZ[[#This Row],[Úroveň 8 s koef. (P2a)]]*RZ[[#This Row],[Počet MJHR (P0)]]</f>
        <v>0</v>
      </c>
      <c r="CS43" s="138">
        <f ca="1">RZ[Úroveň 8 bez koef. (P2a)]*RZ[[#This Row],[Počet MJHR (P0)]]</f>
        <v>0</v>
      </c>
      <c r="CT43" s="138">
        <f ca="1">IF(OFFSET(BF43,1,0,1,1)&lt;&gt;0,RZ[[#This Row],[Koeficient odhadu HR '[-'] (P1)]]*$BO43*SUMIFS(RZ[Úroveň 9 s koef. (P2)],RZ[0],AX43,RZ[Úroveň 2 (P0)],AY43,RZ[Úroveň 3 (P0)],AZ43,RZ[Úroveň 4 (P0)],BA43,RZ[Úroveň 5 (P0)],BB43,RZ[Úroveň 6 (P0)],BC43,RZ[Úroveň 7 (P0)],BD43,RZ[Úroveň 8 (P0)],BE43),RZ[[#This Row],[Koeficient odhadu HR '[-'] (P1)]]*$BO43*$IG43)</f>
        <v>0</v>
      </c>
      <c r="CU43" s="138">
        <f ca="1">IF(OFFSET(BF43,1,0,1,1)&lt;&gt;0,$BO43*SUMIFS(RZ[Úroveň 9 bez koef. (P2)],RZ[0],AX43,RZ[Úroveň 2 (P0)],AY43,RZ[Úroveň 3 (P0)],AZ43,RZ[Úroveň 4 (P0)],BA43,RZ[Úroveň 5 (P0)],BB43,RZ[Úroveň 6 (P0)],BC43,RZ[Úroveň 7 (P0)],BD43,RZ[Úroveň 8 (P0)],BE43),$BO43*$IG43)</f>
        <v>0</v>
      </c>
      <c r="CV43" s="132">
        <f ca="1">RZ[[#This Row],[Úroveň 9 s koef. (P2a)]]*RZ[[#This Row],[Počet MJHR (P0)]]</f>
        <v>0</v>
      </c>
      <c r="CW43" s="132">
        <f ca="1">RZ[Úroveň 9 bez koef. (P2a)]*RZ[[#This Row],[Počet MJHR (P0)]]</f>
        <v>0</v>
      </c>
      <c r="CX43" s="132">
        <f ca="1">IF(OFFSET(BG43,1,0,1,1)&lt;&gt;0,RZ[[#This Row],[Koeficient odhadu HR '[-'] (P1)]]*$BP43*SUMIFS(RZ[Úroveň 10 s koef. (P2)],RZ[0],AX43,RZ[Úroveň 2 (P0)],AY43,RZ[Úroveň 3 (P0)],AZ43,RZ[Úroveň 4 (P0)],BA43,RZ[Úroveň 5 (P0)],BB43,RZ[Úroveň 6 (P0)],BC43,RZ[Úroveň 7 (P0)],BD43,RZ[Úroveň 8 (P0)],BE43,RZ[Úroveň 9 (P0)],BF43),RZ[[#This Row],[Koeficient odhadu HR '[-'] (P1)]]*$BP43*$IG43)</f>
        <v>0</v>
      </c>
      <c r="CY43" s="132">
        <f ca="1">IF(OFFSET(BG43,1,0,1,1)&lt;&gt;0,$BP43*SUMIFS(RZ[Úroveň 10 bez koef. (P2)],RZ[0],AX43,RZ[Úroveň 2 (P0)],AY43,RZ[Úroveň 3 (P0)],AZ43,RZ[Úroveň 4 (P0)],BA43,RZ[Úroveň 5 (P0)],BB43,RZ[Úroveň 6 (P0)],BC43,RZ[Úroveň 7 (P0)],BD43,RZ[Úroveň 8 (P0)],BE43,RZ[Úroveň 9 (P0)],BF43),$BP43*$IG43)</f>
        <v>0</v>
      </c>
      <c r="CZ43" s="138">
        <f>RZ[[#This Row],[Úroveň 10 s koef. (P2a)]]*RZ[[#This Row],[Počet MJHR (P0)]]</f>
        <v>0</v>
      </c>
      <c r="DA43" s="138">
        <f>RZ[Úroveň 10 bez koef. (P2a)]*RZ[[#This Row],[Počet MJHR (P0)]]</f>
        <v>0</v>
      </c>
      <c r="DB43" s="138">
        <f>RZ[[#This Row],[Koeficient odhadu HR '[-'] (P1)]]*$BQ43*IG43</f>
        <v>0</v>
      </c>
      <c r="DC43" s="231">
        <f t="shared" si="175"/>
        <v>0</v>
      </c>
      <c r="DD43" s="241">
        <f t="shared" ca="1" si="176"/>
        <v>5.9</v>
      </c>
      <c r="DE43" s="229">
        <f t="shared" ca="1" si="177"/>
        <v>5.9</v>
      </c>
      <c r="DF43" s="912">
        <f t="shared" si="178"/>
        <v>0</v>
      </c>
      <c r="DG43" s="913">
        <f t="shared" si="179"/>
        <v>0</v>
      </c>
      <c r="DH43" s="913">
        <f t="shared" si="180"/>
        <v>2</v>
      </c>
      <c r="DI43" s="913">
        <f t="shared" si="181"/>
        <v>0</v>
      </c>
      <c r="DJ43" s="913">
        <f t="shared" si="182"/>
        <v>0</v>
      </c>
      <c r="DK43" s="913">
        <f t="shared" si="183"/>
        <v>0</v>
      </c>
      <c r="DL43" s="913">
        <f t="shared" si="184"/>
        <v>0</v>
      </c>
      <c r="DM43" s="913">
        <f t="shared" si="185"/>
        <v>0</v>
      </c>
      <c r="DN43" s="913">
        <f t="shared" si="186"/>
        <v>0</v>
      </c>
      <c r="DO43" s="913">
        <f t="shared" si="187"/>
        <v>0</v>
      </c>
      <c r="DP43" s="914">
        <f ca="1">SUMIFS(RZ[Úroveň 1 (P4)],RZ[0],AX43)</f>
        <v>1</v>
      </c>
      <c r="DQ43" s="914">
        <f ca="1">SUMIFS(RZ[Úroveň 2 (P4)],RZ[0],AX43,RZ[Úroveň 2 (P0)],AY43)</f>
        <v>1</v>
      </c>
      <c r="DR43" s="914">
        <f ca="1">SUMIFS(RZ[Úroveň 3 (P4)],RZ[0],AX43,RZ[Úroveň 2 (P0)],AY43,RZ[Úroveň 3 (P0)],AZ43)</f>
        <v>2</v>
      </c>
      <c r="DS43" s="914">
        <f ca="1">SUMIFS(RZ[Úroveň 4 (P4)],RZ[0],AX43,RZ[Úroveň 2 (P0)],AY43,RZ[Úroveň 3 (P0)],AZ43,RZ[Úroveň 4 (P0)],BA43)</f>
        <v>0</v>
      </c>
      <c r="DT43" s="914">
        <f ca="1">SUMIFS(RZ[Úroveň 5 (P4)],RZ[0],AX43,RZ[Úroveň 2 (P0)],AY43,RZ[Úroveň 3 (P0)],AZ43,RZ[Úroveň 4 (P0)],BA43,RZ[Úroveň 5 (P0)],BB43)</f>
        <v>0</v>
      </c>
      <c r="DU43" s="914">
        <f ca="1">SUMIFS(RZ[Úroveň 6 (P4)],RZ[0],AX43,RZ[Úroveň 2 (P0)],AY43,RZ[Úroveň 3 (P0)],AZ43,RZ[Úroveň 4 (P0)],BA43,RZ[Úroveň 5 (P0)],BB43,RZ[Úroveň 6 (P0)],BC43)</f>
        <v>0</v>
      </c>
      <c r="DV43" s="914">
        <f ca="1">SUMIFS(RZ[Úroveň 7 (P4)],RZ[0],AX43,RZ[Úroveň 2 (P0)],AY43,RZ[Úroveň 3 (P0)],AZ43,RZ[Úroveň 4 (P0)],BA43,RZ[Úroveň 5 (P0)],BB43,RZ[Úroveň 6 (P0)],BC43,RZ[Úroveň 7 (P0)],BD43)</f>
        <v>0</v>
      </c>
      <c r="DW43" s="914">
        <f ca="1">SUMIFS(RZ[Úroveň 8 (P4)],RZ[0],AX43,RZ[Úroveň 2 (P0)],AY43,RZ[Úroveň 3 (P0)],AZ43,RZ[Úroveň 4 (P0)],BA43,RZ[Úroveň 5 (P0)],BB43,RZ[Úroveň 6 (P0)],BC43,RZ[Úroveň 7 (P0)],BD43,RZ[Úroveň 8 (P0)],BE43)</f>
        <v>0</v>
      </c>
      <c r="DX43" s="914">
        <f ca="1">SUMIFS(RZ[Úroveň 9 (P4)],RZ[0],AX43,RZ[Úroveň 2 (P0)],AY43,RZ[Úroveň 3 (P0)],AZ43,RZ[Úroveň 4 (P0)],BA43,RZ[Úroveň 5 (P0)],BB43,RZ[Úroveň 6 (P0)],BC43,RZ[Úroveň 7 (P0)],BD43,RZ[Úroveň 8 (P0)],BE43,RZ[Úroveň 9 (P0)],BF43)</f>
        <v>0</v>
      </c>
      <c r="DY43" s="914">
        <f ca="1">SUMIFS(RZ[Úroveň 10 (P4)],RZ[0],AX43,RZ[Úroveň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DZ43" s="915">
        <f t="shared" ca="1" si="188"/>
        <v>2</v>
      </c>
      <c r="EA43" s="916">
        <f ca="1">RZ[[#This Row],[Jednotková hmotnost bez koef. '[kg/MJHR'] (P0)]]*RZ[[#This Row],[Počet MJHR v rozpadu (P0)]]</f>
        <v>11.8</v>
      </c>
      <c r="EB43" s="917">
        <f ca="1">IF(OFFSET(AY43,1,0,1,1)&lt;&gt;0,RZ[[#This Row],[Koeficient odhadu CR '[-'] (P1)]]*$BH43*SUMIFS(RZ[Úroveň 2 s koef. (P3)],RZ[0],AX43),RZ[[#This Row],[Koeficient odhadu CR '[-'] (P1)]]*$BH43*$IQ43)</f>
        <v>0</v>
      </c>
      <c r="EC43" s="191">
        <f ca="1">IF(OFFSET(AY43,1,0,1,1)&lt;&gt;0,$BH43*SUMIFS(RZ[Úroveň 2 bez koef. (P3)],RZ[0],AX43),$BH43*$IQ43)</f>
        <v>0</v>
      </c>
      <c r="ED43" s="140">
        <f ca="1">RZ[[#This Row],[Úroveň 2 s koef. (P3a)]]*RZ[[#This Row],[Počet MJCR (P0) pro "kg"]]</f>
        <v>0</v>
      </c>
      <c r="EE43" s="140">
        <f ca="1">RZ[Úroveň 2 bez koef. (P3a)]*RZ[[#This Row],[Počet MJCR (P0) pro "kg"]]</f>
        <v>0</v>
      </c>
      <c r="EF43" s="140">
        <f ca="1">IF(OFFSET(AZ43,1,0,1,1)&lt;&gt;0,RZ[[#This Row],[Koeficient odhadu CR '[-'] (P1)]]*$BI43*SUMIFS(RZ[Úroveň 3 s koef. (P3)],RZ[0],AX43,RZ[Úroveň 2 (P0)],AY43),RZ[[#This Row],[Koeficient odhadu CR '[-'] (P1)]]*$BI43*$IQ43)</f>
        <v>0</v>
      </c>
      <c r="EG43" s="140">
        <f ca="1">IF(OFFSET(AZ43,1,0,1,1)&lt;&gt;0,$BI43*SUMIFS(RZ[Úroveň 3 bez koef. (P3)],RZ[0],AX43,RZ[Úroveň 2 (P0)],AY43),$BI43*$IQ43)</f>
        <v>0</v>
      </c>
      <c r="EH43" s="135">
        <f ca="1">RZ[[#This Row],[Úroveň 3 s koef. (P3a)]]*RZ[[#This Row],[Počet MJCR (P0) pro "kg"]]</f>
        <v>944</v>
      </c>
      <c r="EI43" s="135">
        <f ca="1">RZ[Úroveň 3 bez koef. (P3a)]*RZ[[#This Row],[Počet MJCR (P0) pro "kg"]]</f>
        <v>944</v>
      </c>
      <c r="EJ43" s="135">
        <f ca="1">IF(OFFSET(BA43,1,0,1,1)&lt;&gt;0,RZ[[#This Row],[Koeficient odhadu CR '[-'] (P1)]]*$BJ43*SUMIFS(RZ[Úroveň 4 s koef. (P3)],RZ[0],AX43,RZ[Úroveň 2 (P0)],AY43,RZ[Úroveň 3 (P0)],AZ43),RZ[[#This Row],[Koeficient odhadu CR '[-'] (P1)]]*$BJ43*$IQ43)</f>
        <v>80</v>
      </c>
      <c r="EK43" s="135">
        <f ca="1">IF(OFFSET(BA43,1,0,1,1)&lt;&gt;0,$BJ43*SUMIFS(RZ[Úroveň 4 bez koef. (P3)],RZ[0],AX43,RZ[Úroveň 2 (P0)],AY43,RZ[Úroveň 3 (P0)],AZ43),$BJ43*$IQ43)</f>
        <v>80</v>
      </c>
      <c r="EL43" s="140">
        <f ca="1">RZ[[#This Row],[Úroveň 4 s koef. (P3a)]]*RZ[[#This Row],[Počet MJCR (P0) pro "kg"]]</f>
        <v>0</v>
      </c>
      <c r="EM43" s="140">
        <f ca="1">RZ[Úroveň 4 bez koef. (P3a)]*RZ[[#This Row],[Počet MJCR (P0) pro "kg"]]</f>
        <v>0</v>
      </c>
      <c r="EN43" s="140">
        <f ca="1">IF(OFFSET(BB43,1,0,1,1)&lt;&gt;0,RZ[[#This Row],[Koeficient odhadu CR '[-'] (P1)]]*$BK43*SUMIFS(RZ[Úroveň 5 s koef. (P3)],RZ[0],AX43,RZ[Úroveň 2 (P0)],AY43,RZ[Úroveň 3 (P0)],AZ43,RZ[Úroveň 4 (P0)],BA43),RZ[[#This Row],[Koeficient odhadu CR '[-'] (P1)]]*$BK43*$IQ43)</f>
        <v>0</v>
      </c>
      <c r="EO43" s="140">
        <f ca="1">IF(OFFSET(BB43,1,0,1,1)&lt;&gt;0,$BK43*SUMIFS(RZ[Úroveň 5 bez koef. (P3)],RZ[0],AX43,RZ[Úroveň 2 (P0)],AY43,RZ[Úroveň 3 (P0)],AZ43,RZ[Úroveň 4 (P0)],BA43),$BK43*$IQ43)</f>
        <v>0</v>
      </c>
      <c r="EP43" s="135">
        <f ca="1">RZ[[#This Row],[Úroveň 5 s koef. (P3a)]]*RZ[[#This Row],[Počet MJCR (P0) pro "kg"]]</f>
        <v>0</v>
      </c>
      <c r="EQ43" s="135">
        <f ca="1">RZ[Úroveň 5 bez koef. (P3a)]*RZ[[#This Row],[Počet MJCR (P0) pro "kg"]]</f>
        <v>0</v>
      </c>
      <c r="ER43" s="135">
        <f ca="1">IF(OFFSET(BC43,1,0,1,1)&lt;&gt;0,RZ[[#This Row],[Koeficient odhadu CR '[-'] (P1)]]*$BL43*SUMIFS(RZ[Úroveň 6 s koef. (P3)],RZ[0],AX43,RZ[Úroveň 2 (P0)],AY43,RZ[Úroveň 3 (P0)],AZ43,RZ[Úroveň 4 (P0)],BA43,RZ[Úroveň 5 (P0)],BB43),RZ[[#This Row],[Koeficient odhadu CR '[-'] (P1)]]*$BL43*$IQ43)</f>
        <v>0</v>
      </c>
      <c r="ES43" s="135">
        <f ca="1">IF(OFFSET(BC43,1,0,1,1)&lt;&gt;0,$BL43*SUMIFS(RZ[Úroveň 6 bez koef. (P3)],RZ[0],AX43,RZ[Úroveň 2 (P0)],AY43,RZ[Úroveň 3 (P0)],AZ43,RZ[Úroveň 4 (P0)],BA43,RZ[Úroveň 5 (P0)],BB43),$BL43*$IQ43)</f>
        <v>0</v>
      </c>
      <c r="ET43" s="140">
        <f ca="1">RZ[[#This Row],[Úroveň 6 s koef. (P3a)]]*RZ[[#This Row],[Počet MJCR (P0) pro "kg"]]</f>
        <v>0</v>
      </c>
      <c r="EU43" s="140">
        <f ca="1">RZ[Úroveň 6 bez koef. (P3a)]*RZ[[#This Row],[Počet MJCR (P0) pro "kg"]]</f>
        <v>0</v>
      </c>
      <c r="EV43" s="140">
        <f ca="1">IF(OFFSET(BD43,1,0,1,1)&lt;&gt;0,RZ[[#This Row],[Koeficient odhadu CR '[-'] (P1)]]*$BM43*SUMIFS(RZ[Úroveň 7 s koef. (P3)],RZ[0],AX43,RZ[Úroveň 2 (P0)],AY43,RZ[Úroveň 3 (P0)],AZ43,RZ[Úroveň 4 (P0)],BA43,RZ[Úroveň 5 (P0)],BB43,RZ[Úroveň 6 (P0)],BC43),RZ[[#This Row],[Koeficient odhadu CR '[-'] (P1)]]*$BM43*$IQ43)</f>
        <v>0</v>
      </c>
      <c r="EW43" s="140">
        <f ca="1">IF(OFFSET(BD43,1,0,1,1)&lt;&gt;0,$BM43*SUMIFS(RZ[Úroveň 7 bez koef. (P3)],RZ[0],AX43,RZ[Úroveň 2 (P0)],AY43,RZ[Úroveň 3 (P0)],AZ43,RZ[Úroveň 4 (P0)],BA43,RZ[Úroveň 5 (P0)],BB43,RZ[Úroveň 6 (P0)],BC43),$BM43*$IQ43)</f>
        <v>0</v>
      </c>
      <c r="EX43" s="135">
        <f ca="1">RZ[[#This Row],[Úroveň 7 s koef. (P3a)]]*RZ[[#This Row],[Počet MJCR (P0) pro "kg"]]</f>
        <v>0</v>
      </c>
      <c r="EY43" s="135">
        <f ca="1">RZ[Úroveň 7 bez koef. (P3a)]*RZ[[#This Row],[Počet MJCR (P0) pro "kg"]]</f>
        <v>0</v>
      </c>
      <c r="EZ43" s="135">
        <f ca="1">IF(OFFSET(BE43,1,0,1,1)&lt;&gt;0,RZ[[#This Row],[Koeficient odhadu CR '[-'] (P1)]]*$BN43*SUMIFS(RZ[Úroveň 8 s koef. (P3)],RZ[0],AX43,RZ[Úroveň 2 (P0)],AY43,RZ[Úroveň 3 (P0)],AZ43,RZ[Úroveň 4 (P0)],BA43,RZ[Úroveň 5 (P0)],BB43,RZ[Úroveň 6 (P0)],BC43,RZ[Úroveň 7 (P0)],BD43),RZ[[#This Row],[Koeficient odhadu CR '[-'] (P1)]]*$BN43*$IQ43)</f>
        <v>0</v>
      </c>
      <c r="FA43" s="135">
        <f ca="1">IF(OFFSET(BE43,1,0,1,1)&lt;&gt;0,$BN43*SUMIFS(RZ[Úroveň 8 bez koef. (P3)],RZ[0],AX43,RZ[Úroveň 2 (P0)],AY43,RZ[Úroveň 3 (P0)],AZ43,RZ[Úroveň 4 (P0)],BA43,RZ[Úroveň 5 (P0)],BB43,RZ[Úroveň 6 (P0)],BC43,RZ[Úroveň 7 (P0)],BD43),$BN43*$IQ43)</f>
        <v>0</v>
      </c>
      <c r="FB43" s="140">
        <f ca="1">RZ[[#This Row],[Úroveň 8 s koef. (P3a)]]*RZ[[#This Row],[Počet MJCR (P0) pro "kg"]]</f>
        <v>0</v>
      </c>
      <c r="FC43" s="140">
        <f ca="1">RZ[Úroveň 8 bez koef. (P3a)]*RZ[[#This Row],[Počet MJCR (P0) pro "kg"]]</f>
        <v>0</v>
      </c>
      <c r="FD43" s="140">
        <f ca="1">IF(OFFSET(BF43,1,0,1,1)&lt;&gt;0,RZ[[#This Row],[Koeficient odhadu CR '[-'] (P1)]]*$BO43*SUMIFS(RZ[Úroveň 9 s koef. (P3)],RZ[0],AX43,RZ[Úroveň 2 (P0)],AY43,RZ[Úroveň 3 (P0)],AZ43,RZ[Úroveň 4 (P0)],BA43,RZ[Úroveň 5 (P0)],BB43,RZ[Úroveň 6 (P0)],BC43,RZ[Úroveň 7 (P0)],BD43,RZ[Úroveň 8 (P0)],BE43),RZ[[#This Row],[Koeficient odhadu CR '[-'] (P1)]]*$BO43*$IQ43)</f>
        <v>0</v>
      </c>
      <c r="FE43" s="140">
        <f ca="1">IF(OFFSET(BF43,1,0,1,1)&lt;&gt;0,$BO43*SUMIFS(RZ[Úroveň 9 bez koef. (P3)],RZ[0],AX43,RZ[Úroveň 2 (P0)],AY43,RZ[Úroveň 3 (P0)],AZ43,RZ[Úroveň 4 (P0)],BA43,RZ[Úroveň 5 (P0)],BB43,RZ[Úroveň 6 (P0)],BC43,RZ[Úroveň 7 (P0)],BD43,RZ[Úroveň 8 (P0)],BE43),$BO43*$IQ43)</f>
        <v>0</v>
      </c>
      <c r="FF43" s="135">
        <f ca="1">RZ[[#This Row],[Úroveň 9 s koef. (P3a)]]*RZ[[#This Row],[Počet MJCR (P0) pro "kg"]]</f>
        <v>0</v>
      </c>
      <c r="FG43" s="135">
        <f ca="1">RZ[Úroveň 9 bez koef. (P3a)]*RZ[[#This Row],[Počet MJCR (P0) pro "kg"]]</f>
        <v>0</v>
      </c>
      <c r="FH43" s="135">
        <f ca="1">IF(OFFSET(BG43,1,0,1,1)&lt;&gt;0,RZ[[#This Row],[Koeficient odhadu CR '[-'] (P1)]]*$BP43*SUMIFS(RZ[Úroveň 10 s koef. (P3)],RZ[0],AX43,RZ[Úroveň 2 (P0)],AY43,RZ[Úroveň 3 (P0)],AZ43,RZ[Úroveň 4 (P0)],BA43,RZ[Úroveň 5 (P0)],BB43,RZ[Úroveň 6 (P0)],BC43,RZ[Úroveň 7 (P0)],BD43,RZ[Úroveň 8 (P0)],BE43,RZ[Úroveň 9 (P0)],BF43),RZ[[#This Row],[Koeficient odhadu CR '[-'] (P1)]]*$BP43*$IQ43)</f>
        <v>0</v>
      </c>
      <c r="FI43" s="135">
        <f ca="1">IF(OFFSET(BG43,1,0,1,1)&lt;&gt;0,$BP43*SUMIFS(RZ[Úroveň 10 bez koef. (P3)],RZ[0],AX43,RZ[Úroveň 2 (P0)],AY43,RZ[Úroveň 3 (P0)],AZ43,RZ[Úroveň 4 (P0)],BA43,RZ[Úroveň 5 (P0)],BB43,RZ[Úroveň 6 (P0)],BC43,RZ[Úroveň 7 (P0)],BD43,RZ[Úroveň 8 (P0)],BE43,RZ[Úroveň 9 (P0)],BF43),$BP43*$IQ43)</f>
        <v>0</v>
      </c>
      <c r="FJ43" s="140">
        <f ca="1">RZ[[#This Row],[Úroveň 10 s koef. (P3a)]]*RZ[[#This Row],[Počet MJCR (P0) pro "kg"]]</f>
        <v>0</v>
      </c>
      <c r="FK43" s="140">
        <f ca="1">RZ[Úroveň 10 bez koef. (P3a)]*RZ[[#This Row],[Počet MJCR (P0) pro "kg"]]</f>
        <v>0</v>
      </c>
      <c r="FL43" s="140">
        <f ca="1">RZ[[#This Row],[Koeficient odhadu CR '[-'] (P1)]]*$BQ43*IQ43</f>
        <v>0</v>
      </c>
      <c r="FM43" s="236">
        <f t="shared" ca="1" si="189"/>
        <v>0</v>
      </c>
      <c r="FN43" s="194">
        <f t="shared" ca="1" si="190"/>
        <v>80</v>
      </c>
      <c r="FO43" s="238">
        <f t="shared" ca="1" si="191"/>
        <v>80</v>
      </c>
      <c r="FP43" s="135">
        <f t="shared" ca="1" si="192"/>
        <v>0</v>
      </c>
      <c r="FQ43" s="135">
        <f t="shared" ca="1" si="193"/>
        <v>0</v>
      </c>
      <c r="FR43" s="135">
        <f t="shared" ca="1" si="194"/>
        <v>11.8</v>
      </c>
      <c r="FS43" s="135">
        <f t="shared" ca="1" si="195"/>
        <v>0</v>
      </c>
      <c r="FT43" s="135">
        <f t="shared" ca="1" si="196"/>
        <v>0</v>
      </c>
      <c r="FU43" s="135">
        <f t="shared" ca="1" si="197"/>
        <v>0</v>
      </c>
      <c r="FV43" s="135">
        <f t="shared" ca="1" si="198"/>
        <v>0</v>
      </c>
      <c r="FW43" s="135">
        <f t="shared" ca="1" si="199"/>
        <v>0</v>
      </c>
      <c r="FX43" s="135">
        <f t="shared" ca="1" si="200"/>
        <v>0</v>
      </c>
      <c r="FY43" s="135">
        <f t="shared" ca="1" si="201"/>
        <v>0</v>
      </c>
      <c r="FZ43" s="140">
        <f ca="1">SUMIFS(RZ[Úroveň 1 (P6)],RZ[0],AX43)</f>
        <v>1</v>
      </c>
      <c r="GA43" s="140">
        <f ca="1">SUMIFS(RZ[Úroveň 2 (P6)],RZ[0],AX43,RZ[Úroveň 2 (P0)],AY43)</f>
        <v>1</v>
      </c>
      <c r="GB43" s="140">
        <f ca="1">SUMIFS(RZ[Úroveň 3 (P6)],RZ[0],AX43,RZ[Úroveň 2 (P0)],AY43,RZ[Úroveň 3 (P0)],AZ43)</f>
        <v>11.8</v>
      </c>
      <c r="GC43" s="140">
        <f ca="1">SUMIFS(RZ[Úroveň 4 (P6)],RZ[0],AX43,RZ[Úroveň 2 (P0)],AY43,RZ[Úroveň 3 (P0)],AZ43,RZ[Úroveň 4 (P0)],BA43)</f>
        <v>0</v>
      </c>
      <c r="GD43" s="140">
        <f ca="1">SUMIFS(RZ[Úroveň 5 (P6)],RZ[0],AX43,RZ[Úroveň 2 (P0)],AY43,RZ[Úroveň 3 (P0)],AZ43,RZ[Úroveň 4 (P0)],BA43,RZ[Úroveň 5 (P0)],BB43)</f>
        <v>0</v>
      </c>
      <c r="GE43" s="140">
        <f ca="1">SUMIFS(RZ[Úroveň 6 (P6)],RZ[0],AX43,RZ[Úroveň 2 (P0)],AY43,RZ[Úroveň 3 (P0)],AZ43,RZ[Úroveň 4 (P0)],BA43,RZ[Úroveň 5 (P0)],BB43,RZ[Úroveň 6 (P0)],BC43)</f>
        <v>0</v>
      </c>
      <c r="GF43" s="140">
        <f ca="1">SUMIFS(RZ[Úroveň 7 (P6)],RZ[0],AX43,RZ[Úroveň 2 (P0)],AY43,RZ[Úroveň 3 (P0)],AZ43,RZ[Úroveň 4 (P0)],BA43,RZ[Úroveň 5 (P0)],BB43,RZ[Úroveň 6 (P0)],BC43,RZ[Úroveň 7 (P0)],BD43)</f>
        <v>0</v>
      </c>
      <c r="GG43" s="140">
        <f ca="1">SUMIFS(RZ[Úroveň 8 (P6)],RZ[0],AX43,RZ[Úroveň 2 (P0)],AY43,RZ[Úroveň 3 (P0)],AZ43,RZ[Úroveň 4 (P0)],BA43,RZ[Úroveň 5 (P0)],BB43,RZ[Úroveň 6 (P0)],BC43,RZ[Úroveň 7 (P0)],BD43,RZ[Úroveň 8 (P0)],BE43)</f>
        <v>0</v>
      </c>
      <c r="GH43" s="140">
        <f ca="1">SUMIFS(RZ[Úroveň 9 (P6)],RZ[0],AX43,RZ[Úroveň 2 (P0)],AY43,RZ[Úroveň 3 (P0)],AZ43,RZ[Úroveň 4 (P0)],BA43,RZ[Úroveň 5 (P0)],BB43,RZ[Úroveň 6 (P0)],BC43,RZ[Úroveň 7 (P0)],BD43,RZ[Úroveň 8 (P0)],BE43,RZ[Úroveň 9 (P0)],BF43)</f>
        <v>0</v>
      </c>
      <c r="GI43" s="140">
        <f ca="1">SUMIFS(RZ[Úroveň 10 (P6)],RZ[0],AX43,RZ[Úroveň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GJ43" s="918">
        <f t="shared" ca="1" si="202"/>
        <v>11.8</v>
      </c>
      <c r="GK43" s="808">
        <f t="shared" si="203"/>
        <v>0</v>
      </c>
      <c r="GL43" s="808">
        <f t="shared" si="204"/>
        <v>0</v>
      </c>
      <c r="GM43" s="808">
        <f t="shared" si="205"/>
        <v>1</v>
      </c>
      <c r="GN43" s="808">
        <f t="shared" si="206"/>
        <v>0</v>
      </c>
      <c r="GO43" s="808">
        <f t="shared" si="207"/>
        <v>0</v>
      </c>
      <c r="GP43" s="808">
        <f t="shared" si="208"/>
        <v>0</v>
      </c>
      <c r="GQ43" s="808">
        <f t="shared" si="209"/>
        <v>0</v>
      </c>
      <c r="GR43" s="808">
        <f t="shared" si="210"/>
        <v>0</v>
      </c>
      <c r="GS43" s="808">
        <f t="shared" si="211"/>
        <v>0</v>
      </c>
      <c r="GT43" s="808">
        <f t="shared" si="212"/>
        <v>0</v>
      </c>
      <c r="GU43" s="809">
        <f ca="1">SUMIFS(RZ[Sloupec1],RZ[0],AX43)</f>
        <v>1</v>
      </c>
      <c r="GV43" s="809">
        <f ca="1">SUMIFS(RZ[Sloupec2],RZ[0],AX43,RZ[Úroveň 2 (P0)],AY43)</f>
        <v>1</v>
      </c>
      <c r="GW43" s="809">
        <f ca="1">SUMIFS(RZ[Sloupec3],RZ[0],AX43,RZ[Úroveň 2 (P0)],AY43,RZ[Úroveň 3 (P0)],AZ43)</f>
        <v>1</v>
      </c>
      <c r="GX43" s="809">
        <f ca="1">SUMIFS(RZ[Sloupec4],RZ[0],AX43,RZ[Úroveň 2 (P0)],AY43,RZ[Úroveň 3 (P0)],AZ43,RZ[Úroveň 4 (P0)],BA43)</f>
        <v>0</v>
      </c>
      <c r="GY43" s="809">
        <f ca="1">SUMIFS(RZ[Sloupec5],RZ[0],AX43,RZ[Úroveň 2 (P0)],AY43,RZ[Úroveň 3 (P0)],AZ43,RZ[Úroveň 4 (P0)],BA43,RZ[Úroveň 5 (P0)],BB43)</f>
        <v>0</v>
      </c>
      <c r="GZ43" s="809">
        <f ca="1">SUMIFS(RZ[Sloupec6],RZ[0],AX43,RZ[Úroveň 2 (P0)],AY43,RZ[Úroveň 3 (P0)],AZ43,RZ[Úroveň 4 (P0)],BA43,RZ[Úroveň 5 (P0)],BB43,RZ[Úroveň 6 (P0)],BC43)</f>
        <v>0</v>
      </c>
      <c r="HA43" s="809">
        <f ca="1">SUMIFS(RZ[Sloupec62],RZ[0],AX43,RZ[Úroveň 2 (P0)],AY43,RZ[Úroveň 3 (P0)],AZ43,RZ[Úroveň 4 (P0)],BA43,RZ[Úroveň 5 (P0)],BB43,RZ[Úroveň 6 (P0)],BC43,RZ[Úroveň 7 (P0)],BD43)</f>
        <v>0</v>
      </c>
      <c r="HB43" s="809">
        <f ca="1">SUMIFS(RZ[Sloupec63],RZ[0],AX43,RZ[Úroveň 2 (P0)],AY43,RZ[Úroveň 3 (P0)],AZ43,RZ[Úroveň 4 (P0)],BA43,RZ[Úroveň 5 (P0)],BB43,RZ[Úroveň 6 (P0)],BC43,RZ[Úroveň 7 (P0)],BD43,RZ[Úroveň 8 (P0)],BE43)</f>
        <v>0</v>
      </c>
      <c r="HC43" s="809">
        <f ca="1">SUMIFS(RZ[Sloupec64],RZ[0],AX43,RZ[Úroveň 2 (P0)],AY43,RZ[Úroveň 3 (P0)],AZ43,RZ[Úroveň 4 (P0)],BA43,RZ[Úroveň 5 (P0)],BB43,RZ[Úroveň 6 (P0)],BC43,RZ[Úroveň 7 (P0)],BD43,RZ[Úroveň 8 (P0)],BE43,RZ[Úroveň 9 (P0)],BF43)</f>
        <v>0</v>
      </c>
      <c r="HD43" s="809">
        <f ca="1">SUMIFS(RZ[Sloupec65],RZ[0],AX43,RZ[Úroveň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HE43" s="919">
        <f t="shared" ca="1" si="213"/>
        <v>1</v>
      </c>
      <c r="HF43" s="920" t="str">
        <f t="shared" si="214"/>
        <v/>
      </c>
      <c r="HG43" s="94" t="str">
        <f t="shared" si="215"/>
        <v/>
      </c>
      <c r="HH43" s="95" t="str">
        <f t="shared" si="216"/>
        <v/>
      </c>
      <c r="HI43" s="95" t="str">
        <f t="shared" si="217"/>
        <v>Kryt brzdy</v>
      </c>
      <c r="HJ43" s="96" t="str">
        <f t="shared" si="218"/>
        <v/>
      </c>
      <c r="HK43" s="96" t="str">
        <f t="shared" si="219"/>
        <v/>
      </c>
      <c r="HL43" s="96" t="str">
        <f t="shared" si="220"/>
        <v/>
      </c>
      <c r="HM43" s="96" t="str">
        <f t="shared" si="221"/>
        <v/>
      </c>
      <c r="HN43" s="96" t="str">
        <f t="shared" si="222"/>
        <v/>
      </c>
      <c r="HO43" s="96" t="str">
        <f t="shared" si="223"/>
        <v/>
      </c>
      <c r="HP43" s="96" t="str">
        <f t="shared" si="224"/>
        <v/>
      </c>
      <c r="HQ43" s="145" t="str">
        <f t="shared" si="225"/>
        <v>OKS3</v>
      </c>
      <c r="HR43" s="921" t="str">
        <f t="shared" si="226"/>
        <v/>
      </c>
      <c r="HS43" s="173">
        <f t="shared" si="227"/>
        <v>0</v>
      </c>
      <c r="HT43" s="100">
        <f t="shared" si="228"/>
        <v>0</v>
      </c>
      <c r="HU43" s="100">
        <f t="shared" si="229"/>
        <v>0</v>
      </c>
      <c r="HV43" s="908">
        <f t="shared" si="230"/>
        <v>0</v>
      </c>
      <c r="HW43" s="922">
        <f t="shared" si="231"/>
        <v>0</v>
      </c>
      <c r="HX43" s="224">
        <f t="shared" si="232"/>
        <v>0</v>
      </c>
      <c r="HY43" s="263" t="str">
        <f t="shared" si="233"/>
        <v>S</v>
      </c>
      <c r="HZ43" s="263">
        <f t="shared" si="234"/>
        <v>0</v>
      </c>
      <c r="IA43" s="150">
        <f t="shared" si="235"/>
        <v>1</v>
      </c>
      <c r="IB43" s="319">
        <f t="shared" si="236"/>
        <v>0</v>
      </c>
      <c r="IC43" s="923">
        <f t="shared" si="237"/>
        <v>0</v>
      </c>
      <c r="ID43" s="924" t="str">
        <f t="shared" ca="1" si="238"/>
        <v>OK</v>
      </c>
      <c r="IE43" s="201" t="str">
        <f t="shared" si="239"/>
        <v>ks</v>
      </c>
      <c r="IF43" s="145">
        <f t="shared" si="240"/>
        <v>2</v>
      </c>
      <c r="IG43" s="216">
        <f t="shared" si="241"/>
        <v>5.9</v>
      </c>
      <c r="IH43" s="217">
        <f t="shared" si="242"/>
        <v>1</v>
      </c>
      <c r="II43" s="224" t="str">
        <f ca="1">IF(RZ[[#This Row],[Rozhodný sloupec indikativní ceny]]=1,"kg",IF($IW43=$JL$15,IF(JX43=0,JO43,JX43),IF($IW43=$KE$15,IF(KQ43=0,KH43,KQ43),IF($IW43=$KX$15,IF(LJ43=0,LA43,LJ43),IF($IW43=$LQ$15,IF(MC43=0,LT43,MC43),IF($IW43=$MJ$15,IF(NQ43=0,NH43,NQ43),0))))))</f>
        <v>kg</v>
      </c>
      <c r="IJ43" s="224">
        <f ca="1">IF((BH43+OFFSET(BH43,1,1,1,1))=2,RZ[[#This Row],[Počet MJHR (P0)]],IF((BI43+OFFSET(BI43,1,1,1,1))=2,RZ[[#This Row],[Počet MJHR (P0)]],IF((BJ43+OFFSET(BJ43,1,1,1,1))=2,RZ[[#This Row],[Počet MJHR (P0)]],IF((BK43+OFFSET(BK43,1,1,1,1))=2,RZ[[#This Row],[Počet MJHR (P0)]],IF((BL43+OFFSET(BL43,1,1,1,1))=2,RZ[[#This Row],[Počet MJHR (P0)]],IF((BM43+OFFSET(BM43,1,1,1,1))=2,RZ[[#This Row],[Počet MJHR (P0)]],IF((BN43+OFFSET(BN43,1,1,1,1))=2,RZ[[#This Row],[Počet MJHR (P0)]],IF((BO43+OFFSET(BO43,1,1,1,1))=2,RZ[[#This Row],[Počet MJHR (P0)]],IF((BP43+OFFSET(BP43,1,1,1,1))=2,RZ[[#This Row],[Počet MJHR (P0)]],IF((BQ43+OFFSET(BQ43,1,1,1,1))=2,RZ[[#This Row],[Počet MJHR (P0)]],IF(RZ[[#This Row],[Měrná jednotka CR (MJCR) (P0)]]=RZ[[#This Row],[Měrná jednotka HR '[MJHR'] (P0)]],RZ[[#This Row],[Počet MJHR (P0)]],IF($IW43=$JL$15,JY43,IF($IW43=$KE$15,KR43,IF($IW43=$KX$15,LK43,IF($IW43=$LQ$15,MD43,IF($IW43=$MJ$15,NR43,0))))))))))))))))</f>
        <v>0</v>
      </c>
      <c r="IK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11.8</v>
      </c>
      <c r="IL43" s="145">
        <f ca="1">IF(AND(RZ[[#This Row],[Jednotková cena bez DPH '[cena/MJCR'] (P0)]]=0,RZ[[#This Row],[Indikativní jednotková cena '[CZK/kg'] (P1)]]&lt;&gt;0),1,0)</f>
        <v>1</v>
      </c>
      <c r="IM43" s="217">
        <f ca="1">VLOOKUP(RZ[[#This Row],[Kód položek]],INDIKAT_CENA,2,FALSE)</f>
        <v>80</v>
      </c>
      <c r="IN43" s="222">
        <f ca="1">IF(RZ[[#This Row],[Rozhodný sloupec indikativní ceny]]=1,RZ[[#This Row],[Indikativní jednotková cena '[CZK/kg'] (P1)]],RZ[[#This Row],[Jednotková cena bez DPH '[cena/MJCR'] (P0)]])</f>
        <v>80</v>
      </c>
      <c r="IO43" s="222">
        <f t="shared" si="243"/>
        <v>1</v>
      </c>
      <c r="IP43" s="224">
        <f ca="1">IF(RZ[[#This Row],[Rozhodný sloupec indikativní ceny]]=1,1,IF($IW43=$JL$15,KA43,IF($IW43=$KE$15,KT43,IF($IW43=$KX$15,LM43,IF($IW43=$LQ$15,MF43,IF($IW43=$MJ$15,NT43,0))))))</f>
        <v>1</v>
      </c>
      <c r="IQ43" s="225">
        <f ca="1">IF(RZ[[#This Row],[Jednotková cena bez DPH '[cena/MJCR'] (P1)]]="",0,IF(IP43=0,0,(RZ[[#This Row],[Jednotková cena bez DPH '[cena/MJCR'] (P1)]]*VLOOKUP(IP43,$BR$7:$BT$10,3))))</f>
        <v>80</v>
      </c>
      <c r="IR43" s="737"/>
      <c r="IS43" s="627">
        <f>IF(HY43=0,"",VLOOKUP(RZ[[#This Row],[Stav Projekce (P0)]],Vstupy!$E$11:'Vstupy'!$E$11:$H$17,4,FALSE))</f>
        <v>100</v>
      </c>
      <c r="IT43" s="925" t="str">
        <f>IF(RZ[[#This Row],[Stav Projekce (P0)]]=0,"",RZ[[#This Row],[Stav Projekce (P0)]])</f>
        <v>S</v>
      </c>
      <c r="IU43" s="925" t="str">
        <f>IF(RZ[[#This Row],[Stav Nákup (P0)]]=0,"",RZ[[#This Row],[Stav Nákup (P0)]])</f>
        <v/>
      </c>
      <c r="IV43" s="926" t="str">
        <f t="shared" si="244"/>
        <v/>
      </c>
      <c r="IW43" s="641">
        <v>1</v>
      </c>
      <c r="IX43" s="630"/>
      <c r="IY43" s="264"/>
      <c r="IZ43" s="648"/>
      <c r="JA43" s="100"/>
      <c r="JB43" s="100" t="s">
        <v>820</v>
      </c>
      <c r="JC43" s="100"/>
      <c r="JD43" s="100"/>
      <c r="JE43" s="100"/>
      <c r="JF43" s="100"/>
      <c r="JG43" s="100"/>
      <c r="JH43" s="100"/>
      <c r="JI43" s="100"/>
      <c r="JJ43" s="145" t="s">
        <v>769</v>
      </c>
      <c r="JK43" s="529"/>
      <c r="JL43" s="286"/>
      <c r="JM43" s="100"/>
      <c r="JN43" s="100"/>
      <c r="JO43" s="145" t="s">
        <v>35</v>
      </c>
      <c r="JP43" s="117">
        <v>2</v>
      </c>
      <c r="JQ43" s="117">
        <v>5.9</v>
      </c>
      <c r="JR43" s="148">
        <v>1</v>
      </c>
      <c r="JS43" s="145" t="s">
        <v>602</v>
      </c>
      <c r="JT43" s="631"/>
      <c r="JU43" s="148"/>
      <c r="JV43" s="154"/>
      <c r="JW43" s="145"/>
      <c r="JX43" s="210"/>
      <c r="JY43" s="117"/>
      <c r="JZ43" s="662"/>
      <c r="KA43" s="145"/>
      <c r="KB43" s="148"/>
      <c r="KC43" s="148"/>
      <c r="KD43" s="644"/>
      <c r="KE43" s="286"/>
      <c r="KF43" s="100"/>
      <c r="KG43" s="100"/>
      <c r="KH43" s="210"/>
      <c r="KI43" s="117"/>
      <c r="KJ43" s="117"/>
      <c r="KK43" s="148"/>
      <c r="KL43" s="145"/>
      <c r="KM43" s="632"/>
      <c r="KN43" s="148"/>
      <c r="KO43" s="154"/>
      <c r="KP43" s="154"/>
      <c r="KQ43" s="210"/>
      <c r="KR43" s="117"/>
      <c r="KS43" s="211"/>
      <c r="KT43" s="145"/>
      <c r="KU43" s="148"/>
      <c r="KV43" s="148"/>
      <c r="KW43" s="265"/>
      <c r="KX43" s="286"/>
      <c r="KY43" s="100"/>
      <c r="KZ43" s="100"/>
      <c r="LA43" s="210"/>
      <c r="LB43" s="117"/>
      <c r="LC43" s="117"/>
      <c r="LD43" s="148"/>
      <c r="LE43" s="145"/>
      <c r="LF43" s="632"/>
      <c r="LG43" s="148"/>
      <c r="LH43" s="154"/>
      <c r="LI43" s="154"/>
      <c r="LJ43" s="154"/>
      <c r="LK43" s="117"/>
      <c r="LL43" s="211"/>
      <c r="LM43" s="210"/>
      <c r="LN43" s="148"/>
      <c r="LO43" s="148"/>
      <c r="LP43" s="265"/>
      <c r="LQ43" s="286"/>
      <c r="LR43" s="100"/>
      <c r="LS43" s="100"/>
      <c r="LT43" s="210"/>
      <c r="LU43" s="117"/>
      <c r="LV43" s="117"/>
      <c r="LW43" s="148"/>
      <c r="LX43" s="145"/>
      <c r="LY43" s="632"/>
      <c r="LZ43" s="148"/>
      <c r="MA43" s="154"/>
      <c r="MB43" s="154"/>
      <c r="MC43" s="145"/>
      <c r="MD43" s="117"/>
      <c r="ME43" s="211"/>
      <c r="MF43" s="210"/>
      <c r="MG43" s="148"/>
      <c r="MH43" s="148"/>
      <c r="MI43" s="265"/>
      <c r="MJ43" s="647"/>
      <c r="MK43" s="264"/>
      <c r="ML43" s="153"/>
      <c r="MM43" s="153"/>
      <c r="MN43" s="153"/>
      <c r="MO43" s="153"/>
      <c r="MP43" s="153"/>
      <c r="MQ43" s="153"/>
      <c r="MR43" s="153"/>
      <c r="MS43" s="99"/>
      <c r="MT43" s="99"/>
      <c r="MU43" s="99"/>
      <c r="MV43" s="99"/>
      <c r="MW43" s="99"/>
      <c r="MX43" s="99"/>
      <c r="MY43" s="153"/>
      <c r="MZ43" s="153"/>
      <c r="NA43" s="153"/>
      <c r="NB43" s="153"/>
      <c r="NC43" s="153"/>
      <c r="ND43" s="153"/>
      <c r="NE43" s="148"/>
      <c r="NF43" s="153"/>
      <c r="NG43" s="153"/>
      <c r="NH43" s="330" t="str">
        <f t="shared" si="245"/>
        <v>ks</v>
      </c>
      <c r="NI43" s="797">
        <f>RZ[[#This Row],[Počet ks (K)]]</f>
        <v>0</v>
      </c>
      <c r="NJ43" s="798">
        <f>RZ[[#This Row],[Hmotnost '[kg/ks'] (K)]]</f>
        <v>0</v>
      </c>
      <c r="NK43" s="148"/>
      <c r="NL43" s="145"/>
      <c r="NM43" s="632"/>
      <c r="NN43" s="148"/>
      <c r="NO43" s="154"/>
      <c r="NP43" s="153"/>
      <c r="NQ43" s="153"/>
      <c r="NR43" s="210"/>
      <c r="NS43" s="148"/>
      <c r="NT43" s="210"/>
      <c r="NU43" s="148"/>
      <c r="NV43" s="148"/>
      <c r="NW43" s="175"/>
    </row>
    <row r="44" spans="2:387" ht="15.95" customHeight="1" x14ac:dyDescent="0.35">
      <c r="B44" s="118" t="str">
        <f t="shared" si="129"/>
        <v/>
      </c>
      <c r="C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4" s="262" t="str">
        <f t="shared" si="130"/>
        <v xml:space="preserve">    Potrubí</v>
      </c>
      <c r="E44" s="120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Row],[Kód položek (P2)]]))))))))))</f>
        <v>SUOS</v>
      </c>
      <c r="F44" s="791" t="str">
        <f t="shared" si="131"/>
        <v>N/A</v>
      </c>
      <c r="G44" s="792" t="str">
        <f t="shared" si="132"/>
        <v/>
      </c>
      <c r="H44" s="262" t="str">
        <f t="shared" si="133"/>
        <v/>
      </c>
      <c r="I44" s="123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HR '[MJHR'] (P0)]]))))))))))</f>
        <v>ks</v>
      </c>
      <c r="J44" s="123">
        <f t="shared" si="134"/>
        <v>1</v>
      </c>
      <c r="K44" s="793">
        <f>RZ[[#This Row],[Koeficient odhadu HR '[-'] (P1)]]</f>
        <v>1</v>
      </c>
      <c r="L44" s="124">
        <f ca="1">RZ[[#This Row],[Jednotková hmotnost s koef. '[kg/MJHR'] (P0)]]</f>
        <v>1.45</v>
      </c>
      <c r="M44" s="794">
        <f t="shared" ca="1" si="135"/>
        <v>0</v>
      </c>
      <c r="N44" s="125">
        <f t="shared" ca="1" si="136"/>
        <v>1.45</v>
      </c>
      <c r="O44" s="125">
        <f t="shared" ca="1" si="137"/>
        <v>0</v>
      </c>
      <c r="P44" s="126" t="str">
        <f t="shared" si="138"/>
        <v/>
      </c>
      <c r="Q44" s="795">
        <f ca="1">RZ[[#This Row],[Počet MJHR v rozpadu (P0)]]</f>
        <v>1</v>
      </c>
      <c r="R44" s="439" t="str">
        <f t="shared" si="139"/>
        <v>Zajíc</v>
      </c>
      <c r="S44" s="129">
        <f t="shared" si="140"/>
        <v>42950.620972222219</v>
      </c>
      <c r="T44" s="126" t="str">
        <f t="shared" si="141"/>
        <v/>
      </c>
      <c r="U44" s="126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CR (MJCR) (P0)]]))))))))))</f>
        <v>ks</v>
      </c>
      <c r="V44" s="575">
        <f t="shared" ca="1" si="142"/>
        <v>1</v>
      </c>
      <c r="W44" s="322">
        <f>RZ[[#This Row],[Koeficient odhadu CR '[-'] (P1)]]</f>
        <v>1</v>
      </c>
      <c r="X44" s="440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Row],[Jednotková cena bez DPH '[cena/MJCR'] (P1)]]*RZ[[#This Row],[Koeficient odhadu CR '[-']]]))))))))))</f>
        <v>1000</v>
      </c>
      <c r="Y44" s="440">
        <f t="shared" ca="1" si="143"/>
        <v>0</v>
      </c>
      <c r="Z44" s="142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VLOOKUP(IP44,$BR$7:$BS$11,2,FALSE)))))))))))</f>
        <v>CZK</v>
      </c>
      <c r="AA44" s="909">
        <f t="shared" ca="1" si="144"/>
        <v>1</v>
      </c>
      <c r="AB44" s="910">
        <f ca="1">RZ[[#This Row],[Kumulovaný koeficient v rozpadu (P0)]]</f>
        <v>1</v>
      </c>
      <c r="AC44" s="261"/>
      <c r="AD44" s="796">
        <f ca="1">RZ[[#This Row],[Jednotková cena bez DPH '[cena/MJCR'] s koef. (P0)]]/RZ[[#This Row],[Koeficient odhadu CR '[-']]]*RZ[[#This Row],[Kumulovaný koeficient odhadu CR  '[-']]]</f>
        <v>1000</v>
      </c>
      <c r="AE44" s="796">
        <f t="shared" ca="1" si="145"/>
        <v>1000</v>
      </c>
      <c r="AF44" s="796">
        <f ca="1">-IF(ISNUMBER(AA44),RZ[[#This Row],[Celková cena bez DPH (1)]]-RZ[[#This Row],[Jednotková cena bez DPH '[cena/MJCR'] bez koef. (P0)]]*AA44,0)</f>
        <v>0</v>
      </c>
      <c r="AG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44" s="261"/>
      <c r="AI44" s="796">
        <f t="shared" ca="1" si="146"/>
        <v>37.037037037037038</v>
      </c>
      <c r="AJ44" s="796">
        <f t="shared" ca="1" si="147"/>
        <v>37.037037037037038</v>
      </c>
      <c r="AK44" s="796">
        <f t="shared" ca="1" si="148"/>
        <v>0</v>
      </c>
      <c r="AL44" s="753">
        <f ca="1">RZ[[#This Row],[Kilogramová cena bez DPH '[cena/kg'] (1)]]/$AK$13</f>
        <v>25.542784163473819</v>
      </c>
      <c r="AM44" s="261"/>
      <c r="AN44" s="796">
        <f t="shared" ca="1" si="149"/>
        <v>48.309178743961354</v>
      </c>
      <c r="AO44" s="796">
        <f t="shared" ca="1" si="150"/>
        <v>48.309178743961354</v>
      </c>
      <c r="AP44" s="796">
        <f t="shared" ca="1" si="151"/>
        <v>0</v>
      </c>
      <c r="AQ44" s="753">
        <f ca="1">RZ[[#This Row],[Kilogramová cena bez DPH '[cena/kg'] (1)]]/$AP$13</f>
        <v>33.31667499583542</v>
      </c>
      <c r="AR44" s="261"/>
      <c r="AS44" s="796">
        <f t="shared" ca="1" si="152"/>
        <v>27.352297592997811</v>
      </c>
      <c r="AT44" s="796">
        <f t="shared" ca="1" si="153"/>
        <v>27.352297592997811</v>
      </c>
      <c r="AU44" s="789">
        <f t="shared" ca="1" si="154"/>
        <v>0</v>
      </c>
      <c r="AV44" s="767">
        <f ca="1">RZ[[#This Row],[Kilogramová cena bez DPH '[cena/kg'] (1)]]/$AU$13</f>
        <v>18.863653512412284</v>
      </c>
      <c r="AW44" s="165"/>
      <c r="AX44" s="911">
        <f t="shared" ca="1" si="155"/>
        <v>2</v>
      </c>
      <c r="AY44" s="111">
        <f t="shared" ca="1" si="156"/>
        <v>1</v>
      </c>
      <c r="AZ44" s="111">
        <f t="shared" ca="1" si="157"/>
        <v>21</v>
      </c>
      <c r="BA44" s="111">
        <f t="shared" ca="1" si="158"/>
        <v>0</v>
      </c>
      <c r="BB44" s="111">
        <f t="shared" ca="1" si="159"/>
        <v>0</v>
      </c>
      <c r="BC44" s="111">
        <f t="shared" ca="1" si="160"/>
        <v>0</v>
      </c>
      <c r="BD44" s="111">
        <f t="shared" ca="1" si="161"/>
        <v>0</v>
      </c>
      <c r="BE44" s="111">
        <f t="shared" ca="1" si="162"/>
        <v>0</v>
      </c>
      <c r="BF44" s="111">
        <f t="shared" ca="1" si="163"/>
        <v>0</v>
      </c>
      <c r="BG44" s="112">
        <f t="shared" ca="1" si="164"/>
        <v>0</v>
      </c>
      <c r="BH44" s="911">
        <f t="shared" si="165"/>
        <v>0</v>
      </c>
      <c r="BI44" s="111">
        <f t="shared" si="166"/>
        <v>0</v>
      </c>
      <c r="BJ44" s="111">
        <f t="shared" si="167"/>
        <v>1</v>
      </c>
      <c r="BK44" s="111">
        <f t="shared" si="168"/>
        <v>0</v>
      </c>
      <c r="BL44" s="111">
        <f t="shared" si="169"/>
        <v>0</v>
      </c>
      <c r="BM44" s="111">
        <f t="shared" si="170"/>
        <v>0</v>
      </c>
      <c r="BN44" s="111">
        <f t="shared" si="171"/>
        <v>0</v>
      </c>
      <c r="BO44" s="111">
        <f t="shared" si="172"/>
        <v>0</v>
      </c>
      <c r="BP44" s="111">
        <f t="shared" si="173"/>
        <v>0</v>
      </c>
      <c r="BQ44" s="112">
        <f t="shared" si="174"/>
        <v>0</v>
      </c>
      <c r="BR44" s="132">
        <f ca="1">IF(OFFSET(AY44,1,0,1,1)&lt;&gt;0,RZ[[#This Row],[Koeficient odhadu HR '[-'] (P1)]]*$BH44*SUMIFS(RZ[Úroveň 2 s koef. (P2)],RZ[0],AX44),RZ[[#This Row],[Koeficient odhadu HR '[-'] (P1)]]*$BH44*$IG44)</f>
        <v>0</v>
      </c>
      <c r="BS44" s="186">
        <f ca="1">IF(OFFSET(AY44,1,0,1,1)&lt;&gt;0,$BH44*SUMIFS(RZ[Úroveň 2 bez koef. (P2)],RZ[0],AX44),$BH44*$IG44)</f>
        <v>0</v>
      </c>
      <c r="BT44" s="138">
        <f ca="1">RZ[[#This Row],[Úroveň 2 s koef. (P2a)]]*RZ[[#This Row],[Počet MJHR (P0)]]</f>
        <v>0</v>
      </c>
      <c r="BU44" s="138">
        <f ca="1">RZ[[#This Row],[Úroveň 2 bez koef. (P2a)]]*RZ[[#This Row],[Počet MJHR (P0)]]</f>
        <v>0</v>
      </c>
      <c r="BV44" s="138">
        <f ca="1">IF(OFFSET(AZ44,1,0,1,1)&lt;&gt;0,RZ[[#This Row],[Koeficient odhadu HR '[-'] (P1)]]*$BI44*SUMIFS(RZ[Úroveň 3 s koef. (P2)],RZ[0],AX44,RZ[Úroveň 2 (P0)],AY44),RZ[[#This Row],[Koeficient odhadu HR '[-'] (P1)]]*$BI44*$IG44)</f>
        <v>0</v>
      </c>
      <c r="BW44" s="138">
        <f ca="1">IF(OFFSET(AZ44,1,0,1,1)&lt;&gt;0,$BI44*SUMIFS(RZ[Úroveň 3 bez koef. (P2)],RZ[0],AX44,RZ[Úroveň 2 (P0)],AY44),$BI44*$IG44)</f>
        <v>0</v>
      </c>
      <c r="BX44" s="132">
        <f ca="1">RZ[[#This Row],[Úroveň 3 s koef. (P2a)]]*RZ[[#This Row],[Počet MJHR (P0)]]</f>
        <v>1.45</v>
      </c>
      <c r="BY44" s="132">
        <f ca="1">RZ[Úroveň 3 bez koef. (P2a)]*RZ[[#This Row],[Počet MJHR (P0)]]</f>
        <v>1.45</v>
      </c>
      <c r="BZ44" s="132">
        <f ca="1">IF(OFFSET(BA44,1,0,1,1)&lt;&gt;0,RZ[[#This Row],[Koeficient odhadu HR '[-'] (P1)]]*$BJ44*SUMIFS(RZ[Úroveň 4 s koef. (P2)],RZ[0],AX44,RZ[Úroveň 2 (P0)],AY44,RZ[Úroveň 3 (P0)],AZ44),RZ[[#This Row],[Koeficient odhadu HR '[-'] (P1)]]*$BJ44*$IG44)</f>
        <v>1.45</v>
      </c>
      <c r="CA44" s="132">
        <f ca="1">IF(OFFSET(BA44,1,0,1,1)&lt;&gt;0,$BJ44*SUMIFS(RZ[Úroveň 4 bez koef. (P2)],RZ[0],AX44,RZ[Úroveň 2 (P0)],AY44,RZ[Úroveň 3 (P0)],AZ44),$BJ44*$IG44)</f>
        <v>1.45</v>
      </c>
      <c r="CB44" s="138">
        <f ca="1">RZ[[#This Row],[Úroveň 4 s koef. (P2a)]]*RZ[[#This Row],[Počet MJHR (P0)]]</f>
        <v>0</v>
      </c>
      <c r="CC44" s="138">
        <f ca="1">RZ[Úroveň 4 bez koef. (P2a)]*RZ[[#This Row],[Počet MJHR (P0)]]</f>
        <v>0</v>
      </c>
      <c r="CD44" s="138">
        <f ca="1">IF(OFFSET(BB44,1,0,1,1)&lt;&gt;0,RZ[[#This Row],[Koeficient odhadu HR '[-'] (P1)]]*$BK44*SUMIFS(RZ[Úroveň 5 s koef. (P2)],RZ[0],AX44,RZ[Úroveň 2 (P0)],AY44,RZ[Úroveň 3 (P0)],AZ44,RZ[Úroveň 4 (P0)],BA44),RZ[[#This Row],[Koeficient odhadu HR '[-'] (P1)]]*$BK44*$IG44)</f>
        <v>0</v>
      </c>
      <c r="CE44" s="138">
        <f ca="1">IF(OFFSET(BB44,1,0,1,1)&lt;&gt;0,$BK44*SUMIFS(RZ[Úroveň 5 bez koef. (P2)],RZ[0],AX44,RZ[Úroveň 2 (P0)],AY44,RZ[Úroveň 3 (P0)],AZ44,RZ[Úroveň 4 (P0)],BA44),$BK44*$IG44)</f>
        <v>0</v>
      </c>
      <c r="CF44" s="132">
        <f ca="1">RZ[[#This Row],[Úroveň 5 s koef. (P2a)]]*RZ[[#This Row],[Počet MJHR (P0)]]</f>
        <v>0</v>
      </c>
      <c r="CG44" s="132">
        <f ca="1">RZ[Úroveň 5 bez koef. (P2a)]*RZ[[#This Row],[Počet MJHR (P0)]]</f>
        <v>0</v>
      </c>
      <c r="CH44" s="132">
        <f ca="1">IF(OFFSET(BC44,1,0,1,1)&lt;&gt;0,RZ[[#This Row],[Koeficient odhadu HR '[-'] (P1)]]*$BL44*SUMIFS(RZ[Úroveň 6 s koef. (P2)],RZ[0],AX44,RZ[Úroveň 2 (P0)],AY44,RZ[Úroveň 3 (P0)],AZ44,RZ[Úroveň 4 (P0)],BA44,RZ[Úroveň 5 (P0)],BB44),RZ[[#This Row],[Koeficient odhadu HR '[-'] (P1)]]*$BL44*$IG44)</f>
        <v>0</v>
      </c>
      <c r="CI44" s="132">
        <f ca="1">IF(OFFSET(BC44,1,0,1,1)&lt;&gt;0,$BL44*SUMIFS(RZ[Úroveň 6 bez koef. (P2)],RZ[0],AX44,RZ[Úroveň 2 (P0)],AY44,RZ[Úroveň 3 (P0)],AZ44,RZ[Úroveň 4 (P0)],BA44,RZ[Úroveň 5 (P0)],BB44),$BL44*$IG44)</f>
        <v>0</v>
      </c>
      <c r="CJ44" s="138">
        <f ca="1">RZ[[#This Row],[Úroveň 6 s koef. (P2a)]]*RZ[[#This Row],[Počet MJHR (P0)]]</f>
        <v>0</v>
      </c>
      <c r="CK44" s="138">
        <f ca="1">RZ[Úroveň 6 bez koef. (P2a)]*RZ[[#This Row],[Počet MJHR (P0)]]</f>
        <v>0</v>
      </c>
      <c r="CL44" s="138">
        <f ca="1">IF(OFFSET(BD44,1,0,1,1)&lt;&gt;0,RZ[[#This Row],[Koeficient odhadu HR '[-'] (P1)]]*$BM44*SUMIFS(RZ[Úroveň 7 s koef. (P2)],RZ[0],AX44,RZ[Úroveň 2 (P0)],AY44,RZ[Úroveň 3 (P0)],AZ44,RZ[Úroveň 4 (P0)],BA44,RZ[Úroveň 5 (P0)],BB44,RZ[Úroveň 6 (P0)],BC44),RZ[[#This Row],[Koeficient odhadu HR '[-'] (P1)]]*$BM44*$IG44)</f>
        <v>0</v>
      </c>
      <c r="CM44" s="138">
        <f ca="1">IF(OFFSET(BD44,1,0,1,1)&lt;&gt;0,$BM44*SUMIFS(RZ[Úroveň 7 bez koef. (P2)],RZ[0],AX44,RZ[Úroveň 2 (P0)],AY44,RZ[Úroveň 3 (P0)],AZ44,RZ[Úroveň 4 (P0)],BA44,RZ[Úroveň 5 (P0)],BB44,RZ[Úroveň 6 (P0)],BC44),$BM44*$IG44)</f>
        <v>0</v>
      </c>
      <c r="CN44" s="132">
        <f ca="1">RZ[[#This Row],[Úroveň 7 s koef. (P2a)]]*RZ[[#This Row],[Počet MJHR (P0)]]</f>
        <v>0</v>
      </c>
      <c r="CO44" s="132">
        <f ca="1">RZ[Úroveň 7 bez koef. (P2a)]*RZ[[#This Row],[Počet MJHR (P0)]]</f>
        <v>0</v>
      </c>
      <c r="CP44" s="132">
        <f ca="1">IF(OFFSET(BE44,1,0,1,1)&lt;&gt;0,RZ[[#This Row],[Koeficient odhadu HR '[-'] (P1)]]*$BN44*SUMIFS(RZ[Úroveň 8 s koef. (P2)],RZ[0],AX44,RZ[Úroveň 2 (P0)],AY44,RZ[Úroveň 3 (P0)],AZ44,RZ[Úroveň 4 (P0)],BA44,RZ[Úroveň 5 (P0)],BB44,RZ[Úroveň 6 (P0)],BC44,RZ[Úroveň 7 (P0)],BD44),RZ[[#This Row],[Koeficient odhadu HR '[-'] (P1)]]*$BN44*$IG44)</f>
        <v>0</v>
      </c>
      <c r="CQ44" s="132">
        <f ca="1">IF(OFFSET(BE44,1,0,1,1)&lt;&gt;0,$BN44*SUMIFS(RZ[Úroveň 8 bez koef. (P2)],RZ[0],AX44,RZ[Úroveň 2 (P0)],AY44,RZ[Úroveň 3 (P0)],AZ44,RZ[Úroveň 4 (P0)],BA44,RZ[Úroveň 5 (P0)],BB44,RZ[Úroveň 6 (P0)],BC44,RZ[Úroveň 7 (P0)],BD44),$BN44*$IG44)</f>
        <v>0</v>
      </c>
      <c r="CR44" s="138">
        <f ca="1">RZ[[#This Row],[Úroveň 8 s koef. (P2a)]]*RZ[[#This Row],[Počet MJHR (P0)]]</f>
        <v>0</v>
      </c>
      <c r="CS44" s="138">
        <f ca="1">RZ[Úroveň 8 bez koef. (P2a)]*RZ[[#This Row],[Počet MJHR (P0)]]</f>
        <v>0</v>
      </c>
      <c r="CT44" s="138">
        <f ca="1">IF(OFFSET(BF44,1,0,1,1)&lt;&gt;0,RZ[[#This Row],[Koeficient odhadu HR '[-'] (P1)]]*$BO44*SUMIFS(RZ[Úroveň 9 s koef. (P2)],RZ[0],AX44,RZ[Úroveň 2 (P0)],AY44,RZ[Úroveň 3 (P0)],AZ44,RZ[Úroveň 4 (P0)],BA44,RZ[Úroveň 5 (P0)],BB44,RZ[Úroveň 6 (P0)],BC44,RZ[Úroveň 7 (P0)],BD44,RZ[Úroveň 8 (P0)],BE44),RZ[[#This Row],[Koeficient odhadu HR '[-'] (P1)]]*$BO44*$IG44)</f>
        <v>0</v>
      </c>
      <c r="CU44" s="138">
        <f ca="1">IF(OFFSET(BF44,1,0,1,1)&lt;&gt;0,$BO44*SUMIFS(RZ[Úroveň 9 bez koef. (P2)],RZ[0],AX44,RZ[Úroveň 2 (P0)],AY44,RZ[Úroveň 3 (P0)],AZ44,RZ[Úroveň 4 (P0)],BA44,RZ[Úroveň 5 (P0)],BB44,RZ[Úroveň 6 (P0)],BC44,RZ[Úroveň 7 (P0)],BD44,RZ[Úroveň 8 (P0)],BE44),$BO44*$IG44)</f>
        <v>0</v>
      </c>
      <c r="CV44" s="132">
        <f ca="1">RZ[[#This Row],[Úroveň 9 s koef. (P2a)]]*RZ[[#This Row],[Počet MJHR (P0)]]</f>
        <v>0</v>
      </c>
      <c r="CW44" s="132">
        <f ca="1">RZ[Úroveň 9 bez koef. (P2a)]*RZ[[#This Row],[Počet MJHR (P0)]]</f>
        <v>0</v>
      </c>
      <c r="CX44" s="132">
        <f ca="1">IF(OFFSET(BG44,1,0,1,1)&lt;&gt;0,RZ[[#This Row],[Koeficient odhadu HR '[-'] (P1)]]*$BP44*SUMIFS(RZ[Úroveň 10 s koef. (P2)],RZ[0],AX44,RZ[Úroveň 2 (P0)],AY44,RZ[Úroveň 3 (P0)],AZ44,RZ[Úroveň 4 (P0)],BA44,RZ[Úroveň 5 (P0)],BB44,RZ[Úroveň 6 (P0)],BC44,RZ[Úroveň 7 (P0)],BD44,RZ[Úroveň 8 (P0)],BE44,RZ[Úroveň 9 (P0)],BF44),RZ[[#This Row],[Koeficient odhadu HR '[-'] (P1)]]*$BP44*$IG44)</f>
        <v>0</v>
      </c>
      <c r="CY44" s="132">
        <f ca="1">IF(OFFSET(BG44,1,0,1,1)&lt;&gt;0,$BP44*SUMIFS(RZ[Úroveň 10 bez koef. (P2)],RZ[0],AX44,RZ[Úroveň 2 (P0)],AY44,RZ[Úroveň 3 (P0)],AZ44,RZ[Úroveň 4 (P0)],BA44,RZ[Úroveň 5 (P0)],BB44,RZ[Úroveň 6 (P0)],BC44,RZ[Úroveň 7 (P0)],BD44,RZ[Úroveň 8 (P0)],BE44,RZ[Úroveň 9 (P0)],BF44),$BP44*$IG44)</f>
        <v>0</v>
      </c>
      <c r="CZ44" s="138">
        <f>RZ[[#This Row],[Úroveň 10 s koef. (P2a)]]*RZ[[#This Row],[Počet MJHR (P0)]]</f>
        <v>0</v>
      </c>
      <c r="DA44" s="138">
        <f>RZ[Úroveň 10 bez koef. (P2a)]*RZ[[#This Row],[Počet MJHR (P0)]]</f>
        <v>0</v>
      </c>
      <c r="DB44" s="138">
        <f>RZ[[#This Row],[Koeficient odhadu HR '[-'] (P1)]]*$BQ44*IG44</f>
        <v>0</v>
      </c>
      <c r="DC44" s="231">
        <f t="shared" si="175"/>
        <v>0</v>
      </c>
      <c r="DD44" s="241">
        <f t="shared" ca="1" si="176"/>
        <v>1.45</v>
      </c>
      <c r="DE44" s="229">
        <f t="shared" ca="1" si="177"/>
        <v>1.45</v>
      </c>
      <c r="DF44" s="912">
        <f t="shared" si="178"/>
        <v>0</v>
      </c>
      <c r="DG44" s="913">
        <f t="shared" si="179"/>
        <v>0</v>
      </c>
      <c r="DH44" s="913">
        <f t="shared" si="180"/>
        <v>1</v>
      </c>
      <c r="DI44" s="913">
        <f t="shared" si="181"/>
        <v>0</v>
      </c>
      <c r="DJ44" s="913">
        <f t="shared" si="182"/>
        <v>0</v>
      </c>
      <c r="DK44" s="913">
        <f t="shared" si="183"/>
        <v>0</v>
      </c>
      <c r="DL44" s="913">
        <f t="shared" si="184"/>
        <v>0</v>
      </c>
      <c r="DM44" s="913">
        <f t="shared" si="185"/>
        <v>0</v>
      </c>
      <c r="DN44" s="913">
        <f t="shared" si="186"/>
        <v>0</v>
      </c>
      <c r="DO44" s="913">
        <f t="shared" si="187"/>
        <v>0</v>
      </c>
      <c r="DP44" s="914">
        <f ca="1">SUMIFS(RZ[Úroveň 1 (P4)],RZ[0],AX44)</f>
        <v>1</v>
      </c>
      <c r="DQ44" s="914">
        <f ca="1">SUMIFS(RZ[Úroveň 2 (P4)],RZ[0],AX44,RZ[Úroveň 2 (P0)],AY44)</f>
        <v>1</v>
      </c>
      <c r="DR44" s="914">
        <f ca="1">SUMIFS(RZ[Úroveň 3 (P4)],RZ[0],AX44,RZ[Úroveň 2 (P0)],AY44,RZ[Úroveň 3 (P0)],AZ44)</f>
        <v>1</v>
      </c>
      <c r="DS44" s="914">
        <f ca="1">SUMIFS(RZ[Úroveň 4 (P4)],RZ[0],AX44,RZ[Úroveň 2 (P0)],AY44,RZ[Úroveň 3 (P0)],AZ44,RZ[Úroveň 4 (P0)],BA44)</f>
        <v>0</v>
      </c>
      <c r="DT44" s="914">
        <f ca="1">SUMIFS(RZ[Úroveň 5 (P4)],RZ[0],AX44,RZ[Úroveň 2 (P0)],AY44,RZ[Úroveň 3 (P0)],AZ44,RZ[Úroveň 4 (P0)],BA44,RZ[Úroveň 5 (P0)],BB44)</f>
        <v>0</v>
      </c>
      <c r="DU44" s="914">
        <f ca="1">SUMIFS(RZ[Úroveň 6 (P4)],RZ[0],AX44,RZ[Úroveň 2 (P0)],AY44,RZ[Úroveň 3 (P0)],AZ44,RZ[Úroveň 4 (P0)],BA44,RZ[Úroveň 5 (P0)],BB44,RZ[Úroveň 6 (P0)],BC44)</f>
        <v>0</v>
      </c>
      <c r="DV44" s="914">
        <f ca="1">SUMIFS(RZ[Úroveň 7 (P4)],RZ[0],AX44,RZ[Úroveň 2 (P0)],AY44,RZ[Úroveň 3 (P0)],AZ44,RZ[Úroveň 4 (P0)],BA44,RZ[Úroveň 5 (P0)],BB44,RZ[Úroveň 6 (P0)],BC44,RZ[Úroveň 7 (P0)],BD44)</f>
        <v>0</v>
      </c>
      <c r="DW44" s="914">
        <f ca="1">SUMIFS(RZ[Úroveň 8 (P4)],RZ[0],AX44,RZ[Úroveň 2 (P0)],AY44,RZ[Úroveň 3 (P0)],AZ44,RZ[Úroveň 4 (P0)],BA44,RZ[Úroveň 5 (P0)],BB44,RZ[Úroveň 6 (P0)],BC44,RZ[Úroveň 7 (P0)],BD44,RZ[Úroveň 8 (P0)],BE44)</f>
        <v>0</v>
      </c>
      <c r="DX44" s="914">
        <f ca="1">SUMIFS(RZ[Úroveň 9 (P4)],RZ[0],AX44,RZ[Úroveň 2 (P0)],AY44,RZ[Úroveň 3 (P0)],AZ44,RZ[Úroveň 4 (P0)],BA44,RZ[Úroveň 5 (P0)],BB44,RZ[Úroveň 6 (P0)],BC44,RZ[Úroveň 7 (P0)],BD44,RZ[Úroveň 8 (P0)],BE44,RZ[Úroveň 9 (P0)],BF44)</f>
        <v>0</v>
      </c>
      <c r="DY44" s="914">
        <f ca="1">SUMIFS(RZ[Úroveň 10 (P4)],RZ[0],AX44,RZ[Úroveň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DZ44" s="915">
        <f t="shared" ca="1" si="188"/>
        <v>1</v>
      </c>
      <c r="EA44" s="916">
        <f ca="1">RZ[[#This Row],[Jednotková hmotnost bez koef. '[kg/MJHR'] (P0)]]*RZ[[#This Row],[Počet MJHR v rozpadu (P0)]]</f>
        <v>1.45</v>
      </c>
      <c r="EB44" s="917">
        <f ca="1">IF(OFFSET(AY44,1,0,1,1)&lt;&gt;0,RZ[[#This Row],[Koeficient odhadu CR '[-'] (P1)]]*$BH44*SUMIFS(RZ[Úroveň 2 s koef. (P3)],RZ[0],AX44),RZ[[#This Row],[Koeficient odhadu CR '[-'] (P1)]]*$BH44*$IQ44)</f>
        <v>0</v>
      </c>
      <c r="EC44" s="191">
        <f ca="1">IF(OFFSET(AY44,1,0,1,1)&lt;&gt;0,$BH44*SUMIFS(RZ[Úroveň 2 bez koef. (P3)],RZ[0],AX44),$BH44*$IQ44)</f>
        <v>0</v>
      </c>
      <c r="ED44" s="140">
        <f ca="1">RZ[[#This Row],[Úroveň 2 s koef. (P3a)]]*RZ[[#This Row],[Počet MJCR (P0) pro "kg"]]</f>
        <v>0</v>
      </c>
      <c r="EE44" s="140">
        <f ca="1">RZ[Úroveň 2 bez koef. (P3a)]*RZ[[#This Row],[Počet MJCR (P0) pro "kg"]]</f>
        <v>0</v>
      </c>
      <c r="EF44" s="140">
        <f ca="1">IF(OFFSET(AZ44,1,0,1,1)&lt;&gt;0,RZ[[#This Row],[Koeficient odhadu CR '[-'] (P1)]]*$BI44*SUMIFS(RZ[Úroveň 3 s koef. (P3)],RZ[0],AX44,RZ[Úroveň 2 (P0)],AY44),RZ[[#This Row],[Koeficient odhadu CR '[-'] (P1)]]*$BI44*$IQ44)</f>
        <v>0</v>
      </c>
      <c r="EG44" s="140">
        <f ca="1">IF(OFFSET(AZ44,1,0,1,1)&lt;&gt;0,$BI44*SUMIFS(RZ[Úroveň 3 bez koef. (P3)],RZ[0],AX44,RZ[Úroveň 2 (P0)],AY44),$BI44*$IQ44)</f>
        <v>0</v>
      </c>
      <c r="EH44" s="135">
        <f ca="1">RZ[[#This Row],[Úroveň 3 s koef. (P3a)]]*RZ[[#This Row],[Počet MJCR (P0) pro "kg"]]</f>
        <v>1000</v>
      </c>
      <c r="EI44" s="135">
        <f ca="1">RZ[Úroveň 3 bez koef. (P3a)]*RZ[[#This Row],[Počet MJCR (P0) pro "kg"]]</f>
        <v>1000</v>
      </c>
      <c r="EJ44" s="135">
        <f ca="1">IF(OFFSET(BA44,1,0,1,1)&lt;&gt;0,RZ[[#This Row],[Koeficient odhadu CR '[-'] (P1)]]*$BJ44*SUMIFS(RZ[Úroveň 4 s koef. (P3)],RZ[0],AX44,RZ[Úroveň 2 (P0)],AY44,RZ[Úroveň 3 (P0)],AZ44),RZ[[#This Row],[Koeficient odhadu CR '[-'] (P1)]]*$BJ44*$IQ44)</f>
        <v>1000</v>
      </c>
      <c r="EK44" s="135">
        <f ca="1">IF(OFFSET(BA44,1,0,1,1)&lt;&gt;0,$BJ44*SUMIFS(RZ[Úroveň 4 bez koef. (P3)],RZ[0],AX44,RZ[Úroveň 2 (P0)],AY44,RZ[Úroveň 3 (P0)],AZ44),$BJ44*$IQ44)</f>
        <v>1000</v>
      </c>
      <c r="EL44" s="140">
        <f ca="1">RZ[[#This Row],[Úroveň 4 s koef. (P3a)]]*RZ[[#This Row],[Počet MJCR (P0) pro "kg"]]</f>
        <v>0</v>
      </c>
      <c r="EM44" s="140">
        <f ca="1">RZ[Úroveň 4 bez koef. (P3a)]*RZ[[#This Row],[Počet MJCR (P0) pro "kg"]]</f>
        <v>0</v>
      </c>
      <c r="EN44" s="140">
        <f ca="1">IF(OFFSET(BB44,1,0,1,1)&lt;&gt;0,RZ[[#This Row],[Koeficient odhadu CR '[-'] (P1)]]*$BK44*SUMIFS(RZ[Úroveň 5 s koef. (P3)],RZ[0],AX44,RZ[Úroveň 2 (P0)],AY44,RZ[Úroveň 3 (P0)],AZ44,RZ[Úroveň 4 (P0)],BA44),RZ[[#This Row],[Koeficient odhadu CR '[-'] (P1)]]*$BK44*$IQ44)</f>
        <v>0</v>
      </c>
      <c r="EO44" s="140">
        <f ca="1">IF(OFFSET(BB44,1,0,1,1)&lt;&gt;0,$BK44*SUMIFS(RZ[Úroveň 5 bez koef. (P3)],RZ[0],AX44,RZ[Úroveň 2 (P0)],AY44,RZ[Úroveň 3 (P0)],AZ44,RZ[Úroveň 4 (P0)],BA44),$BK44*$IQ44)</f>
        <v>0</v>
      </c>
      <c r="EP44" s="135">
        <f ca="1">RZ[[#This Row],[Úroveň 5 s koef. (P3a)]]*RZ[[#This Row],[Počet MJCR (P0) pro "kg"]]</f>
        <v>0</v>
      </c>
      <c r="EQ44" s="135">
        <f ca="1">RZ[Úroveň 5 bez koef. (P3a)]*RZ[[#This Row],[Počet MJCR (P0) pro "kg"]]</f>
        <v>0</v>
      </c>
      <c r="ER44" s="135">
        <f ca="1">IF(OFFSET(BC44,1,0,1,1)&lt;&gt;0,RZ[[#This Row],[Koeficient odhadu CR '[-'] (P1)]]*$BL44*SUMIFS(RZ[Úroveň 6 s koef. (P3)],RZ[0],AX44,RZ[Úroveň 2 (P0)],AY44,RZ[Úroveň 3 (P0)],AZ44,RZ[Úroveň 4 (P0)],BA44,RZ[Úroveň 5 (P0)],BB44),RZ[[#This Row],[Koeficient odhadu CR '[-'] (P1)]]*$BL44*$IQ44)</f>
        <v>0</v>
      </c>
      <c r="ES44" s="135">
        <f ca="1">IF(OFFSET(BC44,1,0,1,1)&lt;&gt;0,$BL44*SUMIFS(RZ[Úroveň 6 bez koef. (P3)],RZ[0],AX44,RZ[Úroveň 2 (P0)],AY44,RZ[Úroveň 3 (P0)],AZ44,RZ[Úroveň 4 (P0)],BA44,RZ[Úroveň 5 (P0)],BB44),$BL44*$IQ44)</f>
        <v>0</v>
      </c>
      <c r="ET44" s="140">
        <f ca="1">RZ[[#This Row],[Úroveň 6 s koef. (P3a)]]*RZ[[#This Row],[Počet MJCR (P0) pro "kg"]]</f>
        <v>0</v>
      </c>
      <c r="EU44" s="140">
        <f ca="1">RZ[Úroveň 6 bez koef. (P3a)]*RZ[[#This Row],[Počet MJCR (P0) pro "kg"]]</f>
        <v>0</v>
      </c>
      <c r="EV44" s="140">
        <f ca="1">IF(OFFSET(BD44,1,0,1,1)&lt;&gt;0,RZ[[#This Row],[Koeficient odhadu CR '[-'] (P1)]]*$BM44*SUMIFS(RZ[Úroveň 7 s koef. (P3)],RZ[0],AX44,RZ[Úroveň 2 (P0)],AY44,RZ[Úroveň 3 (P0)],AZ44,RZ[Úroveň 4 (P0)],BA44,RZ[Úroveň 5 (P0)],BB44,RZ[Úroveň 6 (P0)],BC44),RZ[[#This Row],[Koeficient odhadu CR '[-'] (P1)]]*$BM44*$IQ44)</f>
        <v>0</v>
      </c>
      <c r="EW44" s="140">
        <f ca="1">IF(OFFSET(BD44,1,0,1,1)&lt;&gt;0,$BM44*SUMIFS(RZ[Úroveň 7 bez koef. (P3)],RZ[0],AX44,RZ[Úroveň 2 (P0)],AY44,RZ[Úroveň 3 (P0)],AZ44,RZ[Úroveň 4 (P0)],BA44,RZ[Úroveň 5 (P0)],BB44,RZ[Úroveň 6 (P0)],BC44),$BM44*$IQ44)</f>
        <v>0</v>
      </c>
      <c r="EX44" s="135">
        <f ca="1">RZ[[#This Row],[Úroveň 7 s koef. (P3a)]]*RZ[[#This Row],[Počet MJCR (P0) pro "kg"]]</f>
        <v>0</v>
      </c>
      <c r="EY44" s="135">
        <f ca="1">RZ[Úroveň 7 bez koef. (P3a)]*RZ[[#This Row],[Počet MJCR (P0) pro "kg"]]</f>
        <v>0</v>
      </c>
      <c r="EZ44" s="135">
        <f ca="1">IF(OFFSET(BE44,1,0,1,1)&lt;&gt;0,RZ[[#This Row],[Koeficient odhadu CR '[-'] (P1)]]*$BN44*SUMIFS(RZ[Úroveň 8 s koef. (P3)],RZ[0],AX44,RZ[Úroveň 2 (P0)],AY44,RZ[Úroveň 3 (P0)],AZ44,RZ[Úroveň 4 (P0)],BA44,RZ[Úroveň 5 (P0)],BB44,RZ[Úroveň 6 (P0)],BC44,RZ[Úroveň 7 (P0)],BD44),RZ[[#This Row],[Koeficient odhadu CR '[-'] (P1)]]*$BN44*$IQ44)</f>
        <v>0</v>
      </c>
      <c r="FA44" s="135">
        <f ca="1">IF(OFFSET(BE44,1,0,1,1)&lt;&gt;0,$BN44*SUMIFS(RZ[Úroveň 8 bez koef. (P3)],RZ[0],AX44,RZ[Úroveň 2 (P0)],AY44,RZ[Úroveň 3 (P0)],AZ44,RZ[Úroveň 4 (P0)],BA44,RZ[Úroveň 5 (P0)],BB44,RZ[Úroveň 6 (P0)],BC44,RZ[Úroveň 7 (P0)],BD44),$BN44*$IQ44)</f>
        <v>0</v>
      </c>
      <c r="FB44" s="140">
        <f ca="1">RZ[[#This Row],[Úroveň 8 s koef. (P3a)]]*RZ[[#This Row],[Počet MJCR (P0) pro "kg"]]</f>
        <v>0</v>
      </c>
      <c r="FC44" s="140">
        <f ca="1">RZ[Úroveň 8 bez koef. (P3a)]*RZ[[#This Row],[Počet MJCR (P0) pro "kg"]]</f>
        <v>0</v>
      </c>
      <c r="FD44" s="140">
        <f ca="1">IF(OFFSET(BF44,1,0,1,1)&lt;&gt;0,RZ[[#This Row],[Koeficient odhadu CR '[-'] (P1)]]*$BO44*SUMIFS(RZ[Úroveň 9 s koef. (P3)],RZ[0],AX44,RZ[Úroveň 2 (P0)],AY44,RZ[Úroveň 3 (P0)],AZ44,RZ[Úroveň 4 (P0)],BA44,RZ[Úroveň 5 (P0)],BB44,RZ[Úroveň 6 (P0)],BC44,RZ[Úroveň 7 (P0)],BD44,RZ[Úroveň 8 (P0)],BE44),RZ[[#This Row],[Koeficient odhadu CR '[-'] (P1)]]*$BO44*$IQ44)</f>
        <v>0</v>
      </c>
      <c r="FE44" s="140">
        <f ca="1">IF(OFFSET(BF44,1,0,1,1)&lt;&gt;0,$BO44*SUMIFS(RZ[Úroveň 9 bez koef. (P3)],RZ[0],AX44,RZ[Úroveň 2 (P0)],AY44,RZ[Úroveň 3 (P0)],AZ44,RZ[Úroveň 4 (P0)],BA44,RZ[Úroveň 5 (P0)],BB44,RZ[Úroveň 6 (P0)],BC44,RZ[Úroveň 7 (P0)],BD44,RZ[Úroveň 8 (P0)],BE44),$BO44*$IQ44)</f>
        <v>0</v>
      </c>
      <c r="FF44" s="135">
        <f ca="1">RZ[[#This Row],[Úroveň 9 s koef. (P3a)]]*RZ[[#This Row],[Počet MJCR (P0) pro "kg"]]</f>
        <v>0</v>
      </c>
      <c r="FG44" s="135">
        <f ca="1">RZ[Úroveň 9 bez koef. (P3a)]*RZ[[#This Row],[Počet MJCR (P0) pro "kg"]]</f>
        <v>0</v>
      </c>
      <c r="FH44" s="135">
        <f ca="1">IF(OFFSET(BG44,1,0,1,1)&lt;&gt;0,RZ[[#This Row],[Koeficient odhadu CR '[-'] (P1)]]*$BP44*SUMIFS(RZ[Úroveň 10 s koef. (P3)],RZ[0],AX44,RZ[Úroveň 2 (P0)],AY44,RZ[Úroveň 3 (P0)],AZ44,RZ[Úroveň 4 (P0)],BA44,RZ[Úroveň 5 (P0)],BB44,RZ[Úroveň 6 (P0)],BC44,RZ[Úroveň 7 (P0)],BD44,RZ[Úroveň 8 (P0)],BE44,RZ[Úroveň 9 (P0)],BF44),RZ[[#This Row],[Koeficient odhadu CR '[-'] (P1)]]*$BP44*$IQ44)</f>
        <v>0</v>
      </c>
      <c r="FI44" s="135">
        <f ca="1">IF(OFFSET(BG44,1,0,1,1)&lt;&gt;0,$BP44*SUMIFS(RZ[Úroveň 10 bez koef. (P3)],RZ[0],AX44,RZ[Úroveň 2 (P0)],AY44,RZ[Úroveň 3 (P0)],AZ44,RZ[Úroveň 4 (P0)],BA44,RZ[Úroveň 5 (P0)],BB44,RZ[Úroveň 6 (P0)],BC44,RZ[Úroveň 7 (P0)],BD44,RZ[Úroveň 8 (P0)],BE44,RZ[Úroveň 9 (P0)],BF44),$BP44*$IQ44)</f>
        <v>0</v>
      </c>
      <c r="FJ44" s="140">
        <f ca="1">RZ[[#This Row],[Úroveň 10 s koef. (P3a)]]*RZ[[#This Row],[Počet MJCR (P0) pro "kg"]]</f>
        <v>0</v>
      </c>
      <c r="FK44" s="140">
        <f ca="1">RZ[Úroveň 10 bez koef. (P3a)]*RZ[[#This Row],[Počet MJCR (P0) pro "kg"]]</f>
        <v>0</v>
      </c>
      <c r="FL44" s="140">
        <f ca="1">RZ[[#This Row],[Koeficient odhadu CR '[-'] (P1)]]*$BQ44*IQ44</f>
        <v>0</v>
      </c>
      <c r="FM44" s="236">
        <f t="shared" ca="1" si="189"/>
        <v>0</v>
      </c>
      <c r="FN44" s="194">
        <f t="shared" ca="1" si="190"/>
        <v>1000</v>
      </c>
      <c r="FO44" s="238">
        <f t="shared" ca="1" si="191"/>
        <v>1000</v>
      </c>
      <c r="FP44" s="135">
        <f t="shared" ca="1" si="192"/>
        <v>0</v>
      </c>
      <c r="FQ44" s="135">
        <f t="shared" ca="1" si="193"/>
        <v>0</v>
      </c>
      <c r="FR44" s="135">
        <f t="shared" ca="1" si="194"/>
        <v>1</v>
      </c>
      <c r="FS44" s="135">
        <f t="shared" ca="1" si="195"/>
        <v>0</v>
      </c>
      <c r="FT44" s="135">
        <f t="shared" ca="1" si="196"/>
        <v>0</v>
      </c>
      <c r="FU44" s="135">
        <f t="shared" ca="1" si="197"/>
        <v>0</v>
      </c>
      <c r="FV44" s="135">
        <f t="shared" ca="1" si="198"/>
        <v>0</v>
      </c>
      <c r="FW44" s="135">
        <f t="shared" ca="1" si="199"/>
        <v>0</v>
      </c>
      <c r="FX44" s="135">
        <f t="shared" ca="1" si="200"/>
        <v>0</v>
      </c>
      <c r="FY44" s="135">
        <f t="shared" ca="1" si="201"/>
        <v>0</v>
      </c>
      <c r="FZ44" s="140">
        <f ca="1">SUMIFS(RZ[Úroveň 1 (P6)],RZ[0],AX44)</f>
        <v>1</v>
      </c>
      <c r="GA44" s="140">
        <f ca="1">SUMIFS(RZ[Úroveň 2 (P6)],RZ[0],AX44,RZ[Úroveň 2 (P0)],AY44)</f>
        <v>1</v>
      </c>
      <c r="GB44" s="140">
        <f ca="1">SUMIFS(RZ[Úroveň 3 (P6)],RZ[0],AX44,RZ[Úroveň 2 (P0)],AY44,RZ[Úroveň 3 (P0)],AZ44)</f>
        <v>1</v>
      </c>
      <c r="GC44" s="140">
        <f ca="1">SUMIFS(RZ[Úroveň 4 (P6)],RZ[0],AX44,RZ[Úroveň 2 (P0)],AY44,RZ[Úroveň 3 (P0)],AZ44,RZ[Úroveň 4 (P0)],BA44)</f>
        <v>0</v>
      </c>
      <c r="GD44" s="140">
        <f ca="1">SUMIFS(RZ[Úroveň 5 (P6)],RZ[0],AX44,RZ[Úroveň 2 (P0)],AY44,RZ[Úroveň 3 (P0)],AZ44,RZ[Úroveň 4 (P0)],BA44,RZ[Úroveň 5 (P0)],BB44)</f>
        <v>0</v>
      </c>
      <c r="GE44" s="140">
        <f ca="1">SUMIFS(RZ[Úroveň 6 (P6)],RZ[0],AX44,RZ[Úroveň 2 (P0)],AY44,RZ[Úroveň 3 (P0)],AZ44,RZ[Úroveň 4 (P0)],BA44,RZ[Úroveň 5 (P0)],BB44,RZ[Úroveň 6 (P0)],BC44)</f>
        <v>0</v>
      </c>
      <c r="GF44" s="140">
        <f ca="1">SUMIFS(RZ[Úroveň 7 (P6)],RZ[0],AX44,RZ[Úroveň 2 (P0)],AY44,RZ[Úroveň 3 (P0)],AZ44,RZ[Úroveň 4 (P0)],BA44,RZ[Úroveň 5 (P0)],BB44,RZ[Úroveň 6 (P0)],BC44,RZ[Úroveň 7 (P0)],BD44)</f>
        <v>0</v>
      </c>
      <c r="GG44" s="140">
        <f ca="1">SUMIFS(RZ[Úroveň 8 (P6)],RZ[0],AX44,RZ[Úroveň 2 (P0)],AY44,RZ[Úroveň 3 (P0)],AZ44,RZ[Úroveň 4 (P0)],BA44,RZ[Úroveň 5 (P0)],BB44,RZ[Úroveň 6 (P0)],BC44,RZ[Úroveň 7 (P0)],BD44,RZ[Úroveň 8 (P0)],BE44)</f>
        <v>0</v>
      </c>
      <c r="GH44" s="140">
        <f ca="1">SUMIFS(RZ[Úroveň 9 (P6)],RZ[0],AX44,RZ[Úroveň 2 (P0)],AY44,RZ[Úroveň 3 (P0)],AZ44,RZ[Úroveň 4 (P0)],BA44,RZ[Úroveň 5 (P0)],BB44,RZ[Úroveň 6 (P0)],BC44,RZ[Úroveň 7 (P0)],BD44,RZ[Úroveň 8 (P0)],BE44,RZ[Úroveň 9 (P0)],BF44)</f>
        <v>0</v>
      </c>
      <c r="GI44" s="140">
        <f ca="1">SUMIFS(RZ[Úroveň 10 (P6)],RZ[0],AX44,RZ[Úroveň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GJ44" s="918">
        <f t="shared" ca="1" si="202"/>
        <v>1</v>
      </c>
      <c r="GK44" s="808">
        <f t="shared" si="203"/>
        <v>0</v>
      </c>
      <c r="GL44" s="808">
        <f t="shared" si="204"/>
        <v>0</v>
      </c>
      <c r="GM44" s="808">
        <f t="shared" si="205"/>
        <v>1</v>
      </c>
      <c r="GN44" s="808">
        <f t="shared" si="206"/>
        <v>0</v>
      </c>
      <c r="GO44" s="808">
        <f t="shared" si="207"/>
        <v>0</v>
      </c>
      <c r="GP44" s="808">
        <f t="shared" si="208"/>
        <v>0</v>
      </c>
      <c r="GQ44" s="808">
        <f t="shared" si="209"/>
        <v>0</v>
      </c>
      <c r="GR44" s="808">
        <f t="shared" si="210"/>
        <v>0</v>
      </c>
      <c r="GS44" s="808">
        <f t="shared" si="211"/>
        <v>0</v>
      </c>
      <c r="GT44" s="808">
        <f t="shared" si="212"/>
        <v>0</v>
      </c>
      <c r="GU44" s="809">
        <f ca="1">SUMIFS(RZ[Sloupec1],RZ[0],AX44)</f>
        <v>1</v>
      </c>
      <c r="GV44" s="809">
        <f ca="1">SUMIFS(RZ[Sloupec2],RZ[0],AX44,RZ[Úroveň 2 (P0)],AY44)</f>
        <v>1</v>
      </c>
      <c r="GW44" s="809">
        <f ca="1">SUMIFS(RZ[Sloupec3],RZ[0],AX44,RZ[Úroveň 2 (P0)],AY44,RZ[Úroveň 3 (P0)],AZ44)</f>
        <v>1</v>
      </c>
      <c r="GX44" s="809">
        <f ca="1">SUMIFS(RZ[Sloupec4],RZ[0],AX44,RZ[Úroveň 2 (P0)],AY44,RZ[Úroveň 3 (P0)],AZ44,RZ[Úroveň 4 (P0)],BA44)</f>
        <v>0</v>
      </c>
      <c r="GY44" s="809">
        <f ca="1">SUMIFS(RZ[Sloupec5],RZ[0],AX44,RZ[Úroveň 2 (P0)],AY44,RZ[Úroveň 3 (P0)],AZ44,RZ[Úroveň 4 (P0)],BA44,RZ[Úroveň 5 (P0)],BB44)</f>
        <v>0</v>
      </c>
      <c r="GZ44" s="809">
        <f ca="1">SUMIFS(RZ[Sloupec6],RZ[0],AX44,RZ[Úroveň 2 (P0)],AY44,RZ[Úroveň 3 (P0)],AZ44,RZ[Úroveň 4 (P0)],BA44,RZ[Úroveň 5 (P0)],BB44,RZ[Úroveň 6 (P0)],BC44)</f>
        <v>0</v>
      </c>
      <c r="HA44" s="809">
        <f ca="1">SUMIFS(RZ[Sloupec62],RZ[0],AX44,RZ[Úroveň 2 (P0)],AY44,RZ[Úroveň 3 (P0)],AZ44,RZ[Úroveň 4 (P0)],BA44,RZ[Úroveň 5 (P0)],BB44,RZ[Úroveň 6 (P0)],BC44,RZ[Úroveň 7 (P0)],BD44)</f>
        <v>0</v>
      </c>
      <c r="HB44" s="809">
        <f ca="1">SUMIFS(RZ[Sloupec63],RZ[0],AX44,RZ[Úroveň 2 (P0)],AY44,RZ[Úroveň 3 (P0)],AZ44,RZ[Úroveň 4 (P0)],BA44,RZ[Úroveň 5 (P0)],BB44,RZ[Úroveň 6 (P0)],BC44,RZ[Úroveň 7 (P0)],BD44,RZ[Úroveň 8 (P0)],BE44)</f>
        <v>0</v>
      </c>
      <c r="HC44" s="809">
        <f ca="1">SUMIFS(RZ[Sloupec64],RZ[0],AX44,RZ[Úroveň 2 (P0)],AY44,RZ[Úroveň 3 (P0)],AZ44,RZ[Úroveň 4 (P0)],BA44,RZ[Úroveň 5 (P0)],BB44,RZ[Úroveň 6 (P0)],BC44,RZ[Úroveň 7 (P0)],BD44,RZ[Úroveň 8 (P0)],BE44,RZ[Úroveň 9 (P0)],BF44)</f>
        <v>0</v>
      </c>
      <c r="HD44" s="809">
        <f ca="1">SUMIFS(RZ[Sloupec65],RZ[0],AX44,RZ[Úroveň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HE44" s="919">
        <f t="shared" ca="1" si="213"/>
        <v>1</v>
      </c>
      <c r="HF44" s="920" t="str">
        <f t="shared" si="214"/>
        <v/>
      </c>
      <c r="HG44" s="94" t="str">
        <f t="shared" si="215"/>
        <v/>
      </c>
      <c r="HH44" s="95" t="str">
        <f t="shared" si="216"/>
        <v/>
      </c>
      <c r="HI44" s="95" t="str">
        <f t="shared" si="217"/>
        <v>Potrubí</v>
      </c>
      <c r="HJ44" s="96" t="str">
        <f t="shared" si="218"/>
        <v/>
      </c>
      <c r="HK44" s="96" t="str">
        <f t="shared" si="219"/>
        <v/>
      </c>
      <c r="HL44" s="96" t="str">
        <f t="shared" si="220"/>
        <v/>
      </c>
      <c r="HM44" s="96" t="str">
        <f t="shared" si="221"/>
        <v/>
      </c>
      <c r="HN44" s="96" t="str">
        <f t="shared" si="222"/>
        <v/>
      </c>
      <c r="HO44" s="96" t="str">
        <f t="shared" si="223"/>
        <v/>
      </c>
      <c r="HP44" s="96" t="str">
        <f t="shared" si="224"/>
        <v/>
      </c>
      <c r="HQ44" s="145" t="str">
        <f t="shared" si="225"/>
        <v>SUOS</v>
      </c>
      <c r="HR44" s="921" t="str">
        <f t="shared" si="226"/>
        <v/>
      </c>
      <c r="HS44" s="173">
        <f t="shared" si="227"/>
        <v>0</v>
      </c>
      <c r="HT44" s="100">
        <f t="shared" si="228"/>
        <v>0</v>
      </c>
      <c r="HU44" s="100">
        <f t="shared" si="229"/>
        <v>0</v>
      </c>
      <c r="HV44" s="908" t="str">
        <f t="shared" si="230"/>
        <v>Zajíc</v>
      </c>
      <c r="HW44" s="922">
        <f t="shared" si="231"/>
        <v>42950.620972222219</v>
      </c>
      <c r="HX44" s="224">
        <f t="shared" si="232"/>
        <v>0</v>
      </c>
      <c r="HY44" s="263" t="str">
        <f t="shared" si="233"/>
        <v>S</v>
      </c>
      <c r="HZ44" s="263" t="str">
        <f t="shared" si="234"/>
        <v>N</v>
      </c>
      <c r="IA44" s="150">
        <f t="shared" si="235"/>
        <v>1</v>
      </c>
      <c r="IB44" s="319">
        <f t="shared" si="236"/>
        <v>1000</v>
      </c>
      <c r="IC44" s="923">
        <f t="shared" si="237"/>
        <v>1</v>
      </c>
      <c r="ID44" s="924" t="str">
        <f t="shared" ca="1" si="238"/>
        <v>OK</v>
      </c>
      <c r="IE44" s="201" t="str">
        <f t="shared" si="239"/>
        <v>ks</v>
      </c>
      <c r="IF44" s="145">
        <f t="shared" si="240"/>
        <v>1</v>
      </c>
      <c r="IG44" s="216">
        <f t="shared" si="241"/>
        <v>1.45</v>
      </c>
      <c r="IH44" s="217">
        <f t="shared" si="242"/>
        <v>1</v>
      </c>
      <c r="II44" s="224" t="str">
        <f ca="1">IF(RZ[[#This Row],[Rozhodný sloupec indikativní ceny]]=1,"kg",IF($IW44=$JL$15,IF(JX44=0,JO44,JX44),IF($IW44=$KE$15,IF(KQ44=0,KH44,KQ44),IF($IW44=$KX$15,IF(LJ44=0,LA44,LJ44),IF($IW44=$LQ$15,IF(MC44=0,LT44,MC44),IF($IW44=$MJ$15,IF(NQ44=0,NH44,NQ44),0))))))</f>
        <v>ks</v>
      </c>
      <c r="IJ44" s="224">
        <f ca="1">IF((BH44+OFFSET(BH44,1,1,1,1))=2,RZ[[#This Row],[Počet MJHR (P0)]],IF((BI44+OFFSET(BI44,1,1,1,1))=2,RZ[[#This Row],[Počet MJHR (P0)]],IF((BJ44+OFFSET(BJ44,1,1,1,1))=2,RZ[[#This Row],[Počet MJHR (P0)]],IF((BK44+OFFSET(BK44,1,1,1,1))=2,RZ[[#This Row],[Počet MJHR (P0)]],IF((BL44+OFFSET(BL44,1,1,1,1))=2,RZ[[#This Row],[Počet MJHR (P0)]],IF((BM44+OFFSET(BM44,1,1,1,1))=2,RZ[[#This Row],[Počet MJHR (P0)]],IF((BN44+OFFSET(BN44,1,1,1,1))=2,RZ[[#This Row],[Počet MJHR (P0)]],IF((BO44+OFFSET(BO44,1,1,1,1))=2,RZ[[#This Row],[Počet MJHR (P0)]],IF((BP44+OFFSET(BP44,1,1,1,1))=2,RZ[[#This Row],[Počet MJHR (P0)]],IF((BQ44+OFFSET(BQ44,1,1,1,1))=2,RZ[[#This Row],[Počet MJHR (P0)]],IF(RZ[[#This Row],[Měrná jednotka CR (MJCR) (P0)]]=RZ[[#This Row],[Měrná jednotka HR '[MJHR'] (P0)]],RZ[[#This Row],[Počet MJHR (P0)]],IF($IW44=$JL$15,JY44,IF($IW44=$KE$15,KR44,IF($IW44=$KX$15,LK44,IF($IW44=$LQ$15,MD44,IF($IW44=$MJ$15,NR44,0))))))))))))))))</f>
        <v>1</v>
      </c>
      <c r="IK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4" s="145">
        <f ca="1">IF(AND(RZ[[#This Row],[Jednotková cena bez DPH '[cena/MJCR'] (P0)]]=0,RZ[[#This Row],[Indikativní jednotková cena '[CZK/kg'] (P1)]]&lt;&gt;0),1,0)</f>
        <v>0</v>
      </c>
      <c r="IM44" s="217">
        <f ca="1">VLOOKUP(RZ[[#This Row],[Kód položek]],INDIKAT_CENA,2,FALSE)</f>
        <v>0</v>
      </c>
      <c r="IN44" s="222">
        <f ca="1">IF(RZ[[#This Row],[Rozhodný sloupec indikativní ceny]]=1,RZ[[#This Row],[Indikativní jednotková cena '[CZK/kg'] (P1)]],RZ[[#This Row],[Jednotková cena bez DPH '[cena/MJCR'] (P0)]])</f>
        <v>1000</v>
      </c>
      <c r="IO44" s="222">
        <f t="shared" si="243"/>
        <v>1</v>
      </c>
      <c r="IP44" s="224">
        <f ca="1">IF(RZ[[#This Row],[Rozhodný sloupec indikativní ceny]]=1,1,IF($IW44=$JL$15,KA44,IF($IW44=$KE$15,KT44,IF($IW44=$KX$15,LM44,IF($IW44=$LQ$15,MF44,IF($IW44=$MJ$15,NT44,0))))))</f>
        <v>1</v>
      </c>
      <c r="IQ44" s="225">
        <f ca="1">IF(RZ[[#This Row],[Jednotková cena bez DPH '[cena/MJCR'] (P1)]]="",0,IF(IP44=0,0,(RZ[[#This Row],[Jednotková cena bez DPH '[cena/MJCR'] (P1)]]*VLOOKUP(IP44,$BR$7:$BT$10,3))))</f>
        <v>1000</v>
      </c>
      <c r="IR44" s="737"/>
      <c r="IS44" s="627">
        <f>IF(HY44=0,"",VLOOKUP(RZ[[#This Row],[Stav Projekce (P0)]],Vstupy!$E$11:'Vstupy'!$E$11:$H$17,4,FALSE))</f>
        <v>100</v>
      </c>
      <c r="IT44" s="925" t="str">
        <f>IF(RZ[[#This Row],[Stav Projekce (P0)]]=0,"",RZ[[#This Row],[Stav Projekce (P0)]])</f>
        <v>S</v>
      </c>
      <c r="IU44" s="925" t="str">
        <f>IF(RZ[[#This Row],[Stav Nákup (P0)]]=0,"",RZ[[#This Row],[Stav Nákup (P0)]])</f>
        <v>N</v>
      </c>
      <c r="IV44" s="926" t="str">
        <f t="shared" si="244"/>
        <v>Zajíc</v>
      </c>
      <c r="IW44" s="641">
        <v>1</v>
      </c>
      <c r="IX44" s="630"/>
      <c r="IY44" s="264"/>
      <c r="IZ44" s="648"/>
      <c r="JA44" s="100"/>
      <c r="JB44" s="100" t="s">
        <v>821</v>
      </c>
      <c r="JC44" s="100"/>
      <c r="JD44" s="100"/>
      <c r="JE44" s="100"/>
      <c r="JF44" s="100"/>
      <c r="JG44" s="100"/>
      <c r="JH44" s="100"/>
      <c r="JI44" s="100"/>
      <c r="JJ44" s="145" t="s">
        <v>798</v>
      </c>
      <c r="JK44" s="529"/>
      <c r="JL44" s="286"/>
      <c r="JM44" s="100"/>
      <c r="JN44" s="100"/>
      <c r="JO44" s="145" t="s">
        <v>35</v>
      </c>
      <c r="JP44" s="117">
        <v>1</v>
      </c>
      <c r="JQ44" s="117">
        <v>1.45</v>
      </c>
      <c r="JR44" s="148">
        <v>1</v>
      </c>
      <c r="JS44" s="145" t="s">
        <v>602</v>
      </c>
      <c r="JT44" s="631"/>
      <c r="JU44" s="148" t="s">
        <v>853</v>
      </c>
      <c r="JV44" s="154">
        <v>42950.620972222219</v>
      </c>
      <c r="JW44" s="145"/>
      <c r="JX44" s="210" t="s">
        <v>35</v>
      </c>
      <c r="JY44" s="117"/>
      <c r="JZ44" s="662">
        <v>1000</v>
      </c>
      <c r="KA44" s="145">
        <v>1</v>
      </c>
      <c r="KB44" s="148">
        <v>1</v>
      </c>
      <c r="KC44" s="148" t="s">
        <v>611</v>
      </c>
      <c r="KD44" s="644"/>
      <c r="KE44" s="286"/>
      <c r="KF44" s="100"/>
      <c r="KG44" s="100"/>
      <c r="KH44" s="210"/>
      <c r="KI44" s="117"/>
      <c r="KJ44" s="117"/>
      <c r="KK44" s="148"/>
      <c r="KL44" s="145"/>
      <c r="KM44" s="632"/>
      <c r="KN44" s="148"/>
      <c r="KO44" s="154"/>
      <c r="KP44" s="154"/>
      <c r="KQ44" s="210"/>
      <c r="KR44" s="117"/>
      <c r="KS44" s="211"/>
      <c r="KT44" s="145"/>
      <c r="KU44" s="148"/>
      <c r="KV44" s="148"/>
      <c r="KW44" s="265"/>
      <c r="KX44" s="286"/>
      <c r="KY44" s="100"/>
      <c r="KZ44" s="100"/>
      <c r="LA44" s="210"/>
      <c r="LB44" s="117"/>
      <c r="LC44" s="117"/>
      <c r="LD44" s="148"/>
      <c r="LE44" s="145"/>
      <c r="LF44" s="632"/>
      <c r="LG44" s="148"/>
      <c r="LH44" s="154"/>
      <c r="LI44" s="154"/>
      <c r="LJ44" s="154"/>
      <c r="LK44" s="117"/>
      <c r="LL44" s="211"/>
      <c r="LM44" s="210"/>
      <c r="LN44" s="148"/>
      <c r="LO44" s="148"/>
      <c r="LP44" s="265"/>
      <c r="LQ44" s="286"/>
      <c r="LR44" s="100"/>
      <c r="LS44" s="100"/>
      <c r="LT44" s="210"/>
      <c r="LU44" s="117"/>
      <c r="LV44" s="117"/>
      <c r="LW44" s="148"/>
      <c r="LX44" s="145"/>
      <c r="LY44" s="632"/>
      <c r="LZ44" s="148"/>
      <c r="MA44" s="154"/>
      <c r="MB44" s="154"/>
      <c r="MC44" s="145"/>
      <c r="MD44" s="117"/>
      <c r="ME44" s="211"/>
      <c r="MF44" s="210"/>
      <c r="MG44" s="148"/>
      <c r="MH44" s="148"/>
      <c r="MI44" s="265"/>
      <c r="MJ44" s="647"/>
      <c r="MK44" s="264"/>
      <c r="ML44" s="153"/>
      <c r="MM44" s="153"/>
      <c r="MN44" s="153"/>
      <c r="MO44" s="153"/>
      <c r="MP44" s="153"/>
      <c r="MQ44" s="153"/>
      <c r="MR44" s="153"/>
      <c r="MS44" s="99"/>
      <c r="MT44" s="99"/>
      <c r="MU44" s="99"/>
      <c r="MV44" s="99"/>
      <c r="MW44" s="99"/>
      <c r="MX44" s="99"/>
      <c r="MY44" s="153"/>
      <c r="MZ44" s="153"/>
      <c r="NA44" s="153"/>
      <c r="NB44" s="153"/>
      <c r="NC44" s="153"/>
      <c r="ND44" s="153"/>
      <c r="NE44" s="148"/>
      <c r="NF44" s="153"/>
      <c r="NG44" s="153"/>
      <c r="NH44" s="330" t="str">
        <f t="shared" si="245"/>
        <v>ks</v>
      </c>
      <c r="NI44" s="797">
        <f>RZ[[#This Row],[Počet ks (K)]]</f>
        <v>0</v>
      </c>
      <c r="NJ44" s="798">
        <f>RZ[[#This Row],[Hmotnost '[kg/ks'] (K)]]</f>
        <v>0</v>
      </c>
      <c r="NK44" s="148"/>
      <c r="NL44" s="145"/>
      <c r="NM44" s="632"/>
      <c r="NN44" s="148"/>
      <c r="NO44" s="154"/>
      <c r="NP44" s="153"/>
      <c r="NQ44" s="153"/>
      <c r="NR44" s="210"/>
      <c r="NS44" s="148"/>
      <c r="NT44" s="210"/>
      <c r="NU44" s="148"/>
      <c r="NV44" s="148"/>
      <c r="NW44" s="175"/>
    </row>
    <row r="45" spans="2:387" ht="15.95" customHeight="1" x14ac:dyDescent="0.35">
      <c r="B45" s="118" t="str">
        <f t="shared" si="129"/>
        <v/>
      </c>
      <c r="C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5" s="262" t="str">
        <f t="shared" si="130"/>
        <v xml:space="preserve">    Distanční kroužek</v>
      </c>
      <c r="E45" s="120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Row],[Kód položek (P2)]]))))))))))</f>
        <v>OKS2</v>
      </c>
      <c r="F45" s="791" t="str">
        <f t="shared" si="131"/>
        <v>N/A</v>
      </c>
      <c r="G45" s="792" t="str">
        <f t="shared" si="132"/>
        <v/>
      </c>
      <c r="H45" s="262" t="str">
        <f t="shared" si="133"/>
        <v/>
      </c>
      <c r="I45" s="123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HR '[MJHR'] (P0)]]))))))))))</f>
        <v>ks</v>
      </c>
      <c r="J45" s="123">
        <f t="shared" si="134"/>
        <v>2</v>
      </c>
      <c r="K45" s="793">
        <f>RZ[[#This Row],[Koeficient odhadu HR '[-'] (P1)]]</f>
        <v>1</v>
      </c>
      <c r="L45" s="124">
        <f ca="1">RZ[[#This Row],[Jednotková hmotnost s koef. '[kg/MJHR'] (P0)]]</f>
        <v>13.3</v>
      </c>
      <c r="M45" s="794">
        <f t="shared" ca="1" si="135"/>
        <v>0</v>
      </c>
      <c r="N45" s="125">
        <f t="shared" ca="1" si="136"/>
        <v>26.6</v>
      </c>
      <c r="O45" s="125">
        <f t="shared" ca="1" si="137"/>
        <v>0</v>
      </c>
      <c r="P45" s="126" t="str">
        <f t="shared" si="138"/>
        <v/>
      </c>
      <c r="Q45" s="795">
        <f ca="1">RZ[[#This Row],[Počet MJHR v rozpadu (P0)]]</f>
        <v>2</v>
      </c>
      <c r="R45" s="439" t="str">
        <f t="shared" si="139"/>
        <v/>
      </c>
      <c r="S45" s="129" t="str">
        <f t="shared" si="140"/>
        <v/>
      </c>
      <c r="T45" s="126" t="str">
        <f t="shared" si="141"/>
        <v/>
      </c>
      <c r="U45" s="126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CR (MJCR) (P0)]]))))))))))</f>
        <v>kg</v>
      </c>
      <c r="V45" s="575">
        <f t="shared" ca="1" si="142"/>
        <v>26.6</v>
      </c>
      <c r="W45" s="322">
        <f>RZ[[#This Row],[Koeficient odhadu CR '[-'] (P1)]]</f>
        <v>1</v>
      </c>
      <c r="X45" s="440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Row],[Jednotková cena bez DPH '[cena/MJCR'] (P1)]]*RZ[[#This Row],[Koeficient odhadu CR '[-']]]))))))))))</f>
        <v>110</v>
      </c>
      <c r="Y45" s="440">
        <f t="shared" ca="1" si="143"/>
        <v>0</v>
      </c>
      <c r="Z45" s="142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VLOOKUP(IP45,$BR$7:$BS$11,2,FALSE)))))))))))</f>
        <v>CZK</v>
      </c>
      <c r="AA45" s="909">
        <f t="shared" ca="1" si="144"/>
        <v>26.6</v>
      </c>
      <c r="AB45" s="910">
        <f ca="1">RZ[[#This Row],[Kumulovaný koeficient v rozpadu (P0)]]</f>
        <v>1</v>
      </c>
      <c r="AC45" s="261"/>
      <c r="AD45" s="796">
        <f ca="1">RZ[[#This Row],[Jednotková cena bez DPH '[cena/MJCR'] s koef. (P0)]]/RZ[[#This Row],[Koeficient odhadu CR '[-']]]*RZ[[#This Row],[Kumulovaný koeficient odhadu CR  '[-']]]</f>
        <v>110</v>
      </c>
      <c r="AE45" s="796">
        <f t="shared" ca="1" si="145"/>
        <v>2926</v>
      </c>
      <c r="AF45" s="796">
        <f ca="1">-IF(ISNUMBER(AA45),RZ[[#This Row],[Celková cena bez DPH (1)]]-RZ[[#This Row],[Jednotková cena bez DPH '[cena/MJCR'] bez koef. (P0)]]*AA45,0)</f>
        <v>0</v>
      </c>
      <c r="AG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5" s="261"/>
      <c r="AI45" s="796">
        <f t="shared" ca="1" si="146"/>
        <v>4.0740740740740744</v>
      </c>
      <c r="AJ45" s="796">
        <f t="shared" ca="1" si="147"/>
        <v>108.37037037037037</v>
      </c>
      <c r="AK45" s="796">
        <f t="shared" ca="1" si="148"/>
        <v>0</v>
      </c>
      <c r="AL45" s="753">
        <f ca="1">RZ[[#This Row],[Kilogramová cena bez DPH '[cena/kg'] (1)]]/$AK$13</f>
        <v>4.0740740740740744</v>
      </c>
      <c r="AM45" s="261"/>
      <c r="AN45" s="796">
        <f t="shared" ca="1" si="149"/>
        <v>5.3140096618357493</v>
      </c>
      <c r="AO45" s="796">
        <f t="shared" ca="1" si="150"/>
        <v>141.35265700483092</v>
      </c>
      <c r="AP45" s="796">
        <f t="shared" ca="1" si="151"/>
        <v>0</v>
      </c>
      <c r="AQ45" s="753">
        <f ca="1">RZ[[#This Row],[Kilogramová cena bez DPH '[cena/kg'] (1)]]/$AP$13</f>
        <v>5.3140096618357493</v>
      </c>
      <c r="AR45" s="261"/>
      <c r="AS45" s="796">
        <f t="shared" ca="1" si="152"/>
        <v>3.0087527352297592</v>
      </c>
      <c r="AT45" s="796">
        <f t="shared" ca="1" si="153"/>
        <v>80.032822757111589</v>
      </c>
      <c r="AU45" s="789">
        <f t="shared" ca="1" si="154"/>
        <v>0</v>
      </c>
      <c r="AV45" s="767">
        <f ca="1">RZ[[#This Row],[Kilogramová cena bez DPH '[cena/kg'] (1)]]/$AU$13</f>
        <v>3.0087527352297592</v>
      </c>
      <c r="AW45" s="165"/>
      <c r="AX45" s="911">
        <f t="shared" ca="1" si="155"/>
        <v>2</v>
      </c>
      <c r="AY45" s="111">
        <f t="shared" ca="1" si="156"/>
        <v>1</v>
      </c>
      <c r="AZ45" s="111">
        <f t="shared" ca="1" si="157"/>
        <v>22</v>
      </c>
      <c r="BA45" s="111">
        <f t="shared" ca="1" si="158"/>
        <v>0</v>
      </c>
      <c r="BB45" s="111">
        <f t="shared" ca="1" si="159"/>
        <v>0</v>
      </c>
      <c r="BC45" s="111">
        <f t="shared" ca="1" si="160"/>
        <v>0</v>
      </c>
      <c r="BD45" s="111">
        <f t="shared" ca="1" si="161"/>
        <v>0</v>
      </c>
      <c r="BE45" s="111">
        <f t="shared" ca="1" si="162"/>
        <v>0</v>
      </c>
      <c r="BF45" s="111">
        <f t="shared" ca="1" si="163"/>
        <v>0</v>
      </c>
      <c r="BG45" s="112">
        <f t="shared" ca="1" si="164"/>
        <v>0</v>
      </c>
      <c r="BH45" s="911">
        <f t="shared" si="165"/>
        <v>0</v>
      </c>
      <c r="BI45" s="111">
        <f t="shared" si="166"/>
        <v>0</v>
      </c>
      <c r="BJ45" s="111">
        <f t="shared" si="167"/>
        <v>1</v>
      </c>
      <c r="BK45" s="111">
        <f t="shared" si="168"/>
        <v>0</v>
      </c>
      <c r="BL45" s="111">
        <f t="shared" si="169"/>
        <v>0</v>
      </c>
      <c r="BM45" s="111">
        <f t="shared" si="170"/>
        <v>0</v>
      </c>
      <c r="BN45" s="111">
        <f t="shared" si="171"/>
        <v>0</v>
      </c>
      <c r="BO45" s="111">
        <f t="shared" si="172"/>
        <v>0</v>
      </c>
      <c r="BP45" s="111">
        <f t="shared" si="173"/>
        <v>0</v>
      </c>
      <c r="BQ45" s="112">
        <f t="shared" si="174"/>
        <v>0</v>
      </c>
      <c r="BR45" s="132">
        <f ca="1">IF(OFFSET(AY45,1,0,1,1)&lt;&gt;0,RZ[[#This Row],[Koeficient odhadu HR '[-'] (P1)]]*$BH45*SUMIFS(RZ[Úroveň 2 s koef. (P2)],RZ[0],AX45),RZ[[#This Row],[Koeficient odhadu HR '[-'] (P1)]]*$BH45*$IG45)</f>
        <v>0</v>
      </c>
      <c r="BS45" s="186">
        <f ca="1">IF(OFFSET(AY45,1,0,1,1)&lt;&gt;0,$BH45*SUMIFS(RZ[Úroveň 2 bez koef. (P2)],RZ[0],AX45),$BH45*$IG45)</f>
        <v>0</v>
      </c>
      <c r="BT45" s="138">
        <f ca="1">RZ[[#This Row],[Úroveň 2 s koef. (P2a)]]*RZ[[#This Row],[Počet MJHR (P0)]]</f>
        <v>0</v>
      </c>
      <c r="BU45" s="138">
        <f ca="1">RZ[[#This Row],[Úroveň 2 bez koef. (P2a)]]*RZ[[#This Row],[Počet MJHR (P0)]]</f>
        <v>0</v>
      </c>
      <c r="BV45" s="138">
        <f ca="1">IF(OFFSET(AZ45,1,0,1,1)&lt;&gt;0,RZ[[#This Row],[Koeficient odhadu HR '[-'] (P1)]]*$BI45*SUMIFS(RZ[Úroveň 3 s koef. (P2)],RZ[0],AX45,RZ[Úroveň 2 (P0)],AY45),RZ[[#This Row],[Koeficient odhadu HR '[-'] (P1)]]*$BI45*$IG45)</f>
        <v>0</v>
      </c>
      <c r="BW45" s="138">
        <f ca="1">IF(OFFSET(AZ45,1,0,1,1)&lt;&gt;0,$BI45*SUMIFS(RZ[Úroveň 3 bez koef. (P2)],RZ[0],AX45,RZ[Úroveň 2 (P0)],AY45),$BI45*$IG45)</f>
        <v>0</v>
      </c>
      <c r="BX45" s="132">
        <f ca="1">RZ[[#This Row],[Úroveň 3 s koef. (P2a)]]*RZ[[#This Row],[Počet MJHR (P0)]]</f>
        <v>26.6</v>
      </c>
      <c r="BY45" s="132">
        <f ca="1">RZ[Úroveň 3 bez koef. (P2a)]*RZ[[#This Row],[Počet MJHR (P0)]]</f>
        <v>26.6</v>
      </c>
      <c r="BZ45" s="132">
        <f ca="1">IF(OFFSET(BA45,1,0,1,1)&lt;&gt;0,RZ[[#This Row],[Koeficient odhadu HR '[-'] (P1)]]*$BJ45*SUMIFS(RZ[Úroveň 4 s koef. (P2)],RZ[0],AX45,RZ[Úroveň 2 (P0)],AY45,RZ[Úroveň 3 (P0)],AZ45),RZ[[#This Row],[Koeficient odhadu HR '[-'] (P1)]]*$BJ45*$IG45)</f>
        <v>13.3</v>
      </c>
      <c r="CA45" s="132">
        <f ca="1">IF(OFFSET(BA45,1,0,1,1)&lt;&gt;0,$BJ45*SUMIFS(RZ[Úroveň 4 bez koef. (P2)],RZ[0],AX45,RZ[Úroveň 2 (P0)],AY45,RZ[Úroveň 3 (P0)],AZ45),$BJ45*$IG45)</f>
        <v>13.3</v>
      </c>
      <c r="CB45" s="138">
        <f ca="1">RZ[[#This Row],[Úroveň 4 s koef. (P2a)]]*RZ[[#This Row],[Počet MJHR (P0)]]</f>
        <v>0</v>
      </c>
      <c r="CC45" s="138">
        <f ca="1">RZ[Úroveň 4 bez koef. (P2a)]*RZ[[#This Row],[Počet MJHR (P0)]]</f>
        <v>0</v>
      </c>
      <c r="CD45" s="138">
        <f ca="1">IF(OFFSET(BB45,1,0,1,1)&lt;&gt;0,RZ[[#This Row],[Koeficient odhadu HR '[-'] (P1)]]*$BK45*SUMIFS(RZ[Úroveň 5 s koef. (P2)],RZ[0],AX45,RZ[Úroveň 2 (P0)],AY45,RZ[Úroveň 3 (P0)],AZ45,RZ[Úroveň 4 (P0)],BA45),RZ[[#This Row],[Koeficient odhadu HR '[-'] (P1)]]*$BK45*$IG45)</f>
        <v>0</v>
      </c>
      <c r="CE45" s="138">
        <f ca="1">IF(OFFSET(BB45,1,0,1,1)&lt;&gt;0,$BK45*SUMIFS(RZ[Úroveň 5 bez koef. (P2)],RZ[0],AX45,RZ[Úroveň 2 (P0)],AY45,RZ[Úroveň 3 (P0)],AZ45,RZ[Úroveň 4 (P0)],BA45),$BK45*$IG45)</f>
        <v>0</v>
      </c>
      <c r="CF45" s="132">
        <f ca="1">RZ[[#This Row],[Úroveň 5 s koef. (P2a)]]*RZ[[#This Row],[Počet MJHR (P0)]]</f>
        <v>0</v>
      </c>
      <c r="CG45" s="132">
        <f ca="1">RZ[Úroveň 5 bez koef. (P2a)]*RZ[[#This Row],[Počet MJHR (P0)]]</f>
        <v>0</v>
      </c>
      <c r="CH45" s="132">
        <f ca="1">IF(OFFSET(BC45,1,0,1,1)&lt;&gt;0,RZ[[#This Row],[Koeficient odhadu HR '[-'] (P1)]]*$BL45*SUMIFS(RZ[Úroveň 6 s koef. (P2)],RZ[0],AX45,RZ[Úroveň 2 (P0)],AY45,RZ[Úroveň 3 (P0)],AZ45,RZ[Úroveň 4 (P0)],BA45,RZ[Úroveň 5 (P0)],BB45),RZ[[#This Row],[Koeficient odhadu HR '[-'] (P1)]]*$BL45*$IG45)</f>
        <v>0</v>
      </c>
      <c r="CI45" s="132">
        <f ca="1">IF(OFFSET(BC45,1,0,1,1)&lt;&gt;0,$BL45*SUMIFS(RZ[Úroveň 6 bez koef. (P2)],RZ[0],AX45,RZ[Úroveň 2 (P0)],AY45,RZ[Úroveň 3 (P0)],AZ45,RZ[Úroveň 4 (P0)],BA45,RZ[Úroveň 5 (P0)],BB45),$BL45*$IG45)</f>
        <v>0</v>
      </c>
      <c r="CJ45" s="138">
        <f ca="1">RZ[[#This Row],[Úroveň 6 s koef. (P2a)]]*RZ[[#This Row],[Počet MJHR (P0)]]</f>
        <v>0</v>
      </c>
      <c r="CK45" s="138">
        <f ca="1">RZ[Úroveň 6 bez koef. (P2a)]*RZ[[#This Row],[Počet MJHR (P0)]]</f>
        <v>0</v>
      </c>
      <c r="CL45" s="138">
        <f ca="1">IF(OFFSET(BD45,1,0,1,1)&lt;&gt;0,RZ[[#This Row],[Koeficient odhadu HR '[-'] (P1)]]*$BM45*SUMIFS(RZ[Úroveň 7 s koef. (P2)],RZ[0],AX45,RZ[Úroveň 2 (P0)],AY45,RZ[Úroveň 3 (P0)],AZ45,RZ[Úroveň 4 (P0)],BA45,RZ[Úroveň 5 (P0)],BB45,RZ[Úroveň 6 (P0)],BC45),RZ[[#This Row],[Koeficient odhadu HR '[-'] (P1)]]*$BM45*$IG45)</f>
        <v>0</v>
      </c>
      <c r="CM45" s="138">
        <f ca="1">IF(OFFSET(BD45,1,0,1,1)&lt;&gt;0,$BM45*SUMIFS(RZ[Úroveň 7 bez koef. (P2)],RZ[0],AX45,RZ[Úroveň 2 (P0)],AY45,RZ[Úroveň 3 (P0)],AZ45,RZ[Úroveň 4 (P0)],BA45,RZ[Úroveň 5 (P0)],BB45,RZ[Úroveň 6 (P0)],BC45),$BM45*$IG45)</f>
        <v>0</v>
      </c>
      <c r="CN45" s="132">
        <f ca="1">RZ[[#This Row],[Úroveň 7 s koef. (P2a)]]*RZ[[#This Row],[Počet MJHR (P0)]]</f>
        <v>0</v>
      </c>
      <c r="CO45" s="132">
        <f ca="1">RZ[Úroveň 7 bez koef. (P2a)]*RZ[[#This Row],[Počet MJHR (P0)]]</f>
        <v>0</v>
      </c>
      <c r="CP45" s="132">
        <f ca="1">IF(OFFSET(BE45,1,0,1,1)&lt;&gt;0,RZ[[#This Row],[Koeficient odhadu HR '[-'] (P1)]]*$BN45*SUMIFS(RZ[Úroveň 8 s koef. (P2)],RZ[0],AX45,RZ[Úroveň 2 (P0)],AY45,RZ[Úroveň 3 (P0)],AZ45,RZ[Úroveň 4 (P0)],BA45,RZ[Úroveň 5 (P0)],BB45,RZ[Úroveň 6 (P0)],BC45,RZ[Úroveň 7 (P0)],BD45),RZ[[#This Row],[Koeficient odhadu HR '[-'] (P1)]]*$BN45*$IG45)</f>
        <v>0</v>
      </c>
      <c r="CQ45" s="132">
        <f ca="1">IF(OFFSET(BE45,1,0,1,1)&lt;&gt;0,$BN45*SUMIFS(RZ[Úroveň 8 bez koef. (P2)],RZ[0],AX45,RZ[Úroveň 2 (P0)],AY45,RZ[Úroveň 3 (P0)],AZ45,RZ[Úroveň 4 (P0)],BA45,RZ[Úroveň 5 (P0)],BB45,RZ[Úroveň 6 (P0)],BC45,RZ[Úroveň 7 (P0)],BD45),$BN45*$IG45)</f>
        <v>0</v>
      </c>
      <c r="CR45" s="138">
        <f ca="1">RZ[[#This Row],[Úroveň 8 s koef. (P2a)]]*RZ[[#This Row],[Počet MJHR (P0)]]</f>
        <v>0</v>
      </c>
      <c r="CS45" s="138">
        <f ca="1">RZ[Úroveň 8 bez koef. (P2a)]*RZ[[#This Row],[Počet MJHR (P0)]]</f>
        <v>0</v>
      </c>
      <c r="CT45" s="138">
        <f ca="1">IF(OFFSET(BF45,1,0,1,1)&lt;&gt;0,RZ[[#This Row],[Koeficient odhadu HR '[-'] (P1)]]*$BO45*SUMIFS(RZ[Úroveň 9 s koef. (P2)],RZ[0],AX45,RZ[Úroveň 2 (P0)],AY45,RZ[Úroveň 3 (P0)],AZ45,RZ[Úroveň 4 (P0)],BA45,RZ[Úroveň 5 (P0)],BB45,RZ[Úroveň 6 (P0)],BC45,RZ[Úroveň 7 (P0)],BD45,RZ[Úroveň 8 (P0)],BE45),RZ[[#This Row],[Koeficient odhadu HR '[-'] (P1)]]*$BO45*$IG45)</f>
        <v>0</v>
      </c>
      <c r="CU45" s="138">
        <f ca="1">IF(OFFSET(BF45,1,0,1,1)&lt;&gt;0,$BO45*SUMIFS(RZ[Úroveň 9 bez koef. (P2)],RZ[0],AX45,RZ[Úroveň 2 (P0)],AY45,RZ[Úroveň 3 (P0)],AZ45,RZ[Úroveň 4 (P0)],BA45,RZ[Úroveň 5 (P0)],BB45,RZ[Úroveň 6 (P0)],BC45,RZ[Úroveň 7 (P0)],BD45,RZ[Úroveň 8 (P0)],BE45),$BO45*$IG45)</f>
        <v>0</v>
      </c>
      <c r="CV45" s="132">
        <f ca="1">RZ[[#This Row],[Úroveň 9 s koef. (P2a)]]*RZ[[#This Row],[Počet MJHR (P0)]]</f>
        <v>0</v>
      </c>
      <c r="CW45" s="132">
        <f ca="1">RZ[Úroveň 9 bez koef. (P2a)]*RZ[[#This Row],[Počet MJHR (P0)]]</f>
        <v>0</v>
      </c>
      <c r="CX45" s="132">
        <f ca="1">IF(OFFSET(BG45,1,0,1,1)&lt;&gt;0,RZ[[#This Row],[Koeficient odhadu HR '[-'] (P1)]]*$BP45*SUMIFS(RZ[Úroveň 10 s koef. (P2)],RZ[0],AX45,RZ[Úroveň 2 (P0)],AY45,RZ[Úroveň 3 (P0)],AZ45,RZ[Úroveň 4 (P0)],BA45,RZ[Úroveň 5 (P0)],BB45,RZ[Úroveň 6 (P0)],BC45,RZ[Úroveň 7 (P0)],BD45,RZ[Úroveň 8 (P0)],BE45,RZ[Úroveň 9 (P0)],BF45),RZ[[#This Row],[Koeficient odhadu HR '[-'] (P1)]]*$BP45*$IG45)</f>
        <v>0</v>
      </c>
      <c r="CY45" s="132">
        <f ca="1">IF(OFFSET(BG45,1,0,1,1)&lt;&gt;0,$BP45*SUMIFS(RZ[Úroveň 10 bez koef. (P2)],RZ[0],AX45,RZ[Úroveň 2 (P0)],AY45,RZ[Úroveň 3 (P0)],AZ45,RZ[Úroveň 4 (P0)],BA45,RZ[Úroveň 5 (P0)],BB45,RZ[Úroveň 6 (P0)],BC45,RZ[Úroveň 7 (P0)],BD45,RZ[Úroveň 8 (P0)],BE45,RZ[Úroveň 9 (P0)],BF45),$BP45*$IG45)</f>
        <v>0</v>
      </c>
      <c r="CZ45" s="138">
        <f>RZ[[#This Row],[Úroveň 10 s koef. (P2a)]]*RZ[[#This Row],[Počet MJHR (P0)]]</f>
        <v>0</v>
      </c>
      <c r="DA45" s="138">
        <f>RZ[Úroveň 10 bez koef. (P2a)]*RZ[[#This Row],[Počet MJHR (P0)]]</f>
        <v>0</v>
      </c>
      <c r="DB45" s="138">
        <f>RZ[[#This Row],[Koeficient odhadu HR '[-'] (P1)]]*$BQ45*IG45</f>
        <v>0</v>
      </c>
      <c r="DC45" s="231">
        <f t="shared" si="175"/>
        <v>0</v>
      </c>
      <c r="DD45" s="241">
        <f t="shared" ca="1" si="176"/>
        <v>13.3</v>
      </c>
      <c r="DE45" s="229">
        <f t="shared" ca="1" si="177"/>
        <v>13.3</v>
      </c>
      <c r="DF45" s="912">
        <f t="shared" si="178"/>
        <v>0</v>
      </c>
      <c r="DG45" s="913">
        <f t="shared" si="179"/>
        <v>0</v>
      </c>
      <c r="DH45" s="913">
        <f t="shared" si="180"/>
        <v>2</v>
      </c>
      <c r="DI45" s="913">
        <f t="shared" si="181"/>
        <v>0</v>
      </c>
      <c r="DJ45" s="913">
        <f t="shared" si="182"/>
        <v>0</v>
      </c>
      <c r="DK45" s="913">
        <f t="shared" si="183"/>
        <v>0</v>
      </c>
      <c r="DL45" s="913">
        <f t="shared" si="184"/>
        <v>0</v>
      </c>
      <c r="DM45" s="913">
        <f t="shared" si="185"/>
        <v>0</v>
      </c>
      <c r="DN45" s="913">
        <f t="shared" si="186"/>
        <v>0</v>
      </c>
      <c r="DO45" s="913">
        <f t="shared" si="187"/>
        <v>0</v>
      </c>
      <c r="DP45" s="914">
        <f ca="1">SUMIFS(RZ[Úroveň 1 (P4)],RZ[0],AX45)</f>
        <v>1</v>
      </c>
      <c r="DQ45" s="914">
        <f ca="1">SUMIFS(RZ[Úroveň 2 (P4)],RZ[0],AX45,RZ[Úroveň 2 (P0)],AY45)</f>
        <v>1</v>
      </c>
      <c r="DR45" s="914">
        <f ca="1">SUMIFS(RZ[Úroveň 3 (P4)],RZ[0],AX45,RZ[Úroveň 2 (P0)],AY45,RZ[Úroveň 3 (P0)],AZ45)</f>
        <v>2</v>
      </c>
      <c r="DS45" s="914">
        <f ca="1">SUMIFS(RZ[Úroveň 4 (P4)],RZ[0],AX45,RZ[Úroveň 2 (P0)],AY45,RZ[Úroveň 3 (P0)],AZ45,RZ[Úroveň 4 (P0)],BA45)</f>
        <v>0</v>
      </c>
      <c r="DT45" s="914">
        <f ca="1">SUMIFS(RZ[Úroveň 5 (P4)],RZ[0],AX45,RZ[Úroveň 2 (P0)],AY45,RZ[Úroveň 3 (P0)],AZ45,RZ[Úroveň 4 (P0)],BA45,RZ[Úroveň 5 (P0)],BB45)</f>
        <v>0</v>
      </c>
      <c r="DU45" s="914">
        <f ca="1">SUMIFS(RZ[Úroveň 6 (P4)],RZ[0],AX45,RZ[Úroveň 2 (P0)],AY45,RZ[Úroveň 3 (P0)],AZ45,RZ[Úroveň 4 (P0)],BA45,RZ[Úroveň 5 (P0)],BB45,RZ[Úroveň 6 (P0)],BC45)</f>
        <v>0</v>
      </c>
      <c r="DV45" s="914">
        <f ca="1">SUMIFS(RZ[Úroveň 7 (P4)],RZ[0],AX45,RZ[Úroveň 2 (P0)],AY45,RZ[Úroveň 3 (P0)],AZ45,RZ[Úroveň 4 (P0)],BA45,RZ[Úroveň 5 (P0)],BB45,RZ[Úroveň 6 (P0)],BC45,RZ[Úroveň 7 (P0)],BD45)</f>
        <v>0</v>
      </c>
      <c r="DW45" s="914">
        <f ca="1">SUMIFS(RZ[Úroveň 8 (P4)],RZ[0],AX45,RZ[Úroveň 2 (P0)],AY45,RZ[Úroveň 3 (P0)],AZ45,RZ[Úroveň 4 (P0)],BA45,RZ[Úroveň 5 (P0)],BB45,RZ[Úroveň 6 (P0)],BC45,RZ[Úroveň 7 (P0)],BD45,RZ[Úroveň 8 (P0)],BE45)</f>
        <v>0</v>
      </c>
      <c r="DX45" s="914">
        <f ca="1">SUMIFS(RZ[Úroveň 9 (P4)],RZ[0],AX45,RZ[Úroveň 2 (P0)],AY45,RZ[Úroveň 3 (P0)],AZ45,RZ[Úroveň 4 (P0)],BA45,RZ[Úroveň 5 (P0)],BB45,RZ[Úroveň 6 (P0)],BC45,RZ[Úroveň 7 (P0)],BD45,RZ[Úroveň 8 (P0)],BE45,RZ[Úroveň 9 (P0)],BF45)</f>
        <v>0</v>
      </c>
      <c r="DY45" s="914">
        <f ca="1">SUMIFS(RZ[Úroveň 10 (P4)],RZ[0],AX45,RZ[Úroveň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DZ45" s="915">
        <f t="shared" ca="1" si="188"/>
        <v>2</v>
      </c>
      <c r="EA45" s="916">
        <f ca="1">RZ[[#This Row],[Jednotková hmotnost bez koef. '[kg/MJHR'] (P0)]]*RZ[[#This Row],[Počet MJHR v rozpadu (P0)]]</f>
        <v>26.6</v>
      </c>
      <c r="EB45" s="917">
        <f ca="1">IF(OFFSET(AY45,1,0,1,1)&lt;&gt;0,RZ[[#This Row],[Koeficient odhadu CR '[-'] (P1)]]*$BH45*SUMIFS(RZ[Úroveň 2 s koef. (P3)],RZ[0],AX45),RZ[[#This Row],[Koeficient odhadu CR '[-'] (P1)]]*$BH45*$IQ45)</f>
        <v>0</v>
      </c>
      <c r="EC45" s="191">
        <f ca="1">IF(OFFSET(AY45,1,0,1,1)&lt;&gt;0,$BH45*SUMIFS(RZ[Úroveň 2 bez koef. (P3)],RZ[0],AX45),$BH45*$IQ45)</f>
        <v>0</v>
      </c>
      <c r="ED45" s="140">
        <f ca="1">RZ[[#This Row],[Úroveň 2 s koef. (P3a)]]*RZ[[#This Row],[Počet MJCR (P0) pro "kg"]]</f>
        <v>0</v>
      </c>
      <c r="EE45" s="140">
        <f ca="1">RZ[Úroveň 2 bez koef. (P3a)]*RZ[[#This Row],[Počet MJCR (P0) pro "kg"]]</f>
        <v>0</v>
      </c>
      <c r="EF45" s="140">
        <f ca="1">IF(OFFSET(AZ45,1,0,1,1)&lt;&gt;0,RZ[[#This Row],[Koeficient odhadu CR '[-'] (P1)]]*$BI45*SUMIFS(RZ[Úroveň 3 s koef. (P3)],RZ[0],AX45,RZ[Úroveň 2 (P0)],AY45),RZ[[#This Row],[Koeficient odhadu CR '[-'] (P1)]]*$BI45*$IQ45)</f>
        <v>0</v>
      </c>
      <c r="EG45" s="140">
        <f ca="1">IF(OFFSET(AZ45,1,0,1,1)&lt;&gt;0,$BI45*SUMIFS(RZ[Úroveň 3 bez koef. (P3)],RZ[0],AX45,RZ[Úroveň 2 (P0)],AY45),$BI45*$IQ45)</f>
        <v>0</v>
      </c>
      <c r="EH45" s="135">
        <f ca="1">RZ[[#This Row],[Úroveň 3 s koef. (P3a)]]*RZ[[#This Row],[Počet MJCR (P0) pro "kg"]]</f>
        <v>2926</v>
      </c>
      <c r="EI45" s="135">
        <f ca="1">RZ[Úroveň 3 bez koef. (P3a)]*RZ[[#This Row],[Počet MJCR (P0) pro "kg"]]</f>
        <v>2926</v>
      </c>
      <c r="EJ45" s="135">
        <f ca="1">IF(OFFSET(BA45,1,0,1,1)&lt;&gt;0,RZ[[#This Row],[Koeficient odhadu CR '[-'] (P1)]]*$BJ45*SUMIFS(RZ[Úroveň 4 s koef. (P3)],RZ[0],AX45,RZ[Úroveň 2 (P0)],AY45,RZ[Úroveň 3 (P0)],AZ45),RZ[[#This Row],[Koeficient odhadu CR '[-'] (P1)]]*$BJ45*$IQ45)</f>
        <v>110</v>
      </c>
      <c r="EK45" s="135">
        <f ca="1">IF(OFFSET(BA45,1,0,1,1)&lt;&gt;0,$BJ45*SUMIFS(RZ[Úroveň 4 bez koef. (P3)],RZ[0],AX45,RZ[Úroveň 2 (P0)],AY45,RZ[Úroveň 3 (P0)],AZ45),$BJ45*$IQ45)</f>
        <v>110</v>
      </c>
      <c r="EL45" s="140">
        <f ca="1">RZ[[#This Row],[Úroveň 4 s koef. (P3a)]]*RZ[[#This Row],[Počet MJCR (P0) pro "kg"]]</f>
        <v>0</v>
      </c>
      <c r="EM45" s="140">
        <f ca="1">RZ[Úroveň 4 bez koef. (P3a)]*RZ[[#This Row],[Počet MJCR (P0) pro "kg"]]</f>
        <v>0</v>
      </c>
      <c r="EN45" s="140">
        <f ca="1">IF(OFFSET(BB45,1,0,1,1)&lt;&gt;0,RZ[[#This Row],[Koeficient odhadu CR '[-'] (P1)]]*$BK45*SUMIFS(RZ[Úroveň 5 s koef. (P3)],RZ[0],AX45,RZ[Úroveň 2 (P0)],AY45,RZ[Úroveň 3 (P0)],AZ45,RZ[Úroveň 4 (P0)],BA45),RZ[[#This Row],[Koeficient odhadu CR '[-'] (P1)]]*$BK45*$IQ45)</f>
        <v>0</v>
      </c>
      <c r="EO45" s="140">
        <f ca="1">IF(OFFSET(BB45,1,0,1,1)&lt;&gt;0,$BK45*SUMIFS(RZ[Úroveň 5 bez koef. (P3)],RZ[0],AX45,RZ[Úroveň 2 (P0)],AY45,RZ[Úroveň 3 (P0)],AZ45,RZ[Úroveň 4 (P0)],BA45),$BK45*$IQ45)</f>
        <v>0</v>
      </c>
      <c r="EP45" s="135">
        <f ca="1">RZ[[#This Row],[Úroveň 5 s koef. (P3a)]]*RZ[[#This Row],[Počet MJCR (P0) pro "kg"]]</f>
        <v>0</v>
      </c>
      <c r="EQ45" s="135">
        <f ca="1">RZ[Úroveň 5 bez koef. (P3a)]*RZ[[#This Row],[Počet MJCR (P0) pro "kg"]]</f>
        <v>0</v>
      </c>
      <c r="ER45" s="135">
        <f ca="1">IF(OFFSET(BC45,1,0,1,1)&lt;&gt;0,RZ[[#This Row],[Koeficient odhadu CR '[-'] (P1)]]*$BL45*SUMIFS(RZ[Úroveň 6 s koef. (P3)],RZ[0],AX45,RZ[Úroveň 2 (P0)],AY45,RZ[Úroveň 3 (P0)],AZ45,RZ[Úroveň 4 (P0)],BA45,RZ[Úroveň 5 (P0)],BB45),RZ[[#This Row],[Koeficient odhadu CR '[-'] (P1)]]*$BL45*$IQ45)</f>
        <v>0</v>
      </c>
      <c r="ES45" s="135">
        <f ca="1">IF(OFFSET(BC45,1,0,1,1)&lt;&gt;0,$BL45*SUMIFS(RZ[Úroveň 6 bez koef. (P3)],RZ[0],AX45,RZ[Úroveň 2 (P0)],AY45,RZ[Úroveň 3 (P0)],AZ45,RZ[Úroveň 4 (P0)],BA45,RZ[Úroveň 5 (P0)],BB45),$BL45*$IQ45)</f>
        <v>0</v>
      </c>
      <c r="ET45" s="140">
        <f ca="1">RZ[[#This Row],[Úroveň 6 s koef. (P3a)]]*RZ[[#This Row],[Počet MJCR (P0) pro "kg"]]</f>
        <v>0</v>
      </c>
      <c r="EU45" s="140">
        <f ca="1">RZ[Úroveň 6 bez koef. (P3a)]*RZ[[#This Row],[Počet MJCR (P0) pro "kg"]]</f>
        <v>0</v>
      </c>
      <c r="EV45" s="140">
        <f ca="1">IF(OFFSET(BD45,1,0,1,1)&lt;&gt;0,RZ[[#This Row],[Koeficient odhadu CR '[-'] (P1)]]*$BM45*SUMIFS(RZ[Úroveň 7 s koef. (P3)],RZ[0],AX45,RZ[Úroveň 2 (P0)],AY45,RZ[Úroveň 3 (P0)],AZ45,RZ[Úroveň 4 (P0)],BA45,RZ[Úroveň 5 (P0)],BB45,RZ[Úroveň 6 (P0)],BC45),RZ[[#This Row],[Koeficient odhadu CR '[-'] (P1)]]*$BM45*$IQ45)</f>
        <v>0</v>
      </c>
      <c r="EW45" s="140">
        <f ca="1">IF(OFFSET(BD45,1,0,1,1)&lt;&gt;0,$BM45*SUMIFS(RZ[Úroveň 7 bez koef. (P3)],RZ[0],AX45,RZ[Úroveň 2 (P0)],AY45,RZ[Úroveň 3 (P0)],AZ45,RZ[Úroveň 4 (P0)],BA45,RZ[Úroveň 5 (P0)],BB45,RZ[Úroveň 6 (P0)],BC45),$BM45*$IQ45)</f>
        <v>0</v>
      </c>
      <c r="EX45" s="135">
        <f ca="1">RZ[[#This Row],[Úroveň 7 s koef. (P3a)]]*RZ[[#This Row],[Počet MJCR (P0) pro "kg"]]</f>
        <v>0</v>
      </c>
      <c r="EY45" s="135">
        <f ca="1">RZ[Úroveň 7 bez koef. (P3a)]*RZ[[#This Row],[Počet MJCR (P0) pro "kg"]]</f>
        <v>0</v>
      </c>
      <c r="EZ45" s="135">
        <f ca="1">IF(OFFSET(BE45,1,0,1,1)&lt;&gt;0,RZ[[#This Row],[Koeficient odhadu CR '[-'] (P1)]]*$BN45*SUMIFS(RZ[Úroveň 8 s koef. (P3)],RZ[0],AX45,RZ[Úroveň 2 (P0)],AY45,RZ[Úroveň 3 (P0)],AZ45,RZ[Úroveň 4 (P0)],BA45,RZ[Úroveň 5 (P0)],BB45,RZ[Úroveň 6 (P0)],BC45,RZ[Úroveň 7 (P0)],BD45),RZ[[#This Row],[Koeficient odhadu CR '[-'] (P1)]]*$BN45*$IQ45)</f>
        <v>0</v>
      </c>
      <c r="FA45" s="135">
        <f ca="1">IF(OFFSET(BE45,1,0,1,1)&lt;&gt;0,$BN45*SUMIFS(RZ[Úroveň 8 bez koef. (P3)],RZ[0],AX45,RZ[Úroveň 2 (P0)],AY45,RZ[Úroveň 3 (P0)],AZ45,RZ[Úroveň 4 (P0)],BA45,RZ[Úroveň 5 (P0)],BB45,RZ[Úroveň 6 (P0)],BC45,RZ[Úroveň 7 (P0)],BD45),$BN45*$IQ45)</f>
        <v>0</v>
      </c>
      <c r="FB45" s="140">
        <f ca="1">RZ[[#This Row],[Úroveň 8 s koef. (P3a)]]*RZ[[#This Row],[Počet MJCR (P0) pro "kg"]]</f>
        <v>0</v>
      </c>
      <c r="FC45" s="140">
        <f ca="1">RZ[Úroveň 8 bez koef. (P3a)]*RZ[[#This Row],[Počet MJCR (P0) pro "kg"]]</f>
        <v>0</v>
      </c>
      <c r="FD45" s="140">
        <f ca="1">IF(OFFSET(BF45,1,0,1,1)&lt;&gt;0,RZ[[#This Row],[Koeficient odhadu CR '[-'] (P1)]]*$BO45*SUMIFS(RZ[Úroveň 9 s koef. (P3)],RZ[0],AX45,RZ[Úroveň 2 (P0)],AY45,RZ[Úroveň 3 (P0)],AZ45,RZ[Úroveň 4 (P0)],BA45,RZ[Úroveň 5 (P0)],BB45,RZ[Úroveň 6 (P0)],BC45,RZ[Úroveň 7 (P0)],BD45,RZ[Úroveň 8 (P0)],BE45),RZ[[#This Row],[Koeficient odhadu CR '[-'] (P1)]]*$BO45*$IQ45)</f>
        <v>0</v>
      </c>
      <c r="FE45" s="140">
        <f ca="1">IF(OFFSET(BF45,1,0,1,1)&lt;&gt;0,$BO45*SUMIFS(RZ[Úroveň 9 bez koef. (P3)],RZ[0],AX45,RZ[Úroveň 2 (P0)],AY45,RZ[Úroveň 3 (P0)],AZ45,RZ[Úroveň 4 (P0)],BA45,RZ[Úroveň 5 (P0)],BB45,RZ[Úroveň 6 (P0)],BC45,RZ[Úroveň 7 (P0)],BD45,RZ[Úroveň 8 (P0)],BE45),$BO45*$IQ45)</f>
        <v>0</v>
      </c>
      <c r="FF45" s="135">
        <f ca="1">RZ[[#This Row],[Úroveň 9 s koef. (P3a)]]*RZ[[#This Row],[Počet MJCR (P0) pro "kg"]]</f>
        <v>0</v>
      </c>
      <c r="FG45" s="135">
        <f ca="1">RZ[Úroveň 9 bez koef. (P3a)]*RZ[[#This Row],[Počet MJCR (P0) pro "kg"]]</f>
        <v>0</v>
      </c>
      <c r="FH45" s="135">
        <f ca="1">IF(OFFSET(BG45,1,0,1,1)&lt;&gt;0,RZ[[#This Row],[Koeficient odhadu CR '[-'] (P1)]]*$BP45*SUMIFS(RZ[Úroveň 10 s koef. (P3)],RZ[0],AX45,RZ[Úroveň 2 (P0)],AY45,RZ[Úroveň 3 (P0)],AZ45,RZ[Úroveň 4 (P0)],BA45,RZ[Úroveň 5 (P0)],BB45,RZ[Úroveň 6 (P0)],BC45,RZ[Úroveň 7 (P0)],BD45,RZ[Úroveň 8 (P0)],BE45,RZ[Úroveň 9 (P0)],BF45),RZ[[#This Row],[Koeficient odhadu CR '[-'] (P1)]]*$BP45*$IQ45)</f>
        <v>0</v>
      </c>
      <c r="FI45" s="135">
        <f ca="1">IF(OFFSET(BG45,1,0,1,1)&lt;&gt;0,$BP45*SUMIFS(RZ[Úroveň 10 bez koef. (P3)],RZ[0],AX45,RZ[Úroveň 2 (P0)],AY45,RZ[Úroveň 3 (P0)],AZ45,RZ[Úroveň 4 (P0)],BA45,RZ[Úroveň 5 (P0)],BB45,RZ[Úroveň 6 (P0)],BC45,RZ[Úroveň 7 (P0)],BD45,RZ[Úroveň 8 (P0)],BE45,RZ[Úroveň 9 (P0)],BF45),$BP45*$IQ45)</f>
        <v>0</v>
      </c>
      <c r="FJ45" s="140">
        <f ca="1">RZ[[#This Row],[Úroveň 10 s koef. (P3a)]]*RZ[[#This Row],[Počet MJCR (P0) pro "kg"]]</f>
        <v>0</v>
      </c>
      <c r="FK45" s="140">
        <f ca="1">RZ[Úroveň 10 bez koef. (P3a)]*RZ[[#This Row],[Počet MJCR (P0) pro "kg"]]</f>
        <v>0</v>
      </c>
      <c r="FL45" s="140">
        <f ca="1">RZ[[#This Row],[Koeficient odhadu CR '[-'] (P1)]]*$BQ45*IQ45</f>
        <v>0</v>
      </c>
      <c r="FM45" s="236">
        <f t="shared" ca="1" si="189"/>
        <v>0</v>
      </c>
      <c r="FN45" s="194">
        <f t="shared" ca="1" si="190"/>
        <v>110</v>
      </c>
      <c r="FO45" s="238">
        <f t="shared" ca="1" si="191"/>
        <v>110</v>
      </c>
      <c r="FP45" s="135">
        <f t="shared" ca="1" si="192"/>
        <v>0</v>
      </c>
      <c r="FQ45" s="135">
        <f t="shared" ca="1" si="193"/>
        <v>0</v>
      </c>
      <c r="FR45" s="135">
        <f t="shared" ca="1" si="194"/>
        <v>26.6</v>
      </c>
      <c r="FS45" s="135">
        <f t="shared" ca="1" si="195"/>
        <v>0</v>
      </c>
      <c r="FT45" s="135">
        <f t="shared" ca="1" si="196"/>
        <v>0</v>
      </c>
      <c r="FU45" s="135">
        <f t="shared" ca="1" si="197"/>
        <v>0</v>
      </c>
      <c r="FV45" s="135">
        <f t="shared" ca="1" si="198"/>
        <v>0</v>
      </c>
      <c r="FW45" s="135">
        <f t="shared" ca="1" si="199"/>
        <v>0</v>
      </c>
      <c r="FX45" s="135">
        <f t="shared" ca="1" si="200"/>
        <v>0</v>
      </c>
      <c r="FY45" s="135">
        <f t="shared" ca="1" si="201"/>
        <v>0</v>
      </c>
      <c r="FZ45" s="140">
        <f ca="1">SUMIFS(RZ[Úroveň 1 (P6)],RZ[0],AX45)</f>
        <v>1</v>
      </c>
      <c r="GA45" s="140">
        <f ca="1">SUMIFS(RZ[Úroveň 2 (P6)],RZ[0],AX45,RZ[Úroveň 2 (P0)],AY45)</f>
        <v>1</v>
      </c>
      <c r="GB45" s="140">
        <f ca="1">SUMIFS(RZ[Úroveň 3 (P6)],RZ[0],AX45,RZ[Úroveň 2 (P0)],AY45,RZ[Úroveň 3 (P0)],AZ45)</f>
        <v>26.6</v>
      </c>
      <c r="GC45" s="140">
        <f ca="1">SUMIFS(RZ[Úroveň 4 (P6)],RZ[0],AX45,RZ[Úroveň 2 (P0)],AY45,RZ[Úroveň 3 (P0)],AZ45,RZ[Úroveň 4 (P0)],BA45)</f>
        <v>0</v>
      </c>
      <c r="GD45" s="140">
        <f ca="1">SUMIFS(RZ[Úroveň 5 (P6)],RZ[0],AX45,RZ[Úroveň 2 (P0)],AY45,RZ[Úroveň 3 (P0)],AZ45,RZ[Úroveň 4 (P0)],BA45,RZ[Úroveň 5 (P0)],BB45)</f>
        <v>0</v>
      </c>
      <c r="GE45" s="140">
        <f ca="1">SUMIFS(RZ[Úroveň 6 (P6)],RZ[0],AX45,RZ[Úroveň 2 (P0)],AY45,RZ[Úroveň 3 (P0)],AZ45,RZ[Úroveň 4 (P0)],BA45,RZ[Úroveň 5 (P0)],BB45,RZ[Úroveň 6 (P0)],BC45)</f>
        <v>0</v>
      </c>
      <c r="GF45" s="140">
        <f ca="1">SUMIFS(RZ[Úroveň 7 (P6)],RZ[0],AX45,RZ[Úroveň 2 (P0)],AY45,RZ[Úroveň 3 (P0)],AZ45,RZ[Úroveň 4 (P0)],BA45,RZ[Úroveň 5 (P0)],BB45,RZ[Úroveň 6 (P0)],BC45,RZ[Úroveň 7 (P0)],BD45)</f>
        <v>0</v>
      </c>
      <c r="GG45" s="140">
        <f ca="1">SUMIFS(RZ[Úroveň 8 (P6)],RZ[0],AX45,RZ[Úroveň 2 (P0)],AY45,RZ[Úroveň 3 (P0)],AZ45,RZ[Úroveň 4 (P0)],BA45,RZ[Úroveň 5 (P0)],BB45,RZ[Úroveň 6 (P0)],BC45,RZ[Úroveň 7 (P0)],BD45,RZ[Úroveň 8 (P0)],BE45)</f>
        <v>0</v>
      </c>
      <c r="GH45" s="140">
        <f ca="1">SUMIFS(RZ[Úroveň 9 (P6)],RZ[0],AX45,RZ[Úroveň 2 (P0)],AY45,RZ[Úroveň 3 (P0)],AZ45,RZ[Úroveň 4 (P0)],BA45,RZ[Úroveň 5 (P0)],BB45,RZ[Úroveň 6 (P0)],BC45,RZ[Úroveň 7 (P0)],BD45,RZ[Úroveň 8 (P0)],BE45,RZ[Úroveň 9 (P0)],BF45)</f>
        <v>0</v>
      </c>
      <c r="GI45" s="140">
        <f ca="1">SUMIFS(RZ[Úroveň 10 (P6)],RZ[0],AX45,RZ[Úroveň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GJ45" s="918">
        <f t="shared" ca="1" si="202"/>
        <v>26.6</v>
      </c>
      <c r="GK45" s="808">
        <f t="shared" si="203"/>
        <v>0</v>
      </c>
      <c r="GL45" s="808">
        <f t="shared" si="204"/>
        <v>0</v>
      </c>
      <c r="GM45" s="808">
        <f t="shared" si="205"/>
        <v>1</v>
      </c>
      <c r="GN45" s="808">
        <f t="shared" si="206"/>
        <v>0</v>
      </c>
      <c r="GO45" s="808">
        <f t="shared" si="207"/>
        <v>0</v>
      </c>
      <c r="GP45" s="808">
        <f t="shared" si="208"/>
        <v>0</v>
      </c>
      <c r="GQ45" s="808">
        <f t="shared" si="209"/>
        <v>0</v>
      </c>
      <c r="GR45" s="808">
        <f t="shared" si="210"/>
        <v>0</v>
      </c>
      <c r="GS45" s="808">
        <f t="shared" si="211"/>
        <v>0</v>
      </c>
      <c r="GT45" s="808">
        <f t="shared" si="212"/>
        <v>0</v>
      </c>
      <c r="GU45" s="809">
        <f ca="1">SUMIFS(RZ[Sloupec1],RZ[0],AX45)</f>
        <v>1</v>
      </c>
      <c r="GV45" s="809">
        <f ca="1">SUMIFS(RZ[Sloupec2],RZ[0],AX45,RZ[Úroveň 2 (P0)],AY45)</f>
        <v>1</v>
      </c>
      <c r="GW45" s="809">
        <f ca="1">SUMIFS(RZ[Sloupec3],RZ[0],AX45,RZ[Úroveň 2 (P0)],AY45,RZ[Úroveň 3 (P0)],AZ45)</f>
        <v>1</v>
      </c>
      <c r="GX45" s="809">
        <f ca="1">SUMIFS(RZ[Sloupec4],RZ[0],AX45,RZ[Úroveň 2 (P0)],AY45,RZ[Úroveň 3 (P0)],AZ45,RZ[Úroveň 4 (P0)],BA45)</f>
        <v>0</v>
      </c>
      <c r="GY45" s="809">
        <f ca="1">SUMIFS(RZ[Sloupec5],RZ[0],AX45,RZ[Úroveň 2 (P0)],AY45,RZ[Úroveň 3 (P0)],AZ45,RZ[Úroveň 4 (P0)],BA45,RZ[Úroveň 5 (P0)],BB45)</f>
        <v>0</v>
      </c>
      <c r="GZ45" s="809">
        <f ca="1">SUMIFS(RZ[Sloupec6],RZ[0],AX45,RZ[Úroveň 2 (P0)],AY45,RZ[Úroveň 3 (P0)],AZ45,RZ[Úroveň 4 (P0)],BA45,RZ[Úroveň 5 (P0)],BB45,RZ[Úroveň 6 (P0)],BC45)</f>
        <v>0</v>
      </c>
      <c r="HA45" s="809">
        <f ca="1">SUMIFS(RZ[Sloupec62],RZ[0],AX45,RZ[Úroveň 2 (P0)],AY45,RZ[Úroveň 3 (P0)],AZ45,RZ[Úroveň 4 (P0)],BA45,RZ[Úroveň 5 (P0)],BB45,RZ[Úroveň 6 (P0)],BC45,RZ[Úroveň 7 (P0)],BD45)</f>
        <v>0</v>
      </c>
      <c r="HB45" s="809">
        <f ca="1">SUMIFS(RZ[Sloupec63],RZ[0],AX45,RZ[Úroveň 2 (P0)],AY45,RZ[Úroveň 3 (P0)],AZ45,RZ[Úroveň 4 (P0)],BA45,RZ[Úroveň 5 (P0)],BB45,RZ[Úroveň 6 (P0)],BC45,RZ[Úroveň 7 (P0)],BD45,RZ[Úroveň 8 (P0)],BE45)</f>
        <v>0</v>
      </c>
      <c r="HC45" s="809">
        <f ca="1">SUMIFS(RZ[Sloupec64],RZ[0],AX45,RZ[Úroveň 2 (P0)],AY45,RZ[Úroveň 3 (P0)],AZ45,RZ[Úroveň 4 (P0)],BA45,RZ[Úroveň 5 (P0)],BB45,RZ[Úroveň 6 (P0)],BC45,RZ[Úroveň 7 (P0)],BD45,RZ[Úroveň 8 (P0)],BE45,RZ[Úroveň 9 (P0)],BF45)</f>
        <v>0</v>
      </c>
      <c r="HD45" s="809">
        <f ca="1">SUMIFS(RZ[Sloupec65],RZ[0],AX45,RZ[Úroveň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HE45" s="919">
        <f t="shared" ca="1" si="213"/>
        <v>1</v>
      </c>
      <c r="HF45" s="920" t="str">
        <f t="shared" si="214"/>
        <v/>
      </c>
      <c r="HG45" s="94" t="str">
        <f t="shared" si="215"/>
        <v/>
      </c>
      <c r="HH45" s="95" t="str">
        <f t="shared" si="216"/>
        <v/>
      </c>
      <c r="HI45" s="95" t="str">
        <f t="shared" si="217"/>
        <v>Distanční kroužek</v>
      </c>
      <c r="HJ45" s="96" t="str">
        <f t="shared" si="218"/>
        <v/>
      </c>
      <c r="HK45" s="96" t="str">
        <f t="shared" si="219"/>
        <v/>
      </c>
      <c r="HL45" s="96" t="str">
        <f t="shared" si="220"/>
        <v/>
      </c>
      <c r="HM45" s="96" t="str">
        <f t="shared" si="221"/>
        <v/>
      </c>
      <c r="HN45" s="96" t="str">
        <f t="shared" si="222"/>
        <v/>
      </c>
      <c r="HO45" s="96" t="str">
        <f t="shared" si="223"/>
        <v/>
      </c>
      <c r="HP45" s="96" t="str">
        <f t="shared" si="224"/>
        <v/>
      </c>
      <c r="HQ45" s="145" t="str">
        <f t="shared" si="225"/>
        <v>OKS2</v>
      </c>
      <c r="HR45" s="921" t="str">
        <f t="shared" si="226"/>
        <v/>
      </c>
      <c r="HS45" s="173">
        <f t="shared" si="227"/>
        <v>0</v>
      </c>
      <c r="HT45" s="100">
        <f t="shared" si="228"/>
        <v>0</v>
      </c>
      <c r="HU45" s="100">
        <f t="shared" si="229"/>
        <v>0</v>
      </c>
      <c r="HV45" s="908">
        <f t="shared" si="230"/>
        <v>0</v>
      </c>
      <c r="HW45" s="922">
        <f t="shared" si="231"/>
        <v>0</v>
      </c>
      <c r="HX45" s="224">
        <f t="shared" si="232"/>
        <v>0</v>
      </c>
      <c r="HY45" s="263" t="str">
        <f t="shared" si="233"/>
        <v>S</v>
      </c>
      <c r="HZ45" s="263">
        <f t="shared" si="234"/>
        <v>0</v>
      </c>
      <c r="IA45" s="150">
        <f t="shared" si="235"/>
        <v>1</v>
      </c>
      <c r="IB45" s="319">
        <f t="shared" si="236"/>
        <v>0</v>
      </c>
      <c r="IC45" s="923">
        <f t="shared" si="237"/>
        <v>0</v>
      </c>
      <c r="ID45" s="924" t="str">
        <f t="shared" ca="1" si="238"/>
        <v>OK</v>
      </c>
      <c r="IE45" s="201" t="str">
        <f t="shared" si="239"/>
        <v>ks</v>
      </c>
      <c r="IF45" s="145">
        <f t="shared" si="240"/>
        <v>2</v>
      </c>
      <c r="IG45" s="216">
        <f t="shared" si="241"/>
        <v>13.3</v>
      </c>
      <c r="IH45" s="217">
        <f t="shared" si="242"/>
        <v>1</v>
      </c>
      <c r="II45" s="224" t="str">
        <f ca="1">IF(RZ[[#This Row],[Rozhodný sloupec indikativní ceny]]=1,"kg",IF($IW45=$JL$15,IF(JX45=0,JO45,JX45),IF($IW45=$KE$15,IF(KQ45=0,KH45,KQ45),IF($IW45=$KX$15,IF(LJ45=0,LA45,LJ45),IF($IW45=$LQ$15,IF(MC45=0,LT45,MC45),IF($IW45=$MJ$15,IF(NQ45=0,NH45,NQ45),0))))))</f>
        <v>kg</v>
      </c>
      <c r="IJ45" s="224">
        <f ca="1">IF((BH45+OFFSET(BH45,1,1,1,1))=2,RZ[[#This Row],[Počet MJHR (P0)]],IF((BI45+OFFSET(BI45,1,1,1,1))=2,RZ[[#This Row],[Počet MJHR (P0)]],IF((BJ45+OFFSET(BJ45,1,1,1,1))=2,RZ[[#This Row],[Počet MJHR (P0)]],IF((BK45+OFFSET(BK45,1,1,1,1))=2,RZ[[#This Row],[Počet MJHR (P0)]],IF((BL45+OFFSET(BL45,1,1,1,1))=2,RZ[[#This Row],[Počet MJHR (P0)]],IF((BM45+OFFSET(BM45,1,1,1,1))=2,RZ[[#This Row],[Počet MJHR (P0)]],IF((BN45+OFFSET(BN45,1,1,1,1))=2,RZ[[#This Row],[Počet MJHR (P0)]],IF((BO45+OFFSET(BO45,1,1,1,1))=2,RZ[[#This Row],[Počet MJHR (P0)]],IF((BP45+OFFSET(BP45,1,1,1,1))=2,RZ[[#This Row],[Počet MJHR (P0)]],IF((BQ45+OFFSET(BQ45,1,1,1,1))=2,RZ[[#This Row],[Počet MJHR (P0)]],IF(RZ[[#This Row],[Měrná jednotka CR (MJCR) (P0)]]=RZ[[#This Row],[Měrná jednotka HR '[MJHR'] (P0)]],RZ[[#This Row],[Počet MJHR (P0)]],IF($IW45=$JL$15,JY45,IF($IW45=$KE$15,KR45,IF($IW45=$KX$15,LK45,IF($IW45=$LQ$15,MD45,IF($IW45=$MJ$15,NR45,0))))))))))))))))</f>
        <v>0</v>
      </c>
      <c r="IK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26.6</v>
      </c>
      <c r="IL45" s="145">
        <f ca="1">IF(AND(RZ[[#This Row],[Jednotková cena bez DPH '[cena/MJCR'] (P0)]]=0,RZ[[#This Row],[Indikativní jednotková cena '[CZK/kg'] (P1)]]&lt;&gt;0),1,0)</f>
        <v>1</v>
      </c>
      <c r="IM45" s="217">
        <f ca="1">VLOOKUP(RZ[[#This Row],[Kód položek]],INDIKAT_CENA,2,FALSE)</f>
        <v>110</v>
      </c>
      <c r="IN45" s="222">
        <f ca="1">IF(RZ[[#This Row],[Rozhodný sloupec indikativní ceny]]=1,RZ[[#This Row],[Indikativní jednotková cena '[CZK/kg'] (P1)]],RZ[[#This Row],[Jednotková cena bez DPH '[cena/MJCR'] (P0)]])</f>
        <v>110</v>
      </c>
      <c r="IO45" s="222">
        <f t="shared" si="243"/>
        <v>1</v>
      </c>
      <c r="IP45" s="224">
        <f ca="1">IF(RZ[[#This Row],[Rozhodný sloupec indikativní ceny]]=1,1,IF($IW45=$JL$15,KA45,IF($IW45=$KE$15,KT45,IF($IW45=$KX$15,LM45,IF($IW45=$LQ$15,MF45,IF($IW45=$MJ$15,NT45,0))))))</f>
        <v>1</v>
      </c>
      <c r="IQ45" s="225">
        <f ca="1">IF(RZ[[#This Row],[Jednotková cena bez DPH '[cena/MJCR'] (P1)]]="",0,IF(IP45=0,0,(RZ[[#This Row],[Jednotková cena bez DPH '[cena/MJCR'] (P1)]]*VLOOKUP(IP45,$BR$7:$BT$10,3))))</f>
        <v>110</v>
      </c>
      <c r="IR45" s="737"/>
      <c r="IS45" s="627">
        <f>IF(HY45=0,"",VLOOKUP(RZ[[#This Row],[Stav Projekce (P0)]],Vstupy!$E$11:'Vstupy'!$E$11:$H$17,4,FALSE))</f>
        <v>100</v>
      </c>
      <c r="IT45" s="925" t="str">
        <f>IF(RZ[[#This Row],[Stav Projekce (P0)]]=0,"",RZ[[#This Row],[Stav Projekce (P0)]])</f>
        <v>S</v>
      </c>
      <c r="IU45" s="925" t="str">
        <f>IF(RZ[[#This Row],[Stav Nákup (P0)]]=0,"",RZ[[#This Row],[Stav Nákup (P0)]])</f>
        <v/>
      </c>
      <c r="IV45" s="926" t="str">
        <f t="shared" si="244"/>
        <v/>
      </c>
      <c r="IW45" s="641">
        <v>1</v>
      </c>
      <c r="IX45" s="630"/>
      <c r="IY45" s="264"/>
      <c r="IZ45" s="648"/>
      <c r="JA45" s="100"/>
      <c r="JB45" s="100" t="s">
        <v>791</v>
      </c>
      <c r="JC45" s="100"/>
      <c r="JD45" s="100"/>
      <c r="JE45" s="100"/>
      <c r="JF45" s="100"/>
      <c r="JG45" s="100"/>
      <c r="JH45" s="100"/>
      <c r="JI45" s="100"/>
      <c r="JJ45" s="145" t="s">
        <v>768</v>
      </c>
      <c r="JK45" s="529"/>
      <c r="JL45" s="286"/>
      <c r="JM45" s="100"/>
      <c r="JN45" s="100"/>
      <c r="JO45" s="145" t="s">
        <v>35</v>
      </c>
      <c r="JP45" s="117">
        <v>2</v>
      </c>
      <c r="JQ45" s="117">
        <v>13.3</v>
      </c>
      <c r="JR45" s="148">
        <v>1</v>
      </c>
      <c r="JS45" s="145" t="s">
        <v>602</v>
      </c>
      <c r="JT45" s="631"/>
      <c r="JU45" s="148"/>
      <c r="JV45" s="154"/>
      <c r="JW45" s="145"/>
      <c r="JX45" s="210"/>
      <c r="JY45" s="117"/>
      <c r="JZ45" s="662"/>
      <c r="KA45" s="145"/>
      <c r="KB45" s="148"/>
      <c r="KC45" s="148"/>
      <c r="KD45" s="644"/>
      <c r="KE45" s="286"/>
      <c r="KF45" s="100"/>
      <c r="KG45" s="100"/>
      <c r="KH45" s="210"/>
      <c r="KI45" s="117"/>
      <c r="KJ45" s="117"/>
      <c r="KK45" s="148"/>
      <c r="KL45" s="145"/>
      <c r="KM45" s="632"/>
      <c r="KN45" s="148"/>
      <c r="KO45" s="154"/>
      <c r="KP45" s="154"/>
      <c r="KQ45" s="210"/>
      <c r="KR45" s="117"/>
      <c r="KS45" s="211"/>
      <c r="KT45" s="145"/>
      <c r="KU45" s="148"/>
      <c r="KV45" s="148"/>
      <c r="KW45" s="265"/>
      <c r="KX45" s="286"/>
      <c r="KY45" s="100"/>
      <c r="KZ45" s="100"/>
      <c r="LA45" s="210"/>
      <c r="LB45" s="117"/>
      <c r="LC45" s="117"/>
      <c r="LD45" s="148"/>
      <c r="LE45" s="145"/>
      <c r="LF45" s="632"/>
      <c r="LG45" s="148"/>
      <c r="LH45" s="154"/>
      <c r="LI45" s="154"/>
      <c r="LJ45" s="154"/>
      <c r="LK45" s="117"/>
      <c r="LL45" s="211"/>
      <c r="LM45" s="210"/>
      <c r="LN45" s="148"/>
      <c r="LO45" s="148"/>
      <c r="LP45" s="265"/>
      <c r="LQ45" s="286"/>
      <c r="LR45" s="100"/>
      <c r="LS45" s="100"/>
      <c r="LT45" s="210"/>
      <c r="LU45" s="117"/>
      <c r="LV45" s="117"/>
      <c r="LW45" s="148"/>
      <c r="LX45" s="145"/>
      <c r="LY45" s="632"/>
      <c r="LZ45" s="148"/>
      <c r="MA45" s="154"/>
      <c r="MB45" s="154"/>
      <c r="MC45" s="145"/>
      <c r="MD45" s="117"/>
      <c r="ME45" s="211"/>
      <c r="MF45" s="210"/>
      <c r="MG45" s="148"/>
      <c r="MH45" s="148"/>
      <c r="MI45" s="265"/>
      <c r="MJ45" s="647"/>
      <c r="MK45" s="264"/>
      <c r="ML45" s="153"/>
      <c r="MM45" s="153"/>
      <c r="MN45" s="153"/>
      <c r="MO45" s="153"/>
      <c r="MP45" s="153"/>
      <c r="MQ45" s="153"/>
      <c r="MR45" s="153"/>
      <c r="MS45" s="99"/>
      <c r="MT45" s="99"/>
      <c r="MU45" s="99"/>
      <c r="MV45" s="99"/>
      <c r="MW45" s="99"/>
      <c r="MX45" s="99"/>
      <c r="MY45" s="153"/>
      <c r="MZ45" s="153"/>
      <c r="NA45" s="153"/>
      <c r="NB45" s="153"/>
      <c r="NC45" s="153"/>
      <c r="ND45" s="153"/>
      <c r="NE45" s="148"/>
      <c r="NF45" s="153"/>
      <c r="NG45" s="153"/>
      <c r="NH45" s="330" t="str">
        <f t="shared" si="245"/>
        <v>ks</v>
      </c>
      <c r="NI45" s="797">
        <f>RZ[[#This Row],[Počet ks (K)]]</f>
        <v>0</v>
      </c>
      <c r="NJ45" s="798">
        <f>RZ[[#This Row],[Hmotnost '[kg/ks'] (K)]]</f>
        <v>0</v>
      </c>
      <c r="NK45" s="148"/>
      <c r="NL45" s="145"/>
      <c r="NM45" s="632"/>
      <c r="NN45" s="148"/>
      <c r="NO45" s="154"/>
      <c r="NP45" s="153"/>
      <c r="NQ45" s="153"/>
      <c r="NR45" s="210"/>
      <c r="NS45" s="148"/>
      <c r="NT45" s="210"/>
      <c r="NU45" s="148"/>
      <c r="NV45" s="148"/>
      <c r="NW45" s="175"/>
    </row>
    <row r="46" spans="2:387" ht="15.95" customHeight="1" x14ac:dyDescent="0.35">
      <c r="B46" s="118" t="str">
        <f t="shared" si="129"/>
        <v/>
      </c>
      <c r="C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6" s="262" t="str">
        <f t="shared" si="130"/>
        <v xml:space="preserve">    Držák krytu</v>
      </c>
      <c r="E46" s="120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Row],[Kód položek (P2)]]))))))))))</f>
        <v>OKS2</v>
      </c>
      <c r="F46" s="791" t="str">
        <f t="shared" si="131"/>
        <v>N/A</v>
      </c>
      <c r="G46" s="792" t="str">
        <f t="shared" si="132"/>
        <v/>
      </c>
      <c r="H46" s="262" t="str">
        <f t="shared" si="133"/>
        <v/>
      </c>
      <c r="I46" s="123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HR '[MJHR'] (P0)]]))))))))))</f>
        <v>ks</v>
      </c>
      <c r="J46" s="123">
        <f t="shared" si="134"/>
        <v>4</v>
      </c>
      <c r="K46" s="793">
        <f>RZ[[#This Row],[Koeficient odhadu HR '[-'] (P1)]]</f>
        <v>1</v>
      </c>
      <c r="L46" s="124">
        <f ca="1">RZ[[#This Row],[Jednotková hmotnost s koef. '[kg/MJHR'] (P0)]]</f>
        <v>0.03</v>
      </c>
      <c r="M46" s="794">
        <f t="shared" ca="1" si="135"/>
        <v>0</v>
      </c>
      <c r="N46" s="125">
        <f t="shared" ca="1" si="136"/>
        <v>0.12</v>
      </c>
      <c r="O46" s="125">
        <f t="shared" ca="1" si="137"/>
        <v>0</v>
      </c>
      <c r="P46" s="126" t="str">
        <f t="shared" si="138"/>
        <v/>
      </c>
      <c r="Q46" s="795">
        <f ca="1">RZ[[#This Row],[Počet MJHR v rozpadu (P0)]]</f>
        <v>4</v>
      </c>
      <c r="R46" s="439" t="str">
        <f t="shared" si="139"/>
        <v/>
      </c>
      <c r="S46" s="129" t="str">
        <f t="shared" si="140"/>
        <v/>
      </c>
      <c r="T46" s="126" t="str">
        <f t="shared" si="141"/>
        <v/>
      </c>
      <c r="U46" s="126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CR (MJCR) (P0)]]))))))))))</f>
        <v>kg</v>
      </c>
      <c r="V46" s="575">
        <f t="shared" ca="1" si="142"/>
        <v>0.12</v>
      </c>
      <c r="W46" s="322">
        <f>RZ[[#This Row],[Koeficient odhadu CR '[-'] (P1)]]</f>
        <v>1</v>
      </c>
      <c r="X46" s="440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Row],[Jednotková cena bez DPH '[cena/MJCR'] (P1)]]*RZ[[#This Row],[Koeficient odhadu CR '[-']]]))))))))))</f>
        <v>110</v>
      </c>
      <c r="Y46" s="440">
        <f t="shared" ca="1" si="143"/>
        <v>0</v>
      </c>
      <c r="Z46" s="142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VLOOKUP(IP46,$BR$7:$BS$11,2,FALSE)))))))))))</f>
        <v>CZK</v>
      </c>
      <c r="AA46" s="909">
        <f t="shared" ca="1" si="144"/>
        <v>0.12</v>
      </c>
      <c r="AB46" s="910">
        <f ca="1">RZ[[#This Row],[Kumulovaný koeficient v rozpadu (P0)]]</f>
        <v>1</v>
      </c>
      <c r="AC46" s="261"/>
      <c r="AD46" s="796">
        <f ca="1">RZ[[#This Row],[Jednotková cena bez DPH '[cena/MJCR'] s koef. (P0)]]/RZ[[#This Row],[Koeficient odhadu CR '[-']]]*RZ[[#This Row],[Kumulovaný koeficient odhadu CR  '[-']]]</f>
        <v>110</v>
      </c>
      <c r="AE46" s="796">
        <f t="shared" ca="1" si="145"/>
        <v>13.2</v>
      </c>
      <c r="AF46" s="796">
        <f ca="1">-IF(ISNUMBER(AA46),RZ[[#This Row],[Celková cena bez DPH (1)]]-RZ[[#This Row],[Jednotková cena bez DPH '[cena/MJCR'] bez koef. (P0)]]*AA46,0)</f>
        <v>0</v>
      </c>
      <c r="AG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6" s="261"/>
      <c r="AI46" s="796">
        <f t="shared" ca="1" si="146"/>
        <v>4.0740740740740744</v>
      </c>
      <c r="AJ46" s="796">
        <f t="shared" ca="1" si="147"/>
        <v>0.48888888888888887</v>
      </c>
      <c r="AK46" s="796">
        <f t="shared" ca="1" si="148"/>
        <v>0</v>
      </c>
      <c r="AL46" s="753">
        <f ca="1">RZ[[#This Row],[Kilogramová cena bez DPH '[cena/kg'] (1)]]/$AK$13</f>
        <v>4.0740740740740744</v>
      </c>
      <c r="AM46" s="261"/>
      <c r="AN46" s="796">
        <f t="shared" ca="1" si="149"/>
        <v>5.3140096618357493</v>
      </c>
      <c r="AO46" s="796">
        <f t="shared" ca="1" si="150"/>
        <v>0.6376811594202898</v>
      </c>
      <c r="AP46" s="796">
        <f t="shared" ca="1" si="151"/>
        <v>0</v>
      </c>
      <c r="AQ46" s="753">
        <f ca="1">RZ[[#This Row],[Kilogramová cena bez DPH '[cena/kg'] (1)]]/$AP$13</f>
        <v>5.3140096618357493</v>
      </c>
      <c r="AR46" s="261"/>
      <c r="AS46" s="796">
        <f t="shared" ca="1" si="152"/>
        <v>3.0087527352297592</v>
      </c>
      <c r="AT46" s="796">
        <f t="shared" ca="1" si="153"/>
        <v>0.36105032822757105</v>
      </c>
      <c r="AU46" s="789">
        <f t="shared" ca="1" si="154"/>
        <v>0</v>
      </c>
      <c r="AV46" s="767">
        <f ca="1">RZ[[#This Row],[Kilogramová cena bez DPH '[cena/kg'] (1)]]/$AU$13</f>
        <v>3.0087527352297592</v>
      </c>
      <c r="AW46" s="165"/>
      <c r="AX46" s="911">
        <f t="shared" ca="1" si="155"/>
        <v>2</v>
      </c>
      <c r="AY46" s="111">
        <f t="shared" ca="1" si="156"/>
        <v>1</v>
      </c>
      <c r="AZ46" s="111">
        <f t="shared" ca="1" si="157"/>
        <v>23</v>
      </c>
      <c r="BA46" s="111">
        <f t="shared" ca="1" si="158"/>
        <v>0</v>
      </c>
      <c r="BB46" s="111">
        <f t="shared" ca="1" si="159"/>
        <v>0</v>
      </c>
      <c r="BC46" s="111">
        <f t="shared" ca="1" si="160"/>
        <v>0</v>
      </c>
      <c r="BD46" s="111">
        <f t="shared" ca="1" si="161"/>
        <v>0</v>
      </c>
      <c r="BE46" s="111">
        <f t="shared" ca="1" si="162"/>
        <v>0</v>
      </c>
      <c r="BF46" s="111">
        <f t="shared" ca="1" si="163"/>
        <v>0</v>
      </c>
      <c r="BG46" s="112">
        <f t="shared" ca="1" si="164"/>
        <v>0</v>
      </c>
      <c r="BH46" s="911">
        <f t="shared" si="165"/>
        <v>0</v>
      </c>
      <c r="BI46" s="111">
        <f t="shared" si="166"/>
        <v>0</v>
      </c>
      <c r="BJ46" s="111">
        <f t="shared" si="167"/>
        <v>1</v>
      </c>
      <c r="BK46" s="111">
        <f t="shared" si="168"/>
        <v>0</v>
      </c>
      <c r="BL46" s="111">
        <f t="shared" si="169"/>
        <v>0</v>
      </c>
      <c r="BM46" s="111">
        <f t="shared" si="170"/>
        <v>0</v>
      </c>
      <c r="BN46" s="111">
        <f t="shared" si="171"/>
        <v>0</v>
      </c>
      <c r="BO46" s="111">
        <f t="shared" si="172"/>
        <v>0</v>
      </c>
      <c r="BP46" s="111">
        <f t="shared" si="173"/>
        <v>0</v>
      </c>
      <c r="BQ46" s="112">
        <f t="shared" si="174"/>
        <v>0</v>
      </c>
      <c r="BR46" s="132">
        <f ca="1">IF(OFFSET(AY46,1,0,1,1)&lt;&gt;0,RZ[[#This Row],[Koeficient odhadu HR '[-'] (P1)]]*$BH46*SUMIFS(RZ[Úroveň 2 s koef. (P2)],RZ[0],AX46),RZ[[#This Row],[Koeficient odhadu HR '[-'] (P1)]]*$BH46*$IG46)</f>
        <v>0</v>
      </c>
      <c r="BS46" s="186">
        <f ca="1">IF(OFFSET(AY46,1,0,1,1)&lt;&gt;0,$BH46*SUMIFS(RZ[Úroveň 2 bez koef. (P2)],RZ[0],AX46),$BH46*$IG46)</f>
        <v>0</v>
      </c>
      <c r="BT46" s="138">
        <f ca="1">RZ[[#This Row],[Úroveň 2 s koef. (P2a)]]*RZ[[#This Row],[Počet MJHR (P0)]]</f>
        <v>0</v>
      </c>
      <c r="BU46" s="138">
        <f ca="1">RZ[[#This Row],[Úroveň 2 bez koef. (P2a)]]*RZ[[#This Row],[Počet MJHR (P0)]]</f>
        <v>0</v>
      </c>
      <c r="BV46" s="138">
        <f ca="1">IF(OFFSET(AZ46,1,0,1,1)&lt;&gt;0,RZ[[#This Row],[Koeficient odhadu HR '[-'] (P1)]]*$BI46*SUMIFS(RZ[Úroveň 3 s koef. (P2)],RZ[0],AX46,RZ[Úroveň 2 (P0)],AY46),RZ[[#This Row],[Koeficient odhadu HR '[-'] (P1)]]*$BI46*$IG46)</f>
        <v>0</v>
      </c>
      <c r="BW46" s="138">
        <f ca="1">IF(OFFSET(AZ46,1,0,1,1)&lt;&gt;0,$BI46*SUMIFS(RZ[Úroveň 3 bez koef. (P2)],RZ[0],AX46,RZ[Úroveň 2 (P0)],AY46),$BI46*$IG46)</f>
        <v>0</v>
      </c>
      <c r="BX46" s="132">
        <f ca="1">RZ[[#This Row],[Úroveň 3 s koef. (P2a)]]*RZ[[#This Row],[Počet MJHR (P0)]]</f>
        <v>0.12</v>
      </c>
      <c r="BY46" s="132">
        <f ca="1">RZ[Úroveň 3 bez koef. (P2a)]*RZ[[#This Row],[Počet MJHR (P0)]]</f>
        <v>0.12</v>
      </c>
      <c r="BZ46" s="132">
        <f ca="1">IF(OFFSET(BA46,1,0,1,1)&lt;&gt;0,RZ[[#This Row],[Koeficient odhadu HR '[-'] (P1)]]*$BJ46*SUMIFS(RZ[Úroveň 4 s koef. (P2)],RZ[0],AX46,RZ[Úroveň 2 (P0)],AY46,RZ[Úroveň 3 (P0)],AZ46),RZ[[#This Row],[Koeficient odhadu HR '[-'] (P1)]]*$BJ46*$IG46)</f>
        <v>0.03</v>
      </c>
      <c r="CA46" s="132">
        <f ca="1">IF(OFFSET(BA46,1,0,1,1)&lt;&gt;0,$BJ46*SUMIFS(RZ[Úroveň 4 bez koef. (P2)],RZ[0],AX46,RZ[Úroveň 2 (P0)],AY46,RZ[Úroveň 3 (P0)],AZ46),$BJ46*$IG46)</f>
        <v>0.03</v>
      </c>
      <c r="CB46" s="138">
        <f ca="1">RZ[[#This Row],[Úroveň 4 s koef. (P2a)]]*RZ[[#This Row],[Počet MJHR (P0)]]</f>
        <v>0</v>
      </c>
      <c r="CC46" s="138">
        <f ca="1">RZ[Úroveň 4 bez koef. (P2a)]*RZ[[#This Row],[Počet MJHR (P0)]]</f>
        <v>0</v>
      </c>
      <c r="CD46" s="138">
        <f ca="1">IF(OFFSET(BB46,1,0,1,1)&lt;&gt;0,RZ[[#This Row],[Koeficient odhadu HR '[-'] (P1)]]*$BK46*SUMIFS(RZ[Úroveň 5 s koef. (P2)],RZ[0],AX46,RZ[Úroveň 2 (P0)],AY46,RZ[Úroveň 3 (P0)],AZ46,RZ[Úroveň 4 (P0)],BA46),RZ[[#This Row],[Koeficient odhadu HR '[-'] (P1)]]*$BK46*$IG46)</f>
        <v>0</v>
      </c>
      <c r="CE46" s="138">
        <f ca="1">IF(OFFSET(BB46,1,0,1,1)&lt;&gt;0,$BK46*SUMIFS(RZ[Úroveň 5 bez koef. (P2)],RZ[0],AX46,RZ[Úroveň 2 (P0)],AY46,RZ[Úroveň 3 (P0)],AZ46,RZ[Úroveň 4 (P0)],BA46),$BK46*$IG46)</f>
        <v>0</v>
      </c>
      <c r="CF46" s="132">
        <f ca="1">RZ[[#This Row],[Úroveň 5 s koef. (P2a)]]*RZ[[#This Row],[Počet MJHR (P0)]]</f>
        <v>0</v>
      </c>
      <c r="CG46" s="132">
        <f ca="1">RZ[Úroveň 5 bez koef. (P2a)]*RZ[[#This Row],[Počet MJHR (P0)]]</f>
        <v>0</v>
      </c>
      <c r="CH46" s="132">
        <f ca="1">IF(OFFSET(BC46,1,0,1,1)&lt;&gt;0,RZ[[#This Row],[Koeficient odhadu HR '[-'] (P1)]]*$BL46*SUMIFS(RZ[Úroveň 6 s koef. (P2)],RZ[0],AX46,RZ[Úroveň 2 (P0)],AY46,RZ[Úroveň 3 (P0)],AZ46,RZ[Úroveň 4 (P0)],BA46,RZ[Úroveň 5 (P0)],BB46),RZ[[#This Row],[Koeficient odhadu HR '[-'] (P1)]]*$BL46*$IG46)</f>
        <v>0</v>
      </c>
      <c r="CI46" s="132">
        <f ca="1">IF(OFFSET(BC46,1,0,1,1)&lt;&gt;0,$BL46*SUMIFS(RZ[Úroveň 6 bez koef. (P2)],RZ[0],AX46,RZ[Úroveň 2 (P0)],AY46,RZ[Úroveň 3 (P0)],AZ46,RZ[Úroveň 4 (P0)],BA46,RZ[Úroveň 5 (P0)],BB46),$BL46*$IG46)</f>
        <v>0</v>
      </c>
      <c r="CJ46" s="138">
        <f ca="1">RZ[[#This Row],[Úroveň 6 s koef. (P2a)]]*RZ[[#This Row],[Počet MJHR (P0)]]</f>
        <v>0</v>
      </c>
      <c r="CK46" s="138">
        <f ca="1">RZ[Úroveň 6 bez koef. (P2a)]*RZ[[#This Row],[Počet MJHR (P0)]]</f>
        <v>0</v>
      </c>
      <c r="CL46" s="138">
        <f ca="1">IF(OFFSET(BD46,1,0,1,1)&lt;&gt;0,RZ[[#This Row],[Koeficient odhadu HR '[-'] (P1)]]*$BM46*SUMIFS(RZ[Úroveň 7 s koef. (P2)],RZ[0],AX46,RZ[Úroveň 2 (P0)],AY46,RZ[Úroveň 3 (P0)],AZ46,RZ[Úroveň 4 (P0)],BA46,RZ[Úroveň 5 (P0)],BB46,RZ[Úroveň 6 (P0)],BC46),RZ[[#This Row],[Koeficient odhadu HR '[-'] (P1)]]*$BM46*$IG46)</f>
        <v>0</v>
      </c>
      <c r="CM46" s="138">
        <f ca="1">IF(OFFSET(BD46,1,0,1,1)&lt;&gt;0,$BM46*SUMIFS(RZ[Úroveň 7 bez koef. (P2)],RZ[0],AX46,RZ[Úroveň 2 (P0)],AY46,RZ[Úroveň 3 (P0)],AZ46,RZ[Úroveň 4 (P0)],BA46,RZ[Úroveň 5 (P0)],BB46,RZ[Úroveň 6 (P0)],BC46),$BM46*$IG46)</f>
        <v>0</v>
      </c>
      <c r="CN46" s="132">
        <f ca="1">RZ[[#This Row],[Úroveň 7 s koef. (P2a)]]*RZ[[#This Row],[Počet MJHR (P0)]]</f>
        <v>0</v>
      </c>
      <c r="CO46" s="132">
        <f ca="1">RZ[Úroveň 7 bez koef. (P2a)]*RZ[[#This Row],[Počet MJHR (P0)]]</f>
        <v>0</v>
      </c>
      <c r="CP46" s="132">
        <f ca="1">IF(OFFSET(BE46,1,0,1,1)&lt;&gt;0,RZ[[#This Row],[Koeficient odhadu HR '[-'] (P1)]]*$BN46*SUMIFS(RZ[Úroveň 8 s koef. (P2)],RZ[0],AX46,RZ[Úroveň 2 (P0)],AY46,RZ[Úroveň 3 (P0)],AZ46,RZ[Úroveň 4 (P0)],BA46,RZ[Úroveň 5 (P0)],BB46,RZ[Úroveň 6 (P0)],BC46,RZ[Úroveň 7 (P0)],BD46),RZ[[#This Row],[Koeficient odhadu HR '[-'] (P1)]]*$BN46*$IG46)</f>
        <v>0</v>
      </c>
      <c r="CQ46" s="132">
        <f ca="1">IF(OFFSET(BE46,1,0,1,1)&lt;&gt;0,$BN46*SUMIFS(RZ[Úroveň 8 bez koef. (P2)],RZ[0],AX46,RZ[Úroveň 2 (P0)],AY46,RZ[Úroveň 3 (P0)],AZ46,RZ[Úroveň 4 (P0)],BA46,RZ[Úroveň 5 (P0)],BB46,RZ[Úroveň 6 (P0)],BC46,RZ[Úroveň 7 (P0)],BD46),$BN46*$IG46)</f>
        <v>0</v>
      </c>
      <c r="CR46" s="138">
        <f ca="1">RZ[[#This Row],[Úroveň 8 s koef. (P2a)]]*RZ[[#This Row],[Počet MJHR (P0)]]</f>
        <v>0</v>
      </c>
      <c r="CS46" s="138">
        <f ca="1">RZ[Úroveň 8 bez koef. (P2a)]*RZ[[#This Row],[Počet MJHR (P0)]]</f>
        <v>0</v>
      </c>
      <c r="CT46" s="138">
        <f ca="1">IF(OFFSET(BF46,1,0,1,1)&lt;&gt;0,RZ[[#This Row],[Koeficient odhadu HR '[-'] (P1)]]*$BO46*SUMIFS(RZ[Úroveň 9 s koef. (P2)],RZ[0],AX46,RZ[Úroveň 2 (P0)],AY46,RZ[Úroveň 3 (P0)],AZ46,RZ[Úroveň 4 (P0)],BA46,RZ[Úroveň 5 (P0)],BB46,RZ[Úroveň 6 (P0)],BC46,RZ[Úroveň 7 (P0)],BD46,RZ[Úroveň 8 (P0)],BE46),RZ[[#This Row],[Koeficient odhadu HR '[-'] (P1)]]*$BO46*$IG46)</f>
        <v>0</v>
      </c>
      <c r="CU46" s="138">
        <f ca="1">IF(OFFSET(BF46,1,0,1,1)&lt;&gt;0,$BO46*SUMIFS(RZ[Úroveň 9 bez koef. (P2)],RZ[0],AX46,RZ[Úroveň 2 (P0)],AY46,RZ[Úroveň 3 (P0)],AZ46,RZ[Úroveň 4 (P0)],BA46,RZ[Úroveň 5 (P0)],BB46,RZ[Úroveň 6 (P0)],BC46,RZ[Úroveň 7 (P0)],BD46,RZ[Úroveň 8 (P0)],BE46),$BO46*$IG46)</f>
        <v>0</v>
      </c>
      <c r="CV46" s="132">
        <f ca="1">RZ[[#This Row],[Úroveň 9 s koef. (P2a)]]*RZ[[#This Row],[Počet MJHR (P0)]]</f>
        <v>0</v>
      </c>
      <c r="CW46" s="132">
        <f ca="1">RZ[Úroveň 9 bez koef. (P2a)]*RZ[[#This Row],[Počet MJHR (P0)]]</f>
        <v>0</v>
      </c>
      <c r="CX46" s="132">
        <f ca="1">IF(OFFSET(BG46,1,0,1,1)&lt;&gt;0,RZ[[#This Row],[Koeficient odhadu HR '[-'] (P1)]]*$BP46*SUMIFS(RZ[Úroveň 10 s koef. (P2)],RZ[0],AX46,RZ[Úroveň 2 (P0)],AY46,RZ[Úroveň 3 (P0)],AZ46,RZ[Úroveň 4 (P0)],BA46,RZ[Úroveň 5 (P0)],BB46,RZ[Úroveň 6 (P0)],BC46,RZ[Úroveň 7 (P0)],BD46,RZ[Úroveň 8 (P0)],BE46,RZ[Úroveň 9 (P0)],BF46),RZ[[#This Row],[Koeficient odhadu HR '[-'] (P1)]]*$BP46*$IG46)</f>
        <v>0</v>
      </c>
      <c r="CY46" s="132">
        <f ca="1">IF(OFFSET(BG46,1,0,1,1)&lt;&gt;0,$BP46*SUMIFS(RZ[Úroveň 10 bez koef. (P2)],RZ[0],AX46,RZ[Úroveň 2 (P0)],AY46,RZ[Úroveň 3 (P0)],AZ46,RZ[Úroveň 4 (P0)],BA46,RZ[Úroveň 5 (P0)],BB46,RZ[Úroveň 6 (P0)],BC46,RZ[Úroveň 7 (P0)],BD46,RZ[Úroveň 8 (P0)],BE46,RZ[Úroveň 9 (P0)],BF46),$BP46*$IG46)</f>
        <v>0</v>
      </c>
      <c r="CZ46" s="138">
        <f>RZ[[#This Row],[Úroveň 10 s koef. (P2a)]]*RZ[[#This Row],[Počet MJHR (P0)]]</f>
        <v>0</v>
      </c>
      <c r="DA46" s="138">
        <f>RZ[Úroveň 10 bez koef. (P2a)]*RZ[[#This Row],[Počet MJHR (P0)]]</f>
        <v>0</v>
      </c>
      <c r="DB46" s="138">
        <f>RZ[[#This Row],[Koeficient odhadu HR '[-'] (P1)]]*$BQ46*IG46</f>
        <v>0</v>
      </c>
      <c r="DC46" s="231">
        <f t="shared" si="175"/>
        <v>0</v>
      </c>
      <c r="DD46" s="241">
        <f t="shared" ca="1" si="176"/>
        <v>0.03</v>
      </c>
      <c r="DE46" s="229">
        <f t="shared" ca="1" si="177"/>
        <v>0.03</v>
      </c>
      <c r="DF46" s="912">
        <f t="shared" si="178"/>
        <v>0</v>
      </c>
      <c r="DG46" s="913">
        <f t="shared" si="179"/>
        <v>0</v>
      </c>
      <c r="DH46" s="913">
        <f t="shared" si="180"/>
        <v>4</v>
      </c>
      <c r="DI46" s="913">
        <f t="shared" si="181"/>
        <v>0</v>
      </c>
      <c r="DJ46" s="913">
        <f t="shared" si="182"/>
        <v>0</v>
      </c>
      <c r="DK46" s="913">
        <f t="shared" si="183"/>
        <v>0</v>
      </c>
      <c r="DL46" s="913">
        <f t="shared" si="184"/>
        <v>0</v>
      </c>
      <c r="DM46" s="913">
        <f t="shared" si="185"/>
        <v>0</v>
      </c>
      <c r="DN46" s="913">
        <f t="shared" si="186"/>
        <v>0</v>
      </c>
      <c r="DO46" s="913">
        <f t="shared" si="187"/>
        <v>0</v>
      </c>
      <c r="DP46" s="914">
        <f ca="1">SUMIFS(RZ[Úroveň 1 (P4)],RZ[0],AX46)</f>
        <v>1</v>
      </c>
      <c r="DQ46" s="914">
        <f ca="1">SUMIFS(RZ[Úroveň 2 (P4)],RZ[0],AX46,RZ[Úroveň 2 (P0)],AY46)</f>
        <v>1</v>
      </c>
      <c r="DR46" s="914">
        <f ca="1">SUMIFS(RZ[Úroveň 3 (P4)],RZ[0],AX46,RZ[Úroveň 2 (P0)],AY46,RZ[Úroveň 3 (P0)],AZ46)</f>
        <v>4</v>
      </c>
      <c r="DS46" s="914">
        <f ca="1">SUMIFS(RZ[Úroveň 4 (P4)],RZ[0],AX46,RZ[Úroveň 2 (P0)],AY46,RZ[Úroveň 3 (P0)],AZ46,RZ[Úroveň 4 (P0)],BA46)</f>
        <v>0</v>
      </c>
      <c r="DT46" s="914">
        <f ca="1">SUMIFS(RZ[Úroveň 5 (P4)],RZ[0],AX46,RZ[Úroveň 2 (P0)],AY46,RZ[Úroveň 3 (P0)],AZ46,RZ[Úroveň 4 (P0)],BA46,RZ[Úroveň 5 (P0)],BB46)</f>
        <v>0</v>
      </c>
      <c r="DU46" s="914">
        <f ca="1">SUMIFS(RZ[Úroveň 6 (P4)],RZ[0],AX46,RZ[Úroveň 2 (P0)],AY46,RZ[Úroveň 3 (P0)],AZ46,RZ[Úroveň 4 (P0)],BA46,RZ[Úroveň 5 (P0)],BB46,RZ[Úroveň 6 (P0)],BC46)</f>
        <v>0</v>
      </c>
      <c r="DV46" s="914">
        <f ca="1">SUMIFS(RZ[Úroveň 7 (P4)],RZ[0],AX46,RZ[Úroveň 2 (P0)],AY46,RZ[Úroveň 3 (P0)],AZ46,RZ[Úroveň 4 (P0)],BA46,RZ[Úroveň 5 (P0)],BB46,RZ[Úroveň 6 (P0)],BC46,RZ[Úroveň 7 (P0)],BD46)</f>
        <v>0</v>
      </c>
      <c r="DW46" s="914">
        <f ca="1">SUMIFS(RZ[Úroveň 8 (P4)],RZ[0],AX46,RZ[Úroveň 2 (P0)],AY46,RZ[Úroveň 3 (P0)],AZ46,RZ[Úroveň 4 (P0)],BA46,RZ[Úroveň 5 (P0)],BB46,RZ[Úroveň 6 (P0)],BC46,RZ[Úroveň 7 (P0)],BD46,RZ[Úroveň 8 (P0)],BE46)</f>
        <v>0</v>
      </c>
      <c r="DX46" s="914">
        <f ca="1">SUMIFS(RZ[Úroveň 9 (P4)],RZ[0],AX46,RZ[Úroveň 2 (P0)],AY46,RZ[Úroveň 3 (P0)],AZ46,RZ[Úroveň 4 (P0)],BA46,RZ[Úroveň 5 (P0)],BB46,RZ[Úroveň 6 (P0)],BC46,RZ[Úroveň 7 (P0)],BD46,RZ[Úroveň 8 (P0)],BE46,RZ[Úroveň 9 (P0)],BF46)</f>
        <v>0</v>
      </c>
      <c r="DY46" s="914">
        <f ca="1">SUMIFS(RZ[Úroveň 10 (P4)],RZ[0],AX46,RZ[Úroveň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DZ46" s="915">
        <f t="shared" ca="1" si="188"/>
        <v>4</v>
      </c>
      <c r="EA46" s="916">
        <f ca="1">RZ[[#This Row],[Jednotková hmotnost bez koef. '[kg/MJHR'] (P0)]]*RZ[[#This Row],[Počet MJHR v rozpadu (P0)]]</f>
        <v>0.12</v>
      </c>
      <c r="EB46" s="917">
        <f ca="1">IF(OFFSET(AY46,1,0,1,1)&lt;&gt;0,RZ[[#This Row],[Koeficient odhadu CR '[-'] (P1)]]*$BH46*SUMIFS(RZ[Úroveň 2 s koef. (P3)],RZ[0],AX46),RZ[[#This Row],[Koeficient odhadu CR '[-'] (P1)]]*$BH46*$IQ46)</f>
        <v>0</v>
      </c>
      <c r="EC46" s="191">
        <f ca="1">IF(OFFSET(AY46,1,0,1,1)&lt;&gt;0,$BH46*SUMIFS(RZ[Úroveň 2 bez koef. (P3)],RZ[0],AX46),$BH46*$IQ46)</f>
        <v>0</v>
      </c>
      <c r="ED46" s="140">
        <f ca="1">RZ[[#This Row],[Úroveň 2 s koef. (P3a)]]*RZ[[#This Row],[Počet MJCR (P0) pro "kg"]]</f>
        <v>0</v>
      </c>
      <c r="EE46" s="140">
        <f ca="1">RZ[Úroveň 2 bez koef. (P3a)]*RZ[[#This Row],[Počet MJCR (P0) pro "kg"]]</f>
        <v>0</v>
      </c>
      <c r="EF46" s="140">
        <f ca="1">IF(OFFSET(AZ46,1,0,1,1)&lt;&gt;0,RZ[[#This Row],[Koeficient odhadu CR '[-'] (P1)]]*$BI46*SUMIFS(RZ[Úroveň 3 s koef. (P3)],RZ[0],AX46,RZ[Úroveň 2 (P0)],AY46),RZ[[#This Row],[Koeficient odhadu CR '[-'] (P1)]]*$BI46*$IQ46)</f>
        <v>0</v>
      </c>
      <c r="EG46" s="140">
        <f ca="1">IF(OFFSET(AZ46,1,0,1,1)&lt;&gt;0,$BI46*SUMIFS(RZ[Úroveň 3 bez koef. (P3)],RZ[0],AX46,RZ[Úroveň 2 (P0)],AY46),$BI46*$IQ46)</f>
        <v>0</v>
      </c>
      <c r="EH46" s="135">
        <f ca="1">RZ[[#This Row],[Úroveň 3 s koef. (P3a)]]*RZ[[#This Row],[Počet MJCR (P0) pro "kg"]]</f>
        <v>13.2</v>
      </c>
      <c r="EI46" s="135">
        <f ca="1">RZ[Úroveň 3 bez koef. (P3a)]*RZ[[#This Row],[Počet MJCR (P0) pro "kg"]]</f>
        <v>13.2</v>
      </c>
      <c r="EJ46" s="135">
        <f ca="1">IF(OFFSET(BA46,1,0,1,1)&lt;&gt;0,RZ[[#This Row],[Koeficient odhadu CR '[-'] (P1)]]*$BJ46*SUMIFS(RZ[Úroveň 4 s koef. (P3)],RZ[0],AX46,RZ[Úroveň 2 (P0)],AY46,RZ[Úroveň 3 (P0)],AZ46),RZ[[#This Row],[Koeficient odhadu CR '[-'] (P1)]]*$BJ46*$IQ46)</f>
        <v>110</v>
      </c>
      <c r="EK46" s="135">
        <f ca="1">IF(OFFSET(BA46,1,0,1,1)&lt;&gt;0,$BJ46*SUMIFS(RZ[Úroveň 4 bez koef. (P3)],RZ[0],AX46,RZ[Úroveň 2 (P0)],AY46,RZ[Úroveň 3 (P0)],AZ46),$BJ46*$IQ46)</f>
        <v>110</v>
      </c>
      <c r="EL46" s="140">
        <f ca="1">RZ[[#This Row],[Úroveň 4 s koef. (P3a)]]*RZ[[#This Row],[Počet MJCR (P0) pro "kg"]]</f>
        <v>0</v>
      </c>
      <c r="EM46" s="140">
        <f ca="1">RZ[Úroveň 4 bez koef. (P3a)]*RZ[[#This Row],[Počet MJCR (P0) pro "kg"]]</f>
        <v>0</v>
      </c>
      <c r="EN46" s="140">
        <f ca="1">IF(OFFSET(BB46,1,0,1,1)&lt;&gt;0,RZ[[#This Row],[Koeficient odhadu CR '[-'] (P1)]]*$BK46*SUMIFS(RZ[Úroveň 5 s koef. (P3)],RZ[0],AX46,RZ[Úroveň 2 (P0)],AY46,RZ[Úroveň 3 (P0)],AZ46,RZ[Úroveň 4 (P0)],BA46),RZ[[#This Row],[Koeficient odhadu CR '[-'] (P1)]]*$BK46*$IQ46)</f>
        <v>0</v>
      </c>
      <c r="EO46" s="140">
        <f ca="1">IF(OFFSET(BB46,1,0,1,1)&lt;&gt;0,$BK46*SUMIFS(RZ[Úroveň 5 bez koef. (P3)],RZ[0],AX46,RZ[Úroveň 2 (P0)],AY46,RZ[Úroveň 3 (P0)],AZ46,RZ[Úroveň 4 (P0)],BA46),$BK46*$IQ46)</f>
        <v>0</v>
      </c>
      <c r="EP46" s="135">
        <f ca="1">RZ[[#This Row],[Úroveň 5 s koef. (P3a)]]*RZ[[#This Row],[Počet MJCR (P0) pro "kg"]]</f>
        <v>0</v>
      </c>
      <c r="EQ46" s="135">
        <f ca="1">RZ[Úroveň 5 bez koef. (P3a)]*RZ[[#This Row],[Počet MJCR (P0) pro "kg"]]</f>
        <v>0</v>
      </c>
      <c r="ER46" s="135">
        <f ca="1">IF(OFFSET(BC46,1,0,1,1)&lt;&gt;0,RZ[[#This Row],[Koeficient odhadu CR '[-'] (P1)]]*$BL46*SUMIFS(RZ[Úroveň 6 s koef. (P3)],RZ[0],AX46,RZ[Úroveň 2 (P0)],AY46,RZ[Úroveň 3 (P0)],AZ46,RZ[Úroveň 4 (P0)],BA46,RZ[Úroveň 5 (P0)],BB46),RZ[[#This Row],[Koeficient odhadu CR '[-'] (P1)]]*$BL46*$IQ46)</f>
        <v>0</v>
      </c>
      <c r="ES46" s="135">
        <f ca="1">IF(OFFSET(BC46,1,0,1,1)&lt;&gt;0,$BL46*SUMIFS(RZ[Úroveň 6 bez koef. (P3)],RZ[0],AX46,RZ[Úroveň 2 (P0)],AY46,RZ[Úroveň 3 (P0)],AZ46,RZ[Úroveň 4 (P0)],BA46,RZ[Úroveň 5 (P0)],BB46),$BL46*$IQ46)</f>
        <v>0</v>
      </c>
      <c r="ET46" s="140">
        <f ca="1">RZ[[#This Row],[Úroveň 6 s koef. (P3a)]]*RZ[[#This Row],[Počet MJCR (P0) pro "kg"]]</f>
        <v>0</v>
      </c>
      <c r="EU46" s="140">
        <f ca="1">RZ[Úroveň 6 bez koef. (P3a)]*RZ[[#This Row],[Počet MJCR (P0) pro "kg"]]</f>
        <v>0</v>
      </c>
      <c r="EV46" s="140">
        <f ca="1">IF(OFFSET(BD46,1,0,1,1)&lt;&gt;0,RZ[[#This Row],[Koeficient odhadu CR '[-'] (P1)]]*$BM46*SUMIFS(RZ[Úroveň 7 s koef. (P3)],RZ[0],AX46,RZ[Úroveň 2 (P0)],AY46,RZ[Úroveň 3 (P0)],AZ46,RZ[Úroveň 4 (P0)],BA46,RZ[Úroveň 5 (P0)],BB46,RZ[Úroveň 6 (P0)],BC46),RZ[[#This Row],[Koeficient odhadu CR '[-'] (P1)]]*$BM46*$IQ46)</f>
        <v>0</v>
      </c>
      <c r="EW46" s="140">
        <f ca="1">IF(OFFSET(BD46,1,0,1,1)&lt;&gt;0,$BM46*SUMIFS(RZ[Úroveň 7 bez koef. (P3)],RZ[0],AX46,RZ[Úroveň 2 (P0)],AY46,RZ[Úroveň 3 (P0)],AZ46,RZ[Úroveň 4 (P0)],BA46,RZ[Úroveň 5 (P0)],BB46,RZ[Úroveň 6 (P0)],BC46),$BM46*$IQ46)</f>
        <v>0</v>
      </c>
      <c r="EX46" s="135">
        <f ca="1">RZ[[#This Row],[Úroveň 7 s koef. (P3a)]]*RZ[[#This Row],[Počet MJCR (P0) pro "kg"]]</f>
        <v>0</v>
      </c>
      <c r="EY46" s="135">
        <f ca="1">RZ[Úroveň 7 bez koef. (P3a)]*RZ[[#This Row],[Počet MJCR (P0) pro "kg"]]</f>
        <v>0</v>
      </c>
      <c r="EZ46" s="135">
        <f ca="1">IF(OFFSET(BE46,1,0,1,1)&lt;&gt;0,RZ[[#This Row],[Koeficient odhadu CR '[-'] (P1)]]*$BN46*SUMIFS(RZ[Úroveň 8 s koef. (P3)],RZ[0],AX46,RZ[Úroveň 2 (P0)],AY46,RZ[Úroveň 3 (P0)],AZ46,RZ[Úroveň 4 (P0)],BA46,RZ[Úroveň 5 (P0)],BB46,RZ[Úroveň 6 (P0)],BC46,RZ[Úroveň 7 (P0)],BD46),RZ[[#This Row],[Koeficient odhadu CR '[-'] (P1)]]*$BN46*$IQ46)</f>
        <v>0</v>
      </c>
      <c r="FA46" s="135">
        <f ca="1">IF(OFFSET(BE46,1,0,1,1)&lt;&gt;0,$BN46*SUMIFS(RZ[Úroveň 8 bez koef. (P3)],RZ[0],AX46,RZ[Úroveň 2 (P0)],AY46,RZ[Úroveň 3 (P0)],AZ46,RZ[Úroveň 4 (P0)],BA46,RZ[Úroveň 5 (P0)],BB46,RZ[Úroveň 6 (P0)],BC46,RZ[Úroveň 7 (P0)],BD46),$BN46*$IQ46)</f>
        <v>0</v>
      </c>
      <c r="FB46" s="140">
        <f ca="1">RZ[[#This Row],[Úroveň 8 s koef. (P3a)]]*RZ[[#This Row],[Počet MJCR (P0) pro "kg"]]</f>
        <v>0</v>
      </c>
      <c r="FC46" s="140">
        <f ca="1">RZ[Úroveň 8 bez koef. (P3a)]*RZ[[#This Row],[Počet MJCR (P0) pro "kg"]]</f>
        <v>0</v>
      </c>
      <c r="FD46" s="140">
        <f ca="1">IF(OFFSET(BF46,1,0,1,1)&lt;&gt;0,RZ[[#This Row],[Koeficient odhadu CR '[-'] (P1)]]*$BO46*SUMIFS(RZ[Úroveň 9 s koef. (P3)],RZ[0],AX46,RZ[Úroveň 2 (P0)],AY46,RZ[Úroveň 3 (P0)],AZ46,RZ[Úroveň 4 (P0)],BA46,RZ[Úroveň 5 (P0)],BB46,RZ[Úroveň 6 (P0)],BC46,RZ[Úroveň 7 (P0)],BD46,RZ[Úroveň 8 (P0)],BE46),RZ[[#This Row],[Koeficient odhadu CR '[-'] (P1)]]*$BO46*$IQ46)</f>
        <v>0</v>
      </c>
      <c r="FE46" s="140">
        <f ca="1">IF(OFFSET(BF46,1,0,1,1)&lt;&gt;0,$BO46*SUMIFS(RZ[Úroveň 9 bez koef. (P3)],RZ[0],AX46,RZ[Úroveň 2 (P0)],AY46,RZ[Úroveň 3 (P0)],AZ46,RZ[Úroveň 4 (P0)],BA46,RZ[Úroveň 5 (P0)],BB46,RZ[Úroveň 6 (P0)],BC46,RZ[Úroveň 7 (P0)],BD46,RZ[Úroveň 8 (P0)],BE46),$BO46*$IQ46)</f>
        <v>0</v>
      </c>
      <c r="FF46" s="135">
        <f ca="1">RZ[[#This Row],[Úroveň 9 s koef. (P3a)]]*RZ[[#This Row],[Počet MJCR (P0) pro "kg"]]</f>
        <v>0</v>
      </c>
      <c r="FG46" s="135">
        <f ca="1">RZ[Úroveň 9 bez koef. (P3a)]*RZ[[#This Row],[Počet MJCR (P0) pro "kg"]]</f>
        <v>0</v>
      </c>
      <c r="FH46" s="135">
        <f ca="1">IF(OFFSET(BG46,1,0,1,1)&lt;&gt;0,RZ[[#This Row],[Koeficient odhadu CR '[-'] (P1)]]*$BP46*SUMIFS(RZ[Úroveň 10 s koef. (P3)],RZ[0],AX46,RZ[Úroveň 2 (P0)],AY46,RZ[Úroveň 3 (P0)],AZ46,RZ[Úroveň 4 (P0)],BA46,RZ[Úroveň 5 (P0)],BB46,RZ[Úroveň 6 (P0)],BC46,RZ[Úroveň 7 (P0)],BD46,RZ[Úroveň 8 (P0)],BE46,RZ[Úroveň 9 (P0)],BF46),RZ[[#This Row],[Koeficient odhadu CR '[-'] (P1)]]*$BP46*$IQ46)</f>
        <v>0</v>
      </c>
      <c r="FI46" s="135">
        <f ca="1">IF(OFFSET(BG46,1,0,1,1)&lt;&gt;0,$BP46*SUMIFS(RZ[Úroveň 10 bez koef. (P3)],RZ[0],AX46,RZ[Úroveň 2 (P0)],AY46,RZ[Úroveň 3 (P0)],AZ46,RZ[Úroveň 4 (P0)],BA46,RZ[Úroveň 5 (P0)],BB46,RZ[Úroveň 6 (P0)],BC46,RZ[Úroveň 7 (P0)],BD46,RZ[Úroveň 8 (P0)],BE46,RZ[Úroveň 9 (P0)],BF46),$BP46*$IQ46)</f>
        <v>0</v>
      </c>
      <c r="FJ46" s="140">
        <f ca="1">RZ[[#This Row],[Úroveň 10 s koef. (P3a)]]*RZ[[#This Row],[Počet MJCR (P0) pro "kg"]]</f>
        <v>0</v>
      </c>
      <c r="FK46" s="140">
        <f ca="1">RZ[Úroveň 10 bez koef. (P3a)]*RZ[[#This Row],[Počet MJCR (P0) pro "kg"]]</f>
        <v>0</v>
      </c>
      <c r="FL46" s="140">
        <f ca="1">RZ[[#This Row],[Koeficient odhadu CR '[-'] (P1)]]*$BQ46*IQ46</f>
        <v>0</v>
      </c>
      <c r="FM46" s="236">
        <f t="shared" ca="1" si="189"/>
        <v>0</v>
      </c>
      <c r="FN46" s="194">
        <f t="shared" ca="1" si="190"/>
        <v>110</v>
      </c>
      <c r="FO46" s="238">
        <f t="shared" ca="1" si="191"/>
        <v>110</v>
      </c>
      <c r="FP46" s="135">
        <f t="shared" ca="1" si="192"/>
        <v>0</v>
      </c>
      <c r="FQ46" s="135">
        <f t="shared" ca="1" si="193"/>
        <v>0</v>
      </c>
      <c r="FR46" s="135">
        <f t="shared" ca="1" si="194"/>
        <v>0.12</v>
      </c>
      <c r="FS46" s="135">
        <f t="shared" ca="1" si="195"/>
        <v>0</v>
      </c>
      <c r="FT46" s="135">
        <f t="shared" ca="1" si="196"/>
        <v>0</v>
      </c>
      <c r="FU46" s="135">
        <f t="shared" ca="1" si="197"/>
        <v>0</v>
      </c>
      <c r="FV46" s="135">
        <f t="shared" ca="1" si="198"/>
        <v>0</v>
      </c>
      <c r="FW46" s="135">
        <f t="shared" ca="1" si="199"/>
        <v>0</v>
      </c>
      <c r="FX46" s="135">
        <f t="shared" ca="1" si="200"/>
        <v>0</v>
      </c>
      <c r="FY46" s="135">
        <f t="shared" ca="1" si="201"/>
        <v>0</v>
      </c>
      <c r="FZ46" s="140">
        <f ca="1">SUMIFS(RZ[Úroveň 1 (P6)],RZ[0],AX46)</f>
        <v>1</v>
      </c>
      <c r="GA46" s="140">
        <f ca="1">SUMIFS(RZ[Úroveň 2 (P6)],RZ[0],AX46,RZ[Úroveň 2 (P0)],AY46)</f>
        <v>1</v>
      </c>
      <c r="GB46" s="140">
        <f ca="1">SUMIFS(RZ[Úroveň 3 (P6)],RZ[0],AX46,RZ[Úroveň 2 (P0)],AY46,RZ[Úroveň 3 (P0)],AZ46)</f>
        <v>0.12</v>
      </c>
      <c r="GC46" s="140">
        <f ca="1">SUMIFS(RZ[Úroveň 4 (P6)],RZ[0],AX46,RZ[Úroveň 2 (P0)],AY46,RZ[Úroveň 3 (P0)],AZ46,RZ[Úroveň 4 (P0)],BA46)</f>
        <v>0</v>
      </c>
      <c r="GD46" s="140">
        <f ca="1">SUMIFS(RZ[Úroveň 5 (P6)],RZ[0],AX46,RZ[Úroveň 2 (P0)],AY46,RZ[Úroveň 3 (P0)],AZ46,RZ[Úroveň 4 (P0)],BA46,RZ[Úroveň 5 (P0)],BB46)</f>
        <v>0</v>
      </c>
      <c r="GE46" s="140">
        <f ca="1">SUMIFS(RZ[Úroveň 6 (P6)],RZ[0],AX46,RZ[Úroveň 2 (P0)],AY46,RZ[Úroveň 3 (P0)],AZ46,RZ[Úroveň 4 (P0)],BA46,RZ[Úroveň 5 (P0)],BB46,RZ[Úroveň 6 (P0)],BC46)</f>
        <v>0</v>
      </c>
      <c r="GF46" s="140">
        <f ca="1">SUMIFS(RZ[Úroveň 7 (P6)],RZ[0],AX46,RZ[Úroveň 2 (P0)],AY46,RZ[Úroveň 3 (P0)],AZ46,RZ[Úroveň 4 (P0)],BA46,RZ[Úroveň 5 (P0)],BB46,RZ[Úroveň 6 (P0)],BC46,RZ[Úroveň 7 (P0)],BD46)</f>
        <v>0</v>
      </c>
      <c r="GG46" s="140">
        <f ca="1">SUMIFS(RZ[Úroveň 8 (P6)],RZ[0],AX46,RZ[Úroveň 2 (P0)],AY46,RZ[Úroveň 3 (P0)],AZ46,RZ[Úroveň 4 (P0)],BA46,RZ[Úroveň 5 (P0)],BB46,RZ[Úroveň 6 (P0)],BC46,RZ[Úroveň 7 (P0)],BD46,RZ[Úroveň 8 (P0)],BE46)</f>
        <v>0</v>
      </c>
      <c r="GH46" s="140">
        <f ca="1">SUMIFS(RZ[Úroveň 9 (P6)],RZ[0],AX46,RZ[Úroveň 2 (P0)],AY46,RZ[Úroveň 3 (P0)],AZ46,RZ[Úroveň 4 (P0)],BA46,RZ[Úroveň 5 (P0)],BB46,RZ[Úroveň 6 (P0)],BC46,RZ[Úroveň 7 (P0)],BD46,RZ[Úroveň 8 (P0)],BE46,RZ[Úroveň 9 (P0)],BF46)</f>
        <v>0</v>
      </c>
      <c r="GI46" s="140">
        <f ca="1">SUMIFS(RZ[Úroveň 10 (P6)],RZ[0],AX46,RZ[Úroveň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GJ46" s="918">
        <f t="shared" ca="1" si="202"/>
        <v>0.12</v>
      </c>
      <c r="GK46" s="808">
        <f t="shared" si="203"/>
        <v>0</v>
      </c>
      <c r="GL46" s="808">
        <f t="shared" si="204"/>
        <v>0</v>
      </c>
      <c r="GM46" s="808">
        <f t="shared" si="205"/>
        <v>1</v>
      </c>
      <c r="GN46" s="808">
        <f t="shared" si="206"/>
        <v>0</v>
      </c>
      <c r="GO46" s="808">
        <f t="shared" si="207"/>
        <v>0</v>
      </c>
      <c r="GP46" s="808">
        <f t="shared" si="208"/>
        <v>0</v>
      </c>
      <c r="GQ46" s="808">
        <f t="shared" si="209"/>
        <v>0</v>
      </c>
      <c r="GR46" s="808">
        <f t="shared" si="210"/>
        <v>0</v>
      </c>
      <c r="GS46" s="808">
        <f t="shared" si="211"/>
        <v>0</v>
      </c>
      <c r="GT46" s="808">
        <f t="shared" si="212"/>
        <v>0</v>
      </c>
      <c r="GU46" s="809">
        <f ca="1">SUMIFS(RZ[Sloupec1],RZ[0],AX46)</f>
        <v>1</v>
      </c>
      <c r="GV46" s="809">
        <f ca="1">SUMIFS(RZ[Sloupec2],RZ[0],AX46,RZ[Úroveň 2 (P0)],AY46)</f>
        <v>1</v>
      </c>
      <c r="GW46" s="809">
        <f ca="1">SUMIFS(RZ[Sloupec3],RZ[0],AX46,RZ[Úroveň 2 (P0)],AY46,RZ[Úroveň 3 (P0)],AZ46)</f>
        <v>1</v>
      </c>
      <c r="GX46" s="809">
        <f ca="1">SUMIFS(RZ[Sloupec4],RZ[0],AX46,RZ[Úroveň 2 (P0)],AY46,RZ[Úroveň 3 (P0)],AZ46,RZ[Úroveň 4 (P0)],BA46)</f>
        <v>0</v>
      </c>
      <c r="GY46" s="809">
        <f ca="1">SUMIFS(RZ[Sloupec5],RZ[0],AX46,RZ[Úroveň 2 (P0)],AY46,RZ[Úroveň 3 (P0)],AZ46,RZ[Úroveň 4 (P0)],BA46,RZ[Úroveň 5 (P0)],BB46)</f>
        <v>0</v>
      </c>
      <c r="GZ46" s="809">
        <f ca="1">SUMIFS(RZ[Sloupec6],RZ[0],AX46,RZ[Úroveň 2 (P0)],AY46,RZ[Úroveň 3 (P0)],AZ46,RZ[Úroveň 4 (P0)],BA46,RZ[Úroveň 5 (P0)],BB46,RZ[Úroveň 6 (P0)],BC46)</f>
        <v>0</v>
      </c>
      <c r="HA46" s="809">
        <f ca="1">SUMIFS(RZ[Sloupec62],RZ[0],AX46,RZ[Úroveň 2 (P0)],AY46,RZ[Úroveň 3 (P0)],AZ46,RZ[Úroveň 4 (P0)],BA46,RZ[Úroveň 5 (P0)],BB46,RZ[Úroveň 6 (P0)],BC46,RZ[Úroveň 7 (P0)],BD46)</f>
        <v>0</v>
      </c>
      <c r="HB46" s="809">
        <f ca="1">SUMIFS(RZ[Sloupec63],RZ[0],AX46,RZ[Úroveň 2 (P0)],AY46,RZ[Úroveň 3 (P0)],AZ46,RZ[Úroveň 4 (P0)],BA46,RZ[Úroveň 5 (P0)],BB46,RZ[Úroveň 6 (P0)],BC46,RZ[Úroveň 7 (P0)],BD46,RZ[Úroveň 8 (P0)],BE46)</f>
        <v>0</v>
      </c>
      <c r="HC46" s="809">
        <f ca="1">SUMIFS(RZ[Sloupec64],RZ[0],AX46,RZ[Úroveň 2 (P0)],AY46,RZ[Úroveň 3 (P0)],AZ46,RZ[Úroveň 4 (P0)],BA46,RZ[Úroveň 5 (P0)],BB46,RZ[Úroveň 6 (P0)],BC46,RZ[Úroveň 7 (P0)],BD46,RZ[Úroveň 8 (P0)],BE46,RZ[Úroveň 9 (P0)],BF46)</f>
        <v>0</v>
      </c>
      <c r="HD46" s="809">
        <f ca="1">SUMIFS(RZ[Sloupec65],RZ[0],AX46,RZ[Úroveň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HE46" s="919">
        <f t="shared" ca="1" si="213"/>
        <v>1</v>
      </c>
      <c r="HF46" s="920" t="str">
        <f t="shared" si="214"/>
        <v/>
      </c>
      <c r="HG46" s="94" t="str">
        <f t="shared" si="215"/>
        <v/>
      </c>
      <c r="HH46" s="95" t="str">
        <f t="shared" si="216"/>
        <v/>
      </c>
      <c r="HI46" s="95" t="str">
        <f t="shared" si="217"/>
        <v>Držák krytu</v>
      </c>
      <c r="HJ46" s="96" t="str">
        <f t="shared" si="218"/>
        <v/>
      </c>
      <c r="HK46" s="96" t="str">
        <f t="shared" si="219"/>
        <v/>
      </c>
      <c r="HL46" s="96" t="str">
        <f t="shared" si="220"/>
        <v/>
      </c>
      <c r="HM46" s="96" t="str">
        <f t="shared" si="221"/>
        <v/>
      </c>
      <c r="HN46" s="96" t="str">
        <f t="shared" si="222"/>
        <v/>
      </c>
      <c r="HO46" s="96" t="str">
        <f t="shared" si="223"/>
        <v/>
      </c>
      <c r="HP46" s="96" t="str">
        <f t="shared" si="224"/>
        <v/>
      </c>
      <c r="HQ46" s="145" t="str">
        <f t="shared" si="225"/>
        <v>OKS2</v>
      </c>
      <c r="HR46" s="921" t="str">
        <f t="shared" si="226"/>
        <v/>
      </c>
      <c r="HS46" s="173">
        <f t="shared" si="227"/>
        <v>0</v>
      </c>
      <c r="HT46" s="100">
        <f t="shared" si="228"/>
        <v>0</v>
      </c>
      <c r="HU46" s="100">
        <f t="shared" si="229"/>
        <v>0</v>
      </c>
      <c r="HV46" s="908">
        <f t="shared" si="230"/>
        <v>0</v>
      </c>
      <c r="HW46" s="922">
        <f t="shared" si="231"/>
        <v>0</v>
      </c>
      <c r="HX46" s="224">
        <f t="shared" si="232"/>
        <v>0</v>
      </c>
      <c r="HY46" s="263" t="str">
        <f t="shared" si="233"/>
        <v>S</v>
      </c>
      <c r="HZ46" s="263">
        <f t="shared" si="234"/>
        <v>0</v>
      </c>
      <c r="IA46" s="150">
        <f t="shared" si="235"/>
        <v>1</v>
      </c>
      <c r="IB46" s="319">
        <f t="shared" si="236"/>
        <v>0</v>
      </c>
      <c r="IC46" s="923">
        <f t="shared" si="237"/>
        <v>0</v>
      </c>
      <c r="ID46" s="924" t="str">
        <f t="shared" ca="1" si="238"/>
        <v>OK</v>
      </c>
      <c r="IE46" s="201" t="str">
        <f t="shared" si="239"/>
        <v>ks</v>
      </c>
      <c r="IF46" s="145">
        <f t="shared" si="240"/>
        <v>4</v>
      </c>
      <c r="IG46" s="216">
        <f t="shared" si="241"/>
        <v>0.03</v>
      </c>
      <c r="IH46" s="217">
        <f t="shared" si="242"/>
        <v>1</v>
      </c>
      <c r="II46" s="224" t="str">
        <f ca="1">IF(RZ[[#This Row],[Rozhodný sloupec indikativní ceny]]=1,"kg",IF($IW46=$JL$15,IF(JX46=0,JO46,JX46),IF($IW46=$KE$15,IF(KQ46=0,KH46,KQ46),IF($IW46=$KX$15,IF(LJ46=0,LA46,LJ46),IF($IW46=$LQ$15,IF(MC46=0,LT46,MC46),IF($IW46=$MJ$15,IF(NQ46=0,NH46,NQ46),0))))))</f>
        <v>kg</v>
      </c>
      <c r="IJ46" s="224">
        <f ca="1">IF((BH46+OFFSET(BH46,1,1,1,1))=2,RZ[[#This Row],[Počet MJHR (P0)]],IF((BI46+OFFSET(BI46,1,1,1,1))=2,RZ[[#This Row],[Počet MJHR (P0)]],IF((BJ46+OFFSET(BJ46,1,1,1,1))=2,RZ[[#This Row],[Počet MJHR (P0)]],IF((BK46+OFFSET(BK46,1,1,1,1))=2,RZ[[#This Row],[Počet MJHR (P0)]],IF((BL46+OFFSET(BL46,1,1,1,1))=2,RZ[[#This Row],[Počet MJHR (P0)]],IF((BM46+OFFSET(BM46,1,1,1,1))=2,RZ[[#This Row],[Počet MJHR (P0)]],IF((BN46+OFFSET(BN46,1,1,1,1))=2,RZ[[#This Row],[Počet MJHR (P0)]],IF((BO46+OFFSET(BO46,1,1,1,1))=2,RZ[[#This Row],[Počet MJHR (P0)]],IF((BP46+OFFSET(BP46,1,1,1,1))=2,RZ[[#This Row],[Počet MJHR (P0)]],IF((BQ46+OFFSET(BQ46,1,1,1,1))=2,RZ[[#This Row],[Počet MJHR (P0)]],IF(RZ[[#This Row],[Měrná jednotka CR (MJCR) (P0)]]=RZ[[#This Row],[Měrná jednotka HR '[MJHR'] (P0)]],RZ[[#This Row],[Počet MJHR (P0)]],IF($IW46=$JL$15,JY46,IF($IW46=$KE$15,KR46,IF($IW46=$KX$15,LK46,IF($IW46=$LQ$15,MD46,IF($IW46=$MJ$15,NR46,0))))))))))))))))</f>
        <v>0</v>
      </c>
      <c r="IK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0.12</v>
      </c>
      <c r="IL46" s="145">
        <f ca="1">IF(AND(RZ[[#This Row],[Jednotková cena bez DPH '[cena/MJCR'] (P0)]]=0,RZ[[#This Row],[Indikativní jednotková cena '[CZK/kg'] (P1)]]&lt;&gt;0),1,0)</f>
        <v>1</v>
      </c>
      <c r="IM46" s="217">
        <f ca="1">VLOOKUP(RZ[[#This Row],[Kód položek]],INDIKAT_CENA,2,FALSE)</f>
        <v>110</v>
      </c>
      <c r="IN46" s="222">
        <f ca="1">IF(RZ[[#This Row],[Rozhodný sloupec indikativní ceny]]=1,RZ[[#This Row],[Indikativní jednotková cena '[CZK/kg'] (P1)]],RZ[[#This Row],[Jednotková cena bez DPH '[cena/MJCR'] (P0)]])</f>
        <v>110</v>
      </c>
      <c r="IO46" s="222">
        <f t="shared" si="243"/>
        <v>1</v>
      </c>
      <c r="IP46" s="224">
        <f ca="1">IF(RZ[[#This Row],[Rozhodný sloupec indikativní ceny]]=1,1,IF($IW46=$JL$15,KA46,IF($IW46=$KE$15,KT46,IF($IW46=$KX$15,LM46,IF($IW46=$LQ$15,MF46,IF($IW46=$MJ$15,NT46,0))))))</f>
        <v>1</v>
      </c>
      <c r="IQ46" s="225">
        <f ca="1">IF(RZ[[#This Row],[Jednotková cena bez DPH '[cena/MJCR'] (P1)]]="",0,IF(IP46=0,0,(RZ[[#This Row],[Jednotková cena bez DPH '[cena/MJCR'] (P1)]]*VLOOKUP(IP46,$BR$7:$BT$10,3))))</f>
        <v>110</v>
      </c>
      <c r="IR46" s="737"/>
      <c r="IS46" s="627">
        <f>IF(HY46=0,"",VLOOKUP(RZ[[#This Row],[Stav Projekce (P0)]],Vstupy!$E$11:'Vstupy'!$E$11:$H$17,4,FALSE))</f>
        <v>100</v>
      </c>
      <c r="IT46" s="925" t="str">
        <f>IF(RZ[[#This Row],[Stav Projekce (P0)]]=0,"",RZ[[#This Row],[Stav Projekce (P0)]])</f>
        <v>S</v>
      </c>
      <c r="IU46" s="925" t="str">
        <f>IF(RZ[[#This Row],[Stav Nákup (P0)]]=0,"",RZ[[#This Row],[Stav Nákup (P0)]])</f>
        <v/>
      </c>
      <c r="IV46" s="926" t="str">
        <f t="shared" si="244"/>
        <v/>
      </c>
      <c r="IW46" s="641">
        <v>1</v>
      </c>
      <c r="IX46" s="630"/>
      <c r="IY46" s="264"/>
      <c r="IZ46" s="648"/>
      <c r="JA46" s="100"/>
      <c r="JB46" s="100" t="s">
        <v>822</v>
      </c>
      <c r="JC46" s="100"/>
      <c r="JD46" s="100"/>
      <c r="JE46" s="100"/>
      <c r="JF46" s="100"/>
      <c r="JG46" s="100"/>
      <c r="JH46" s="100"/>
      <c r="JI46" s="100"/>
      <c r="JJ46" s="145" t="s">
        <v>768</v>
      </c>
      <c r="JK46" s="529"/>
      <c r="JL46" s="286"/>
      <c r="JM46" s="100"/>
      <c r="JN46" s="100"/>
      <c r="JO46" s="145" t="s">
        <v>35</v>
      </c>
      <c r="JP46" s="117">
        <v>4</v>
      </c>
      <c r="JQ46" s="117">
        <v>0.03</v>
      </c>
      <c r="JR46" s="148">
        <v>1</v>
      </c>
      <c r="JS46" s="145" t="s">
        <v>602</v>
      </c>
      <c r="JT46" s="631"/>
      <c r="JU46" s="148"/>
      <c r="JV46" s="154"/>
      <c r="JW46" s="145"/>
      <c r="JX46" s="210"/>
      <c r="JY46" s="117"/>
      <c r="JZ46" s="662"/>
      <c r="KA46" s="145"/>
      <c r="KB46" s="148"/>
      <c r="KC46" s="148"/>
      <c r="KD46" s="644"/>
      <c r="KE46" s="286"/>
      <c r="KF46" s="100"/>
      <c r="KG46" s="100"/>
      <c r="KH46" s="210"/>
      <c r="KI46" s="117"/>
      <c r="KJ46" s="117"/>
      <c r="KK46" s="148"/>
      <c r="KL46" s="145"/>
      <c r="KM46" s="632"/>
      <c r="KN46" s="148"/>
      <c r="KO46" s="154"/>
      <c r="KP46" s="154"/>
      <c r="KQ46" s="210"/>
      <c r="KR46" s="117"/>
      <c r="KS46" s="211"/>
      <c r="KT46" s="145"/>
      <c r="KU46" s="148"/>
      <c r="KV46" s="148"/>
      <c r="KW46" s="265"/>
      <c r="KX46" s="286"/>
      <c r="KY46" s="100"/>
      <c r="KZ46" s="100"/>
      <c r="LA46" s="210"/>
      <c r="LB46" s="117"/>
      <c r="LC46" s="117"/>
      <c r="LD46" s="148"/>
      <c r="LE46" s="145"/>
      <c r="LF46" s="632"/>
      <c r="LG46" s="148"/>
      <c r="LH46" s="154"/>
      <c r="LI46" s="154"/>
      <c r="LJ46" s="154"/>
      <c r="LK46" s="117"/>
      <c r="LL46" s="211"/>
      <c r="LM46" s="210"/>
      <c r="LN46" s="148"/>
      <c r="LO46" s="148"/>
      <c r="LP46" s="265"/>
      <c r="LQ46" s="286"/>
      <c r="LR46" s="100"/>
      <c r="LS46" s="100"/>
      <c r="LT46" s="210"/>
      <c r="LU46" s="117"/>
      <c r="LV46" s="117"/>
      <c r="LW46" s="148"/>
      <c r="LX46" s="145"/>
      <c r="LY46" s="632"/>
      <c r="LZ46" s="148"/>
      <c r="MA46" s="154"/>
      <c r="MB46" s="154"/>
      <c r="MC46" s="145"/>
      <c r="MD46" s="117"/>
      <c r="ME46" s="211"/>
      <c r="MF46" s="210"/>
      <c r="MG46" s="148"/>
      <c r="MH46" s="148"/>
      <c r="MI46" s="265"/>
      <c r="MJ46" s="647"/>
      <c r="MK46" s="264"/>
      <c r="ML46" s="153"/>
      <c r="MM46" s="153"/>
      <c r="MN46" s="153"/>
      <c r="MO46" s="153"/>
      <c r="MP46" s="153"/>
      <c r="MQ46" s="153"/>
      <c r="MR46" s="153"/>
      <c r="MS46" s="99"/>
      <c r="MT46" s="99"/>
      <c r="MU46" s="99"/>
      <c r="MV46" s="99"/>
      <c r="MW46" s="99"/>
      <c r="MX46" s="99"/>
      <c r="MY46" s="153"/>
      <c r="MZ46" s="153"/>
      <c r="NA46" s="153"/>
      <c r="NB46" s="153"/>
      <c r="NC46" s="153"/>
      <c r="ND46" s="153"/>
      <c r="NE46" s="148"/>
      <c r="NF46" s="153"/>
      <c r="NG46" s="153"/>
      <c r="NH46" s="330" t="str">
        <f t="shared" si="245"/>
        <v>ks</v>
      </c>
      <c r="NI46" s="797">
        <f>RZ[[#This Row],[Počet ks (K)]]</f>
        <v>0</v>
      </c>
      <c r="NJ46" s="798">
        <f>RZ[[#This Row],[Hmotnost '[kg/ks'] (K)]]</f>
        <v>0</v>
      </c>
      <c r="NK46" s="148"/>
      <c r="NL46" s="145"/>
      <c r="NM46" s="632"/>
      <c r="NN46" s="148"/>
      <c r="NO46" s="154"/>
      <c r="NP46" s="153"/>
      <c r="NQ46" s="153"/>
      <c r="NR46" s="210"/>
      <c r="NS46" s="148"/>
      <c r="NT46" s="210"/>
      <c r="NU46" s="148"/>
      <c r="NV46" s="148"/>
      <c r="NW46" s="175"/>
    </row>
    <row r="47" spans="2:387" ht="15.95" customHeight="1" x14ac:dyDescent="0.35">
      <c r="B47" s="118" t="str">
        <f t="shared" si="129"/>
        <v/>
      </c>
      <c r="C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7" s="262" t="str">
        <f t="shared" si="130"/>
        <v xml:space="preserve">    Elektromotor</v>
      </c>
      <c r="E47" s="120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Row],[Kód položek (P2)]]))))))))))</f>
        <v>ELMO</v>
      </c>
      <c r="F47" s="791" t="str">
        <f t="shared" si="131"/>
        <v>SEW</v>
      </c>
      <c r="G47" s="792" t="str">
        <f t="shared" si="132"/>
        <v/>
      </c>
      <c r="H47" s="262" t="str">
        <f t="shared" si="133"/>
        <v>130 kW</v>
      </c>
      <c r="I47" s="123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HR '[MJHR'] (P0)]]))))))))))</f>
        <v>ks</v>
      </c>
      <c r="J47" s="123">
        <f t="shared" si="134"/>
        <v>1</v>
      </c>
      <c r="K47" s="793">
        <f>RZ[[#This Row],[Koeficient odhadu HR '[-'] (P1)]]</f>
        <v>1</v>
      </c>
      <c r="L47" s="124">
        <f ca="1">RZ[[#This Row],[Jednotková hmotnost s koef. '[kg/MJHR'] (P0)]]</f>
        <v>2700</v>
      </c>
      <c r="M47" s="794">
        <f t="shared" ca="1" si="135"/>
        <v>0</v>
      </c>
      <c r="N47" s="125">
        <f t="shared" ca="1" si="136"/>
        <v>2700</v>
      </c>
      <c r="O47" s="125">
        <f t="shared" ca="1" si="137"/>
        <v>0</v>
      </c>
      <c r="P47" s="126" t="str">
        <f t="shared" si="138"/>
        <v/>
      </c>
      <c r="Q47" s="795">
        <f ca="1">RZ[[#This Row],[Počet MJHR v rozpadu (P0)]]</f>
        <v>1</v>
      </c>
      <c r="R47" s="439" t="str">
        <f t="shared" si="139"/>
        <v>Zajíc</v>
      </c>
      <c r="S47" s="129">
        <f t="shared" si="140"/>
        <v>42950.604398148149</v>
      </c>
      <c r="T47" s="126" t="str">
        <f t="shared" si="141"/>
        <v/>
      </c>
      <c r="U47" s="126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CR (MJCR) (P0)]]))))))))))</f>
        <v>ks</v>
      </c>
      <c r="V47" s="575">
        <f t="shared" ca="1" si="142"/>
        <v>1</v>
      </c>
      <c r="W47" s="322">
        <f>RZ[[#This Row],[Koeficient odhadu CR '[-'] (P1)]]</f>
        <v>1</v>
      </c>
      <c r="X47" s="440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Row],[Jednotková cena bez DPH '[cena/MJCR'] (P1)]]*RZ[[#This Row],[Koeficient odhadu CR '[-']]]))))))))))</f>
        <v>7403</v>
      </c>
      <c r="Y47" s="440">
        <f t="shared" ca="1" si="143"/>
        <v>0</v>
      </c>
      <c r="Z47" s="142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VLOOKUP(IP47,$BR$7:$BS$11,2,FALSE)))))))))))</f>
        <v>EUR</v>
      </c>
      <c r="AA47" s="909">
        <f t="shared" ca="1" si="144"/>
        <v>1</v>
      </c>
      <c r="AB47" s="910">
        <f ca="1">RZ[[#This Row],[Kumulovaný koeficient v rozpadu (P0)]]</f>
        <v>1</v>
      </c>
      <c r="AC47" s="261"/>
      <c r="AD47" s="796">
        <f ca="1">RZ[[#This Row],[Jednotková cena bez DPH '[cena/MJCR'] s koef. (P0)]]/RZ[[#This Row],[Koeficient odhadu CR '[-']]]*RZ[[#This Row],[Kumulovaný koeficient odhadu CR  '[-']]]</f>
        <v>199881</v>
      </c>
      <c r="AE47" s="796">
        <f t="shared" ca="1" si="145"/>
        <v>199881</v>
      </c>
      <c r="AF47" s="796">
        <f ca="1">-IF(ISNUMBER(AA47),RZ[[#This Row],[Celková cena bez DPH (1)]]-RZ[[#This Row],[Jednotková cena bez DPH '[cena/MJCR'] bez koef. (P0)]]*AA47,0)</f>
        <v>0</v>
      </c>
      <c r="AG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74.03</v>
      </c>
      <c r="AH47" s="261"/>
      <c r="AI47" s="796">
        <f t="shared" ca="1" si="146"/>
        <v>7403</v>
      </c>
      <c r="AJ47" s="796">
        <f t="shared" ca="1" si="147"/>
        <v>7403</v>
      </c>
      <c r="AK47" s="796">
        <f t="shared" ca="1" si="148"/>
        <v>0</v>
      </c>
      <c r="AL47" s="753">
        <f ca="1">RZ[[#This Row],[Kilogramová cena bez DPH '[cena/kg'] (1)]]/$AK$13</f>
        <v>2.7418518518518518</v>
      </c>
      <c r="AM47" s="261"/>
      <c r="AN47" s="796">
        <f t="shared" ca="1" si="149"/>
        <v>9656.0869565217399</v>
      </c>
      <c r="AO47" s="796">
        <f t="shared" ca="1" si="150"/>
        <v>9656.0869565217399</v>
      </c>
      <c r="AP47" s="796">
        <f t="shared" ca="1" si="151"/>
        <v>0</v>
      </c>
      <c r="AQ47" s="753">
        <f ca="1">RZ[[#This Row],[Kilogramová cena bez DPH '[cena/kg'] (1)]]/$AP$13</f>
        <v>3.5763285024154592</v>
      </c>
      <c r="AR47" s="261"/>
      <c r="AS47" s="796">
        <f t="shared" ca="1" si="152"/>
        <v>5467.2045951859955</v>
      </c>
      <c r="AT47" s="796">
        <f t="shared" ca="1" si="153"/>
        <v>5467.2045951859955</v>
      </c>
      <c r="AU47" s="789">
        <f t="shared" ca="1" si="154"/>
        <v>0</v>
      </c>
      <c r="AV47" s="767">
        <f ca="1">RZ[[#This Row],[Kilogramová cena bez DPH '[cena/kg'] (1)]]/$AU$13</f>
        <v>2.024890590809628</v>
      </c>
      <c r="AW47" s="165"/>
      <c r="AX47" s="911">
        <f t="shared" ca="1" si="155"/>
        <v>2</v>
      </c>
      <c r="AY47" s="111">
        <f t="shared" ca="1" si="156"/>
        <v>1</v>
      </c>
      <c r="AZ47" s="111">
        <f t="shared" ca="1" si="157"/>
        <v>24</v>
      </c>
      <c r="BA47" s="111">
        <f t="shared" ca="1" si="158"/>
        <v>0</v>
      </c>
      <c r="BB47" s="111">
        <f t="shared" ca="1" si="159"/>
        <v>0</v>
      </c>
      <c r="BC47" s="111">
        <f t="shared" ca="1" si="160"/>
        <v>0</v>
      </c>
      <c r="BD47" s="111">
        <f t="shared" ca="1" si="161"/>
        <v>0</v>
      </c>
      <c r="BE47" s="111">
        <f t="shared" ca="1" si="162"/>
        <v>0</v>
      </c>
      <c r="BF47" s="111">
        <f t="shared" ca="1" si="163"/>
        <v>0</v>
      </c>
      <c r="BG47" s="112">
        <f t="shared" ca="1" si="164"/>
        <v>0</v>
      </c>
      <c r="BH47" s="911">
        <f t="shared" si="165"/>
        <v>0</v>
      </c>
      <c r="BI47" s="111">
        <f t="shared" si="166"/>
        <v>0</v>
      </c>
      <c r="BJ47" s="111">
        <f t="shared" si="167"/>
        <v>1</v>
      </c>
      <c r="BK47" s="111">
        <f t="shared" si="168"/>
        <v>0</v>
      </c>
      <c r="BL47" s="111">
        <f t="shared" si="169"/>
        <v>0</v>
      </c>
      <c r="BM47" s="111">
        <f t="shared" si="170"/>
        <v>0</v>
      </c>
      <c r="BN47" s="111">
        <f t="shared" si="171"/>
        <v>0</v>
      </c>
      <c r="BO47" s="111">
        <f t="shared" si="172"/>
        <v>0</v>
      </c>
      <c r="BP47" s="111">
        <f t="shared" si="173"/>
        <v>0</v>
      </c>
      <c r="BQ47" s="112">
        <f t="shared" si="174"/>
        <v>0</v>
      </c>
      <c r="BR47" s="132">
        <f ca="1">IF(OFFSET(AY47,1,0,1,1)&lt;&gt;0,RZ[[#This Row],[Koeficient odhadu HR '[-'] (P1)]]*$BH47*SUMIFS(RZ[Úroveň 2 s koef. (P2)],RZ[0],AX47),RZ[[#This Row],[Koeficient odhadu HR '[-'] (P1)]]*$BH47*$IG47)</f>
        <v>0</v>
      </c>
      <c r="BS47" s="186">
        <f ca="1">IF(OFFSET(AY47,1,0,1,1)&lt;&gt;0,$BH47*SUMIFS(RZ[Úroveň 2 bez koef. (P2)],RZ[0],AX47),$BH47*$IG47)</f>
        <v>0</v>
      </c>
      <c r="BT47" s="138">
        <f ca="1">RZ[[#This Row],[Úroveň 2 s koef. (P2a)]]*RZ[[#This Row],[Počet MJHR (P0)]]</f>
        <v>0</v>
      </c>
      <c r="BU47" s="138">
        <f ca="1">RZ[[#This Row],[Úroveň 2 bez koef. (P2a)]]*RZ[[#This Row],[Počet MJHR (P0)]]</f>
        <v>0</v>
      </c>
      <c r="BV47" s="138">
        <f ca="1">IF(OFFSET(AZ47,1,0,1,1)&lt;&gt;0,RZ[[#This Row],[Koeficient odhadu HR '[-'] (P1)]]*$BI47*SUMIFS(RZ[Úroveň 3 s koef. (P2)],RZ[0],AX47,RZ[Úroveň 2 (P0)],AY47),RZ[[#This Row],[Koeficient odhadu HR '[-'] (P1)]]*$BI47*$IG47)</f>
        <v>0</v>
      </c>
      <c r="BW47" s="138">
        <f ca="1">IF(OFFSET(AZ47,1,0,1,1)&lt;&gt;0,$BI47*SUMIFS(RZ[Úroveň 3 bez koef. (P2)],RZ[0],AX47,RZ[Úroveň 2 (P0)],AY47),$BI47*$IG47)</f>
        <v>0</v>
      </c>
      <c r="BX47" s="132">
        <f ca="1">RZ[[#This Row],[Úroveň 3 s koef. (P2a)]]*RZ[[#This Row],[Počet MJHR (P0)]]</f>
        <v>2700</v>
      </c>
      <c r="BY47" s="132">
        <f ca="1">RZ[Úroveň 3 bez koef. (P2a)]*RZ[[#This Row],[Počet MJHR (P0)]]</f>
        <v>2700</v>
      </c>
      <c r="BZ47" s="132">
        <f ca="1">IF(OFFSET(BA47,1,0,1,1)&lt;&gt;0,RZ[[#This Row],[Koeficient odhadu HR '[-'] (P1)]]*$BJ47*SUMIFS(RZ[Úroveň 4 s koef. (P2)],RZ[0],AX47,RZ[Úroveň 2 (P0)],AY47,RZ[Úroveň 3 (P0)],AZ47),RZ[[#This Row],[Koeficient odhadu HR '[-'] (P1)]]*$BJ47*$IG47)</f>
        <v>2700</v>
      </c>
      <c r="CA47" s="132">
        <f ca="1">IF(OFFSET(BA47,1,0,1,1)&lt;&gt;0,$BJ47*SUMIFS(RZ[Úroveň 4 bez koef. (P2)],RZ[0],AX47,RZ[Úroveň 2 (P0)],AY47,RZ[Úroveň 3 (P0)],AZ47),$BJ47*$IG47)</f>
        <v>2700</v>
      </c>
      <c r="CB47" s="138">
        <f ca="1">RZ[[#This Row],[Úroveň 4 s koef. (P2a)]]*RZ[[#This Row],[Počet MJHR (P0)]]</f>
        <v>0</v>
      </c>
      <c r="CC47" s="138">
        <f ca="1">RZ[Úroveň 4 bez koef. (P2a)]*RZ[[#This Row],[Počet MJHR (P0)]]</f>
        <v>0</v>
      </c>
      <c r="CD47" s="138">
        <f ca="1">IF(OFFSET(BB47,1,0,1,1)&lt;&gt;0,RZ[[#This Row],[Koeficient odhadu HR '[-'] (P1)]]*$BK47*SUMIFS(RZ[Úroveň 5 s koef. (P2)],RZ[0],AX47,RZ[Úroveň 2 (P0)],AY47,RZ[Úroveň 3 (P0)],AZ47,RZ[Úroveň 4 (P0)],BA47),RZ[[#This Row],[Koeficient odhadu HR '[-'] (P1)]]*$BK47*$IG47)</f>
        <v>0</v>
      </c>
      <c r="CE47" s="138">
        <f ca="1">IF(OFFSET(BB47,1,0,1,1)&lt;&gt;0,$BK47*SUMIFS(RZ[Úroveň 5 bez koef. (P2)],RZ[0],AX47,RZ[Úroveň 2 (P0)],AY47,RZ[Úroveň 3 (P0)],AZ47,RZ[Úroveň 4 (P0)],BA47),$BK47*$IG47)</f>
        <v>0</v>
      </c>
      <c r="CF47" s="132">
        <f ca="1">RZ[[#This Row],[Úroveň 5 s koef. (P2a)]]*RZ[[#This Row],[Počet MJHR (P0)]]</f>
        <v>0</v>
      </c>
      <c r="CG47" s="132">
        <f ca="1">RZ[Úroveň 5 bez koef. (P2a)]*RZ[[#This Row],[Počet MJHR (P0)]]</f>
        <v>0</v>
      </c>
      <c r="CH47" s="132">
        <f ca="1">IF(OFFSET(BC47,1,0,1,1)&lt;&gt;0,RZ[[#This Row],[Koeficient odhadu HR '[-'] (P1)]]*$BL47*SUMIFS(RZ[Úroveň 6 s koef. (P2)],RZ[0],AX47,RZ[Úroveň 2 (P0)],AY47,RZ[Úroveň 3 (P0)],AZ47,RZ[Úroveň 4 (P0)],BA47,RZ[Úroveň 5 (P0)],BB47),RZ[[#This Row],[Koeficient odhadu HR '[-'] (P1)]]*$BL47*$IG47)</f>
        <v>0</v>
      </c>
      <c r="CI47" s="132">
        <f ca="1">IF(OFFSET(BC47,1,0,1,1)&lt;&gt;0,$BL47*SUMIFS(RZ[Úroveň 6 bez koef. (P2)],RZ[0],AX47,RZ[Úroveň 2 (P0)],AY47,RZ[Úroveň 3 (P0)],AZ47,RZ[Úroveň 4 (P0)],BA47,RZ[Úroveň 5 (P0)],BB47),$BL47*$IG47)</f>
        <v>0</v>
      </c>
      <c r="CJ47" s="138">
        <f ca="1">RZ[[#This Row],[Úroveň 6 s koef. (P2a)]]*RZ[[#This Row],[Počet MJHR (P0)]]</f>
        <v>0</v>
      </c>
      <c r="CK47" s="138">
        <f ca="1">RZ[Úroveň 6 bez koef. (P2a)]*RZ[[#This Row],[Počet MJHR (P0)]]</f>
        <v>0</v>
      </c>
      <c r="CL47" s="138">
        <f ca="1">IF(OFFSET(BD47,1,0,1,1)&lt;&gt;0,RZ[[#This Row],[Koeficient odhadu HR '[-'] (P1)]]*$BM47*SUMIFS(RZ[Úroveň 7 s koef. (P2)],RZ[0],AX47,RZ[Úroveň 2 (P0)],AY47,RZ[Úroveň 3 (P0)],AZ47,RZ[Úroveň 4 (P0)],BA47,RZ[Úroveň 5 (P0)],BB47,RZ[Úroveň 6 (P0)],BC47),RZ[[#This Row],[Koeficient odhadu HR '[-'] (P1)]]*$BM47*$IG47)</f>
        <v>0</v>
      </c>
      <c r="CM47" s="138">
        <f ca="1">IF(OFFSET(BD47,1,0,1,1)&lt;&gt;0,$BM47*SUMIFS(RZ[Úroveň 7 bez koef. (P2)],RZ[0],AX47,RZ[Úroveň 2 (P0)],AY47,RZ[Úroveň 3 (P0)],AZ47,RZ[Úroveň 4 (P0)],BA47,RZ[Úroveň 5 (P0)],BB47,RZ[Úroveň 6 (P0)],BC47),$BM47*$IG47)</f>
        <v>0</v>
      </c>
      <c r="CN47" s="132">
        <f ca="1">RZ[[#This Row],[Úroveň 7 s koef. (P2a)]]*RZ[[#This Row],[Počet MJHR (P0)]]</f>
        <v>0</v>
      </c>
      <c r="CO47" s="132">
        <f ca="1">RZ[Úroveň 7 bez koef. (P2a)]*RZ[[#This Row],[Počet MJHR (P0)]]</f>
        <v>0</v>
      </c>
      <c r="CP47" s="132">
        <f ca="1">IF(OFFSET(BE47,1,0,1,1)&lt;&gt;0,RZ[[#This Row],[Koeficient odhadu HR '[-'] (P1)]]*$BN47*SUMIFS(RZ[Úroveň 8 s koef. (P2)],RZ[0],AX47,RZ[Úroveň 2 (P0)],AY47,RZ[Úroveň 3 (P0)],AZ47,RZ[Úroveň 4 (P0)],BA47,RZ[Úroveň 5 (P0)],BB47,RZ[Úroveň 6 (P0)],BC47,RZ[Úroveň 7 (P0)],BD47),RZ[[#This Row],[Koeficient odhadu HR '[-'] (P1)]]*$BN47*$IG47)</f>
        <v>0</v>
      </c>
      <c r="CQ47" s="132">
        <f ca="1">IF(OFFSET(BE47,1,0,1,1)&lt;&gt;0,$BN47*SUMIFS(RZ[Úroveň 8 bez koef. (P2)],RZ[0],AX47,RZ[Úroveň 2 (P0)],AY47,RZ[Úroveň 3 (P0)],AZ47,RZ[Úroveň 4 (P0)],BA47,RZ[Úroveň 5 (P0)],BB47,RZ[Úroveň 6 (P0)],BC47,RZ[Úroveň 7 (P0)],BD47),$BN47*$IG47)</f>
        <v>0</v>
      </c>
      <c r="CR47" s="138">
        <f ca="1">RZ[[#This Row],[Úroveň 8 s koef. (P2a)]]*RZ[[#This Row],[Počet MJHR (P0)]]</f>
        <v>0</v>
      </c>
      <c r="CS47" s="138">
        <f ca="1">RZ[Úroveň 8 bez koef. (P2a)]*RZ[[#This Row],[Počet MJHR (P0)]]</f>
        <v>0</v>
      </c>
      <c r="CT47" s="138">
        <f ca="1">IF(OFFSET(BF47,1,0,1,1)&lt;&gt;0,RZ[[#This Row],[Koeficient odhadu HR '[-'] (P1)]]*$BO47*SUMIFS(RZ[Úroveň 9 s koef. (P2)],RZ[0],AX47,RZ[Úroveň 2 (P0)],AY47,RZ[Úroveň 3 (P0)],AZ47,RZ[Úroveň 4 (P0)],BA47,RZ[Úroveň 5 (P0)],BB47,RZ[Úroveň 6 (P0)],BC47,RZ[Úroveň 7 (P0)],BD47,RZ[Úroveň 8 (P0)],BE47),RZ[[#This Row],[Koeficient odhadu HR '[-'] (P1)]]*$BO47*$IG47)</f>
        <v>0</v>
      </c>
      <c r="CU47" s="138">
        <f ca="1">IF(OFFSET(BF47,1,0,1,1)&lt;&gt;0,$BO47*SUMIFS(RZ[Úroveň 9 bez koef. (P2)],RZ[0],AX47,RZ[Úroveň 2 (P0)],AY47,RZ[Úroveň 3 (P0)],AZ47,RZ[Úroveň 4 (P0)],BA47,RZ[Úroveň 5 (P0)],BB47,RZ[Úroveň 6 (P0)],BC47,RZ[Úroveň 7 (P0)],BD47,RZ[Úroveň 8 (P0)],BE47),$BO47*$IG47)</f>
        <v>0</v>
      </c>
      <c r="CV47" s="132">
        <f ca="1">RZ[[#This Row],[Úroveň 9 s koef. (P2a)]]*RZ[[#This Row],[Počet MJHR (P0)]]</f>
        <v>0</v>
      </c>
      <c r="CW47" s="132">
        <f ca="1">RZ[Úroveň 9 bez koef. (P2a)]*RZ[[#This Row],[Počet MJHR (P0)]]</f>
        <v>0</v>
      </c>
      <c r="CX47" s="132">
        <f ca="1">IF(OFFSET(BG47,1,0,1,1)&lt;&gt;0,RZ[[#This Row],[Koeficient odhadu HR '[-'] (P1)]]*$BP47*SUMIFS(RZ[Úroveň 10 s koef. (P2)],RZ[0],AX47,RZ[Úroveň 2 (P0)],AY47,RZ[Úroveň 3 (P0)],AZ47,RZ[Úroveň 4 (P0)],BA47,RZ[Úroveň 5 (P0)],BB47,RZ[Úroveň 6 (P0)],BC47,RZ[Úroveň 7 (P0)],BD47,RZ[Úroveň 8 (P0)],BE47,RZ[Úroveň 9 (P0)],BF47),RZ[[#This Row],[Koeficient odhadu HR '[-'] (P1)]]*$BP47*$IG47)</f>
        <v>0</v>
      </c>
      <c r="CY47" s="132">
        <f ca="1">IF(OFFSET(BG47,1,0,1,1)&lt;&gt;0,$BP47*SUMIFS(RZ[Úroveň 10 bez koef. (P2)],RZ[0],AX47,RZ[Úroveň 2 (P0)],AY47,RZ[Úroveň 3 (P0)],AZ47,RZ[Úroveň 4 (P0)],BA47,RZ[Úroveň 5 (P0)],BB47,RZ[Úroveň 6 (P0)],BC47,RZ[Úroveň 7 (P0)],BD47,RZ[Úroveň 8 (P0)],BE47,RZ[Úroveň 9 (P0)],BF47),$BP47*$IG47)</f>
        <v>0</v>
      </c>
      <c r="CZ47" s="138">
        <f>RZ[[#This Row],[Úroveň 10 s koef. (P2a)]]*RZ[[#This Row],[Počet MJHR (P0)]]</f>
        <v>0</v>
      </c>
      <c r="DA47" s="138">
        <f>RZ[Úroveň 10 bez koef. (P2a)]*RZ[[#This Row],[Počet MJHR (P0)]]</f>
        <v>0</v>
      </c>
      <c r="DB47" s="138">
        <f>RZ[[#This Row],[Koeficient odhadu HR '[-'] (P1)]]*$BQ47*IG47</f>
        <v>0</v>
      </c>
      <c r="DC47" s="231">
        <f t="shared" si="175"/>
        <v>0</v>
      </c>
      <c r="DD47" s="241">
        <f t="shared" ca="1" si="176"/>
        <v>2700</v>
      </c>
      <c r="DE47" s="229">
        <f t="shared" ca="1" si="177"/>
        <v>2700</v>
      </c>
      <c r="DF47" s="912">
        <f t="shared" si="178"/>
        <v>0</v>
      </c>
      <c r="DG47" s="913">
        <f t="shared" si="179"/>
        <v>0</v>
      </c>
      <c r="DH47" s="913">
        <f t="shared" si="180"/>
        <v>1</v>
      </c>
      <c r="DI47" s="913">
        <f t="shared" si="181"/>
        <v>0</v>
      </c>
      <c r="DJ47" s="913">
        <f t="shared" si="182"/>
        <v>0</v>
      </c>
      <c r="DK47" s="913">
        <f t="shared" si="183"/>
        <v>0</v>
      </c>
      <c r="DL47" s="913">
        <f t="shared" si="184"/>
        <v>0</v>
      </c>
      <c r="DM47" s="913">
        <f t="shared" si="185"/>
        <v>0</v>
      </c>
      <c r="DN47" s="913">
        <f t="shared" si="186"/>
        <v>0</v>
      </c>
      <c r="DO47" s="913">
        <f t="shared" si="187"/>
        <v>0</v>
      </c>
      <c r="DP47" s="914">
        <f ca="1">SUMIFS(RZ[Úroveň 1 (P4)],RZ[0],AX47)</f>
        <v>1</v>
      </c>
      <c r="DQ47" s="914">
        <f ca="1">SUMIFS(RZ[Úroveň 2 (P4)],RZ[0],AX47,RZ[Úroveň 2 (P0)],AY47)</f>
        <v>1</v>
      </c>
      <c r="DR47" s="914">
        <f ca="1">SUMIFS(RZ[Úroveň 3 (P4)],RZ[0],AX47,RZ[Úroveň 2 (P0)],AY47,RZ[Úroveň 3 (P0)],AZ47)</f>
        <v>1</v>
      </c>
      <c r="DS47" s="914">
        <f ca="1">SUMIFS(RZ[Úroveň 4 (P4)],RZ[0],AX47,RZ[Úroveň 2 (P0)],AY47,RZ[Úroveň 3 (P0)],AZ47,RZ[Úroveň 4 (P0)],BA47)</f>
        <v>0</v>
      </c>
      <c r="DT47" s="914">
        <f ca="1">SUMIFS(RZ[Úroveň 5 (P4)],RZ[0],AX47,RZ[Úroveň 2 (P0)],AY47,RZ[Úroveň 3 (P0)],AZ47,RZ[Úroveň 4 (P0)],BA47,RZ[Úroveň 5 (P0)],BB47)</f>
        <v>0</v>
      </c>
      <c r="DU47" s="914">
        <f ca="1">SUMIFS(RZ[Úroveň 6 (P4)],RZ[0],AX47,RZ[Úroveň 2 (P0)],AY47,RZ[Úroveň 3 (P0)],AZ47,RZ[Úroveň 4 (P0)],BA47,RZ[Úroveň 5 (P0)],BB47,RZ[Úroveň 6 (P0)],BC47)</f>
        <v>0</v>
      </c>
      <c r="DV47" s="914">
        <f ca="1">SUMIFS(RZ[Úroveň 7 (P4)],RZ[0],AX47,RZ[Úroveň 2 (P0)],AY47,RZ[Úroveň 3 (P0)],AZ47,RZ[Úroveň 4 (P0)],BA47,RZ[Úroveň 5 (P0)],BB47,RZ[Úroveň 6 (P0)],BC47,RZ[Úroveň 7 (P0)],BD47)</f>
        <v>0</v>
      </c>
      <c r="DW47" s="914">
        <f ca="1">SUMIFS(RZ[Úroveň 8 (P4)],RZ[0],AX47,RZ[Úroveň 2 (P0)],AY47,RZ[Úroveň 3 (P0)],AZ47,RZ[Úroveň 4 (P0)],BA47,RZ[Úroveň 5 (P0)],BB47,RZ[Úroveň 6 (P0)],BC47,RZ[Úroveň 7 (P0)],BD47,RZ[Úroveň 8 (P0)],BE47)</f>
        <v>0</v>
      </c>
      <c r="DX47" s="914">
        <f ca="1">SUMIFS(RZ[Úroveň 9 (P4)],RZ[0],AX47,RZ[Úroveň 2 (P0)],AY47,RZ[Úroveň 3 (P0)],AZ47,RZ[Úroveň 4 (P0)],BA47,RZ[Úroveň 5 (P0)],BB47,RZ[Úroveň 6 (P0)],BC47,RZ[Úroveň 7 (P0)],BD47,RZ[Úroveň 8 (P0)],BE47,RZ[Úroveň 9 (P0)],BF47)</f>
        <v>0</v>
      </c>
      <c r="DY47" s="914">
        <f ca="1">SUMIFS(RZ[Úroveň 10 (P4)],RZ[0],AX47,RZ[Úroveň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DZ47" s="915">
        <f t="shared" ca="1" si="188"/>
        <v>1</v>
      </c>
      <c r="EA47" s="916">
        <f ca="1">RZ[[#This Row],[Jednotková hmotnost bez koef. '[kg/MJHR'] (P0)]]*RZ[[#This Row],[Počet MJHR v rozpadu (P0)]]</f>
        <v>2700</v>
      </c>
      <c r="EB47" s="917">
        <f ca="1">IF(OFFSET(AY47,1,0,1,1)&lt;&gt;0,RZ[[#This Row],[Koeficient odhadu CR '[-'] (P1)]]*$BH47*SUMIFS(RZ[Úroveň 2 s koef. (P3)],RZ[0],AX47),RZ[[#This Row],[Koeficient odhadu CR '[-'] (P1)]]*$BH47*$IQ47)</f>
        <v>0</v>
      </c>
      <c r="EC47" s="191">
        <f ca="1">IF(OFFSET(AY47,1,0,1,1)&lt;&gt;0,$BH47*SUMIFS(RZ[Úroveň 2 bez koef. (P3)],RZ[0],AX47),$BH47*$IQ47)</f>
        <v>0</v>
      </c>
      <c r="ED47" s="140">
        <f ca="1">RZ[[#This Row],[Úroveň 2 s koef. (P3a)]]*RZ[[#This Row],[Počet MJCR (P0) pro "kg"]]</f>
        <v>0</v>
      </c>
      <c r="EE47" s="140">
        <f ca="1">RZ[Úroveň 2 bez koef. (P3a)]*RZ[[#This Row],[Počet MJCR (P0) pro "kg"]]</f>
        <v>0</v>
      </c>
      <c r="EF47" s="140">
        <f ca="1">IF(OFFSET(AZ47,1,0,1,1)&lt;&gt;0,RZ[[#This Row],[Koeficient odhadu CR '[-'] (P1)]]*$BI47*SUMIFS(RZ[Úroveň 3 s koef. (P3)],RZ[0],AX47,RZ[Úroveň 2 (P0)],AY47),RZ[[#This Row],[Koeficient odhadu CR '[-'] (P1)]]*$BI47*$IQ47)</f>
        <v>0</v>
      </c>
      <c r="EG47" s="140">
        <f ca="1">IF(OFFSET(AZ47,1,0,1,1)&lt;&gt;0,$BI47*SUMIFS(RZ[Úroveň 3 bez koef. (P3)],RZ[0],AX47,RZ[Úroveň 2 (P0)],AY47),$BI47*$IQ47)</f>
        <v>0</v>
      </c>
      <c r="EH47" s="135">
        <f ca="1">RZ[[#This Row],[Úroveň 3 s koef. (P3a)]]*RZ[[#This Row],[Počet MJCR (P0) pro "kg"]]</f>
        <v>199881</v>
      </c>
      <c r="EI47" s="135">
        <f ca="1">RZ[Úroveň 3 bez koef. (P3a)]*RZ[[#This Row],[Počet MJCR (P0) pro "kg"]]</f>
        <v>199881</v>
      </c>
      <c r="EJ47" s="135">
        <f ca="1">IF(OFFSET(BA47,1,0,1,1)&lt;&gt;0,RZ[[#This Row],[Koeficient odhadu CR '[-'] (P1)]]*$BJ47*SUMIFS(RZ[Úroveň 4 s koef. (P3)],RZ[0],AX47,RZ[Úroveň 2 (P0)],AY47,RZ[Úroveň 3 (P0)],AZ47),RZ[[#This Row],[Koeficient odhadu CR '[-'] (P1)]]*$BJ47*$IQ47)</f>
        <v>199881</v>
      </c>
      <c r="EK47" s="135">
        <f ca="1">IF(OFFSET(BA47,1,0,1,1)&lt;&gt;0,$BJ47*SUMIFS(RZ[Úroveň 4 bez koef. (P3)],RZ[0],AX47,RZ[Úroveň 2 (P0)],AY47,RZ[Úroveň 3 (P0)],AZ47),$BJ47*$IQ47)</f>
        <v>199881</v>
      </c>
      <c r="EL47" s="140">
        <f ca="1">RZ[[#This Row],[Úroveň 4 s koef. (P3a)]]*RZ[[#This Row],[Počet MJCR (P0) pro "kg"]]</f>
        <v>0</v>
      </c>
      <c r="EM47" s="140">
        <f ca="1">RZ[Úroveň 4 bez koef. (P3a)]*RZ[[#This Row],[Počet MJCR (P0) pro "kg"]]</f>
        <v>0</v>
      </c>
      <c r="EN47" s="140">
        <f ca="1">IF(OFFSET(BB47,1,0,1,1)&lt;&gt;0,RZ[[#This Row],[Koeficient odhadu CR '[-'] (P1)]]*$BK47*SUMIFS(RZ[Úroveň 5 s koef. (P3)],RZ[0],AX47,RZ[Úroveň 2 (P0)],AY47,RZ[Úroveň 3 (P0)],AZ47,RZ[Úroveň 4 (P0)],BA47),RZ[[#This Row],[Koeficient odhadu CR '[-'] (P1)]]*$BK47*$IQ47)</f>
        <v>0</v>
      </c>
      <c r="EO47" s="140">
        <f ca="1">IF(OFFSET(BB47,1,0,1,1)&lt;&gt;0,$BK47*SUMIFS(RZ[Úroveň 5 bez koef. (P3)],RZ[0],AX47,RZ[Úroveň 2 (P0)],AY47,RZ[Úroveň 3 (P0)],AZ47,RZ[Úroveň 4 (P0)],BA47),$BK47*$IQ47)</f>
        <v>0</v>
      </c>
      <c r="EP47" s="135">
        <f ca="1">RZ[[#This Row],[Úroveň 5 s koef. (P3a)]]*RZ[[#This Row],[Počet MJCR (P0) pro "kg"]]</f>
        <v>0</v>
      </c>
      <c r="EQ47" s="135">
        <f ca="1">RZ[Úroveň 5 bez koef. (P3a)]*RZ[[#This Row],[Počet MJCR (P0) pro "kg"]]</f>
        <v>0</v>
      </c>
      <c r="ER47" s="135">
        <f ca="1">IF(OFFSET(BC47,1,0,1,1)&lt;&gt;0,RZ[[#This Row],[Koeficient odhadu CR '[-'] (P1)]]*$BL47*SUMIFS(RZ[Úroveň 6 s koef. (P3)],RZ[0],AX47,RZ[Úroveň 2 (P0)],AY47,RZ[Úroveň 3 (P0)],AZ47,RZ[Úroveň 4 (P0)],BA47,RZ[Úroveň 5 (P0)],BB47),RZ[[#This Row],[Koeficient odhadu CR '[-'] (P1)]]*$BL47*$IQ47)</f>
        <v>0</v>
      </c>
      <c r="ES47" s="135">
        <f ca="1">IF(OFFSET(BC47,1,0,1,1)&lt;&gt;0,$BL47*SUMIFS(RZ[Úroveň 6 bez koef. (P3)],RZ[0],AX47,RZ[Úroveň 2 (P0)],AY47,RZ[Úroveň 3 (P0)],AZ47,RZ[Úroveň 4 (P0)],BA47,RZ[Úroveň 5 (P0)],BB47),$BL47*$IQ47)</f>
        <v>0</v>
      </c>
      <c r="ET47" s="140">
        <f ca="1">RZ[[#This Row],[Úroveň 6 s koef. (P3a)]]*RZ[[#This Row],[Počet MJCR (P0) pro "kg"]]</f>
        <v>0</v>
      </c>
      <c r="EU47" s="140">
        <f ca="1">RZ[Úroveň 6 bez koef. (P3a)]*RZ[[#This Row],[Počet MJCR (P0) pro "kg"]]</f>
        <v>0</v>
      </c>
      <c r="EV47" s="140">
        <f ca="1">IF(OFFSET(BD47,1,0,1,1)&lt;&gt;0,RZ[[#This Row],[Koeficient odhadu CR '[-'] (P1)]]*$BM47*SUMIFS(RZ[Úroveň 7 s koef. (P3)],RZ[0],AX47,RZ[Úroveň 2 (P0)],AY47,RZ[Úroveň 3 (P0)],AZ47,RZ[Úroveň 4 (P0)],BA47,RZ[Úroveň 5 (P0)],BB47,RZ[Úroveň 6 (P0)],BC47),RZ[[#This Row],[Koeficient odhadu CR '[-'] (P1)]]*$BM47*$IQ47)</f>
        <v>0</v>
      </c>
      <c r="EW47" s="140">
        <f ca="1">IF(OFFSET(BD47,1,0,1,1)&lt;&gt;0,$BM47*SUMIFS(RZ[Úroveň 7 bez koef. (P3)],RZ[0],AX47,RZ[Úroveň 2 (P0)],AY47,RZ[Úroveň 3 (P0)],AZ47,RZ[Úroveň 4 (P0)],BA47,RZ[Úroveň 5 (P0)],BB47,RZ[Úroveň 6 (P0)],BC47),$BM47*$IQ47)</f>
        <v>0</v>
      </c>
      <c r="EX47" s="135">
        <f ca="1">RZ[[#This Row],[Úroveň 7 s koef. (P3a)]]*RZ[[#This Row],[Počet MJCR (P0) pro "kg"]]</f>
        <v>0</v>
      </c>
      <c r="EY47" s="135">
        <f ca="1">RZ[Úroveň 7 bez koef. (P3a)]*RZ[[#This Row],[Počet MJCR (P0) pro "kg"]]</f>
        <v>0</v>
      </c>
      <c r="EZ47" s="135">
        <f ca="1">IF(OFFSET(BE47,1,0,1,1)&lt;&gt;0,RZ[[#This Row],[Koeficient odhadu CR '[-'] (P1)]]*$BN47*SUMIFS(RZ[Úroveň 8 s koef. (P3)],RZ[0],AX47,RZ[Úroveň 2 (P0)],AY47,RZ[Úroveň 3 (P0)],AZ47,RZ[Úroveň 4 (P0)],BA47,RZ[Úroveň 5 (P0)],BB47,RZ[Úroveň 6 (P0)],BC47,RZ[Úroveň 7 (P0)],BD47),RZ[[#This Row],[Koeficient odhadu CR '[-'] (P1)]]*$BN47*$IQ47)</f>
        <v>0</v>
      </c>
      <c r="FA47" s="135">
        <f ca="1">IF(OFFSET(BE47,1,0,1,1)&lt;&gt;0,$BN47*SUMIFS(RZ[Úroveň 8 bez koef. (P3)],RZ[0],AX47,RZ[Úroveň 2 (P0)],AY47,RZ[Úroveň 3 (P0)],AZ47,RZ[Úroveň 4 (P0)],BA47,RZ[Úroveň 5 (P0)],BB47,RZ[Úroveň 6 (P0)],BC47,RZ[Úroveň 7 (P0)],BD47),$BN47*$IQ47)</f>
        <v>0</v>
      </c>
      <c r="FB47" s="140">
        <f ca="1">RZ[[#This Row],[Úroveň 8 s koef. (P3a)]]*RZ[[#This Row],[Počet MJCR (P0) pro "kg"]]</f>
        <v>0</v>
      </c>
      <c r="FC47" s="140">
        <f ca="1">RZ[Úroveň 8 bez koef. (P3a)]*RZ[[#This Row],[Počet MJCR (P0) pro "kg"]]</f>
        <v>0</v>
      </c>
      <c r="FD47" s="140">
        <f ca="1">IF(OFFSET(BF47,1,0,1,1)&lt;&gt;0,RZ[[#This Row],[Koeficient odhadu CR '[-'] (P1)]]*$BO47*SUMIFS(RZ[Úroveň 9 s koef. (P3)],RZ[0],AX47,RZ[Úroveň 2 (P0)],AY47,RZ[Úroveň 3 (P0)],AZ47,RZ[Úroveň 4 (P0)],BA47,RZ[Úroveň 5 (P0)],BB47,RZ[Úroveň 6 (P0)],BC47,RZ[Úroveň 7 (P0)],BD47,RZ[Úroveň 8 (P0)],BE47),RZ[[#This Row],[Koeficient odhadu CR '[-'] (P1)]]*$BO47*$IQ47)</f>
        <v>0</v>
      </c>
      <c r="FE47" s="140">
        <f ca="1">IF(OFFSET(BF47,1,0,1,1)&lt;&gt;0,$BO47*SUMIFS(RZ[Úroveň 9 bez koef. (P3)],RZ[0],AX47,RZ[Úroveň 2 (P0)],AY47,RZ[Úroveň 3 (P0)],AZ47,RZ[Úroveň 4 (P0)],BA47,RZ[Úroveň 5 (P0)],BB47,RZ[Úroveň 6 (P0)],BC47,RZ[Úroveň 7 (P0)],BD47,RZ[Úroveň 8 (P0)],BE47),$BO47*$IQ47)</f>
        <v>0</v>
      </c>
      <c r="FF47" s="135">
        <f ca="1">RZ[[#This Row],[Úroveň 9 s koef. (P3a)]]*RZ[[#This Row],[Počet MJCR (P0) pro "kg"]]</f>
        <v>0</v>
      </c>
      <c r="FG47" s="135">
        <f ca="1">RZ[Úroveň 9 bez koef. (P3a)]*RZ[[#This Row],[Počet MJCR (P0) pro "kg"]]</f>
        <v>0</v>
      </c>
      <c r="FH47" s="135">
        <f ca="1">IF(OFFSET(BG47,1,0,1,1)&lt;&gt;0,RZ[[#This Row],[Koeficient odhadu CR '[-'] (P1)]]*$BP47*SUMIFS(RZ[Úroveň 10 s koef. (P3)],RZ[0],AX47,RZ[Úroveň 2 (P0)],AY47,RZ[Úroveň 3 (P0)],AZ47,RZ[Úroveň 4 (P0)],BA47,RZ[Úroveň 5 (P0)],BB47,RZ[Úroveň 6 (P0)],BC47,RZ[Úroveň 7 (P0)],BD47,RZ[Úroveň 8 (P0)],BE47,RZ[Úroveň 9 (P0)],BF47),RZ[[#This Row],[Koeficient odhadu CR '[-'] (P1)]]*$BP47*$IQ47)</f>
        <v>0</v>
      </c>
      <c r="FI47" s="135">
        <f ca="1">IF(OFFSET(BG47,1,0,1,1)&lt;&gt;0,$BP47*SUMIFS(RZ[Úroveň 10 bez koef. (P3)],RZ[0],AX47,RZ[Úroveň 2 (P0)],AY47,RZ[Úroveň 3 (P0)],AZ47,RZ[Úroveň 4 (P0)],BA47,RZ[Úroveň 5 (P0)],BB47,RZ[Úroveň 6 (P0)],BC47,RZ[Úroveň 7 (P0)],BD47,RZ[Úroveň 8 (P0)],BE47,RZ[Úroveň 9 (P0)],BF47),$BP47*$IQ47)</f>
        <v>0</v>
      </c>
      <c r="FJ47" s="140">
        <f ca="1">RZ[[#This Row],[Úroveň 10 s koef. (P3a)]]*RZ[[#This Row],[Počet MJCR (P0) pro "kg"]]</f>
        <v>0</v>
      </c>
      <c r="FK47" s="140">
        <f ca="1">RZ[Úroveň 10 bez koef. (P3a)]*RZ[[#This Row],[Počet MJCR (P0) pro "kg"]]</f>
        <v>0</v>
      </c>
      <c r="FL47" s="140">
        <f ca="1">RZ[[#This Row],[Koeficient odhadu CR '[-'] (P1)]]*$BQ47*IQ47</f>
        <v>0</v>
      </c>
      <c r="FM47" s="236">
        <f t="shared" ca="1" si="189"/>
        <v>0</v>
      </c>
      <c r="FN47" s="194">
        <f t="shared" ca="1" si="190"/>
        <v>199881</v>
      </c>
      <c r="FO47" s="238">
        <f t="shared" ca="1" si="191"/>
        <v>199881</v>
      </c>
      <c r="FP47" s="135">
        <f t="shared" ca="1" si="192"/>
        <v>0</v>
      </c>
      <c r="FQ47" s="135">
        <f t="shared" ca="1" si="193"/>
        <v>0</v>
      </c>
      <c r="FR47" s="135">
        <f t="shared" ca="1" si="194"/>
        <v>1</v>
      </c>
      <c r="FS47" s="135">
        <f t="shared" ca="1" si="195"/>
        <v>0</v>
      </c>
      <c r="FT47" s="135">
        <f t="shared" ca="1" si="196"/>
        <v>0</v>
      </c>
      <c r="FU47" s="135">
        <f t="shared" ca="1" si="197"/>
        <v>0</v>
      </c>
      <c r="FV47" s="135">
        <f t="shared" ca="1" si="198"/>
        <v>0</v>
      </c>
      <c r="FW47" s="135">
        <f t="shared" ca="1" si="199"/>
        <v>0</v>
      </c>
      <c r="FX47" s="135">
        <f t="shared" ca="1" si="200"/>
        <v>0</v>
      </c>
      <c r="FY47" s="135">
        <f t="shared" ca="1" si="201"/>
        <v>0</v>
      </c>
      <c r="FZ47" s="140">
        <f ca="1">SUMIFS(RZ[Úroveň 1 (P6)],RZ[0],AX47)</f>
        <v>1</v>
      </c>
      <c r="GA47" s="140">
        <f ca="1">SUMIFS(RZ[Úroveň 2 (P6)],RZ[0],AX47,RZ[Úroveň 2 (P0)],AY47)</f>
        <v>1</v>
      </c>
      <c r="GB47" s="140">
        <f ca="1">SUMIFS(RZ[Úroveň 3 (P6)],RZ[0],AX47,RZ[Úroveň 2 (P0)],AY47,RZ[Úroveň 3 (P0)],AZ47)</f>
        <v>1</v>
      </c>
      <c r="GC47" s="140">
        <f ca="1">SUMIFS(RZ[Úroveň 4 (P6)],RZ[0],AX47,RZ[Úroveň 2 (P0)],AY47,RZ[Úroveň 3 (P0)],AZ47,RZ[Úroveň 4 (P0)],BA47)</f>
        <v>0</v>
      </c>
      <c r="GD47" s="140">
        <f ca="1">SUMIFS(RZ[Úroveň 5 (P6)],RZ[0],AX47,RZ[Úroveň 2 (P0)],AY47,RZ[Úroveň 3 (P0)],AZ47,RZ[Úroveň 4 (P0)],BA47,RZ[Úroveň 5 (P0)],BB47)</f>
        <v>0</v>
      </c>
      <c r="GE47" s="140">
        <f ca="1">SUMIFS(RZ[Úroveň 6 (P6)],RZ[0],AX47,RZ[Úroveň 2 (P0)],AY47,RZ[Úroveň 3 (P0)],AZ47,RZ[Úroveň 4 (P0)],BA47,RZ[Úroveň 5 (P0)],BB47,RZ[Úroveň 6 (P0)],BC47)</f>
        <v>0</v>
      </c>
      <c r="GF47" s="140">
        <f ca="1">SUMIFS(RZ[Úroveň 7 (P6)],RZ[0],AX47,RZ[Úroveň 2 (P0)],AY47,RZ[Úroveň 3 (P0)],AZ47,RZ[Úroveň 4 (P0)],BA47,RZ[Úroveň 5 (P0)],BB47,RZ[Úroveň 6 (P0)],BC47,RZ[Úroveň 7 (P0)],BD47)</f>
        <v>0</v>
      </c>
      <c r="GG47" s="140">
        <f ca="1">SUMIFS(RZ[Úroveň 8 (P6)],RZ[0],AX47,RZ[Úroveň 2 (P0)],AY47,RZ[Úroveň 3 (P0)],AZ47,RZ[Úroveň 4 (P0)],BA47,RZ[Úroveň 5 (P0)],BB47,RZ[Úroveň 6 (P0)],BC47,RZ[Úroveň 7 (P0)],BD47,RZ[Úroveň 8 (P0)],BE47)</f>
        <v>0</v>
      </c>
      <c r="GH47" s="140">
        <f ca="1">SUMIFS(RZ[Úroveň 9 (P6)],RZ[0],AX47,RZ[Úroveň 2 (P0)],AY47,RZ[Úroveň 3 (P0)],AZ47,RZ[Úroveň 4 (P0)],BA47,RZ[Úroveň 5 (P0)],BB47,RZ[Úroveň 6 (P0)],BC47,RZ[Úroveň 7 (P0)],BD47,RZ[Úroveň 8 (P0)],BE47,RZ[Úroveň 9 (P0)],BF47)</f>
        <v>0</v>
      </c>
      <c r="GI47" s="140">
        <f ca="1">SUMIFS(RZ[Úroveň 10 (P6)],RZ[0],AX47,RZ[Úroveň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GJ47" s="918">
        <f t="shared" ca="1" si="202"/>
        <v>1</v>
      </c>
      <c r="GK47" s="808">
        <f t="shared" si="203"/>
        <v>0</v>
      </c>
      <c r="GL47" s="808">
        <f t="shared" si="204"/>
        <v>0</v>
      </c>
      <c r="GM47" s="808">
        <f t="shared" si="205"/>
        <v>1</v>
      </c>
      <c r="GN47" s="808">
        <f t="shared" si="206"/>
        <v>0</v>
      </c>
      <c r="GO47" s="808">
        <f t="shared" si="207"/>
        <v>0</v>
      </c>
      <c r="GP47" s="808">
        <f t="shared" si="208"/>
        <v>0</v>
      </c>
      <c r="GQ47" s="808">
        <f t="shared" si="209"/>
        <v>0</v>
      </c>
      <c r="GR47" s="808">
        <f t="shared" si="210"/>
        <v>0</v>
      </c>
      <c r="GS47" s="808">
        <f t="shared" si="211"/>
        <v>0</v>
      </c>
      <c r="GT47" s="808">
        <f t="shared" si="212"/>
        <v>0</v>
      </c>
      <c r="GU47" s="809">
        <f ca="1">SUMIFS(RZ[Sloupec1],RZ[0],AX47)</f>
        <v>1</v>
      </c>
      <c r="GV47" s="809">
        <f ca="1">SUMIFS(RZ[Sloupec2],RZ[0],AX47,RZ[Úroveň 2 (P0)],AY47)</f>
        <v>1</v>
      </c>
      <c r="GW47" s="809">
        <f ca="1">SUMIFS(RZ[Sloupec3],RZ[0],AX47,RZ[Úroveň 2 (P0)],AY47,RZ[Úroveň 3 (P0)],AZ47)</f>
        <v>1</v>
      </c>
      <c r="GX47" s="809">
        <f ca="1">SUMIFS(RZ[Sloupec4],RZ[0],AX47,RZ[Úroveň 2 (P0)],AY47,RZ[Úroveň 3 (P0)],AZ47,RZ[Úroveň 4 (P0)],BA47)</f>
        <v>0</v>
      </c>
      <c r="GY47" s="809">
        <f ca="1">SUMIFS(RZ[Sloupec5],RZ[0],AX47,RZ[Úroveň 2 (P0)],AY47,RZ[Úroveň 3 (P0)],AZ47,RZ[Úroveň 4 (P0)],BA47,RZ[Úroveň 5 (P0)],BB47)</f>
        <v>0</v>
      </c>
      <c r="GZ47" s="809">
        <f ca="1">SUMIFS(RZ[Sloupec6],RZ[0],AX47,RZ[Úroveň 2 (P0)],AY47,RZ[Úroveň 3 (P0)],AZ47,RZ[Úroveň 4 (P0)],BA47,RZ[Úroveň 5 (P0)],BB47,RZ[Úroveň 6 (P0)],BC47)</f>
        <v>0</v>
      </c>
      <c r="HA47" s="809">
        <f ca="1">SUMIFS(RZ[Sloupec62],RZ[0],AX47,RZ[Úroveň 2 (P0)],AY47,RZ[Úroveň 3 (P0)],AZ47,RZ[Úroveň 4 (P0)],BA47,RZ[Úroveň 5 (P0)],BB47,RZ[Úroveň 6 (P0)],BC47,RZ[Úroveň 7 (P0)],BD47)</f>
        <v>0</v>
      </c>
      <c r="HB47" s="809">
        <f ca="1">SUMIFS(RZ[Sloupec63],RZ[0],AX47,RZ[Úroveň 2 (P0)],AY47,RZ[Úroveň 3 (P0)],AZ47,RZ[Úroveň 4 (P0)],BA47,RZ[Úroveň 5 (P0)],BB47,RZ[Úroveň 6 (P0)],BC47,RZ[Úroveň 7 (P0)],BD47,RZ[Úroveň 8 (P0)],BE47)</f>
        <v>0</v>
      </c>
      <c r="HC47" s="809">
        <f ca="1">SUMIFS(RZ[Sloupec64],RZ[0],AX47,RZ[Úroveň 2 (P0)],AY47,RZ[Úroveň 3 (P0)],AZ47,RZ[Úroveň 4 (P0)],BA47,RZ[Úroveň 5 (P0)],BB47,RZ[Úroveň 6 (P0)],BC47,RZ[Úroveň 7 (P0)],BD47,RZ[Úroveň 8 (P0)],BE47,RZ[Úroveň 9 (P0)],BF47)</f>
        <v>0</v>
      </c>
      <c r="HD47" s="809">
        <f ca="1">SUMIFS(RZ[Sloupec65],RZ[0],AX47,RZ[Úroveň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HE47" s="919">
        <f t="shared" ca="1" si="213"/>
        <v>1</v>
      </c>
      <c r="HF47" s="920" t="str">
        <f t="shared" si="214"/>
        <v/>
      </c>
      <c r="HG47" s="94" t="str">
        <f t="shared" si="215"/>
        <v/>
      </c>
      <c r="HH47" s="95" t="str">
        <f t="shared" si="216"/>
        <v/>
      </c>
      <c r="HI47" s="95" t="str">
        <f t="shared" si="217"/>
        <v>Elektromotor</v>
      </c>
      <c r="HJ47" s="96" t="str">
        <f t="shared" si="218"/>
        <v/>
      </c>
      <c r="HK47" s="96" t="str">
        <f t="shared" si="219"/>
        <v/>
      </c>
      <c r="HL47" s="96" t="str">
        <f t="shared" si="220"/>
        <v/>
      </c>
      <c r="HM47" s="96" t="str">
        <f t="shared" si="221"/>
        <v/>
      </c>
      <c r="HN47" s="96" t="str">
        <f t="shared" si="222"/>
        <v/>
      </c>
      <c r="HO47" s="96" t="str">
        <f t="shared" si="223"/>
        <v/>
      </c>
      <c r="HP47" s="96" t="str">
        <f t="shared" si="224"/>
        <v/>
      </c>
      <c r="HQ47" s="145" t="str">
        <f t="shared" si="225"/>
        <v>ELMO</v>
      </c>
      <c r="HR47" s="921" t="str">
        <f t="shared" si="226"/>
        <v/>
      </c>
      <c r="HS47" s="173" t="str">
        <f t="shared" si="227"/>
        <v>SEW</v>
      </c>
      <c r="HT47" s="100">
        <f t="shared" si="228"/>
        <v>0</v>
      </c>
      <c r="HU47" s="100" t="str">
        <f t="shared" si="229"/>
        <v>130 kW</v>
      </c>
      <c r="HV47" s="908" t="str">
        <f t="shared" si="230"/>
        <v>Zajíc</v>
      </c>
      <c r="HW47" s="922">
        <f t="shared" si="231"/>
        <v>42950.604398148149</v>
      </c>
      <c r="HX47" s="224">
        <f t="shared" si="232"/>
        <v>0</v>
      </c>
      <c r="HY47" s="263" t="str">
        <f t="shared" si="233"/>
        <v>S</v>
      </c>
      <c r="HZ47" s="263" t="str">
        <f t="shared" si="234"/>
        <v>N</v>
      </c>
      <c r="IA47" s="150">
        <f t="shared" si="235"/>
        <v>1</v>
      </c>
      <c r="IB47" s="319">
        <f t="shared" si="236"/>
        <v>7403</v>
      </c>
      <c r="IC47" s="923">
        <f t="shared" si="237"/>
        <v>1</v>
      </c>
      <c r="ID47" s="924" t="str">
        <f t="shared" ca="1" si="238"/>
        <v>OK</v>
      </c>
      <c r="IE47" s="201" t="str">
        <f t="shared" si="239"/>
        <v>ks</v>
      </c>
      <c r="IF47" s="145">
        <f t="shared" si="240"/>
        <v>1</v>
      </c>
      <c r="IG47" s="216">
        <f t="shared" si="241"/>
        <v>2700</v>
      </c>
      <c r="IH47" s="217">
        <f t="shared" si="242"/>
        <v>1</v>
      </c>
      <c r="II47" s="224" t="str">
        <f ca="1">IF(RZ[[#This Row],[Rozhodný sloupec indikativní ceny]]=1,"kg",IF($IW47=$JL$15,IF(JX47=0,JO47,JX47),IF($IW47=$KE$15,IF(KQ47=0,KH47,KQ47),IF($IW47=$KX$15,IF(LJ47=0,LA47,LJ47),IF($IW47=$LQ$15,IF(MC47=0,LT47,MC47),IF($IW47=$MJ$15,IF(NQ47=0,NH47,NQ47),0))))))</f>
        <v>ks</v>
      </c>
      <c r="IJ47" s="224">
        <f ca="1">IF((BH47+OFFSET(BH47,1,1,1,1))=2,RZ[[#This Row],[Počet MJHR (P0)]],IF((BI47+OFFSET(BI47,1,1,1,1))=2,RZ[[#This Row],[Počet MJHR (P0)]],IF((BJ47+OFFSET(BJ47,1,1,1,1))=2,RZ[[#This Row],[Počet MJHR (P0)]],IF((BK47+OFFSET(BK47,1,1,1,1))=2,RZ[[#This Row],[Počet MJHR (P0)]],IF((BL47+OFFSET(BL47,1,1,1,1))=2,RZ[[#This Row],[Počet MJHR (P0)]],IF((BM47+OFFSET(BM47,1,1,1,1))=2,RZ[[#This Row],[Počet MJHR (P0)]],IF((BN47+OFFSET(BN47,1,1,1,1))=2,RZ[[#This Row],[Počet MJHR (P0)]],IF((BO47+OFFSET(BO47,1,1,1,1))=2,RZ[[#This Row],[Počet MJHR (P0)]],IF((BP47+OFFSET(BP47,1,1,1,1))=2,RZ[[#This Row],[Počet MJHR (P0)]],IF((BQ47+OFFSET(BQ47,1,1,1,1))=2,RZ[[#This Row],[Počet MJHR (P0)]],IF(RZ[[#This Row],[Měrná jednotka CR (MJCR) (P0)]]=RZ[[#This Row],[Měrná jednotka HR '[MJHR'] (P0)]],RZ[[#This Row],[Počet MJHR (P0)]],IF($IW47=$JL$15,JY47,IF($IW47=$KE$15,KR47,IF($IW47=$KX$15,LK47,IF($IW47=$LQ$15,MD47,IF($IW47=$MJ$15,NR47,0))))))))))))))))</f>
        <v>1</v>
      </c>
      <c r="IK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7" s="145">
        <f ca="1">IF(AND(RZ[[#This Row],[Jednotková cena bez DPH '[cena/MJCR'] (P0)]]=0,RZ[[#This Row],[Indikativní jednotková cena '[CZK/kg'] (P1)]]&lt;&gt;0),1,0)</f>
        <v>0</v>
      </c>
      <c r="IM47" s="217">
        <f ca="1">VLOOKUP(RZ[[#This Row],[Kód položek]],INDIKAT_CENA,2,FALSE)</f>
        <v>0</v>
      </c>
      <c r="IN47" s="222">
        <f ca="1">IF(RZ[[#This Row],[Rozhodný sloupec indikativní ceny]]=1,RZ[[#This Row],[Indikativní jednotková cena '[CZK/kg'] (P1)]],RZ[[#This Row],[Jednotková cena bez DPH '[cena/MJCR'] (P0)]])</f>
        <v>7403</v>
      </c>
      <c r="IO47" s="222">
        <f t="shared" si="243"/>
        <v>1</v>
      </c>
      <c r="IP47" s="224">
        <f ca="1">IF(RZ[[#This Row],[Rozhodný sloupec indikativní ceny]]=1,1,IF($IW47=$JL$15,KA47,IF($IW47=$KE$15,KT47,IF($IW47=$KX$15,LM47,IF($IW47=$LQ$15,MF47,IF($IW47=$MJ$15,NT47,0))))))</f>
        <v>2</v>
      </c>
      <c r="IQ47" s="225">
        <f ca="1">IF(RZ[[#This Row],[Jednotková cena bez DPH '[cena/MJCR'] (P1)]]="",0,IF(IP47=0,0,(RZ[[#This Row],[Jednotková cena bez DPH '[cena/MJCR'] (P1)]]*VLOOKUP(IP47,$BR$7:$BT$10,3))))</f>
        <v>199881</v>
      </c>
      <c r="IR47" s="737"/>
      <c r="IS47" s="627">
        <f>IF(HY47=0,"",VLOOKUP(RZ[[#This Row],[Stav Projekce (P0)]],Vstupy!$E$11:'Vstupy'!$E$11:$H$17,4,FALSE))</f>
        <v>100</v>
      </c>
      <c r="IT47" s="925" t="str">
        <f>IF(RZ[[#This Row],[Stav Projekce (P0)]]=0,"",RZ[[#This Row],[Stav Projekce (P0)]])</f>
        <v>S</v>
      </c>
      <c r="IU47" s="925" t="str">
        <f>IF(RZ[[#This Row],[Stav Nákup (P0)]]=0,"",RZ[[#This Row],[Stav Nákup (P0)]])</f>
        <v>N</v>
      </c>
      <c r="IV47" s="926" t="str">
        <f t="shared" si="244"/>
        <v>Zajíc</v>
      </c>
      <c r="IW47" s="641">
        <v>1</v>
      </c>
      <c r="IX47" s="630"/>
      <c r="IY47" s="264"/>
      <c r="IZ47" s="648"/>
      <c r="JA47" s="100"/>
      <c r="JB47" s="100" t="s">
        <v>830</v>
      </c>
      <c r="JC47" s="100"/>
      <c r="JD47" s="100"/>
      <c r="JE47" s="100"/>
      <c r="JF47" s="100"/>
      <c r="JG47" s="100"/>
      <c r="JH47" s="100"/>
      <c r="JI47" s="100"/>
      <c r="JJ47" s="145" t="s">
        <v>831</v>
      </c>
      <c r="JK47" s="529"/>
      <c r="JL47" s="286" t="s">
        <v>851</v>
      </c>
      <c r="JM47" s="100"/>
      <c r="JN47" s="100" t="s">
        <v>852</v>
      </c>
      <c r="JO47" s="145" t="s">
        <v>35</v>
      </c>
      <c r="JP47" s="117">
        <v>1</v>
      </c>
      <c r="JQ47" s="117">
        <v>2700</v>
      </c>
      <c r="JR47" s="148">
        <v>1</v>
      </c>
      <c r="JS47" s="145" t="s">
        <v>602</v>
      </c>
      <c r="JT47" s="631"/>
      <c r="JU47" s="148" t="s">
        <v>853</v>
      </c>
      <c r="JV47" s="154">
        <v>42950.604398148149</v>
      </c>
      <c r="JW47" s="145"/>
      <c r="JX47" s="210" t="s">
        <v>35</v>
      </c>
      <c r="JY47" s="117"/>
      <c r="JZ47" s="662">
        <v>7403</v>
      </c>
      <c r="KA47" s="145">
        <v>2</v>
      </c>
      <c r="KB47" s="148">
        <v>1</v>
      </c>
      <c r="KC47" s="148" t="s">
        <v>611</v>
      </c>
      <c r="KD47" s="644"/>
      <c r="KE47" s="286"/>
      <c r="KF47" s="100"/>
      <c r="KG47" s="100"/>
      <c r="KH47" s="210"/>
      <c r="KI47" s="117"/>
      <c r="KJ47" s="117"/>
      <c r="KK47" s="148"/>
      <c r="KL47" s="145"/>
      <c r="KM47" s="632"/>
      <c r="KN47" s="148"/>
      <c r="KO47" s="154"/>
      <c r="KP47" s="154"/>
      <c r="KQ47" s="210"/>
      <c r="KR47" s="117"/>
      <c r="KS47" s="211"/>
      <c r="KT47" s="145"/>
      <c r="KU47" s="148"/>
      <c r="KV47" s="148"/>
      <c r="KW47" s="265"/>
      <c r="KX47" s="286"/>
      <c r="KY47" s="100"/>
      <c r="KZ47" s="100"/>
      <c r="LA47" s="210"/>
      <c r="LB47" s="117"/>
      <c r="LC47" s="117"/>
      <c r="LD47" s="148"/>
      <c r="LE47" s="145"/>
      <c r="LF47" s="632"/>
      <c r="LG47" s="148"/>
      <c r="LH47" s="154"/>
      <c r="LI47" s="154"/>
      <c r="LJ47" s="154"/>
      <c r="LK47" s="117"/>
      <c r="LL47" s="211"/>
      <c r="LM47" s="210"/>
      <c r="LN47" s="148"/>
      <c r="LO47" s="148"/>
      <c r="LP47" s="265"/>
      <c r="LQ47" s="286"/>
      <c r="LR47" s="100"/>
      <c r="LS47" s="100"/>
      <c r="LT47" s="210"/>
      <c r="LU47" s="117"/>
      <c r="LV47" s="117"/>
      <c r="LW47" s="148"/>
      <c r="LX47" s="145"/>
      <c r="LY47" s="632"/>
      <c r="LZ47" s="148"/>
      <c r="MA47" s="154"/>
      <c r="MB47" s="154"/>
      <c r="MC47" s="145"/>
      <c r="MD47" s="117"/>
      <c r="ME47" s="211"/>
      <c r="MF47" s="210"/>
      <c r="MG47" s="148"/>
      <c r="MH47" s="148"/>
      <c r="MI47" s="265"/>
      <c r="MJ47" s="647"/>
      <c r="MK47" s="264"/>
      <c r="ML47" s="153"/>
      <c r="MM47" s="153"/>
      <c r="MN47" s="153"/>
      <c r="MO47" s="153"/>
      <c r="MP47" s="153"/>
      <c r="MQ47" s="153"/>
      <c r="MR47" s="153"/>
      <c r="MS47" s="99"/>
      <c r="MT47" s="99"/>
      <c r="MU47" s="99"/>
      <c r="MV47" s="99"/>
      <c r="MW47" s="99"/>
      <c r="MX47" s="99"/>
      <c r="MY47" s="153"/>
      <c r="MZ47" s="153"/>
      <c r="NA47" s="153"/>
      <c r="NB47" s="153"/>
      <c r="NC47" s="153"/>
      <c r="ND47" s="153"/>
      <c r="NE47" s="148"/>
      <c r="NF47" s="153"/>
      <c r="NG47" s="153"/>
      <c r="NH47" s="330" t="str">
        <f t="shared" si="245"/>
        <v>ks</v>
      </c>
      <c r="NI47" s="797">
        <f>RZ[[#This Row],[Počet ks (K)]]</f>
        <v>0</v>
      </c>
      <c r="NJ47" s="798">
        <f>RZ[[#This Row],[Hmotnost '[kg/ks'] (K)]]</f>
        <v>0</v>
      </c>
      <c r="NK47" s="148"/>
      <c r="NL47" s="145"/>
      <c r="NM47" s="632"/>
      <c r="NN47" s="148"/>
      <c r="NO47" s="154"/>
      <c r="NP47" s="153"/>
      <c r="NQ47" s="153"/>
      <c r="NR47" s="210"/>
      <c r="NS47" s="148"/>
      <c r="NT47" s="210"/>
      <c r="NU47" s="148"/>
      <c r="NV47" s="148"/>
      <c r="NW47" s="175"/>
    </row>
    <row r="48" spans="2:387" ht="15.95" customHeight="1" x14ac:dyDescent="0.35">
      <c r="B48" s="118" t="str">
        <f t="shared" si="129"/>
        <v/>
      </c>
      <c r="C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8" s="262" t="str">
        <f t="shared" si="130"/>
        <v xml:space="preserve">    Převodovka</v>
      </c>
      <c r="E48" s="120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Row],[Kód položek (P2)]]))))))))))</f>
        <v>STPR</v>
      </c>
      <c r="F48" s="791" t="str">
        <f t="shared" si="131"/>
        <v>N/A</v>
      </c>
      <c r="G48" s="792" t="str">
        <f t="shared" si="132"/>
        <v xml:space="preserve">X4K270 n2=9,5 rpm, n1=1480 rpm, Fs=2, i= 151 </v>
      </c>
      <c r="H48" s="262" t="str">
        <f t="shared" si="133"/>
        <v/>
      </c>
      <c r="I48" s="123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HR '[MJHR'] (P0)]]))))))))))</f>
        <v>ks</v>
      </c>
      <c r="J48" s="123">
        <f t="shared" si="134"/>
        <v>1</v>
      </c>
      <c r="K48" s="793">
        <f>RZ[[#This Row],[Koeficient odhadu HR '[-'] (P1)]]</f>
        <v>1</v>
      </c>
      <c r="L48" s="124">
        <f ca="1">RZ[[#This Row],[Jednotková hmotnost s koef. '[kg/MJHR'] (P0)]]</f>
        <v>7000</v>
      </c>
      <c r="M48" s="794">
        <f t="shared" ca="1" si="135"/>
        <v>0</v>
      </c>
      <c r="N48" s="125">
        <f t="shared" ca="1" si="136"/>
        <v>7000</v>
      </c>
      <c r="O48" s="125">
        <f t="shared" ca="1" si="137"/>
        <v>0</v>
      </c>
      <c r="P48" s="126" t="str">
        <f t="shared" si="138"/>
        <v/>
      </c>
      <c r="Q48" s="795">
        <f ca="1">RZ[[#This Row],[Počet MJHR v rozpadu (P0)]]</f>
        <v>1</v>
      </c>
      <c r="R48" s="439" t="str">
        <f t="shared" si="139"/>
        <v>Zajíc</v>
      </c>
      <c r="S48" s="129">
        <f t="shared" si="140"/>
        <v>42950.604421296295</v>
      </c>
      <c r="T48" s="126" t="str">
        <f t="shared" si="141"/>
        <v/>
      </c>
      <c r="U48" s="126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CR (MJCR) (P0)]]))))))))))</f>
        <v>ks</v>
      </c>
      <c r="V48" s="575">
        <f t="shared" ca="1" si="142"/>
        <v>1</v>
      </c>
      <c r="W48" s="322">
        <f>RZ[[#This Row],[Koeficient odhadu CR '[-'] (P1)]]</f>
        <v>1</v>
      </c>
      <c r="X48" s="440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Row],[Jednotková cena bez DPH '[cena/MJCR'] (P1)]]*RZ[[#This Row],[Koeficient odhadu CR '[-']]]))))))))))</f>
        <v>61125</v>
      </c>
      <c r="Y48" s="440">
        <f t="shared" ca="1" si="143"/>
        <v>0</v>
      </c>
      <c r="Z48" s="142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VLOOKUP(IP48,$BR$7:$BS$11,2,FALSE)))))))))))</f>
        <v>EUR</v>
      </c>
      <c r="AA48" s="909">
        <f t="shared" ca="1" si="144"/>
        <v>1</v>
      </c>
      <c r="AB48" s="910">
        <f ca="1">RZ[[#This Row],[Kumulovaný koeficient v rozpadu (P0)]]</f>
        <v>1</v>
      </c>
      <c r="AC48" s="261"/>
      <c r="AD48" s="796">
        <f ca="1">RZ[[#This Row],[Jednotková cena bez DPH '[cena/MJCR'] s koef. (P0)]]/RZ[[#This Row],[Koeficient odhadu CR '[-']]]*RZ[[#This Row],[Kumulovaný koeficient odhadu CR  '[-']]]</f>
        <v>1650375</v>
      </c>
      <c r="AE48" s="796">
        <f t="shared" ca="1" si="145"/>
        <v>1650375</v>
      </c>
      <c r="AF48" s="796">
        <f ca="1">-IF(ISNUMBER(AA48),RZ[[#This Row],[Celková cena bez DPH (1)]]-RZ[[#This Row],[Jednotková cena bez DPH '[cena/MJCR'] bez koef. (P0)]]*AA48,0)</f>
        <v>0</v>
      </c>
      <c r="AG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235.76785714285714</v>
      </c>
      <c r="AH48" s="261"/>
      <c r="AI48" s="796">
        <f t="shared" ca="1" si="146"/>
        <v>61125</v>
      </c>
      <c r="AJ48" s="796">
        <f t="shared" ca="1" si="147"/>
        <v>61125</v>
      </c>
      <c r="AK48" s="796">
        <f t="shared" ca="1" si="148"/>
        <v>0</v>
      </c>
      <c r="AL48" s="753">
        <f ca="1">RZ[[#This Row],[Kilogramová cena bez DPH '[cena/kg'] (1)]]/$AK$13</f>
        <v>8.7321428571428577</v>
      </c>
      <c r="AM48" s="261"/>
      <c r="AN48" s="796">
        <f t="shared" ca="1" si="149"/>
        <v>79728.260869565216</v>
      </c>
      <c r="AO48" s="796">
        <f t="shared" ca="1" si="150"/>
        <v>79728.260869565216</v>
      </c>
      <c r="AP48" s="796">
        <f t="shared" ca="1" si="151"/>
        <v>0</v>
      </c>
      <c r="AQ48" s="753">
        <f ca="1">RZ[[#This Row],[Kilogramová cena bez DPH '[cena/kg'] (1)]]/$AP$13</f>
        <v>11.389751552795031</v>
      </c>
      <c r="AR48" s="261"/>
      <c r="AS48" s="796">
        <f t="shared" ca="1" si="152"/>
        <v>45141.548140043764</v>
      </c>
      <c r="AT48" s="796">
        <f t="shared" ca="1" si="153"/>
        <v>45141.548140043764</v>
      </c>
      <c r="AU48" s="789">
        <f t="shared" ca="1" si="154"/>
        <v>0</v>
      </c>
      <c r="AV48" s="767">
        <f ca="1">RZ[[#This Row],[Kilogramová cena bez DPH '[cena/kg'] (1)]]/$AU$13</f>
        <v>6.448792591434823</v>
      </c>
      <c r="AW48" s="165"/>
      <c r="AX48" s="911">
        <f t="shared" ca="1" si="155"/>
        <v>2</v>
      </c>
      <c r="AY48" s="111">
        <f t="shared" ca="1" si="156"/>
        <v>1</v>
      </c>
      <c r="AZ48" s="111">
        <f t="shared" ca="1" si="157"/>
        <v>25</v>
      </c>
      <c r="BA48" s="111">
        <f t="shared" ca="1" si="158"/>
        <v>0</v>
      </c>
      <c r="BB48" s="111">
        <f t="shared" ca="1" si="159"/>
        <v>0</v>
      </c>
      <c r="BC48" s="111">
        <f t="shared" ca="1" si="160"/>
        <v>0</v>
      </c>
      <c r="BD48" s="111">
        <f t="shared" ca="1" si="161"/>
        <v>0</v>
      </c>
      <c r="BE48" s="111">
        <f t="shared" ca="1" si="162"/>
        <v>0</v>
      </c>
      <c r="BF48" s="111">
        <f t="shared" ca="1" si="163"/>
        <v>0</v>
      </c>
      <c r="BG48" s="112">
        <f t="shared" ca="1" si="164"/>
        <v>0</v>
      </c>
      <c r="BH48" s="911">
        <f t="shared" si="165"/>
        <v>0</v>
      </c>
      <c r="BI48" s="111">
        <f t="shared" si="166"/>
        <v>0</v>
      </c>
      <c r="BJ48" s="111">
        <f t="shared" si="167"/>
        <v>1</v>
      </c>
      <c r="BK48" s="111">
        <f t="shared" si="168"/>
        <v>0</v>
      </c>
      <c r="BL48" s="111">
        <f t="shared" si="169"/>
        <v>0</v>
      </c>
      <c r="BM48" s="111">
        <f t="shared" si="170"/>
        <v>0</v>
      </c>
      <c r="BN48" s="111">
        <f t="shared" si="171"/>
        <v>0</v>
      </c>
      <c r="BO48" s="111">
        <f t="shared" si="172"/>
        <v>0</v>
      </c>
      <c r="BP48" s="111">
        <f t="shared" si="173"/>
        <v>0</v>
      </c>
      <c r="BQ48" s="112">
        <f t="shared" si="174"/>
        <v>0</v>
      </c>
      <c r="BR48" s="132">
        <f ca="1">IF(OFFSET(AY48,1,0,1,1)&lt;&gt;0,RZ[[#This Row],[Koeficient odhadu HR '[-'] (P1)]]*$BH48*SUMIFS(RZ[Úroveň 2 s koef. (P2)],RZ[0],AX48),RZ[[#This Row],[Koeficient odhadu HR '[-'] (P1)]]*$BH48*$IG48)</f>
        <v>0</v>
      </c>
      <c r="BS48" s="186">
        <f ca="1">IF(OFFSET(AY48,1,0,1,1)&lt;&gt;0,$BH48*SUMIFS(RZ[Úroveň 2 bez koef. (P2)],RZ[0],AX48),$BH48*$IG48)</f>
        <v>0</v>
      </c>
      <c r="BT48" s="138">
        <f ca="1">RZ[[#This Row],[Úroveň 2 s koef. (P2a)]]*RZ[[#This Row],[Počet MJHR (P0)]]</f>
        <v>0</v>
      </c>
      <c r="BU48" s="138">
        <f ca="1">RZ[[#This Row],[Úroveň 2 bez koef. (P2a)]]*RZ[[#This Row],[Počet MJHR (P0)]]</f>
        <v>0</v>
      </c>
      <c r="BV48" s="138">
        <f ca="1">IF(OFFSET(AZ48,1,0,1,1)&lt;&gt;0,RZ[[#This Row],[Koeficient odhadu HR '[-'] (P1)]]*$BI48*SUMIFS(RZ[Úroveň 3 s koef. (P2)],RZ[0],AX48,RZ[Úroveň 2 (P0)],AY48),RZ[[#This Row],[Koeficient odhadu HR '[-'] (P1)]]*$BI48*$IG48)</f>
        <v>0</v>
      </c>
      <c r="BW48" s="138">
        <f ca="1">IF(OFFSET(AZ48,1,0,1,1)&lt;&gt;0,$BI48*SUMIFS(RZ[Úroveň 3 bez koef. (P2)],RZ[0],AX48,RZ[Úroveň 2 (P0)],AY48),$BI48*$IG48)</f>
        <v>0</v>
      </c>
      <c r="BX48" s="132">
        <f ca="1">RZ[[#This Row],[Úroveň 3 s koef. (P2a)]]*RZ[[#This Row],[Počet MJHR (P0)]]</f>
        <v>7000</v>
      </c>
      <c r="BY48" s="132">
        <f ca="1">RZ[Úroveň 3 bez koef. (P2a)]*RZ[[#This Row],[Počet MJHR (P0)]]</f>
        <v>7000</v>
      </c>
      <c r="BZ48" s="132">
        <f ca="1">IF(OFFSET(BA48,1,0,1,1)&lt;&gt;0,RZ[[#This Row],[Koeficient odhadu HR '[-'] (P1)]]*$BJ48*SUMIFS(RZ[Úroveň 4 s koef. (P2)],RZ[0],AX48,RZ[Úroveň 2 (P0)],AY48,RZ[Úroveň 3 (P0)],AZ48),RZ[[#This Row],[Koeficient odhadu HR '[-'] (P1)]]*$BJ48*$IG48)</f>
        <v>7000</v>
      </c>
      <c r="CA48" s="132">
        <f ca="1">IF(OFFSET(BA48,1,0,1,1)&lt;&gt;0,$BJ48*SUMIFS(RZ[Úroveň 4 bez koef. (P2)],RZ[0],AX48,RZ[Úroveň 2 (P0)],AY48,RZ[Úroveň 3 (P0)],AZ48),$BJ48*$IG48)</f>
        <v>7000</v>
      </c>
      <c r="CB48" s="138">
        <f ca="1">RZ[[#This Row],[Úroveň 4 s koef. (P2a)]]*RZ[[#This Row],[Počet MJHR (P0)]]</f>
        <v>0</v>
      </c>
      <c r="CC48" s="138">
        <f ca="1">RZ[Úroveň 4 bez koef. (P2a)]*RZ[[#This Row],[Počet MJHR (P0)]]</f>
        <v>0</v>
      </c>
      <c r="CD48" s="138">
        <f ca="1">IF(OFFSET(BB48,1,0,1,1)&lt;&gt;0,RZ[[#This Row],[Koeficient odhadu HR '[-'] (P1)]]*$BK48*SUMIFS(RZ[Úroveň 5 s koef. (P2)],RZ[0],AX48,RZ[Úroveň 2 (P0)],AY48,RZ[Úroveň 3 (P0)],AZ48,RZ[Úroveň 4 (P0)],BA48),RZ[[#This Row],[Koeficient odhadu HR '[-'] (P1)]]*$BK48*$IG48)</f>
        <v>0</v>
      </c>
      <c r="CE48" s="138">
        <f ca="1">IF(OFFSET(BB48,1,0,1,1)&lt;&gt;0,$BK48*SUMIFS(RZ[Úroveň 5 bez koef. (P2)],RZ[0],AX48,RZ[Úroveň 2 (P0)],AY48,RZ[Úroveň 3 (P0)],AZ48,RZ[Úroveň 4 (P0)],BA48),$BK48*$IG48)</f>
        <v>0</v>
      </c>
      <c r="CF48" s="132">
        <f ca="1">RZ[[#This Row],[Úroveň 5 s koef. (P2a)]]*RZ[[#This Row],[Počet MJHR (P0)]]</f>
        <v>0</v>
      </c>
      <c r="CG48" s="132">
        <f ca="1">RZ[Úroveň 5 bez koef. (P2a)]*RZ[[#This Row],[Počet MJHR (P0)]]</f>
        <v>0</v>
      </c>
      <c r="CH48" s="132">
        <f ca="1">IF(OFFSET(BC48,1,0,1,1)&lt;&gt;0,RZ[[#This Row],[Koeficient odhadu HR '[-'] (P1)]]*$BL48*SUMIFS(RZ[Úroveň 6 s koef. (P2)],RZ[0],AX48,RZ[Úroveň 2 (P0)],AY48,RZ[Úroveň 3 (P0)],AZ48,RZ[Úroveň 4 (P0)],BA48,RZ[Úroveň 5 (P0)],BB48),RZ[[#This Row],[Koeficient odhadu HR '[-'] (P1)]]*$BL48*$IG48)</f>
        <v>0</v>
      </c>
      <c r="CI48" s="132">
        <f ca="1">IF(OFFSET(BC48,1,0,1,1)&lt;&gt;0,$BL48*SUMIFS(RZ[Úroveň 6 bez koef. (P2)],RZ[0],AX48,RZ[Úroveň 2 (P0)],AY48,RZ[Úroveň 3 (P0)],AZ48,RZ[Úroveň 4 (P0)],BA48,RZ[Úroveň 5 (P0)],BB48),$BL48*$IG48)</f>
        <v>0</v>
      </c>
      <c r="CJ48" s="138">
        <f ca="1">RZ[[#This Row],[Úroveň 6 s koef. (P2a)]]*RZ[[#This Row],[Počet MJHR (P0)]]</f>
        <v>0</v>
      </c>
      <c r="CK48" s="138">
        <f ca="1">RZ[Úroveň 6 bez koef. (P2a)]*RZ[[#This Row],[Počet MJHR (P0)]]</f>
        <v>0</v>
      </c>
      <c r="CL48" s="138">
        <f ca="1">IF(OFFSET(BD48,1,0,1,1)&lt;&gt;0,RZ[[#This Row],[Koeficient odhadu HR '[-'] (P1)]]*$BM48*SUMIFS(RZ[Úroveň 7 s koef. (P2)],RZ[0],AX48,RZ[Úroveň 2 (P0)],AY48,RZ[Úroveň 3 (P0)],AZ48,RZ[Úroveň 4 (P0)],BA48,RZ[Úroveň 5 (P0)],BB48,RZ[Úroveň 6 (P0)],BC48),RZ[[#This Row],[Koeficient odhadu HR '[-'] (P1)]]*$BM48*$IG48)</f>
        <v>0</v>
      </c>
      <c r="CM48" s="138">
        <f ca="1">IF(OFFSET(BD48,1,0,1,1)&lt;&gt;0,$BM48*SUMIFS(RZ[Úroveň 7 bez koef. (P2)],RZ[0],AX48,RZ[Úroveň 2 (P0)],AY48,RZ[Úroveň 3 (P0)],AZ48,RZ[Úroveň 4 (P0)],BA48,RZ[Úroveň 5 (P0)],BB48,RZ[Úroveň 6 (P0)],BC48),$BM48*$IG48)</f>
        <v>0</v>
      </c>
      <c r="CN48" s="132">
        <f ca="1">RZ[[#This Row],[Úroveň 7 s koef. (P2a)]]*RZ[[#This Row],[Počet MJHR (P0)]]</f>
        <v>0</v>
      </c>
      <c r="CO48" s="132">
        <f ca="1">RZ[Úroveň 7 bez koef. (P2a)]*RZ[[#This Row],[Počet MJHR (P0)]]</f>
        <v>0</v>
      </c>
      <c r="CP48" s="132">
        <f ca="1">IF(OFFSET(BE48,1,0,1,1)&lt;&gt;0,RZ[[#This Row],[Koeficient odhadu HR '[-'] (P1)]]*$BN48*SUMIFS(RZ[Úroveň 8 s koef. (P2)],RZ[0],AX48,RZ[Úroveň 2 (P0)],AY48,RZ[Úroveň 3 (P0)],AZ48,RZ[Úroveň 4 (P0)],BA48,RZ[Úroveň 5 (P0)],BB48,RZ[Úroveň 6 (P0)],BC48,RZ[Úroveň 7 (P0)],BD48),RZ[[#This Row],[Koeficient odhadu HR '[-'] (P1)]]*$BN48*$IG48)</f>
        <v>0</v>
      </c>
      <c r="CQ48" s="132">
        <f ca="1">IF(OFFSET(BE48,1,0,1,1)&lt;&gt;0,$BN48*SUMIFS(RZ[Úroveň 8 bez koef. (P2)],RZ[0],AX48,RZ[Úroveň 2 (P0)],AY48,RZ[Úroveň 3 (P0)],AZ48,RZ[Úroveň 4 (P0)],BA48,RZ[Úroveň 5 (P0)],BB48,RZ[Úroveň 6 (P0)],BC48,RZ[Úroveň 7 (P0)],BD48),$BN48*$IG48)</f>
        <v>0</v>
      </c>
      <c r="CR48" s="138">
        <f ca="1">RZ[[#This Row],[Úroveň 8 s koef. (P2a)]]*RZ[[#This Row],[Počet MJHR (P0)]]</f>
        <v>0</v>
      </c>
      <c r="CS48" s="138">
        <f ca="1">RZ[Úroveň 8 bez koef. (P2a)]*RZ[[#This Row],[Počet MJHR (P0)]]</f>
        <v>0</v>
      </c>
      <c r="CT48" s="138">
        <f ca="1">IF(OFFSET(BF48,1,0,1,1)&lt;&gt;0,RZ[[#This Row],[Koeficient odhadu HR '[-'] (P1)]]*$BO48*SUMIFS(RZ[Úroveň 9 s koef. (P2)],RZ[0],AX48,RZ[Úroveň 2 (P0)],AY48,RZ[Úroveň 3 (P0)],AZ48,RZ[Úroveň 4 (P0)],BA48,RZ[Úroveň 5 (P0)],BB48,RZ[Úroveň 6 (P0)],BC48,RZ[Úroveň 7 (P0)],BD48,RZ[Úroveň 8 (P0)],BE48),RZ[[#This Row],[Koeficient odhadu HR '[-'] (P1)]]*$BO48*$IG48)</f>
        <v>0</v>
      </c>
      <c r="CU48" s="138">
        <f ca="1">IF(OFFSET(BF48,1,0,1,1)&lt;&gt;0,$BO48*SUMIFS(RZ[Úroveň 9 bez koef. (P2)],RZ[0],AX48,RZ[Úroveň 2 (P0)],AY48,RZ[Úroveň 3 (P0)],AZ48,RZ[Úroveň 4 (P0)],BA48,RZ[Úroveň 5 (P0)],BB48,RZ[Úroveň 6 (P0)],BC48,RZ[Úroveň 7 (P0)],BD48,RZ[Úroveň 8 (P0)],BE48),$BO48*$IG48)</f>
        <v>0</v>
      </c>
      <c r="CV48" s="132">
        <f ca="1">RZ[[#This Row],[Úroveň 9 s koef. (P2a)]]*RZ[[#This Row],[Počet MJHR (P0)]]</f>
        <v>0</v>
      </c>
      <c r="CW48" s="132">
        <f ca="1">RZ[Úroveň 9 bez koef. (P2a)]*RZ[[#This Row],[Počet MJHR (P0)]]</f>
        <v>0</v>
      </c>
      <c r="CX48" s="132">
        <f ca="1">IF(OFFSET(BG48,1,0,1,1)&lt;&gt;0,RZ[[#This Row],[Koeficient odhadu HR '[-'] (P1)]]*$BP48*SUMIFS(RZ[Úroveň 10 s koef. (P2)],RZ[0],AX48,RZ[Úroveň 2 (P0)],AY48,RZ[Úroveň 3 (P0)],AZ48,RZ[Úroveň 4 (P0)],BA48,RZ[Úroveň 5 (P0)],BB48,RZ[Úroveň 6 (P0)],BC48,RZ[Úroveň 7 (P0)],BD48,RZ[Úroveň 8 (P0)],BE48,RZ[Úroveň 9 (P0)],BF48),RZ[[#This Row],[Koeficient odhadu HR '[-'] (P1)]]*$BP48*$IG48)</f>
        <v>0</v>
      </c>
      <c r="CY48" s="132">
        <f ca="1">IF(OFFSET(BG48,1,0,1,1)&lt;&gt;0,$BP48*SUMIFS(RZ[Úroveň 10 bez koef. (P2)],RZ[0],AX48,RZ[Úroveň 2 (P0)],AY48,RZ[Úroveň 3 (P0)],AZ48,RZ[Úroveň 4 (P0)],BA48,RZ[Úroveň 5 (P0)],BB48,RZ[Úroveň 6 (P0)],BC48,RZ[Úroveň 7 (P0)],BD48,RZ[Úroveň 8 (P0)],BE48,RZ[Úroveň 9 (P0)],BF48),$BP48*$IG48)</f>
        <v>0</v>
      </c>
      <c r="CZ48" s="138">
        <f>RZ[[#This Row],[Úroveň 10 s koef. (P2a)]]*RZ[[#This Row],[Počet MJHR (P0)]]</f>
        <v>0</v>
      </c>
      <c r="DA48" s="138">
        <f>RZ[Úroveň 10 bez koef. (P2a)]*RZ[[#This Row],[Počet MJHR (P0)]]</f>
        <v>0</v>
      </c>
      <c r="DB48" s="138">
        <f>RZ[[#This Row],[Koeficient odhadu HR '[-'] (P1)]]*$BQ48*IG48</f>
        <v>0</v>
      </c>
      <c r="DC48" s="231">
        <f t="shared" si="175"/>
        <v>0</v>
      </c>
      <c r="DD48" s="241">
        <f t="shared" ca="1" si="176"/>
        <v>7000</v>
      </c>
      <c r="DE48" s="229">
        <f t="shared" ca="1" si="177"/>
        <v>7000</v>
      </c>
      <c r="DF48" s="912">
        <f t="shared" si="178"/>
        <v>0</v>
      </c>
      <c r="DG48" s="913">
        <f t="shared" si="179"/>
        <v>0</v>
      </c>
      <c r="DH48" s="913">
        <f t="shared" si="180"/>
        <v>1</v>
      </c>
      <c r="DI48" s="913">
        <f t="shared" si="181"/>
        <v>0</v>
      </c>
      <c r="DJ48" s="913">
        <f t="shared" si="182"/>
        <v>0</v>
      </c>
      <c r="DK48" s="913">
        <f t="shared" si="183"/>
        <v>0</v>
      </c>
      <c r="DL48" s="913">
        <f t="shared" si="184"/>
        <v>0</v>
      </c>
      <c r="DM48" s="913">
        <f t="shared" si="185"/>
        <v>0</v>
      </c>
      <c r="DN48" s="913">
        <f t="shared" si="186"/>
        <v>0</v>
      </c>
      <c r="DO48" s="913">
        <f t="shared" si="187"/>
        <v>0</v>
      </c>
      <c r="DP48" s="914">
        <f ca="1">SUMIFS(RZ[Úroveň 1 (P4)],RZ[0],AX48)</f>
        <v>1</v>
      </c>
      <c r="DQ48" s="914">
        <f ca="1">SUMIFS(RZ[Úroveň 2 (P4)],RZ[0],AX48,RZ[Úroveň 2 (P0)],AY48)</f>
        <v>1</v>
      </c>
      <c r="DR48" s="914">
        <f ca="1">SUMIFS(RZ[Úroveň 3 (P4)],RZ[0],AX48,RZ[Úroveň 2 (P0)],AY48,RZ[Úroveň 3 (P0)],AZ48)</f>
        <v>1</v>
      </c>
      <c r="DS48" s="914">
        <f ca="1">SUMIFS(RZ[Úroveň 4 (P4)],RZ[0],AX48,RZ[Úroveň 2 (P0)],AY48,RZ[Úroveň 3 (P0)],AZ48,RZ[Úroveň 4 (P0)],BA48)</f>
        <v>0</v>
      </c>
      <c r="DT48" s="914">
        <f ca="1">SUMIFS(RZ[Úroveň 5 (P4)],RZ[0],AX48,RZ[Úroveň 2 (P0)],AY48,RZ[Úroveň 3 (P0)],AZ48,RZ[Úroveň 4 (P0)],BA48,RZ[Úroveň 5 (P0)],BB48)</f>
        <v>0</v>
      </c>
      <c r="DU48" s="914">
        <f ca="1">SUMIFS(RZ[Úroveň 6 (P4)],RZ[0],AX48,RZ[Úroveň 2 (P0)],AY48,RZ[Úroveň 3 (P0)],AZ48,RZ[Úroveň 4 (P0)],BA48,RZ[Úroveň 5 (P0)],BB48,RZ[Úroveň 6 (P0)],BC48)</f>
        <v>0</v>
      </c>
      <c r="DV48" s="914">
        <f ca="1">SUMIFS(RZ[Úroveň 7 (P4)],RZ[0],AX48,RZ[Úroveň 2 (P0)],AY48,RZ[Úroveň 3 (P0)],AZ48,RZ[Úroveň 4 (P0)],BA48,RZ[Úroveň 5 (P0)],BB48,RZ[Úroveň 6 (P0)],BC48,RZ[Úroveň 7 (P0)],BD48)</f>
        <v>0</v>
      </c>
      <c r="DW48" s="914">
        <f ca="1">SUMIFS(RZ[Úroveň 8 (P4)],RZ[0],AX48,RZ[Úroveň 2 (P0)],AY48,RZ[Úroveň 3 (P0)],AZ48,RZ[Úroveň 4 (P0)],BA48,RZ[Úroveň 5 (P0)],BB48,RZ[Úroveň 6 (P0)],BC48,RZ[Úroveň 7 (P0)],BD48,RZ[Úroveň 8 (P0)],BE48)</f>
        <v>0</v>
      </c>
      <c r="DX48" s="914">
        <f ca="1">SUMIFS(RZ[Úroveň 9 (P4)],RZ[0],AX48,RZ[Úroveň 2 (P0)],AY48,RZ[Úroveň 3 (P0)],AZ48,RZ[Úroveň 4 (P0)],BA48,RZ[Úroveň 5 (P0)],BB48,RZ[Úroveň 6 (P0)],BC48,RZ[Úroveň 7 (P0)],BD48,RZ[Úroveň 8 (P0)],BE48,RZ[Úroveň 9 (P0)],BF48)</f>
        <v>0</v>
      </c>
      <c r="DY48" s="914">
        <f ca="1">SUMIFS(RZ[Úroveň 10 (P4)],RZ[0],AX48,RZ[Úroveň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DZ48" s="915">
        <f t="shared" ca="1" si="188"/>
        <v>1</v>
      </c>
      <c r="EA48" s="916">
        <f ca="1">RZ[[#This Row],[Jednotková hmotnost bez koef. '[kg/MJHR'] (P0)]]*RZ[[#This Row],[Počet MJHR v rozpadu (P0)]]</f>
        <v>7000</v>
      </c>
      <c r="EB48" s="917">
        <f ca="1">IF(OFFSET(AY48,1,0,1,1)&lt;&gt;0,RZ[[#This Row],[Koeficient odhadu CR '[-'] (P1)]]*$BH48*SUMIFS(RZ[Úroveň 2 s koef. (P3)],RZ[0],AX48),RZ[[#This Row],[Koeficient odhadu CR '[-'] (P1)]]*$BH48*$IQ48)</f>
        <v>0</v>
      </c>
      <c r="EC48" s="191">
        <f ca="1">IF(OFFSET(AY48,1,0,1,1)&lt;&gt;0,$BH48*SUMIFS(RZ[Úroveň 2 bez koef. (P3)],RZ[0],AX48),$BH48*$IQ48)</f>
        <v>0</v>
      </c>
      <c r="ED48" s="140">
        <f ca="1">RZ[[#This Row],[Úroveň 2 s koef. (P3a)]]*RZ[[#This Row],[Počet MJCR (P0) pro "kg"]]</f>
        <v>0</v>
      </c>
      <c r="EE48" s="140">
        <f ca="1">RZ[Úroveň 2 bez koef. (P3a)]*RZ[[#This Row],[Počet MJCR (P0) pro "kg"]]</f>
        <v>0</v>
      </c>
      <c r="EF48" s="140">
        <f ca="1">IF(OFFSET(AZ48,1,0,1,1)&lt;&gt;0,RZ[[#This Row],[Koeficient odhadu CR '[-'] (P1)]]*$BI48*SUMIFS(RZ[Úroveň 3 s koef. (P3)],RZ[0],AX48,RZ[Úroveň 2 (P0)],AY48),RZ[[#This Row],[Koeficient odhadu CR '[-'] (P1)]]*$BI48*$IQ48)</f>
        <v>0</v>
      </c>
      <c r="EG48" s="140">
        <f ca="1">IF(OFFSET(AZ48,1,0,1,1)&lt;&gt;0,$BI48*SUMIFS(RZ[Úroveň 3 bez koef. (P3)],RZ[0],AX48,RZ[Úroveň 2 (P0)],AY48),$BI48*$IQ48)</f>
        <v>0</v>
      </c>
      <c r="EH48" s="135">
        <f ca="1">RZ[[#This Row],[Úroveň 3 s koef. (P3a)]]*RZ[[#This Row],[Počet MJCR (P0) pro "kg"]]</f>
        <v>1650375</v>
      </c>
      <c r="EI48" s="135">
        <f ca="1">RZ[Úroveň 3 bez koef. (P3a)]*RZ[[#This Row],[Počet MJCR (P0) pro "kg"]]</f>
        <v>1650375</v>
      </c>
      <c r="EJ48" s="135">
        <f ca="1">IF(OFFSET(BA48,1,0,1,1)&lt;&gt;0,RZ[[#This Row],[Koeficient odhadu CR '[-'] (P1)]]*$BJ48*SUMIFS(RZ[Úroveň 4 s koef. (P3)],RZ[0],AX48,RZ[Úroveň 2 (P0)],AY48,RZ[Úroveň 3 (P0)],AZ48),RZ[[#This Row],[Koeficient odhadu CR '[-'] (P1)]]*$BJ48*$IQ48)</f>
        <v>1650375</v>
      </c>
      <c r="EK48" s="135">
        <f ca="1">IF(OFFSET(BA48,1,0,1,1)&lt;&gt;0,$BJ48*SUMIFS(RZ[Úroveň 4 bez koef. (P3)],RZ[0],AX48,RZ[Úroveň 2 (P0)],AY48,RZ[Úroveň 3 (P0)],AZ48),$BJ48*$IQ48)</f>
        <v>1650375</v>
      </c>
      <c r="EL48" s="140">
        <f ca="1">RZ[[#This Row],[Úroveň 4 s koef. (P3a)]]*RZ[[#This Row],[Počet MJCR (P0) pro "kg"]]</f>
        <v>0</v>
      </c>
      <c r="EM48" s="140">
        <f ca="1">RZ[Úroveň 4 bez koef. (P3a)]*RZ[[#This Row],[Počet MJCR (P0) pro "kg"]]</f>
        <v>0</v>
      </c>
      <c r="EN48" s="140">
        <f ca="1">IF(OFFSET(BB48,1,0,1,1)&lt;&gt;0,RZ[[#This Row],[Koeficient odhadu CR '[-'] (P1)]]*$BK48*SUMIFS(RZ[Úroveň 5 s koef. (P3)],RZ[0],AX48,RZ[Úroveň 2 (P0)],AY48,RZ[Úroveň 3 (P0)],AZ48,RZ[Úroveň 4 (P0)],BA48),RZ[[#This Row],[Koeficient odhadu CR '[-'] (P1)]]*$BK48*$IQ48)</f>
        <v>0</v>
      </c>
      <c r="EO48" s="140">
        <f ca="1">IF(OFFSET(BB48,1,0,1,1)&lt;&gt;0,$BK48*SUMIFS(RZ[Úroveň 5 bez koef. (P3)],RZ[0],AX48,RZ[Úroveň 2 (P0)],AY48,RZ[Úroveň 3 (P0)],AZ48,RZ[Úroveň 4 (P0)],BA48),$BK48*$IQ48)</f>
        <v>0</v>
      </c>
      <c r="EP48" s="135">
        <f ca="1">RZ[[#This Row],[Úroveň 5 s koef. (P3a)]]*RZ[[#This Row],[Počet MJCR (P0) pro "kg"]]</f>
        <v>0</v>
      </c>
      <c r="EQ48" s="135">
        <f ca="1">RZ[Úroveň 5 bez koef. (P3a)]*RZ[[#This Row],[Počet MJCR (P0) pro "kg"]]</f>
        <v>0</v>
      </c>
      <c r="ER48" s="135">
        <f ca="1">IF(OFFSET(BC48,1,0,1,1)&lt;&gt;0,RZ[[#This Row],[Koeficient odhadu CR '[-'] (P1)]]*$BL48*SUMIFS(RZ[Úroveň 6 s koef. (P3)],RZ[0],AX48,RZ[Úroveň 2 (P0)],AY48,RZ[Úroveň 3 (P0)],AZ48,RZ[Úroveň 4 (P0)],BA48,RZ[Úroveň 5 (P0)],BB48),RZ[[#This Row],[Koeficient odhadu CR '[-'] (P1)]]*$BL48*$IQ48)</f>
        <v>0</v>
      </c>
      <c r="ES48" s="135">
        <f ca="1">IF(OFFSET(BC48,1,0,1,1)&lt;&gt;0,$BL48*SUMIFS(RZ[Úroveň 6 bez koef. (P3)],RZ[0],AX48,RZ[Úroveň 2 (P0)],AY48,RZ[Úroveň 3 (P0)],AZ48,RZ[Úroveň 4 (P0)],BA48,RZ[Úroveň 5 (P0)],BB48),$BL48*$IQ48)</f>
        <v>0</v>
      </c>
      <c r="ET48" s="140">
        <f ca="1">RZ[[#This Row],[Úroveň 6 s koef. (P3a)]]*RZ[[#This Row],[Počet MJCR (P0) pro "kg"]]</f>
        <v>0</v>
      </c>
      <c r="EU48" s="140">
        <f ca="1">RZ[Úroveň 6 bez koef. (P3a)]*RZ[[#This Row],[Počet MJCR (P0) pro "kg"]]</f>
        <v>0</v>
      </c>
      <c r="EV48" s="140">
        <f ca="1">IF(OFFSET(BD48,1,0,1,1)&lt;&gt;0,RZ[[#This Row],[Koeficient odhadu CR '[-'] (P1)]]*$BM48*SUMIFS(RZ[Úroveň 7 s koef. (P3)],RZ[0],AX48,RZ[Úroveň 2 (P0)],AY48,RZ[Úroveň 3 (P0)],AZ48,RZ[Úroveň 4 (P0)],BA48,RZ[Úroveň 5 (P0)],BB48,RZ[Úroveň 6 (P0)],BC48),RZ[[#This Row],[Koeficient odhadu CR '[-'] (P1)]]*$BM48*$IQ48)</f>
        <v>0</v>
      </c>
      <c r="EW48" s="140">
        <f ca="1">IF(OFFSET(BD48,1,0,1,1)&lt;&gt;0,$BM48*SUMIFS(RZ[Úroveň 7 bez koef. (P3)],RZ[0],AX48,RZ[Úroveň 2 (P0)],AY48,RZ[Úroveň 3 (P0)],AZ48,RZ[Úroveň 4 (P0)],BA48,RZ[Úroveň 5 (P0)],BB48,RZ[Úroveň 6 (P0)],BC48),$BM48*$IQ48)</f>
        <v>0</v>
      </c>
      <c r="EX48" s="135">
        <f ca="1">RZ[[#This Row],[Úroveň 7 s koef. (P3a)]]*RZ[[#This Row],[Počet MJCR (P0) pro "kg"]]</f>
        <v>0</v>
      </c>
      <c r="EY48" s="135">
        <f ca="1">RZ[Úroveň 7 bez koef. (P3a)]*RZ[[#This Row],[Počet MJCR (P0) pro "kg"]]</f>
        <v>0</v>
      </c>
      <c r="EZ48" s="135">
        <f ca="1">IF(OFFSET(BE48,1,0,1,1)&lt;&gt;0,RZ[[#This Row],[Koeficient odhadu CR '[-'] (P1)]]*$BN48*SUMIFS(RZ[Úroveň 8 s koef. (P3)],RZ[0],AX48,RZ[Úroveň 2 (P0)],AY48,RZ[Úroveň 3 (P0)],AZ48,RZ[Úroveň 4 (P0)],BA48,RZ[Úroveň 5 (P0)],BB48,RZ[Úroveň 6 (P0)],BC48,RZ[Úroveň 7 (P0)],BD48),RZ[[#This Row],[Koeficient odhadu CR '[-'] (P1)]]*$BN48*$IQ48)</f>
        <v>0</v>
      </c>
      <c r="FA48" s="135">
        <f ca="1">IF(OFFSET(BE48,1,0,1,1)&lt;&gt;0,$BN48*SUMIFS(RZ[Úroveň 8 bez koef. (P3)],RZ[0],AX48,RZ[Úroveň 2 (P0)],AY48,RZ[Úroveň 3 (P0)],AZ48,RZ[Úroveň 4 (P0)],BA48,RZ[Úroveň 5 (P0)],BB48,RZ[Úroveň 6 (P0)],BC48,RZ[Úroveň 7 (P0)],BD48),$BN48*$IQ48)</f>
        <v>0</v>
      </c>
      <c r="FB48" s="140">
        <f ca="1">RZ[[#This Row],[Úroveň 8 s koef. (P3a)]]*RZ[[#This Row],[Počet MJCR (P0) pro "kg"]]</f>
        <v>0</v>
      </c>
      <c r="FC48" s="140">
        <f ca="1">RZ[Úroveň 8 bez koef. (P3a)]*RZ[[#This Row],[Počet MJCR (P0) pro "kg"]]</f>
        <v>0</v>
      </c>
      <c r="FD48" s="140">
        <f ca="1">IF(OFFSET(BF48,1,0,1,1)&lt;&gt;0,RZ[[#This Row],[Koeficient odhadu CR '[-'] (P1)]]*$BO48*SUMIFS(RZ[Úroveň 9 s koef. (P3)],RZ[0],AX48,RZ[Úroveň 2 (P0)],AY48,RZ[Úroveň 3 (P0)],AZ48,RZ[Úroveň 4 (P0)],BA48,RZ[Úroveň 5 (P0)],BB48,RZ[Úroveň 6 (P0)],BC48,RZ[Úroveň 7 (P0)],BD48,RZ[Úroveň 8 (P0)],BE48),RZ[[#This Row],[Koeficient odhadu CR '[-'] (P1)]]*$BO48*$IQ48)</f>
        <v>0</v>
      </c>
      <c r="FE48" s="140">
        <f ca="1">IF(OFFSET(BF48,1,0,1,1)&lt;&gt;0,$BO48*SUMIFS(RZ[Úroveň 9 bez koef. (P3)],RZ[0],AX48,RZ[Úroveň 2 (P0)],AY48,RZ[Úroveň 3 (P0)],AZ48,RZ[Úroveň 4 (P0)],BA48,RZ[Úroveň 5 (P0)],BB48,RZ[Úroveň 6 (P0)],BC48,RZ[Úroveň 7 (P0)],BD48,RZ[Úroveň 8 (P0)],BE48),$BO48*$IQ48)</f>
        <v>0</v>
      </c>
      <c r="FF48" s="135">
        <f ca="1">RZ[[#This Row],[Úroveň 9 s koef. (P3a)]]*RZ[[#This Row],[Počet MJCR (P0) pro "kg"]]</f>
        <v>0</v>
      </c>
      <c r="FG48" s="135">
        <f ca="1">RZ[Úroveň 9 bez koef. (P3a)]*RZ[[#This Row],[Počet MJCR (P0) pro "kg"]]</f>
        <v>0</v>
      </c>
      <c r="FH48" s="135">
        <f ca="1">IF(OFFSET(BG48,1,0,1,1)&lt;&gt;0,RZ[[#This Row],[Koeficient odhadu CR '[-'] (P1)]]*$BP48*SUMIFS(RZ[Úroveň 10 s koef. (P3)],RZ[0],AX48,RZ[Úroveň 2 (P0)],AY48,RZ[Úroveň 3 (P0)],AZ48,RZ[Úroveň 4 (P0)],BA48,RZ[Úroveň 5 (P0)],BB48,RZ[Úroveň 6 (P0)],BC48,RZ[Úroveň 7 (P0)],BD48,RZ[Úroveň 8 (P0)],BE48,RZ[Úroveň 9 (P0)],BF48),RZ[[#This Row],[Koeficient odhadu CR '[-'] (P1)]]*$BP48*$IQ48)</f>
        <v>0</v>
      </c>
      <c r="FI48" s="135">
        <f ca="1">IF(OFFSET(BG48,1,0,1,1)&lt;&gt;0,$BP48*SUMIFS(RZ[Úroveň 10 bez koef. (P3)],RZ[0],AX48,RZ[Úroveň 2 (P0)],AY48,RZ[Úroveň 3 (P0)],AZ48,RZ[Úroveň 4 (P0)],BA48,RZ[Úroveň 5 (P0)],BB48,RZ[Úroveň 6 (P0)],BC48,RZ[Úroveň 7 (P0)],BD48,RZ[Úroveň 8 (P0)],BE48,RZ[Úroveň 9 (P0)],BF48),$BP48*$IQ48)</f>
        <v>0</v>
      </c>
      <c r="FJ48" s="140">
        <f ca="1">RZ[[#This Row],[Úroveň 10 s koef. (P3a)]]*RZ[[#This Row],[Počet MJCR (P0) pro "kg"]]</f>
        <v>0</v>
      </c>
      <c r="FK48" s="140">
        <f ca="1">RZ[Úroveň 10 bez koef. (P3a)]*RZ[[#This Row],[Počet MJCR (P0) pro "kg"]]</f>
        <v>0</v>
      </c>
      <c r="FL48" s="140">
        <f ca="1">RZ[[#This Row],[Koeficient odhadu CR '[-'] (P1)]]*$BQ48*IQ48</f>
        <v>0</v>
      </c>
      <c r="FM48" s="236">
        <f t="shared" ca="1" si="189"/>
        <v>0</v>
      </c>
      <c r="FN48" s="194">
        <f t="shared" ca="1" si="190"/>
        <v>1650375</v>
      </c>
      <c r="FO48" s="238">
        <f t="shared" ca="1" si="191"/>
        <v>1650375</v>
      </c>
      <c r="FP48" s="135">
        <f t="shared" ca="1" si="192"/>
        <v>0</v>
      </c>
      <c r="FQ48" s="135">
        <f t="shared" ca="1" si="193"/>
        <v>0</v>
      </c>
      <c r="FR48" s="135">
        <f t="shared" ca="1" si="194"/>
        <v>1</v>
      </c>
      <c r="FS48" s="135">
        <f t="shared" ca="1" si="195"/>
        <v>0</v>
      </c>
      <c r="FT48" s="135">
        <f t="shared" ca="1" si="196"/>
        <v>0</v>
      </c>
      <c r="FU48" s="135">
        <f t="shared" ca="1" si="197"/>
        <v>0</v>
      </c>
      <c r="FV48" s="135">
        <f t="shared" ca="1" si="198"/>
        <v>0</v>
      </c>
      <c r="FW48" s="135">
        <f t="shared" ca="1" si="199"/>
        <v>0</v>
      </c>
      <c r="FX48" s="135">
        <f t="shared" ca="1" si="200"/>
        <v>0</v>
      </c>
      <c r="FY48" s="135">
        <f t="shared" ca="1" si="201"/>
        <v>0</v>
      </c>
      <c r="FZ48" s="140">
        <f ca="1">SUMIFS(RZ[Úroveň 1 (P6)],RZ[0],AX48)</f>
        <v>1</v>
      </c>
      <c r="GA48" s="140">
        <f ca="1">SUMIFS(RZ[Úroveň 2 (P6)],RZ[0],AX48,RZ[Úroveň 2 (P0)],AY48)</f>
        <v>1</v>
      </c>
      <c r="GB48" s="140">
        <f ca="1">SUMIFS(RZ[Úroveň 3 (P6)],RZ[0],AX48,RZ[Úroveň 2 (P0)],AY48,RZ[Úroveň 3 (P0)],AZ48)</f>
        <v>1</v>
      </c>
      <c r="GC48" s="140">
        <f ca="1">SUMIFS(RZ[Úroveň 4 (P6)],RZ[0],AX48,RZ[Úroveň 2 (P0)],AY48,RZ[Úroveň 3 (P0)],AZ48,RZ[Úroveň 4 (P0)],BA48)</f>
        <v>0</v>
      </c>
      <c r="GD48" s="140">
        <f ca="1">SUMIFS(RZ[Úroveň 5 (P6)],RZ[0],AX48,RZ[Úroveň 2 (P0)],AY48,RZ[Úroveň 3 (P0)],AZ48,RZ[Úroveň 4 (P0)],BA48,RZ[Úroveň 5 (P0)],BB48)</f>
        <v>0</v>
      </c>
      <c r="GE48" s="140">
        <f ca="1">SUMIFS(RZ[Úroveň 6 (P6)],RZ[0],AX48,RZ[Úroveň 2 (P0)],AY48,RZ[Úroveň 3 (P0)],AZ48,RZ[Úroveň 4 (P0)],BA48,RZ[Úroveň 5 (P0)],BB48,RZ[Úroveň 6 (P0)],BC48)</f>
        <v>0</v>
      </c>
      <c r="GF48" s="140">
        <f ca="1">SUMIFS(RZ[Úroveň 7 (P6)],RZ[0],AX48,RZ[Úroveň 2 (P0)],AY48,RZ[Úroveň 3 (P0)],AZ48,RZ[Úroveň 4 (P0)],BA48,RZ[Úroveň 5 (P0)],BB48,RZ[Úroveň 6 (P0)],BC48,RZ[Úroveň 7 (P0)],BD48)</f>
        <v>0</v>
      </c>
      <c r="GG48" s="140">
        <f ca="1">SUMIFS(RZ[Úroveň 8 (P6)],RZ[0],AX48,RZ[Úroveň 2 (P0)],AY48,RZ[Úroveň 3 (P0)],AZ48,RZ[Úroveň 4 (P0)],BA48,RZ[Úroveň 5 (P0)],BB48,RZ[Úroveň 6 (P0)],BC48,RZ[Úroveň 7 (P0)],BD48,RZ[Úroveň 8 (P0)],BE48)</f>
        <v>0</v>
      </c>
      <c r="GH48" s="140">
        <f ca="1">SUMIFS(RZ[Úroveň 9 (P6)],RZ[0],AX48,RZ[Úroveň 2 (P0)],AY48,RZ[Úroveň 3 (P0)],AZ48,RZ[Úroveň 4 (P0)],BA48,RZ[Úroveň 5 (P0)],BB48,RZ[Úroveň 6 (P0)],BC48,RZ[Úroveň 7 (P0)],BD48,RZ[Úroveň 8 (P0)],BE48,RZ[Úroveň 9 (P0)],BF48)</f>
        <v>0</v>
      </c>
      <c r="GI48" s="140">
        <f ca="1">SUMIFS(RZ[Úroveň 10 (P6)],RZ[0],AX48,RZ[Úroveň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GJ48" s="918">
        <f t="shared" ca="1" si="202"/>
        <v>1</v>
      </c>
      <c r="GK48" s="808">
        <f t="shared" si="203"/>
        <v>0</v>
      </c>
      <c r="GL48" s="808">
        <f t="shared" si="204"/>
        <v>0</v>
      </c>
      <c r="GM48" s="808">
        <f t="shared" si="205"/>
        <v>1</v>
      </c>
      <c r="GN48" s="808">
        <f t="shared" si="206"/>
        <v>0</v>
      </c>
      <c r="GO48" s="808">
        <f t="shared" si="207"/>
        <v>0</v>
      </c>
      <c r="GP48" s="808">
        <f t="shared" si="208"/>
        <v>0</v>
      </c>
      <c r="GQ48" s="808">
        <f t="shared" si="209"/>
        <v>0</v>
      </c>
      <c r="GR48" s="808">
        <f t="shared" si="210"/>
        <v>0</v>
      </c>
      <c r="GS48" s="808">
        <f t="shared" si="211"/>
        <v>0</v>
      </c>
      <c r="GT48" s="808">
        <f t="shared" si="212"/>
        <v>0</v>
      </c>
      <c r="GU48" s="809">
        <f ca="1">SUMIFS(RZ[Sloupec1],RZ[0],AX48)</f>
        <v>1</v>
      </c>
      <c r="GV48" s="809">
        <f ca="1">SUMIFS(RZ[Sloupec2],RZ[0],AX48,RZ[Úroveň 2 (P0)],AY48)</f>
        <v>1</v>
      </c>
      <c r="GW48" s="809">
        <f ca="1">SUMIFS(RZ[Sloupec3],RZ[0],AX48,RZ[Úroveň 2 (P0)],AY48,RZ[Úroveň 3 (P0)],AZ48)</f>
        <v>1</v>
      </c>
      <c r="GX48" s="809">
        <f ca="1">SUMIFS(RZ[Sloupec4],RZ[0],AX48,RZ[Úroveň 2 (P0)],AY48,RZ[Úroveň 3 (P0)],AZ48,RZ[Úroveň 4 (P0)],BA48)</f>
        <v>0</v>
      </c>
      <c r="GY48" s="809">
        <f ca="1">SUMIFS(RZ[Sloupec5],RZ[0],AX48,RZ[Úroveň 2 (P0)],AY48,RZ[Úroveň 3 (P0)],AZ48,RZ[Úroveň 4 (P0)],BA48,RZ[Úroveň 5 (P0)],BB48)</f>
        <v>0</v>
      </c>
      <c r="GZ48" s="809">
        <f ca="1">SUMIFS(RZ[Sloupec6],RZ[0],AX48,RZ[Úroveň 2 (P0)],AY48,RZ[Úroveň 3 (P0)],AZ48,RZ[Úroveň 4 (P0)],BA48,RZ[Úroveň 5 (P0)],BB48,RZ[Úroveň 6 (P0)],BC48)</f>
        <v>0</v>
      </c>
      <c r="HA48" s="809">
        <f ca="1">SUMIFS(RZ[Sloupec62],RZ[0],AX48,RZ[Úroveň 2 (P0)],AY48,RZ[Úroveň 3 (P0)],AZ48,RZ[Úroveň 4 (P0)],BA48,RZ[Úroveň 5 (P0)],BB48,RZ[Úroveň 6 (P0)],BC48,RZ[Úroveň 7 (P0)],BD48)</f>
        <v>0</v>
      </c>
      <c r="HB48" s="809">
        <f ca="1">SUMIFS(RZ[Sloupec63],RZ[0],AX48,RZ[Úroveň 2 (P0)],AY48,RZ[Úroveň 3 (P0)],AZ48,RZ[Úroveň 4 (P0)],BA48,RZ[Úroveň 5 (P0)],BB48,RZ[Úroveň 6 (P0)],BC48,RZ[Úroveň 7 (P0)],BD48,RZ[Úroveň 8 (P0)],BE48)</f>
        <v>0</v>
      </c>
      <c r="HC48" s="809">
        <f ca="1">SUMIFS(RZ[Sloupec64],RZ[0],AX48,RZ[Úroveň 2 (P0)],AY48,RZ[Úroveň 3 (P0)],AZ48,RZ[Úroveň 4 (P0)],BA48,RZ[Úroveň 5 (P0)],BB48,RZ[Úroveň 6 (P0)],BC48,RZ[Úroveň 7 (P0)],BD48,RZ[Úroveň 8 (P0)],BE48,RZ[Úroveň 9 (P0)],BF48)</f>
        <v>0</v>
      </c>
      <c r="HD48" s="809">
        <f ca="1">SUMIFS(RZ[Sloupec65],RZ[0],AX48,RZ[Úroveň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HE48" s="919">
        <f t="shared" ca="1" si="213"/>
        <v>1</v>
      </c>
      <c r="HF48" s="920" t="str">
        <f t="shared" si="214"/>
        <v/>
      </c>
      <c r="HG48" s="94" t="str">
        <f t="shared" si="215"/>
        <v/>
      </c>
      <c r="HH48" s="95" t="str">
        <f t="shared" si="216"/>
        <v/>
      </c>
      <c r="HI48" s="95" t="str">
        <f t="shared" si="217"/>
        <v>Převodovka</v>
      </c>
      <c r="HJ48" s="96" t="str">
        <f t="shared" si="218"/>
        <v/>
      </c>
      <c r="HK48" s="96" t="str">
        <f t="shared" si="219"/>
        <v/>
      </c>
      <c r="HL48" s="96" t="str">
        <f t="shared" si="220"/>
        <v/>
      </c>
      <c r="HM48" s="96" t="str">
        <f t="shared" si="221"/>
        <v/>
      </c>
      <c r="HN48" s="96" t="str">
        <f t="shared" si="222"/>
        <v/>
      </c>
      <c r="HO48" s="96" t="str">
        <f t="shared" si="223"/>
        <v/>
      </c>
      <c r="HP48" s="96" t="str">
        <f t="shared" si="224"/>
        <v/>
      </c>
      <c r="HQ48" s="145" t="str">
        <f t="shared" si="225"/>
        <v>STPR</v>
      </c>
      <c r="HR48" s="921" t="str">
        <f t="shared" si="226"/>
        <v/>
      </c>
      <c r="HS48" s="173">
        <f t="shared" si="227"/>
        <v>0</v>
      </c>
      <c r="HT48" s="100" t="str">
        <f t="shared" si="228"/>
        <v xml:space="preserve">X4K270 n2=9,5 rpm, n1=1480 rpm, Fs=2, i= 151 </v>
      </c>
      <c r="HU48" s="100">
        <f t="shared" si="229"/>
        <v>0</v>
      </c>
      <c r="HV48" s="908" t="str">
        <f t="shared" si="230"/>
        <v>Zajíc</v>
      </c>
      <c r="HW48" s="922">
        <f t="shared" si="231"/>
        <v>42950.604421296295</v>
      </c>
      <c r="HX48" s="224">
        <f t="shared" si="232"/>
        <v>0</v>
      </c>
      <c r="HY48" s="263" t="str">
        <f t="shared" si="233"/>
        <v>S</v>
      </c>
      <c r="HZ48" s="263" t="str">
        <f t="shared" si="234"/>
        <v>N</v>
      </c>
      <c r="IA48" s="150">
        <f t="shared" si="235"/>
        <v>1</v>
      </c>
      <c r="IB48" s="319">
        <f t="shared" si="236"/>
        <v>61125</v>
      </c>
      <c r="IC48" s="923">
        <f t="shared" si="237"/>
        <v>1</v>
      </c>
      <c r="ID48" s="924" t="str">
        <f t="shared" ca="1" si="238"/>
        <v>OK</v>
      </c>
      <c r="IE48" s="201" t="str">
        <f t="shared" si="239"/>
        <v>ks</v>
      </c>
      <c r="IF48" s="145">
        <f t="shared" si="240"/>
        <v>1</v>
      </c>
      <c r="IG48" s="216">
        <f t="shared" si="241"/>
        <v>7000</v>
      </c>
      <c r="IH48" s="217">
        <f t="shared" si="242"/>
        <v>1</v>
      </c>
      <c r="II48" s="224" t="str">
        <f ca="1">IF(RZ[[#This Row],[Rozhodný sloupec indikativní ceny]]=1,"kg",IF($IW48=$JL$15,IF(JX48=0,JO48,JX48),IF($IW48=$KE$15,IF(KQ48=0,KH48,KQ48),IF($IW48=$KX$15,IF(LJ48=0,LA48,LJ48),IF($IW48=$LQ$15,IF(MC48=0,LT48,MC48),IF($IW48=$MJ$15,IF(NQ48=0,NH48,NQ48),0))))))</f>
        <v>ks</v>
      </c>
      <c r="IJ48" s="224">
        <f ca="1">IF((BH48+OFFSET(BH48,1,1,1,1))=2,RZ[[#This Row],[Počet MJHR (P0)]],IF((BI48+OFFSET(BI48,1,1,1,1))=2,RZ[[#This Row],[Počet MJHR (P0)]],IF((BJ48+OFFSET(BJ48,1,1,1,1))=2,RZ[[#This Row],[Počet MJHR (P0)]],IF((BK48+OFFSET(BK48,1,1,1,1))=2,RZ[[#This Row],[Počet MJHR (P0)]],IF((BL48+OFFSET(BL48,1,1,1,1))=2,RZ[[#This Row],[Počet MJHR (P0)]],IF((BM48+OFFSET(BM48,1,1,1,1))=2,RZ[[#This Row],[Počet MJHR (P0)]],IF((BN48+OFFSET(BN48,1,1,1,1))=2,RZ[[#This Row],[Počet MJHR (P0)]],IF((BO48+OFFSET(BO48,1,1,1,1))=2,RZ[[#This Row],[Počet MJHR (P0)]],IF((BP48+OFFSET(BP48,1,1,1,1))=2,RZ[[#This Row],[Počet MJHR (P0)]],IF((BQ48+OFFSET(BQ48,1,1,1,1))=2,RZ[[#This Row],[Počet MJHR (P0)]],IF(RZ[[#This Row],[Měrná jednotka CR (MJCR) (P0)]]=RZ[[#This Row],[Měrná jednotka HR '[MJHR'] (P0)]],RZ[[#This Row],[Počet MJHR (P0)]],IF($IW48=$JL$15,JY48,IF($IW48=$KE$15,KR48,IF($IW48=$KX$15,LK48,IF($IW48=$LQ$15,MD48,IF($IW48=$MJ$15,NR48,0))))))))))))))))</f>
        <v>1</v>
      </c>
      <c r="IK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8" s="145">
        <f ca="1">IF(AND(RZ[[#This Row],[Jednotková cena bez DPH '[cena/MJCR'] (P0)]]=0,RZ[[#This Row],[Indikativní jednotková cena '[CZK/kg'] (P1)]]&lt;&gt;0),1,0)</f>
        <v>0</v>
      </c>
      <c r="IM48" s="217">
        <f ca="1">VLOOKUP(RZ[[#This Row],[Kód položek]],INDIKAT_CENA,2,FALSE)</f>
        <v>0</v>
      </c>
      <c r="IN48" s="222">
        <f ca="1">IF(RZ[[#This Row],[Rozhodný sloupec indikativní ceny]]=1,RZ[[#This Row],[Indikativní jednotková cena '[CZK/kg'] (P1)]],RZ[[#This Row],[Jednotková cena bez DPH '[cena/MJCR'] (P0)]])</f>
        <v>61125</v>
      </c>
      <c r="IO48" s="222">
        <f t="shared" si="243"/>
        <v>1</v>
      </c>
      <c r="IP48" s="224">
        <f ca="1">IF(RZ[[#This Row],[Rozhodný sloupec indikativní ceny]]=1,1,IF($IW48=$JL$15,KA48,IF($IW48=$KE$15,KT48,IF($IW48=$KX$15,LM48,IF($IW48=$LQ$15,MF48,IF($IW48=$MJ$15,NT48,0))))))</f>
        <v>2</v>
      </c>
      <c r="IQ48" s="225">
        <f ca="1">IF(RZ[[#This Row],[Jednotková cena bez DPH '[cena/MJCR'] (P1)]]="",0,IF(IP48=0,0,(RZ[[#This Row],[Jednotková cena bez DPH '[cena/MJCR'] (P1)]]*VLOOKUP(IP48,$BR$7:$BT$10,3))))</f>
        <v>1650375</v>
      </c>
      <c r="IR48" s="737"/>
      <c r="IS48" s="627">
        <f>IF(HY48=0,"",VLOOKUP(RZ[[#This Row],[Stav Projekce (P0)]],Vstupy!$E$11:'Vstupy'!$E$11:$H$17,4,FALSE))</f>
        <v>100</v>
      </c>
      <c r="IT48" s="925" t="str">
        <f>IF(RZ[[#This Row],[Stav Projekce (P0)]]=0,"",RZ[[#This Row],[Stav Projekce (P0)]])</f>
        <v>S</v>
      </c>
      <c r="IU48" s="925" t="str">
        <f>IF(RZ[[#This Row],[Stav Nákup (P0)]]=0,"",RZ[[#This Row],[Stav Nákup (P0)]])</f>
        <v>N</v>
      </c>
      <c r="IV48" s="926" t="str">
        <f t="shared" si="244"/>
        <v>Zajíc</v>
      </c>
      <c r="IW48" s="641">
        <v>1</v>
      </c>
      <c r="IX48" s="630"/>
      <c r="IY48" s="264"/>
      <c r="IZ48" s="648"/>
      <c r="JA48" s="100"/>
      <c r="JB48" s="100" t="s">
        <v>823</v>
      </c>
      <c r="JC48" s="100"/>
      <c r="JD48" s="100"/>
      <c r="JE48" s="100"/>
      <c r="JF48" s="100"/>
      <c r="JG48" s="100"/>
      <c r="JH48" s="100"/>
      <c r="JI48" s="100"/>
      <c r="JJ48" s="145" t="s">
        <v>832</v>
      </c>
      <c r="JK48" s="529"/>
      <c r="JL48" s="286"/>
      <c r="JM48" s="100" t="s">
        <v>845</v>
      </c>
      <c r="JN48" s="100"/>
      <c r="JO48" s="145" t="s">
        <v>35</v>
      </c>
      <c r="JP48" s="117">
        <v>1</v>
      </c>
      <c r="JQ48" s="117">
        <v>7000</v>
      </c>
      <c r="JR48" s="148">
        <v>1</v>
      </c>
      <c r="JS48" s="145" t="s">
        <v>602</v>
      </c>
      <c r="JT48" s="631"/>
      <c r="JU48" s="148" t="s">
        <v>853</v>
      </c>
      <c r="JV48" s="154">
        <v>42950.604421296295</v>
      </c>
      <c r="JW48" s="145"/>
      <c r="JX48" s="210" t="s">
        <v>35</v>
      </c>
      <c r="JY48" s="117"/>
      <c r="JZ48" s="662">
        <v>61125</v>
      </c>
      <c r="KA48" s="145">
        <v>2</v>
      </c>
      <c r="KB48" s="148">
        <v>1</v>
      </c>
      <c r="KC48" s="148" t="s">
        <v>611</v>
      </c>
      <c r="KD48" s="644"/>
      <c r="KE48" s="286"/>
      <c r="KF48" s="100"/>
      <c r="KG48" s="100"/>
      <c r="KH48" s="210"/>
      <c r="KI48" s="117"/>
      <c r="KJ48" s="117"/>
      <c r="KK48" s="148"/>
      <c r="KL48" s="145"/>
      <c r="KM48" s="632"/>
      <c r="KN48" s="148"/>
      <c r="KO48" s="154"/>
      <c r="KP48" s="154"/>
      <c r="KQ48" s="210"/>
      <c r="KR48" s="117"/>
      <c r="KS48" s="211"/>
      <c r="KT48" s="145"/>
      <c r="KU48" s="148"/>
      <c r="KV48" s="148"/>
      <c r="KW48" s="265"/>
      <c r="KX48" s="286"/>
      <c r="KY48" s="100"/>
      <c r="KZ48" s="100"/>
      <c r="LA48" s="210"/>
      <c r="LB48" s="117"/>
      <c r="LC48" s="117"/>
      <c r="LD48" s="148"/>
      <c r="LE48" s="145"/>
      <c r="LF48" s="632"/>
      <c r="LG48" s="148"/>
      <c r="LH48" s="154"/>
      <c r="LI48" s="154"/>
      <c r="LJ48" s="154"/>
      <c r="LK48" s="117"/>
      <c r="LL48" s="211"/>
      <c r="LM48" s="210"/>
      <c r="LN48" s="148"/>
      <c r="LO48" s="148"/>
      <c r="LP48" s="265"/>
      <c r="LQ48" s="286"/>
      <c r="LR48" s="100"/>
      <c r="LS48" s="100"/>
      <c r="LT48" s="210"/>
      <c r="LU48" s="117"/>
      <c r="LV48" s="117"/>
      <c r="LW48" s="148"/>
      <c r="LX48" s="145"/>
      <c r="LY48" s="632"/>
      <c r="LZ48" s="148"/>
      <c r="MA48" s="154"/>
      <c r="MB48" s="154"/>
      <c r="MC48" s="145"/>
      <c r="MD48" s="117"/>
      <c r="ME48" s="211"/>
      <c r="MF48" s="210"/>
      <c r="MG48" s="148"/>
      <c r="MH48" s="148"/>
      <c r="MI48" s="265"/>
      <c r="MJ48" s="647"/>
      <c r="MK48" s="264"/>
      <c r="ML48" s="153"/>
      <c r="MM48" s="153"/>
      <c r="MN48" s="153"/>
      <c r="MO48" s="153"/>
      <c r="MP48" s="153"/>
      <c r="MQ48" s="153"/>
      <c r="MR48" s="153"/>
      <c r="MS48" s="99"/>
      <c r="MT48" s="99"/>
      <c r="MU48" s="99"/>
      <c r="MV48" s="99"/>
      <c r="MW48" s="99"/>
      <c r="MX48" s="99"/>
      <c r="MY48" s="153"/>
      <c r="MZ48" s="153"/>
      <c r="NA48" s="153"/>
      <c r="NB48" s="153"/>
      <c r="NC48" s="153"/>
      <c r="ND48" s="153"/>
      <c r="NE48" s="148"/>
      <c r="NF48" s="153"/>
      <c r="NG48" s="153"/>
      <c r="NH48" s="330" t="str">
        <f t="shared" si="245"/>
        <v>ks</v>
      </c>
      <c r="NI48" s="797">
        <f>RZ[[#This Row],[Počet ks (K)]]</f>
        <v>0</v>
      </c>
      <c r="NJ48" s="798">
        <f>RZ[[#This Row],[Hmotnost '[kg/ks'] (K)]]</f>
        <v>0</v>
      </c>
      <c r="NK48" s="148"/>
      <c r="NL48" s="145"/>
      <c r="NM48" s="632"/>
      <c r="NN48" s="148"/>
      <c r="NO48" s="154"/>
      <c r="NP48" s="153"/>
      <c r="NQ48" s="153"/>
      <c r="NR48" s="210"/>
      <c r="NS48" s="148"/>
      <c r="NT48" s="210"/>
      <c r="NU48" s="148"/>
      <c r="NV48" s="148"/>
      <c r="NW48" s="175"/>
    </row>
    <row r="49" spans="2:387" ht="15.95" customHeight="1" x14ac:dyDescent="0.35">
      <c r="B49" s="118" t="str">
        <f t="shared" si="129"/>
        <v/>
      </c>
      <c r="C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9" s="262" t="str">
        <f t="shared" si="130"/>
        <v xml:space="preserve">    ELHY BL200 C</v>
      </c>
      <c r="E49" s="120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Row],[Kód položek (P2)]]))))))))))</f>
        <v>SUOS</v>
      </c>
      <c r="F49" s="791" t="str">
        <f t="shared" si="131"/>
        <v>N/A</v>
      </c>
      <c r="G49" s="792" t="str">
        <f t="shared" si="132"/>
        <v/>
      </c>
      <c r="H49" s="262" t="str">
        <f t="shared" si="133"/>
        <v/>
      </c>
      <c r="I49" s="123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HR '[MJHR'] (P0)]]))))))))))</f>
        <v>ks</v>
      </c>
      <c r="J49" s="123">
        <f t="shared" si="134"/>
        <v>1</v>
      </c>
      <c r="K49" s="793">
        <f>RZ[[#This Row],[Koeficient odhadu HR '[-'] (P1)]]</f>
        <v>1</v>
      </c>
      <c r="L49" s="124">
        <f ca="1">RZ[[#This Row],[Jednotková hmotnost s koef. '[kg/MJHR'] (P0)]]</f>
        <v>45</v>
      </c>
      <c r="M49" s="794">
        <f t="shared" ca="1" si="135"/>
        <v>0</v>
      </c>
      <c r="N49" s="125">
        <f t="shared" ca="1" si="136"/>
        <v>45</v>
      </c>
      <c r="O49" s="125">
        <f t="shared" ca="1" si="137"/>
        <v>0</v>
      </c>
      <c r="P49" s="126" t="str">
        <f t="shared" si="138"/>
        <v/>
      </c>
      <c r="Q49" s="795">
        <f ca="1">RZ[[#This Row],[Počet MJHR v rozpadu (P0)]]</f>
        <v>1</v>
      </c>
      <c r="R49" s="439" t="str">
        <f t="shared" si="139"/>
        <v>Zajíc</v>
      </c>
      <c r="S49" s="129">
        <f t="shared" si="140"/>
        <v>42950.646423611113</v>
      </c>
      <c r="T49" s="126" t="str">
        <f t="shared" si="141"/>
        <v/>
      </c>
      <c r="U49" s="126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CR (MJCR) (P0)]]))))))))))</f>
        <v>ks</v>
      </c>
      <c r="V49" s="575">
        <f t="shared" ca="1" si="142"/>
        <v>1</v>
      </c>
      <c r="W49" s="322">
        <f>RZ[[#This Row],[Koeficient odhadu CR '[-'] (P1)]]</f>
        <v>1</v>
      </c>
      <c r="X49" s="440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Row],[Jednotková cena bez DPH '[cena/MJCR'] (P1)]]*RZ[[#This Row],[Koeficient odhadu CR '[-']]]))))))))))</f>
        <v>50000</v>
      </c>
      <c r="Y49" s="440">
        <f t="shared" ca="1" si="143"/>
        <v>0</v>
      </c>
      <c r="Z49" s="142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VLOOKUP(IP49,$BR$7:$BS$11,2,FALSE)))))))))))</f>
        <v>CZK</v>
      </c>
      <c r="AA49" s="909">
        <f t="shared" ca="1" si="144"/>
        <v>1</v>
      </c>
      <c r="AB49" s="910">
        <f ca="1">RZ[[#This Row],[Kumulovaný koeficient v rozpadu (P0)]]</f>
        <v>1</v>
      </c>
      <c r="AC49" s="261"/>
      <c r="AD49" s="796">
        <f ca="1">RZ[[#This Row],[Jednotková cena bez DPH '[cena/MJCR'] s koef. (P0)]]/RZ[[#This Row],[Koeficient odhadu CR '[-']]]*RZ[[#This Row],[Kumulovaný koeficient odhadu CR  '[-']]]</f>
        <v>50000</v>
      </c>
      <c r="AE49" s="796">
        <f t="shared" ca="1" si="145"/>
        <v>50000</v>
      </c>
      <c r="AF49" s="796">
        <f ca="1">-IF(ISNUMBER(AA49),RZ[[#This Row],[Celková cena bez DPH (1)]]-RZ[[#This Row],[Jednotková cena bez DPH '[cena/MJCR'] bez koef. (P0)]]*AA49,0)</f>
        <v>0</v>
      </c>
      <c r="AG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1111.1111111111111</v>
      </c>
      <c r="AH49" s="261"/>
      <c r="AI49" s="796">
        <f t="shared" ca="1" si="146"/>
        <v>1851.851851851852</v>
      </c>
      <c r="AJ49" s="796">
        <f t="shared" ca="1" si="147"/>
        <v>1851.851851851852</v>
      </c>
      <c r="AK49" s="796">
        <f t="shared" ca="1" si="148"/>
        <v>0</v>
      </c>
      <c r="AL49" s="753">
        <f ca="1">RZ[[#This Row],[Kilogramová cena bez DPH '[cena/kg'] (1)]]/$AK$13</f>
        <v>41.152263374485592</v>
      </c>
      <c r="AM49" s="261"/>
      <c r="AN49" s="796">
        <f t="shared" ca="1" si="149"/>
        <v>2415.4589371980678</v>
      </c>
      <c r="AO49" s="796">
        <f t="shared" ca="1" si="150"/>
        <v>2415.4589371980678</v>
      </c>
      <c r="AP49" s="796">
        <f t="shared" ca="1" si="151"/>
        <v>0</v>
      </c>
      <c r="AQ49" s="753">
        <f ca="1">RZ[[#This Row],[Kilogramová cena bez DPH '[cena/kg'] (1)]]/$AP$13</f>
        <v>53.676865271068174</v>
      </c>
      <c r="AR49" s="261"/>
      <c r="AS49" s="796">
        <f t="shared" ca="1" si="152"/>
        <v>1367.6148796498906</v>
      </c>
      <c r="AT49" s="796">
        <f t="shared" ca="1" si="153"/>
        <v>1367.6148796498906</v>
      </c>
      <c r="AU49" s="789">
        <f t="shared" ca="1" si="154"/>
        <v>0</v>
      </c>
      <c r="AV49" s="767">
        <f ca="1">RZ[[#This Row],[Kilogramová cena bez DPH '[cena/kg'] (1)]]/$AU$13</f>
        <v>30.391441769997567</v>
      </c>
      <c r="AW49" s="165"/>
      <c r="AX49" s="911">
        <f t="shared" ca="1" si="155"/>
        <v>2</v>
      </c>
      <c r="AY49" s="111">
        <f t="shared" ca="1" si="156"/>
        <v>1</v>
      </c>
      <c r="AZ49" s="111">
        <f t="shared" ca="1" si="157"/>
        <v>26</v>
      </c>
      <c r="BA49" s="111">
        <f t="shared" ca="1" si="158"/>
        <v>0</v>
      </c>
      <c r="BB49" s="111">
        <f t="shared" ca="1" si="159"/>
        <v>0</v>
      </c>
      <c r="BC49" s="111">
        <f t="shared" ca="1" si="160"/>
        <v>0</v>
      </c>
      <c r="BD49" s="111">
        <f t="shared" ca="1" si="161"/>
        <v>0</v>
      </c>
      <c r="BE49" s="111">
        <f t="shared" ca="1" si="162"/>
        <v>0</v>
      </c>
      <c r="BF49" s="111">
        <f t="shared" ca="1" si="163"/>
        <v>0</v>
      </c>
      <c r="BG49" s="112">
        <f t="shared" ca="1" si="164"/>
        <v>0</v>
      </c>
      <c r="BH49" s="911">
        <f t="shared" si="165"/>
        <v>0</v>
      </c>
      <c r="BI49" s="111">
        <f t="shared" si="166"/>
        <v>0</v>
      </c>
      <c r="BJ49" s="111">
        <f t="shared" si="167"/>
        <v>1</v>
      </c>
      <c r="BK49" s="111">
        <f t="shared" si="168"/>
        <v>0</v>
      </c>
      <c r="BL49" s="111">
        <f t="shared" si="169"/>
        <v>0</v>
      </c>
      <c r="BM49" s="111">
        <f t="shared" si="170"/>
        <v>0</v>
      </c>
      <c r="BN49" s="111">
        <f t="shared" si="171"/>
        <v>0</v>
      </c>
      <c r="BO49" s="111">
        <f t="shared" si="172"/>
        <v>0</v>
      </c>
      <c r="BP49" s="111">
        <f t="shared" si="173"/>
        <v>0</v>
      </c>
      <c r="BQ49" s="112">
        <f t="shared" si="174"/>
        <v>0</v>
      </c>
      <c r="BR49" s="132">
        <f ca="1">IF(OFFSET(AY49,1,0,1,1)&lt;&gt;0,RZ[[#This Row],[Koeficient odhadu HR '[-'] (P1)]]*$BH49*SUMIFS(RZ[Úroveň 2 s koef. (P2)],RZ[0],AX49),RZ[[#This Row],[Koeficient odhadu HR '[-'] (P1)]]*$BH49*$IG49)</f>
        <v>0</v>
      </c>
      <c r="BS49" s="186">
        <f ca="1">IF(OFFSET(AY49,1,0,1,1)&lt;&gt;0,$BH49*SUMIFS(RZ[Úroveň 2 bez koef. (P2)],RZ[0],AX49),$BH49*$IG49)</f>
        <v>0</v>
      </c>
      <c r="BT49" s="138">
        <f ca="1">RZ[[#This Row],[Úroveň 2 s koef. (P2a)]]*RZ[[#This Row],[Počet MJHR (P0)]]</f>
        <v>0</v>
      </c>
      <c r="BU49" s="138">
        <f ca="1">RZ[[#This Row],[Úroveň 2 bez koef. (P2a)]]*RZ[[#This Row],[Počet MJHR (P0)]]</f>
        <v>0</v>
      </c>
      <c r="BV49" s="138">
        <f ca="1">IF(OFFSET(AZ49,1,0,1,1)&lt;&gt;0,RZ[[#This Row],[Koeficient odhadu HR '[-'] (P1)]]*$BI49*SUMIFS(RZ[Úroveň 3 s koef. (P2)],RZ[0],AX49,RZ[Úroveň 2 (P0)],AY49),RZ[[#This Row],[Koeficient odhadu HR '[-'] (P1)]]*$BI49*$IG49)</f>
        <v>0</v>
      </c>
      <c r="BW49" s="138">
        <f ca="1">IF(OFFSET(AZ49,1,0,1,1)&lt;&gt;0,$BI49*SUMIFS(RZ[Úroveň 3 bez koef. (P2)],RZ[0],AX49,RZ[Úroveň 2 (P0)],AY49),$BI49*$IG49)</f>
        <v>0</v>
      </c>
      <c r="BX49" s="132">
        <f ca="1">RZ[[#This Row],[Úroveň 3 s koef. (P2a)]]*RZ[[#This Row],[Počet MJHR (P0)]]</f>
        <v>45</v>
      </c>
      <c r="BY49" s="132">
        <f ca="1">RZ[Úroveň 3 bez koef. (P2a)]*RZ[[#This Row],[Počet MJHR (P0)]]</f>
        <v>45</v>
      </c>
      <c r="BZ49" s="132">
        <f ca="1">IF(OFFSET(BA49,1,0,1,1)&lt;&gt;0,RZ[[#This Row],[Koeficient odhadu HR '[-'] (P1)]]*$BJ49*SUMIFS(RZ[Úroveň 4 s koef. (P2)],RZ[0],AX49,RZ[Úroveň 2 (P0)],AY49,RZ[Úroveň 3 (P0)],AZ49),RZ[[#This Row],[Koeficient odhadu HR '[-'] (P1)]]*$BJ49*$IG49)</f>
        <v>45</v>
      </c>
      <c r="CA49" s="132">
        <f ca="1">IF(OFFSET(BA49,1,0,1,1)&lt;&gt;0,$BJ49*SUMIFS(RZ[Úroveň 4 bez koef. (P2)],RZ[0],AX49,RZ[Úroveň 2 (P0)],AY49,RZ[Úroveň 3 (P0)],AZ49),$BJ49*$IG49)</f>
        <v>45</v>
      </c>
      <c r="CB49" s="138">
        <f ca="1">RZ[[#This Row],[Úroveň 4 s koef. (P2a)]]*RZ[[#This Row],[Počet MJHR (P0)]]</f>
        <v>0</v>
      </c>
      <c r="CC49" s="138">
        <f ca="1">RZ[Úroveň 4 bez koef. (P2a)]*RZ[[#This Row],[Počet MJHR (P0)]]</f>
        <v>0</v>
      </c>
      <c r="CD49" s="138">
        <f ca="1">IF(OFFSET(BB49,1,0,1,1)&lt;&gt;0,RZ[[#This Row],[Koeficient odhadu HR '[-'] (P1)]]*$BK49*SUMIFS(RZ[Úroveň 5 s koef. (P2)],RZ[0],AX49,RZ[Úroveň 2 (P0)],AY49,RZ[Úroveň 3 (P0)],AZ49,RZ[Úroveň 4 (P0)],BA49),RZ[[#This Row],[Koeficient odhadu HR '[-'] (P1)]]*$BK49*$IG49)</f>
        <v>0</v>
      </c>
      <c r="CE49" s="138">
        <f ca="1">IF(OFFSET(BB49,1,0,1,1)&lt;&gt;0,$BK49*SUMIFS(RZ[Úroveň 5 bez koef. (P2)],RZ[0],AX49,RZ[Úroveň 2 (P0)],AY49,RZ[Úroveň 3 (P0)],AZ49,RZ[Úroveň 4 (P0)],BA49),$BK49*$IG49)</f>
        <v>0</v>
      </c>
      <c r="CF49" s="132">
        <f ca="1">RZ[[#This Row],[Úroveň 5 s koef. (P2a)]]*RZ[[#This Row],[Počet MJHR (P0)]]</f>
        <v>0</v>
      </c>
      <c r="CG49" s="132">
        <f ca="1">RZ[Úroveň 5 bez koef. (P2a)]*RZ[[#This Row],[Počet MJHR (P0)]]</f>
        <v>0</v>
      </c>
      <c r="CH49" s="132">
        <f ca="1">IF(OFFSET(BC49,1,0,1,1)&lt;&gt;0,RZ[[#This Row],[Koeficient odhadu HR '[-'] (P1)]]*$BL49*SUMIFS(RZ[Úroveň 6 s koef. (P2)],RZ[0],AX49,RZ[Úroveň 2 (P0)],AY49,RZ[Úroveň 3 (P0)],AZ49,RZ[Úroveň 4 (P0)],BA49,RZ[Úroveň 5 (P0)],BB49),RZ[[#This Row],[Koeficient odhadu HR '[-'] (P1)]]*$BL49*$IG49)</f>
        <v>0</v>
      </c>
      <c r="CI49" s="132">
        <f ca="1">IF(OFFSET(BC49,1,0,1,1)&lt;&gt;0,$BL49*SUMIFS(RZ[Úroveň 6 bez koef. (P2)],RZ[0],AX49,RZ[Úroveň 2 (P0)],AY49,RZ[Úroveň 3 (P0)],AZ49,RZ[Úroveň 4 (P0)],BA49,RZ[Úroveň 5 (P0)],BB49),$BL49*$IG49)</f>
        <v>0</v>
      </c>
      <c r="CJ49" s="138">
        <f ca="1">RZ[[#This Row],[Úroveň 6 s koef. (P2a)]]*RZ[[#This Row],[Počet MJHR (P0)]]</f>
        <v>0</v>
      </c>
      <c r="CK49" s="138">
        <f ca="1">RZ[Úroveň 6 bez koef. (P2a)]*RZ[[#This Row],[Počet MJHR (P0)]]</f>
        <v>0</v>
      </c>
      <c r="CL49" s="138">
        <f ca="1">IF(OFFSET(BD49,1,0,1,1)&lt;&gt;0,RZ[[#This Row],[Koeficient odhadu HR '[-'] (P1)]]*$BM49*SUMIFS(RZ[Úroveň 7 s koef. (P2)],RZ[0],AX49,RZ[Úroveň 2 (P0)],AY49,RZ[Úroveň 3 (P0)],AZ49,RZ[Úroveň 4 (P0)],BA49,RZ[Úroveň 5 (P0)],BB49,RZ[Úroveň 6 (P0)],BC49),RZ[[#This Row],[Koeficient odhadu HR '[-'] (P1)]]*$BM49*$IG49)</f>
        <v>0</v>
      </c>
      <c r="CM49" s="138">
        <f ca="1">IF(OFFSET(BD49,1,0,1,1)&lt;&gt;0,$BM49*SUMIFS(RZ[Úroveň 7 bez koef. (P2)],RZ[0],AX49,RZ[Úroveň 2 (P0)],AY49,RZ[Úroveň 3 (P0)],AZ49,RZ[Úroveň 4 (P0)],BA49,RZ[Úroveň 5 (P0)],BB49,RZ[Úroveň 6 (P0)],BC49),$BM49*$IG49)</f>
        <v>0</v>
      </c>
      <c r="CN49" s="132">
        <f ca="1">RZ[[#This Row],[Úroveň 7 s koef. (P2a)]]*RZ[[#This Row],[Počet MJHR (P0)]]</f>
        <v>0</v>
      </c>
      <c r="CO49" s="132">
        <f ca="1">RZ[Úroveň 7 bez koef. (P2a)]*RZ[[#This Row],[Počet MJHR (P0)]]</f>
        <v>0</v>
      </c>
      <c r="CP49" s="132">
        <f ca="1">IF(OFFSET(BE49,1,0,1,1)&lt;&gt;0,RZ[[#This Row],[Koeficient odhadu HR '[-'] (P1)]]*$BN49*SUMIFS(RZ[Úroveň 8 s koef. (P2)],RZ[0],AX49,RZ[Úroveň 2 (P0)],AY49,RZ[Úroveň 3 (P0)],AZ49,RZ[Úroveň 4 (P0)],BA49,RZ[Úroveň 5 (P0)],BB49,RZ[Úroveň 6 (P0)],BC49,RZ[Úroveň 7 (P0)],BD49),RZ[[#This Row],[Koeficient odhadu HR '[-'] (P1)]]*$BN49*$IG49)</f>
        <v>0</v>
      </c>
      <c r="CQ49" s="132">
        <f ca="1">IF(OFFSET(BE49,1,0,1,1)&lt;&gt;0,$BN49*SUMIFS(RZ[Úroveň 8 bez koef. (P2)],RZ[0],AX49,RZ[Úroveň 2 (P0)],AY49,RZ[Úroveň 3 (P0)],AZ49,RZ[Úroveň 4 (P0)],BA49,RZ[Úroveň 5 (P0)],BB49,RZ[Úroveň 6 (P0)],BC49,RZ[Úroveň 7 (P0)],BD49),$BN49*$IG49)</f>
        <v>0</v>
      </c>
      <c r="CR49" s="138">
        <f ca="1">RZ[[#This Row],[Úroveň 8 s koef. (P2a)]]*RZ[[#This Row],[Počet MJHR (P0)]]</f>
        <v>0</v>
      </c>
      <c r="CS49" s="138">
        <f ca="1">RZ[Úroveň 8 bez koef. (P2a)]*RZ[[#This Row],[Počet MJHR (P0)]]</f>
        <v>0</v>
      </c>
      <c r="CT49" s="138">
        <f ca="1">IF(OFFSET(BF49,1,0,1,1)&lt;&gt;0,RZ[[#This Row],[Koeficient odhadu HR '[-'] (P1)]]*$BO49*SUMIFS(RZ[Úroveň 9 s koef. (P2)],RZ[0],AX49,RZ[Úroveň 2 (P0)],AY49,RZ[Úroveň 3 (P0)],AZ49,RZ[Úroveň 4 (P0)],BA49,RZ[Úroveň 5 (P0)],BB49,RZ[Úroveň 6 (P0)],BC49,RZ[Úroveň 7 (P0)],BD49,RZ[Úroveň 8 (P0)],BE49),RZ[[#This Row],[Koeficient odhadu HR '[-'] (P1)]]*$BO49*$IG49)</f>
        <v>0</v>
      </c>
      <c r="CU49" s="138">
        <f ca="1">IF(OFFSET(BF49,1,0,1,1)&lt;&gt;0,$BO49*SUMIFS(RZ[Úroveň 9 bez koef. (P2)],RZ[0],AX49,RZ[Úroveň 2 (P0)],AY49,RZ[Úroveň 3 (P0)],AZ49,RZ[Úroveň 4 (P0)],BA49,RZ[Úroveň 5 (P0)],BB49,RZ[Úroveň 6 (P0)],BC49,RZ[Úroveň 7 (P0)],BD49,RZ[Úroveň 8 (P0)],BE49),$BO49*$IG49)</f>
        <v>0</v>
      </c>
      <c r="CV49" s="132">
        <f ca="1">RZ[[#This Row],[Úroveň 9 s koef. (P2a)]]*RZ[[#This Row],[Počet MJHR (P0)]]</f>
        <v>0</v>
      </c>
      <c r="CW49" s="132">
        <f ca="1">RZ[Úroveň 9 bez koef. (P2a)]*RZ[[#This Row],[Počet MJHR (P0)]]</f>
        <v>0</v>
      </c>
      <c r="CX49" s="132">
        <f ca="1">IF(OFFSET(BG49,1,0,1,1)&lt;&gt;0,RZ[[#This Row],[Koeficient odhadu HR '[-'] (P1)]]*$BP49*SUMIFS(RZ[Úroveň 10 s koef. (P2)],RZ[0],AX49,RZ[Úroveň 2 (P0)],AY49,RZ[Úroveň 3 (P0)],AZ49,RZ[Úroveň 4 (P0)],BA49,RZ[Úroveň 5 (P0)],BB49,RZ[Úroveň 6 (P0)],BC49,RZ[Úroveň 7 (P0)],BD49,RZ[Úroveň 8 (P0)],BE49,RZ[Úroveň 9 (P0)],BF49),RZ[[#This Row],[Koeficient odhadu HR '[-'] (P1)]]*$BP49*$IG49)</f>
        <v>0</v>
      </c>
      <c r="CY49" s="132">
        <f ca="1">IF(OFFSET(BG49,1,0,1,1)&lt;&gt;0,$BP49*SUMIFS(RZ[Úroveň 10 bez koef. (P2)],RZ[0],AX49,RZ[Úroveň 2 (P0)],AY49,RZ[Úroveň 3 (P0)],AZ49,RZ[Úroveň 4 (P0)],BA49,RZ[Úroveň 5 (P0)],BB49,RZ[Úroveň 6 (P0)],BC49,RZ[Úroveň 7 (P0)],BD49,RZ[Úroveň 8 (P0)],BE49,RZ[Úroveň 9 (P0)],BF49),$BP49*$IG49)</f>
        <v>0</v>
      </c>
      <c r="CZ49" s="138">
        <f>RZ[[#This Row],[Úroveň 10 s koef. (P2a)]]*RZ[[#This Row],[Počet MJHR (P0)]]</f>
        <v>0</v>
      </c>
      <c r="DA49" s="138">
        <f>RZ[Úroveň 10 bez koef. (P2a)]*RZ[[#This Row],[Počet MJHR (P0)]]</f>
        <v>0</v>
      </c>
      <c r="DB49" s="138">
        <f>RZ[[#This Row],[Koeficient odhadu HR '[-'] (P1)]]*$BQ49*IG49</f>
        <v>0</v>
      </c>
      <c r="DC49" s="231">
        <f t="shared" si="175"/>
        <v>0</v>
      </c>
      <c r="DD49" s="241">
        <f t="shared" ca="1" si="176"/>
        <v>45</v>
      </c>
      <c r="DE49" s="229">
        <f t="shared" ca="1" si="177"/>
        <v>45</v>
      </c>
      <c r="DF49" s="912">
        <f t="shared" si="178"/>
        <v>0</v>
      </c>
      <c r="DG49" s="913">
        <f t="shared" si="179"/>
        <v>0</v>
      </c>
      <c r="DH49" s="913">
        <f t="shared" si="180"/>
        <v>1</v>
      </c>
      <c r="DI49" s="913">
        <f t="shared" si="181"/>
        <v>0</v>
      </c>
      <c r="DJ49" s="913">
        <f t="shared" si="182"/>
        <v>0</v>
      </c>
      <c r="DK49" s="913">
        <f t="shared" si="183"/>
        <v>0</v>
      </c>
      <c r="DL49" s="913">
        <f t="shared" si="184"/>
        <v>0</v>
      </c>
      <c r="DM49" s="913">
        <f t="shared" si="185"/>
        <v>0</v>
      </c>
      <c r="DN49" s="913">
        <f t="shared" si="186"/>
        <v>0</v>
      </c>
      <c r="DO49" s="913">
        <f t="shared" si="187"/>
        <v>0</v>
      </c>
      <c r="DP49" s="914">
        <f ca="1">SUMIFS(RZ[Úroveň 1 (P4)],RZ[0],AX49)</f>
        <v>1</v>
      </c>
      <c r="DQ49" s="914">
        <f ca="1">SUMIFS(RZ[Úroveň 2 (P4)],RZ[0],AX49,RZ[Úroveň 2 (P0)],AY49)</f>
        <v>1</v>
      </c>
      <c r="DR49" s="914">
        <f ca="1">SUMIFS(RZ[Úroveň 3 (P4)],RZ[0],AX49,RZ[Úroveň 2 (P0)],AY49,RZ[Úroveň 3 (P0)],AZ49)</f>
        <v>1</v>
      </c>
      <c r="DS49" s="914">
        <f ca="1">SUMIFS(RZ[Úroveň 4 (P4)],RZ[0],AX49,RZ[Úroveň 2 (P0)],AY49,RZ[Úroveň 3 (P0)],AZ49,RZ[Úroveň 4 (P0)],BA49)</f>
        <v>0</v>
      </c>
      <c r="DT49" s="914">
        <f ca="1">SUMIFS(RZ[Úroveň 5 (P4)],RZ[0],AX49,RZ[Úroveň 2 (P0)],AY49,RZ[Úroveň 3 (P0)],AZ49,RZ[Úroveň 4 (P0)],BA49,RZ[Úroveň 5 (P0)],BB49)</f>
        <v>0</v>
      </c>
      <c r="DU49" s="914">
        <f ca="1">SUMIFS(RZ[Úroveň 6 (P4)],RZ[0],AX49,RZ[Úroveň 2 (P0)],AY49,RZ[Úroveň 3 (P0)],AZ49,RZ[Úroveň 4 (P0)],BA49,RZ[Úroveň 5 (P0)],BB49,RZ[Úroveň 6 (P0)],BC49)</f>
        <v>0</v>
      </c>
      <c r="DV49" s="914">
        <f ca="1">SUMIFS(RZ[Úroveň 7 (P4)],RZ[0],AX49,RZ[Úroveň 2 (P0)],AY49,RZ[Úroveň 3 (P0)],AZ49,RZ[Úroveň 4 (P0)],BA49,RZ[Úroveň 5 (P0)],BB49,RZ[Úroveň 6 (P0)],BC49,RZ[Úroveň 7 (P0)],BD49)</f>
        <v>0</v>
      </c>
      <c r="DW49" s="914">
        <f ca="1">SUMIFS(RZ[Úroveň 8 (P4)],RZ[0],AX49,RZ[Úroveň 2 (P0)],AY49,RZ[Úroveň 3 (P0)],AZ49,RZ[Úroveň 4 (P0)],BA49,RZ[Úroveň 5 (P0)],BB49,RZ[Úroveň 6 (P0)],BC49,RZ[Úroveň 7 (P0)],BD49,RZ[Úroveň 8 (P0)],BE49)</f>
        <v>0</v>
      </c>
      <c r="DX49" s="914">
        <f ca="1">SUMIFS(RZ[Úroveň 9 (P4)],RZ[0],AX49,RZ[Úroveň 2 (P0)],AY49,RZ[Úroveň 3 (P0)],AZ49,RZ[Úroveň 4 (P0)],BA49,RZ[Úroveň 5 (P0)],BB49,RZ[Úroveň 6 (P0)],BC49,RZ[Úroveň 7 (P0)],BD49,RZ[Úroveň 8 (P0)],BE49,RZ[Úroveň 9 (P0)],BF49)</f>
        <v>0</v>
      </c>
      <c r="DY49" s="914">
        <f ca="1">SUMIFS(RZ[Úroveň 10 (P4)],RZ[0],AX49,RZ[Úroveň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DZ49" s="915">
        <f t="shared" ca="1" si="188"/>
        <v>1</v>
      </c>
      <c r="EA49" s="916">
        <f ca="1">RZ[[#This Row],[Jednotková hmotnost bez koef. '[kg/MJHR'] (P0)]]*RZ[[#This Row],[Počet MJHR v rozpadu (P0)]]</f>
        <v>45</v>
      </c>
      <c r="EB49" s="917">
        <f ca="1">IF(OFFSET(AY49,1,0,1,1)&lt;&gt;0,RZ[[#This Row],[Koeficient odhadu CR '[-'] (P1)]]*$BH49*SUMIFS(RZ[Úroveň 2 s koef. (P3)],RZ[0],AX49),RZ[[#This Row],[Koeficient odhadu CR '[-'] (P1)]]*$BH49*$IQ49)</f>
        <v>0</v>
      </c>
      <c r="EC49" s="191">
        <f ca="1">IF(OFFSET(AY49,1,0,1,1)&lt;&gt;0,$BH49*SUMIFS(RZ[Úroveň 2 bez koef. (P3)],RZ[0],AX49),$BH49*$IQ49)</f>
        <v>0</v>
      </c>
      <c r="ED49" s="140">
        <f ca="1">RZ[[#This Row],[Úroveň 2 s koef. (P3a)]]*RZ[[#This Row],[Počet MJCR (P0) pro "kg"]]</f>
        <v>0</v>
      </c>
      <c r="EE49" s="140">
        <f ca="1">RZ[Úroveň 2 bez koef. (P3a)]*RZ[[#This Row],[Počet MJCR (P0) pro "kg"]]</f>
        <v>0</v>
      </c>
      <c r="EF49" s="140">
        <f ca="1">IF(OFFSET(AZ49,1,0,1,1)&lt;&gt;0,RZ[[#This Row],[Koeficient odhadu CR '[-'] (P1)]]*$BI49*SUMIFS(RZ[Úroveň 3 s koef. (P3)],RZ[0],AX49,RZ[Úroveň 2 (P0)],AY49),RZ[[#This Row],[Koeficient odhadu CR '[-'] (P1)]]*$BI49*$IQ49)</f>
        <v>0</v>
      </c>
      <c r="EG49" s="140">
        <f ca="1">IF(OFFSET(AZ49,1,0,1,1)&lt;&gt;0,$BI49*SUMIFS(RZ[Úroveň 3 bez koef. (P3)],RZ[0],AX49,RZ[Úroveň 2 (P0)],AY49),$BI49*$IQ49)</f>
        <v>0</v>
      </c>
      <c r="EH49" s="135">
        <f ca="1">RZ[[#This Row],[Úroveň 3 s koef. (P3a)]]*RZ[[#This Row],[Počet MJCR (P0) pro "kg"]]</f>
        <v>50000</v>
      </c>
      <c r="EI49" s="135">
        <f ca="1">RZ[Úroveň 3 bez koef. (P3a)]*RZ[[#This Row],[Počet MJCR (P0) pro "kg"]]</f>
        <v>50000</v>
      </c>
      <c r="EJ49" s="135">
        <f ca="1">IF(OFFSET(BA49,1,0,1,1)&lt;&gt;0,RZ[[#This Row],[Koeficient odhadu CR '[-'] (P1)]]*$BJ49*SUMIFS(RZ[Úroveň 4 s koef. (P3)],RZ[0],AX49,RZ[Úroveň 2 (P0)],AY49,RZ[Úroveň 3 (P0)],AZ49),RZ[[#This Row],[Koeficient odhadu CR '[-'] (P1)]]*$BJ49*$IQ49)</f>
        <v>50000</v>
      </c>
      <c r="EK49" s="135">
        <f ca="1">IF(OFFSET(BA49,1,0,1,1)&lt;&gt;0,$BJ49*SUMIFS(RZ[Úroveň 4 bez koef. (P3)],RZ[0],AX49,RZ[Úroveň 2 (P0)],AY49,RZ[Úroveň 3 (P0)],AZ49),$BJ49*$IQ49)</f>
        <v>50000</v>
      </c>
      <c r="EL49" s="140">
        <f ca="1">RZ[[#This Row],[Úroveň 4 s koef. (P3a)]]*RZ[[#This Row],[Počet MJCR (P0) pro "kg"]]</f>
        <v>0</v>
      </c>
      <c r="EM49" s="140">
        <f ca="1">RZ[Úroveň 4 bez koef. (P3a)]*RZ[[#This Row],[Počet MJCR (P0) pro "kg"]]</f>
        <v>0</v>
      </c>
      <c r="EN49" s="140">
        <f ca="1">IF(OFFSET(BB49,1,0,1,1)&lt;&gt;0,RZ[[#This Row],[Koeficient odhadu CR '[-'] (P1)]]*$BK49*SUMIFS(RZ[Úroveň 5 s koef. (P3)],RZ[0],AX49,RZ[Úroveň 2 (P0)],AY49,RZ[Úroveň 3 (P0)],AZ49,RZ[Úroveň 4 (P0)],BA49),RZ[[#This Row],[Koeficient odhadu CR '[-'] (P1)]]*$BK49*$IQ49)</f>
        <v>0</v>
      </c>
      <c r="EO49" s="140">
        <f ca="1">IF(OFFSET(BB49,1,0,1,1)&lt;&gt;0,$BK49*SUMIFS(RZ[Úroveň 5 bez koef. (P3)],RZ[0],AX49,RZ[Úroveň 2 (P0)],AY49,RZ[Úroveň 3 (P0)],AZ49,RZ[Úroveň 4 (P0)],BA49),$BK49*$IQ49)</f>
        <v>0</v>
      </c>
      <c r="EP49" s="135">
        <f ca="1">RZ[[#This Row],[Úroveň 5 s koef. (P3a)]]*RZ[[#This Row],[Počet MJCR (P0) pro "kg"]]</f>
        <v>0</v>
      </c>
      <c r="EQ49" s="135">
        <f ca="1">RZ[Úroveň 5 bez koef. (P3a)]*RZ[[#This Row],[Počet MJCR (P0) pro "kg"]]</f>
        <v>0</v>
      </c>
      <c r="ER49" s="135">
        <f ca="1">IF(OFFSET(BC49,1,0,1,1)&lt;&gt;0,RZ[[#This Row],[Koeficient odhadu CR '[-'] (P1)]]*$BL49*SUMIFS(RZ[Úroveň 6 s koef. (P3)],RZ[0],AX49,RZ[Úroveň 2 (P0)],AY49,RZ[Úroveň 3 (P0)],AZ49,RZ[Úroveň 4 (P0)],BA49,RZ[Úroveň 5 (P0)],BB49),RZ[[#This Row],[Koeficient odhadu CR '[-'] (P1)]]*$BL49*$IQ49)</f>
        <v>0</v>
      </c>
      <c r="ES49" s="135">
        <f ca="1">IF(OFFSET(BC49,1,0,1,1)&lt;&gt;0,$BL49*SUMIFS(RZ[Úroveň 6 bez koef. (P3)],RZ[0],AX49,RZ[Úroveň 2 (P0)],AY49,RZ[Úroveň 3 (P0)],AZ49,RZ[Úroveň 4 (P0)],BA49,RZ[Úroveň 5 (P0)],BB49),$BL49*$IQ49)</f>
        <v>0</v>
      </c>
      <c r="ET49" s="140">
        <f ca="1">RZ[[#This Row],[Úroveň 6 s koef. (P3a)]]*RZ[[#This Row],[Počet MJCR (P0) pro "kg"]]</f>
        <v>0</v>
      </c>
      <c r="EU49" s="140">
        <f ca="1">RZ[Úroveň 6 bez koef. (P3a)]*RZ[[#This Row],[Počet MJCR (P0) pro "kg"]]</f>
        <v>0</v>
      </c>
      <c r="EV49" s="140">
        <f ca="1">IF(OFFSET(BD49,1,0,1,1)&lt;&gt;0,RZ[[#This Row],[Koeficient odhadu CR '[-'] (P1)]]*$BM49*SUMIFS(RZ[Úroveň 7 s koef. (P3)],RZ[0],AX49,RZ[Úroveň 2 (P0)],AY49,RZ[Úroveň 3 (P0)],AZ49,RZ[Úroveň 4 (P0)],BA49,RZ[Úroveň 5 (P0)],BB49,RZ[Úroveň 6 (P0)],BC49),RZ[[#This Row],[Koeficient odhadu CR '[-'] (P1)]]*$BM49*$IQ49)</f>
        <v>0</v>
      </c>
      <c r="EW49" s="140">
        <f ca="1">IF(OFFSET(BD49,1,0,1,1)&lt;&gt;0,$BM49*SUMIFS(RZ[Úroveň 7 bez koef. (P3)],RZ[0],AX49,RZ[Úroveň 2 (P0)],AY49,RZ[Úroveň 3 (P0)],AZ49,RZ[Úroveň 4 (P0)],BA49,RZ[Úroveň 5 (P0)],BB49,RZ[Úroveň 6 (P0)],BC49),$BM49*$IQ49)</f>
        <v>0</v>
      </c>
      <c r="EX49" s="135">
        <f ca="1">RZ[[#This Row],[Úroveň 7 s koef. (P3a)]]*RZ[[#This Row],[Počet MJCR (P0) pro "kg"]]</f>
        <v>0</v>
      </c>
      <c r="EY49" s="135">
        <f ca="1">RZ[Úroveň 7 bez koef. (P3a)]*RZ[[#This Row],[Počet MJCR (P0) pro "kg"]]</f>
        <v>0</v>
      </c>
      <c r="EZ49" s="135">
        <f ca="1">IF(OFFSET(BE49,1,0,1,1)&lt;&gt;0,RZ[[#This Row],[Koeficient odhadu CR '[-'] (P1)]]*$BN49*SUMIFS(RZ[Úroveň 8 s koef. (P3)],RZ[0],AX49,RZ[Úroveň 2 (P0)],AY49,RZ[Úroveň 3 (P0)],AZ49,RZ[Úroveň 4 (P0)],BA49,RZ[Úroveň 5 (P0)],BB49,RZ[Úroveň 6 (P0)],BC49,RZ[Úroveň 7 (P0)],BD49),RZ[[#This Row],[Koeficient odhadu CR '[-'] (P1)]]*$BN49*$IQ49)</f>
        <v>0</v>
      </c>
      <c r="FA49" s="135">
        <f ca="1">IF(OFFSET(BE49,1,0,1,1)&lt;&gt;0,$BN49*SUMIFS(RZ[Úroveň 8 bez koef. (P3)],RZ[0],AX49,RZ[Úroveň 2 (P0)],AY49,RZ[Úroveň 3 (P0)],AZ49,RZ[Úroveň 4 (P0)],BA49,RZ[Úroveň 5 (P0)],BB49,RZ[Úroveň 6 (P0)],BC49,RZ[Úroveň 7 (P0)],BD49),$BN49*$IQ49)</f>
        <v>0</v>
      </c>
      <c r="FB49" s="140">
        <f ca="1">RZ[[#This Row],[Úroveň 8 s koef. (P3a)]]*RZ[[#This Row],[Počet MJCR (P0) pro "kg"]]</f>
        <v>0</v>
      </c>
      <c r="FC49" s="140">
        <f ca="1">RZ[Úroveň 8 bez koef. (P3a)]*RZ[[#This Row],[Počet MJCR (P0) pro "kg"]]</f>
        <v>0</v>
      </c>
      <c r="FD49" s="140">
        <f ca="1">IF(OFFSET(BF49,1,0,1,1)&lt;&gt;0,RZ[[#This Row],[Koeficient odhadu CR '[-'] (P1)]]*$BO49*SUMIFS(RZ[Úroveň 9 s koef. (P3)],RZ[0],AX49,RZ[Úroveň 2 (P0)],AY49,RZ[Úroveň 3 (P0)],AZ49,RZ[Úroveň 4 (P0)],BA49,RZ[Úroveň 5 (P0)],BB49,RZ[Úroveň 6 (P0)],BC49,RZ[Úroveň 7 (P0)],BD49,RZ[Úroveň 8 (P0)],BE49),RZ[[#This Row],[Koeficient odhadu CR '[-'] (P1)]]*$BO49*$IQ49)</f>
        <v>0</v>
      </c>
      <c r="FE49" s="140">
        <f ca="1">IF(OFFSET(BF49,1,0,1,1)&lt;&gt;0,$BO49*SUMIFS(RZ[Úroveň 9 bez koef. (P3)],RZ[0],AX49,RZ[Úroveň 2 (P0)],AY49,RZ[Úroveň 3 (P0)],AZ49,RZ[Úroveň 4 (P0)],BA49,RZ[Úroveň 5 (P0)],BB49,RZ[Úroveň 6 (P0)],BC49,RZ[Úroveň 7 (P0)],BD49,RZ[Úroveň 8 (P0)],BE49),$BO49*$IQ49)</f>
        <v>0</v>
      </c>
      <c r="FF49" s="135">
        <f ca="1">RZ[[#This Row],[Úroveň 9 s koef. (P3a)]]*RZ[[#This Row],[Počet MJCR (P0) pro "kg"]]</f>
        <v>0</v>
      </c>
      <c r="FG49" s="135">
        <f ca="1">RZ[Úroveň 9 bez koef. (P3a)]*RZ[[#This Row],[Počet MJCR (P0) pro "kg"]]</f>
        <v>0</v>
      </c>
      <c r="FH49" s="135">
        <f ca="1">IF(OFFSET(BG49,1,0,1,1)&lt;&gt;0,RZ[[#This Row],[Koeficient odhadu CR '[-'] (P1)]]*$BP49*SUMIFS(RZ[Úroveň 10 s koef. (P3)],RZ[0],AX49,RZ[Úroveň 2 (P0)],AY49,RZ[Úroveň 3 (P0)],AZ49,RZ[Úroveň 4 (P0)],BA49,RZ[Úroveň 5 (P0)],BB49,RZ[Úroveň 6 (P0)],BC49,RZ[Úroveň 7 (P0)],BD49,RZ[Úroveň 8 (P0)],BE49,RZ[Úroveň 9 (P0)],BF49),RZ[[#This Row],[Koeficient odhadu CR '[-'] (P1)]]*$BP49*$IQ49)</f>
        <v>0</v>
      </c>
      <c r="FI49" s="135">
        <f ca="1">IF(OFFSET(BG49,1,0,1,1)&lt;&gt;0,$BP49*SUMIFS(RZ[Úroveň 10 bez koef. (P3)],RZ[0],AX49,RZ[Úroveň 2 (P0)],AY49,RZ[Úroveň 3 (P0)],AZ49,RZ[Úroveň 4 (P0)],BA49,RZ[Úroveň 5 (P0)],BB49,RZ[Úroveň 6 (P0)],BC49,RZ[Úroveň 7 (P0)],BD49,RZ[Úroveň 8 (P0)],BE49,RZ[Úroveň 9 (P0)],BF49),$BP49*$IQ49)</f>
        <v>0</v>
      </c>
      <c r="FJ49" s="140">
        <f ca="1">RZ[[#This Row],[Úroveň 10 s koef. (P3a)]]*RZ[[#This Row],[Počet MJCR (P0) pro "kg"]]</f>
        <v>0</v>
      </c>
      <c r="FK49" s="140">
        <f ca="1">RZ[Úroveň 10 bez koef. (P3a)]*RZ[[#This Row],[Počet MJCR (P0) pro "kg"]]</f>
        <v>0</v>
      </c>
      <c r="FL49" s="140">
        <f ca="1">RZ[[#This Row],[Koeficient odhadu CR '[-'] (P1)]]*$BQ49*IQ49</f>
        <v>0</v>
      </c>
      <c r="FM49" s="236">
        <f t="shared" ca="1" si="189"/>
        <v>0</v>
      </c>
      <c r="FN49" s="194">
        <f t="shared" ca="1" si="190"/>
        <v>50000</v>
      </c>
      <c r="FO49" s="238">
        <f t="shared" ca="1" si="191"/>
        <v>50000</v>
      </c>
      <c r="FP49" s="135">
        <f t="shared" ca="1" si="192"/>
        <v>0</v>
      </c>
      <c r="FQ49" s="135">
        <f t="shared" ca="1" si="193"/>
        <v>0</v>
      </c>
      <c r="FR49" s="135">
        <f t="shared" ca="1" si="194"/>
        <v>1</v>
      </c>
      <c r="FS49" s="135">
        <f t="shared" ca="1" si="195"/>
        <v>0</v>
      </c>
      <c r="FT49" s="135">
        <f t="shared" ca="1" si="196"/>
        <v>0</v>
      </c>
      <c r="FU49" s="135">
        <f t="shared" ca="1" si="197"/>
        <v>0</v>
      </c>
      <c r="FV49" s="135">
        <f t="shared" ca="1" si="198"/>
        <v>0</v>
      </c>
      <c r="FW49" s="135">
        <f t="shared" ca="1" si="199"/>
        <v>0</v>
      </c>
      <c r="FX49" s="135">
        <f t="shared" ca="1" si="200"/>
        <v>0</v>
      </c>
      <c r="FY49" s="135">
        <f t="shared" ca="1" si="201"/>
        <v>0</v>
      </c>
      <c r="FZ49" s="140">
        <f ca="1">SUMIFS(RZ[Úroveň 1 (P6)],RZ[0],AX49)</f>
        <v>1</v>
      </c>
      <c r="GA49" s="140">
        <f ca="1">SUMIFS(RZ[Úroveň 2 (P6)],RZ[0],AX49,RZ[Úroveň 2 (P0)],AY49)</f>
        <v>1</v>
      </c>
      <c r="GB49" s="140">
        <f ca="1">SUMIFS(RZ[Úroveň 3 (P6)],RZ[0],AX49,RZ[Úroveň 2 (P0)],AY49,RZ[Úroveň 3 (P0)],AZ49)</f>
        <v>1</v>
      </c>
      <c r="GC49" s="140">
        <f ca="1">SUMIFS(RZ[Úroveň 4 (P6)],RZ[0],AX49,RZ[Úroveň 2 (P0)],AY49,RZ[Úroveň 3 (P0)],AZ49,RZ[Úroveň 4 (P0)],BA49)</f>
        <v>0</v>
      </c>
      <c r="GD49" s="140">
        <f ca="1">SUMIFS(RZ[Úroveň 5 (P6)],RZ[0],AX49,RZ[Úroveň 2 (P0)],AY49,RZ[Úroveň 3 (P0)],AZ49,RZ[Úroveň 4 (P0)],BA49,RZ[Úroveň 5 (P0)],BB49)</f>
        <v>0</v>
      </c>
      <c r="GE49" s="140">
        <f ca="1">SUMIFS(RZ[Úroveň 6 (P6)],RZ[0],AX49,RZ[Úroveň 2 (P0)],AY49,RZ[Úroveň 3 (P0)],AZ49,RZ[Úroveň 4 (P0)],BA49,RZ[Úroveň 5 (P0)],BB49,RZ[Úroveň 6 (P0)],BC49)</f>
        <v>0</v>
      </c>
      <c r="GF49" s="140">
        <f ca="1">SUMIFS(RZ[Úroveň 7 (P6)],RZ[0],AX49,RZ[Úroveň 2 (P0)],AY49,RZ[Úroveň 3 (P0)],AZ49,RZ[Úroveň 4 (P0)],BA49,RZ[Úroveň 5 (P0)],BB49,RZ[Úroveň 6 (P0)],BC49,RZ[Úroveň 7 (P0)],BD49)</f>
        <v>0</v>
      </c>
      <c r="GG49" s="140">
        <f ca="1">SUMIFS(RZ[Úroveň 8 (P6)],RZ[0],AX49,RZ[Úroveň 2 (P0)],AY49,RZ[Úroveň 3 (P0)],AZ49,RZ[Úroveň 4 (P0)],BA49,RZ[Úroveň 5 (P0)],BB49,RZ[Úroveň 6 (P0)],BC49,RZ[Úroveň 7 (P0)],BD49,RZ[Úroveň 8 (P0)],BE49)</f>
        <v>0</v>
      </c>
      <c r="GH49" s="140">
        <f ca="1">SUMIFS(RZ[Úroveň 9 (P6)],RZ[0],AX49,RZ[Úroveň 2 (P0)],AY49,RZ[Úroveň 3 (P0)],AZ49,RZ[Úroveň 4 (P0)],BA49,RZ[Úroveň 5 (P0)],BB49,RZ[Úroveň 6 (P0)],BC49,RZ[Úroveň 7 (P0)],BD49,RZ[Úroveň 8 (P0)],BE49,RZ[Úroveň 9 (P0)],BF49)</f>
        <v>0</v>
      </c>
      <c r="GI49" s="140">
        <f ca="1">SUMIFS(RZ[Úroveň 10 (P6)],RZ[0],AX49,RZ[Úroveň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GJ49" s="918">
        <f t="shared" ca="1" si="202"/>
        <v>1</v>
      </c>
      <c r="GK49" s="808">
        <f t="shared" si="203"/>
        <v>0</v>
      </c>
      <c r="GL49" s="808">
        <f t="shared" si="204"/>
        <v>0</v>
      </c>
      <c r="GM49" s="808">
        <f t="shared" si="205"/>
        <v>1</v>
      </c>
      <c r="GN49" s="808">
        <f t="shared" si="206"/>
        <v>0</v>
      </c>
      <c r="GO49" s="808">
        <f t="shared" si="207"/>
        <v>0</v>
      </c>
      <c r="GP49" s="808">
        <f t="shared" si="208"/>
        <v>0</v>
      </c>
      <c r="GQ49" s="808">
        <f t="shared" si="209"/>
        <v>0</v>
      </c>
      <c r="GR49" s="808">
        <f t="shared" si="210"/>
        <v>0</v>
      </c>
      <c r="GS49" s="808">
        <f t="shared" si="211"/>
        <v>0</v>
      </c>
      <c r="GT49" s="808">
        <f t="shared" si="212"/>
        <v>0</v>
      </c>
      <c r="GU49" s="809">
        <f ca="1">SUMIFS(RZ[Sloupec1],RZ[0],AX49)</f>
        <v>1</v>
      </c>
      <c r="GV49" s="809">
        <f ca="1">SUMIFS(RZ[Sloupec2],RZ[0],AX49,RZ[Úroveň 2 (P0)],AY49)</f>
        <v>1</v>
      </c>
      <c r="GW49" s="809">
        <f ca="1">SUMIFS(RZ[Sloupec3],RZ[0],AX49,RZ[Úroveň 2 (P0)],AY49,RZ[Úroveň 3 (P0)],AZ49)</f>
        <v>1</v>
      </c>
      <c r="GX49" s="809">
        <f ca="1">SUMIFS(RZ[Sloupec4],RZ[0],AX49,RZ[Úroveň 2 (P0)],AY49,RZ[Úroveň 3 (P0)],AZ49,RZ[Úroveň 4 (P0)],BA49)</f>
        <v>0</v>
      </c>
      <c r="GY49" s="809">
        <f ca="1">SUMIFS(RZ[Sloupec5],RZ[0],AX49,RZ[Úroveň 2 (P0)],AY49,RZ[Úroveň 3 (P0)],AZ49,RZ[Úroveň 4 (P0)],BA49,RZ[Úroveň 5 (P0)],BB49)</f>
        <v>0</v>
      </c>
      <c r="GZ49" s="809">
        <f ca="1">SUMIFS(RZ[Sloupec6],RZ[0],AX49,RZ[Úroveň 2 (P0)],AY49,RZ[Úroveň 3 (P0)],AZ49,RZ[Úroveň 4 (P0)],BA49,RZ[Úroveň 5 (P0)],BB49,RZ[Úroveň 6 (P0)],BC49)</f>
        <v>0</v>
      </c>
      <c r="HA49" s="809">
        <f ca="1">SUMIFS(RZ[Sloupec62],RZ[0],AX49,RZ[Úroveň 2 (P0)],AY49,RZ[Úroveň 3 (P0)],AZ49,RZ[Úroveň 4 (P0)],BA49,RZ[Úroveň 5 (P0)],BB49,RZ[Úroveň 6 (P0)],BC49,RZ[Úroveň 7 (P0)],BD49)</f>
        <v>0</v>
      </c>
      <c r="HB49" s="809">
        <f ca="1">SUMIFS(RZ[Sloupec63],RZ[0],AX49,RZ[Úroveň 2 (P0)],AY49,RZ[Úroveň 3 (P0)],AZ49,RZ[Úroveň 4 (P0)],BA49,RZ[Úroveň 5 (P0)],BB49,RZ[Úroveň 6 (P0)],BC49,RZ[Úroveň 7 (P0)],BD49,RZ[Úroveň 8 (P0)],BE49)</f>
        <v>0</v>
      </c>
      <c r="HC49" s="809">
        <f ca="1">SUMIFS(RZ[Sloupec64],RZ[0],AX49,RZ[Úroveň 2 (P0)],AY49,RZ[Úroveň 3 (P0)],AZ49,RZ[Úroveň 4 (P0)],BA49,RZ[Úroveň 5 (P0)],BB49,RZ[Úroveň 6 (P0)],BC49,RZ[Úroveň 7 (P0)],BD49,RZ[Úroveň 8 (P0)],BE49,RZ[Úroveň 9 (P0)],BF49)</f>
        <v>0</v>
      </c>
      <c r="HD49" s="809">
        <f ca="1">SUMIFS(RZ[Sloupec65],RZ[0],AX49,RZ[Úroveň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HE49" s="919">
        <f t="shared" ca="1" si="213"/>
        <v>1</v>
      </c>
      <c r="HF49" s="920" t="str">
        <f t="shared" si="214"/>
        <v/>
      </c>
      <c r="HG49" s="94" t="str">
        <f t="shared" si="215"/>
        <v/>
      </c>
      <c r="HH49" s="95" t="str">
        <f t="shared" si="216"/>
        <v/>
      </c>
      <c r="HI49" s="95" t="str">
        <f t="shared" si="217"/>
        <v>ELHY BL200 C</v>
      </c>
      <c r="HJ49" s="96" t="str">
        <f t="shared" si="218"/>
        <v/>
      </c>
      <c r="HK49" s="96" t="str">
        <f t="shared" si="219"/>
        <v/>
      </c>
      <c r="HL49" s="96" t="str">
        <f t="shared" si="220"/>
        <v/>
      </c>
      <c r="HM49" s="96" t="str">
        <f t="shared" si="221"/>
        <v/>
      </c>
      <c r="HN49" s="96" t="str">
        <f t="shared" si="222"/>
        <v/>
      </c>
      <c r="HO49" s="96" t="str">
        <f t="shared" si="223"/>
        <v/>
      </c>
      <c r="HP49" s="96" t="str">
        <f t="shared" si="224"/>
        <v/>
      </c>
      <c r="HQ49" s="145" t="str">
        <f t="shared" si="225"/>
        <v>SUOS</v>
      </c>
      <c r="HR49" s="921" t="str">
        <f t="shared" si="226"/>
        <v/>
      </c>
      <c r="HS49" s="173">
        <f t="shared" si="227"/>
        <v>0</v>
      </c>
      <c r="HT49" s="100">
        <f t="shared" si="228"/>
        <v>0</v>
      </c>
      <c r="HU49" s="100">
        <f t="shared" si="229"/>
        <v>0</v>
      </c>
      <c r="HV49" s="908" t="str">
        <f t="shared" si="230"/>
        <v>Zajíc</v>
      </c>
      <c r="HW49" s="922">
        <f t="shared" si="231"/>
        <v>42950.646423611113</v>
      </c>
      <c r="HX49" s="224">
        <f t="shared" si="232"/>
        <v>0</v>
      </c>
      <c r="HY49" s="263" t="str">
        <f t="shared" si="233"/>
        <v>S</v>
      </c>
      <c r="HZ49" s="263" t="str">
        <f t="shared" si="234"/>
        <v>N</v>
      </c>
      <c r="IA49" s="150">
        <f t="shared" si="235"/>
        <v>1</v>
      </c>
      <c r="IB49" s="319">
        <f t="shared" si="236"/>
        <v>50000</v>
      </c>
      <c r="IC49" s="923">
        <f t="shared" si="237"/>
        <v>1</v>
      </c>
      <c r="ID49" s="924" t="str">
        <f t="shared" ca="1" si="238"/>
        <v>OK</v>
      </c>
      <c r="IE49" s="201" t="str">
        <f t="shared" si="239"/>
        <v>ks</v>
      </c>
      <c r="IF49" s="145">
        <f t="shared" si="240"/>
        <v>1</v>
      </c>
      <c r="IG49" s="216">
        <f t="shared" si="241"/>
        <v>45</v>
      </c>
      <c r="IH49" s="217">
        <f t="shared" si="242"/>
        <v>1</v>
      </c>
      <c r="II49" s="224" t="str">
        <f ca="1">IF(RZ[[#This Row],[Rozhodný sloupec indikativní ceny]]=1,"kg",IF($IW49=$JL$15,IF(JX49=0,JO49,JX49),IF($IW49=$KE$15,IF(KQ49=0,KH49,KQ49),IF($IW49=$KX$15,IF(LJ49=0,LA49,LJ49),IF($IW49=$LQ$15,IF(MC49=0,LT49,MC49),IF($IW49=$MJ$15,IF(NQ49=0,NH49,NQ49),0))))))</f>
        <v>ks</v>
      </c>
      <c r="IJ49" s="224">
        <f ca="1">IF((BH49+OFFSET(BH49,1,1,1,1))=2,RZ[[#This Row],[Počet MJHR (P0)]],IF((BI49+OFFSET(BI49,1,1,1,1))=2,RZ[[#This Row],[Počet MJHR (P0)]],IF((BJ49+OFFSET(BJ49,1,1,1,1))=2,RZ[[#This Row],[Počet MJHR (P0)]],IF((BK49+OFFSET(BK49,1,1,1,1))=2,RZ[[#This Row],[Počet MJHR (P0)]],IF((BL49+OFFSET(BL49,1,1,1,1))=2,RZ[[#This Row],[Počet MJHR (P0)]],IF((BM49+OFFSET(BM49,1,1,1,1))=2,RZ[[#This Row],[Počet MJHR (P0)]],IF((BN49+OFFSET(BN49,1,1,1,1))=2,RZ[[#This Row],[Počet MJHR (P0)]],IF((BO49+OFFSET(BO49,1,1,1,1))=2,RZ[[#This Row],[Počet MJHR (P0)]],IF((BP49+OFFSET(BP49,1,1,1,1))=2,RZ[[#This Row],[Počet MJHR (P0)]],IF((BQ49+OFFSET(BQ49,1,1,1,1))=2,RZ[[#This Row],[Počet MJHR (P0)]],IF(RZ[[#This Row],[Měrná jednotka CR (MJCR) (P0)]]=RZ[[#This Row],[Měrná jednotka HR '[MJHR'] (P0)]],RZ[[#This Row],[Počet MJHR (P0)]],IF($IW49=$JL$15,JY49,IF($IW49=$KE$15,KR49,IF($IW49=$KX$15,LK49,IF($IW49=$LQ$15,MD49,IF($IW49=$MJ$15,NR49,0))))))))))))))))</f>
        <v>1</v>
      </c>
      <c r="IK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9" s="145">
        <f ca="1">IF(AND(RZ[[#This Row],[Jednotková cena bez DPH '[cena/MJCR'] (P0)]]=0,RZ[[#This Row],[Indikativní jednotková cena '[CZK/kg'] (P1)]]&lt;&gt;0),1,0)</f>
        <v>0</v>
      </c>
      <c r="IM49" s="217">
        <f ca="1">VLOOKUP(RZ[[#This Row],[Kód položek]],INDIKAT_CENA,2,FALSE)</f>
        <v>0</v>
      </c>
      <c r="IN49" s="222">
        <f ca="1">IF(RZ[[#This Row],[Rozhodný sloupec indikativní ceny]]=1,RZ[[#This Row],[Indikativní jednotková cena '[CZK/kg'] (P1)]],RZ[[#This Row],[Jednotková cena bez DPH '[cena/MJCR'] (P0)]])</f>
        <v>50000</v>
      </c>
      <c r="IO49" s="222">
        <f t="shared" si="243"/>
        <v>1</v>
      </c>
      <c r="IP49" s="224">
        <f ca="1">IF(RZ[[#This Row],[Rozhodný sloupec indikativní ceny]]=1,1,IF($IW49=$JL$15,KA49,IF($IW49=$KE$15,KT49,IF($IW49=$KX$15,LM49,IF($IW49=$LQ$15,MF49,IF($IW49=$MJ$15,NT49,0))))))</f>
        <v>1</v>
      </c>
      <c r="IQ49" s="225">
        <f ca="1">IF(RZ[[#This Row],[Jednotková cena bez DPH '[cena/MJCR'] (P1)]]="",0,IF(IP49=0,0,(RZ[[#This Row],[Jednotková cena bez DPH '[cena/MJCR'] (P1)]]*VLOOKUP(IP49,$BR$7:$BT$10,3))))</f>
        <v>50000</v>
      </c>
      <c r="IR49" s="737"/>
      <c r="IS49" s="627">
        <f>IF(HY49=0,"",VLOOKUP(RZ[[#This Row],[Stav Projekce (P0)]],Vstupy!$E$11:'Vstupy'!$E$11:$H$17,4,FALSE))</f>
        <v>100</v>
      </c>
      <c r="IT49" s="925" t="str">
        <f>IF(RZ[[#This Row],[Stav Projekce (P0)]]=0,"",RZ[[#This Row],[Stav Projekce (P0)]])</f>
        <v>S</v>
      </c>
      <c r="IU49" s="925" t="str">
        <f>IF(RZ[[#This Row],[Stav Nákup (P0)]]=0,"",RZ[[#This Row],[Stav Nákup (P0)]])</f>
        <v>N</v>
      </c>
      <c r="IV49" s="926" t="str">
        <f t="shared" si="244"/>
        <v>Zajíc</v>
      </c>
      <c r="IW49" s="641">
        <v>1</v>
      </c>
      <c r="IX49" s="630"/>
      <c r="IY49" s="264"/>
      <c r="IZ49" s="648"/>
      <c r="JA49" s="100"/>
      <c r="JB49" s="100" t="s">
        <v>824</v>
      </c>
      <c r="JC49" s="100"/>
      <c r="JD49" s="100"/>
      <c r="JE49" s="100"/>
      <c r="JF49" s="100"/>
      <c r="JG49" s="100"/>
      <c r="JH49" s="100"/>
      <c r="JI49" s="100"/>
      <c r="JJ49" s="145" t="s">
        <v>798</v>
      </c>
      <c r="JK49" s="529"/>
      <c r="JL49" s="286"/>
      <c r="JM49" s="100"/>
      <c r="JN49" s="100"/>
      <c r="JO49" s="145" t="s">
        <v>35</v>
      </c>
      <c r="JP49" s="117">
        <v>1</v>
      </c>
      <c r="JQ49" s="117">
        <v>45</v>
      </c>
      <c r="JR49" s="148">
        <v>1</v>
      </c>
      <c r="JS49" s="145" t="s">
        <v>602</v>
      </c>
      <c r="JT49" s="631"/>
      <c r="JU49" s="148" t="s">
        <v>853</v>
      </c>
      <c r="JV49" s="154">
        <v>42950.646423611113</v>
      </c>
      <c r="JW49" s="145"/>
      <c r="JX49" s="210" t="s">
        <v>35</v>
      </c>
      <c r="JY49" s="117"/>
      <c r="JZ49" s="662">
        <v>50000</v>
      </c>
      <c r="KA49" s="145">
        <v>1</v>
      </c>
      <c r="KB49" s="148">
        <v>1</v>
      </c>
      <c r="KC49" s="148" t="s">
        <v>611</v>
      </c>
      <c r="KD49" s="644"/>
      <c r="KE49" s="286"/>
      <c r="KF49" s="100"/>
      <c r="KG49" s="100"/>
      <c r="KH49" s="210"/>
      <c r="KI49" s="117"/>
      <c r="KJ49" s="117"/>
      <c r="KK49" s="148"/>
      <c r="KL49" s="145"/>
      <c r="KM49" s="632"/>
      <c r="KN49" s="148"/>
      <c r="KO49" s="154"/>
      <c r="KP49" s="154"/>
      <c r="KQ49" s="210"/>
      <c r="KR49" s="117"/>
      <c r="KS49" s="211"/>
      <c r="KT49" s="145"/>
      <c r="KU49" s="148"/>
      <c r="KV49" s="148"/>
      <c r="KW49" s="265"/>
      <c r="KX49" s="286"/>
      <c r="KY49" s="100"/>
      <c r="KZ49" s="100"/>
      <c r="LA49" s="210"/>
      <c r="LB49" s="117"/>
      <c r="LC49" s="117"/>
      <c r="LD49" s="148"/>
      <c r="LE49" s="145"/>
      <c r="LF49" s="632"/>
      <c r="LG49" s="148"/>
      <c r="LH49" s="154"/>
      <c r="LI49" s="154"/>
      <c r="LJ49" s="154"/>
      <c r="LK49" s="117"/>
      <c r="LL49" s="211"/>
      <c r="LM49" s="210"/>
      <c r="LN49" s="148"/>
      <c r="LO49" s="148"/>
      <c r="LP49" s="265"/>
      <c r="LQ49" s="286"/>
      <c r="LR49" s="100"/>
      <c r="LS49" s="100"/>
      <c r="LT49" s="210"/>
      <c r="LU49" s="117"/>
      <c r="LV49" s="117"/>
      <c r="LW49" s="148"/>
      <c r="LX49" s="145"/>
      <c r="LY49" s="632"/>
      <c r="LZ49" s="148"/>
      <c r="MA49" s="154"/>
      <c r="MB49" s="154"/>
      <c r="MC49" s="145"/>
      <c r="MD49" s="117"/>
      <c r="ME49" s="211"/>
      <c r="MF49" s="210"/>
      <c r="MG49" s="148"/>
      <c r="MH49" s="148"/>
      <c r="MI49" s="265"/>
      <c r="MJ49" s="647"/>
      <c r="MK49" s="264"/>
      <c r="ML49" s="153"/>
      <c r="MM49" s="153"/>
      <c r="MN49" s="153"/>
      <c r="MO49" s="153"/>
      <c r="MP49" s="153"/>
      <c r="MQ49" s="153"/>
      <c r="MR49" s="153"/>
      <c r="MS49" s="99"/>
      <c r="MT49" s="99"/>
      <c r="MU49" s="99"/>
      <c r="MV49" s="99"/>
      <c r="MW49" s="99"/>
      <c r="MX49" s="99"/>
      <c r="MY49" s="153"/>
      <c r="MZ49" s="153"/>
      <c r="NA49" s="153"/>
      <c r="NB49" s="153"/>
      <c r="NC49" s="153"/>
      <c r="ND49" s="153"/>
      <c r="NE49" s="148"/>
      <c r="NF49" s="153"/>
      <c r="NG49" s="153"/>
      <c r="NH49" s="330" t="str">
        <f t="shared" si="245"/>
        <v>ks</v>
      </c>
      <c r="NI49" s="797">
        <f>RZ[[#This Row],[Počet ks (K)]]</f>
        <v>0</v>
      </c>
      <c r="NJ49" s="798">
        <f>RZ[[#This Row],[Hmotnost '[kg/ks'] (K)]]</f>
        <v>0</v>
      </c>
      <c r="NK49" s="148"/>
      <c r="NL49" s="145"/>
      <c r="NM49" s="632"/>
      <c r="NN49" s="148"/>
      <c r="NO49" s="154"/>
      <c r="NP49" s="153"/>
      <c r="NQ49" s="153"/>
      <c r="NR49" s="210"/>
      <c r="NS49" s="148"/>
      <c r="NT49" s="210"/>
      <c r="NU49" s="148"/>
      <c r="NV49" s="148"/>
      <c r="NW49" s="175"/>
    </row>
    <row r="50" spans="2:387" ht="15.95" customHeight="1" x14ac:dyDescent="0.35">
      <c r="B50" s="118" t="str">
        <f t="shared" si="129"/>
        <v/>
      </c>
      <c r="C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0" s="262" t="str">
        <f t="shared" si="130"/>
        <v xml:space="preserve">    Pogramový spínač</v>
      </c>
      <c r="E50" s="120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Row],[Kód položek (P2)]]))))))))))</f>
        <v>ELSP</v>
      </c>
      <c r="F50" s="791" t="str">
        <f t="shared" si="131"/>
        <v>N/A</v>
      </c>
      <c r="G50" s="792" t="str">
        <f t="shared" si="132"/>
        <v/>
      </c>
      <c r="H50" s="262" t="str">
        <f t="shared" si="133"/>
        <v/>
      </c>
      <c r="I50" s="123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HR '[MJHR'] (P0)]]))))))))))</f>
        <v>ks</v>
      </c>
      <c r="J50" s="123">
        <f t="shared" si="134"/>
        <v>2</v>
      </c>
      <c r="K50" s="793">
        <f>RZ[[#This Row],[Koeficient odhadu HR '[-'] (P1)]]</f>
        <v>1</v>
      </c>
      <c r="L50" s="124">
        <f ca="1">RZ[[#This Row],[Jednotková hmotnost s koef. '[kg/MJHR'] (P0)]]</f>
        <v>28</v>
      </c>
      <c r="M50" s="794">
        <f t="shared" ca="1" si="135"/>
        <v>0</v>
      </c>
      <c r="N50" s="125">
        <f t="shared" ca="1" si="136"/>
        <v>56</v>
      </c>
      <c r="O50" s="125">
        <f t="shared" ca="1" si="137"/>
        <v>0</v>
      </c>
      <c r="P50" s="126" t="str">
        <f t="shared" si="138"/>
        <v/>
      </c>
      <c r="Q50" s="795">
        <f ca="1">RZ[[#This Row],[Počet MJHR v rozpadu (P0)]]</f>
        <v>2</v>
      </c>
      <c r="R50" s="439" t="str">
        <f t="shared" si="139"/>
        <v>Zajíc</v>
      </c>
      <c r="S50" s="129">
        <f t="shared" si="140"/>
        <v>42950.646111111113</v>
      </c>
      <c r="T50" s="126" t="str">
        <f t="shared" si="141"/>
        <v/>
      </c>
      <c r="U50" s="126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CR (MJCR) (P0)]]))))))))))</f>
        <v>ks</v>
      </c>
      <c r="V50" s="575">
        <f t="shared" ca="1" si="142"/>
        <v>2</v>
      </c>
      <c r="W50" s="322">
        <f>RZ[[#This Row],[Koeficient odhadu CR '[-'] (P1)]]</f>
        <v>1</v>
      </c>
      <c r="X50" s="440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Row],[Jednotková cena bez DPH '[cena/MJCR'] (P1)]]*RZ[[#This Row],[Koeficient odhadu CR '[-']]]))))))))))</f>
        <v>15000</v>
      </c>
      <c r="Y50" s="440">
        <f t="shared" ca="1" si="143"/>
        <v>0</v>
      </c>
      <c r="Z50" s="142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VLOOKUP(IP50,$BR$7:$BS$11,2,FALSE)))))))))))</f>
        <v>CZK</v>
      </c>
      <c r="AA50" s="909">
        <f t="shared" ca="1" si="144"/>
        <v>2</v>
      </c>
      <c r="AB50" s="910">
        <f ca="1">RZ[[#This Row],[Kumulovaný koeficient v rozpadu (P0)]]</f>
        <v>1</v>
      </c>
      <c r="AC50" s="261"/>
      <c r="AD50" s="796">
        <f ca="1">RZ[[#This Row],[Jednotková cena bez DPH '[cena/MJCR'] s koef. (P0)]]/RZ[[#This Row],[Koeficient odhadu CR '[-']]]*RZ[[#This Row],[Kumulovaný koeficient odhadu CR  '[-']]]</f>
        <v>15000</v>
      </c>
      <c r="AE50" s="796">
        <f t="shared" ca="1" si="145"/>
        <v>30000</v>
      </c>
      <c r="AF50" s="796">
        <f ca="1">-IF(ISNUMBER(AA50),RZ[[#This Row],[Celková cena bez DPH (1)]]-RZ[[#This Row],[Jednotková cena bez DPH '[cena/MJCR'] bez koef. (P0)]]*AA50,0)</f>
        <v>0</v>
      </c>
      <c r="AG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535.71428571428567</v>
      </c>
      <c r="AH50" s="261"/>
      <c r="AI50" s="796">
        <f t="shared" ca="1" si="146"/>
        <v>555.55555555555554</v>
      </c>
      <c r="AJ50" s="796">
        <f t="shared" ca="1" si="147"/>
        <v>1111.1111111111111</v>
      </c>
      <c r="AK50" s="796">
        <f t="shared" ca="1" si="148"/>
        <v>0</v>
      </c>
      <c r="AL50" s="753">
        <f ca="1">RZ[[#This Row],[Kilogramová cena bez DPH '[cena/kg'] (1)]]/$AK$13</f>
        <v>19.841269841269838</v>
      </c>
      <c r="AM50" s="261"/>
      <c r="AN50" s="796">
        <f t="shared" ca="1" si="149"/>
        <v>724.63768115942037</v>
      </c>
      <c r="AO50" s="796">
        <f t="shared" ca="1" si="150"/>
        <v>1449.2753623188407</v>
      </c>
      <c r="AP50" s="796">
        <f t="shared" ca="1" si="151"/>
        <v>0</v>
      </c>
      <c r="AQ50" s="753">
        <f ca="1">RZ[[#This Row],[Kilogramová cena bez DPH '[cena/kg'] (1)]]/$AP$13</f>
        <v>25.879917184265008</v>
      </c>
      <c r="AR50" s="261"/>
      <c r="AS50" s="796">
        <f t="shared" ca="1" si="152"/>
        <v>410.28446389496713</v>
      </c>
      <c r="AT50" s="796">
        <f t="shared" ca="1" si="153"/>
        <v>820.56892778993426</v>
      </c>
      <c r="AU50" s="789">
        <f t="shared" ca="1" si="154"/>
        <v>0</v>
      </c>
      <c r="AV50" s="767">
        <f ca="1">RZ[[#This Row],[Kilogramová cena bez DPH '[cena/kg'] (1)]]/$AU$13</f>
        <v>14.653016567677398</v>
      </c>
      <c r="AW50" s="165"/>
      <c r="AX50" s="911">
        <f t="shared" ca="1" si="155"/>
        <v>2</v>
      </c>
      <c r="AY50" s="111">
        <f t="shared" ca="1" si="156"/>
        <v>1</v>
      </c>
      <c r="AZ50" s="111">
        <f t="shared" ca="1" si="157"/>
        <v>27</v>
      </c>
      <c r="BA50" s="111">
        <f t="shared" ca="1" si="158"/>
        <v>0</v>
      </c>
      <c r="BB50" s="111">
        <f t="shared" ca="1" si="159"/>
        <v>0</v>
      </c>
      <c r="BC50" s="111">
        <f t="shared" ca="1" si="160"/>
        <v>0</v>
      </c>
      <c r="BD50" s="111">
        <f t="shared" ca="1" si="161"/>
        <v>0</v>
      </c>
      <c r="BE50" s="111">
        <f t="shared" ca="1" si="162"/>
        <v>0</v>
      </c>
      <c r="BF50" s="111">
        <f t="shared" ca="1" si="163"/>
        <v>0</v>
      </c>
      <c r="BG50" s="112">
        <f t="shared" ca="1" si="164"/>
        <v>0</v>
      </c>
      <c r="BH50" s="911">
        <f t="shared" si="165"/>
        <v>0</v>
      </c>
      <c r="BI50" s="111">
        <f t="shared" si="166"/>
        <v>0</v>
      </c>
      <c r="BJ50" s="111">
        <f t="shared" si="167"/>
        <v>1</v>
      </c>
      <c r="BK50" s="111">
        <f t="shared" si="168"/>
        <v>0</v>
      </c>
      <c r="BL50" s="111">
        <f t="shared" si="169"/>
        <v>0</v>
      </c>
      <c r="BM50" s="111">
        <f t="shared" si="170"/>
        <v>0</v>
      </c>
      <c r="BN50" s="111">
        <f t="shared" si="171"/>
        <v>0</v>
      </c>
      <c r="BO50" s="111">
        <f t="shared" si="172"/>
        <v>0</v>
      </c>
      <c r="BP50" s="111">
        <f t="shared" si="173"/>
        <v>0</v>
      </c>
      <c r="BQ50" s="112">
        <f t="shared" si="174"/>
        <v>0</v>
      </c>
      <c r="BR50" s="132">
        <f ca="1">IF(OFFSET(AY50,1,0,1,1)&lt;&gt;0,RZ[[#This Row],[Koeficient odhadu HR '[-'] (P1)]]*$BH50*SUMIFS(RZ[Úroveň 2 s koef. (P2)],RZ[0],AX50),RZ[[#This Row],[Koeficient odhadu HR '[-'] (P1)]]*$BH50*$IG50)</f>
        <v>0</v>
      </c>
      <c r="BS50" s="186">
        <f ca="1">IF(OFFSET(AY50,1,0,1,1)&lt;&gt;0,$BH50*SUMIFS(RZ[Úroveň 2 bez koef. (P2)],RZ[0],AX50),$BH50*$IG50)</f>
        <v>0</v>
      </c>
      <c r="BT50" s="138">
        <f ca="1">RZ[[#This Row],[Úroveň 2 s koef. (P2a)]]*RZ[[#This Row],[Počet MJHR (P0)]]</f>
        <v>0</v>
      </c>
      <c r="BU50" s="138">
        <f ca="1">RZ[[#This Row],[Úroveň 2 bez koef. (P2a)]]*RZ[[#This Row],[Počet MJHR (P0)]]</f>
        <v>0</v>
      </c>
      <c r="BV50" s="138">
        <f ca="1">IF(OFFSET(AZ50,1,0,1,1)&lt;&gt;0,RZ[[#This Row],[Koeficient odhadu HR '[-'] (P1)]]*$BI50*SUMIFS(RZ[Úroveň 3 s koef. (P2)],RZ[0],AX50,RZ[Úroveň 2 (P0)],AY50),RZ[[#This Row],[Koeficient odhadu HR '[-'] (P1)]]*$BI50*$IG50)</f>
        <v>0</v>
      </c>
      <c r="BW50" s="138">
        <f ca="1">IF(OFFSET(AZ50,1,0,1,1)&lt;&gt;0,$BI50*SUMIFS(RZ[Úroveň 3 bez koef. (P2)],RZ[0],AX50,RZ[Úroveň 2 (P0)],AY50),$BI50*$IG50)</f>
        <v>0</v>
      </c>
      <c r="BX50" s="132">
        <f ca="1">RZ[[#This Row],[Úroveň 3 s koef. (P2a)]]*RZ[[#This Row],[Počet MJHR (P0)]]</f>
        <v>56</v>
      </c>
      <c r="BY50" s="132">
        <f ca="1">RZ[Úroveň 3 bez koef. (P2a)]*RZ[[#This Row],[Počet MJHR (P0)]]</f>
        <v>56</v>
      </c>
      <c r="BZ50" s="132">
        <f ca="1">IF(OFFSET(BA50,1,0,1,1)&lt;&gt;0,RZ[[#This Row],[Koeficient odhadu HR '[-'] (P1)]]*$BJ50*SUMIFS(RZ[Úroveň 4 s koef. (P2)],RZ[0],AX50,RZ[Úroveň 2 (P0)],AY50,RZ[Úroveň 3 (P0)],AZ50),RZ[[#This Row],[Koeficient odhadu HR '[-'] (P1)]]*$BJ50*$IG50)</f>
        <v>28</v>
      </c>
      <c r="CA50" s="132">
        <f ca="1">IF(OFFSET(BA50,1,0,1,1)&lt;&gt;0,$BJ50*SUMIFS(RZ[Úroveň 4 bez koef. (P2)],RZ[0],AX50,RZ[Úroveň 2 (P0)],AY50,RZ[Úroveň 3 (P0)],AZ50),$BJ50*$IG50)</f>
        <v>28</v>
      </c>
      <c r="CB50" s="138">
        <f ca="1">RZ[[#This Row],[Úroveň 4 s koef. (P2a)]]*RZ[[#This Row],[Počet MJHR (P0)]]</f>
        <v>0</v>
      </c>
      <c r="CC50" s="138">
        <f ca="1">RZ[Úroveň 4 bez koef. (P2a)]*RZ[[#This Row],[Počet MJHR (P0)]]</f>
        <v>0</v>
      </c>
      <c r="CD50" s="138">
        <f ca="1">IF(OFFSET(BB50,1,0,1,1)&lt;&gt;0,RZ[[#This Row],[Koeficient odhadu HR '[-'] (P1)]]*$BK50*SUMIFS(RZ[Úroveň 5 s koef. (P2)],RZ[0],AX50,RZ[Úroveň 2 (P0)],AY50,RZ[Úroveň 3 (P0)],AZ50,RZ[Úroveň 4 (P0)],BA50),RZ[[#This Row],[Koeficient odhadu HR '[-'] (P1)]]*$BK50*$IG50)</f>
        <v>0</v>
      </c>
      <c r="CE50" s="138">
        <f ca="1">IF(OFFSET(BB50,1,0,1,1)&lt;&gt;0,$BK50*SUMIFS(RZ[Úroveň 5 bez koef. (P2)],RZ[0],AX50,RZ[Úroveň 2 (P0)],AY50,RZ[Úroveň 3 (P0)],AZ50,RZ[Úroveň 4 (P0)],BA50),$BK50*$IG50)</f>
        <v>0</v>
      </c>
      <c r="CF50" s="132">
        <f ca="1">RZ[[#This Row],[Úroveň 5 s koef. (P2a)]]*RZ[[#This Row],[Počet MJHR (P0)]]</f>
        <v>0</v>
      </c>
      <c r="CG50" s="132">
        <f ca="1">RZ[Úroveň 5 bez koef. (P2a)]*RZ[[#This Row],[Počet MJHR (P0)]]</f>
        <v>0</v>
      </c>
      <c r="CH50" s="132">
        <f ca="1">IF(OFFSET(BC50,1,0,1,1)&lt;&gt;0,RZ[[#This Row],[Koeficient odhadu HR '[-'] (P1)]]*$BL50*SUMIFS(RZ[Úroveň 6 s koef. (P2)],RZ[0],AX50,RZ[Úroveň 2 (P0)],AY50,RZ[Úroveň 3 (P0)],AZ50,RZ[Úroveň 4 (P0)],BA50,RZ[Úroveň 5 (P0)],BB50),RZ[[#This Row],[Koeficient odhadu HR '[-'] (P1)]]*$BL50*$IG50)</f>
        <v>0</v>
      </c>
      <c r="CI50" s="132">
        <f ca="1">IF(OFFSET(BC50,1,0,1,1)&lt;&gt;0,$BL50*SUMIFS(RZ[Úroveň 6 bez koef. (P2)],RZ[0],AX50,RZ[Úroveň 2 (P0)],AY50,RZ[Úroveň 3 (P0)],AZ50,RZ[Úroveň 4 (P0)],BA50,RZ[Úroveň 5 (P0)],BB50),$BL50*$IG50)</f>
        <v>0</v>
      </c>
      <c r="CJ50" s="138">
        <f ca="1">RZ[[#This Row],[Úroveň 6 s koef. (P2a)]]*RZ[[#This Row],[Počet MJHR (P0)]]</f>
        <v>0</v>
      </c>
      <c r="CK50" s="138">
        <f ca="1">RZ[Úroveň 6 bez koef. (P2a)]*RZ[[#This Row],[Počet MJHR (P0)]]</f>
        <v>0</v>
      </c>
      <c r="CL50" s="138">
        <f ca="1">IF(OFFSET(BD50,1,0,1,1)&lt;&gt;0,RZ[[#This Row],[Koeficient odhadu HR '[-'] (P1)]]*$BM50*SUMIFS(RZ[Úroveň 7 s koef. (P2)],RZ[0],AX50,RZ[Úroveň 2 (P0)],AY50,RZ[Úroveň 3 (P0)],AZ50,RZ[Úroveň 4 (P0)],BA50,RZ[Úroveň 5 (P0)],BB50,RZ[Úroveň 6 (P0)],BC50),RZ[[#This Row],[Koeficient odhadu HR '[-'] (P1)]]*$BM50*$IG50)</f>
        <v>0</v>
      </c>
      <c r="CM50" s="138">
        <f ca="1">IF(OFFSET(BD50,1,0,1,1)&lt;&gt;0,$BM50*SUMIFS(RZ[Úroveň 7 bez koef. (P2)],RZ[0],AX50,RZ[Úroveň 2 (P0)],AY50,RZ[Úroveň 3 (P0)],AZ50,RZ[Úroveň 4 (P0)],BA50,RZ[Úroveň 5 (P0)],BB50,RZ[Úroveň 6 (P0)],BC50),$BM50*$IG50)</f>
        <v>0</v>
      </c>
      <c r="CN50" s="132">
        <f ca="1">RZ[[#This Row],[Úroveň 7 s koef. (P2a)]]*RZ[[#This Row],[Počet MJHR (P0)]]</f>
        <v>0</v>
      </c>
      <c r="CO50" s="132">
        <f ca="1">RZ[Úroveň 7 bez koef. (P2a)]*RZ[[#This Row],[Počet MJHR (P0)]]</f>
        <v>0</v>
      </c>
      <c r="CP50" s="132">
        <f ca="1">IF(OFFSET(BE50,1,0,1,1)&lt;&gt;0,RZ[[#This Row],[Koeficient odhadu HR '[-'] (P1)]]*$BN50*SUMIFS(RZ[Úroveň 8 s koef. (P2)],RZ[0],AX50,RZ[Úroveň 2 (P0)],AY50,RZ[Úroveň 3 (P0)],AZ50,RZ[Úroveň 4 (P0)],BA50,RZ[Úroveň 5 (P0)],BB50,RZ[Úroveň 6 (P0)],BC50,RZ[Úroveň 7 (P0)],BD50),RZ[[#This Row],[Koeficient odhadu HR '[-'] (P1)]]*$BN50*$IG50)</f>
        <v>0</v>
      </c>
      <c r="CQ50" s="132">
        <f ca="1">IF(OFFSET(BE50,1,0,1,1)&lt;&gt;0,$BN50*SUMIFS(RZ[Úroveň 8 bez koef. (P2)],RZ[0],AX50,RZ[Úroveň 2 (P0)],AY50,RZ[Úroveň 3 (P0)],AZ50,RZ[Úroveň 4 (P0)],BA50,RZ[Úroveň 5 (P0)],BB50,RZ[Úroveň 6 (P0)],BC50,RZ[Úroveň 7 (P0)],BD50),$BN50*$IG50)</f>
        <v>0</v>
      </c>
      <c r="CR50" s="138">
        <f ca="1">RZ[[#This Row],[Úroveň 8 s koef. (P2a)]]*RZ[[#This Row],[Počet MJHR (P0)]]</f>
        <v>0</v>
      </c>
      <c r="CS50" s="138">
        <f ca="1">RZ[Úroveň 8 bez koef. (P2a)]*RZ[[#This Row],[Počet MJHR (P0)]]</f>
        <v>0</v>
      </c>
      <c r="CT50" s="138">
        <f ca="1">IF(OFFSET(BF50,1,0,1,1)&lt;&gt;0,RZ[[#This Row],[Koeficient odhadu HR '[-'] (P1)]]*$BO50*SUMIFS(RZ[Úroveň 9 s koef. (P2)],RZ[0],AX50,RZ[Úroveň 2 (P0)],AY50,RZ[Úroveň 3 (P0)],AZ50,RZ[Úroveň 4 (P0)],BA50,RZ[Úroveň 5 (P0)],BB50,RZ[Úroveň 6 (P0)],BC50,RZ[Úroveň 7 (P0)],BD50,RZ[Úroveň 8 (P0)],BE50),RZ[[#This Row],[Koeficient odhadu HR '[-'] (P1)]]*$BO50*$IG50)</f>
        <v>0</v>
      </c>
      <c r="CU50" s="138">
        <f ca="1">IF(OFFSET(BF50,1,0,1,1)&lt;&gt;0,$BO50*SUMIFS(RZ[Úroveň 9 bez koef. (P2)],RZ[0],AX50,RZ[Úroveň 2 (P0)],AY50,RZ[Úroveň 3 (P0)],AZ50,RZ[Úroveň 4 (P0)],BA50,RZ[Úroveň 5 (P0)],BB50,RZ[Úroveň 6 (P0)],BC50,RZ[Úroveň 7 (P0)],BD50,RZ[Úroveň 8 (P0)],BE50),$BO50*$IG50)</f>
        <v>0</v>
      </c>
      <c r="CV50" s="132">
        <f ca="1">RZ[[#This Row],[Úroveň 9 s koef. (P2a)]]*RZ[[#This Row],[Počet MJHR (P0)]]</f>
        <v>0</v>
      </c>
      <c r="CW50" s="132">
        <f ca="1">RZ[Úroveň 9 bez koef. (P2a)]*RZ[[#This Row],[Počet MJHR (P0)]]</f>
        <v>0</v>
      </c>
      <c r="CX50" s="132">
        <f ca="1">IF(OFFSET(BG50,1,0,1,1)&lt;&gt;0,RZ[[#This Row],[Koeficient odhadu HR '[-'] (P1)]]*$BP50*SUMIFS(RZ[Úroveň 10 s koef. (P2)],RZ[0],AX50,RZ[Úroveň 2 (P0)],AY50,RZ[Úroveň 3 (P0)],AZ50,RZ[Úroveň 4 (P0)],BA50,RZ[Úroveň 5 (P0)],BB50,RZ[Úroveň 6 (P0)],BC50,RZ[Úroveň 7 (P0)],BD50,RZ[Úroveň 8 (P0)],BE50,RZ[Úroveň 9 (P0)],BF50),RZ[[#This Row],[Koeficient odhadu HR '[-'] (P1)]]*$BP50*$IG50)</f>
        <v>0</v>
      </c>
      <c r="CY50" s="132">
        <f ca="1">IF(OFFSET(BG50,1,0,1,1)&lt;&gt;0,$BP50*SUMIFS(RZ[Úroveň 10 bez koef. (P2)],RZ[0],AX50,RZ[Úroveň 2 (P0)],AY50,RZ[Úroveň 3 (P0)],AZ50,RZ[Úroveň 4 (P0)],BA50,RZ[Úroveň 5 (P0)],BB50,RZ[Úroveň 6 (P0)],BC50,RZ[Úroveň 7 (P0)],BD50,RZ[Úroveň 8 (P0)],BE50,RZ[Úroveň 9 (P0)],BF50),$BP50*$IG50)</f>
        <v>0</v>
      </c>
      <c r="CZ50" s="138">
        <f>RZ[[#This Row],[Úroveň 10 s koef. (P2a)]]*RZ[[#This Row],[Počet MJHR (P0)]]</f>
        <v>0</v>
      </c>
      <c r="DA50" s="138">
        <f>RZ[Úroveň 10 bez koef. (P2a)]*RZ[[#This Row],[Počet MJHR (P0)]]</f>
        <v>0</v>
      </c>
      <c r="DB50" s="138">
        <f>RZ[[#This Row],[Koeficient odhadu HR '[-'] (P1)]]*$BQ50*IG50</f>
        <v>0</v>
      </c>
      <c r="DC50" s="231">
        <f t="shared" si="175"/>
        <v>0</v>
      </c>
      <c r="DD50" s="241">
        <f t="shared" ca="1" si="176"/>
        <v>28</v>
      </c>
      <c r="DE50" s="229">
        <f t="shared" ca="1" si="177"/>
        <v>28</v>
      </c>
      <c r="DF50" s="912">
        <f t="shared" si="178"/>
        <v>0</v>
      </c>
      <c r="DG50" s="913">
        <f t="shared" si="179"/>
        <v>0</v>
      </c>
      <c r="DH50" s="913">
        <f t="shared" si="180"/>
        <v>2</v>
      </c>
      <c r="DI50" s="913">
        <f t="shared" si="181"/>
        <v>0</v>
      </c>
      <c r="DJ50" s="913">
        <f t="shared" si="182"/>
        <v>0</v>
      </c>
      <c r="DK50" s="913">
        <f t="shared" si="183"/>
        <v>0</v>
      </c>
      <c r="DL50" s="913">
        <f t="shared" si="184"/>
        <v>0</v>
      </c>
      <c r="DM50" s="913">
        <f t="shared" si="185"/>
        <v>0</v>
      </c>
      <c r="DN50" s="913">
        <f t="shared" si="186"/>
        <v>0</v>
      </c>
      <c r="DO50" s="913">
        <f t="shared" si="187"/>
        <v>0</v>
      </c>
      <c r="DP50" s="914">
        <f ca="1">SUMIFS(RZ[Úroveň 1 (P4)],RZ[0],AX50)</f>
        <v>1</v>
      </c>
      <c r="DQ50" s="914">
        <f ca="1">SUMIFS(RZ[Úroveň 2 (P4)],RZ[0],AX50,RZ[Úroveň 2 (P0)],AY50)</f>
        <v>1</v>
      </c>
      <c r="DR50" s="914">
        <f ca="1">SUMIFS(RZ[Úroveň 3 (P4)],RZ[0],AX50,RZ[Úroveň 2 (P0)],AY50,RZ[Úroveň 3 (P0)],AZ50)</f>
        <v>2</v>
      </c>
      <c r="DS50" s="914">
        <f ca="1">SUMIFS(RZ[Úroveň 4 (P4)],RZ[0],AX50,RZ[Úroveň 2 (P0)],AY50,RZ[Úroveň 3 (P0)],AZ50,RZ[Úroveň 4 (P0)],BA50)</f>
        <v>0</v>
      </c>
      <c r="DT50" s="914">
        <f ca="1">SUMIFS(RZ[Úroveň 5 (P4)],RZ[0],AX50,RZ[Úroveň 2 (P0)],AY50,RZ[Úroveň 3 (P0)],AZ50,RZ[Úroveň 4 (P0)],BA50,RZ[Úroveň 5 (P0)],BB50)</f>
        <v>0</v>
      </c>
      <c r="DU50" s="914">
        <f ca="1">SUMIFS(RZ[Úroveň 6 (P4)],RZ[0],AX50,RZ[Úroveň 2 (P0)],AY50,RZ[Úroveň 3 (P0)],AZ50,RZ[Úroveň 4 (P0)],BA50,RZ[Úroveň 5 (P0)],BB50,RZ[Úroveň 6 (P0)],BC50)</f>
        <v>0</v>
      </c>
      <c r="DV50" s="914">
        <f ca="1">SUMIFS(RZ[Úroveň 7 (P4)],RZ[0],AX50,RZ[Úroveň 2 (P0)],AY50,RZ[Úroveň 3 (P0)],AZ50,RZ[Úroveň 4 (P0)],BA50,RZ[Úroveň 5 (P0)],BB50,RZ[Úroveň 6 (P0)],BC50,RZ[Úroveň 7 (P0)],BD50)</f>
        <v>0</v>
      </c>
      <c r="DW50" s="914">
        <f ca="1">SUMIFS(RZ[Úroveň 8 (P4)],RZ[0],AX50,RZ[Úroveň 2 (P0)],AY50,RZ[Úroveň 3 (P0)],AZ50,RZ[Úroveň 4 (P0)],BA50,RZ[Úroveň 5 (P0)],BB50,RZ[Úroveň 6 (P0)],BC50,RZ[Úroveň 7 (P0)],BD50,RZ[Úroveň 8 (P0)],BE50)</f>
        <v>0</v>
      </c>
      <c r="DX50" s="914">
        <f ca="1">SUMIFS(RZ[Úroveň 9 (P4)],RZ[0],AX50,RZ[Úroveň 2 (P0)],AY50,RZ[Úroveň 3 (P0)],AZ50,RZ[Úroveň 4 (P0)],BA50,RZ[Úroveň 5 (P0)],BB50,RZ[Úroveň 6 (P0)],BC50,RZ[Úroveň 7 (P0)],BD50,RZ[Úroveň 8 (P0)],BE50,RZ[Úroveň 9 (P0)],BF50)</f>
        <v>0</v>
      </c>
      <c r="DY50" s="914">
        <f ca="1">SUMIFS(RZ[Úroveň 10 (P4)],RZ[0],AX50,RZ[Úroveň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DZ50" s="915">
        <f t="shared" ca="1" si="188"/>
        <v>2</v>
      </c>
      <c r="EA50" s="916">
        <f ca="1">RZ[[#This Row],[Jednotková hmotnost bez koef. '[kg/MJHR'] (P0)]]*RZ[[#This Row],[Počet MJHR v rozpadu (P0)]]</f>
        <v>56</v>
      </c>
      <c r="EB50" s="917">
        <f ca="1">IF(OFFSET(AY50,1,0,1,1)&lt;&gt;0,RZ[[#This Row],[Koeficient odhadu CR '[-'] (P1)]]*$BH50*SUMIFS(RZ[Úroveň 2 s koef. (P3)],RZ[0],AX50),RZ[[#This Row],[Koeficient odhadu CR '[-'] (P1)]]*$BH50*$IQ50)</f>
        <v>0</v>
      </c>
      <c r="EC50" s="191">
        <f ca="1">IF(OFFSET(AY50,1,0,1,1)&lt;&gt;0,$BH50*SUMIFS(RZ[Úroveň 2 bez koef. (P3)],RZ[0],AX50),$BH50*$IQ50)</f>
        <v>0</v>
      </c>
      <c r="ED50" s="140">
        <f ca="1">RZ[[#This Row],[Úroveň 2 s koef. (P3a)]]*RZ[[#This Row],[Počet MJCR (P0) pro "kg"]]</f>
        <v>0</v>
      </c>
      <c r="EE50" s="140">
        <f ca="1">RZ[Úroveň 2 bez koef. (P3a)]*RZ[[#This Row],[Počet MJCR (P0) pro "kg"]]</f>
        <v>0</v>
      </c>
      <c r="EF50" s="140">
        <f ca="1">IF(OFFSET(AZ50,1,0,1,1)&lt;&gt;0,RZ[[#This Row],[Koeficient odhadu CR '[-'] (P1)]]*$BI50*SUMIFS(RZ[Úroveň 3 s koef. (P3)],RZ[0],AX50,RZ[Úroveň 2 (P0)],AY50),RZ[[#This Row],[Koeficient odhadu CR '[-'] (P1)]]*$BI50*$IQ50)</f>
        <v>0</v>
      </c>
      <c r="EG50" s="140">
        <f ca="1">IF(OFFSET(AZ50,1,0,1,1)&lt;&gt;0,$BI50*SUMIFS(RZ[Úroveň 3 bez koef. (P3)],RZ[0],AX50,RZ[Úroveň 2 (P0)],AY50),$BI50*$IQ50)</f>
        <v>0</v>
      </c>
      <c r="EH50" s="135">
        <f ca="1">RZ[[#This Row],[Úroveň 3 s koef. (P3a)]]*RZ[[#This Row],[Počet MJCR (P0) pro "kg"]]</f>
        <v>30000</v>
      </c>
      <c r="EI50" s="135">
        <f ca="1">RZ[Úroveň 3 bez koef. (P3a)]*RZ[[#This Row],[Počet MJCR (P0) pro "kg"]]</f>
        <v>30000</v>
      </c>
      <c r="EJ50" s="135">
        <f ca="1">IF(OFFSET(BA50,1,0,1,1)&lt;&gt;0,RZ[[#This Row],[Koeficient odhadu CR '[-'] (P1)]]*$BJ50*SUMIFS(RZ[Úroveň 4 s koef. (P3)],RZ[0],AX50,RZ[Úroveň 2 (P0)],AY50,RZ[Úroveň 3 (P0)],AZ50),RZ[[#This Row],[Koeficient odhadu CR '[-'] (P1)]]*$BJ50*$IQ50)</f>
        <v>15000</v>
      </c>
      <c r="EK50" s="135">
        <f ca="1">IF(OFFSET(BA50,1,0,1,1)&lt;&gt;0,$BJ50*SUMIFS(RZ[Úroveň 4 bez koef. (P3)],RZ[0],AX50,RZ[Úroveň 2 (P0)],AY50,RZ[Úroveň 3 (P0)],AZ50),$BJ50*$IQ50)</f>
        <v>15000</v>
      </c>
      <c r="EL50" s="140">
        <f ca="1">RZ[[#This Row],[Úroveň 4 s koef. (P3a)]]*RZ[[#This Row],[Počet MJCR (P0) pro "kg"]]</f>
        <v>0</v>
      </c>
      <c r="EM50" s="140">
        <f ca="1">RZ[Úroveň 4 bez koef. (P3a)]*RZ[[#This Row],[Počet MJCR (P0) pro "kg"]]</f>
        <v>0</v>
      </c>
      <c r="EN50" s="140">
        <f ca="1">IF(OFFSET(BB50,1,0,1,1)&lt;&gt;0,RZ[[#This Row],[Koeficient odhadu CR '[-'] (P1)]]*$BK50*SUMIFS(RZ[Úroveň 5 s koef. (P3)],RZ[0],AX50,RZ[Úroveň 2 (P0)],AY50,RZ[Úroveň 3 (P0)],AZ50,RZ[Úroveň 4 (P0)],BA50),RZ[[#This Row],[Koeficient odhadu CR '[-'] (P1)]]*$BK50*$IQ50)</f>
        <v>0</v>
      </c>
      <c r="EO50" s="140">
        <f ca="1">IF(OFFSET(BB50,1,0,1,1)&lt;&gt;0,$BK50*SUMIFS(RZ[Úroveň 5 bez koef. (P3)],RZ[0],AX50,RZ[Úroveň 2 (P0)],AY50,RZ[Úroveň 3 (P0)],AZ50,RZ[Úroveň 4 (P0)],BA50),$BK50*$IQ50)</f>
        <v>0</v>
      </c>
      <c r="EP50" s="135">
        <f ca="1">RZ[[#This Row],[Úroveň 5 s koef. (P3a)]]*RZ[[#This Row],[Počet MJCR (P0) pro "kg"]]</f>
        <v>0</v>
      </c>
      <c r="EQ50" s="135">
        <f ca="1">RZ[Úroveň 5 bez koef. (P3a)]*RZ[[#This Row],[Počet MJCR (P0) pro "kg"]]</f>
        <v>0</v>
      </c>
      <c r="ER50" s="135">
        <f ca="1">IF(OFFSET(BC50,1,0,1,1)&lt;&gt;0,RZ[[#This Row],[Koeficient odhadu CR '[-'] (P1)]]*$BL50*SUMIFS(RZ[Úroveň 6 s koef. (P3)],RZ[0],AX50,RZ[Úroveň 2 (P0)],AY50,RZ[Úroveň 3 (P0)],AZ50,RZ[Úroveň 4 (P0)],BA50,RZ[Úroveň 5 (P0)],BB50),RZ[[#This Row],[Koeficient odhadu CR '[-'] (P1)]]*$BL50*$IQ50)</f>
        <v>0</v>
      </c>
      <c r="ES50" s="135">
        <f ca="1">IF(OFFSET(BC50,1,0,1,1)&lt;&gt;0,$BL50*SUMIFS(RZ[Úroveň 6 bez koef. (P3)],RZ[0],AX50,RZ[Úroveň 2 (P0)],AY50,RZ[Úroveň 3 (P0)],AZ50,RZ[Úroveň 4 (P0)],BA50,RZ[Úroveň 5 (P0)],BB50),$BL50*$IQ50)</f>
        <v>0</v>
      </c>
      <c r="ET50" s="140">
        <f ca="1">RZ[[#This Row],[Úroveň 6 s koef. (P3a)]]*RZ[[#This Row],[Počet MJCR (P0) pro "kg"]]</f>
        <v>0</v>
      </c>
      <c r="EU50" s="140">
        <f ca="1">RZ[Úroveň 6 bez koef. (P3a)]*RZ[[#This Row],[Počet MJCR (P0) pro "kg"]]</f>
        <v>0</v>
      </c>
      <c r="EV50" s="140">
        <f ca="1">IF(OFFSET(BD50,1,0,1,1)&lt;&gt;0,RZ[[#This Row],[Koeficient odhadu CR '[-'] (P1)]]*$BM50*SUMIFS(RZ[Úroveň 7 s koef. (P3)],RZ[0],AX50,RZ[Úroveň 2 (P0)],AY50,RZ[Úroveň 3 (P0)],AZ50,RZ[Úroveň 4 (P0)],BA50,RZ[Úroveň 5 (P0)],BB50,RZ[Úroveň 6 (P0)],BC50),RZ[[#This Row],[Koeficient odhadu CR '[-'] (P1)]]*$BM50*$IQ50)</f>
        <v>0</v>
      </c>
      <c r="EW50" s="140">
        <f ca="1">IF(OFFSET(BD50,1,0,1,1)&lt;&gt;0,$BM50*SUMIFS(RZ[Úroveň 7 bez koef. (P3)],RZ[0],AX50,RZ[Úroveň 2 (P0)],AY50,RZ[Úroveň 3 (P0)],AZ50,RZ[Úroveň 4 (P0)],BA50,RZ[Úroveň 5 (P0)],BB50,RZ[Úroveň 6 (P0)],BC50),$BM50*$IQ50)</f>
        <v>0</v>
      </c>
      <c r="EX50" s="135">
        <f ca="1">RZ[[#This Row],[Úroveň 7 s koef. (P3a)]]*RZ[[#This Row],[Počet MJCR (P0) pro "kg"]]</f>
        <v>0</v>
      </c>
      <c r="EY50" s="135">
        <f ca="1">RZ[Úroveň 7 bez koef. (P3a)]*RZ[[#This Row],[Počet MJCR (P0) pro "kg"]]</f>
        <v>0</v>
      </c>
      <c r="EZ50" s="135">
        <f ca="1">IF(OFFSET(BE50,1,0,1,1)&lt;&gt;0,RZ[[#This Row],[Koeficient odhadu CR '[-'] (P1)]]*$BN50*SUMIFS(RZ[Úroveň 8 s koef. (P3)],RZ[0],AX50,RZ[Úroveň 2 (P0)],AY50,RZ[Úroveň 3 (P0)],AZ50,RZ[Úroveň 4 (P0)],BA50,RZ[Úroveň 5 (P0)],BB50,RZ[Úroveň 6 (P0)],BC50,RZ[Úroveň 7 (P0)],BD50),RZ[[#This Row],[Koeficient odhadu CR '[-'] (P1)]]*$BN50*$IQ50)</f>
        <v>0</v>
      </c>
      <c r="FA50" s="135">
        <f ca="1">IF(OFFSET(BE50,1,0,1,1)&lt;&gt;0,$BN50*SUMIFS(RZ[Úroveň 8 bez koef. (P3)],RZ[0],AX50,RZ[Úroveň 2 (P0)],AY50,RZ[Úroveň 3 (P0)],AZ50,RZ[Úroveň 4 (P0)],BA50,RZ[Úroveň 5 (P0)],BB50,RZ[Úroveň 6 (P0)],BC50,RZ[Úroveň 7 (P0)],BD50),$BN50*$IQ50)</f>
        <v>0</v>
      </c>
      <c r="FB50" s="140">
        <f ca="1">RZ[[#This Row],[Úroveň 8 s koef. (P3a)]]*RZ[[#This Row],[Počet MJCR (P0) pro "kg"]]</f>
        <v>0</v>
      </c>
      <c r="FC50" s="140">
        <f ca="1">RZ[Úroveň 8 bez koef. (P3a)]*RZ[[#This Row],[Počet MJCR (P0) pro "kg"]]</f>
        <v>0</v>
      </c>
      <c r="FD50" s="140">
        <f ca="1">IF(OFFSET(BF50,1,0,1,1)&lt;&gt;0,RZ[[#This Row],[Koeficient odhadu CR '[-'] (P1)]]*$BO50*SUMIFS(RZ[Úroveň 9 s koef. (P3)],RZ[0],AX50,RZ[Úroveň 2 (P0)],AY50,RZ[Úroveň 3 (P0)],AZ50,RZ[Úroveň 4 (P0)],BA50,RZ[Úroveň 5 (P0)],BB50,RZ[Úroveň 6 (P0)],BC50,RZ[Úroveň 7 (P0)],BD50,RZ[Úroveň 8 (P0)],BE50),RZ[[#This Row],[Koeficient odhadu CR '[-'] (P1)]]*$BO50*$IQ50)</f>
        <v>0</v>
      </c>
      <c r="FE50" s="140">
        <f ca="1">IF(OFFSET(BF50,1,0,1,1)&lt;&gt;0,$BO50*SUMIFS(RZ[Úroveň 9 bez koef. (P3)],RZ[0],AX50,RZ[Úroveň 2 (P0)],AY50,RZ[Úroveň 3 (P0)],AZ50,RZ[Úroveň 4 (P0)],BA50,RZ[Úroveň 5 (P0)],BB50,RZ[Úroveň 6 (P0)],BC50,RZ[Úroveň 7 (P0)],BD50,RZ[Úroveň 8 (P0)],BE50),$BO50*$IQ50)</f>
        <v>0</v>
      </c>
      <c r="FF50" s="135">
        <f ca="1">RZ[[#This Row],[Úroveň 9 s koef. (P3a)]]*RZ[[#This Row],[Počet MJCR (P0) pro "kg"]]</f>
        <v>0</v>
      </c>
      <c r="FG50" s="135">
        <f ca="1">RZ[Úroveň 9 bez koef. (P3a)]*RZ[[#This Row],[Počet MJCR (P0) pro "kg"]]</f>
        <v>0</v>
      </c>
      <c r="FH50" s="135">
        <f ca="1">IF(OFFSET(BG50,1,0,1,1)&lt;&gt;0,RZ[[#This Row],[Koeficient odhadu CR '[-'] (P1)]]*$BP50*SUMIFS(RZ[Úroveň 10 s koef. (P3)],RZ[0],AX50,RZ[Úroveň 2 (P0)],AY50,RZ[Úroveň 3 (P0)],AZ50,RZ[Úroveň 4 (P0)],BA50,RZ[Úroveň 5 (P0)],BB50,RZ[Úroveň 6 (P0)],BC50,RZ[Úroveň 7 (P0)],BD50,RZ[Úroveň 8 (P0)],BE50,RZ[Úroveň 9 (P0)],BF50),RZ[[#This Row],[Koeficient odhadu CR '[-'] (P1)]]*$BP50*$IQ50)</f>
        <v>0</v>
      </c>
      <c r="FI50" s="135">
        <f ca="1">IF(OFFSET(BG50,1,0,1,1)&lt;&gt;0,$BP50*SUMIFS(RZ[Úroveň 10 bez koef. (P3)],RZ[0],AX50,RZ[Úroveň 2 (P0)],AY50,RZ[Úroveň 3 (P0)],AZ50,RZ[Úroveň 4 (P0)],BA50,RZ[Úroveň 5 (P0)],BB50,RZ[Úroveň 6 (P0)],BC50,RZ[Úroveň 7 (P0)],BD50,RZ[Úroveň 8 (P0)],BE50,RZ[Úroveň 9 (P0)],BF50),$BP50*$IQ50)</f>
        <v>0</v>
      </c>
      <c r="FJ50" s="140">
        <f ca="1">RZ[[#This Row],[Úroveň 10 s koef. (P3a)]]*RZ[[#This Row],[Počet MJCR (P0) pro "kg"]]</f>
        <v>0</v>
      </c>
      <c r="FK50" s="140">
        <f ca="1">RZ[Úroveň 10 bez koef. (P3a)]*RZ[[#This Row],[Počet MJCR (P0) pro "kg"]]</f>
        <v>0</v>
      </c>
      <c r="FL50" s="140">
        <f ca="1">RZ[[#This Row],[Koeficient odhadu CR '[-'] (P1)]]*$BQ50*IQ50</f>
        <v>0</v>
      </c>
      <c r="FM50" s="236">
        <f t="shared" ca="1" si="189"/>
        <v>0</v>
      </c>
      <c r="FN50" s="194">
        <f t="shared" ca="1" si="190"/>
        <v>15000</v>
      </c>
      <c r="FO50" s="238">
        <f t="shared" ca="1" si="191"/>
        <v>15000</v>
      </c>
      <c r="FP50" s="135">
        <f t="shared" ca="1" si="192"/>
        <v>0</v>
      </c>
      <c r="FQ50" s="135">
        <f t="shared" ca="1" si="193"/>
        <v>0</v>
      </c>
      <c r="FR50" s="135">
        <f t="shared" ca="1" si="194"/>
        <v>2</v>
      </c>
      <c r="FS50" s="135">
        <f t="shared" ca="1" si="195"/>
        <v>0</v>
      </c>
      <c r="FT50" s="135">
        <f t="shared" ca="1" si="196"/>
        <v>0</v>
      </c>
      <c r="FU50" s="135">
        <f t="shared" ca="1" si="197"/>
        <v>0</v>
      </c>
      <c r="FV50" s="135">
        <f t="shared" ca="1" si="198"/>
        <v>0</v>
      </c>
      <c r="FW50" s="135">
        <f t="shared" ca="1" si="199"/>
        <v>0</v>
      </c>
      <c r="FX50" s="135">
        <f t="shared" ca="1" si="200"/>
        <v>0</v>
      </c>
      <c r="FY50" s="135">
        <f t="shared" ca="1" si="201"/>
        <v>0</v>
      </c>
      <c r="FZ50" s="140">
        <f ca="1">SUMIFS(RZ[Úroveň 1 (P6)],RZ[0],AX50)</f>
        <v>1</v>
      </c>
      <c r="GA50" s="140">
        <f ca="1">SUMIFS(RZ[Úroveň 2 (P6)],RZ[0],AX50,RZ[Úroveň 2 (P0)],AY50)</f>
        <v>1</v>
      </c>
      <c r="GB50" s="140">
        <f ca="1">SUMIFS(RZ[Úroveň 3 (P6)],RZ[0],AX50,RZ[Úroveň 2 (P0)],AY50,RZ[Úroveň 3 (P0)],AZ50)</f>
        <v>2</v>
      </c>
      <c r="GC50" s="140">
        <f ca="1">SUMIFS(RZ[Úroveň 4 (P6)],RZ[0],AX50,RZ[Úroveň 2 (P0)],AY50,RZ[Úroveň 3 (P0)],AZ50,RZ[Úroveň 4 (P0)],BA50)</f>
        <v>0</v>
      </c>
      <c r="GD50" s="140">
        <f ca="1">SUMIFS(RZ[Úroveň 5 (P6)],RZ[0],AX50,RZ[Úroveň 2 (P0)],AY50,RZ[Úroveň 3 (P0)],AZ50,RZ[Úroveň 4 (P0)],BA50,RZ[Úroveň 5 (P0)],BB50)</f>
        <v>0</v>
      </c>
      <c r="GE50" s="140">
        <f ca="1">SUMIFS(RZ[Úroveň 6 (P6)],RZ[0],AX50,RZ[Úroveň 2 (P0)],AY50,RZ[Úroveň 3 (P0)],AZ50,RZ[Úroveň 4 (P0)],BA50,RZ[Úroveň 5 (P0)],BB50,RZ[Úroveň 6 (P0)],BC50)</f>
        <v>0</v>
      </c>
      <c r="GF50" s="140">
        <f ca="1">SUMIFS(RZ[Úroveň 7 (P6)],RZ[0],AX50,RZ[Úroveň 2 (P0)],AY50,RZ[Úroveň 3 (P0)],AZ50,RZ[Úroveň 4 (P0)],BA50,RZ[Úroveň 5 (P0)],BB50,RZ[Úroveň 6 (P0)],BC50,RZ[Úroveň 7 (P0)],BD50)</f>
        <v>0</v>
      </c>
      <c r="GG50" s="140">
        <f ca="1">SUMIFS(RZ[Úroveň 8 (P6)],RZ[0],AX50,RZ[Úroveň 2 (P0)],AY50,RZ[Úroveň 3 (P0)],AZ50,RZ[Úroveň 4 (P0)],BA50,RZ[Úroveň 5 (P0)],BB50,RZ[Úroveň 6 (P0)],BC50,RZ[Úroveň 7 (P0)],BD50,RZ[Úroveň 8 (P0)],BE50)</f>
        <v>0</v>
      </c>
      <c r="GH50" s="140">
        <f ca="1">SUMIFS(RZ[Úroveň 9 (P6)],RZ[0],AX50,RZ[Úroveň 2 (P0)],AY50,RZ[Úroveň 3 (P0)],AZ50,RZ[Úroveň 4 (P0)],BA50,RZ[Úroveň 5 (P0)],BB50,RZ[Úroveň 6 (P0)],BC50,RZ[Úroveň 7 (P0)],BD50,RZ[Úroveň 8 (P0)],BE50,RZ[Úroveň 9 (P0)],BF50)</f>
        <v>0</v>
      </c>
      <c r="GI50" s="140">
        <f ca="1">SUMIFS(RZ[Úroveň 10 (P6)],RZ[0],AX50,RZ[Úroveň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GJ50" s="918">
        <f t="shared" ca="1" si="202"/>
        <v>2</v>
      </c>
      <c r="GK50" s="808">
        <f t="shared" si="203"/>
        <v>0</v>
      </c>
      <c r="GL50" s="808">
        <f t="shared" si="204"/>
        <v>0</v>
      </c>
      <c r="GM50" s="808">
        <f t="shared" si="205"/>
        <v>1</v>
      </c>
      <c r="GN50" s="808">
        <f t="shared" si="206"/>
        <v>0</v>
      </c>
      <c r="GO50" s="808">
        <f t="shared" si="207"/>
        <v>0</v>
      </c>
      <c r="GP50" s="808">
        <f t="shared" si="208"/>
        <v>0</v>
      </c>
      <c r="GQ50" s="808">
        <f t="shared" si="209"/>
        <v>0</v>
      </c>
      <c r="GR50" s="808">
        <f t="shared" si="210"/>
        <v>0</v>
      </c>
      <c r="GS50" s="808">
        <f t="shared" si="211"/>
        <v>0</v>
      </c>
      <c r="GT50" s="808">
        <f t="shared" si="212"/>
        <v>0</v>
      </c>
      <c r="GU50" s="809">
        <f ca="1">SUMIFS(RZ[Sloupec1],RZ[0],AX50)</f>
        <v>1</v>
      </c>
      <c r="GV50" s="809">
        <f ca="1">SUMIFS(RZ[Sloupec2],RZ[0],AX50,RZ[Úroveň 2 (P0)],AY50)</f>
        <v>1</v>
      </c>
      <c r="GW50" s="809">
        <f ca="1">SUMIFS(RZ[Sloupec3],RZ[0],AX50,RZ[Úroveň 2 (P0)],AY50,RZ[Úroveň 3 (P0)],AZ50)</f>
        <v>1</v>
      </c>
      <c r="GX50" s="809">
        <f ca="1">SUMIFS(RZ[Sloupec4],RZ[0],AX50,RZ[Úroveň 2 (P0)],AY50,RZ[Úroveň 3 (P0)],AZ50,RZ[Úroveň 4 (P0)],BA50)</f>
        <v>0</v>
      </c>
      <c r="GY50" s="809">
        <f ca="1">SUMIFS(RZ[Sloupec5],RZ[0],AX50,RZ[Úroveň 2 (P0)],AY50,RZ[Úroveň 3 (P0)],AZ50,RZ[Úroveň 4 (P0)],BA50,RZ[Úroveň 5 (P0)],BB50)</f>
        <v>0</v>
      </c>
      <c r="GZ50" s="809">
        <f ca="1">SUMIFS(RZ[Sloupec6],RZ[0],AX50,RZ[Úroveň 2 (P0)],AY50,RZ[Úroveň 3 (P0)],AZ50,RZ[Úroveň 4 (P0)],BA50,RZ[Úroveň 5 (P0)],BB50,RZ[Úroveň 6 (P0)],BC50)</f>
        <v>0</v>
      </c>
      <c r="HA50" s="809">
        <f ca="1">SUMIFS(RZ[Sloupec62],RZ[0],AX50,RZ[Úroveň 2 (P0)],AY50,RZ[Úroveň 3 (P0)],AZ50,RZ[Úroveň 4 (P0)],BA50,RZ[Úroveň 5 (P0)],BB50,RZ[Úroveň 6 (P0)],BC50,RZ[Úroveň 7 (P0)],BD50)</f>
        <v>0</v>
      </c>
      <c r="HB50" s="809">
        <f ca="1">SUMIFS(RZ[Sloupec63],RZ[0],AX50,RZ[Úroveň 2 (P0)],AY50,RZ[Úroveň 3 (P0)],AZ50,RZ[Úroveň 4 (P0)],BA50,RZ[Úroveň 5 (P0)],BB50,RZ[Úroveň 6 (P0)],BC50,RZ[Úroveň 7 (P0)],BD50,RZ[Úroveň 8 (P0)],BE50)</f>
        <v>0</v>
      </c>
      <c r="HC50" s="809">
        <f ca="1">SUMIFS(RZ[Sloupec64],RZ[0],AX50,RZ[Úroveň 2 (P0)],AY50,RZ[Úroveň 3 (P0)],AZ50,RZ[Úroveň 4 (P0)],BA50,RZ[Úroveň 5 (P0)],BB50,RZ[Úroveň 6 (P0)],BC50,RZ[Úroveň 7 (P0)],BD50,RZ[Úroveň 8 (P0)],BE50,RZ[Úroveň 9 (P0)],BF50)</f>
        <v>0</v>
      </c>
      <c r="HD50" s="809">
        <f ca="1">SUMIFS(RZ[Sloupec65],RZ[0],AX50,RZ[Úroveň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HE50" s="919">
        <f t="shared" ca="1" si="213"/>
        <v>1</v>
      </c>
      <c r="HF50" s="920" t="str">
        <f t="shared" si="214"/>
        <v/>
      </c>
      <c r="HG50" s="94" t="str">
        <f t="shared" si="215"/>
        <v/>
      </c>
      <c r="HH50" s="95" t="str">
        <f t="shared" si="216"/>
        <v/>
      </c>
      <c r="HI50" s="95" t="str">
        <f t="shared" si="217"/>
        <v>Pogramový spínač</v>
      </c>
      <c r="HJ50" s="96" t="str">
        <f t="shared" si="218"/>
        <v/>
      </c>
      <c r="HK50" s="96" t="str">
        <f t="shared" si="219"/>
        <v/>
      </c>
      <c r="HL50" s="96" t="str">
        <f t="shared" si="220"/>
        <v/>
      </c>
      <c r="HM50" s="96" t="str">
        <f t="shared" si="221"/>
        <v/>
      </c>
      <c r="HN50" s="96" t="str">
        <f t="shared" si="222"/>
        <v/>
      </c>
      <c r="HO50" s="96" t="str">
        <f t="shared" si="223"/>
        <v/>
      </c>
      <c r="HP50" s="96" t="str">
        <f t="shared" si="224"/>
        <v/>
      </c>
      <c r="HQ50" s="145" t="str">
        <f t="shared" si="225"/>
        <v>ELSP</v>
      </c>
      <c r="HR50" s="921" t="str">
        <f t="shared" si="226"/>
        <v/>
      </c>
      <c r="HS50" s="173">
        <f t="shared" si="227"/>
        <v>0</v>
      </c>
      <c r="HT50" s="100">
        <f t="shared" si="228"/>
        <v>0</v>
      </c>
      <c r="HU50" s="100">
        <f t="shared" si="229"/>
        <v>0</v>
      </c>
      <c r="HV50" s="908" t="str">
        <f t="shared" si="230"/>
        <v>Zajíc</v>
      </c>
      <c r="HW50" s="922">
        <f t="shared" si="231"/>
        <v>42950.646111111113</v>
      </c>
      <c r="HX50" s="224">
        <f t="shared" si="232"/>
        <v>0</v>
      </c>
      <c r="HY50" s="263" t="str">
        <f t="shared" si="233"/>
        <v>S</v>
      </c>
      <c r="HZ50" s="263" t="str">
        <f t="shared" si="234"/>
        <v>N</v>
      </c>
      <c r="IA50" s="150">
        <f t="shared" si="235"/>
        <v>1</v>
      </c>
      <c r="IB50" s="319">
        <f t="shared" si="236"/>
        <v>15000</v>
      </c>
      <c r="IC50" s="923">
        <f t="shared" si="237"/>
        <v>1</v>
      </c>
      <c r="ID50" s="924" t="str">
        <f t="shared" ca="1" si="238"/>
        <v>OK</v>
      </c>
      <c r="IE50" s="201" t="str">
        <f t="shared" si="239"/>
        <v>ks</v>
      </c>
      <c r="IF50" s="145">
        <f t="shared" si="240"/>
        <v>2</v>
      </c>
      <c r="IG50" s="216">
        <f t="shared" si="241"/>
        <v>28</v>
      </c>
      <c r="IH50" s="217">
        <f t="shared" si="242"/>
        <v>1</v>
      </c>
      <c r="II50" s="224" t="str">
        <f ca="1">IF(RZ[[#This Row],[Rozhodný sloupec indikativní ceny]]=1,"kg",IF($IW50=$JL$15,IF(JX50=0,JO50,JX50),IF($IW50=$KE$15,IF(KQ50=0,KH50,KQ50),IF($IW50=$KX$15,IF(LJ50=0,LA50,LJ50),IF($IW50=$LQ$15,IF(MC50=0,LT50,MC50),IF($IW50=$MJ$15,IF(NQ50=0,NH50,NQ50),0))))))</f>
        <v>ks</v>
      </c>
      <c r="IJ50" s="224">
        <f ca="1">IF((BH50+OFFSET(BH50,1,1,1,1))=2,RZ[[#This Row],[Počet MJHR (P0)]],IF((BI50+OFFSET(BI50,1,1,1,1))=2,RZ[[#This Row],[Počet MJHR (P0)]],IF((BJ50+OFFSET(BJ50,1,1,1,1))=2,RZ[[#This Row],[Počet MJHR (P0)]],IF((BK50+OFFSET(BK50,1,1,1,1))=2,RZ[[#This Row],[Počet MJHR (P0)]],IF((BL50+OFFSET(BL50,1,1,1,1))=2,RZ[[#This Row],[Počet MJHR (P0)]],IF((BM50+OFFSET(BM50,1,1,1,1))=2,RZ[[#This Row],[Počet MJHR (P0)]],IF((BN50+OFFSET(BN50,1,1,1,1))=2,RZ[[#This Row],[Počet MJHR (P0)]],IF((BO50+OFFSET(BO50,1,1,1,1))=2,RZ[[#This Row],[Počet MJHR (P0)]],IF((BP50+OFFSET(BP50,1,1,1,1))=2,RZ[[#This Row],[Počet MJHR (P0)]],IF((BQ50+OFFSET(BQ50,1,1,1,1))=2,RZ[[#This Row],[Počet MJHR (P0)]],IF(RZ[[#This Row],[Měrná jednotka CR (MJCR) (P0)]]=RZ[[#This Row],[Měrná jednotka HR '[MJHR'] (P0)]],RZ[[#This Row],[Počet MJHR (P0)]],IF($IW50=$JL$15,JY50,IF($IW50=$KE$15,KR50,IF($IW50=$KX$15,LK50,IF($IW50=$LQ$15,MD50,IF($IW50=$MJ$15,NR50,0))))))))))))))))</f>
        <v>2</v>
      </c>
      <c r="IK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0" s="145">
        <f ca="1">IF(AND(RZ[[#This Row],[Jednotková cena bez DPH '[cena/MJCR'] (P0)]]=0,RZ[[#This Row],[Indikativní jednotková cena '[CZK/kg'] (P1)]]&lt;&gt;0),1,0)</f>
        <v>0</v>
      </c>
      <c r="IM50" s="217">
        <f ca="1">VLOOKUP(RZ[[#This Row],[Kód položek]],INDIKAT_CENA,2,FALSE)</f>
        <v>0</v>
      </c>
      <c r="IN50" s="222">
        <f ca="1">IF(RZ[[#This Row],[Rozhodný sloupec indikativní ceny]]=1,RZ[[#This Row],[Indikativní jednotková cena '[CZK/kg'] (P1)]],RZ[[#This Row],[Jednotková cena bez DPH '[cena/MJCR'] (P0)]])</f>
        <v>15000</v>
      </c>
      <c r="IO50" s="222">
        <f t="shared" si="243"/>
        <v>1</v>
      </c>
      <c r="IP50" s="224">
        <f ca="1">IF(RZ[[#This Row],[Rozhodný sloupec indikativní ceny]]=1,1,IF($IW50=$JL$15,KA50,IF($IW50=$KE$15,KT50,IF($IW50=$KX$15,LM50,IF($IW50=$LQ$15,MF50,IF($IW50=$MJ$15,NT50,0))))))</f>
        <v>1</v>
      </c>
      <c r="IQ50" s="225">
        <f ca="1">IF(RZ[[#This Row],[Jednotková cena bez DPH '[cena/MJCR'] (P1)]]="",0,IF(IP50=0,0,(RZ[[#This Row],[Jednotková cena bez DPH '[cena/MJCR'] (P1)]]*VLOOKUP(IP50,$BR$7:$BT$10,3))))</f>
        <v>15000</v>
      </c>
      <c r="IR50" s="737"/>
      <c r="IS50" s="627">
        <f>IF(HY50=0,"",VLOOKUP(RZ[[#This Row],[Stav Projekce (P0)]],Vstupy!$E$11:'Vstupy'!$E$11:$H$17,4,FALSE))</f>
        <v>100</v>
      </c>
      <c r="IT50" s="925" t="str">
        <f>IF(RZ[[#This Row],[Stav Projekce (P0)]]=0,"",RZ[[#This Row],[Stav Projekce (P0)]])</f>
        <v>S</v>
      </c>
      <c r="IU50" s="925" t="str">
        <f>IF(RZ[[#This Row],[Stav Nákup (P0)]]=0,"",RZ[[#This Row],[Stav Nákup (P0)]])</f>
        <v>N</v>
      </c>
      <c r="IV50" s="926" t="str">
        <f t="shared" si="244"/>
        <v>Zajíc</v>
      </c>
      <c r="IW50" s="641">
        <v>1</v>
      </c>
      <c r="IX50" s="630"/>
      <c r="IY50" s="264"/>
      <c r="IZ50" s="648"/>
      <c r="JA50" s="100"/>
      <c r="JB50" s="100" t="s">
        <v>833</v>
      </c>
      <c r="JC50" s="100"/>
      <c r="JD50" s="100"/>
      <c r="JE50" s="100"/>
      <c r="JF50" s="100"/>
      <c r="JG50" s="100"/>
      <c r="JH50" s="100"/>
      <c r="JI50" s="100"/>
      <c r="JJ50" s="145" t="s">
        <v>834</v>
      </c>
      <c r="JK50" s="529"/>
      <c r="JL50" s="286"/>
      <c r="JM50" s="100"/>
      <c r="JN50" s="100"/>
      <c r="JO50" s="145" t="s">
        <v>35</v>
      </c>
      <c r="JP50" s="117">
        <v>2</v>
      </c>
      <c r="JQ50" s="117">
        <v>28</v>
      </c>
      <c r="JR50" s="148">
        <v>1</v>
      </c>
      <c r="JS50" s="145" t="s">
        <v>602</v>
      </c>
      <c r="JT50" s="631"/>
      <c r="JU50" s="148" t="s">
        <v>853</v>
      </c>
      <c r="JV50" s="154">
        <v>42950.646111111113</v>
      </c>
      <c r="JW50" s="145"/>
      <c r="JX50" s="210" t="s">
        <v>35</v>
      </c>
      <c r="JY50" s="117"/>
      <c r="JZ50" s="662">
        <v>15000</v>
      </c>
      <c r="KA50" s="145">
        <v>1</v>
      </c>
      <c r="KB50" s="148">
        <v>1</v>
      </c>
      <c r="KC50" s="148" t="s">
        <v>611</v>
      </c>
      <c r="KD50" s="644"/>
      <c r="KE50" s="286"/>
      <c r="KF50" s="100"/>
      <c r="KG50" s="100"/>
      <c r="KH50" s="210"/>
      <c r="KI50" s="117"/>
      <c r="KJ50" s="117"/>
      <c r="KK50" s="148"/>
      <c r="KL50" s="145"/>
      <c r="KM50" s="632"/>
      <c r="KN50" s="148"/>
      <c r="KO50" s="154"/>
      <c r="KP50" s="154"/>
      <c r="KQ50" s="210"/>
      <c r="KR50" s="117"/>
      <c r="KS50" s="211"/>
      <c r="KT50" s="145"/>
      <c r="KU50" s="148"/>
      <c r="KV50" s="148"/>
      <c r="KW50" s="265"/>
      <c r="KX50" s="286"/>
      <c r="KY50" s="100"/>
      <c r="KZ50" s="100"/>
      <c r="LA50" s="210"/>
      <c r="LB50" s="117"/>
      <c r="LC50" s="117"/>
      <c r="LD50" s="148"/>
      <c r="LE50" s="145"/>
      <c r="LF50" s="632"/>
      <c r="LG50" s="148"/>
      <c r="LH50" s="154"/>
      <c r="LI50" s="154"/>
      <c r="LJ50" s="154"/>
      <c r="LK50" s="117"/>
      <c r="LL50" s="211"/>
      <c r="LM50" s="210"/>
      <c r="LN50" s="148"/>
      <c r="LO50" s="148"/>
      <c r="LP50" s="265"/>
      <c r="LQ50" s="286"/>
      <c r="LR50" s="100"/>
      <c r="LS50" s="100"/>
      <c r="LT50" s="210"/>
      <c r="LU50" s="117"/>
      <c r="LV50" s="117"/>
      <c r="LW50" s="148"/>
      <c r="LX50" s="145"/>
      <c r="LY50" s="632"/>
      <c r="LZ50" s="148"/>
      <c r="MA50" s="154"/>
      <c r="MB50" s="154"/>
      <c r="MC50" s="145"/>
      <c r="MD50" s="117"/>
      <c r="ME50" s="211"/>
      <c r="MF50" s="210"/>
      <c r="MG50" s="148"/>
      <c r="MH50" s="148"/>
      <c r="MI50" s="265"/>
      <c r="MJ50" s="647"/>
      <c r="MK50" s="264"/>
      <c r="ML50" s="153"/>
      <c r="MM50" s="153"/>
      <c r="MN50" s="153"/>
      <c r="MO50" s="153"/>
      <c r="MP50" s="153"/>
      <c r="MQ50" s="153"/>
      <c r="MR50" s="153"/>
      <c r="MS50" s="99"/>
      <c r="MT50" s="99"/>
      <c r="MU50" s="99"/>
      <c r="MV50" s="99"/>
      <c r="MW50" s="99"/>
      <c r="MX50" s="99"/>
      <c r="MY50" s="153"/>
      <c r="MZ50" s="153"/>
      <c r="NA50" s="153"/>
      <c r="NB50" s="153"/>
      <c r="NC50" s="153"/>
      <c r="ND50" s="153"/>
      <c r="NE50" s="148"/>
      <c r="NF50" s="153"/>
      <c r="NG50" s="153"/>
      <c r="NH50" s="330" t="str">
        <f t="shared" si="245"/>
        <v>ks</v>
      </c>
      <c r="NI50" s="797">
        <f>RZ[[#This Row],[Počet ks (K)]]</f>
        <v>0</v>
      </c>
      <c r="NJ50" s="798">
        <f>RZ[[#This Row],[Hmotnost '[kg/ks'] (K)]]</f>
        <v>0</v>
      </c>
      <c r="NK50" s="148"/>
      <c r="NL50" s="145"/>
      <c r="NM50" s="632"/>
      <c r="NN50" s="148"/>
      <c r="NO50" s="154"/>
      <c r="NP50" s="153"/>
      <c r="NQ50" s="153"/>
      <c r="NR50" s="210"/>
      <c r="NS50" s="148"/>
      <c r="NT50" s="210"/>
      <c r="NU50" s="148"/>
      <c r="NV50" s="148"/>
      <c r="NW50" s="175"/>
    </row>
    <row r="51" spans="2:387" ht="15.95" customHeight="1" x14ac:dyDescent="0.35">
      <c r="B51" s="118" t="str">
        <f t="shared" si="129"/>
        <v/>
      </c>
      <c r="C5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1" s="262" t="str">
        <f t="shared" si="130"/>
        <v xml:space="preserve">    Kohout výtokový</v>
      </c>
      <c r="E51" s="120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Row],[Kód položek (P2)]]))))))))))</f>
        <v>SUOS</v>
      </c>
      <c r="F51" s="791" t="str">
        <f t="shared" si="131"/>
        <v>N/A</v>
      </c>
      <c r="G51" s="792" t="str">
        <f t="shared" si="132"/>
        <v/>
      </c>
      <c r="H51" s="262" t="str">
        <f t="shared" si="133"/>
        <v/>
      </c>
      <c r="I51" s="123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HR '[MJHR'] (P0)]]))))))))))</f>
        <v>ks</v>
      </c>
      <c r="J51" s="123">
        <f t="shared" si="134"/>
        <v>1</v>
      </c>
      <c r="K51" s="793">
        <f>RZ[[#This Row],[Koeficient odhadu HR '[-'] (P1)]]</f>
        <v>1</v>
      </c>
      <c r="L51" s="124">
        <f ca="1">RZ[[#This Row],[Jednotková hmotnost s koef. '[kg/MJHR'] (P0)]]</f>
        <v>1.78</v>
      </c>
      <c r="M51" s="794">
        <f t="shared" ca="1" si="135"/>
        <v>0</v>
      </c>
      <c r="N51" s="125">
        <f t="shared" ca="1" si="136"/>
        <v>1.78</v>
      </c>
      <c r="O51" s="125">
        <f t="shared" ca="1" si="137"/>
        <v>0</v>
      </c>
      <c r="P51" s="126" t="str">
        <f t="shared" si="138"/>
        <v/>
      </c>
      <c r="Q51" s="795">
        <f ca="1">RZ[[#This Row],[Počet MJHR v rozpadu (P0)]]</f>
        <v>1</v>
      </c>
      <c r="R51" s="439" t="str">
        <f t="shared" si="139"/>
        <v>Zajíc</v>
      </c>
      <c r="S51" s="129">
        <f t="shared" si="140"/>
        <v>42950.635636574072</v>
      </c>
      <c r="T51" s="126" t="str">
        <f t="shared" si="141"/>
        <v/>
      </c>
      <c r="U51" s="126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CR (MJCR) (P0)]]))))))))))</f>
        <v>Ks</v>
      </c>
      <c r="V51" s="575">
        <f t="shared" ca="1" si="142"/>
        <v>1</v>
      </c>
      <c r="W51" s="322">
        <f>RZ[[#This Row],[Koeficient odhadu CR '[-'] (P1)]]</f>
        <v>1</v>
      </c>
      <c r="X51" s="440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Row],[Jednotková cena bez DPH '[cena/MJCR'] (P1)]]*RZ[[#This Row],[Koeficient odhadu CR '[-']]]))))))))))</f>
        <v>800</v>
      </c>
      <c r="Y51" s="440">
        <f t="shared" ca="1" si="143"/>
        <v>0</v>
      </c>
      <c r="Z51" s="142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VLOOKUP(IP51,$BR$7:$BS$11,2,FALSE)))))))))))</f>
        <v>CZK</v>
      </c>
      <c r="AA51" s="909">
        <f t="shared" ca="1" si="144"/>
        <v>1</v>
      </c>
      <c r="AB51" s="910">
        <f ca="1">RZ[[#This Row],[Kumulovaný koeficient v rozpadu (P0)]]</f>
        <v>1</v>
      </c>
      <c r="AC51" s="261"/>
      <c r="AD51" s="796">
        <f ca="1">RZ[[#This Row],[Jednotková cena bez DPH '[cena/MJCR'] s koef. (P0)]]/RZ[[#This Row],[Koeficient odhadu CR '[-']]]*RZ[[#This Row],[Kumulovaný koeficient odhadu CR  '[-']]]</f>
        <v>800</v>
      </c>
      <c r="AE51" s="796">
        <f t="shared" ca="1" si="145"/>
        <v>800</v>
      </c>
      <c r="AF51" s="796">
        <f ca="1">-IF(ISNUMBER(AA51),RZ[[#This Row],[Celková cena bez DPH (1)]]-RZ[[#This Row],[Jednotková cena bez DPH '[cena/MJCR'] bez koef. (P0)]]*AA51,0)</f>
        <v>0</v>
      </c>
      <c r="AG5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449.43820224719099</v>
      </c>
      <c r="AH51" s="261"/>
      <c r="AI51" s="796">
        <f t="shared" ca="1" si="146"/>
        <v>29.62962962962963</v>
      </c>
      <c r="AJ51" s="796">
        <f t="shared" ca="1" si="147"/>
        <v>29.62962962962963</v>
      </c>
      <c r="AK51" s="796">
        <f t="shared" ca="1" si="148"/>
        <v>0</v>
      </c>
      <c r="AL51" s="753">
        <f ca="1">RZ[[#This Row],[Kilogramová cena bez DPH '[cena/kg'] (1)]]/$AK$13</f>
        <v>16.645859342488556</v>
      </c>
      <c r="AM51" s="261"/>
      <c r="AN51" s="796">
        <f t="shared" ca="1" si="149"/>
        <v>38.647342995169083</v>
      </c>
      <c r="AO51" s="796">
        <f t="shared" ca="1" si="150"/>
        <v>38.647342995169083</v>
      </c>
      <c r="AP51" s="796">
        <f t="shared" ca="1" si="151"/>
        <v>0</v>
      </c>
      <c r="AQ51" s="753">
        <f ca="1">RZ[[#This Row],[Kilogramová cena bez DPH '[cena/kg'] (1)]]/$AP$13</f>
        <v>21.711990446724204</v>
      </c>
      <c r="AR51" s="261"/>
      <c r="AS51" s="796">
        <f t="shared" ca="1" si="152"/>
        <v>21.881838074398249</v>
      </c>
      <c r="AT51" s="796">
        <f t="shared" ca="1" si="153"/>
        <v>21.881838074398249</v>
      </c>
      <c r="AU51" s="789">
        <f t="shared" ca="1" si="154"/>
        <v>0</v>
      </c>
      <c r="AV51" s="767">
        <f ca="1">RZ[[#This Row],[Kilogramová cena bez DPH '[cena/kg'] (1)]]/$AU$13</f>
        <v>12.293167457527105</v>
      </c>
      <c r="AW51" s="165"/>
      <c r="AX51" s="911">
        <f t="shared" ca="1" si="155"/>
        <v>2</v>
      </c>
      <c r="AY51" s="111">
        <f t="shared" ca="1" si="156"/>
        <v>1</v>
      </c>
      <c r="AZ51" s="111">
        <f t="shared" ca="1" si="157"/>
        <v>28</v>
      </c>
      <c r="BA51" s="111">
        <f t="shared" ca="1" si="158"/>
        <v>0</v>
      </c>
      <c r="BB51" s="111">
        <f t="shared" ca="1" si="159"/>
        <v>0</v>
      </c>
      <c r="BC51" s="111">
        <f t="shared" ca="1" si="160"/>
        <v>0</v>
      </c>
      <c r="BD51" s="111">
        <f t="shared" ca="1" si="161"/>
        <v>0</v>
      </c>
      <c r="BE51" s="111">
        <f t="shared" ca="1" si="162"/>
        <v>0</v>
      </c>
      <c r="BF51" s="111">
        <f t="shared" ca="1" si="163"/>
        <v>0</v>
      </c>
      <c r="BG51" s="112">
        <f t="shared" ca="1" si="164"/>
        <v>0</v>
      </c>
      <c r="BH51" s="911">
        <f t="shared" si="165"/>
        <v>0</v>
      </c>
      <c r="BI51" s="111">
        <f t="shared" si="166"/>
        <v>0</v>
      </c>
      <c r="BJ51" s="111">
        <f t="shared" si="167"/>
        <v>1</v>
      </c>
      <c r="BK51" s="111">
        <f t="shared" si="168"/>
        <v>0</v>
      </c>
      <c r="BL51" s="111">
        <f t="shared" si="169"/>
        <v>0</v>
      </c>
      <c r="BM51" s="111">
        <f t="shared" si="170"/>
        <v>0</v>
      </c>
      <c r="BN51" s="111">
        <f t="shared" si="171"/>
        <v>0</v>
      </c>
      <c r="BO51" s="111">
        <f t="shared" si="172"/>
        <v>0</v>
      </c>
      <c r="BP51" s="111">
        <f t="shared" si="173"/>
        <v>0</v>
      </c>
      <c r="BQ51" s="112">
        <f t="shared" si="174"/>
        <v>0</v>
      </c>
      <c r="BR51" s="132">
        <f ca="1">IF(OFFSET(AY51,1,0,1,1)&lt;&gt;0,RZ[[#This Row],[Koeficient odhadu HR '[-'] (P1)]]*$BH51*SUMIFS(RZ[Úroveň 2 s koef. (P2)],RZ[0],AX51),RZ[[#This Row],[Koeficient odhadu HR '[-'] (P1)]]*$BH51*$IG51)</f>
        <v>0</v>
      </c>
      <c r="BS51" s="186">
        <f ca="1">IF(OFFSET(AY51,1,0,1,1)&lt;&gt;0,$BH51*SUMIFS(RZ[Úroveň 2 bez koef. (P2)],RZ[0],AX51),$BH51*$IG51)</f>
        <v>0</v>
      </c>
      <c r="BT51" s="138">
        <f ca="1">RZ[[#This Row],[Úroveň 2 s koef. (P2a)]]*RZ[[#This Row],[Počet MJHR (P0)]]</f>
        <v>0</v>
      </c>
      <c r="BU51" s="138">
        <f ca="1">RZ[[#This Row],[Úroveň 2 bez koef. (P2a)]]*RZ[[#This Row],[Počet MJHR (P0)]]</f>
        <v>0</v>
      </c>
      <c r="BV51" s="138">
        <f ca="1">IF(OFFSET(AZ51,1,0,1,1)&lt;&gt;0,RZ[[#This Row],[Koeficient odhadu HR '[-'] (P1)]]*$BI51*SUMIFS(RZ[Úroveň 3 s koef. (P2)],RZ[0],AX51,RZ[Úroveň 2 (P0)],AY51),RZ[[#This Row],[Koeficient odhadu HR '[-'] (P1)]]*$BI51*$IG51)</f>
        <v>0</v>
      </c>
      <c r="BW51" s="138">
        <f ca="1">IF(OFFSET(AZ51,1,0,1,1)&lt;&gt;0,$BI51*SUMIFS(RZ[Úroveň 3 bez koef. (P2)],RZ[0],AX51,RZ[Úroveň 2 (P0)],AY51),$BI51*$IG51)</f>
        <v>0</v>
      </c>
      <c r="BX51" s="132">
        <f ca="1">RZ[[#This Row],[Úroveň 3 s koef. (P2a)]]*RZ[[#This Row],[Počet MJHR (P0)]]</f>
        <v>1.78</v>
      </c>
      <c r="BY51" s="132">
        <f ca="1">RZ[Úroveň 3 bez koef. (P2a)]*RZ[[#This Row],[Počet MJHR (P0)]]</f>
        <v>1.78</v>
      </c>
      <c r="BZ51" s="132">
        <f ca="1">IF(OFFSET(BA51,1,0,1,1)&lt;&gt;0,RZ[[#This Row],[Koeficient odhadu HR '[-'] (P1)]]*$BJ51*SUMIFS(RZ[Úroveň 4 s koef. (P2)],RZ[0],AX51,RZ[Úroveň 2 (P0)],AY51,RZ[Úroveň 3 (P0)],AZ51),RZ[[#This Row],[Koeficient odhadu HR '[-'] (P1)]]*$BJ51*$IG51)</f>
        <v>1.78</v>
      </c>
      <c r="CA51" s="132">
        <f ca="1">IF(OFFSET(BA51,1,0,1,1)&lt;&gt;0,$BJ51*SUMIFS(RZ[Úroveň 4 bez koef. (P2)],RZ[0],AX51,RZ[Úroveň 2 (P0)],AY51,RZ[Úroveň 3 (P0)],AZ51),$BJ51*$IG51)</f>
        <v>1.78</v>
      </c>
      <c r="CB51" s="138">
        <f ca="1">RZ[[#This Row],[Úroveň 4 s koef. (P2a)]]*RZ[[#This Row],[Počet MJHR (P0)]]</f>
        <v>0</v>
      </c>
      <c r="CC51" s="138">
        <f ca="1">RZ[Úroveň 4 bez koef. (P2a)]*RZ[[#This Row],[Počet MJHR (P0)]]</f>
        <v>0</v>
      </c>
      <c r="CD51" s="138">
        <f ca="1">IF(OFFSET(BB51,1,0,1,1)&lt;&gt;0,RZ[[#This Row],[Koeficient odhadu HR '[-'] (P1)]]*$BK51*SUMIFS(RZ[Úroveň 5 s koef. (P2)],RZ[0],AX51,RZ[Úroveň 2 (P0)],AY51,RZ[Úroveň 3 (P0)],AZ51,RZ[Úroveň 4 (P0)],BA51),RZ[[#This Row],[Koeficient odhadu HR '[-'] (P1)]]*$BK51*$IG51)</f>
        <v>0</v>
      </c>
      <c r="CE51" s="138">
        <f ca="1">IF(OFFSET(BB51,1,0,1,1)&lt;&gt;0,$BK51*SUMIFS(RZ[Úroveň 5 bez koef. (P2)],RZ[0],AX51,RZ[Úroveň 2 (P0)],AY51,RZ[Úroveň 3 (P0)],AZ51,RZ[Úroveň 4 (P0)],BA51),$BK51*$IG51)</f>
        <v>0</v>
      </c>
      <c r="CF51" s="132">
        <f ca="1">RZ[[#This Row],[Úroveň 5 s koef. (P2a)]]*RZ[[#This Row],[Počet MJHR (P0)]]</f>
        <v>0</v>
      </c>
      <c r="CG51" s="132">
        <f ca="1">RZ[Úroveň 5 bez koef. (P2a)]*RZ[[#This Row],[Počet MJHR (P0)]]</f>
        <v>0</v>
      </c>
      <c r="CH51" s="132">
        <f ca="1">IF(OFFSET(BC51,1,0,1,1)&lt;&gt;0,RZ[[#This Row],[Koeficient odhadu HR '[-'] (P1)]]*$BL51*SUMIFS(RZ[Úroveň 6 s koef. (P2)],RZ[0],AX51,RZ[Úroveň 2 (P0)],AY51,RZ[Úroveň 3 (P0)],AZ51,RZ[Úroveň 4 (P0)],BA51,RZ[Úroveň 5 (P0)],BB51),RZ[[#This Row],[Koeficient odhadu HR '[-'] (P1)]]*$BL51*$IG51)</f>
        <v>0</v>
      </c>
      <c r="CI51" s="132">
        <f ca="1">IF(OFFSET(BC51,1,0,1,1)&lt;&gt;0,$BL51*SUMIFS(RZ[Úroveň 6 bez koef. (P2)],RZ[0],AX51,RZ[Úroveň 2 (P0)],AY51,RZ[Úroveň 3 (P0)],AZ51,RZ[Úroveň 4 (P0)],BA51,RZ[Úroveň 5 (P0)],BB51),$BL51*$IG51)</f>
        <v>0</v>
      </c>
      <c r="CJ51" s="138">
        <f ca="1">RZ[[#This Row],[Úroveň 6 s koef. (P2a)]]*RZ[[#This Row],[Počet MJHR (P0)]]</f>
        <v>0</v>
      </c>
      <c r="CK51" s="138">
        <f ca="1">RZ[Úroveň 6 bez koef. (P2a)]*RZ[[#This Row],[Počet MJHR (P0)]]</f>
        <v>0</v>
      </c>
      <c r="CL51" s="138">
        <f ca="1">IF(OFFSET(BD51,1,0,1,1)&lt;&gt;0,RZ[[#This Row],[Koeficient odhadu HR '[-'] (P1)]]*$BM51*SUMIFS(RZ[Úroveň 7 s koef. (P2)],RZ[0],AX51,RZ[Úroveň 2 (P0)],AY51,RZ[Úroveň 3 (P0)],AZ51,RZ[Úroveň 4 (P0)],BA51,RZ[Úroveň 5 (P0)],BB51,RZ[Úroveň 6 (P0)],BC51),RZ[[#This Row],[Koeficient odhadu HR '[-'] (P1)]]*$BM51*$IG51)</f>
        <v>0</v>
      </c>
      <c r="CM51" s="138">
        <f ca="1">IF(OFFSET(BD51,1,0,1,1)&lt;&gt;0,$BM51*SUMIFS(RZ[Úroveň 7 bez koef. (P2)],RZ[0],AX51,RZ[Úroveň 2 (P0)],AY51,RZ[Úroveň 3 (P0)],AZ51,RZ[Úroveň 4 (P0)],BA51,RZ[Úroveň 5 (P0)],BB51,RZ[Úroveň 6 (P0)],BC51),$BM51*$IG51)</f>
        <v>0</v>
      </c>
      <c r="CN51" s="132">
        <f ca="1">RZ[[#This Row],[Úroveň 7 s koef. (P2a)]]*RZ[[#This Row],[Počet MJHR (P0)]]</f>
        <v>0</v>
      </c>
      <c r="CO51" s="132">
        <f ca="1">RZ[Úroveň 7 bez koef. (P2a)]*RZ[[#This Row],[Počet MJHR (P0)]]</f>
        <v>0</v>
      </c>
      <c r="CP51" s="132">
        <f ca="1">IF(OFFSET(BE51,1,0,1,1)&lt;&gt;0,RZ[[#This Row],[Koeficient odhadu HR '[-'] (P1)]]*$BN51*SUMIFS(RZ[Úroveň 8 s koef. (P2)],RZ[0],AX51,RZ[Úroveň 2 (P0)],AY51,RZ[Úroveň 3 (P0)],AZ51,RZ[Úroveň 4 (P0)],BA51,RZ[Úroveň 5 (P0)],BB51,RZ[Úroveň 6 (P0)],BC51,RZ[Úroveň 7 (P0)],BD51),RZ[[#This Row],[Koeficient odhadu HR '[-'] (P1)]]*$BN51*$IG51)</f>
        <v>0</v>
      </c>
      <c r="CQ51" s="132">
        <f ca="1">IF(OFFSET(BE51,1,0,1,1)&lt;&gt;0,$BN51*SUMIFS(RZ[Úroveň 8 bez koef. (P2)],RZ[0],AX51,RZ[Úroveň 2 (P0)],AY51,RZ[Úroveň 3 (P0)],AZ51,RZ[Úroveň 4 (P0)],BA51,RZ[Úroveň 5 (P0)],BB51,RZ[Úroveň 6 (P0)],BC51,RZ[Úroveň 7 (P0)],BD51),$BN51*$IG51)</f>
        <v>0</v>
      </c>
      <c r="CR51" s="138">
        <f ca="1">RZ[[#This Row],[Úroveň 8 s koef. (P2a)]]*RZ[[#This Row],[Počet MJHR (P0)]]</f>
        <v>0</v>
      </c>
      <c r="CS51" s="138">
        <f ca="1">RZ[Úroveň 8 bez koef. (P2a)]*RZ[[#This Row],[Počet MJHR (P0)]]</f>
        <v>0</v>
      </c>
      <c r="CT51" s="138">
        <f ca="1">IF(OFFSET(BF51,1,0,1,1)&lt;&gt;0,RZ[[#This Row],[Koeficient odhadu HR '[-'] (P1)]]*$BO51*SUMIFS(RZ[Úroveň 9 s koef. (P2)],RZ[0],AX51,RZ[Úroveň 2 (P0)],AY51,RZ[Úroveň 3 (P0)],AZ51,RZ[Úroveň 4 (P0)],BA51,RZ[Úroveň 5 (P0)],BB51,RZ[Úroveň 6 (P0)],BC51,RZ[Úroveň 7 (P0)],BD51,RZ[Úroveň 8 (P0)],BE51),RZ[[#This Row],[Koeficient odhadu HR '[-'] (P1)]]*$BO51*$IG51)</f>
        <v>0</v>
      </c>
      <c r="CU51" s="138">
        <f ca="1">IF(OFFSET(BF51,1,0,1,1)&lt;&gt;0,$BO51*SUMIFS(RZ[Úroveň 9 bez koef. (P2)],RZ[0],AX51,RZ[Úroveň 2 (P0)],AY51,RZ[Úroveň 3 (P0)],AZ51,RZ[Úroveň 4 (P0)],BA51,RZ[Úroveň 5 (P0)],BB51,RZ[Úroveň 6 (P0)],BC51,RZ[Úroveň 7 (P0)],BD51,RZ[Úroveň 8 (P0)],BE51),$BO51*$IG51)</f>
        <v>0</v>
      </c>
      <c r="CV51" s="132">
        <f ca="1">RZ[[#This Row],[Úroveň 9 s koef. (P2a)]]*RZ[[#This Row],[Počet MJHR (P0)]]</f>
        <v>0</v>
      </c>
      <c r="CW51" s="132">
        <f ca="1">RZ[Úroveň 9 bez koef. (P2a)]*RZ[[#This Row],[Počet MJHR (P0)]]</f>
        <v>0</v>
      </c>
      <c r="CX51" s="132">
        <f ca="1">IF(OFFSET(BG51,1,0,1,1)&lt;&gt;0,RZ[[#This Row],[Koeficient odhadu HR '[-'] (P1)]]*$BP51*SUMIFS(RZ[Úroveň 10 s koef. (P2)],RZ[0],AX51,RZ[Úroveň 2 (P0)],AY51,RZ[Úroveň 3 (P0)],AZ51,RZ[Úroveň 4 (P0)],BA51,RZ[Úroveň 5 (P0)],BB51,RZ[Úroveň 6 (P0)],BC51,RZ[Úroveň 7 (P0)],BD51,RZ[Úroveň 8 (P0)],BE51,RZ[Úroveň 9 (P0)],BF51),RZ[[#This Row],[Koeficient odhadu HR '[-'] (P1)]]*$BP51*$IG51)</f>
        <v>0</v>
      </c>
      <c r="CY51" s="132">
        <f ca="1">IF(OFFSET(BG51,1,0,1,1)&lt;&gt;0,$BP51*SUMIFS(RZ[Úroveň 10 bez koef. (P2)],RZ[0],AX51,RZ[Úroveň 2 (P0)],AY51,RZ[Úroveň 3 (P0)],AZ51,RZ[Úroveň 4 (P0)],BA51,RZ[Úroveň 5 (P0)],BB51,RZ[Úroveň 6 (P0)],BC51,RZ[Úroveň 7 (P0)],BD51,RZ[Úroveň 8 (P0)],BE51,RZ[Úroveň 9 (P0)],BF51),$BP51*$IG51)</f>
        <v>0</v>
      </c>
      <c r="CZ51" s="138">
        <f>RZ[[#This Row],[Úroveň 10 s koef. (P2a)]]*RZ[[#This Row],[Počet MJHR (P0)]]</f>
        <v>0</v>
      </c>
      <c r="DA51" s="138">
        <f>RZ[Úroveň 10 bez koef. (P2a)]*RZ[[#This Row],[Počet MJHR (P0)]]</f>
        <v>0</v>
      </c>
      <c r="DB51" s="138">
        <f>RZ[[#This Row],[Koeficient odhadu HR '[-'] (P1)]]*$BQ51*IG51</f>
        <v>0</v>
      </c>
      <c r="DC51" s="231">
        <f t="shared" si="175"/>
        <v>0</v>
      </c>
      <c r="DD51" s="241">
        <f t="shared" ca="1" si="176"/>
        <v>1.78</v>
      </c>
      <c r="DE51" s="229">
        <f t="shared" ca="1" si="177"/>
        <v>1.78</v>
      </c>
      <c r="DF51" s="912">
        <f t="shared" si="178"/>
        <v>0</v>
      </c>
      <c r="DG51" s="913">
        <f t="shared" si="179"/>
        <v>0</v>
      </c>
      <c r="DH51" s="913">
        <f t="shared" si="180"/>
        <v>1</v>
      </c>
      <c r="DI51" s="913">
        <f t="shared" si="181"/>
        <v>0</v>
      </c>
      <c r="DJ51" s="913">
        <f t="shared" si="182"/>
        <v>0</v>
      </c>
      <c r="DK51" s="913">
        <f t="shared" si="183"/>
        <v>0</v>
      </c>
      <c r="DL51" s="913">
        <f t="shared" si="184"/>
        <v>0</v>
      </c>
      <c r="DM51" s="913">
        <f t="shared" si="185"/>
        <v>0</v>
      </c>
      <c r="DN51" s="913">
        <f t="shared" si="186"/>
        <v>0</v>
      </c>
      <c r="DO51" s="913">
        <f t="shared" si="187"/>
        <v>0</v>
      </c>
      <c r="DP51" s="914">
        <f ca="1">SUMIFS(RZ[Úroveň 1 (P4)],RZ[0],AX51)</f>
        <v>1</v>
      </c>
      <c r="DQ51" s="914">
        <f ca="1">SUMIFS(RZ[Úroveň 2 (P4)],RZ[0],AX51,RZ[Úroveň 2 (P0)],AY51)</f>
        <v>1</v>
      </c>
      <c r="DR51" s="914">
        <f ca="1">SUMIFS(RZ[Úroveň 3 (P4)],RZ[0],AX51,RZ[Úroveň 2 (P0)],AY51,RZ[Úroveň 3 (P0)],AZ51)</f>
        <v>1</v>
      </c>
      <c r="DS51" s="914">
        <f ca="1">SUMIFS(RZ[Úroveň 4 (P4)],RZ[0],AX51,RZ[Úroveň 2 (P0)],AY51,RZ[Úroveň 3 (P0)],AZ51,RZ[Úroveň 4 (P0)],BA51)</f>
        <v>0</v>
      </c>
      <c r="DT51" s="914">
        <f ca="1">SUMIFS(RZ[Úroveň 5 (P4)],RZ[0],AX51,RZ[Úroveň 2 (P0)],AY51,RZ[Úroveň 3 (P0)],AZ51,RZ[Úroveň 4 (P0)],BA51,RZ[Úroveň 5 (P0)],BB51)</f>
        <v>0</v>
      </c>
      <c r="DU51" s="914">
        <f ca="1">SUMIFS(RZ[Úroveň 6 (P4)],RZ[0],AX51,RZ[Úroveň 2 (P0)],AY51,RZ[Úroveň 3 (P0)],AZ51,RZ[Úroveň 4 (P0)],BA51,RZ[Úroveň 5 (P0)],BB51,RZ[Úroveň 6 (P0)],BC51)</f>
        <v>0</v>
      </c>
      <c r="DV51" s="914">
        <f ca="1">SUMIFS(RZ[Úroveň 7 (P4)],RZ[0],AX51,RZ[Úroveň 2 (P0)],AY51,RZ[Úroveň 3 (P0)],AZ51,RZ[Úroveň 4 (P0)],BA51,RZ[Úroveň 5 (P0)],BB51,RZ[Úroveň 6 (P0)],BC51,RZ[Úroveň 7 (P0)],BD51)</f>
        <v>0</v>
      </c>
      <c r="DW51" s="914">
        <f ca="1">SUMIFS(RZ[Úroveň 8 (P4)],RZ[0],AX51,RZ[Úroveň 2 (P0)],AY51,RZ[Úroveň 3 (P0)],AZ51,RZ[Úroveň 4 (P0)],BA51,RZ[Úroveň 5 (P0)],BB51,RZ[Úroveň 6 (P0)],BC51,RZ[Úroveň 7 (P0)],BD51,RZ[Úroveň 8 (P0)],BE51)</f>
        <v>0</v>
      </c>
      <c r="DX51" s="914">
        <f ca="1">SUMIFS(RZ[Úroveň 9 (P4)],RZ[0],AX51,RZ[Úroveň 2 (P0)],AY51,RZ[Úroveň 3 (P0)],AZ51,RZ[Úroveň 4 (P0)],BA51,RZ[Úroveň 5 (P0)],BB51,RZ[Úroveň 6 (P0)],BC51,RZ[Úroveň 7 (P0)],BD51,RZ[Úroveň 8 (P0)],BE51,RZ[Úroveň 9 (P0)],BF51)</f>
        <v>0</v>
      </c>
      <c r="DY51" s="914">
        <f ca="1">SUMIFS(RZ[Úroveň 10 (P4)],RZ[0],AX51,RZ[Úroveň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DZ51" s="915">
        <f t="shared" ca="1" si="188"/>
        <v>1</v>
      </c>
      <c r="EA51" s="916">
        <f ca="1">RZ[[#This Row],[Jednotková hmotnost bez koef. '[kg/MJHR'] (P0)]]*RZ[[#This Row],[Počet MJHR v rozpadu (P0)]]</f>
        <v>1.78</v>
      </c>
      <c r="EB51" s="917">
        <f ca="1">IF(OFFSET(AY51,1,0,1,1)&lt;&gt;0,RZ[[#This Row],[Koeficient odhadu CR '[-'] (P1)]]*$BH51*SUMIFS(RZ[Úroveň 2 s koef. (P3)],RZ[0],AX51),RZ[[#This Row],[Koeficient odhadu CR '[-'] (P1)]]*$BH51*$IQ51)</f>
        <v>0</v>
      </c>
      <c r="EC51" s="191">
        <f ca="1">IF(OFFSET(AY51,1,0,1,1)&lt;&gt;0,$BH51*SUMIFS(RZ[Úroveň 2 bez koef. (P3)],RZ[0],AX51),$BH51*$IQ51)</f>
        <v>0</v>
      </c>
      <c r="ED51" s="140">
        <f ca="1">RZ[[#This Row],[Úroveň 2 s koef. (P3a)]]*RZ[[#This Row],[Počet MJCR (P0) pro "kg"]]</f>
        <v>0</v>
      </c>
      <c r="EE51" s="140">
        <f ca="1">RZ[Úroveň 2 bez koef. (P3a)]*RZ[[#This Row],[Počet MJCR (P0) pro "kg"]]</f>
        <v>0</v>
      </c>
      <c r="EF51" s="140">
        <f ca="1">IF(OFFSET(AZ51,1,0,1,1)&lt;&gt;0,RZ[[#This Row],[Koeficient odhadu CR '[-'] (P1)]]*$BI51*SUMIFS(RZ[Úroveň 3 s koef. (P3)],RZ[0],AX51,RZ[Úroveň 2 (P0)],AY51),RZ[[#This Row],[Koeficient odhadu CR '[-'] (P1)]]*$BI51*$IQ51)</f>
        <v>0</v>
      </c>
      <c r="EG51" s="140">
        <f ca="1">IF(OFFSET(AZ51,1,0,1,1)&lt;&gt;0,$BI51*SUMIFS(RZ[Úroveň 3 bez koef. (P3)],RZ[0],AX51,RZ[Úroveň 2 (P0)],AY51),$BI51*$IQ51)</f>
        <v>0</v>
      </c>
      <c r="EH51" s="135">
        <f ca="1">RZ[[#This Row],[Úroveň 3 s koef. (P3a)]]*RZ[[#This Row],[Počet MJCR (P0) pro "kg"]]</f>
        <v>800</v>
      </c>
      <c r="EI51" s="135">
        <f ca="1">RZ[Úroveň 3 bez koef. (P3a)]*RZ[[#This Row],[Počet MJCR (P0) pro "kg"]]</f>
        <v>800</v>
      </c>
      <c r="EJ51" s="135">
        <f ca="1">IF(OFFSET(BA51,1,0,1,1)&lt;&gt;0,RZ[[#This Row],[Koeficient odhadu CR '[-'] (P1)]]*$BJ51*SUMIFS(RZ[Úroveň 4 s koef. (P3)],RZ[0],AX51,RZ[Úroveň 2 (P0)],AY51,RZ[Úroveň 3 (P0)],AZ51),RZ[[#This Row],[Koeficient odhadu CR '[-'] (P1)]]*$BJ51*$IQ51)</f>
        <v>800</v>
      </c>
      <c r="EK51" s="135">
        <f ca="1">IF(OFFSET(BA51,1,0,1,1)&lt;&gt;0,$BJ51*SUMIFS(RZ[Úroveň 4 bez koef. (P3)],RZ[0],AX51,RZ[Úroveň 2 (P0)],AY51,RZ[Úroveň 3 (P0)],AZ51),$BJ51*$IQ51)</f>
        <v>800</v>
      </c>
      <c r="EL51" s="140">
        <f ca="1">RZ[[#This Row],[Úroveň 4 s koef. (P3a)]]*RZ[[#This Row],[Počet MJCR (P0) pro "kg"]]</f>
        <v>0</v>
      </c>
      <c r="EM51" s="140">
        <f ca="1">RZ[Úroveň 4 bez koef. (P3a)]*RZ[[#This Row],[Počet MJCR (P0) pro "kg"]]</f>
        <v>0</v>
      </c>
      <c r="EN51" s="140">
        <f ca="1">IF(OFFSET(BB51,1,0,1,1)&lt;&gt;0,RZ[[#This Row],[Koeficient odhadu CR '[-'] (P1)]]*$BK51*SUMIFS(RZ[Úroveň 5 s koef. (P3)],RZ[0],AX51,RZ[Úroveň 2 (P0)],AY51,RZ[Úroveň 3 (P0)],AZ51,RZ[Úroveň 4 (P0)],BA51),RZ[[#This Row],[Koeficient odhadu CR '[-'] (P1)]]*$BK51*$IQ51)</f>
        <v>0</v>
      </c>
      <c r="EO51" s="140">
        <f ca="1">IF(OFFSET(BB51,1,0,1,1)&lt;&gt;0,$BK51*SUMIFS(RZ[Úroveň 5 bez koef. (P3)],RZ[0],AX51,RZ[Úroveň 2 (P0)],AY51,RZ[Úroveň 3 (P0)],AZ51,RZ[Úroveň 4 (P0)],BA51),$BK51*$IQ51)</f>
        <v>0</v>
      </c>
      <c r="EP51" s="135">
        <f ca="1">RZ[[#This Row],[Úroveň 5 s koef. (P3a)]]*RZ[[#This Row],[Počet MJCR (P0) pro "kg"]]</f>
        <v>0</v>
      </c>
      <c r="EQ51" s="135">
        <f ca="1">RZ[Úroveň 5 bez koef. (P3a)]*RZ[[#This Row],[Počet MJCR (P0) pro "kg"]]</f>
        <v>0</v>
      </c>
      <c r="ER51" s="135">
        <f ca="1">IF(OFFSET(BC51,1,0,1,1)&lt;&gt;0,RZ[[#This Row],[Koeficient odhadu CR '[-'] (P1)]]*$BL51*SUMIFS(RZ[Úroveň 6 s koef. (P3)],RZ[0],AX51,RZ[Úroveň 2 (P0)],AY51,RZ[Úroveň 3 (P0)],AZ51,RZ[Úroveň 4 (P0)],BA51,RZ[Úroveň 5 (P0)],BB51),RZ[[#This Row],[Koeficient odhadu CR '[-'] (P1)]]*$BL51*$IQ51)</f>
        <v>0</v>
      </c>
      <c r="ES51" s="135">
        <f ca="1">IF(OFFSET(BC51,1,0,1,1)&lt;&gt;0,$BL51*SUMIFS(RZ[Úroveň 6 bez koef. (P3)],RZ[0],AX51,RZ[Úroveň 2 (P0)],AY51,RZ[Úroveň 3 (P0)],AZ51,RZ[Úroveň 4 (P0)],BA51,RZ[Úroveň 5 (P0)],BB51),$BL51*$IQ51)</f>
        <v>0</v>
      </c>
      <c r="ET51" s="140">
        <f ca="1">RZ[[#This Row],[Úroveň 6 s koef. (P3a)]]*RZ[[#This Row],[Počet MJCR (P0) pro "kg"]]</f>
        <v>0</v>
      </c>
      <c r="EU51" s="140">
        <f ca="1">RZ[Úroveň 6 bez koef. (P3a)]*RZ[[#This Row],[Počet MJCR (P0) pro "kg"]]</f>
        <v>0</v>
      </c>
      <c r="EV51" s="140">
        <f ca="1">IF(OFFSET(BD51,1,0,1,1)&lt;&gt;0,RZ[[#This Row],[Koeficient odhadu CR '[-'] (P1)]]*$BM51*SUMIFS(RZ[Úroveň 7 s koef. (P3)],RZ[0],AX51,RZ[Úroveň 2 (P0)],AY51,RZ[Úroveň 3 (P0)],AZ51,RZ[Úroveň 4 (P0)],BA51,RZ[Úroveň 5 (P0)],BB51,RZ[Úroveň 6 (P0)],BC51),RZ[[#This Row],[Koeficient odhadu CR '[-'] (P1)]]*$BM51*$IQ51)</f>
        <v>0</v>
      </c>
      <c r="EW51" s="140">
        <f ca="1">IF(OFFSET(BD51,1,0,1,1)&lt;&gt;0,$BM51*SUMIFS(RZ[Úroveň 7 bez koef. (P3)],RZ[0],AX51,RZ[Úroveň 2 (P0)],AY51,RZ[Úroveň 3 (P0)],AZ51,RZ[Úroveň 4 (P0)],BA51,RZ[Úroveň 5 (P0)],BB51,RZ[Úroveň 6 (P0)],BC51),$BM51*$IQ51)</f>
        <v>0</v>
      </c>
      <c r="EX51" s="135">
        <f ca="1">RZ[[#This Row],[Úroveň 7 s koef. (P3a)]]*RZ[[#This Row],[Počet MJCR (P0) pro "kg"]]</f>
        <v>0</v>
      </c>
      <c r="EY51" s="135">
        <f ca="1">RZ[Úroveň 7 bez koef. (P3a)]*RZ[[#This Row],[Počet MJCR (P0) pro "kg"]]</f>
        <v>0</v>
      </c>
      <c r="EZ51" s="135">
        <f ca="1">IF(OFFSET(BE51,1,0,1,1)&lt;&gt;0,RZ[[#This Row],[Koeficient odhadu CR '[-'] (P1)]]*$BN51*SUMIFS(RZ[Úroveň 8 s koef. (P3)],RZ[0],AX51,RZ[Úroveň 2 (P0)],AY51,RZ[Úroveň 3 (P0)],AZ51,RZ[Úroveň 4 (P0)],BA51,RZ[Úroveň 5 (P0)],BB51,RZ[Úroveň 6 (P0)],BC51,RZ[Úroveň 7 (P0)],BD51),RZ[[#This Row],[Koeficient odhadu CR '[-'] (P1)]]*$BN51*$IQ51)</f>
        <v>0</v>
      </c>
      <c r="FA51" s="135">
        <f ca="1">IF(OFFSET(BE51,1,0,1,1)&lt;&gt;0,$BN51*SUMIFS(RZ[Úroveň 8 bez koef. (P3)],RZ[0],AX51,RZ[Úroveň 2 (P0)],AY51,RZ[Úroveň 3 (P0)],AZ51,RZ[Úroveň 4 (P0)],BA51,RZ[Úroveň 5 (P0)],BB51,RZ[Úroveň 6 (P0)],BC51,RZ[Úroveň 7 (P0)],BD51),$BN51*$IQ51)</f>
        <v>0</v>
      </c>
      <c r="FB51" s="140">
        <f ca="1">RZ[[#This Row],[Úroveň 8 s koef. (P3a)]]*RZ[[#This Row],[Počet MJCR (P0) pro "kg"]]</f>
        <v>0</v>
      </c>
      <c r="FC51" s="140">
        <f ca="1">RZ[Úroveň 8 bez koef. (P3a)]*RZ[[#This Row],[Počet MJCR (P0) pro "kg"]]</f>
        <v>0</v>
      </c>
      <c r="FD51" s="140">
        <f ca="1">IF(OFFSET(BF51,1,0,1,1)&lt;&gt;0,RZ[[#This Row],[Koeficient odhadu CR '[-'] (P1)]]*$BO51*SUMIFS(RZ[Úroveň 9 s koef. (P3)],RZ[0],AX51,RZ[Úroveň 2 (P0)],AY51,RZ[Úroveň 3 (P0)],AZ51,RZ[Úroveň 4 (P0)],BA51,RZ[Úroveň 5 (P0)],BB51,RZ[Úroveň 6 (P0)],BC51,RZ[Úroveň 7 (P0)],BD51,RZ[Úroveň 8 (P0)],BE51),RZ[[#This Row],[Koeficient odhadu CR '[-'] (P1)]]*$BO51*$IQ51)</f>
        <v>0</v>
      </c>
      <c r="FE51" s="140">
        <f ca="1">IF(OFFSET(BF51,1,0,1,1)&lt;&gt;0,$BO51*SUMIFS(RZ[Úroveň 9 bez koef. (P3)],RZ[0],AX51,RZ[Úroveň 2 (P0)],AY51,RZ[Úroveň 3 (P0)],AZ51,RZ[Úroveň 4 (P0)],BA51,RZ[Úroveň 5 (P0)],BB51,RZ[Úroveň 6 (P0)],BC51,RZ[Úroveň 7 (P0)],BD51,RZ[Úroveň 8 (P0)],BE51),$BO51*$IQ51)</f>
        <v>0</v>
      </c>
      <c r="FF51" s="135">
        <f ca="1">RZ[[#This Row],[Úroveň 9 s koef. (P3a)]]*RZ[[#This Row],[Počet MJCR (P0) pro "kg"]]</f>
        <v>0</v>
      </c>
      <c r="FG51" s="135">
        <f ca="1">RZ[Úroveň 9 bez koef. (P3a)]*RZ[[#This Row],[Počet MJCR (P0) pro "kg"]]</f>
        <v>0</v>
      </c>
      <c r="FH51" s="135">
        <f ca="1">IF(OFFSET(BG51,1,0,1,1)&lt;&gt;0,RZ[[#This Row],[Koeficient odhadu CR '[-'] (P1)]]*$BP51*SUMIFS(RZ[Úroveň 10 s koef. (P3)],RZ[0],AX51,RZ[Úroveň 2 (P0)],AY51,RZ[Úroveň 3 (P0)],AZ51,RZ[Úroveň 4 (P0)],BA51,RZ[Úroveň 5 (P0)],BB51,RZ[Úroveň 6 (P0)],BC51,RZ[Úroveň 7 (P0)],BD51,RZ[Úroveň 8 (P0)],BE51,RZ[Úroveň 9 (P0)],BF51),RZ[[#This Row],[Koeficient odhadu CR '[-'] (P1)]]*$BP51*$IQ51)</f>
        <v>0</v>
      </c>
      <c r="FI51" s="135">
        <f ca="1">IF(OFFSET(BG51,1,0,1,1)&lt;&gt;0,$BP51*SUMIFS(RZ[Úroveň 10 bez koef. (P3)],RZ[0],AX51,RZ[Úroveň 2 (P0)],AY51,RZ[Úroveň 3 (P0)],AZ51,RZ[Úroveň 4 (P0)],BA51,RZ[Úroveň 5 (P0)],BB51,RZ[Úroveň 6 (P0)],BC51,RZ[Úroveň 7 (P0)],BD51,RZ[Úroveň 8 (P0)],BE51,RZ[Úroveň 9 (P0)],BF51),$BP51*$IQ51)</f>
        <v>0</v>
      </c>
      <c r="FJ51" s="140">
        <f ca="1">RZ[[#This Row],[Úroveň 10 s koef. (P3a)]]*RZ[[#This Row],[Počet MJCR (P0) pro "kg"]]</f>
        <v>0</v>
      </c>
      <c r="FK51" s="140">
        <f ca="1">RZ[Úroveň 10 bez koef. (P3a)]*RZ[[#This Row],[Počet MJCR (P0) pro "kg"]]</f>
        <v>0</v>
      </c>
      <c r="FL51" s="140">
        <f ca="1">RZ[[#This Row],[Koeficient odhadu CR '[-'] (P1)]]*$BQ51*IQ51</f>
        <v>0</v>
      </c>
      <c r="FM51" s="236">
        <f t="shared" ca="1" si="189"/>
        <v>0</v>
      </c>
      <c r="FN51" s="194">
        <f t="shared" ca="1" si="190"/>
        <v>800</v>
      </c>
      <c r="FO51" s="238">
        <f t="shared" ca="1" si="191"/>
        <v>800</v>
      </c>
      <c r="FP51" s="135">
        <f t="shared" ca="1" si="192"/>
        <v>0</v>
      </c>
      <c r="FQ51" s="135">
        <f t="shared" ca="1" si="193"/>
        <v>0</v>
      </c>
      <c r="FR51" s="135">
        <f t="shared" ca="1" si="194"/>
        <v>1</v>
      </c>
      <c r="FS51" s="135">
        <f t="shared" ca="1" si="195"/>
        <v>0</v>
      </c>
      <c r="FT51" s="135">
        <f t="shared" ca="1" si="196"/>
        <v>0</v>
      </c>
      <c r="FU51" s="135">
        <f t="shared" ca="1" si="197"/>
        <v>0</v>
      </c>
      <c r="FV51" s="135">
        <f t="shared" ca="1" si="198"/>
        <v>0</v>
      </c>
      <c r="FW51" s="135">
        <f t="shared" ca="1" si="199"/>
        <v>0</v>
      </c>
      <c r="FX51" s="135">
        <f t="shared" ca="1" si="200"/>
        <v>0</v>
      </c>
      <c r="FY51" s="135">
        <f t="shared" ca="1" si="201"/>
        <v>0</v>
      </c>
      <c r="FZ51" s="140">
        <f ca="1">SUMIFS(RZ[Úroveň 1 (P6)],RZ[0],AX51)</f>
        <v>1</v>
      </c>
      <c r="GA51" s="140">
        <f ca="1">SUMIFS(RZ[Úroveň 2 (P6)],RZ[0],AX51,RZ[Úroveň 2 (P0)],AY51)</f>
        <v>1</v>
      </c>
      <c r="GB51" s="140">
        <f ca="1">SUMIFS(RZ[Úroveň 3 (P6)],RZ[0],AX51,RZ[Úroveň 2 (P0)],AY51,RZ[Úroveň 3 (P0)],AZ51)</f>
        <v>1</v>
      </c>
      <c r="GC51" s="140">
        <f ca="1">SUMIFS(RZ[Úroveň 4 (P6)],RZ[0],AX51,RZ[Úroveň 2 (P0)],AY51,RZ[Úroveň 3 (P0)],AZ51,RZ[Úroveň 4 (P0)],BA51)</f>
        <v>0</v>
      </c>
      <c r="GD51" s="140">
        <f ca="1">SUMIFS(RZ[Úroveň 5 (P6)],RZ[0],AX51,RZ[Úroveň 2 (P0)],AY51,RZ[Úroveň 3 (P0)],AZ51,RZ[Úroveň 4 (P0)],BA51,RZ[Úroveň 5 (P0)],BB51)</f>
        <v>0</v>
      </c>
      <c r="GE51" s="140">
        <f ca="1">SUMIFS(RZ[Úroveň 6 (P6)],RZ[0],AX51,RZ[Úroveň 2 (P0)],AY51,RZ[Úroveň 3 (P0)],AZ51,RZ[Úroveň 4 (P0)],BA51,RZ[Úroveň 5 (P0)],BB51,RZ[Úroveň 6 (P0)],BC51)</f>
        <v>0</v>
      </c>
      <c r="GF51" s="140">
        <f ca="1">SUMIFS(RZ[Úroveň 7 (P6)],RZ[0],AX51,RZ[Úroveň 2 (P0)],AY51,RZ[Úroveň 3 (P0)],AZ51,RZ[Úroveň 4 (P0)],BA51,RZ[Úroveň 5 (P0)],BB51,RZ[Úroveň 6 (P0)],BC51,RZ[Úroveň 7 (P0)],BD51)</f>
        <v>0</v>
      </c>
      <c r="GG51" s="140">
        <f ca="1">SUMIFS(RZ[Úroveň 8 (P6)],RZ[0],AX51,RZ[Úroveň 2 (P0)],AY51,RZ[Úroveň 3 (P0)],AZ51,RZ[Úroveň 4 (P0)],BA51,RZ[Úroveň 5 (P0)],BB51,RZ[Úroveň 6 (P0)],BC51,RZ[Úroveň 7 (P0)],BD51,RZ[Úroveň 8 (P0)],BE51)</f>
        <v>0</v>
      </c>
      <c r="GH51" s="140">
        <f ca="1">SUMIFS(RZ[Úroveň 9 (P6)],RZ[0],AX51,RZ[Úroveň 2 (P0)],AY51,RZ[Úroveň 3 (P0)],AZ51,RZ[Úroveň 4 (P0)],BA51,RZ[Úroveň 5 (P0)],BB51,RZ[Úroveň 6 (P0)],BC51,RZ[Úroveň 7 (P0)],BD51,RZ[Úroveň 8 (P0)],BE51,RZ[Úroveň 9 (P0)],BF51)</f>
        <v>0</v>
      </c>
      <c r="GI51" s="140">
        <f ca="1">SUMIFS(RZ[Úroveň 10 (P6)],RZ[0],AX51,RZ[Úroveň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GJ51" s="918">
        <f t="shared" ca="1" si="202"/>
        <v>1</v>
      </c>
      <c r="GK51" s="808">
        <f t="shared" si="203"/>
        <v>0</v>
      </c>
      <c r="GL51" s="808">
        <f t="shared" si="204"/>
        <v>0</v>
      </c>
      <c r="GM51" s="808">
        <f t="shared" si="205"/>
        <v>1</v>
      </c>
      <c r="GN51" s="808">
        <f t="shared" si="206"/>
        <v>0</v>
      </c>
      <c r="GO51" s="808">
        <f t="shared" si="207"/>
        <v>0</v>
      </c>
      <c r="GP51" s="808">
        <f t="shared" si="208"/>
        <v>0</v>
      </c>
      <c r="GQ51" s="808">
        <f t="shared" si="209"/>
        <v>0</v>
      </c>
      <c r="GR51" s="808">
        <f t="shared" si="210"/>
        <v>0</v>
      </c>
      <c r="GS51" s="808">
        <f t="shared" si="211"/>
        <v>0</v>
      </c>
      <c r="GT51" s="808">
        <f t="shared" si="212"/>
        <v>0</v>
      </c>
      <c r="GU51" s="809">
        <f ca="1">SUMIFS(RZ[Sloupec1],RZ[0],AX51)</f>
        <v>1</v>
      </c>
      <c r="GV51" s="809">
        <f ca="1">SUMIFS(RZ[Sloupec2],RZ[0],AX51,RZ[Úroveň 2 (P0)],AY51)</f>
        <v>1</v>
      </c>
      <c r="GW51" s="809">
        <f ca="1">SUMIFS(RZ[Sloupec3],RZ[0],AX51,RZ[Úroveň 2 (P0)],AY51,RZ[Úroveň 3 (P0)],AZ51)</f>
        <v>1</v>
      </c>
      <c r="GX51" s="809">
        <f ca="1">SUMIFS(RZ[Sloupec4],RZ[0],AX51,RZ[Úroveň 2 (P0)],AY51,RZ[Úroveň 3 (P0)],AZ51,RZ[Úroveň 4 (P0)],BA51)</f>
        <v>0</v>
      </c>
      <c r="GY51" s="809">
        <f ca="1">SUMIFS(RZ[Sloupec5],RZ[0],AX51,RZ[Úroveň 2 (P0)],AY51,RZ[Úroveň 3 (P0)],AZ51,RZ[Úroveň 4 (P0)],BA51,RZ[Úroveň 5 (P0)],BB51)</f>
        <v>0</v>
      </c>
      <c r="GZ51" s="809">
        <f ca="1">SUMIFS(RZ[Sloupec6],RZ[0],AX51,RZ[Úroveň 2 (P0)],AY51,RZ[Úroveň 3 (P0)],AZ51,RZ[Úroveň 4 (P0)],BA51,RZ[Úroveň 5 (P0)],BB51,RZ[Úroveň 6 (P0)],BC51)</f>
        <v>0</v>
      </c>
      <c r="HA51" s="809">
        <f ca="1">SUMIFS(RZ[Sloupec62],RZ[0],AX51,RZ[Úroveň 2 (P0)],AY51,RZ[Úroveň 3 (P0)],AZ51,RZ[Úroveň 4 (P0)],BA51,RZ[Úroveň 5 (P0)],BB51,RZ[Úroveň 6 (P0)],BC51,RZ[Úroveň 7 (P0)],BD51)</f>
        <v>0</v>
      </c>
      <c r="HB51" s="809">
        <f ca="1">SUMIFS(RZ[Sloupec63],RZ[0],AX51,RZ[Úroveň 2 (P0)],AY51,RZ[Úroveň 3 (P0)],AZ51,RZ[Úroveň 4 (P0)],BA51,RZ[Úroveň 5 (P0)],BB51,RZ[Úroveň 6 (P0)],BC51,RZ[Úroveň 7 (P0)],BD51,RZ[Úroveň 8 (P0)],BE51)</f>
        <v>0</v>
      </c>
      <c r="HC51" s="809">
        <f ca="1">SUMIFS(RZ[Sloupec64],RZ[0],AX51,RZ[Úroveň 2 (P0)],AY51,RZ[Úroveň 3 (P0)],AZ51,RZ[Úroveň 4 (P0)],BA51,RZ[Úroveň 5 (P0)],BB51,RZ[Úroveň 6 (P0)],BC51,RZ[Úroveň 7 (P0)],BD51,RZ[Úroveň 8 (P0)],BE51,RZ[Úroveň 9 (P0)],BF51)</f>
        <v>0</v>
      </c>
      <c r="HD51" s="809">
        <f ca="1">SUMIFS(RZ[Sloupec65],RZ[0],AX51,RZ[Úroveň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HE51" s="919">
        <f t="shared" ca="1" si="213"/>
        <v>1</v>
      </c>
      <c r="HF51" s="920" t="str">
        <f t="shared" si="214"/>
        <v/>
      </c>
      <c r="HG51" s="94" t="str">
        <f t="shared" si="215"/>
        <v/>
      </c>
      <c r="HH51" s="95" t="str">
        <f t="shared" si="216"/>
        <v/>
      </c>
      <c r="HI51" s="95" t="str">
        <f t="shared" si="217"/>
        <v>Kohout výtokový</v>
      </c>
      <c r="HJ51" s="96" t="str">
        <f t="shared" si="218"/>
        <v/>
      </c>
      <c r="HK51" s="96" t="str">
        <f t="shared" si="219"/>
        <v/>
      </c>
      <c r="HL51" s="96" t="str">
        <f t="shared" si="220"/>
        <v/>
      </c>
      <c r="HM51" s="96" t="str">
        <f t="shared" si="221"/>
        <v/>
      </c>
      <c r="HN51" s="96" t="str">
        <f t="shared" si="222"/>
        <v/>
      </c>
      <c r="HO51" s="96" t="str">
        <f t="shared" si="223"/>
        <v/>
      </c>
      <c r="HP51" s="96" t="str">
        <f t="shared" si="224"/>
        <v/>
      </c>
      <c r="HQ51" s="145" t="str">
        <f t="shared" si="225"/>
        <v>SUOS</v>
      </c>
      <c r="HR51" s="921" t="str">
        <f t="shared" si="226"/>
        <v/>
      </c>
      <c r="HS51" s="173">
        <f t="shared" si="227"/>
        <v>0</v>
      </c>
      <c r="HT51" s="100">
        <f t="shared" si="228"/>
        <v>0</v>
      </c>
      <c r="HU51" s="100">
        <f t="shared" si="229"/>
        <v>0</v>
      </c>
      <c r="HV51" s="908" t="str">
        <f t="shared" si="230"/>
        <v>Zajíc</v>
      </c>
      <c r="HW51" s="922">
        <f t="shared" si="231"/>
        <v>42950.635636574072</v>
      </c>
      <c r="HX51" s="224">
        <f t="shared" si="232"/>
        <v>0</v>
      </c>
      <c r="HY51" s="263" t="str">
        <f t="shared" si="233"/>
        <v>S</v>
      </c>
      <c r="HZ51" s="263" t="str">
        <f t="shared" si="234"/>
        <v>N</v>
      </c>
      <c r="IA51" s="150">
        <f t="shared" si="235"/>
        <v>1</v>
      </c>
      <c r="IB51" s="319">
        <f t="shared" si="236"/>
        <v>800</v>
      </c>
      <c r="IC51" s="923">
        <f t="shared" si="237"/>
        <v>1</v>
      </c>
      <c r="ID51" s="924" t="str">
        <f t="shared" ca="1" si="238"/>
        <v>OK</v>
      </c>
      <c r="IE51" s="201" t="str">
        <f t="shared" si="239"/>
        <v>ks</v>
      </c>
      <c r="IF51" s="145">
        <f t="shared" si="240"/>
        <v>1</v>
      </c>
      <c r="IG51" s="216">
        <f t="shared" si="241"/>
        <v>1.78</v>
      </c>
      <c r="IH51" s="217">
        <f t="shared" si="242"/>
        <v>1</v>
      </c>
      <c r="II51" s="224" t="str">
        <f ca="1">IF(RZ[[#This Row],[Rozhodný sloupec indikativní ceny]]=1,"kg",IF($IW51=$JL$15,IF(JX51=0,JO51,JX51),IF($IW51=$KE$15,IF(KQ51=0,KH51,KQ51),IF($IW51=$KX$15,IF(LJ51=0,LA51,LJ51),IF($IW51=$LQ$15,IF(MC51=0,LT51,MC51),IF($IW51=$MJ$15,IF(NQ51=0,NH51,NQ51),0))))))</f>
        <v>Ks</v>
      </c>
      <c r="IJ51" s="224">
        <f ca="1">IF((BH51+OFFSET(BH51,1,1,1,1))=2,RZ[[#This Row],[Počet MJHR (P0)]],IF((BI51+OFFSET(BI51,1,1,1,1))=2,RZ[[#This Row],[Počet MJHR (P0)]],IF((BJ51+OFFSET(BJ51,1,1,1,1))=2,RZ[[#This Row],[Počet MJHR (P0)]],IF((BK51+OFFSET(BK51,1,1,1,1))=2,RZ[[#This Row],[Počet MJHR (P0)]],IF((BL51+OFFSET(BL51,1,1,1,1))=2,RZ[[#This Row],[Počet MJHR (P0)]],IF((BM51+OFFSET(BM51,1,1,1,1))=2,RZ[[#This Row],[Počet MJHR (P0)]],IF((BN51+OFFSET(BN51,1,1,1,1))=2,RZ[[#This Row],[Počet MJHR (P0)]],IF((BO51+OFFSET(BO51,1,1,1,1))=2,RZ[[#This Row],[Počet MJHR (P0)]],IF((BP51+OFFSET(BP51,1,1,1,1))=2,RZ[[#This Row],[Počet MJHR (P0)]],IF((BQ51+OFFSET(BQ51,1,1,1,1))=2,RZ[[#This Row],[Počet MJHR (P0)]],IF(RZ[[#This Row],[Měrná jednotka CR (MJCR) (P0)]]=RZ[[#This Row],[Měrná jednotka HR '[MJHR'] (P0)]],RZ[[#This Row],[Počet MJHR (P0)]],IF($IW51=$JL$15,JY51,IF($IW51=$KE$15,KR51,IF($IW51=$KX$15,LK51,IF($IW51=$LQ$15,MD51,IF($IW51=$MJ$15,NR51,0))))))))))))))))</f>
        <v>1</v>
      </c>
      <c r="IK5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1" s="145">
        <f ca="1">IF(AND(RZ[[#This Row],[Jednotková cena bez DPH '[cena/MJCR'] (P0)]]=0,RZ[[#This Row],[Indikativní jednotková cena '[CZK/kg'] (P1)]]&lt;&gt;0),1,0)</f>
        <v>0</v>
      </c>
      <c r="IM51" s="217">
        <f ca="1">VLOOKUP(RZ[[#This Row],[Kód položek]],INDIKAT_CENA,2,FALSE)</f>
        <v>0</v>
      </c>
      <c r="IN51" s="222">
        <f ca="1">IF(RZ[[#This Row],[Rozhodný sloupec indikativní ceny]]=1,RZ[[#This Row],[Indikativní jednotková cena '[CZK/kg'] (P1)]],RZ[[#This Row],[Jednotková cena bez DPH '[cena/MJCR'] (P0)]])</f>
        <v>800</v>
      </c>
      <c r="IO51" s="222">
        <f t="shared" si="243"/>
        <v>1</v>
      </c>
      <c r="IP51" s="224">
        <f ca="1">IF(RZ[[#This Row],[Rozhodný sloupec indikativní ceny]]=1,1,IF($IW51=$JL$15,KA51,IF($IW51=$KE$15,KT51,IF($IW51=$KX$15,LM51,IF($IW51=$LQ$15,MF51,IF($IW51=$MJ$15,NT51,0))))))</f>
        <v>1</v>
      </c>
      <c r="IQ51" s="225">
        <f ca="1">IF(RZ[[#This Row],[Jednotková cena bez DPH '[cena/MJCR'] (P1)]]="",0,IF(IP51=0,0,(RZ[[#This Row],[Jednotková cena bez DPH '[cena/MJCR'] (P1)]]*VLOOKUP(IP51,$BR$7:$BT$10,3))))</f>
        <v>800</v>
      </c>
      <c r="IR51" s="737"/>
      <c r="IS51" s="627">
        <f>IF(HY51=0,"",VLOOKUP(RZ[[#This Row],[Stav Projekce (P0)]],Vstupy!$E$11:'Vstupy'!$E$11:$H$17,4,FALSE))</f>
        <v>100</v>
      </c>
      <c r="IT51" s="925" t="str">
        <f>IF(RZ[[#This Row],[Stav Projekce (P0)]]=0,"",RZ[[#This Row],[Stav Projekce (P0)]])</f>
        <v>S</v>
      </c>
      <c r="IU51" s="925" t="str">
        <f>IF(RZ[[#This Row],[Stav Nákup (P0)]]=0,"",RZ[[#This Row],[Stav Nákup (P0)]])</f>
        <v>N</v>
      </c>
      <c r="IV51" s="926" t="str">
        <f t="shared" si="244"/>
        <v>Zajíc</v>
      </c>
      <c r="IW51" s="641">
        <v>1</v>
      </c>
      <c r="IX51" s="630"/>
      <c r="IY51" s="264"/>
      <c r="IZ51" s="648"/>
      <c r="JA51" s="100"/>
      <c r="JB51" s="100" t="s">
        <v>825</v>
      </c>
      <c r="JC51" s="100"/>
      <c r="JD51" s="100"/>
      <c r="JE51" s="100"/>
      <c r="JF51" s="100"/>
      <c r="JG51" s="100"/>
      <c r="JH51" s="100"/>
      <c r="JI51" s="100"/>
      <c r="JJ51" s="145" t="s">
        <v>798</v>
      </c>
      <c r="JK51" s="529"/>
      <c r="JL51" s="286"/>
      <c r="JM51" s="100"/>
      <c r="JN51" s="100"/>
      <c r="JO51" s="145" t="s">
        <v>35</v>
      </c>
      <c r="JP51" s="117">
        <v>1</v>
      </c>
      <c r="JQ51" s="117">
        <v>1.78</v>
      </c>
      <c r="JR51" s="148">
        <v>1</v>
      </c>
      <c r="JS51" s="145" t="s">
        <v>602</v>
      </c>
      <c r="JT51" s="631"/>
      <c r="JU51" s="148" t="s">
        <v>853</v>
      </c>
      <c r="JV51" s="154">
        <v>42950.635636574072</v>
      </c>
      <c r="JW51" s="145"/>
      <c r="JX51" s="210" t="s">
        <v>854</v>
      </c>
      <c r="JY51" s="117"/>
      <c r="JZ51" s="662">
        <v>800</v>
      </c>
      <c r="KA51" s="145">
        <v>1</v>
      </c>
      <c r="KB51" s="148">
        <v>1</v>
      </c>
      <c r="KC51" s="148" t="s">
        <v>611</v>
      </c>
      <c r="KD51" s="644"/>
      <c r="KE51" s="286"/>
      <c r="KF51" s="100"/>
      <c r="KG51" s="100"/>
      <c r="KH51" s="210"/>
      <c r="KI51" s="117"/>
      <c r="KJ51" s="117"/>
      <c r="KK51" s="148"/>
      <c r="KL51" s="145"/>
      <c r="KM51" s="632"/>
      <c r="KN51" s="148"/>
      <c r="KO51" s="154"/>
      <c r="KP51" s="154"/>
      <c r="KQ51" s="210"/>
      <c r="KR51" s="117"/>
      <c r="KS51" s="211"/>
      <c r="KT51" s="145"/>
      <c r="KU51" s="148"/>
      <c r="KV51" s="148"/>
      <c r="KW51" s="265"/>
      <c r="KX51" s="286"/>
      <c r="KY51" s="100"/>
      <c r="KZ51" s="100"/>
      <c r="LA51" s="210"/>
      <c r="LB51" s="117"/>
      <c r="LC51" s="117"/>
      <c r="LD51" s="148"/>
      <c r="LE51" s="145"/>
      <c r="LF51" s="632"/>
      <c r="LG51" s="148"/>
      <c r="LH51" s="154"/>
      <c r="LI51" s="154"/>
      <c r="LJ51" s="154"/>
      <c r="LK51" s="117"/>
      <c r="LL51" s="211"/>
      <c r="LM51" s="210"/>
      <c r="LN51" s="148"/>
      <c r="LO51" s="148"/>
      <c r="LP51" s="265"/>
      <c r="LQ51" s="286"/>
      <c r="LR51" s="100"/>
      <c r="LS51" s="100"/>
      <c r="LT51" s="210"/>
      <c r="LU51" s="117"/>
      <c r="LV51" s="117"/>
      <c r="LW51" s="148"/>
      <c r="LX51" s="145"/>
      <c r="LY51" s="632"/>
      <c r="LZ51" s="148"/>
      <c r="MA51" s="154"/>
      <c r="MB51" s="154"/>
      <c r="MC51" s="145"/>
      <c r="MD51" s="117"/>
      <c r="ME51" s="211"/>
      <c r="MF51" s="210"/>
      <c r="MG51" s="148"/>
      <c r="MH51" s="148"/>
      <c r="MI51" s="265"/>
      <c r="MJ51" s="647"/>
      <c r="MK51" s="264"/>
      <c r="ML51" s="153"/>
      <c r="MM51" s="153"/>
      <c r="MN51" s="153"/>
      <c r="MO51" s="153"/>
      <c r="MP51" s="153"/>
      <c r="MQ51" s="153"/>
      <c r="MR51" s="153"/>
      <c r="MS51" s="99"/>
      <c r="MT51" s="99"/>
      <c r="MU51" s="99"/>
      <c r="MV51" s="99"/>
      <c r="MW51" s="99"/>
      <c r="MX51" s="99"/>
      <c r="MY51" s="153"/>
      <c r="MZ51" s="153"/>
      <c r="NA51" s="153"/>
      <c r="NB51" s="153"/>
      <c r="NC51" s="153"/>
      <c r="ND51" s="153"/>
      <c r="NE51" s="148"/>
      <c r="NF51" s="153"/>
      <c r="NG51" s="153"/>
      <c r="NH51" s="330" t="str">
        <f t="shared" si="245"/>
        <v>ks</v>
      </c>
      <c r="NI51" s="797">
        <f>RZ[[#This Row],[Počet ks (K)]]</f>
        <v>0</v>
      </c>
      <c r="NJ51" s="798">
        <f>RZ[[#This Row],[Hmotnost '[kg/ks'] (K)]]</f>
        <v>0</v>
      </c>
      <c r="NK51" s="148"/>
      <c r="NL51" s="145"/>
      <c r="NM51" s="632"/>
      <c r="NN51" s="148"/>
      <c r="NO51" s="154"/>
      <c r="NP51" s="153"/>
      <c r="NQ51" s="153"/>
      <c r="NR51" s="210"/>
      <c r="NS51" s="148"/>
      <c r="NT51" s="210"/>
      <c r="NU51" s="148"/>
      <c r="NV51" s="148"/>
      <c r="NW51" s="175"/>
    </row>
    <row r="52" spans="2:387" ht="15.95" customHeight="1" x14ac:dyDescent="0.35">
      <c r="B52" s="118" t="str">
        <f t="shared" si="129"/>
        <v/>
      </c>
      <c r="C5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2" s="262" t="str">
        <f t="shared" si="130"/>
        <v xml:space="preserve">    Součásti potrubí</v>
      </c>
      <c r="E52" s="120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Row],[Kód položek (P2)]]))))))))))</f>
        <v>SUOS</v>
      </c>
      <c r="F52" s="791" t="str">
        <f t="shared" si="131"/>
        <v>N/A</v>
      </c>
      <c r="G52" s="792" t="str">
        <f t="shared" si="132"/>
        <v/>
      </c>
      <c r="H52" s="262" t="str">
        <f t="shared" si="133"/>
        <v/>
      </c>
      <c r="I52" s="123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HR '[MJHR'] (P0)]]))))))))))</f>
        <v>ks</v>
      </c>
      <c r="J52" s="123">
        <f t="shared" si="134"/>
        <v>1</v>
      </c>
      <c r="K52" s="793">
        <f>RZ[[#This Row],[Koeficient odhadu HR '[-'] (P1)]]</f>
        <v>1</v>
      </c>
      <c r="L52" s="124">
        <f ca="1">RZ[[#This Row],[Jednotková hmotnost s koef. '[kg/MJHR'] (P0)]]</f>
        <v>2.73</v>
      </c>
      <c r="M52" s="794">
        <f t="shared" ca="1" si="135"/>
        <v>0</v>
      </c>
      <c r="N52" s="125">
        <f t="shared" ca="1" si="136"/>
        <v>2.73</v>
      </c>
      <c r="O52" s="125">
        <f t="shared" ca="1" si="137"/>
        <v>0</v>
      </c>
      <c r="P52" s="126" t="str">
        <f t="shared" si="138"/>
        <v/>
      </c>
      <c r="Q52" s="795">
        <f ca="1">RZ[[#This Row],[Počet MJHR v rozpadu (P0)]]</f>
        <v>1</v>
      </c>
      <c r="R52" s="439" t="str">
        <f t="shared" si="139"/>
        <v/>
      </c>
      <c r="S52" s="129" t="str">
        <f t="shared" si="140"/>
        <v/>
      </c>
      <c r="T52" s="126" t="str">
        <f t="shared" si="141"/>
        <v/>
      </c>
      <c r="U52" s="126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CR (MJCR) (P0)]]))))))))))</f>
        <v>ks</v>
      </c>
      <c r="V52" s="575">
        <f t="shared" ca="1" si="142"/>
        <v>1</v>
      </c>
      <c r="W52" s="322">
        <f>RZ[[#This Row],[Koeficient odhadu CR '[-'] (P1)]]</f>
        <v>1</v>
      </c>
      <c r="X52" s="440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Row],[Jednotková cena bez DPH '[cena/MJCR'] (P1)]]*RZ[[#This Row],[Koeficient odhadu CR '[-']]]))))))))))</f>
        <v>1000</v>
      </c>
      <c r="Y52" s="440">
        <f t="shared" ca="1" si="143"/>
        <v>0</v>
      </c>
      <c r="Z52" s="142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VLOOKUP(IP52,$BR$7:$BS$11,2,FALSE)))))))))))</f>
        <v>CZK</v>
      </c>
      <c r="AA52" s="909">
        <f t="shared" ca="1" si="144"/>
        <v>1</v>
      </c>
      <c r="AB52" s="910">
        <f ca="1">RZ[[#This Row],[Kumulovaný koeficient v rozpadu (P0)]]</f>
        <v>1</v>
      </c>
      <c r="AC52" s="261"/>
      <c r="AD52" s="796">
        <f ca="1">RZ[[#This Row],[Jednotková cena bez DPH '[cena/MJCR'] s koef. (P0)]]/RZ[[#This Row],[Koeficient odhadu CR '[-']]]*RZ[[#This Row],[Kumulovaný koeficient odhadu CR  '[-']]]</f>
        <v>1000</v>
      </c>
      <c r="AE52" s="796">
        <f t="shared" ca="1" si="145"/>
        <v>1000</v>
      </c>
      <c r="AF52" s="796">
        <f ca="1">-IF(ISNUMBER(AA52),RZ[[#This Row],[Celková cena bez DPH (1)]]-RZ[[#This Row],[Jednotková cena bez DPH '[cena/MJCR'] bez koef. (P0)]]*AA52,0)</f>
        <v>0</v>
      </c>
      <c r="AG52" s="753">
        <f ca="1">IF(RZ[[#This Row],[Jednotková hmotnost '[kg/MJHR']]]*RZ[[#This Row],[Počet MJHR v rozpadu]]=0,0,RZ[[#This Row],[Celková cena bez DPH (1)]]/RZ[[#This Row],[Jednotková hmotnost '[kg/MJHR']]]/RZ[[#This Row],[Počet MJHR v rozpadu]])</f>
        <v>366.30036630036631</v>
      </c>
      <c r="AH52" s="261"/>
      <c r="AI52" s="796">
        <f t="shared" ca="1" si="146"/>
        <v>37.037037037037038</v>
      </c>
      <c r="AJ52" s="796">
        <f t="shared" ca="1" si="147"/>
        <v>37.037037037037038</v>
      </c>
      <c r="AK52" s="796">
        <f t="shared" ca="1" si="148"/>
        <v>0</v>
      </c>
      <c r="AL52" s="753">
        <f ca="1">RZ[[#This Row],[Kilogramová cena bez DPH '[cena/kg'] (1)]]/$AK$13</f>
        <v>13.566680233346901</v>
      </c>
      <c r="AM52" s="261"/>
      <c r="AN52" s="796">
        <f t="shared" ca="1" si="149"/>
        <v>48.309178743961354</v>
      </c>
      <c r="AO52" s="796">
        <f t="shared" ca="1" si="150"/>
        <v>48.309178743961354</v>
      </c>
      <c r="AP52" s="796">
        <f t="shared" ca="1" si="151"/>
        <v>0</v>
      </c>
      <c r="AQ52" s="753">
        <f ca="1">RZ[[#This Row],[Kilogramová cena bez DPH '[cena/kg'] (1)]]/$AP$13</f>
        <v>17.695669869582915</v>
      </c>
      <c r="AR52" s="261"/>
      <c r="AS52" s="796">
        <f t="shared" ca="1" si="152"/>
        <v>27.352297592997811</v>
      </c>
      <c r="AT52" s="796">
        <f t="shared" ca="1" si="153"/>
        <v>27.352297592997811</v>
      </c>
      <c r="AU52" s="789">
        <f t="shared" ca="1" si="154"/>
        <v>0</v>
      </c>
      <c r="AV52" s="767">
        <f ca="1">RZ[[#This Row],[Kilogramová cena bez DPH '[cena/kg'] (1)]]/$AU$13</f>
        <v>10.019156627471725</v>
      </c>
      <c r="AW52" s="165"/>
      <c r="AX52" s="911">
        <f t="shared" ca="1" si="155"/>
        <v>2</v>
      </c>
      <c r="AY52" s="111">
        <f t="shared" ca="1" si="156"/>
        <v>1</v>
      </c>
      <c r="AZ52" s="111">
        <f t="shared" ca="1" si="157"/>
        <v>29</v>
      </c>
      <c r="BA52" s="111">
        <f t="shared" ca="1" si="158"/>
        <v>0</v>
      </c>
      <c r="BB52" s="111">
        <f t="shared" ca="1" si="159"/>
        <v>0</v>
      </c>
      <c r="BC52" s="111">
        <f t="shared" ca="1" si="160"/>
        <v>0</v>
      </c>
      <c r="BD52" s="111">
        <f t="shared" ca="1" si="161"/>
        <v>0</v>
      </c>
      <c r="BE52" s="111">
        <f t="shared" ca="1" si="162"/>
        <v>0</v>
      </c>
      <c r="BF52" s="111">
        <f t="shared" ca="1" si="163"/>
        <v>0</v>
      </c>
      <c r="BG52" s="112">
        <f t="shared" ca="1" si="164"/>
        <v>0</v>
      </c>
      <c r="BH52" s="911">
        <f t="shared" si="165"/>
        <v>0</v>
      </c>
      <c r="BI52" s="111">
        <f t="shared" si="166"/>
        <v>0</v>
      </c>
      <c r="BJ52" s="111">
        <f t="shared" si="167"/>
        <v>1</v>
      </c>
      <c r="BK52" s="111">
        <f t="shared" si="168"/>
        <v>0</v>
      </c>
      <c r="BL52" s="111">
        <f t="shared" si="169"/>
        <v>0</v>
      </c>
      <c r="BM52" s="111">
        <f t="shared" si="170"/>
        <v>0</v>
      </c>
      <c r="BN52" s="111">
        <f t="shared" si="171"/>
        <v>0</v>
      </c>
      <c r="BO52" s="111">
        <f t="shared" si="172"/>
        <v>0</v>
      </c>
      <c r="BP52" s="111">
        <f t="shared" si="173"/>
        <v>0</v>
      </c>
      <c r="BQ52" s="112">
        <f t="shared" si="174"/>
        <v>0</v>
      </c>
      <c r="BR52" s="132">
        <f ca="1">IF(OFFSET(AY52,1,0,1,1)&lt;&gt;0,RZ[[#This Row],[Koeficient odhadu HR '[-'] (P1)]]*$BH52*SUMIFS(RZ[Úroveň 2 s koef. (P2)],RZ[0],AX52),RZ[[#This Row],[Koeficient odhadu HR '[-'] (P1)]]*$BH52*$IG52)</f>
        <v>0</v>
      </c>
      <c r="BS52" s="186">
        <f ca="1">IF(OFFSET(AY52,1,0,1,1)&lt;&gt;0,$BH52*SUMIFS(RZ[Úroveň 2 bez koef. (P2)],RZ[0],AX52),$BH52*$IG52)</f>
        <v>0</v>
      </c>
      <c r="BT52" s="138">
        <f ca="1">RZ[[#This Row],[Úroveň 2 s koef. (P2a)]]*RZ[[#This Row],[Počet MJHR (P0)]]</f>
        <v>0</v>
      </c>
      <c r="BU52" s="138">
        <f ca="1">RZ[[#This Row],[Úroveň 2 bez koef. (P2a)]]*RZ[[#This Row],[Počet MJHR (P0)]]</f>
        <v>0</v>
      </c>
      <c r="BV52" s="138">
        <f ca="1">IF(OFFSET(AZ52,1,0,1,1)&lt;&gt;0,RZ[[#This Row],[Koeficient odhadu HR '[-'] (P1)]]*$BI52*SUMIFS(RZ[Úroveň 3 s koef. (P2)],RZ[0],AX52,RZ[Úroveň 2 (P0)],AY52),RZ[[#This Row],[Koeficient odhadu HR '[-'] (P1)]]*$BI52*$IG52)</f>
        <v>0</v>
      </c>
      <c r="BW52" s="138">
        <f ca="1">IF(OFFSET(AZ52,1,0,1,1)&lt;&gt;0,$BI52*SUMIFS(RZ[Úroveň 3 bez koef. (P2)],RZ[0],AX52,RZ[Úroveň 2 (P0)],AY52),$BI52*$IG52)</f>
        <v>0</v>
      </c>
      <c r="BX52" s="132">
        <f ca="1">RZ[[#This Row],[Úroveň 3 s koef. (P2a)]]*RZ[[#This Row],[Počet MJHR (P0)]]</f>
        <v>2.73</v>
      </c>
      <c r="BY52" s="132">
        <f ca="1">RZ[Úroveň 3 bez koef. (P2a)]*RZ[[#This Row],[Počet MJHR (P0)]]</f>
        <v>2.73</v>
      </c>
      <c r="BZ52" s="132">
        <f ca="1">IF(OFFSET(BA52,1,0,1,1)&lt;&gt;0,RZ[[#This Row],[Koeficient odhadu HR '[-'] (P1)]]*$BJ52*SUMIFS(RZ[Úroveň 4 s koef. (P2)],RZ[0],AX52,RZ[Úroveň 2 (P0)],AY52,RZ[Úroveň 3 (P0)],AZ52),RZ[[#This Row],[Koeficient odhadu HR '[-'] (P1)]]*$BJ52*$IG52)</f>
        <v>2.73</v>
      </c>
      <c r="CA52" s="132">
        <f ca="1">IF(OFFSET(BA52,1,0,1,1)&lt;&gt;0,$BJ52*SUMIFS(RZ[Úroveň 4 bez koef. (P2)],RZ[0],AX52,RZ[Úroveň 2 (P0)],AY52,RZ[Úroveň 3 (P0)],AZ52),$BJ52*$IG52)</f>
        <v>2.73</v>
      </c>
      <c r="CB52" s="138">
        <f ca="1">RZ[[#This Row],[Úroveň 4 s koef. (P2a)]]*RZ[[#This Row],[Počet MJHR (P0)]]</f>
        <v>0</v>
      </c>
      <c r="CC52" s="138">
        <f ca="1">RZ[Úroveň 4 bez koef. (P2a)]*RZ[[#This Row],[Počet MJHR (P0)]]</f>
        <v>0</v>
      </c>
      <c r="CD52" s="138">
        <f ca="1">IF(OFFSET(BB52,1,0,1,1)&lt;&gt;0,RZ[[#This Row],[Koeficient odhadu HR '[-'] (P1)]]*$BK52*SUMIFS(RZ[Úroveň 5 s koef. (P2)],RZ[0],AX52,RZ[Úroveň 2 (P0)],AY52,RZ[Úroveň 3 (P0)],AZ52,RZ[Úroveň 4 (P0)],BA52),RZ[[#This Row],[Koeficient odhadu HR '[-'] (P1)]]*$BK52*$IG52)</f>
        <v>0</v>
      </c>
      <c r="CE52" s="138">
        <f ca="1">IF(OFFSET(BB52,1,0,1,1)&lt;&gt;0,$BK52*SUMIFS(RZ[Úroveň 5 bez koef. (P2)],RZ[0],AX52,RZ[Úroveň 2 (P0)],AY52,RZ[Úroveň 3 (P0)],AZ52,RZ[Úroveň 4 (P0)],BA52),$BK52*$IG52)</f>
        <v>0</v>
      </c>
      <c r="CF52" s="132">
        <f ca="1">RZ[[#This Row],[Úroveň 5 s koef. (P2a)]]*RZ[[#This Row],[Počet MJHR (P0)]]</f>
        <v>0</v>
      </c>
      <c r="CG52" s="132">
        <f ca="1">RZ[Úroveň 5 bez koef. (P2a)]*RZ[[#This Row],[Počet MJHR (P0)]]</f>
        <v>0</v>
      </c>
      <c r="CH52" s="132">
        <f ca="1">IF(OFFSET(BC52,1,0,1,1)&lt;&gt;0,RZ[[#This Row],[Koeficient odhadu HR '[-'] (P1)]]*$BL52*SUMIFS(RZ[Úroveň 6 s koef. (P2)],RZ[0],AX52,RZ[Úroveň 2 (P0)],AY52,RZ[Úroveň 3 (P0)],AZ52,RZ[Úroveň 4 (P0)],BA52,RZ[Úroveň 5 (P0)],BB52),RZ[[#This Row],[Koeficient odhadu HR '[-'] (P1)]]*$BL52*$IG52)</f>
        <v>0</v>
      </c>
      <c r="CI52" s="132">
        <f ca="1">IF(OFFSET(BC52,1,0,1,1)&lt;&gt;0,$BL52*SUMIFS(RZ[Úroveň 6 bez koef. (P2)],RZ[0],AX52,RZ[Úroveň 2 (P0)],AY52,RZ[Úroveň 3 (P0)],AZ52,RZ[Úroveň 4 (P0)],BA52,RZ[Úroveň 5 (P0)],BB52),$BL52*$IG52)</f>
        <v>0</v>
      </c>
      <c r="CJ52" s="138">
        <f ca="1">RZ[[#This Row],[Úroveň 6 s koef. (P2a)]]*RZ[[#This Row],[Počet MJHR (P0)]]</f>
        <v>0</v>
      </c>
      <c r="CK52" s="138">
        <f ca="1">RZ[Úroveň 6 bez koef. (P2a)]*RZ[[#This Row],[Počet MJHR (P0)]]</f>
        <v>0</v>
      </c>
      <c r="CL52" s="138">
        <f ca="1">IF(OFFSET(BD52,1,0,1,1)&lt;&gt;0,RZ[[#This Row],[Koeficient odhadu HR '[-'] (P1)]]*$BM52*SUMIFS(RZ[Úroveň 7 s koef. (P2)],RZ[0],AX52,RZ[Úroveň 2 (P0)],AY52,RZ[Úroveň 3 (P0)],AZ52,RZ[Úroveň 4 (P0)],BA52,RZ[Úroveň 5 (P0)],BB52,RZ[Úroveň 6 (P0)],BC52),RZ[[#This Row],[Koeficient odhadu HR '[-'] (P1)]]*$BM52*$IG52)</f>
        <v>0</v>
      </c>
      <c r="CM52" s="138">
        <f ca="1">IF(OFFSET(BD52,1,0,1,1)&lt;&gt;0,$BM52*SUMIFS(RZ[Úroveň 7 bez koef. (P2)],RZ[0],AX52,RZ[Úroveň 2 (P0)],AY52,RZ[Úroveň 3 (P0)],AZ52,RZ[Úroveň 4 (P0)],BA52,RZ[Úroveň 5 (P0)],BB52,RZ[Úroveň 6 (P0)],BC52),$BM52*$IG52)</f>
        <v>0</v>
      </c>
      <c r="CN52" s="132">
        <f ca="1">RZ[[#This Row],[Úroveň 7 s koef. (P2a)]]*RZ[[#This Row],[Počet MJHR (P0)]]</f>
        <v>0</v>
      </c>
      <c r="CO52" s="132">
        <f ca="1">RZ[Úroveň 7 bez koef. (P2a)]*RZ[[#This Row],[Počet MJHR (P0)]]</f>
        <v>0</v>
      </c>
      <c r="CP52" s="132">
        <f ca="1">IF(OFFSET(BE52,1,0,1,1)&lt;&gt;0,RZ[[#This Row],[Koeficient odhadu HR '[-'] (P1)]]*$BN52*SUMIFS(RZ[Úroveň 8 s koef. (P2)],RZ[0],AX52,RZ[Úroveň 2 (P0)],AY52,RZ[Úroveň 3 (P0)],AZ52,RZ[Úroveň 4 (P0)],BA52,RZ[Úroveň 5 (P0)],BB52,RZ[Úroveň 6 (P0)],BC52,RZ[Úroveň 7 (P0)],BD52),RZ[[#This Row],[Koeficient odhadu HR '[-'] (P1)]]*$BN52*$IG52)</f>
        <v>0</v>
      </c>
      <c r="CQ52" s="132">
        <f ca="1">IF(OFFSET(BE52,1,0,1,1)&lt;&gt;0,$BN52*SUMIFS(RZ[Úroveň 8 bez koef. (P2)],RZ[0],AX52,RZ[Úroveň 2 (P0)],AY52,RZ[Úroveň 3 (P0)],AZ52,RZ[Úroveň 4 (P0)],BA52,RZ[Úroveň 5 (P0)],BB52,RZ[Úroveň 6 (P0)],BC52,RZ[Úroveň 7 (P0)],BD52),$BN52*$IG52)</f>
        <v>0</v>
      </c>
      <c r="CR52" s="138">
        <f ca="1">RZ[[#This Row],[Úroveň 8 s koef. (P2a)]]*RZ[[#This Row],[Počet MJHR (P0)]]</f>
        <v>0</v>
      </c>
      <c r="CS52" s="138">
        <f ca="1">RZ[Úroveň 8 bez koef. (P2a)]*RZ[[#This Row],[Počet MJHR (P0)]]</f>
        <v>0</v>
      </c>
      <c r="CT52" s="138">
        <f ca="1">IF(OFFSET(BF52,1,0,1,1)&lt;&gt;0,RZ[[#This Row],[Koeficient odhadu HR '[-'] (P1)]]*$BO52*SUMIFS(RZ[Úroveň 9 s koef. (P2)],RZ[0],AX52,RZ[Úroveň 2 (P0)],AY52,RZ[Úroveň 3 (P0)],AZ52,RZ[Úroveň 4 (P0)],BA52,RZ[Úroveň 5 (P0)],BB52,RZ[Úroveň 6 (P0)],BC52,RZ[Úroveň 7 (P0)],BD52,RZ[Úroveň 8 (P0)],BE52),RZ[[#This Row],[Koeficient odhadu HR '[-'] (P1)]]*$BO52*$IG52)</f>
        <v>0</v>
      </c>
      <c r="CU52" s="138">
        <f ca="1">IF(OFFSET(BF52,1,0,1,1)&lt;&gt;0,$BO52*SUMIFS(RZ[Úroveň 9 bez koef. (P2)],RZ[0],AX52,RZ[Úroveň 2 (P0)],AY52,RZ[Úroveň 3 (P0)],AZ52,RZ[Úroveň 4 (P0)],BA52,RZ[Úroveň 5 (P0)],BB52,RZ[Úroveň 6 (P0)],BC52,RZ[Úroveň 7 (P0)],BD52,RZ[Úroveň 8 (P0)],BE52),$BO52*$IG52)</f>
        <v>0</v>
      </c>
      <c r="CV52" s="132">
        <f ca="1">RZ[[#This Row],[Úroveň 9 s koef. (P2a)]]*RZ[[#This Row],[Počet MJHR (P0)]]</f>
        <v>0</v>
      </c>
      <c r="CW52" s="132">
        <f ca="1">RZ[Úroveň 9 bez koef. (P2a)]*RZ[[#This Row],[Počet MJHR (P0)]]</f>
        <v>0</v>
      </c>
      <c r="CX52" s="132">
        <f ca="1">IF(OFFSET(BG52,1,0,1,1)&lt;&gt;0,RZ[[#This Row],[Koeficient odhadu HR '[-'] (P1)]]*$BP52*SUMIFS(RZ[Úroveň 10 s koef. (P2)],RZ[0],AX52,RZ[Úroveň 2 (P0)],AY52,RZ[Úroveň 3 (P0)],AZ52,RZ[Úroveň 4 (P0)],BA52,RZ[Úroveň 5 (P0)],BB52,RZ[Úroveň 6 (P0)],BC52,RZ[Úroveň 7 (P0)],BD52,RZ[Úroveň 8 (P0)],BE52,RZ[Úroveň 9 (P0)],BF52),RZ[[#This Row],[Koeficient odhadu HR '[-'] (P1)]]*$BP52*$IG52)</f>
        <v>0</v>
      </c>
      <c r="CY52" s="132">
        <f ca="1">IF(OFFSET(BG52,1,0,1,1)&lt;&gt;0,$BP52*SUMIFS(RZ[Úroveň 10 bez koef. (P2)],RZ[0],AX52,RZ[Úroveň 2 (P0)],AY52,RZ[Úroveň 3 (P0)],AZ52,RZ[Úroveň 4 (P0)],BA52,RZ[Úroveň 5 (P0)],BB52,RZ[Úroveň 6 (P0)],BC52,RZ[Úroveň 7 (P0)],BD52,RZ[Úroveň 8 (P0)],BE52,RZ[Úroveň 9 (P0)],BF52),$BP52*$IG52)</f>
        <v>0</v>
      </c>
      <c r="CZ52" s="138">
        <f>RZ[[#This Row],[Úroveň 10 s koef. (P2a)]]*RZ[[#This Row],[Počet MJHR (P0)]]</f>
        <v>0</v>
      </c>
      <c r="DA52" s="138">
        <f>RZ[Úroveň 10 bez koef. (P2a)]*RZ[[#This Row],[Počet MJHR (P0)]]</f>
        <v>0</v>
      </c>
      <c r="DB52" s="138">
        <f>RZ[[#This Row],[Koeficient odhadu HR '[-'] (P1)]]*$BQ52*IG52</f>
        <v>0</v>
      </c>
      <c r="DC52" s="231">
        <f t="shared" si="175"/>
        <v>0</v>
      </c>
      <c r="DD52" s="241">
        <f t="shared" ca="1" si="176"/>
        <v>2.73</v>
      </c>
      <c r="DE52" s="229">
        <f t="shared" ca="1" si="177"/>
        <v>2.73</v>
      </c>
      <c r="DF52" s="912">
        <f t="shared" si="178"/>
        <v>0</v>
      </c>
      <c r="DG52" s="913">
        <f t="shared" si="179"/>
        <v>0</v>
      </c>
      <c r="DH52" s="913">
        <f t="shared" si="180"/>
        <v>1</v>
      </c>
      <c r="DI52" s="913">
        <f t="shared" si="181"/>
        <v>0</v>
      </c>
      <c r="DJ52" s="913">
        <f t="shared" si="182"/>
        <v>0</v>
      </c>
      <c r="DK52" s="913">
        <f t="shared" si="183"/>
        <v>0</v>
      </c>
      <c r="DL52" s="913">
        <f t="shared" si="184"/>
        <v>0</v>
      </c>
      <c r="DM52" s="913">
        <f t="shared" si="185"/>
        <v>0</v>
      </c>
      <c r="DN52" s="913">
        <f t="shared" si="186"/>
        <v>0</v>
      </c>
      <c r="DO52" s="913">
        <f t="shared" si="187"/>
        <v>0</v>
      </c>
      <c r="DP52" s="914">
        <f ca="1">SUMIFS(RZ[Úroveň 1 (P4)],RZ[0],AX52)</f>
        <v>1</v>
      </c>
      <c r="DQ52" s="914">
        <f ca="1">SUMIFS(RZ[Úroveň 2 (P4)],RZ[0],AX52,RZ[Úroveň 2 (P0)],AY52)</f>
        <v>1</v>
      </c>
      <c r="DR52" s="914">
        <f ca="1">SUMIFS(RZ[Úroveň 3 (P4)],RZ[0],AX52,RZ[Úroveň 2 (P0)],AY52,RZ[Úroveň 3 (P0)],AZ52)</f>
        <v>1</v>
      </c>
      <c r="DS52" s="914">
        <f ca="1">SUMIFS(RZ[Úroveň 4 (P4)],RZ[0],AX52,RZ[Úroveň 2 (P0)],AY52,RZ[Úroveň 3 (P0)],AZ52,RZ[Úroveň 4 (P0)],BA52)</f>
        <v>0</v>
      </c>
      <c r="DT52" s="914">
        <f ca="1">SUMIFS(RZ[Úroveň 5 (P4)],RZ[0],AX52,RZ[Úroveň 2 (P0)],AY52,RZ[Úroveň 3 (P0)],AZ52,RZ[Úroveň 4 (P0)],BA52,RZ[Úroveň 5 (P0)],BB52)</f>
        <v>0</v>
      </c>
      <c r="DU52" s="914">
        <f ca="1">SUMIFS(RZ[Úroveň 6 (P4)],RZ[0],AX52,RZ[Úroveň 2 (P0)],AY52,RZ[Úroveň 3 (P0)],AZ52,RZ[Úroveň 4 (P0)],BA52,RZ[Úroveň 5 (P0)],BB52,RZ[Úroveň 6 (P0)],BC52)</f>
        <v>0</v>
      </c>
      <c r="DV52" s="914">
        <f ca="1">SUMIFS(RZ[Úroveň 7 (P4)],RZ[0],AX52,RZ[Úroveň 2 (P0)],AY52,RZ[Úroveň 3 (P0)],AZ52,RZ[Úroveň 4 (P0)],BA52,RZ[Úroveň 5 (P0)],BB52,RZ[Úroveň 6 (P0)],BC52,RZ[Úroveň 7 (P0)],BD52)</f>
        <v>0</v>
      </c>
      <c r="DW52" s="914">
        <f ca="1">SUMIFS(RZ[Úroveň 8 (P4)],RZ[0],AX52,RZ[Úroveň 2 (P0)],AY52,RZ[Úroveň 3 (P0)],AZ52,RZ[Úroveň 4 (P0)],BA52,RZ[Úroveň 5 (P0)],BB52,RZ[Úroveň 6 (P0)],BC52,RZ[Úroveň 7 (P0)],BD52,RZ[Úroveň 8 (P0)],BE52)</f>
        <v>0</v>
      </c>
      <c r="DX52" s="914">
        <f ca="1">SUMIFS(RZ[Úroveň 9 (P4)],RZ[0],AX52,RZ[Úroveň 2 (P0)],AY52,RZ[Úroveň 3 (P0)],AZ52,RZ[Úroveň 4 (P0)],BA52,RZ[Úroveň 5 (P0)],BB52,RZ[Úroveň 6 (P0)],BC52,RZ[Úroveň 7 (P0)],BD52,RZ[Úroveň 8 (P0)],BE52,RZ[Úroveň 9 (P0)],BF52)</f>
        <v>0</v>
      </c>
      <c r="DY52" s="914">
        <f ca="1">SUMIFS(RZ[Úroveň 10 (P4)],RZ[0],AX52,RZ[Úroveň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DZ52" s="915">
        <f t="shared" ca="1" si="188"/>
        <v>1</v>
      </c>
      <c r="EA52" s="916">
        <f ca="1">RZ[[#This Row],[Jednotková hmotnost bez koef. '[kg/MJHR'] (P0)]]*RZ[[#This Row],[Počet MJHR v rozpadu (P0)]]</f>
        <v>2.73</v>
      </c>
      <c r="EB52" s="917">
        <f ca="1">IF(OFFSET(AY52,1,0,1,1)&lt;&gt;0,RZ[[#This Row],[Koeficient odhadu CR '[-'] (P1)]]*$BH52*SUMIFS(RZ[Úroveň 2 s koef. (P3)],RZ[0],AX52),RZ[[#This Row],[Koeficient odhadu CR '[-'] (P1)]]*$BH52*$IQ52)</f>
        <v>0</v>
      </c>
      <c r="EC52" s="191">
        <f ca="1">IF(OFFSET(AY52,1,0,1,1)&lt;&gt;0,$BH52*SUMIFS(RZ[Úroveň 2 bez koef. (P3)],RZ[0],AX52),$BH52*$IQ52)</f>
        <v>0</v>
      </c>
      <c r="ED52" s="140">
        <f ca="1">RZ[[#This Row],[Úroveň 2 s koef. (P3a)]]*RZ[[#This Row],[Počet MJCR (P0) pro "kg"]]</f>
        <v>0</v>
      </c>
      <c r="EE52" s="140">
        <f ca="1">RZ[Úroveň 2 bez koef. (P3a)]*RZ[[#This Row],[Počet MJCR (P0) pro "kg"]]</f>
        <v>0</v>
      </c>
      <c r="EF52" s="140">
        <f ca="1">IF(OFFSET(AZ52,1,0,1,1)&lt;&gt;0,RZ[[#This Row],[Koeficient odhadu CR '[-'] (P1)]]*$BI52*SUMIFS(RZ[Úroveň 3 s koef. (P3)],RZ[0],AX52,RZ[Úroveň 2 (P0)],AY52),RZ[[#This Row],[Koeficient odhadu CR '[-'] (P1)]]*$BI52*$IQ52)</f>
        <v>0</v>
      </c>
      <c r="EG52" s="140">
        <f ca="1">IF(OFFSET(AZ52,1,0,1,1)&lt;&gt;0,$BI52*SUMIFS(RZ[Úroveň 3 bez koef. (P3)],RZ[0],AX52,RZ[Úroveň 2 (P0)],AY52),$BI52*$IQ52)</f>
        <v>0</v>
      </c>
      <c r="EH52" s="135">
        <f ca="1">RZ[[#This Row],[Úroveň 3 s koef. (P3a)]]*RZ[[#This Row],[Počet MJCR (P0) pro "kg"]]</f>
        <v>1000</v>
      </c>
      <c r="EI52" s="135">
        <f ca="1">RZ[Úroveň 3 bez koef. (P3a)]*RZ[[#This Row],[Počet MJCR (P0) pro "kg"]]</f>
        <v>1000</v>
      </c>
      <c r="EJ52" s="135">
        <f ca="1">IF(OFFSET(BA52,1,0,1,1)&lt;&gt;0,RZ[[#This Row],[Koeficient odhadu CR '[-'] (P1)]]*$BJ52*SUMIFS(RZ[Úroveň 4 s koef. (P3)],RZ[0],AX52,RZ[Úroveň 2 (P0)],AY52,RZ[Úroveň 3 (P0)],AZ52),RZ[[#This Row],[Koeficient odhadu CR '[-'] (P1)]]*$BJ52*$IQ52)</f>
        <v>1000</v>
      </c>
      <c r="EK52" s="135">
        <f ca="1">IF(OFFSET(BA52,1,0,1,1)&lt;&gt;0,$BJ52*SUMIFS(RZ[Úroveň 4 bez koef. (P3)],RZ[0],AX52,RZ[Úroveň 2 (P0)],AY52,RZ[Úroveň 3 (P0)],AZ52),$BJ52*$IQ52)</f>
        <v>1000</v>
      </c>
      <c r="EL52" s="140">
        <f ca="1">RZ[[#This Row],[Úroveň 4 s koef. (P3a)]]*RZ[[#This Row],[Počet MJCR (P0) pro "kg"]]</f>
        <v>0</v>
      </c>
      <c r="EM52" s="140">
        <f ca="1">RZ[Úroveň 4 bez koef. (P3a)]*RZ[[#This Row],[Počet MJCR (P0) pro "kg"]]</f>
        <v>0</v>
      </c>
      <c r="EN52" s="140">
        <f ca="1">IF(OFFSET(BB52,1,0,1,1)&lt;&gt;0,RZ[[#This Row],[Koeficient odhadu CR '[-'] (P1)]]*$BK52*SUMIFS(RZ[Úroveň 5 s koef. (P3)],RZ[0],AX52,RZ[Úroveň 2 (P0)],AY52,RZ[Úroveň 3 (P0)],AZ52,RZ[Úroveň 4 (P0)],BA52),RZ[[#This Row],[Koeficient odhadu CR '[-'] (P1)]]*$BK52*$IQ52)</f>
        <v>0</v>
      </c>
      <c r="EO52" s="140">
        <f ca="1">IF(OFFSET(BB52,1,0,1,1)&lt;&gt;0,$BK52*SUMIFS(RZ[Úroveň 5 bez koef. (P3)],RZ[0],AX52,RZ[Úroveň 2 (P0)],AY52,RZ[Úroveň 3 (P0)],AZ52,RZ[Úroveň 4 (P0)],BA52),$BK52*$IQ52)</f>
        <v>0</v>
      </c>
      <c r="EP52" s="135">
        <f ca="1">RZ[[#This Row],[Úroveň 5 s koef. (P3a)]]*RZ[[#This Row],[Počet MJCR (P0) pro "kg"]]</f>
        <v>0</v>
      </c>
      <c r="EQ52" s="135">
        <f ca="1">RZ[Úroveň 5 bez koef. (P3a)]*RZ[[#This Row],[Počet MJCR (P0) pro "kg"]]</f>
        <v>0</v>
      </c>
      <c r="ER52" s="135">
        <f ca="1">IF(OFFSET(BC52,1,0,1,1)&lt;&gt;0,RZ[[#This Row],[Koeficient odhadu CR '[-'] (P1)]]*$BL52*SUMIFS(RZ[Úroveň 6 s koef. (P3)],RZ[0],AX52,RZ[Úroveň 2 (P0)],AY52,RZ[Úroveň 3 (P0)],AZ52,RZ[Úroveň 4 (P0)],BA52,RZ[Úroveň 5 (P0)],BB52),RZ[[#This Row],[Koeficient odhadu CR '[-'] (P1)]]*$BL52*$IQ52)</f>
        <v>0</v>
      </c>
      <c r="ES52" s="135">
        <f ca="1">IF(OFFSET(BC52,1,0,1,1)&lt;&gt;0,$BL52*SUMIFS(RZ[Úroveň 6 bez koef. (P3)],RZ[0],AX52,RZ[Úroveň 2 (P0)],AY52,RZ[Úroveň 3 (P0)],AZ52,RZ[Úroveň 4 (P0)],BA52,RZ[Úroveň 5 (P0)],BB52),$BL52*$IQ52)</f>
        <v>0</v>
      </c>
      <c r="ET52" s="140">
        <f ca="1">RZ[[#This Row],[Úroveň 6 s koef. (P3a)]]*RZ[[#This Row],[Počet MJCR (P0) pro "kg"]]</f>
        <v>0</v>
      </c>
      <c r="EU52" s="140">
        <f ca="1">RZ[Úroveň 6 bez koef. (P3a)]*RZ[[#This Row],[Počet MJCR (P0) pro "kg"]]</f>
        <v>0</v>
      </c>
      <c r="EV52" s="140">
        <f ca="1">IF(OFFSET(BD52,1,0,1,1)&lt;&gt;0,RZ[[#This Row],[Koeficient odhadu CR '[-'] (P1)]]*$BM52*SUMIFS(RZ[Úroveň 7 s koef. (P3)],RZ[0],AX52,RZ[Úroveň 2 (P0)],AY52,RZ[Úroveň 3 (P0)],AZ52,RZ[Úroveň 4 (P0)],BA52,RZ[Úroveň 5 (P0)],BB52,RZ[Úroveň 6 (P0)],BC52),RZ[[#This Row],[Koeficient odhadu CR '[-'] (P1)]]*$BM52*$IQ52)</f>
        <v>0</v>
      </c>
      <c r="EW52" s="140">
        <f ca="1">IF(OFFSET(BD52,1,0,1,1)&lt;&gt;0,$BM52*SUMIFS(RZ[Úroveň 7 bez koef. (P3)],RZ[0],AX52,RZ[Úroveň 2 (P0)],AY52,RZ[Úroveň 3 (P0)],AZ52,RZ[Úroveň 4 (P0)],BA52,RZ[Úroveň 5 (P0)],BB52,RZ[Úroveň 6 (P0)],BC52),$BM52*$IQ52)</f>
        <v>0</v>
      </c>
      <c r="EX52" s="135">
        <f ca="1">RZ[[#This Row],[Úroveň 7 s koef. (P3a)]]*RZ[[#This Row],[Počet MJCR (P0) pro "kg"]]</f>
        <v>0</v>
      </c>
      <c r="EY52" s="135">
        <f ca="1">RZ[Úroveň 7 bez koef. (P3a)]*RZ[[#This Row],[Počet MJCR (P0) pro "kg"]]</f>
        <v>0</v>
      </c>
      <c r="EZ52" s="135">
        <f ca="1">IF(OFFSET(BE52,1,0,1,1)&lt;&gt;0,RZ[[#This Row],[Koeficient odhadu CR '[-'] (P1)]]*$BN52*SUMIFS(RZ[Úroveň 8 s koef. (P3)],RZ[0],AX52,RZ[Úroveň 2 (P0)],AY52,RZ[Úroveň 3 (P0)],AZ52,RZ[Úroveň 4 (P0)],BA52,RZ[Úroveň 5 (P0)],BB52,RZ[Úroveň 6 (P0)],BC52,RZ[Úroveň 7 (P0)],BD52),RZ[[#This Row],[Koeficient odhadu CR '[-'] (P1)]]*$BN52*$IQ52)</f>
        <v>0</v>
      </c>
      <c r="FA52" s="135">
        <f ca="1">IF(OFFSET(BE52,1,0,1,1)&lt;&gt;0,$BN52*SUMIFS(RZ[Úroveň 8 bez koef. (P3)],RZ[0],AX52,RZ[Úroveň 2 (P0)],AY52,RZ[Úroveň 3 (P0)],AZ52,RZ[Úroveň 4 (P0)],BA52,RZ[Úroveň 5 (P0)],BB52,RZ[Úroveň 6 (P0)],BC52,RZ[Úroveň 7 (P0)],BD52),$BN52*$IQ52)</f>
        <v>0</v>
      </c>
      <c r="FB52" s="140">
        <f ca="1">RZ[[#This Row],[Úroveň 8 s koef. (P3a)]]*RZ[[#This Row],[Počet MJCR (P0) pro "kg"]]</f>
        <v>0</v>
      </c>
      <c r="FC52" s="140">
        <f ca="1">RZ[Úroveň 8 bez koef. (P3a)]*RZ[[#This Row],[Počet MJCR (P0) pro "kg"]]</f>
        <v>0</v>
      </c>
      <c r="FD52" s="140">
        <f ca="1">IF(OFFSET(BF52,1,0,1,1)&lt;&gt;0,RZ[[#This Row],[Koeficient odhadu CR '[-'] (P1)]]*$BO52*SUMIFS(RZ[Úroveň 9 s koef. (P3)],RZ[0],AX52,RZ[Úroveň 2 (P0)],AY52,RZ[Úroveň 3 (P0)],AZ52,RZ[Úroveň 4 (P0)],BA52,RZ[Úroveň 5 (P0)],BB52,RZ[Úroveň 6 (P0)],BC52,RZ[Úroveň 7 (P0)],BD52,RZ[Úroveň 8 (P0)],BE52),RZ[[#This Row],[Koeficient odhadu CR '[-'] (P1)]]*$BO52*$IQ52)</f>
        <v>0</v>
      </c>
      <c r="FE52" s="140">
        <f ca="1">IF(OFFSET(BF52,1,0,1,1)&lt;&gt;0,$BO52*SUMIFS(RZ[Úroveň 9 bez koef. (P3)],RZ[0],AX52,RZ[Úroveň 2 (P0)],AY52,RZ[Úroveň 3 (P0)],AZ52,RZ[Úroveň 4 (P0)],BA52,RZ[Úroveň 5 (P0)],BB52,RZ[Úroveň 6 (P0)],BC52,RZ[Úroveň 7 (P0)],BD52,RZ[Úroveň 8 (P0)],BE52),$BO52*$IQ52)</f>
        <v>0</v>
      </c>
      <c r="FF52" s="135">
        <f ca="1">RZ[[#This Row],[Úroveň 9 s koef. (P3a)]]*RZ[[#This Row],[Počet MJCR (P0) pro "kg"]]</f>
        <v>0</v>
      </c>
      <c r="FG52" s="135">
        <f ca="1">RZ[Úroveň 9 bez koef. (P3a)]*RZ[[#This Row],[Počet MJCR (P0) pro "kg"]]</f>
        <v>0</v>
      </c>
      <c r="FH52" s="135">
        <f ca="1">IF(OFFSET(BG52,1,0,1,1)&lt;&gt;0,RZ[[#This Row],[Koeficient odhadu CR '[-'] (P1)]]*$BP52*SUMIFS(RZ[Úroveň 10 s koef. (P3)],RZ[0],AX52,RZ[Úroveň 2 (P0)],AY52,RZ[Úroveň 3 (P0)],AZ52,RZ[Úroveň 4 (P0)],BA52,RZ[Úroveň 5 (P0)],BB52,RZ[Úroveň 6 (P0)],BC52,RZ[Úroveň 7 (P0)],BD52,RZ[Úroveň 8 (P0)],BE52,RZ[Úroveň 9 (P0)],BF52),RZ[[#This Row],[Koeficient odhadu CR '[-'] (P1)]]*$BP52*$IQ52)</f>
        <v>0</v>
      </c>
      <c r="FI52" s="135">
        <f ca="1">IF(OFFSET(BG52,1,0,1,1)&lt;&gt;0,$BP52*SUMIFS(RZ[Úroveň 10 bez koef. (P3)],RZ[0],AX52,RZ[Úroveň 2 (P0)],AY52,RZ[Úroveň 3 (P0)],AZ52,RZ[Úroveň 4 (P0)],BA52,RZ[Úroveň 5 (P0)],BB52,RZ[Úroveň 6 (P0)],BC52,RZ[Úroveň 7 (P0)],BD52,RZ[Úroveň 8 (P0)],BE52,RZ[Úroveň 9 (P0)],BF52),$BP52*$IQ52)</f>
        <v>0</v>
      </c>
      <c r="FJ52" s="140">
        <f ca="1">RZ[[#This Row],[Úroveň 10 s koef. (P3a)]]*RZ[[#This Row],[Počet MJCR (P0) pro "kg"]]</f>
        <v>0</v>
      </c>
      <c r="FK52" s="140">
        <f ca="1">RZ[Úroveň 10 bez koef. (P3a)]*RZ[[#This Row],[Počet MJCR (P0) pro "kg"]]</f>
        <v>0</v>
      </c>
      <c r="FL52" s="140">
        <f ca="1">RZ[[#This Row],[Koeficient odhadu CR '[-'] (P1)]]*$BQ52*IQ52</f>
        <v>0</v>
      </c>
      <c r="FM52" s="236">
        <f t="shared" ca="1" si="189"/>
        <v>0</v>
      </c>
      <c r="FN52" s="194">
        <f t="shared" ca="1" si="190"/>
        <v>1000</v>
      </c>
      <c r="FO52" s="238">
        <f t="shared" ca="1" si="191"/>
        <v>1000</v>
      </c>
      <c r="FP52" s="135">
        <f t="shared" ca="1" si="192"/>
        <v>0</v>
      </c>
      <c r="FQ52" s="135">
        <f t="shared" ca="1" si="193"/>
        <v>0</v>
      </c>
      <c r="FR52" s="135">
        <f t="shared" ca="1" si="194"/>
        <v>1</v>
      </c>
      <c r="FS52" s="135">
        <f t="shared" ca="1" si="195"/>
        <v>0</v>
      </c>
      <c r="FT52" s="135">
        <f t="shared" ca="1" si="196"/>
        <v>0</v>
      </c>
      <c r="FU52" s="135">
        <f t="shared" ca="1" si="197"/>
        <v>0</v>
      </c>
      <c r="FV52" s="135">
        <f t="shared" ca="1" si="198"/>
        <v>0</v>
      </c>
      <c r="FW52" s="135">
        <f t="shared" ca="1" si="199"/>
        <v>0</v>
      </c>
      <c r="FX52" s="135">
        <f t="shared" ca="1" si="200"/>
        <v>0</v>
      </c>
      <c r="FY52" s="135">
        <f t="shared" ca="1" si="201"/>
        <v>0</v>
      </c>
      <c r="FZ52" s="140">
        <f ca="1">SUMIFS(RZ[Úroveň 1 (P6)],RZ[0],AX52)</f>
        <v>1</v>
      </c>
      <c r="GA52" s="140">
        <f ca="1">SUMIFS(RZ[Úroveň 2 (P6)],RZ[0],AX52,RZ[Úroveň 2 (P0)],AY52)</f>
        <v>1</v>
      </c>
      <c r="GB52" s="140">
        <f ca="1">SUMIFS(RZ[Úroveň 3 (P6)],RZ[0],AX52,RZ[Úroveň 2 (P0)],AY52,RZ[Úroveň 3 (P0)],AZ52)</f>
        <v>1</v>
      </c>
      <c r="GC52" s="140">
        <f ca="1">SUMIFS(RZ[Úroveň 4 (P6)],RZ[0],AX52,RZ[Úroveň 2 (P0)],AY52,RZ[Úroveň 3 (P0)],AZ52,RZ[Úroveň 4 (P0)],BA52)</f>
        <v>0</v>
      </c>
      <c r="GD52" s="140">
        <f ca="1">SUMIFS(RZ[Úroveň 5 (P6)],RZ[0],AX52,RZ[Úroveň 2 (P0)],AY52,RZ[Úroveň 3 (P0)],AZ52,RZ[Úroveň 4 (P0)],BA52,RZ[Úroveň 5 (P0)],BB52)</f>
        <v>0</v>
      </c>
      <c r="GE52" s="140">
        <f ca="1">SUMIFS(RZ[Úroveň 6 (P6)],RZ[0],AX52,RZ[Úroveň 2 (P0)],AY52,RZ[Úroveň 3 (P0)],AZ52,RZ[Úroveň 4 (P0)],BA52,RZ[Úroveň 5 (P0)],BB52,RZ[Úroveň 6 (P0)],BC52)</f>
        <v>0</v>
      </c>
      <c r="GF52" s="140">
        <f ca="1">SUMIFS(RZ[Úroveň 7 (P6)],RZ[0],AX52,RZ[Úroveň 2 (P0)],AY52,RZ[Úroveň 3 (P0)],AZ52,RZ[Úroveň 4 (P0)],BA52,RZ[Úroveň 5 (P0)],BB52,RZ[Úroveň 6 (P0)],BC52,RZ[Úroveň 7 (P0)],BD52)</f>
        <v>0</v>
      </c>
      <c r="GG52" s="140">
        <f ca="1">SUMIFS(RZ[Úroveň 8 (P6)],RZ[0],AX52,RZ[Úroveň 2 (P0)],AY52,RZ[Úroveň 3 (P0)],AZ52,RZ[Úroveň 4 (P0)],BA52,RZ[Úroveň 5 (P0)],BB52,RZ[Úroveň 6 (P0)],BC52,RZ[Úroveň 7 (P0)],BD52,RZ[Úroveň 8 (P0)],BE52)</f>
        <v>0</v>
      </c>
      <c r="GH52" s="140">
        <f ca="1">SUMIFS(RZ[Úroveň 9 (P6)],RZ[0],AX52,RZ[Úroveň 2 (P0)],AY52,RZ[Úroveň 3 (P0)],AZ52,RZ[Úroveň 4 (P0)],BA52,RZ[Úroveň 5 (P0)],BB52,RZ[Úroveň 6 (P0)],BC52,RZ[Úroveň 7 (P0)],BD52,RZ[Úroveň 8 (P0)],BE52,RZ[Úroveň 9 (P0)],BF52)</f>
        <v>0</v>
      </c>
      <c r="GI52" s="140">
        <f ca="1">SUMIFS(RZ[Úroveň 10 (P6)],RZ[0],AX52,RZ[Úroveň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GJ52" s="918">
        <f t="shared" ca="1" si="202"/>
        <v>1</v>
      </c>
      <c r="GK52" s="808">
        <f t="shared" si="203"/>
        <v>0</v>
      </c>
      <c r="GL52" s="808">
        <f t="shared" si="204"/>
        <v>0</v>
      </c>
      <c r="GM52" s="808">
        <f t="shared" si="205"/>
        <v>1</v>
      </c>
      <c r="GN52" s="808">
        <f t="shared" si="206"/>
        <v>0</v>
      </c>
      <c r="GO52" s="808">
        <f t="shared" si="207"/>
        <v>0</v>
      </c>
      <c r="GP52" s="808">
        <f t="shared" si="208"/>
        <v>0</v>
      </c>
      <c r="GQ52" s="808">
        <f t="shared" si="209"/>
        <v>0</v>
      </c>
      <c r="GR52" s="808">
        <f t="shared" si="210"/>
        <v>0</v>
      </c>
      <c r="GS52" s="808">
        <f t="shared" si="211"/>
        <v>0</v>
      </c>
      <c r="GT52" s="808">
        <f t="shared" si="212"/>
        <v>0</v>
      </c>
      <c r="GU52" s="809">
        <f ca="1">SUMIFS(RZ[Sloupec1],RZ[0],AX52)</f>
        <v>1</v>
      </c>
      <c r="GV52" s="809">
        <f ca="1">SUMIFS(RZ[Sloupec2],RZ[0],AX52,RZ[Úroveň 2 (P0)],AY52)</f>
        <v>1</v>
      </c>
      <c r="GW52" s="809">
        <f ca="1">SUMIFS(RZ[Sloupec3],RZ[0],AX52,RZ[Úroveň 2 (P0)],AY52,RZ[Úroveň 3 (P0)],AZ52)</f>
        <v>1</v>
      </c>
      <c r="GX52" s="809">
        <f ca="1">SUMIFS(RZ[Sloupec4],RZ[0],AX52,RZ[Úroveň 2 (P0)],AY52,RZ[Úroveň 3 (P0)],AZ52,RZ[Úroveň 4 (P0)],BA52)</f>
        <v>0</v>
      </c>
      <c r="GY52" s="809">
        <f ca="1">SUMIFS(RZ[Sloupec5],RZ[0],AX52,RZ[Úroveň 2 (P0)],AY52,RZ[Úroveň 3 (P0)],AZ52,RZ[Úroveň 4 (P0)],BA52,RZ[Úroveň 5 (P0)],BB52)</f>
        <v>0</v>
      </c>
      <c r="GZ52" s="809">
        <f ca="1">SUMIFS(RZ[Sloupec6],RZ[0],AX52,RZ[Úroveň 2 (P0)],AY52,RZ[Úroveň 3 (P0)],AZ52,RZ[Úroveň 4 (P0)],BA52,RZ[Úroveň 5 (P0)],BB52,RZ[Úroveň 6 (P0)],BC52)</f>
        <v>0</v>
      </c>
      <c r="HA52" s="809">
        <f ca="1">SUMIFS(RZ[Sloupec62],RZ[0],AX52,RZ[Úroveň 2 (P0)],AY52,RZ[Úroveň 3 (P0)],AZ52,RZ[Úroveň 4 (P0)],BA52,RZ[Úroveň 5 (P0)],BB52,RZ[Úroveň 6 (P0)],BC52,RZ[Úroveň 7 (P0)],BD52)</f>
        <v>0</v>
      </c>
      <c r="HB52" s="809">
        <f ca="1">SUMIFS(RZ[Sloupec63],RZ[0],AX52,RZ[Úroveň 2 (P0)],AY52,RZ[Úroveň 3 (P0)],AZ52,RZ[Úroveň 4 (P0)],BA52,RZ[Úroveň 5 (P0)],BB52,RZ[Úroveň 6 (P0)],BC52,RZ[Úroveň 7 (P0)],BD52,RZ[Úroveň 8 (P0)],BE52)</f>
        <v>0</v>
      </c>
      <c r="HC52" s="809">
        <f ca="1">SUMIFS(RZ[Sloupec64],RZ[0],AX52,RZ[Úroveň 2 (P0)],AY52,RZ[Úroveň 3 (P0)],AZ52,RZ[Úroveň 4 (P0)],BA52,RZ[Úroveň 5 (P0)],BB52,RZ[Úroveň 6 (P0)],BC52,RZ[Úroveň 7 (P0)],BD52,RZ[Úroveň 8 (P0)],BE52,RZ[Úroveň 9 (P0)],BF52)</f>
        <v>0</v>
      </c>
      <c r="HD52" s="809">
        <f ca="1">SUMIFS(RZ[Sloupec65],RZ[0],AX52,RZ[Úroveň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HE52" s="919">
        <f t="shared" ca="1" si="213"/>
        <v>1</v>
      </c>
      <c r="HF52" s="920" t="str">
        <f t="shared" si="214"/>
        <v/>
      </c>
      <c r="HG52" s="94" t="str">
        <f t="shared" si="215"/>
        <v/>
      </c>
      <c r="HH52" s="95" t="str">
        <f t="shared" si="216"/>
        <v/>
      </c>
      <c r="HI52" s="95" t="str">
        <f t="shared" si="217"/>
        <v>Součásti potrubí</v>
      </c>
      <c r="HJ52" s="96" t="str">
        <f t="shared" si="218"/>
        <v/>
      </c>
      <c r="HK52" s="96" t="str">
        <f t="shared" si="219"/>
        <v/>
      </c>
      <c r="HL52" s="96" t="str">
        <f t="shared" si="220"/>
        <v/>
      </c>
      <c r="HM52" s="96" t="str">
        <f t="shared" si="221"/>
        <v/>
      </c>
      <c r="HN52" s="96" t="str">
        <f t="shared" si="222"/>
        <v/>
      </c>
      <c r="HO52" s="96" t="str">
        <f t="shared" si="223"/>
        <v/>
      </c>
      <c r="HP52" s="96" t="str">
        <f t="shared" si="224"/>
        <v/>
      </c>
      <c r="HQ52" s="145" t="str">
        <f t="shared" si="225"/>
        <v>SUOS</v>
      </c>
      <c r="HR52" s="921" t="str">
        <f t="shared" si="226"/>
        <v/>
      </c>
      <c r="HS52" s="173">
        <f t="shared" si="227"/>
        <v>0</v>
      </c>
      <c r="HT52" s="100">
        <f t="shared" si="228"/>
        <v>0</v>
      </c>
      <c r="HU52" s="100">
        <f t="shared" si="229"/>
        <v>0</v>
      </c>
      <c r="HV52" s="908">
        <f t="shared" si="230"/>
        <v>0</v>
      </c>
      <c r="HW52" s="922">
        <f t="shared" si="231"/>
        <v>0</v>
      </c>
      <c r="HX52" s="224">
        <f t="shared" si="232"/>
        <v>0</v>
      </c>
      <c r="HY52" s="263" t="str">
        <f t="shared" si="233"/>
        <v>S</v>
      </c>
      <c r="HZ52" s="263" t="str">
        <f t="shared" si="234"/>
        <v>N</v>
      </c>
      <c r="IA52" s="150">
        <f t="shared" si="235"/>
        <v>1</v>
      </c>
      <c r="IB52" s="319">
        <f t="shared" si="236"/>
        <v>1000</v>
      </c>
      <c r="IC52" s="923">
        <f t="shared" si="237"/>
        <v>1</v>
      </c>
      <c r="ID52" s="924" t="str">
        <f t="shared" ca="1" si="238"/>
        <v>OK</v>
      </c>
      <c r="IE52" s="201" t="str">
        <f t="shared" si="239"/>
        <v>ks</v>
      </c>
      <c r="IF52" s="145">
        <f t="shared" si="240"/>
        <v>1</v>
      </c>
      <c r="IG52" s="216">
        <f t="shared" si="241"/>
        <v>2.73</v>
      </c>
      <c r="IH52" s="217">
        <f t="shared" si="242"/>
        <v>1</v>
      </c>
      <c r="II52" s="224" t="str">
        <f ca="1">IF(RZ[[#This Row],[Rozhodný sloupec indikativní ceny]]=1,"kg",IF($IW52=$JL$15,IF(JX52=0,JO52,JX52),IF($IW52=$KE$15,IF(KQ52=0,KH52,KQ52),IF($IW52=$KX$15,IF(LJ52=0,LA52,LJ52),IF($IW52=$LQ$15,IF(MC52=0,LT52,MC52),IF($IW52=$MJ$15,IF(NQ52=0,NH52,NQ52),0))))))</f>
        <v>ks</v>
      </c>
      <c r="IJ52" s="224">
        <f ca="1">IF((BH52+OFFSET(BH52,1,1,1,1))=2,RZ[[#This Row],[Počet MJHR (P0)]],IF((BI52+OFFSET(BI52,1,1,1,1))=2,RZ[[#This Row],[Počet MJHR (P0)]],IF((BJ52+OFFSET(BJ52,1,1,1,1))=2,RZ[[#This Row],[Počet MJHR (P0)]],IF((BK52+OFFSET(BK52,1,1,1,1))=2,RZ[[#This Row],[Počet MJHR (P0)]],IF((BL52+OFFSET(BL52,1,1,1,1))=2,RZ[[#This Row],[Počet MJHR (P0)]],IF((BM52+OFFSET(BM52,1,1,1,1))=2,RZ[[#This Row],[Počet MJHR (P0)]],IF((BN52+OFFSET(BN52,1,1,1,1))=2,RZ[[#This Row],[Počet MJHR (P0)]],IF((BO52+OFFSET(BO52,1,1,1,1))=2,RZ[[#This Row],[Počet MJHR (P0)]],IF((BP52+OFFSET(BP52,1,1,1,1))=2,RZ[[#This Row],[Počet MJHR (P0)]],IF((BQ52+OFFSET(BQ52,1,1,1,1))=2,RZ[[#This Row],[Počet MJHR (P0)]],IF(RZ[[#This Row],[Měrná jednotka CR (MJCR) (P0)]]=RZ[[#This Row],[Měrná jednotka HR '[MJHR'] (P0)]],RZ[[#This Row],[Počet MJHR (P0)]],IF($IW52=$JL$15,JY52,IF($IW52=$KE$15,KR52,IF($IW52=$KX$15,LK52,IF($IW52=$LQ$15,MD52,IF($IW52=$MJ$15,NR52,0))))))))))))))))</f>
        <v>1</v>
      </c>
      <c r="IK5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2" s="145">
        <f ca="1">IF(AND(RZ[[#This Row],[Jednotková cena bez DPH '[cena/MJCR'] (P0)]]=0,RZ[[#This Row],[Indikativní jednotková cena '[CZK/kg'] (P1)]]&lt;&gt;0),1,0)</f>
        <v>0</v>
      </c>
      <c r="IM52" s="217">
        <f ca="1">VLOOKUP(RZ[[#This Row],[Kód položek]],INDIKAT_CENA,2,FALSE)</f>
        <v>0</v>
      </c>
      <c r="IN52" s="222">
        <f ca="1">IF(RZ[[#This Row],[Rozhodný sloupec indikativní ceny]]=1,RZ[[#This Row],[Indikativní jednotková cena '[CZK/kg'] (P1)]],RZ[[#This Row],[Jednotková cena bez DPH '[cena/MJCR'] (P0)]])</f>
        <v>1000</v>
      </c>
      <c r="IO52" s="222">
        <f t="shared" si="243"/>
        <v>1</v>
      </c>
      <c r="IP52" s="224">
        <f ca="1">IF(RZ[[#This Row],[Rozhodný sloupec indikativní ceny]]=1,1,IF($IW52=$JL$15,KA52,IF($IW52=$KE$15,KT52,IF($IW52=$KX$15,LM52,IF($IW52=$LQ$15,MF52,IF($IW52=$MJ$15,NT52,0))))))</f>
        <v>1</v>
      </c>
      <c r="IQ52" s="225">
        <f ca="1">IF(RZ[[#This Row],[Jednotková cena bez DPH '[cena/MJCR'] (P1)]]="",0,IF(IP52=0,0,(RZ[[#This Row],[Jednotková cena bez DPH '[cena/MJCR'] (P1)]]*VLOOKUP(IP52,$BR$7:$BT$10,3))))</f>
        <v>1000</v>
      </c>
      <c r="IR52" s="737"/>
      <c r="IS52" s="627">
        <f>IF(HY52=0,"",VLOOKUP(RZ[[#This Row],[Stav Projekce (P0)]],Vstupy!$E$11:'Vstupy'!$E$11:$H$17,4,FALSE))</f>
        <v>100</v>
      </c>
      <c r="IT52" s="925" t="str">
        <f>IF(RZ[[#This Row],[Stav Projekce (P0)]]=0,"",RZ[[#This Row],[Stav Projekce (P0)]])</f>
        <v>S</v>
      </c>
      <c r="IU52" s="925" t="str">
        <f>IF(RZ[[#This Row],[Stav Nákup (P0)]]=0,"",RZ[[#This Row],[Stav Nákup (P0)]])</f>
        <v>N</v>
      </c>
      <c r="IV52" s="926" t="str">
        <f t="shared" si="244"/>
        <v/>
      </c>
      <c r="IW52" s="641">
        <v>1</v>
      </c>
      <c r="IX52" s="630"/>
      <c r="IY52" s="264"/>
      <c r="IZ52" s="648"/>
      <c r="JA52" s="100"/>
      <c r="JB52" s="100" t="s">
        <v>826</v>
      </c>
      <c r="JC52" s="100"/>
      <c r="JD52" s="100"/>
      <c r="JE52" s="100"/>
      <c r="JF52" s="100"/>
      <c r="JG52" s="100"/>
      <c r="JH52" s="100"/>
      <c r="JI52" s="100"/>
      <c r="JJ52" s="145" t="s">
        <v>798</v>
      </c>
      <c r="JK52" s="529"/>
      <c r="JL52" s="286"/>
      <c r="JM52" s="100"/>
      <c r="JN52" s="100"/>
      <c r="JO52" s="145" t="s">
        <v>35</v>
      </c>
      <c r="JP52" s="117">
        <v>1</v>
      </c>
      <c r="JQ52" s="117">
        <v>2.73</v>
      </c>
      <c r="JR52" s="148">
        <v>1</v>
      </c>
      <c r="JS52" s="145" t="s">
        <v>602</v>
      </c>
      <c r="JT52" s="631"/>
      <c r="JU52" s="148"/>
      <c r="JV52" s="154"/>
      <c r="JW52" s="145"/>
      <c r="JX52" s="210" t="s">
        <v>35</v>
      </c>
      <c r="JY52" s="117"/>
      <c r="JZ52" s="662">
        <v>1000</v>
      </c>
      <c r="KA52" s="145">
        <v>1</v>
      </c>
      <c r="KB52" s="148">
        <v>1</v>
      </c>
      <c r="KC52" s="148" t="s">
        <v>611</v>
      </c>
      <c r="KD52" s="644"/>
      <c r="KE52" s="286"/>
      <c r="KF52" s="100"/>
      <c r="KG52" s="100"/>
      <c r="KH52" s="210"/>
      <c r="KI52" s="117"/>
      <c r="KJ52" s="117"/>
      <c r="KK52" s="148"/>
      <c r="KL52" s="145"/>
      <c r="KM52" s="632"/>
      <c r="KN52" s="148"/>
      <c r="KO52" s="154"/>
      <c r="KP52" s="154"/>
      <c r="KQ52" s="210"/>
      <c r="KR52" s="117"/>
      <c r="KS52" s="211"/>
      <c r="KT52" s="145"/>
      <c r="KU52" s="148"/>
      <c r="KV52" s="148"/>
      <c r="KW52" s="265"/>
      <c r="KX52" s="286"/>
      <c r="KY52" s="100"/>
      <c r="KZ52" s="100"/>
      <c r="LA52" s="210"/>
      <c r="LB52" s="117"/>
      <c r="LC52" s="117"/>
      <c r="LD52" s="148"/>
      <c r="LE52" s="145"/>
      <c r="LF52" s="632"/>
      <c r="LG52" s="148"/>
      <c r="LH52" s="154"/>
      <c r="LI52" s="154"/>
      <c r="LJ52" s="154"/>
      <c r="LK52" s="117"/>
      <c r="LL52" s="211"/>
      <c r="LM52" s="210"/>
      <c r="LN52" s="148"/>
      <c r="LO52" s="148"/>
      <c r="LP52" s="265"/>
      <c r="LQ52" s="286"/>
      <c r="LR52" s="100"/>
      <c r="LS52" s="100"/>
      <c r="LT52" s="210"/>
      <c r="LU52" s="117"/>
      <c r="LV52" s="117"/>
      <c r="LW52" s="148"/>
      <c r="LX52" s="145"/>
      <c r="LY52" s="632"/>
      <c r="LZ52" s="148"/>
      <c r="MA52" s="154"/>
      <c r="MB52" s="154"/>
      <c r="MC52" s="145"/>
      <c r="MD52" s="117"/>
      <c r="ME52" s="211"/>
      <c r="MF52" s="210"/>
      <c r="MG52" s="148"/>
      <c r="MH52" s="148"/>
      <c r="MI52" s="265"/>
      <c r="MJ52" s="647"/>
      <c r="MK52" s="264"/>
      <c r="ML52" s="153"/>
      <c r="MM52" s="153"/>
      <c r="MN52" s="153"/>
      <c r="MO52" s="153"/>
      <c r="MP52" s="153"/>
      <c r="MQ52" s="153"/>
      <c r="MR52" s="153"/>
      <c r="MS52" s="99"/>
      <c r="MT52" s="99"/>
      <c r="MU52" s="99"/>
      <c r="MV52" s="99"/>
      <c r="MW52" s="99"/>
      <c r="MX52" s="99"/>
      <c r="MY52" s="153"/>
      <c r="MZ52" s="153"/>
      <c r="NA52" s="153"/>
      <c r="NB52" s="153"/>
      <c r="NC52" s="153"/>
      <c r="ND52" s="153"/>
      <c r="NE52" s="148"/>
      <c r="NF52" s="153"/>
      <c r="NG52" s="153"/>
      <c r="NH52" s="330" t="str">
        <f t="shared" si="245"/>
        <v>ks</v>
      </c>
      <c r="NI52" s="797">
        <f>RZ[[#This Row],[Počet ks (K)]]</f>
        <v>0</v>
      </c>
      <c r="NJ52" s="798">
        <f>RZ[[#This Row],[Hmotnost '[kg/ks'] (K)]]</f>
        <v>0</v>
      </c>
      <c r="NK52" s="148"/>
      <c r="NL52" s="145"/>
      <c r="NM52" s="632"/>
      <c r="NN52" s="148"/>
      <c r="NO52" s="154"/>
      <c r="NP52" s="153"/>
      <c r="NQ52" s="153"/>
      <c r="NR52" s="210"/>
      <c r="NS52" s="148"/>
      <c r="NT52" s="210"/>
      <c r="NU52" s="148"/>
      <c r="NV52" s="148"/>
      <c r="NW52" s="175"/>
    </row>
    <row r="53" spans="2:387" ht="15.95" customHeight="1" x14ac:dyDescent="0.35">
      <c r="B53" s="118" t="str">
        <f t="shared" si="129"/>
        <v/>
      </c>
      <c r="C5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3" s="262" t="str">
        <f t="shared" si="130"/>
        <v xml:space="preserve">    Normalizované</v>
      </c>
      <c r="E53" s="120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Row],[Kód položek (P2)]]))))))))))</f>
        <v>STNO</v>
      </c>
      <c r="F53" s="791" t="str">
        <f t="shared" si="131"/>
        <v>N/A</v>
      </c>
      <c r="G53" s="792" t="str">
        <f t="shared" si="132"/>
        <v/>
      </c>
      <c r="H53" s="262" t="str">
        <f t="shared" si="133"/>
        <v/>
      </c>
      <c r="I53" s="123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HR '[MJHR'] (P0)]]))))))))))</f>
        <v>ks</v>
      </c>
      <c r="J53" s="123">
        <f t="shared" si="134"/>
        <v>1</v>
      </c>
      <c r="K53" s="793">
        <f>RZ[[#This Row],[Koeficient odhadu HR '[-'] (P1)]]</f>
        <v>1</v>
      </c>
      <c r="L53" s="124">
        <f ca="1">RZ[[#This Row],[Jednotková hmotnost s koef. '[kg/MJHR'] (P0)]]</f>
        <v>30.872</v>
      </c>
      <c r="M53" s="794">
        <f t="shared" ca="1" si="135"/>
        <v>0</v>
      </c>
      <c r="N53" s="125">
        <f t="shared" ca="1" si="136"/>
        <v>30.872</v>
      </c>
      <c r="O53" s="125">
        <f t="shared" ca="1" si="137"/>
        <v>0</v>
      </c>
      <c r="P53" s="126" t="str">
        <f t="shared" si="138"/>
        <v/>
      </c>
      <c r="Q53" s="795">
        <f ca="1">RZ[[#This Row],[Počet MJHR v rozpadu (P0)]]</f>
        <v>1</v>
      </c>
      <c r="R53" s="439" t="str">
        <f t="shared" si="139"/>
        <v/>
      </c>
      <c r="S53" s="129" t="str">
        <f t="shared" si="140"/>
        <v/>
      </c>
      <c r="T53" s="126" t="str">
        <f t="shared" si="141"/>
        <v/>
      </c>
      <c r="U53" s="126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CR (MJCR) (P0)]]))))))))))</f>
        <v>kg</v>
      </c>
      <c r="V53" s="575">
        <f t="shared" ca="1" si="142"/>
        <v>30.872</v>
      </c>
      <c r="W53" s="322">
        <f>RZ[[#This Row],[Koeficient odhadu CR '[-'] (P1)]]</f>
        <v>1</v>
      </c>
      <c r="X53" s="440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Row],[Jednotková cena bez DPH '[cena/MJCR'] (P1)]]*RZ[[#This Row],[Koeficient odhadu CR '[-']]]))))))))))</f>
        <v>110</v>
      </c>
      <c r="Y53" s="440">
        <f t="shared" ca="1" si="143"/>
        <v>0</v>
      </c>
      <c r="Z53" s="142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VLOOKUP(IP53,$BR$7:$BS$11,2,FALSE)))))))))))</f>
        <v>CZK</v>
      </c>
      <c r="AA53" s="909">
        <f t="shared" ca="1" si="144"/>
        <v>30.872</v>
      </c>
      <c r="AB53" s="910">
        <f ca="1">RZ[[#This Row],[Kumulovaný koeficient v rozpadu (P0)]]</f>
        <v>1</v>
      </c>
      <c r="AC53" s="261"/>
      <c r="AD53" s="796">
        <f ca="1">RZ[[#This Row],[Jednotková cena bez DPH '[cena/MJCR'] s koef. (P0)]]/RZ[[#This Row],[Koeficient odhadu CR '[-']]]*RZ[[#This Row],[Kumulovaný koeficient odhadu CR  '[-']]]</f>
        <v>110</v>
      </c>
      <c r="AE53" s="796">
        <f t="shared" ca="1" si="145"/>
        <v>3395.92</v>
      </c>
      <c r="AF53" s="796">
        <f ca="1">-IF(ISNUMBER(AA53),RZ[[#This Row],[Celková cena bez DPH (1)]]-RZ[[#This Row],[Jednotková cena bez DPH '[cena/MJCR'] bez koef. (P0)]]*AA53,0)</f>
        <v>0</v>
      </c>
      <c r="AG5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53" s="261"/>
      <c r="AI53" s="796">
        <f t="shared" ca="1" si="146"/>
        <v>4.0740740740740744</v>
      </c>
      <c r="AJ53" s="796">
        <f t="shared" ca="1" si="147"/>
        <v>125.77481481481482</v>
      </c>
      <c r="AK53" s="796">
        <f t="shared" ca="1" si="148"/>
        <v>0</v>
      </c>
      <c r="AL53" s="753">
        <f ca="1">RZ[[#This Row],[Kilogramová cena bez DPH '[cena/kg'] (1)]]/$AK$13</f>
        <v>4.0740740740740744</v>
      </c>
      <c r="AM53" s="261"/>
      <c r="AN53" s="796">
        <f t="shared" ca="1" si="149"/>
        <v>5.3140096618357493</v>
      </c>
      <c r="AO53" s="796">
        <f t="shared" ca="1" si="150"/>
        <v>164.05410628019325</v>
      </c>
      <c r="AP53" s="796">
        <f t="shared" ca="1" si="151"/>
        <v>0</v>
      </c>
      <c r="AQ53" s="753">
        <f ca="1">RZ[[#This Row],[Kilogramová cena bez DPH '[cena/kg'] (1)]]/$AP$13</f>
        <v>5.3140096618357493</v>
      </c>
      <c r="AR53" s="261"/>
      <c r="AS53" s="796">
        <f t="shared" ca="1" si="152"/>
        <v>3.0087527352297592</v>
      </c>
      <c r="AT53" s="796">
        <f t="shared" ca="1" si="153"/>
        <v>92.886214442013127</v>
      </c>
      <c r="AU53" s="789">
        <f t="shared" ca="1" si="154"/>
        <v>0</v>
      </c>
      <c r="AV53" s="767">
        <f ca="1">RZ[[#This Row],[Kilogramová cena bez DPH '[cena/kg'] (1)]]/$AU$13</f>
        <v>3.0087527352297592</v>
      </c>
      <c r="AW53" s="165"/>
      <c r="AX53" s="911">
        <f t="shared" ca="1" si="155"/>
        <v>2</v>
      </c>
      <c r="AY53" s="111">
        <f t="shared" ca="1" si="156"/>
        <v>1</v>
      </c>
      <c r="AZ53" s="111">
        <f t="shared" ca="1" si="157"/>
        <v>30</v>
      </c>
      <c r="BA53" s="111">
        <f t="shared" ca="1" si="158"/>
        <v>0</v>
      </c>
      <c r="BB53" s="111">
        <f t="shared" ca="1" si="159"/>
        <v>0</v>
      </c>
      <c r="BC53" s="111">
        <f t="shared" ca="1" si="160"/>
        <v>0</v>
      </c>
      <c r="BD53" s="111">
        <f t="shared" ca="1" si="161"/>
        <v>0</v>
      </c>
      <c r="BE53" s="111">
        <f t="shared" ca="1" si="162"/>
        <v>0</v>
      </c>
      <c r="BF53" s="111">
        <f t="shared" ca="1" si="163"/>
        <v>0</v>
      </c>
      <c r="BG53" s="112">
        <f t="shared" ca="1" si="164"/>
        <v>0</v>
      </c>
      <c r="BH53" s="911">
        <f t="shared" si="165"/>
        <v>0</v>
      </c>
      <c r="BI53" s="111">
        <f t="shared" si="166"/>
        <v>0</v>
      </c>
      <c r="BJ53" s="111">
        <f t="shared" si="167"/>
        <v>1</v>
      </c>
      <c r="BK53" s="111">
        <f t="shared" si="168"/>
        <v>0</v>
      </c>
      <c r="BL53" s="111">
        <f t="shared" si="169"/>
        <v>0</v>
      </c>
      <c r="BM53" s="111">
        <f t="shared" si="170"/>
        <v>0</v>
      </c>
      <c r="BN53" s="111">
        <f t="shared" si="171"/>
        <v>0</v>
      </c>
      <c r="BO53" s="111">
        <f t="shared" si="172"/>
        <v>0</v>
      </c>
      <c r="BP53" s="111">
        <f t="shared" si="173"/>
        <v>0</v>
      </c>
      <c r="BQ53" s="112">
        <f t="shared" si="174"/>
        <v>0</v>
      </c>
      <c r="BR53" s="132">
        <f ca="1">IF(OFFSET(AY53,1,0,1,1)&lt;&gt;0,RZ[[#This Row],[Koeficient odhadu HR '[-'] (P1)]]*$BH53*SUMIFS(RZ[Úroveň 2 s koef. (P2)],RZ[0],AX53),RZ[[#This Row],[Koeficient odhadu HR '[-'] (P1)]]*$BH53*$IG53)</f>
        <v>0</v>
      </c>
      <c r="BS53" s="186">
        <f ca="1">IF(OFFSET(AY53,1,0,1,1)&lt;&gt;0,$BH53*SUMIFS(RZ[Úroveň 2 bez koef. (P2)],RZ[0],AX53),$BH53*$IG53)</f>
        <v>0</v>
      </c>
      <c r="BT53" s="138">
        <f ca="1">RZ[[#This Row],[Úroveň 2 s koef. (P2a)]]*RZ[[#This Row],[Počet MJHR (P0)]]</f>
        <v>0</v>
      </c>
      <c r="BU53" s="138">
        <f ca="1">RZ[[#This Row],[Úroveň 2 bez koef. (P2a)]]*RZ[[#This Row],[Počet MJHR (P0)]]</f>
        <v>0</v>
      </c>
      <c r="BV53" s="138">
        <f ca="1">IF(OFFSET(AZ53,1,0,1,1)&lt;&gt;0,RZ[[#This Row],[Koeficient odhadu HR '[-'] (P1)]]*$BI53*SUMIFS(RZ[Úroveň 3 s koef. (P2)],RZ[0],AX53,RZ[Úroveň 2 (P0)],AY53),RZ[[#This Row],[Koeficient odhadu HR '[-'] (P1)]]*$BI53*$IG53)</f>
        <v>0</v>
      </c>
      <c r="BW53" s="138">
        <f ca="1">IF(OFFSET(AZ53,1,0,1,1)&lt;&gt;0,$BI53*SUMIFS(RZ[Úroveň 3 bez koef. (P2)],RZ[0],AX53,RZ[Úroveň 2 (P0)],AY53),$BI53*$IG53)</f>
        <v>0</v>
      </c>
      <c r="BX53" s="132">
        <f ca="1">RZ[[#This Row],[Úroveň 3 s koef. (P2a)]]*RZ[[#This Row],[Počet MJHR (P0)]]</f>
        <v>30.872</v>
      </c>
      <c r="BY53" s="132">
        <f ca="1">RZ[Úroveň 3 bez koef. (P2a)]*RZ[[#This Row],[Počet MJHR (P0)]]</f>
        <v>30.872</v>
      </c>
      <c r="BZ53" s="132">
        <f ca="1">IF(OFFSET(BA53,1,0,1,1)&lt;&gt;0,RZ[[#This Row],[Koeficient odhadu HR '[-'] (P1)]]*$BJ53*SUMIFS(RZ[Úroveň 4 s koef. (P2)],RZ[0],AX53,RZ[Úroveň 2 (P0)],AY53,RZ[Úroveň 3 (P0)],AZ53),RZ[[#This Row],[Koeficient odhadu HR '[-'] (P1)]]*$BJ53*$IG53)</f>
        <v>30.872</v>
      </c>
      <c r="CA53" s="132">
        <f ca="1">IF(OFFSET(BA53,1,0,1,1)&lt;&gt;0,$BJ53*SUMIFS(RZ[Úroveň 4 bez koef. (P2)],RZ[0],AX53,RZ[Úroveň 2 (P0)],AY53,RZ[Úroveň 3 (P0)],AZ53),$BJ53*$IG53)</f>
        <v>30.872</v>
      </c>
      <c r="CB53" s="138">
        <f ca="1">RZ[[#This Row],[Úroveň 4 s koef. (P2a)]]*RZ[[#This Row],[Počet MJHR (P0)]]</f>
        <v>0</v>
      </c>
      <c r="CC53" s="138">
        <f ca="1">RZ[Úroveň 4 bez koef. (P2a)]*RZ[[#This Row],[Počet MJHR (P0)]]</f>
        <v>0</v>
      </c>
      <c r="CD53" s="138">
        <f ca="1">IF(OFFSET(BB53,1,0,1,1)&lt;&gt;0,RZ[[#This Row],[Koeficient odhadu HR '[-'] (P1)]]*$BK53*SUMIFS(RZ[Úroveň 5 s koef. (P2)],RZ[0],AX53,RZ[Úroveň 2 (P0)],AY53,RZ[Úroveň 3 (P0)],AZ53,RZ[Úroveň 4 (P0)],BA53),RZ[[#This Row],[Koeficient odhadu HR '[-'] (P1)]]*$BK53*$IG53)</f>
        <v>0</v>
      </c>
      <c r="CE53" s="138">
        <f ca="1">IF(OFFSET(BB53,1,0,1,1)&lt;&gt;0,$BK53*SUMIFS(RZ[Úroveň 5 bez koef. (P2)],RZ[0],AX53,RZ[Úroveň 2 (P0)],AY53,RZ[Úroveň 3 (P0)],AZ53,RZ[Úroveň 4 (P0)],BA53),$BK53*$IG53)</f>
        <v>0</v>
      </c>
      <c r="CF53" s="132">
        <f ca="1">RZ[[#This Row],[Úroveň 5 s koef. (P2a)]]*RZ[[#This Row],[Počet MJHR (P0)]]</f>
        <v>0</v>
      </c>
      <c r="CG53" s="132">
        <f ca="1">RZ[Úroveň 5 bez koef. (P2a)]*RZ[[#This Row],[Počet MJHR (P0)]]</f>
        <v>0</v>
      </c>
      <c r="CH53" s="132">
        <f ca="1">IF(OFFSET(BC53,1,0,1,1)&lt;&gt;0,RZ[[#This Row],[Koeficient odhadu HR '[-'] (P1)]]*$BL53*SUMIFS(RZ[Úroveň 6 s koef. (P2)],RZ[0],AX53,RZ[Úroveň 2 (P0)],AY53,RZ[Úroveň 3 (P0)],AZ53,RZ[Úroveň 4 (P0)],BA53,RZ[Úroveň 5 (P0)],BB53),RZ[[#This Row],[Koeficient odhadu HR '[-'] (P1)]]*$BL53*$IG53)</f>
        <v>0</v>
      </c>
      <c r="CI53" s="132">
        <f ca="1">IF(OFFSET(BC53,1,0,1,1)&lt;&gt;0,$BL53*SUMIFS(RZ[Úroveň 6 bez koef. (P2)],RZ[0],AX53,RZ[Úroveň 2 (P0)],AY53,RZ[Úroveň 3 (P0)],AZ53,RZ[Úroveň 4 (P0)],BA53,RZ[Úroveň 5 (P0)],BB53),$BL53*$IG53)</f>
        <v>0</v>
      </c>
      <c r="CJ53" s="138">
        <f ca="1">RZ[[#This Row],[Úroveň 6 s koef. (P2a)]]*RZ[[#This Row],[Počet MJHR (P0)]]</f>
        <v>0</v>
      </c>
      <c r="CK53" s="138">
        <f ca="1">RZ[Úroveň 6 bez koef. (P2a)]*RZ[[#This Row],[Počet MJHR (P0)]]</f>
        <v>0</v>
      </c>
      <c r="CL53" s="138">
        <f ca="1">IF(OFFSET(BD53,1,0,1,1)&lt;&gt;0,RZ[[#This Row],[Koeficient odhadu HR '[-'] (P1)]]*$BM53*SUMIFS(RZ[Úroveň 7 s koef. (P2)],RZ[0],AX53,RZ[Úroveň 2 (P0)],AY53,RZ[Úroveň 3 (P0)],AZ53,RZ[Úroveň 4 (P0)],BA53,RZ[Úroveň 5 (P0)],BB53,RZ[Úroveň 6 (P0)],BC53),RZ[[#This Row],[Koeficient odhadu HR '[-'] (P1)]]*$BM53*$IG53)</f>
        <v>0</v>
      </c>
      <c r="CM53" s="138">
        <f ca="1">IF(OFFSET(BD53,1,0,1,1)&lt;&gt;0,$BM53*SUMIFS(RZ[Úroveň 7 bez koef. (P2)],RZ[0],AX53,RZ[Úroveň 2 (P0)],AY53,RZ[Úroveň 3 (P0)],AZ53,RZ[Úroveň 4 (P0)],BA53,RZ[Úroveň 5 (P0)],BB53,RZ[Úroveň 6 (P0)],BC53),$BM53*$IG53)</f>
        <v>0</v>
      </c>
      <c r="CN53" s="132">
        <f ca="1">RZ[[#This Row],[Úroveň 7 s koef. (P2a)]]*RZ[[#This Row],[Počet MJHR (P0)]]</f>
        <v>0</v>
      </c>
      <c r="CO53" s="132">
        <f ca="1">RZ[Úroveň 7 bez koef. (P2a)]*RZ[[#This Row],[Počet MJHR (P0)]]</f>
        <v>0</v>
      </c>
      <c r="CP53" s="132">
        <f ca="1">IF(OFFSET(BE53,1,0,1,1)&lt;&gt;0,RZ[[#This Row],[Koeficient odhadu HR '[-'] (P1)]]*$BN53*SUMIFS(RZ[Úroveň 8 s koef. (P2)],RZ[0],AX53,RZ[Úroveň 2 (P0)],AY53,RZ[Úroveň 3 (P0)],AZ53,RZ[Úroveň 4 (P0)],BA53,RZ[Úroveň 5 (P0)],BB53,RZ[Úroveň 6 (P0)],BC53,RZ[Úroveň 7 (P0)],BD53),RZ[[#This Row],[Koeficient odhadu HR '[-'] (P1)]]*$BN53*$IG53)</f>
        <v>0</v>
      </c>
      <c r="CQ53" s="132">
        <f ca="1">IF(OFFSET(BE53,1,0,1,1)&lt;&gt;0,$BN53*SUMIFS(RZ[Úroveň 8 bez koef. (P2)],RZ[0],AX53,RZ[Úroveň 2 (P0)],AY53,RZ[Úroveň 3 (P0)],AZ53,RZ[Úroveň 4 (P0)],BA53,RZ[Úroveň 5 (P0)],BB53,RZ[Úroveň 6 (P0)],BC53,RZ[Úroveň 7 (P0)],BD53),$BN53*$IG53)</f>
        <v>0</v>
      </c>
      <c r="CR53" s="138">
        <f ca="1">RZ[[#This Row],[Úroveň 8 s koef. (P2a)]]*RZ[[#This Row],[Počet MJHR (P0)]]</f>
        <v>0</v>
      </c>
      <c r="CS53" s="138">
        <f ca="1">RZ[Úroveň 8 bez koef. (P2a)]*RZ[[#This Row],[Počet MJHR (P0)]]</f>
        <v>0</v>
      </c>
      <c r="CT53" s="138">
        <f ca="1">IF(OFFSET(BF53,1,0,1,1)&lt;&gt;0,RZ[[#This Row],[Koeficient odhadu HR '[-'] (P1)]]*$BO53*SUMIFS(RZ[Úroveň 9 s koef. (P2)],RZ[0],AX53,RZ[Úroveň 2 (P0)],AY53,RZ[Úroveň 3 (P0)],AZ53,RZ[Úroveň 4 (P0)],BA53,RZ[Úroveň 5 (P0)],BB53,RZ[Úroveň 6 (P0)],BC53,RZ[Úroveň 7 (P0)],BD53,RZ[Úroveň 8 (P0)],BE53),RZ[[#This Row],[Koeficient odhadu HR '[-'] (P1)]]*$BO53*$IG53)</f>
        <v>0</v>
      </c>
      <c r="CU53" s="138">
        <f ca="1">IF(OFFSET(BF53,1,0,1,1)&lt;&gt;0,$BO53*SUMIFS(RZ[Úroveň 9 bez koef. (P2)],RZ[0],AX53,RZ[Úroveň 2 (P0)],AY53,RZ[Úroveň 3 (P0)],AZ53,RZ[Úroveň 4 (P0)],BA53,RZ[Úroveň 5 (P0)],BB53,RZ[Úroveň 6 (P0)],BC53,RZ[Úroveň 7 (P0)],BD53,RZ[Úroveň 8 (P0)],BE53),$BO53*$IG53)</f>
        <v>0</v>
      </c>
      <c r="CV53" s="132">
        <f ca="1">RZ[[#This Row],[Úroveň 9 s koef. (P2a)]]*RZ[[#This Row],[Počet MJHR (P0)]]</f>
        <v>0</v>
      </c>
      <c r="CW53" s="132">
        <f ca="1">RZ[Úroveň 9 bez koef. (P2a)]*RZ[[#This Row],[Počet MJHR (P0)]]</f>
        <v>0</v>
      </c>
      <c r="CX53" s="132">
        <f ca="1">IF(OFFSET(BG53,1,0,1,1)&lt;&gt;0,RZ[[#This Row],[Koeficient odhadu HR '[-'] (P1)]]*$BP53*SUMIFS(RZ[Úroveň 10 s koef. (P2)],RZ[0],AX53,RZ[Úroveň 2 (P0)],AY53,RZ[Úroveň 3 (P0)],AZ53,RZ[Úroveň 4 (P0)],BA53,RZ[Úroveň 5 (P0)],BB53,RZ[Úroveň 6 (P0)],BC53,RZ[Úroveň 7 (P0)],BD53,RZ[Úroveň 8 (P0)],BE53,RZ[Úroveň 9 (P0)],BF53),RZ[[#This Row],[Koeficient odhadu HR '[-'] (P1)]]*$BP53*$IG53)</f>
        <v>0</v>
      </c>
      <c r="CY53" s="132">
        <f ca="1">IF(OFFSET(BG53,1,0,1,1)&lt;&gt;0,$BP53*SUMIFS(RZ[Úroveň 10 bez koef. (P2)],RZ[0],AX53,RZ[Úroveň 2 (P0)],AY53,RZ[Úroveň 3 (P0)],AZ53,RZ[Úroveň 4 (P0)],BA53,RZ[Úroveň 5 (P0)],BB53,RZ[Úroveň 6 (P0)],BC53,RZ[Úroveň 7 (P0)],BD53,RZ[Úroveň 8 (P0)],BE53,RZ[Úroveň 9 (P0)],BF53),$BP53*$IG53)</f>
        <v>0</v>
      </c>
      <c r="CZ53" s="138">
        <f>RZ[[#This Row],[Úroveň 10 s koef. (P2a)]]*RZ[[#This Row],[Počet MJHR (P0)]]</f>
        <v>0</v>
      </c>
      <c r="DA53" s="138">
        <f>RZ[Úroveň 10 bez koef. (P2a)]*RZ[[#This Row],[Počet MJHR (P0)]]</f>
        <v>0</v>
      </c>
      <c r="DB53" s="138">
        <f>RZ[[#This Row],[Koeficient odhadu HR '[-'] (P1)]]*$BQ53*IG53</f>
        <v>0</v>
      </c>
      <c r="DC53" s="231">
        <f t="shared" si="175"/>
        <v>0</v>
      </c>
      <c r="DD53" s="241">
        <f t="shared" ca="1" si="176"/>
        <v>30.872</v>
      </c>
      <c r="DE53" s="229">
        <f t="shared" ca="1" si="177"/>
        <v>30.872</v>
      </c>
      <c r="DF53" s="912">
        <f t="shared" si="178"/>
        <v>0</v>
      </c>
      <c r="DG53" s="913">
        <f t="shared" si="179"/>
        <v>0</v>
      </c>
      <c r="DH53" s="913">
        <f t="shared" si="180"/>
        <v>1</v>
      </c>
      <c r="DI53" s="913">
        <f t="shared" si="181"/>
        <v>0</v>
      </c>
      <c r="DJ53" s="913">
        <f t="shared" si="182"/>
        <v>0</v>
      </c>
      <c r="DK53" s="913">
        <f t="shared" si="183"/>
        <v>0</v>
      </c>
      <c r="DL53" s="913">
        <f t="shared" si="184"/>
        <v>0</v>
      </c>
      <c r="DM53" s="913">
        <f t="shared" si="185"/>
        <v>0</v>
      </c>
      <c r="DN53" s="913">
        <f t="shared" si="186"/>
        <v>0</v>
      </c>
      <c r="DO53" s="913">
        <f t="shared" si="187"/>
        <v>0</v>
      </c>
      <c r="DP53" s="914">
        <f ca="1">SUMIFS(RZ[Úroveň 1 (P4)],RZ[0],AX53)</f>
        <v>1</v>
      </c>
      <c r="DQ53" s="914">
        <f ca="1">SUMIFS(RZ[Úroveň 2 (P4)],RZ[0],AX53,RZ[Úroveň 2 (P0)],AY53)</f>
        <v>1</v>
      </c>
      <c r="DR53" s="914">
        <f ca="1">SUMIFS(RZ[Úroveň 3 (P4)],RZ[0],AX53,RZ[Úroveň 2 (P0)],AY53,RZ[Úroveň 3 (P0)],AZ53)</f>
        <v>1</v>
      </c>
      <c r="DS53" s="914">
        <f ca="1">SUMIFS(RZ[Úroveň 4 (P4)],RZ[0],AX53,RZ[Úroveň 2 (P0)],AY53,RZ[Úroveň 3 (P0)],AZ53,RZ[Úroveň 4 (P0)],BA53)</f>
        <v>0</v>
      </c>
      <c r="DT53" s="914">
        <f ca="1">SUMIFS(RZ[Úroveň 5 (P4)],RZ[0],AX53,RZ[Úroveň 2 (P0)],AY53,RZ[Úroveň 3 (P0)],AZ53,RZ[Úroveň 4 (P0)],BA53,RZ[Úroveň 5 (P0)],BB53)</f>
        <v>0</v>
      </c>
      <c r="DU53" s="914">
        <f ca="1">SUMIFS(RZ[Úroveň 6 (P4)],RZ[0],AX53,RZ[Úroveň 2 (P0)],AY53,RZ[Úroveň 3 (P0)],AZ53,RZ[Úroveň 4 (P0)],BA53,RZ[Úroveň 5 (P0)],BB53,RZ[Úroveň 6 (P0)],BC53)</f>
        <v>0</v>
      </c>
      <c r="DV53" s="914">
        <f ca="1">SUMIFS(RZ[Úroveň 7 (P4)],RZ[0],AX53,RZ[Úroveň 2 (P0)],AY53,RZ[Úroveň 3 (P0)],AZ53,RZ[Úroveň 4 (P0)],BA53,RZ[Úroveň 5 (P0)],BB53,RZ[Úroveň 6 (P0)],BC53,RZ[Úroveň 7 (P0)],BD53)</f>
        <v>0</v>
      </c>
      <c r="DW53" s="914">
        <f ca="1">SUMIFS(RZ[Úroveň 8 (P4)],RZ[0],AX53,RZ[Úroveň 2 (P0)],AY53,RZ[Úroveň 3 (P0)],AZ53,RZ[Úroveň 4 (P0)],BA53,RZ[Úroveň 5 (P0)],BB53,RZ[Úroveň 6 (P0)],BC53,RZ[Úroveň 7 (P0)],BD53,RZ[Úroveň 8 (P0)],BE53)</f>
        <v>0</v>
      </c>
      <c r="DX53" s="914">
        <f ca="1">SUMIFS(RZ[Úroveň 9 (P4)],RZ[0],AX53,RZ[Úroveň 2 (P0)],AY53,RZ[Úroveň 3 (P0)],AZ53,RZ[Úroveň 4 (P0)],BA53,RZ[Úroveň 5 (P0)],BB53,RZ[Úroveň 6 (P0)],BC53,RZ[Úroveň 7 (P0)],BD53,RZ[Úroveň 8 (P0)],BE53,RZ[Úroveň 9 (P0)],BF53)</f>
        <v>0</v>
      </c>
      <c r="DY53" s="914">
        <f ca="1">SUMIFS(RZ[Úroveň 10 (P4)],RZ[0],AX53,RZ[Úroveň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DZ53" s="915">
        <f t="shared" ca="1" si="188"/>
        <v>1</v>
      </c>
      <c r="EA53" s="916">
        <f ca="1">RZ[[#This Row],[Jednotková hmotnost bez koef. '[kg/MJHR'] (P0)]]*RZ[[#This Row],[Počet MJHR v rozpadu (P0)]]</f>
        <v>30.872</v>
      </c>
      <c r="EB53" s="917">
        <f ca="1">IF(OFFSET(AY53,1,0,1,1)&lt;&gt;0,RZ[[#This Row],[Koeficient odhadu CR '[-'] (P1)]]*$BH53*SUMIFS(RZ[Úroveň 2 s koef. (P3)],RZ[0],AX53),RZ[[#This Row],[Koeficient odhadu CR '[-'] (P1)]]*$BH53*$IQ53)</f>
        <v>0</v>
      </c>
      <c r="EC53" s="191">
        <f ca="1">IF(OFFSET(AY53,1,0,1,1)&lt;&gt;0,$BH53*SUMIFS(RZ[Úroveň 2 bez koef. (P3)],RZ[0],AX53),$BH53*$IQ53)</f>
        <v>0</v>
      </c>
      <c r="ED53" s="140">
        <f ca="1">RZ[[#This Row],[Úroveň 2 s koef. (P3a)]]*RZ[[#This Row],[Počet MJCR (P0) pro "kg"]]</f>
        <v>0</v>
      </c>
      <c r="EE53" s="140">
        <f ca="1">RZ[Úroveň 2 bez koef. (P3a)]*RZ[[#This Row],[Počet MJCR (P0) pro "kg"]]</f>
        <v>0</v>
      </c>
      <c r="EF53" s="140">
        <f ca="1">IF(OFFSET(AZ53,1,0,1,1)&lt;&gt;0,RZ[[#This Row],[Koeficient odhadu CR '[-'] (P1)]]*$BI53*SUMIFS(RZ[Úroveň 3 s koef. (P3)],RZ[0],AX53,RZ[Úroveň 2 (P0)],AY53),RZ[[#This Row],[Koeficient odhadu CR '[-'] (P1)]]*$BI53*$IQ53)</f>
        <v>0</v>
      </c>
      <c r="EG53" s="140">
        <f ca="1">IF(OFFSET(AZ53,1,0,1,1)&lt;&gt;0,$BI53*SUMIFS(RZ[Úroveň 3 bez koef. (P3)],RZ[0],AX53,RZ[Úroveň 2 (P0)],AY53),$BI53*$IQ53)</f>
        <v>0</v>
      </c>
      <c r="EH53" s="135">
        <f ca="1">RZ[[#This Row],[Úroveň 3 s koef. (P3a)]]*RZ[[#This Row],[Počet MJCR (P0) pro "kg"]]</f>
        <v>3395.92</v>
      </c>
      <c r="EI53" s="135">
        <f ca="1">RZ[Úroveň 3 bez koef. (P3a)]*RZ[[#This Row],[Počet MJCR (P0) pro "kg"]]</f>
        <v>3395.92</v>
      </c>
      <c r="EJ53" s="135">
        <f ca="1">IF(OFFSET(BA53,1,0,1,1)&lt;&gt;0,RZ[[#This Row],[Koeficient odhadu CR '[-'] (P1)]]*$BJ53*SUMIFS(RZ[Úroveň 4 s koef. (P3)],RZ[0],AX53,RZ[Úroveň 2 (P0)],AY53,RZ[Úroveň 3 (P0)],AZ53),RZ[[#This Row],[Koeficient odhadu CR '[-'] (P1)]]*$BJ53*$IQ53)</f>
        <v>110</v>
      </c>
      <c r="EK53" s="135">
        <f ca="1">IF(OFFSET(BA53,1,0,1,1)&lt;&gt;0,$BJ53*SUMIFS(RZ[Úroveň 4 bez koef. (P3)],RZ[0],AX53,RZ[Úroveň 2 (P0)],AY53,RZ[Úroveň 3 (P0)],AZ53),$BJ53*$IQ53)</f>
        <v>110</v>
      </c>
      <c r="EL53" s="140">
        <f ca="1">RZ[[#This Row],[Úroveň 4 s koef. (P3a)]]*RZ[[#This Row],[Počet MJCR (P0) pro "kg"]]</f>
        <v>0</v>
      </c>
      <c r="EM53" s="140">
        <f ca="1">RZ[Úroveň 4 bez koef. (P3a)]*RZ[[#This Row],[Počet MJCR (P0) pro "kg"]]</f>
        <v>0</v>
      </c>
      <c r="EN53" s="140">
        <f ca="1">IF(OFFSET(BB53,1,0,1,1)&lt;&gt;0,RZ[[#This Row],[Koeficient odhadu CR '[-'] (P1)]]*$BK53*SUMIFS(RZ[Úroveň 5 s koef. (P3)],RZ[0],AX53,RZ[Úroveň 2 (P0)],AY53,RZ[Úroveň 3 (P0)],AZ53,RZ[Úroveň 4 (P0)],BA53),RZ[[#This Row],[Koeficient odhadu CR '[-'] (P1)]]*$BK53*$IQ53)</f>
        <v>0</v>
      </c>
      <c r="EO53" s="140">
        <f ca="1">IF(OFFSET(BB53,1,0,1,1)&lt;&gt;0,$BK53*SUMIFS(RZ[Úroveň 5 bez koef. (P3)],RZ[0],AX53,RZ[Úroveň 2 (P0)],AY53,RZ[Úroveň 3 (P0)],AZ53,RZ[Úroveň 4 (P0)],BA53),$BK53*$IQ53)</f>
        <v>0</v>
      </c>
      <c r="EP53" s="135">
        <f ca="1">RZ[[#This Row],[Úroveň 5 s koef. (P3a)]]*RZ[[#This Row],[Počet MJCR (P0) pro "kg"]]</f>
        <v>0</v>
      </c>
      <c r="EQ53" s="135">
        <f ca="1">RZ[Úroveň 5 bez koef. (P3a)]*RZ[[#This Row],[Počet MJCR (P0) pro "kg"]]</f>
        <v>0</v>
      </c>
      <c r="ER53" s="135">
        <f ca="1">IF(OFFSET(BC53,1,0,1,1)&lt;&gt;0,RZ[[#This Row],[Koeficient odhadu CR '[-'] (P1)]]*$BL53*SUMIFS(RZ[Úroveň 6 s koef. (P3)],RZ[0],AX53,RZ[Úroveň 2 (P0)],AY53,RZ[Úroveň 3 (P0)],AZ53,RZ[Úroveň 4 (P0)],BA53,RZ[Úroveň 5 (P0)],BB53),RZ[[#This Row],[Koeficient odhadu CR '[-'] (P1)]]*$BL53*$IQ53)</f>
        <v>0</v>
      </c>
      <c r="ES53" s="135">
        <f ca="1">IF(OFFSET(BC53,1,0,1,1)&lt;&gt;0,$BL53*SUMIFS(RZ[Úroveň 6 bez koef. (P3)],RZ[0],AX53,RZ[Úroveň 2 (P0)],AY53,RZ[Úroveň 3 (P0)],AZ53,RZ[Úroveň 4 (P0)],BA53,RZ[Úroveň 5 (P0)],BB53),$BL53*$IQ53)</f>
        <v>0</v>
      </c>
      <c r="ET53" s="140">
        <f ca="1">RZ[[#This Row],[Úroveň 6 s koef. (P3a)]]*RZ[[#This Row],[Počet MJCR (P0) pro "kg"]]</f>
        <v>0</v>
      </c>
      <c r="EU53" s="140">
        <f ca="1">RZ[Úroveň 6 bez koef. (P3a)]*RZ[[#This Row],[Počet MJCR (P0) pro "kg"]]</f>
        <v>0</v>
      </c>
      <c r="EV53" s="140">
        <f ca="1">IF(OFFSET(BD53,1,0,1,1)&lt;&gt;0,RZ[[#This Row],[Koeficient odhadu CR '[-'] (P1)]]*$BM53*SUMIFS(RZ[Úroveň 7 s koef. (P3)],RZ[0],AX53,RZ[Úroveň 2 (P0)],AY53,RZ[Úroveň 3 (P0)],AZ53,RZ[Úroveň 4 (P0)],BA53,RZ[Úroveň 5 (P0)],BB53,RZ[Úroveň 6 (P0)],BC53),RZ[[#This Row],[Koeficient odhadu CR '[-'] (P1)]]*$BM53*$IQ53)</f>
        <v>0</v>
      </c>
      <c r="EW53" s="140">
        <f ca="1">IF(OFFSET(BD53,1,0,1,1)&lt;&gt;0,$BM53*SUMIFS(RZ[Úroveň 7 bez koef. (P3)],RZ[0],AX53,RZ[Úroveň 2 (P0)],AY53,RZ[Úroveň 3 (P0)],AZ53,RZ[Úroveň 4 (P0)],BA53,RZ[Úroveň 5 (P0)],BB53,RZ[Úroveň 6 (P0)],BC53),$BM53*$IQ53)</f>
        <v>0</v>
      </c>
      <c r="EX53" s="135">
        <f ca="1">RZ[[#This Row],[Úroveň 7 s koef. (P3a)]]*RZ[[#This Row],[Počet MJCR (P0) pro "kg"]]</f>
        <v>0</v>
      </c>
      <c r="EY53" s="135">
        <f ca="1">RZ[Úroveň 7 bez koef. (P3a)]*RZ[[#This Row],[Počet MJCR (P0) pro "kg"]]</f>
        <v>0</v>
      </c>
      <c r="EZ53" s="135">
        <f ca="1">IF(OFFSET(BE53,1,0,1,1)&lt;&gt;0,RZ[[#This Row],[Koeficient odhadu CR '[-'] (P1)]]*$BN53*SUMIFS(RZ[Úroveň 8 s koef. (P3)],RZ[0],AX53,RZ[Úroveň 2 (P0)],AY53,RZ[Úroveň 3 (P0)],AZ53,RZ[Úroveň 4 (P0)],BA53,RZ[Úroveň 5 (P0)],BB53,RZ[Úroveň 6 (P0)],BC53,RZ[Úroveň 7 (P0)],BD53),RZ[[#This Row],[Koeficient odhadu CR '[-'] (P1)]]*$BN53*$IQ53)</f>
        <v>0</v>
      </c>
      <c r="FA53" s="135">
        <f ca="1">IF(OFFSET(BE53,1,0,1,1)&lt;&gt;0,$BN53*SUMIFS(RZ[Úroveň 8 bez koef. (P3)],RZ[0],AX53,RZ[Úroveň 2 (P0)],AY53,RZ[Úroveň 3 (P0)],AZ53,RZ[Úroveň 4 (P0)],BA53,RZ[Úroveň 5 (P0)],BB53,RZ[Úroveň 6 (P0)],BC53,RZ[Úroveň 7 (P0)],BD53),$BN53*$IQ53)</f>
        <v>0</v>
      </c>
      <c r="FB53" s="140">
        <f ca="1">RZ[[#This Row],[Úroveň 8 s koef. (P3a)]]*RZ[[#This Row],[Počet MJCR (P0) pro "kg"]]</f>
        <v>0</v>
      </c>
      <c r="FC53" s="140">
        <f ca="1">RZ[Úroveň 8 bez koef. (P3a)]*RZ[[#This Row],[Počet MJCR (P0) pro "kg"]]</f>
        <v>0</v>
      </c>
      <c r="FD53" s="140">
        <f ca="1">IF(OFFSET(BF53,1,0,1,1)&lt;&gt;0,RZ[[#This Row],[Koeficient odhadu CR '[-'] (P1)]]*$BO53*SUMIFS(RZ[Úroveň 9 s koef. (P3)],RZ[0],AX53,RZ[Úroveň 2 (P0)],AY53,RZ[Úroveň 3 (P0)],AZ53,RZ[Úroveň 4 (P0)],BA53,RZ[Úroveň 5 (P0)],BB53,RZ[Úroveň 6 (P0)],BC53,RZ[Úroveň 7 (P0)],BD53,RZ[Úroveň 8 (P0)],BE53),RZ[[#This Row],[Koeficient odhadu CR '[-'] (P1)]]*$BO53*$IQ53)</f>
        <v>0</v>
      </c>
      <c r="FE53" s="140">
        <f ca="1">IF(OFFSET(BF53,1,0,1,1)&lt;&gt;0,$BO53*SUMIFS(RZ[Úroveň 9 bez koef. (P3)],RZ[0],AX53,RZ[Úroveň 2 (P0)],AY53,RZ[Úroveň 3 (P0)],AZ53,RZ[Úroveň 4 (P0)],BA53,RZ[Úroveň 5 (P0)],BB53,RZ[Úroveň 6 (P0)],BC53,RZ[Úroveň 7 (P0)],BD53,RZ[Úroveň 8 (P0)],BE53),$BO53*$IQ53)</f>
        <v>0</v>
      </c>
      <c r="FF53" s="135">
        <f ca="1">RZ[[#This Row],[Úroveň 9 s koef. (P3a)]]*RZ[[#This Row],[Počet MJCR (P0) pro "kg"]]</f>
        <v>0</v>
      </c>
      <c r="FG53" s="135">
        <f ca="1">RZ[Úroveň 9 bez koef. (P3a)]*RZ[[#This Row],[Počet MJCR (P0) pro "kg"]]</f>
        <v>0</v>
      </c>
      <c r="FH53" s="135">
        <f ca="1">IF(OFFSET(BG53,1,0,1,1)&lt;&gt;0,RZ[[#This Row],[Koeficient odhadu CR '[-'] (P1)]]*$BP53*SUMIFS(RZ[Úroveň 10 s koef. (P3)],RZ[0],AX53,RZ[Úroveň 2 (P0)],AY53,RZ[Úroveň 3 (P0)],AZ53,RZ[Úroveň 4 (P0)],BA53,RZ[Úroveň 5 (P0)],BB53,RZ[Úroveň 6 (P0)],BC53,RZ[Úroveň 7 (P0)],BD53,RZ[Úroveň 8 (P0)],BE53,RZ[Úroveň 9 (P0)],BF53),RZ[[#This Row],[Koeficient odhadu CR '[-'] (P1)]]*$BP53*$IQ53)</f>
        <v>0</v>
      </c>
      <c r="FI53" s="135">
        <f ca="1">IF(OFFSET(BG53,1,0,1,1)&lt;&gt;0,$BP53*SUMIFS(RZ[Úroveň 10 bez koef. (P3)],RZ[0],AX53,RZ[Úroveň 2 (P0)],AY53,RZ[Úroveň 3 (P0)],AZ53,RZ[Úroveň 4 (P0)],BA53,RZ[Úroveň 5 (P0)],BB53,RZ[Úroveň 6 (P0)],BC53,RZ[Úroveň 7 (P0)],BD53,RZ[Úroveň 8 (P0)],BE53,RZ[Úroveň 9 (P0)],BF53),$BP53*$IQ53)</f>
        <v>0</v>
      </c>
      <c r="FJ53" s="140">
        <f ca="1">RZ[[#This Row],[Úroveň 10 s koef. (P3a)]]*RZ[[#This Row],[Počet MJCR (P0) pro "kg"]]</f>
        <v>0</v>
      </c>
      <c r="FK53" s="140">
        <f ca="1">RZ[Úroveň 10 bez koef. (P3a)]*RZ[[#This Row],[Počet MJCR (P0) pro "kg"]]</f>
        <v>0</v>
      </c>
      <c r="FL53" s="140">
        <f ca="1">RZ[[#This Row],[Koeficient odhadu CR '[-'] (P1)]]*$BQ53*IQ53</f>
        <v>0</v>
      </c>
      <c r="FM53" s="236">
        <f t="shared" ca="1" si="189"/>
        <v>0</v>
      </c>
      <c r="FN53" s="194">
        <f t="shared" ca="1" si="190"/>
        <v>110</v>
      </c>
      <c r="FO53" s="238">
        <f t="shared" ca="1" si="191"/>
        <v>110</v>
      </c>
      <c r="FP53" s="135">
        <f t="shared" ca="1" si="192"/>
        <v>0</v>
      </c>
      <c r="FQ53" s="135">
        <f t="shared" ca="1" si="193"/>
        <v>0</v>
      </c>
      <c r="FR53" s="135">
        <f t="shared" ca="1" si="194"/>
        <v>30.872</v>
      </c>
      <c r="FS53" s="135">
        <f t="shared" ca="1" si="195"/>
        <v>0</v>
      </c>
      <c r="FT53" s="135">
        <f t="shared" ca="1" si="196"/>
        <v>0</v>
      </c>
      <c r="FU53" s="135">
        <f t="shared" ca="1" si="197"/>
        <v>0</v>
      </c>
      <c r="FV53" s="135">
        <f t="shared" ca="1" si="198"/>
        <v>0</v>
      </c>
      <c r="FW53" s="135">
        <f t="shared" ca="1" si="199"/>
        <v>0</v>
      </c>
      <c r="FX53" s="135">
        <f t="shared" ca="1" si="200"/>
        <v>0</v>
      </c>
      <c r="FY53" s="135">
        <f t="shared" ca="1" si="201"/>
        <v>0</v>
      </c>
      <c r="FZ53" s="140">
        <f ca="1">SUMIFS(RZ[Úroveň 1 (P6)],RZ[0],AX53)</f>
        <v>1</v>
      </c>
      <c r="GA53" s="140">
        <f ca="1">SUMIFS(RZ[Úroveň 2 (P6)],RZ[0],AX53,RZ[Úroveň 2 (P0)],AY53)</f>
        <v>1</v>
      </c>
      <c r="GB53" s="140">
        <f ca="1">SUMIFS(RZ[Úroveň 3 (P6)],RZ[0],AX53,RZ[Úroveň 2 (P0)],AY53,RZ[Úroveň 3 (P0)],AZ53)</f>
        <v>30.872</v>
      </c>
      <c r="GC53" s="140">
        <f ca="1">SUMIFS(RZ[Úroveň 4 (P6)],RZ[0],AX53,RZ[Úroveň 2 (P0)],AY53,RZ[Úroveň 3 (P0)],AZ53,RZ[Úroveň 4 (P0)],BA53)</f>
        <v>0</v>
      </c>
      <c r="GD53" s="140">
        <f ca="1">SUMIFS(RZ[Úroveň 5 (P6)],RZ[0],AX53,RZ[Úroveň 2 (P0)],AY53,RZ[Úroveň 3 (P0)],AZ53,RZ[Úroveň 4 (P0)],BA53,RZ[Úroveň 5 (P0)],BB53)</f>
        <v>0</v>
      </c>
      <c r="GE53" s="140">
        <f ca="1">SUMIFS(RZ[Úroveň 6 (P6)],RZ[0],AX53,RZ[Úroveň 2 (P0)],AY53,RZ[Úroveň 3 (P0)],AZ53,RZ[Úroveň 4 (P0)],BA53,RZ[Úroveň 5 (P0)],BB53,RZ[Úroveň 6 (P0)],BC53)</f>
        <v>0</v>
      </c>
      <c r="GF53" s="140">
        <f ca="1">SUMIFS(RZ[Úroveň 7 (P6)],RZ[0],AX53,RZ[Úroveň 2 (P0)],AY53,RZ[Úroveň 3 (P0)],AZ53,RZ[Úroveň 4 (P0)],BA53,RZ[Úroveň 5 (P0)],BB53,RZ[Úroveň 6 (P0)],BC53,RZ[Úroveň 7 (P0)],BD53)</f>
        <v>0</v>
      </c>
      <c r="GG53" s="140">
        <f ca="1">SUMIFS(RZ[Úroveň 8 (P6)],RZ[0],AX53,RZ[Úroveň 2 (P0)],AY53,RZ[Úroveň 3 (P0)],AZ53,RZ[Úroveň 4 (P0)],BA53,RZ[Úroveň 5 (P0)],BB53,RZ[Úroveň 6 (P0)],BC53,RZ[Úroveň 7 (P0)],BD53,RZ[Úroveň 8 (P0)],BE53)</f>
        <v>0</v>
      </c>
      <c r="GH53" s="140">
        <f ca="1">SUMIFS(RZ[Úroveň 9 (P6)],RZ[0],AX53,RZ[Úroveň 2 (P0)],AY53,RZ[Úroveň 3 (P0)],AZ53,RZ[Úroveň 4 (P0)],BA53,RZ[Úroveň 5 (P0)],BB53,RZ[Úroveň 6 (P0)],BC53,RZ[Úroveň 7 (P0)],BD53,RZ[Úroveň 8 (P0)],BE53,RZ[Úroveň 9 (P0)],BF53)</f>
        <v>0</v>
      </c>
      <c r="GI53" s="140">
        <f ca="1">SUMIFS(RZ[Úroveň 10 (P6)],RZ[0],AX53,RZ[Úroveň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GJ53" s="918">
        <f t="shared" ca="1" si="202"/>
        <v>30.872</v>
      </c>
      <c r="GK53" s="808">
        <f t="shared" si="203"/>
        <v>0</v>
      </c>
      <c r="GL53" s="808">
        <f t="shared" si="204"/>
        <v>0</v>
      </c>
      <c r="GM53" s="808">
        <f t="shared" si="205"/>
        <v>1</v>
      </c>
      <c r="GN53" s="808">
        <f t="shared" si="206"/>
        <v>0</v>
      </c>
      <c r="GO53" s="808">
        <f t="shared" si="207"/>
        <v>0</v>
      </c>
      <c r="GP53" s="808">
        <f t="shared" si="208"/>
        <v>0</v>
      </c>
      <c r="GQ53" s="808">
        <f t="shared" si="209"/>
        <v>0</v>
      </c>
      <c r="GR53" s="808">
        <f t="shared" si="210"/>
        <v>0</v>
      </c>
      <c r="GS53" s="808">
        <f t="shared" si="211"/>
        <v>0</v>
      </c>
      <c r="GT53" s="808">
        <f t="shared" si="212"/>
        <v>0</v>
      </c>
      <c r="GU53" s="809">
        <f ca="1">SUMIFS(RZ[Sloupec1],RZ[0],AX53)</f>
        <v>1</v>
      </c>
      <c r="GV53" s="809">
        <f ca="1">SUMIFS(RZ[Sloupec2],RZ[0],AX53,RZ[Úroveň 2 (P0)],AY53)</f>
        <v>1</v>
      </c>
      <c r="GW53" s="809">
        <f ca="1">SUMIFS(RZ[Sloupec3],RZ[0],AX53,RZ[Úroveň 2 (P0)],AY53,RZ[Úroveň 3 (P0)],AZ53)</f>
        <v>1</v>
      </c>
      <c r="GX53" s="809">
        <f ca="1">SUMIFS(RZ[Sloupec4],RZ[0],AX53,RZ[Úroveň 2 (P0)],AY53,RZ[Úroveň 3 (P0)],AZ53,RZ[Úroveň 4 (P0)],BA53)</f>
        <v>0</v>
      </c>
      <c r="GY53" s="809">
        <f ca="1">SUMIFS(RZ[Sloupec5],RZ[0],AX53,RZ[Úroveň 2 (P0)],AY53,RZ[Úroveň 3 (P0)],AZ53,RZ[Úroveň 4 (P0)],BA53,RZ[Úroveň 5 (P0)],BB53)</f>
        <v>0</v>
      </c>
      <c r="GZ53" s="809">
        <f ca="1">SUMIFS(RZ[Sloupec6],RZ[0],AX53,RZ[Úroveň 2 (P0)],AY53,RZ[Úroveň 3 (P0)],AZ53,RZ[Úroveň 4 (P0)],BA53,RZ[Úroveň 5 (P0)],BB53,RZ[Úroveň 6 (P0)],BC53)</f>
        <v>0</v>
      </c>
      <c r="HA53" s="809">
        <f ca="1">SUMIFS(RZ[Sloupec62],RZ[0],AX53,RZ[Úroveň 2 (P0)],AY53,RZ[Úroveň 3 (P0)],AZ53,RZ[Úroveň 4 (P0)],BA53,RZ[Úroveň 5 (P0)],BB53,RZ[Úroveň 6 (P0)],BC53,RZ[Úroveň 7 (P0)],BD53)</f>
        <v>0</v>
      </c>
      <c r="HB53" s="809">
        <f ca="1">SUMIFS(RZ[Sloupec63],RZ[0],AX53,RZ[Úroveň 2 (P0)],AY53,RZ[Úroveň 3 (P0)],AZ53,RZ[Úroveň 4 (P0)],BA53,RZ[Úroveň 5 (P0)],BB53,RZ[Úroveň 6 (P0)],BC53,RZ[Úroveň 7 (P0)],BD53,RZ[Úroveň 8 (P0)],BE53)</f>
        <v>0</v>
      </c>
      <c r="HC53" s="809">
        <f ca="1">SUMIFS(RZ[Sloupec64],RZ[0],AX53,RZ[Úroveň 2 (P0)],AY53,RZ[Úroveň 3 (P0)],AZ53,RZ[Úroveň 4 (P0)],BA53,RZ[Úroveň 5 (P0)],BB53,RZ[Úroveň 6 (P0)],BC53,RZ[Úroveň 7 (P0)],BD53,RZ[Úroveň 8 (P0)],BE53,RZ[Úroveň 9 (P0)],BF53)</f>
        <v>0</v>
      </c>
      <c r="HD53" s="809">
        <f ca="1">SUMIFS(RZ[Sloupec65],RZ[0],AX53,RZ[Úroveň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HE53" s="919">
        <f t="shared" ca="1" si="213"/>
        <v>1</v>
      </c>
      <c r="HF53" s="920" t="str">
        <f t="shared" si="214"/>
        <v/>
      </c>
      <c r="HG53" s="94" t="str">
        <f t="shared" si="215"/>
        <v/>
      </c>
      <c r="HH53" s="95" t="str">
        <f t="shared" si="216"/>
        <v/>
      </c>
      <c r="HI53" s="95" t="str">
        <f t="shared" si="217"/>
        <v>Normalizované</v>
      </c>
      <c r="HJ53" s="96" t="str">
        <f t="shared" si="218"/>
        <v/>
      </c>
      <c r="HK53" s="96" t="str">
        <f t="shared" si="219"/>
        <v/>
      </c>
      <c r="HL53" s="96" t="str">
        <f t="shared" si="220"/>
        <v/>
      </c>
      <c r="HM53" s="96" t="str">
        <f t="shared" si="221"/>
        <v/>
      </c>
      <c r="HN53" s="96" t="str">
        <f t="shared" si="222"/>
        <v/>
      </c>
      <c r="HO53" s="96" t="str">
        <f t="shared" si="223"/>
        <v/>
      </c>
      <c r="HP53" s="96" t="str">
        <f t="shared" si="224"/>
        <v/>
      </c>
      <c r="HQ53" s="145" t="str">
        <f t="shared" si="225"/>
        <v>STNO</v>
      </c>
      <c r="HR53" s="921" t="str">
        <f t="shared" si="226"/>
        <v/>
      </c>
      <c r="HS53" s="173">
        <f t="shared" si="227"/>
        <v>0</v>
      </c>
      <c r="HT53" s="100">
        <f t="shared" si="228"/>
        <v>0</v>
      </c>
      <c r="HU53" s="100">
        <f t="shared" si="229"/>
        <v>0</v>
      </c>
      <c r="HV53" s="908">
        <f t="shared" si="230"/>
        <v>0</v>
      </c>
      <c r="HW53" s="922">
        <f t="shared" si="231"/>
        <v>0</v>
      </c>
      <c r="HX53" s="224">
        <f t="shared" si="232"/>
        <v>0</v>
      </c>
      <c r="HY53" s="263" t="str">
        <f t="shared" si="233"/>
        <v>S</v>
      </c>
      <c r="HZ53" s="263" t="str">
        <f t="shared" si="234"/>
        <v>N</v>
      </c>
      <c r="IA53" s="150">
        <f t="shared" si="235"/>
        <v>1</v>
      </c>
      <c r="IB53" s="319">
        <f t="shared" si="236"/>
        <v>110</v>
      </c>
      <c r="IC53" s="923">
        <f t="shared" si="237"/>
        <v>1</v>
      </c>
      <c r="ID53" s="924" t="str">
        <f t="shared" ca="1" si="238"/>
        <v>OK</v>
      </c>
      <c r="IE53" s="201" t="str">
        <f t="shared" si="239"/>
        <v>ks</v>
      </c>
      <c r="IF53" s="145">
        <f t="shared" si="240"/>
        <v>1</v>
      </c>
      <c r="IG53" s="216">
        <f t="shared" si="241"/>
        <v>30.872</v>
      </c>
      <c r="IH53" s="217">
        <f t="shared" si="242"/>
        <v>1</v>
      </c>
      <c r="II53" s="224" t="str">
        <f ca="1">IF(RZ[[#This Row],[Rozhodný sloupec indikativní ceny]]=1,"kg",IF($IW53=$JL$15,IF(JX53=0,JO53,JX53),IF($IW53=$KE$15,IF(KQ53=0,KH53,KQ53),IF($IW53=$KX$15,IF(LJ53=0,LA53,LJ53),IF($IW53=$LQ$15,IF(MC53=0,LT53,MC53),IF($IW53=$MJ$15,IF(NQ53=0,NH53,NQ53),0))))))</f>
        <v>kg</v>
      </c>
      <c r="IJ53" s="224">
        <f ca="1">IF((BH53+OFFSET(BH53,1,1,1,1))=2,RZ[[#This Row],[Počet MJHR (P0)]],IF((BI53+OFFSET(BI53,1,1,1,1))=2,RZ[[#This Row],[Počet MJHR (P0)]],IF((BJ53+OFFSET(BJ53,1,1,1,1))=2,RZ[[#This Row],[Počet MJHR (P0)]],IF((BK53+OFFSET(BK53,1,1,1,1))=2,RZ[[#This Row],[Počet MJHR (P0)]],IF((BL53+OFFSET(BL53,1,1,1,1))=2,RZ[[#This Row],[Počet MJHR (P0)]],IF((BM53+OFFSET(BM53,1,1,1,1))=2,RZ[[#This Row],[Počet MJHR (P0)]],IF((BN53+OFFSET(BN53,1,1,1,1))=2,RZ[[#This Row],[Počet MJHR (P0)]],IF((BO53+OFFSET(BO53,1,1,1,1))=2,RZ[[#This Row],[Počet MJHR (P0)]],IF((BP53+OFFSET(BP53,1,1,1,1))=2,RZ[[#This Row],[Počet MJHR (P0)]],IF((BQ53+OFFSET(BQ53,1,1,1,1))=2,RZ[[#This Row],[Počet MJHR (P0)]],IF(RZ[[#This Row],[Měrná jednotka CR (MJCR) (P0)]]=RZ[[#This Row],[Měrná jednotka HR '[MJHR'] (P0)]],RZ[[#This Row],[Počet MJHR (P0)]],IF($IW53=$JL$15,JY53,IF($IW53=$KE$15,KR53,IF($IW53=$KX$15,LK53,IF($IW53=$LQ$15,MD53,IF($IW53=$MJ$15,NR53,0))))))))))))))))</f>
        <v>0</v>
      </c>
      <c r="IK5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30.872</v>
      </c>
      <c r="IL53" s="145">
        <f ca="1">IF(AND(RZ[[#This Row],[Jednotková cena bez DPH '[cena/MJCR'] (P0)]]=0,RZ[[#This Row],[Indikativní jednotková cena '[CZK/kg'] (P1)]]&lt;&gt;0),1,0)</f>
        <v>0</v>
      </c>
      <c r="IM53" s="217">
        <f ca="1">VLOOKUP(RZ[[#This Row],[Kód položek]],INDIKAT_CENA,2,FALSE)</f>
        <v>0</v>
      </c>
      <c r="IN53" s="222">
        <f ca="1">IF(RZ[[#This Row],[Rozhodný sloupec indikativní ceny]]=1,RZ[[#This Row],[Indikativní jednotková cena '[CZK/kg'] (P1)]],RZ[[#This Row],[Jednotková cena bez DPH '[cena/MJCR'] (P0)]])</f>
        <v>110</v>
      </c>
      <c r="IO53" s="222">
        <f t="shared" si="243"/>
        <v>1</v>
      </c>
      <c r="IP53" s="224">
        <f ca="1">IF(RZ[[#This Row],[Rozhodný sloupec indikativní ceny]]=1,1,IF($IW53=$JL$15,KA53,IF($IW53=$KE$15,KT53,IF($IW53=$KX$15,LM53,IF($IW53=$LQ$15,MF53,IF($IW53=$MJ$15,NT53,0))))))</f>
        <v>1</v>
      </c>
      <c r="IQ53" s="225">
        <f ca="1">IF(RZ[[#This Row],[Jednotková cena bez DPH '[cena/MJCR'] (P1)]]="",0,IF(IP53=0,0,(RZ[[#This Row],[Jednotková cena bez DPH '[cena/MJCR'] (P1)]]*VLOOKUP(IP53,$BR$7:$BT$10,3))))</f>
        <v>110</v>
      </c>
      <c r="IR53" s="737"/>
      <c r="IS53" s="627">
        <f>IF(HY53=0,"",VLOOKUP(RZ[[#This Row],[Stav Projekce (P0)]],Vstupy!$E$11:'Vstupy'!$E$11:$H$17,4,FALSE))</f>
        <v>100</v>
      </c>
      <c r="IT53" s="925" t="str">
        <f>IF(RZ[[#This Row],[Stav Projekce (P0)]]=0,"",RZ[[#This Row],[Stav Projekce (P0)]])</f>
        <v>S</v>
      </c>
      <c r="IU53" s="925" t="str">
        <f>IF(RZ[[#This Row],[Stav Nákup (P0)]]=0,"",RZ[[#This Row],[Stav Nákup (P0)]])</f>
        <v>N</v>
      </c>
      <c r="IV53" s="926" t="str">
        <f t="shared" si="244"/>
        <v/>
      </c>
      <c r="IW53" s="641">
        <v>1</v>
      </c>
      <c r="IX53" s="630"/>
      <c r="IY53" s="264"/>
      <c r="IZ53" s="648"/>
      <c r="JA53" s="100"/>
      <c r="JB53" s="100" t="s">
        <v>162</v>
      </c>
      <c r="JC53" s="100"/>
      <c r="JD53" s="100"/>
      <c r="JE53" s="100"/>
      <c r="JF53" s="100"/>
      <c r="JG53" s="100"/>
      <c r="JH53" s="100"/>
      <c r="JI53" s="100"/>
      <c r="JJ53" s="145" t="s">
        <v>835</v>
      </c>
      <c r="JK53" s="529"/>
      <c r="JL53" s="286"/>
      <c r="JM53" s="100"/>
      <c r="JN53" s="100"/>
      <c r="JO53" s="145" t="s">
        <v>35</v>
      </c>
      <c r="JP53" s="117">
        <v>1</v>
      </c>
      <c r="JQ53" s="117">
        <v>30.872</v>
      </c>
      <c r="JR53" s="148">
        <v>1</v>
      </c>
      <c r="JS53" s="145" t="s">
        <v>602</v>
      </c>
      <c r="JT53" s="631"/>
      <c r="JU53" s="148"/>
      <c r="JV53" s="154"/>
      <c r="JW53" s="145"/>
      <c r="JX53" s="210" t="s">
        <v>0</v>
      </c>
      <c r="JY53" s="117"/>
      <c r="JZ53" s="662">
        <v>110</v>
      </c>
      <c r="KA53" s="145">
        <v>1</v>
      </c>
      <c r="KB53" s="148">
        <v>1</v>
      </c>
      <c r="KC53" s="148" t="s">
        <v>611</v>
      </c>
      <c r="KD53" s="644"/>
      <c r="KE53" s="286"/>
      <c r="KF53" s="100"/>
      <c r="KG53" s="100"/>
      <c r="KH53" s="210"/>
      <c r="KI53" s="117"/>
      <c r="KJ53" s="117"/>
      <c r="KK53" s="148"/>
      <c r="KL53" s="145"/>
      <c r="KM53" s="632"/>
      <c r="KN53" s="148"/>
      <c r="KO53" s="154"/>
      <c r="KP53" s="154"/>
      <c r="KQ53" s="210"/>
      <c r="KR53" s="117"/>
      <c r="KS53" s="211"/>
      <c r="KT53" s="145"/>
      <c r="KU53" s="148"/>
      <c r="KV53" s="148"/>
      <c r="KW53" s="265"/>
      <c r="KX53" s="286"/>
      <c r="KY53" s="100"/>
      <c r="KZ53" s="100"/>
      <c r="LA53" s="210"/>
      <c r="LB53" s="117"/>
      <c r="LC53" s="117"/>
      <c r="LD53" s="148"/>
      <c r="LE53" s="145"/>
      <c r="LF53" s="632"/>
      <c r="LG53" s="148"/>
      <c r="LH53" s="154"/>
      <c r="LI53" s="154"/>
      <c r="LJ53" s="154"/>
      <c r="LK53" s="117"/>
      <c r="LL53" s="211"/>
      <c r="LM53" s="210"/>
      <c r="LN53" s="148"/>
      <c r="LO53" s="148"/>
      <c r="LP53" s="265"/>
      <c r="LQ53" s="286"/>
      <c r="LR53" s="100"/>
      <c r="LS53" s="100"/>
      <c r="LT53" s="210"/>
      <c r="LU53" s="117"/>
      <c r="LV53" s="117"/>
      <c r="LW53" s="148"/>
      <c r="LX53" s="145"/>
      <c r="LY53" s="632"/>
      <c r="LZ53" s="148"/>
      <c r="MA53" s="154"/>
      <c r="MB53" s="154"/>
      <c r="MC53" s="145"/>
      <c r="MD53" s="117"/>
      <c r="ME53" s="211"/>
      <c r="MF53" s="210"/>
      <c r="MG53" s="148"/>
      <c r="MH53" s="148"/>
      <c r="MI53" s="265"/>
      <c r="MJ53" s="647"/>
      <c r="MK53" s="264"/>
      <c r="ML53" s="153"/>
      <c r="MM53" s="153"/>
      <c r="MN53" s="153"/>
      <c r="MO53" s="153"/>
      <c r="MP53" s="153"/>
      <c r="MQ53" s="153"/>
      <c r="MR53" s="153"/>
      <c r="MS53" s="99"/>
      <c r="MT53" s="99"/>
      <c r="MU53" s="99"/>
      <c r="MV53" s="99"/>
      <c r="MW53" s="99"/>
      <c r="MX53" s="99"/>
      <c r="MY53" s="153"/>
      <c r="MZ53" s="153"/>
      <c r="NA53" s="153"/>
      <c r="NB53" s="153"/>
      <c r="NC53" s="153"/>
      <c r="ND53" s="153"/>
      <c r="NE53" s="148"/>
      <c r="NF53" s="153"/>
      <c r="NG53" s="153"/>
      <c r="NH53" s="330" t="str">
        <f t="shared" si="245"/>
        <v>ks</v>
      </c>
      <c r="NI53" s="797">
        <f>RZ[[#This Row],[Počet ks (K)]]</f>
        <v>0</v>
      </c>
      <c r="NJ53" s="798">
        <f>RZ[[#This Row],[Hmotnost '[kg/ks'] (K)]]</f>
        <v>0</v>
      </c>
      <c r="NK53" s="148"/>
      <c r="NL53" s="145"/>
      <c r="NM53" s="632"/>
      <c r="NN53" s="148"/>
      <c r="NO53" s="154"/>
      <c r="NP53" s="153"/>
      <c r="NQ53" s="153"/>
      <c r="NR53" s="210"/>
      <c r="NS53" s="148"/>
      <c r="NT53" s="210"/>
      <c r="NU53" s="148"/>
      <c r="NV53" s="148"/>
      <c r="NW53" s="175"/>
    </row>
    <row r="54" spans="2:387" ht="15.95" customHeight="1" thickBot="1" x14ac:dyDescent="0.4">
      <c r="B54" s="118" t="str">
        <f t="shared" si="129"/>
        <v/>
      </c>
      <c r="C5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4" s="262" t="str">
        <f t="shared" si="130"/>
        <v xml:space="preserve">    Spojovací materiál</v>
      </c>
      <c r="E54" s="120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Row],[Kód položek (P2)]]))))))))))</f>
        <v>STSM</v>
      </c>
      <c r="F54" s="791" t="str">
        <f t="shared" si="131"/>
        <v>N/A</v>
      </c>
      <c r="G54" s="792" t="str">
        <f t="shared" si="132"/>
        <v/>
      </c>
      <c r="H54" s="262" t="str">
        <f t="shared" si="133"/>
        <v/>
      </c>
      <c r="I54" s="123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HR '[MJHR'] (P0)]]))))))))))</f>
        <v>ks</v>
      </c>
      <c r="J54" s="123">
        <f t="shared" si="134"/>
        <v>1</v>
      </c>
      <c r="K54" s="793">
        <f>RZ[[#This Row],[Koeficient odhadu HR '[-'] (P1)]]</f>
        <v>1</v>
      </c>
      <c r="L54" s="124">
        <f ca="1">RZ[[#This Row],[Jednotková hmotnost s koef. '[kg/MJHR'] (P0)]]</f>
        <v>208.58</v>
      </c>
      <c r="M54" s="794">
        <f t="shared" ca="1" si="135"/>
        <v>0</v>
      </c>
      <c r="N54" s="125">
        <f t="shared" ca="1" si="136"/>
        <v>208.58</v>
      </c>
      <c r="O54" s="125">
        <f t="shared" ca="1" si="137"/>
        <v>0</v>
      </c>
      <c r="P54" s="126" t="str">
        <f t="shared" si="138"/>
        <v/>
      </c>
      <c r="Q54" s="795">
        <f ca="1">RZ[[#This Row],[Počet MJHR v rozpadu (P0)]]</f>
        <v>1</v>
      </c>
      <c r="R54" s="439" t="str">
        <f t="shared" si="139"/>
        <v>Zajíc</v>
      </c>
      <c r="S54" s="129">
        <f t="shared" si="140"/>
        <v>42950.631585648145</v>
      </c>
      <c r="T54" s="126" t="str">
        <f t="shared" si="141"/>
        <v/>
      </c>
      <c r="U54" s="126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CR (MJCR) (P0)]]))))))))))</f>
        <v>kg</v>
      </c>
      <c r="V54" s="575">
        <f t="shared" ca="1" si="142"/>
        <v>208.58</v>
      </c>
      <c r="W54" s="322">
        <f>RZ[[#This Row],[Koeficient odhadu CR '[-'] (P1)]]</f>
        <v>1</v>
      </c>
      <c r="X54" s="440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Row],[Jednotková cena bez DPH '[cena/MJCR'] (P1)]]*RZ[[#This Row],[Koeficient odhadu CR '[-']]]))))))))))</f>
        <v>110</v>
      </c>
      <c r="Y54" s="440">
        <f t="shared" ca="1" si="143"/>
        <v>0</v>
      </c>
      <c r="Z54" s="142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VLOOKUP(IP54,$BR$7:$BS$11,2,FALSE)))))))))))</f>
        <v>CZK</v>
      </c>
      <c r="AA54" s="909">
        <f t="shared" ca="1" si="144"/>
        <v>208.58</v>
      </c>
      <c r="AB54" s="910">
        <f ca="1">RZ[[#This Row],[Kumulovaný koeficient v rozpadu (P0)]]</f>
        <v>1</v>
      </c>
      <c r="AC54" s="261"/>
      <c r="AD54" s="796">
        <f ca="1">RZ[[#This Row],[Jednotková cena bez DPH '[cena/MJCR'] s koef. (P0)]]/RZ[[#This Row],[Koeficient odhadu CR '[-']]]*RZ[[#This Row],[Kumulovaný koeficient odhadu CR  '[-']]]</f>
        <v>110</v>
      </c>
      <c r="AE54" s="796">
        <f t="shared" ca="1" si="145"/>
        <v>22943.800000000003</v>
      </c>
      <c r="AF54" s="796">
        <f ca="1">-IF(ISNUMBER(AA54),RZ[[#This Row],[Celková cena bez DPH (1)]]-RZ[[#This Row],[Jednotková cena bez DPH '[cena/MJCR'] bez koef. (P0)]]*AA54,0)</f>
        <v>0</v>
      </c>
      <c r="AG5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54" s="261"/>
      <c r="AI54" s="796">
        <f t="shared" ca="1" si="146"/>
        <v>4.0740740740740744</v>
      </c>
      <c r="AJ54" s="796">
        <f t="shared" ca="1" si="147"/>
        <v>849.77037037037053</v>
      </c>
      <c r="AK54" s="796">
        <f t="shared" ca="1" si="148"/>
        <v>0</v>
      </c>
      <c r="AL54" s="753">
        <f ca="1">RZ[[#This Row],[Kilogramová cena bez DPH '[cena/kg'] (1)]]/$AK$13</f>
        <v>4.0740740740740744</v>
      </c>
      <c r="AM54" s="261"/>
      <c r="AN54" s="796">
        <f t="shared" ca="1" si="149"/>
        <v>5.3140096618357493</v>
      </c>
      <c r="AO54" s="796">
        <f t="shared" ca="1" si="150"/>
        <v>1108.3961352657007</v>
      </c>
      <c r="AP54" s="796">
        <f t="shared" ca="1" si="151"/>
        <v>0</v>
      </c>
      <c r="AQ54" s="753">
        <f ca="1">RZ[[#This Row],[Kilogramová cena bez DPH '[cena/kg'] (1)]]/$AP$13</f>
        <v>5.3140096618357493</v>
      </c>
      <c r="AR54" s="261"/>
      <c r="AS54" s="796">
        <f t="shared" ca="1" si="152"/>
        <v>3.0087527352297592</v>
      </c>
      <c r="AT54" s="796">
        <f t="shared" ca="1" si="153"/>
        <v>627.56564551422321</v>
      </c>
      <c r="AU54" s="789">
        <f t="shared" ca="1" si="154"/>
        <v>0</v>
      </c>
      <c r="AV54" s="767">
        <f ca="1">RZ[[#This Row],[Kilogramová cena bez DPH '[cena/kg'] (1)]]/$AU$13</f>
        <v>3.0087527352297596</v>
      </c>
      <c r="AW54" s="165"/>
      <c r="AX54" s="911">
        <f t="shared" ca="1" si="155"/>
        <v>2</v>
      </c>
      <c r="AY54" s="111">
        <f t="shared" ca="1" si="156"/>
        <v>1</v>
      </c>
      <c r="AZ54" s="111">
        <f t="shared" ca="1" si="157"/>
        <v>31</v>
      </c>
      <c r="BA54" s="111">
        <f t="shared" ca="1" si="158"/>
        <v>0</v>
      </c>
      <c r="BB54" s="111">
        <f t="shared" ca="1" si="159"/>
        <v>0</v>
      </c>
      <c r="BC54" s="111">
        <f t="shared" ca="1" si="160"/>
        <v>0</v>
      </c>
      <c r="BD54" s="111">
        <f t="shared" ca="1" si="161"/>
        <v>0</v>
      </c>
      <c r="BE54" s="111">
        <f t="shared" ca="1" si="162"/>
        <v>0</v>
      </c>
      <c r="BF54" s="111">
        <f t="shared" ca="1" si="163"/>
        <v>0</v>
      </c>
      <c r="BG54" s="112">
        <f t="shared" ca="1" si="164"/>
        <v>0</v>
      </c>
      <c r="BH54" s="911">
        <f t="shared" si="165"/>
        <v>0</v>
      </c>
      <c r="BI54" s="111">
        <f t="shared" si="166"/>
        <v>0</v>
      </c>
      <c r="BJ54" s="111">
        <f t="shared" si="167"/>
        <v>1</v>
      </c>
      <c r="BK54" s="111">
        <f t="shared" si="168"/>
        <v>0</v>
      </c>
      <c r="BL54" s="111">
        <f t="shared" si="169"/>
        <v>0</v>
      </c>
      <c r="BM54" s="111">
        <f t="shared" si="170"/>
        <v>0</v>
      </c>
      <c r="BN54" s="111">
        <f t="shared" si="171"/>
        <v>0</v>
      </c>
      <c r="BO54" s="111">
        <f t="shared" si="172"/>
        <v>0</v>
      </c>
      <c r="BP54" s="111">
        <f t="shared" si="173"/>
        <v>0</v>
      </c>
      <c r="BQ54" s="112">
        <f t="shared" si="174"/>
        <v>0</v>
      </c>
      <c r="BR54" s="132">
        <f ca="1">IF(OFFSET(AY54,1,0,1,1)&lt;&gt;0,RZ[[#This Row],[Koeficient odhadu HR '[-'] (P1)]]*$BH54*SUMIFS(RZ[Úroveň 2 s koef. (P2)],RZ[0],AX54),RZ[[#This Row],[Koeficient odhadu HR '[-'] (P1)]]*$BH54*$IG54)</f>
        <v>0</v>
      </c>
      <c r="BS54" s="186">
        <f ca="1">IF(OFFSET(AY54,1,0,1,1)&lt;&gt;0,$BH54*SUMIFS(RZ[Úroveň 2 bez koef. (P2)],RZ[0],AX54),$BH54*$IG54)</f>
        <v>0</v>
      </c>
      <c r="BT54" s="138">
        <f ca="1">RZ[[#This Row],[Úroveň 2 s koef. (P2a)]]*RZ[[#This Row],[Počet MJHR (P0)]]</f>
        <v>0</v>
      </c>
      <c r="BU54" s="138">
        <f ca="1">RZ[[#This Row],[Úroveň 2 bez koef. (P2a)]]*RZ[[#This Row],[Počet MJHR (P0)]]</f>
        <v>0</v>
      </c>
      <c r="BV54" s="138">
        <f ca="1">IF(OFFSET(AZ54,1,0,1,1)&lt;&gt;0,RZ[[#This Row],[Koeficient odhadu HR '[-'] (P1)]]*$BI54*SUMIFS(RZ[Úroveň 3 s koef. (P2)],RZ[0],AX54,RZ[Úroveň 2 (P0)],AY54),RZ[[#This Row],[Koeficient odhadu HR '[-'] (P1)]]*$BI54*$IG54)</f>
        <v>0</v>
      </c>
      <c r="BW54" s="138">
        <f ca="1">IF(OFFSET(AZ54,1,0,1,1)&lt;&gt;0,$BI54*SUMIFS(RZ[Úroveň 3 bez koef. (P2)],RZ[0],AX54,RZ[Úroveň 2 (P0)],AY54),$BI54*$IG54)</f>
        <v>0</v>
      </c>
      <c r="BX54" s="132">
        <f ca="1">RZ[[#This Row],[Úroveň 3 s koef. (P2a)]]*RZ[[#This Row],[Počet MJHR (P0)]]</f>
        <v>208.58</v>
      </c>
      <c r="BY54" s="132">
        <f ca="1">RZ[Úroveň 3 bez koef. (P2a)]*RZ[[#This Row],[Počet MJHR (P0)]]</f>
        <v>208.58</v>
      </c>
      <c r="BZ54" s="132">
        <f ca="1">IF(OFFSET(BA54,1,0,1,1)&lt;&gt;0,RZ[[#This Row],[Koeficient odhadu HR '[-'] (P1)]]*$BJ54*SUMIFS(RZ[Úroveň 4 s koef. (P2)],RZ[0],AX54,RZ[Úroveň 2 (P0)],AY54,RZ[Úroveň 3 (P0)],AZ54),RZ[[#This Row],[Koeficient odhadu HR '[-'] (P1)]]*$BJ54*$IG54)</f>
        <v>208.58</v>
      </c>
      <c r="CA54" s="132">
        <f ca="1">IF(OFFSET(BA54,1,0,1,1)&lt;&gt;0,$BJ54*SUMIFS(RZ[Úroveň 4 bez koef. (P2)],RZ[0],AX54,RZ[Úroveň 2 (P0)],AY54,RZ[Úroveň 3 (P0)],AZ54),$BJ54*$IG54)</f>
        <v>208.58</v>
      </c>
      <c r="CB54" s="138">
        <f ca="1">RZ[[#This Row],[Úroveň 4 s koef. (P2a)]]*RZ[[#This Row],[Počet MJHR (P0)]]</f>
        <v>0</v>
      </c>
      <c r="CC54" s="138">
        <f ca="1">RZ[Úroveň 4 bez koef. (P2a)]*RZ[[#This Row],[Počet MJHR (P0)]]</f>
        <v>0</v>
      </c>
      <c r="CD54" s="138">
        <f ca="1">IF(OFFSET(BB54,1,0,1,1)&lt;&gt;0,RZ[[#This Row],[Koeficient odhadu HR '[-'] (P1)]]*$BK54*SUMIFS(RZ[Úroveň 5 s koef. (P2)],RZ[0],AX54,RZ[Úroveň 2 (P0)],AY54,RZ[Úroveň 3 (P0)],AZ54,RZ[Úroveň 4 (P0)],BA54),RZ[[#This Row],[Koeficient odhadu HR '[-'] (P1)]]*$BK54*$IG54)</f>
        <v>0</v>
      </c>
      <c r="CE54" s="138">
        <f ca="1">IF(OFFSET(BB54,1,0,1,1)&lt;&gt;0,$BK54*SUMIFS(RZ[Úroveň 5 bez koef. (P2)],RZ[0],AX54,RZ[Úroveň 2 (P0)],AY54,RZ[Úroveň 3 (P0)],AZ54,RZ[Úroveň 4 (P0)],BA54),$BK54*$IG54)</f>
        <v>0</v>
      </c>
      <c r="CF54" s="132">
        <f ca="1">RZ[[#This Row],[Úroveň 5 s koef. (P2a)]]*RZ[[#This Row],[Počet MJHR (P0)]]</f>
        <v>0</v>
      </c>
      <c r="CG54" s="132">
        <f ca="1">RZ[Úroveň 5 bez koef. (P2a)]*RZ[[#This Row],[Počet MJHR (P0)]]</f>
        <v>0</v>
      </c>
      <c r="CH54" s="132">
        <f ca="1">IF(OFFSET(BC54,1,0,1,1)&lt;&gt;0,RZ[[#This Row],[Koeficient odhadu HR '[-'] (P1)]]*$BL54*SUMIFS(RZ[Úroveň 6 s koef. (P2)],RZ[0],AX54,RZ[Úroveň 2 (P0)],AY54,RZ[Úroveň 3 (P0)],AZ54,RZ[Úroveň 4 (P0)],BA54,RZ[Úroveň 5 (P0)],BB54),RZ[[#This Row],[Koeficient odhadu HR '[-'] (P1)]]*$BL54*$IG54)</f>
        <v>0</v>
      </c>
      <c r="CI54" s="132">
        <f ca="1">IF(OFFSET(BC54,1,0,1,1)&lt;&gt;0,$BL54*SUMIFS(RZ[Úroveň 6 bez koef. (P2)],RZ[0],AX54,RZ[Úroveň 2 (P0)],AY54,RZ[Úroveň 3 (P0)],AZ54,RZ[Úroveň 4 (P0)],BA54,RZ[Úroveň 5 (P0)],BB54),$BL54*$IG54)</f>
        <v>0</v>
      </c>
      <c r="CJ54" s="138">
        <f ca="1">RZ[[#This Row],[Úroveň 6 s koef. (P2a)]]*RZ[[#This Row],[Počet MJHR (P0)]]</f>
        <v>0</v>
      </c>
      <c r="CK54" s="138">
        <f ca="1">RZ[Úroveň 6 bez koef. (P2a)]*RZ[[#This Row],[Počet MJHR (P0)]]</f>
        <v>0</v>
      </c>
      <c r="CL54" s="138">
        <f ca="1">IF(OFFSET(BD54,1,0,1,1)&lt;&gt;0,RZ[[#This Row],[Koeficient odhadu HR '[-'] (P1)]]*$BM54*SUMIFS(RZ[Úroveň 7 s koef. (P2)],RZ[0],AX54,RZ[Úroveň 2 (P0)],AY54,RZ[Úroveň 3 (P0)],AZ54,RZ[Úroveň 4 (P0)],BA54,RZ[Úroveň 5 (P0)],BB54,RZ[Úroveň 6 (P0)],BC54),RZ[[#This Row],[Koeficient odhadu HR '[-'] (P1)]]*$BM54*$IG54)</f>
        <v>0</v>
      </c>
      <c r="CM54" s="138">
        <f ca="1">IF(OFFSET(BD54,1,0,1,1)&lt;&gt;0,$BM54*SUMIFS(RZ[Úroveň 7 bez koef. (P2)],RZ[0],AX54,RZ[Úroveň 2 (P0)],AY54,RZ[Úroveň 3 (P0)],AZ54,RZ[Úroveň 4 (P0)],BA54,RZ[Úroveň 5 (P0)],BB54,RZ[Úroveň 6 (P0)],BC54),$BM54*$IG54)</f>
        <v>0</v>
      </c>
      <c r="CN54" s="132">
        <f ca="1">RZ[[#This Row],[Úroveň 7 s koef. (P2a)]]*RZ[[#This Row],[Počet MJHR (P0)]]</f>
        <v>0</v>
      </c>
      <c r="CO54" s="132">
        <f ca="1">RZ[Úroveň 7 bez koef. (P2a)]*RZ[[#This Row],[Počet MJHR (P0)]]</f>
        <v>0</v>
      </c>
      <c r="CP54" s="132">
        <f ca="1">IF(OFFSET(BE54,1,0,1,1)&lt;&gt;0,RZ[[#This Row],[Koeficient odhadu HR '[-'] (P1)]]*$BN54*SUMIFS(RZ[Úroveň 8 s koef. (P2)],RZ[0],AX54,RZ[Úroveň 2 (P0)],AY54,RZ[Úroveň 3 (P0)],AZ54,RZ[Úroveň 4 (P0)],BA54,RZ[Úroveň 5 (P0)],BB54,RZ[Úroveň 6 (P0)],BC54,RZ[Úroveň 7 (P0)],BD54),RZ[[#This Row],[Koeficient odhadu HR '[-'] (P1)]]*$BN54*$IG54)</f>
        <v>0</v>
      </c>
      <c r="CQ54" s="132">
        <f ca="1">IF(OFFSET(BE54,1,0,1,1)&lt;&gt;0,$BN54*SUMIFS(RZ[Úroveň 8 bez koef. (P2)],RZ[0],AX54,RZ[Úroveň 2 (P0)],AY54,RZ[Úroveň 3 (P0)],AZ54,RZ[Úroveň 4 (P0)],BA54,RZ[Úroveň 5 (P0)],BB54,RZ[Úroveň 6 (P0)],BC54,RZ[Úroveň 7 (P0)],BD54),$BN54*$IG54)</f>
        <v>0</v>
      </c>
      <c r="CR54" s="138">
        <f ca="1">RZ[[#This Row],[Úroveň 8 s koef. (P2a)]]*RZ[[#This Row],[Počet MJHR (P0)]]</f>
        <v>0</v>
      </c>
      <c r="CS54" s="138">
        <f ca="1">RZ[Úroveň 8 bez koef. (P2a)]*RZ[[#This Row],[Počet MJHR (P0)]]</f>
        <v>0</v>
      </c>
      <c r="CT54" s="138">
        <f ca="1">IF(OFFSET(BF54,1,0,1,1)&lt;&gt;0,RZ[[#This Row],[Koeficient odhadu HR '[-'] (P1)]]*$BO54*SUMIFS(RZ[Úroveň 9 s koef. (P2)],RZ[0],AX54,RZ[Úroveň 2 (P0)],AY54,RZ[Úroveň 3 (P0)],AZ54,RZ[Úroveň 4 (P0)],BA54,RZ[Úroveň 5 (P0)],BB54,RZ[Úroveň 6 (P0)],BC54,RZ[Úroveň 7 (P0)],BD54,RZ[Úroveň 8 (P0)],BE54),RZ[[#This Row],[Koeficient odhadu HR '[-'] (P1)]]*$BO54*$IG54)</f>
        <v>0</v>
      </c>
      <c r="CU54" s="138">
        <f ca="1">IF(OFFSET(BF54,1,0,1,1)&lt;&gt;0,$BO54*SUMIFS(RZ[Úroveň 9 bez koef. (P2)],RZ[0],AX54,RZ[Úroveň 2 (P0)],AY54,RZ[Úroveň 3 (P0)],AZ54,RZ[Úroveň 4 (P0)],BA54,RZ[Úroveň 5 (P0)],BB54,RZ[Úroveň 6 (P0)],BC54,RZ[Úroveň 7 (P0)],BD54,RZ[Úroveň 8 (P0)],BE54),$BO54*$IG54)</f>
        <v>0</v>
      </c>
      <c r="CV54" s="132">
        <f ca="1">RZ[[#This Row],[Úroveň 9 s koef. (P2a)]]*RZ[[#This Row],[Počet MJHR (P0)]]</f>
        <v>0</v>
      </c>
      <c r="CW54" s="132">
        <f ca="1">RZ[Úroveň 9 bez koef. (P2a)]*RZ[[#This Row],[Počet MJHR (P0)]]</f>
        <v>0</v>
      </c>
      <c r="CX54" s="132">
        <f ca="1">IF(OFFSET(BG54,1,0,1,1)&lt;&gt;0,RZ[[#This Row],[Koeficient odhadu HR '[-'] (P1)]]*$BP54*SUMIFS(RZ[Úroveň 10 s koef. (P2)],RZ[0],AX54,RZ[Úroveň 2 (P0)],AY54,RZ[Úroveň 3 (P0)],AZ54,RZ[Úroveň 4 (P0)],BA54,RZ[Úroveň 5 (P0)],BB54,RZ[Úroveň 6 (P0)],BC54,RZ[Úroveň 7 (P0)],BD54,RZ[Úroveň 8 (P0)],BE54,RZ[Úroveň 9 (P0)],BF54),RZ[[#This Row],[Koeficient odhadu HR '[-'] (P1)]]*$BP54*$IG54)</f>
        <v>0</v>
      </c>
      <c r="CY54" s="132">
        <f ca="1">IF(OFFSET(BG54,1,0,1,1)&lt;&gt;0,$BP54*SUMIFS(RZ[Úroveň 10 bez koef. (P2)],RZ[0],AX54,RZ[Úroveň 2 (P0)],AY54,RZ[Úroveň 3 (P0)],AZ54,RZ[Úroveň 4 (P0)],BA54,RZ[Úroveň 5 (P0)],BB54,RZ[Úroveň 6 (P0)],BC54,RZ[Úroveň 7 (P0)],BD54,RZ[Úroveň 8 (P0)],BE54,RZ[Úroveň 9 (P0)],BF54),$BP54*$IG54)</f>
        <v>0</v>
      </c>
      <c r="CZ54" s="138">
        <f>RZ[[#This Row],[Úroveň 10 s koef. (P2a)]]*RZ[[#This Row],[Počet MJHR (P0)]]</f>
        <v>0</v>
      </c>
      <c r="DA54" s="138">
        <f>RZ[Úroveň 10 bez koef. (P2a)]*RZ[[#This Row],[Počet MJHR (P0)]]</f>
        <v>0</v>
      </c>
      <c r="DB54" s="138">
        <f>RZ[[#This Row],[Koeficient odhadu HR '[-'] (P1)]]*$BQ54*IG54</f>
        <v>0</v>
      </c>
      <c r="DC54" s="231">
        <f t="shared" si="175"/>
        <v>0</v>
      </c>
      <c r="DD54" s="241">
        <f t="shared" ca="1" si="176"/>
        <v>208.58</v>
      </c>
      <c r="DE54" s="229">
        <f t="shared" ca="1" si="177"/>
        <v>208.58</v>
      </c>
      <c r="DF54" s="912">
        <f t="shared" si="178"/>
        <v>0</v>
      </c>
      <c r="DG54" s="913">
        <f t="shared" si="179"/>
        <v>0</v>
      </c>
      <c r="DH54" s="913">
        <f t="shared" si="180"/>
        <v>1</v>
      </c>
      <c r="DI54" s="913">
        <f t="shared" si="181"/>
        <v>0</v>
      </c>
      <c r="DJ54" s="913">
        <f t="shared" si="182"/>
        <v>0</v>
      </c>
      <c r="DK54" s="913">
        <f t="shared" si="183"/>
        <v>0</v>
      </c>
      <c r="DL54" s="913">
        <f t="shared" si="184"/>
        <v>0</v>
      </c>
      <c r="DM54" s="913">
        <f t="shared" si="185"/>
        <v>0</v>
      </c>
      <c r="DN54" s="913">
        <f t="shared" si="186"/>
        <v>0</v>
      </c>
      <c r="DO54" s="913">
        <f t="shared" si="187"/>
        <v>0</v>
      </c>
      <c r="DP54" s="914">
        <f ca="1">SUMIFS(RZ[Úroveň 1 (P4)],RZ[0],AX54)</f>
        <v>1</v>
      </c>
      <c r="DQ54" s="914">
        <f ca="1">SUMIFS(RZ[Úroveň 2 (P4)],RZ[0],AX54,RZ[Úroveň 2 (P0)],AY54)</f>
        <v>1</v>
      </c>
      <c r="DR54" s="914">
        <f ca="1">SUMIFS(RZ[Úroveň 3 (P4)],RZ[0],AX54,RZ[Úroveň 2 (P0)],AY54,RZ[Úroveň 3 (P0)],AZ54)</f>
        <v>1</v>
      </c>
      <c r="DS54" s="914">
        <f ca="1">SUMIFS(RZ[Úroveň 4 (P4)],RZ[0],AX54,RZ[Úroveň 2 (P0)],AY54,RZ[Úroveň 3 (P0)],AZ54,RZ[Úroveň 4 (P0)],BA54)</f>
        <v>0</v>
      </c>
      <c r="DT54" s="914">
        <f ca="1">SUMIFS(RZ[Úroveň 5 (P4)],RZ[0],AX54,RZ[Úroveň 2 (P0)],AY54,RZ[Úroveň 3 (P0)],AZ54,RZ[Úroveň 4 (P0)],BA54,RZ[Úroveň 5 (P0)],BB54)</f>
        <v>0</v>
      </c>
      <c r="DU54" s="914">
        <f ca="1">SUMIFS(RZ[Úroveň 6 (P4)],RZ[0],AX54,RZ[Úroveň 2 (P0)],AY54,RZ[Úroveň 3 (P0)],AZ54,RZ[Úroveň 4 (P0)],BA54,RZ[Úroveň 5 (P0)],BB54,RZ[Úroveň 6 (P0)],BC54)</f>
        <v>0</v>
      </c>
      <c r="DV54" s="914">
        <f ca="1">SUMIFS(RZ[Úroveň 7 (P4)],RZ[0],AX54,RZ[Úroveň 2 (P0)],AY54,RZ[Úroveň 3 (P0)],AZ54,RZ[Úroveň 4 (P0)],BA54,RZ[Úroveň 5 (P0)],BB54,RZ[Úroveň 6 (P0)],BC54,RZ[Úroveň 7 (P0)],BD54)</f>
        <v>0</v>
      </c>
      <c r="DW54" s="914">
        <f ca="1">SUMIFS(RZ[Úroveň 8 (P4)],RZ[0],AX54,RZ[Úroveň 2 (P0)],AY54,RZ[Úroveň 3 (P0)],AZ54,RZ[Úroveň 4 (P0)],BA54,RZ[Úroveň 5 (P0)],BB54,RZ[Úroveň 6 (P0)],BC54,RZ[Úroveň 7 (P0)],BD54,RZ[Úroveň 8 (P0)],BE54)</f>
        <v>0</v>
      </c>
      <c r="DX54" s="914">
        <f ca="1">SUMIFS(RZ[Úroveň 9 (P4)],RZ[0],AX54,RZ[Úroveň 2 (P0)],AY54,RZ[Úroveň 3 (P0)],AZ54,RZ[Úroveň 4 (P0)],BA54,RZ[Úroveň 5 (P0)],BB54,RZ[Úroveň 6 (P0)],BC54,RZ[Úroveň 7 (P0)],BD54,RZ[Úroveň 8 (P0)],BE54,RZ[Úroveň 9 (P0)],BF54)</f>
        <v>0</v>
      </c>
      <c r="DY54" s="914">
        <f ca="1">SUMIFS(RZ[Úroveň 10 (P4)],RZ[0],AX54,RZ[Úroveň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DZ54" s="915">
        <f t="shared" ca="1" si="188"/>
        <v>1</v>
      </c>
      <c r="EA54" s="916">
        <f ca="1">RZ[[#This Row],[Jednotková hmotnost bez koef. '[kg/MJHR'] (P0)]]*RZ[[#This Row],[Počet MJHR v rozpadu (P0)]]</f>
        <v>208.58</v>
      </c>
      <c r="EB54" s="917">
        <f ca="1">IF(OFFSET(AY54,1,0,1,1)&lt;&gt;0,RZ[[#This Row],[Koeficient odhadu CR '[-'] (P1)]]*$BH54*SUMIFS(RZ[Úroveň 2 s koef. (P3)],RZ[0],AX54),RZ[[#This Row],[Koeficient odhadu CR '[-'] (P1)]]*$BH54*$IQ54)</f>
        <v>0</v>
      </c>
      <c r="EC54" s="191">
        <f ca="1">IF(OFFSET(AY54,1,0,1,1)&lt;&gt;0,$BH54*SUMIFS(RZ[Úroveň 2 bez koef. (P3)],RZ[0],AX54),$BH54*$IQ54)</f>
        <v>0</v>
      </c>
      <c r="ED54" s="140">
        <f ca="1">RZ[[#This Row],[Úroveň 2 s koef. (P3a)]]*RZ[[#This Row],[Počet MJCR (P0) pro "kg"]]</f>
        <v>0</v>
      </c>
      <c r="EE54" s="140">
        <f ca="1">RZ[Úroveň 2 bez koef. (P3a)]*RZ[[#This Row],[Počet MJCR (P0) pro "kg"]]</f>
        <v>0</v>
      </c>
      <c r="EF54" s="140">
        <f ca="1">IF(OFFSET(AZ54,1,0,1,1)&lt;&gt;0,RZ[[#This Row],[Koeficient odhadu CR '[-'] (P1)]]*$BI54*SUMIFS(RZ[Úroveň 3 s koef. (P3)],RZ[0],AX54,RZ[Úroveň 2 (P0)],AY54),RZ[[#This Row],[Koeficient odhadu CR '[-'] (P1)]]*$BI54*$IQ54)</f>
        <v>0</v>
      </c>
      <c r="EG54" s="140">
        <f ca="1">IF(OFFSET(AZ54,1,0,1,1)&lt;&gt;0,$BI54*SUMIFS(RZ[Úroveň 3 bez koef. (P3)],RZ[0],AX54,RZ[Úroveň 2 (P0)],AY54),$BI54*$IQ54)</f>
        <v>0</v>
      </c>
      <c r="EH54" s="135">
        <f ca="1">RZ[[#This Row],[Úroveň 3 s koef. (P3a)]]*RZ[[#This Row],[Počet MJCR (P0) pro "kg"]]</f>
        <v>22943.800000000003</v>
      </c>
      <c r="EI54" s="135">
        <f ca="1">RZ[Úroveň 3 bez koef. (P3a)]*RZ[[#This Row],[Počet MJCR (P0) pro "kg"]]</f>
        <v>22943.800000000003</v>
      </c>
      <c r="EJ54" s="135">
        <f ca="1">IF(OFFSET(BA54,1,0,1,1)&lt;&gt;0,RZ[[#This Row],[Koeficient odhadu CR '[-'] (P1)]]*$BJ54*SUMIFS(RZ[Úroveň 4 s koef. (P3)],RZ[0],AX54,RZ[Úroveň 2 (P0)],AY54,RZ[Úroveň 3 (P0)],AZ54),RZ[[#This Row],[Koeficient odhadu CR '[-'] (P1)]]*$BJ54*$IQ54)</f>
        <v>110</v>
      </c>
      <c r="EK54" s="135">
        <f ca="1">IF(OFFSET(BA54,1,0,1,1)&lt;&gt;0,$BJ54*SUMIFS(RZ[Úroveň 4 bez koef. (P3)],RZ[0],AX54,RZ[Úroveň 2 (P0)],AY54,RZ[Úroveň 3 (P0)],AZ54),$BJ54*$IQ54)</f>
        <v>110</v>
      </c>
      <c r="EL54" s="140">
        <f ca="1">RZ[[#This Row],[Úroveň 4 s koef. (P3a)]]*RZ[[#This Row],[Počet MJCR (P0) pro "kg"]]</f>
        <v>0</v>
      </c>
      <c r="EM54" s="140">
        <f ca="1">RZ[Úroveň 4 bez koef. (P3a)]*RZ[[#This Row],[Počet MJCR (P0) pro "kg"]]</f>
        <v>0</v>
      </c>
      <c r="EN54" s="140">
        <f ca="1">IF(OFFSET(BB54,1,0,1,1)&lt;&gt;0,RZ[[#This Row],[Koeficient odhadu CR '[-'] (P1)]]*$BK54*SUMIFS(RZ[Úroveň 5 s koef. (P3)],RZ[0],AX54,RZ[Úroveň 2 (P0)],AY54,RZ[Úroveň 3 (P0)],AZ54,RZ[Úroveň 4 (P0)],BA54),RZ[[#This Row],[Koeficient odhadu CR '[-'] (P1)]]*$BK54*$IQ54)</f>
        <v>0</v>
      </c>
      <c r="EO54" s="140">
        <f ca="1">IF(OFFSET(BB54,1,0,1,1)&lt;&gt;0,$BK54*SUMIFS(RZ[Úroveň 5 bez koef. (P3)],RZ[0],AX54,RZ[Úroveň 2 (P0)],AY54,RZ[Úroveň 3 (P0)],AZ54,RZ[Úroveň 4 (P0)],BA54),$BK54*$IQ54)</f>
        <v>0</v>
      </c>
      <c r="EP54" s="135">
        <f ca="1">RZ[[#This Row],[Úroveň 5 s koef. (P3a)]]*RZ[[#This Row],[Počet MJCR (P0) pro "kg"]]</f>
        <v>0</v>
      </c>
      <c r="EQ54" s="135">
        <f ca="1">RZ[Úroveň 5 bez koef. (P3a)]*RZ[[#This Row],[Počet MJCR (P0) pro "kg"]]</f>
        <v>0</v>
      </c>
      <c r="ER54" s="135">
        <f ca="1">IF(OFFSET(BC54,1,0,1,1)&lt;&gt;0,RZ[[#This Row],[Koeficient odhadu CR '[-'] (P1)]]*$BL54*SUMIFS(RZ[Úroveň 6 s koef. (P3)],RZ[0],AX54,RZ[Úroveň 2 (P0)],AY54,RZ[Úroveň 3 (P0)],AZ54,RZ[Úroveň 4 (P0)],BA54,RZ[Úroveň 5 (P0)],BB54),RZ[[#This Row],[Koeficient odhadu CR '[-'] (P1)]]*$BL54*$IQ54)</f>
        <v>0</v>
      </c>
      <c r="ES54" s="135">
        <f ca="1">IF(OFFSET(BC54,1,0,1,1)&lt;&gt;0,$BL54*SUMIFS(RZ[Úroveň 6 bez koef. (P3)],RZ[0],AX54,RZ[Úroveň 2 (P0)],AY54,RZ[Úroveň 3 (P0)],AZ54,RZ[Úroveň 4 (P0)],BA54,RZ[Úroveň 5 (P0)],BB54),$BL54*$IQ54)</f>
        <v>0</v>
      </c>
      <c r="ET54" s="140">
        <f ca="1">RZ[[#This Row],[Úroveň 6 s koef. (P3a)]]*RZ[[#This Row],[Počet MJCR (P0) pro "kg"]]</f>
        <v>0</v>
      </c>
      <c r="EU54" s="140">
        <f ca="1">RZ[Úroveň 6 bez koef. (P3a)]*RZ[[#This Row],[Počet MJCR (P0) pro "kg"]]</f>
        <v>0</v>
      </c>
      <c r="EV54" s="140">
        <f ca="1">IF(OFFSET(BD54,1,0,1,1)&lt;&gt;0,RZ[[#This Row],[Koeficient odhadu CR '[-'] (P1)]]*$BM54*SUMIFS(RZ[Úroveň 7 s koef. (P3)],RZ[0],AX54,RZ[Úroveň 2 (P0)],AY54,RZ[Úroveň 3 (P0)],AZ54,RZ[Úroveň 4 (P0)],BA54,RZ[Úroveň 5 (P0)],BB54,RZ[Úroveň 6 (P0)],BC54),RZ[[#This Row],[Koeficient odhadu CR '[-'] (P1)]]*$BM54*$IQ54)</f>
        <v>0</v>
      </c>
      <c r="EW54" s="140">
        <f ca="1">IF(OFFSET(BD54,1,0,1,1)&lt;&gt;0,$BM54*SUMIFS(RZ[Úroveň 7 bez koef. (P3)],RZ[0],AX54,RZ[Úroveň 2 (P0)],AY54,RZ[Úroveň 3 (P0)],AZ54,RZ[Úroveň 4 (P0)],BA54,RZ[Úroveň 5 (P0)],BB54,RZ[Úroveň 6 (P0)],BC54),$BM54*$IQ54)</f>
        <v>0</v>
      </c>
      <c r="EX54" s="135">
        <f ca="1">RZ[[#This Row],[Úroveň 7 s koef. (P3a)]]*RZ[[#This Row],[Počet MJCR (P0) pro "kg"]]</f>
        <v>0</v>
      </c>
      <c r="EY54" s="135">
        <f ca="1">RZ[Úroveň 7 bez koef. (P3a)]*RZ[[#This Row],[Počet MJCR (P0) pro "kg"]]</f>
        <v>0</v>
      </c>
      <c r="EZ54" s="135">
        <f ca="1">IF(OFFSET(BE54,1,0,1,1)&lt;&gt;0,RZ[[#This Row],[Koeficient odhadu CR '[-'] (P1)]]*$BN54*SUMIFS(RZ[Úroveň 8 s koef. (P3)],RZ[0],AX54,RZ[Úroveň 2 (P0)],AY54,RZ[Úroveň 3 (P0)],AZ54,RZ[Úroveň 4 (P0)],BA54,RZ[Úroveň 5 (P0)],BB54,RZ[Úroveň 6 (P0)],BC54,RZ[Úroveň 7 (P0)],BD54),RZ[[#This Row],[Koeficient odhadu CR '[-'] (P1)]]*$BN54*$IQ54)</f>
        <v>0</v>
      </c>
      <c r="FA54" s="135">
        <f ca="1">IF(OFFSET(BE54,1,0,1,1)&lt;&gt;0,$BN54*SUMIFS(RZ[Úroveň 8 bez koef. (P3)],RZ[0],AX54,RZ[Úroveň 2 (P0)],AY54,RZ[Úroveň 3 (P0)],AZ54,RZ[Úroveň 4 (P0)],BA54,RZ[Úroveň 5 (P0)],BB54,RZ[Úroveň 6 (P0)],BC54,RZ[Úroveň 7 (P0)],BD54),$BN54*$IQ54)</f>
        <v>0</v>
      </c>
      <c r="FB54" s="140">
        <f ca="1">RZ[[#This Row],[Úroveň 8 s koef. (P3a)]]*RZ[[#This Row],[Počet MJCR (P0) pro "kg"]]</f>
        <v>0</v>
      </c>
      <c r="FC54" s="140">
        <f ca="1">RZ[Úroveň 8 bez koef. (P3a)]*RZ[[#This Row],[Počet MJCR (P0) pro "kg"]]</f>
        <v>0</v>
      </c>
      <c r="FD54" s="140">
        <f ca="1">IF(OFFSET(BF54,1,0,1,1)&lt;&gt;0,RZ[[#This Row],[Koeficient odhadu CR '[-'] (P1)]]*$BO54*SUMIFS(RZ[Úroveň 9 s koef. (P3)],RZ[0],AX54,RZ[Úroveň 2 (P0)],AY54,RZ[Úroveň 3 (P0)],AZ54,RZ[Úroveň 4 (P0)],BA54,RZ[Úroveň 5 (P0)],BB54,RZ[Úroveň 6 (P0)],BC54,RZ[Úroveň 7 (P0)],BD54,RZ[Úroveň 8 (P0)],BE54),RZ[[#This Row],[Koeficient odhadu CR '[-'] (P1)]]*$BO54*$IQ54)</f>
        <v>0</v>
      </c>
      <c r="FE54" s="140">
        <f ca="1">IF(OFFSET(BF54,1,0,1,1)&lt;&gt;0,$BO54*SUMIFS(RZ[Úroveň 9 bez koef. (P3)],RZ[0],AX54,RZ[Úroveň 2 (P0)],AY54,RZ[Úroveň 3 (P0)],AZ54,RZ[Úroveň 4 (P0)],BA54,RZ[Úroveň 5 (P0)],BB54,RZ[Úroveň 6 (P0)],BC54,RZ[Úroveň 7 (P0)],BD54,RZ[Úroveň 8 (P0)],BE54),$BO54*$IQ54)</f>
        <v>0</v>
      </c>
      <c r="FF54" s="135">
        <f ca="1">RZ[[#This Row],[Úroveň 9 s koef. (P3a)]]*RZ[[#This Row],[Počet MJCR (P0) pro "kg"]]</f>
        <v>0</v>
      </c>
      <c r="FG54" s="135">
        <f ca="1">RZ[Úroveň 9 bez koef. (P3a)]*RZ[[#This Row],[Počet MJCR (P0) pro "kg"]]</f>
        <v>0</v>
      </c>
      <c r="FH54" s="135">
        <f ca="1">IF(OFFSET(BG54,1,0,1,1)&lt;&gt;0,RZ[[#This Row],[Koeficient odhadu CR '[-'] (P1)]]*$BP54*SUMIFS(RZ[Úroveň 10 s koef. (P3)],RZ[0],AX54,RZ[Úroveň 2 (P0)],AY54,RZ[Úroveň 3 (P0)],AZ54,RZ[Úroveň 4 (P0)],BA54,RZ[Úroveň 5 (P0)],BB54,RZ[Úroveň 6 (P0)],BC54,RZ[Úroveň 7 (P0)],BD54,RZ[Úroveň 8 (P0)],BE54,RZ[Úroveň 9 (P0)],BF54),RZ[[#This Row],[Koeficient odhadu CR '[-'] (P1)]]*$BP54*$IQ54)</f>
        <v>0</v>
      </c>
      <c r="FI54" s="135">
        <f ca="1">IF(OFFSET(BG54,1,0,1,1)&lt;&gt;0,$BP54*SUMIFS(RZ[Úroveň 10 bez koef. (P3)],RZ[0],AX54,RZ[Úroveň 2 (P0)],AY54,RZ[Úroveň 3 (P0)],AZ54,RZ[Úroveň 4 (P0)],BA54,RZ[Úroveň 5 (P0)],BB54,RZ[Úroveň 6 (P0)],BC54,RZ[Úroveň 7 (P0)],BD54,RZ[Úroveň 8 (P0)],BE54,RZ[Úroveň 9 (P0)],BF54),$BP54*$IQ54)</f>
        <v>0</v>
      </c>
      <c r="FJ54" s="140">
        <f ca="1">RZ[[#This Row],[Úroveň 10 s koef. (P3a)]]*RZ[[#This Row],[Počet MJCR (P0) pro "kg"]]</f>
        <v>0</v>
      </c>
      <c r="FK54" s="140">
        <f ca="1">RZ[Úroveň 10 bez koef. (P3a)]*RZ[[#This Row],[Počet MJCR (P0) pro "kg"]]</f>
        <v>0</v>
      </c>
      <c r="FL54" s="140">
        <f ca="1">RZ[[#This Row],[Koeficient odhadu CR '[-'] (P1)]]*$BQ54*IQ54</f>
        <v>0</v>
      </c>
      <c r="FM54" s="236">
        <f t="shared" ca="1" si="189"/>
        <v>0</v>
      </c>
      <c r="FN54" s="194">
        <f t="shared" ca="1" si="190"/>
        <v>110</v>
      </c>
      <c r="FO54" s="238">
        <f t="shared" ca="1" si="191"/>
        <v>110</v>
      </c>
      <c r="FP54" s="135">
        <f t="shared" ca="1" si="192"/>
        <v>0</v>
      </c>
      <c r="FQ54" s="135">
        <f t="shared" ca="1" si="193"/>
        <v>0</v>
      </c>
      <c r="FR54" s="135">
        <f t="shared" ca="1" si="194"/>
        <v>208.58</v>
      </c>
      <c r="FS54" s="135">
        <f t="shared" ca="1" si="195"/>
        <v>0</v>
      </c>
      <c r="FT54" s="135">
        <f t="shared" ca="1" si="196"/>
        <v>0</v>
      </c>
      <c r="FU54" s="135">
        <f t="shared" ca="1" si="197"/>
        <v>0</v>
      </c>
      <c r="FV54" s="135">
        <f t="shared" ca="1" si="198"/>
        <v>0</v>
      </c>
      <c r="FW54" s="135">
        <f t="shared" ca="1" si="199"/>
        <v>0</v>
      </c>
      <c r="FX54" s="135">
        <f t="shared" ca="1" si="200"/>
        <v>0</v>
      </c>
      <c r="FY54" s="135">
        <f t="shared" ca="1" si="201"/>
        <v>0</v>
      </c>
      <c r="FZ54" s="140">
        <f ca="1">SUMIFS(RZ[Úroveň 1 (P6)],RZ[0],AX54)</f>
        <v>1</v>
      </c>
      <c r="GA54" s="140">
        <f ca="1">SUMIFS(RZ[Úroveň 2 (P6)],RZ[0],AX54,RZ[Úroveň 2 (P0)],AY54)</f>
        <v>1</v>
      </c>
      <c r="GB54" s="140">
        <f ca="1">SUMIFS(RZ[Úroveň 3 (P6)],RZ[0],AX54,RZ[Úroveň 2 (P0)],AY54,RZ[Úroveň 3 (P0)],AZ54)</f>
        <v>208.58</v>
      </c>
      <c r="GC54" s="140">
        <f ca="1">SUMIFS(RZ[Úroveň 4 (P6)],RZ[0],AX54,RZ[Úroveň 2 (P0)],AY54,RZ[Úroveň 3 (P0)],AZ54,RZ[Úroveň 4 (P0)],BA54)</f>
        <v>0</v>
      </c>
      <c r="GD54" s="140">
        <f ca="1">SUMIFS(RZ[Úroveň 5 (P6)],RZ[0],AX54,RZ[Úroveň 2 (P0)],AY54,RZ[Úroveň 3 (P0)],AZ54,RZ[Úroveň 4 (P0)],BA54,RZ[Úroveň 5 (P0)],BB54)</f>
        <v>0</v>
      </c>
      <c r="GE54" s="140">
        <f ca="1">SUMIFS(RZ[Úroveň 6 (P6)],RZ[0],AX54,RZ[Úroveň 2 (P0)],AY54,RZ[Úroveň 3 (P0)],AZ54,RZ[Úroveň 4 (P0)],BA54,RZ[Úroveň 5 (P0)],BB54,RZ[Úroveň 6 (P0)],BC54)</f>
        <v>0</v>
      </c>
      <c r="GF54" s="140">
        <f ca="1">SUMIFS(RZ[Úroveň 7 (P6)],RZ[0],AX54,RZ[Úroveň 2 (P0)],AY54,RZ[Úroveň 3 (P0)],AZ54,RZ[Úroveň 4 (P0)],BA54,RZ[Úroveň 5 (P0)],BB54,RZ[Úroveň 6 (P0)],BC54,RZ[Úroveň 7 (P0)],BD54)</f>
        <v>0</v>
      </c>
      <c r="GG54" s="140">
        <f ca="1">SUMIFS(RZ[Úroveň 8 (P6)],RZ[0],AX54,RZ[Úroveň 2 (P0)],AY54,RZ[Úroveň 3 (P0)],AZ54,RZ[Úroveň 4 (P0)],BA54,RZ[Úroveň 5 (P0)],BB54,RZ[Úroveň 6 (P0)],BC54,RZ[Úroveň 7 (P0)],BD54,RZ[Úroveň 8 (P0)],BE54)</f>
        <v>0</v>
      </c>
      <c r="GH54" s="140">
        <f ca="1">SUMIFS(RZ[Úroveň 9 (P6)],RZ[0],AX54,RZ[Úroveň 2 (P0)],AY54,RZ[Úroveň 3 (P0)],AZ54,RZ[Úroveň 4 (P0)],BA54,RZ[Úroveň 5 (P0)],BB54,RZ[Úroveň 6 (P0)],BC54,RZ[Úroveň 7 (P0)],BD54,RZ[Úroveň 8 (P0)],BE54,RZ[Úroveň 9 (P0)],BF54)</f>
        <v>0</v>
      </c>
      <c r="GI54" s="140">
        <f ca="1">SUMIFS(RZ[Úroveň 10 (P6)],RZ[0],AX54,RZ[Úroveň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GJ54" s="918">
        <f t="shared" ca="1" si="202"/>
        <v>208.58</v>
      </c>
      <c r="GK54" s="808">
        <f t="shared" si="203"/>
        <v>0</v>
      </c>
      <c r="GL54" s="808">
        <f t="shared" si="204"/>
        <v>0</v>
      </c>
      <c r="GM54" s="808">
        <f t="shared" si="205"/>
        <v>1</v>
      </c>
      <c r="GN54" s="808">
        <f t="shared" si="206"/>
        <v>0</v>
      </c>
      <c r="GO54" s="808">
        <f t="shared" si="207"/>
        <v>0</v>
      </c>
      <c r="GP54" s="808">
        <f t="shared" si="208"/>
        <v>0</v>
      </c>
      <c r="GQ54" s="808">
        <f t="shared" si="209"/>
        <v>0</v>
      </c>
      <c r="GR54" s="808">
        <f t="shared" si="210"/>
        <v>0</v>
      </c>
      <c r="GS54" s="808">
        <f t="shared" si="211"/>
        <v>0</v>
      </c>
      <c r="GT54" s="808">
        <f t="shared" si="212"/>
        <v>0</v>
      </c>
      <c r="GU54" s="809">
        <f ca="1">SUMIFS(RZ[Sloupec1],RZ[0],AX54)</f>
        <v>1</v>
      </c>
      <c r="GV54" s="809">
        <f ca="1">SUMIFS(RZ[Sloupec2],RZ[0],AX54,RZ[Úroveň 2 (P0)],AY54)</f>
        <v>1</v>
      </c>
      <c r="GW54" s="809">
        <f ca="1">SUMIFS(RZ[Sloupec3],RZ[0],AX54,RZ[Úroveň 2 (P0)],AY54,RZ[Úroveň 3 (P0)],AZ54)</f>
        <v>1</v>
      </c>
      <c r="GX54" s="809">
        <f ca="1">SUMIFS(RZ[Sloupec4],RZ[0],AX54,RZ[Úroveň 2 (P0)],AY54,RZ[Úroveň 3 (P0)],AZ54,RZ[Úroveň 4 (P0)],BA54)</f>
        <v>0</v>
      </c>
      <c r="GY54" s="809">
        <f ca="1">SUMIFS(RZ[Sloupec5],RZ[0],AX54,RZ[Úroveň 2 (P0)],AY54,RZ[Úroveň 3 (P0)],AZ54,RZ[Úroveň 4 (P0)],BA54,RZ[Úroveň 5 (P0)],BB54)</f>
        <v>0</v>
      </c>
      <c r="GZ54" s="809">
        <f ca="1">SUMIFS(RZ[Sloupec6],RZ[0],AX54,RZ[Úroveň 2 (P0)],AY54,RZ[Úroveň 3 (P0)],AZ54,RZ[Úroveň 4 (P0)],BA54,RZ[Úroveň 5 (P0)],BB54,RZ[Úroveň 6 (P0)],BC54)</f>
        <v>0</v>
      </c>
      <c r="HA54" s="809">
        <f ca="1">SUMIFS(RZ[Sloupec62],RZ[0],AX54,RZ[Úroveň 2 (P0)],AY54,RZ[Úroveň 3 (P0)],AZ54,RZ[Úroveň 4 (P0)],BA54,RZ[Úroveň 5 (P0)],BB54,RZ[Úroveň 6 (P0)],BC54,RZ[Úroveň 7 (P0)],BD54)</f>
        <v>0</v>
      </c>
      <c r="HB54" s="809">
        <f ca="1">SUMIFS(RZ[Sloupec63],RZ[0],AX54,RZ[Úroveň 2 (P0)],AY54,RZ[Úroveň 3 (P0)],AZ54,RZ[Úroveň 4 (P0)],BA54,RZ[Úroveň 5 (P0)],BB54,RZ[Úroveň 6 (P0)],BC54,RZ[Úroveň 7 (P0)],BD54,RZ[Úroveň 8 (P0)],BE54)</f>
        <v>0</v>
      </c>
      <c r="HC54" s="809">
        <f ca="1">SUMIFS(RZ[Sloupec64],RZ[0],AX54,RZ[Úroveň 2 (P0)],AY54,RZ[Úroveň 3 (P0)],AZ54,RZ[Úroveň 4 (P0)],BA54,RZ[Úroveň 5 (P0)],BB54,RZ[Úroveň 6 (P0)],BC54,RZ[Úroveň 7 (P0)],BD54,RZ[Úroveň 8 (P0)],BE54,RZ[Úroveň 9 (P0)],BF54)</f>
        <v>0</v>
      </c>
      <c r="HD54" s="809">
        <f ca="1">SUMIFS(RZ[Sloupec65],RZ[0],AX54,RZ[Úroveň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HE54" s="919">
        <f t="shared" ca="1" si="213"/>
        <v>1</v>
      </c>
      <c r="HF54" s="920" t="str">
        <f t="shared" si="214"/>
        <v/>
      </c>
      <c r="HG54" s="94" t="str">
        <f t="shared" si="215"/>
        <v/>
      </c>
      <c r="HH54" s="95" t="str">
        <f t="shared" si="216"/>
        <v/>
      </c>
      <c r="HI54" s="95" t="str">
        <f t="shared" si="217"/>
        <v>Spojovací materiál</v>
      </c>
      <c r="HJ54" s="96" t="str">
        <f t="shared" si="218"/>
        <v/>
      </c>
      <c r="HK54" s="96" t="str">
        <f t="shared" si="219"/>
        <v/>
      </c>
      <c r="HL54" s="96" t="str">
        <f t="shared" si="220"/>
        <v/>
      </c>
      <c r="HM54" s="96" t="str">
        <f t="shared" si="221"/>
        <v/>
      </c>
      <c r="HN54" s="96" t="str">
        <f t="shared" si="222"/>
        <v/>
      </c>
      <c r="HO54" s="96" t="str">
        <f t="shared" si="223"/>
        <v/>
      </c>
      <c r="HP54" s="96" t="str">
        <f t="shared" si="224"/>
        <v/>
      </c>
      <c r="HQ54" s="145" t="str">
        <f t="shared" si="225"/>
        <v>STSM</v>
      </c>
      <c r="HR54" s="921" t="str">
        <f t="shared" si="226"/>
        <v/>
      </c>
      <c r="HS54" s="173">
        <f t="shared" si="227"/>
        <v>0</v>
      </c>
      <c r="HT54" s="100">
        <f t="shared" si="228"/>
        <v>0</v>
      </c>
      <c r="HU54" s="100">
        <f t="shared" si="229"/>
        <v>0</v>
      </c>
      <c r="HV54" s="908" t="str">
        <f t="shared" si="230"/>
        <v>Zajíc</v>
      </c>
      <c r="HW54" s="922">
        <f t="shared" si="231"/>
        <v>42950.631585648145</v>
      </c>
      <c r="HX54" s="224">
        <f t="shared" si="232"/>
        <v>0</v>
      </c>
      <c r="HY54" s="263" t="str">
        <f t="shared" si="233"/>
        <v>S</v>
      </c>
      <c r="HZ54" s="263" t="str">
        <f t="shared" si="234"/>
        <v>N</v>
      </c>
      <c r="IA54" s="150">
        <f t="shared" si="235"/>
        <v>1</v>
      </c>
      <c r="IB54" s="319">
        <f t="shared" si="236"/>
        <v>110</v>
      </c>
      <c r="IC54" s="923">
        <f t="shared" si="237"/>
        <v>1</v>
      </c>
      <c r="ID54" s="924" t="str">
        <f t="shared" ca="1" si="238"/>
        <v>OK</v>
      </c>
      <c r="IE54" s="201" t="str">
        <f t="shared" si="239"/>
        <v>ks</v>
      </c>
      <c r="IF54" s="145">
        <f t="shared" si="240"/>
        <v>1</v>
      </c>
      <c r="IG54" s="216">
        <f t="shared" si="241"/>
        <v>208.58</v>
      </c>
      <c r="IH54" s="217">
        <f t="shared" si="242"/>
        <v>1</v>
      </c>
      <c r="II54" s="224" t="str">
        <f ca="1">IF(RZ[[#This Row],[Rozhodný sloupec indikativní ceny]]=1,"kg",IF($IW54=$JL$15,IF(JX54=0,JO54,JX54),IF($IW54=$KE$15,IF(KQ54=0,KH54,KQ54),IF($IW54=$KX$15,IF(LJ54=0,LA54,LJ54),IF($IW54=$LQ$15,IF(MC54=0,LT54,MC54),IF($IW54=$MJ$15,IF(NQ54=0,NH54,NQ54),0))))))</f>
        <v>kg</v>
      </c>
      <c r="IJ54" s="224">
        <f ca="1">IF((BH54+OFFSET(BH54,1,1,1,1))=2,RZ[[#This Row],[Počet MJHR (P0)]],IF((BI54+OFFSET(BI54,1,1,1,1))=2,RZ[[#This Row],[Počet MJHR (P0)]],IF((BJ54+OFFSET(BJ54,1,1,1,1))=2,RZ[[#This Row],[Počet MJHR (P0)]],IF((BK54+OFFSET(BK54,1,1,1,1))=2,RZ[[#This Row],[Počet MJHR (P0)]],IF((BL54+OFFSET(BL54,1,1,1,1))=2,RZ[[#This Row],[Počet MJHR (P0)]],IF((BM54+OFFSET(BM54,1,1,1,1))=2,RZ[[#This Row],[Počet MJHR (P0)]],IF((BN54+OFFSET(BN54,1,1,1,1))=2,RZ[[#This Row],[Počet MJHR (P0)]],IF((BO54+OFFSET(BO54,1,1,1,1))=2,RZ[[#This Row],[Počet MJHR (P0)]],IF((BP54+OFFSET(BP54,1,1,1,1))=2,RZ[[#This Row],[Počet MJHR (P0)]],IF((BQ54+OFFSET(BQ54,1,1,1,1))=2,RZ[[#This Row],[Počet MJHR (P0)]],IF(RZ[[#This Row],[Měrná jednotka CR (MJCR) (P0)]]=RZ[[#This Row],[Měrná jednotka HR '[MJHR'] (P0)]],RZ[[#This Row],[Počet MJHR (P0)]],IF($IW54=$JL$15,JY54,IF($IW54=$KE$15,KR54,IF($IW54=$KX$15,LK54,IF($IW54=$LQ$15,MD54,IF($IW54=$MJ$15,NR54,0))))))))))))))))</f>
        <v>0</v>
      </c>
      <c r="IK5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208.58</v>
      </c>
      <c r="IL54" s="145">
        <f ca="1">IF(AND(RZ[[#This Row],[Jednotková cena bez DPH '[cena/MJCR'] (P0)]]=0,RZ[[#This Row],[Indikativní jednotková cena '[CZK/kg'] (P1)]]&lt;&gt;0),1,0)</f>
        <v>0</v>
      </c>
      <c r="IM54" s="217">
        <f ca="1">VLOOKUP(RZ[[#This Row],[Kód položek]],INDIKAT_CENA,2,FALSE)</f>
        <v>110</v>
      </c>
      <c r="IN54" s="222">
        <f ca="1">IF(RZ[[#This Row],[Rozhodný sloupec indikativní ceny]]=1,RZ[[#This Row],[Indikativní jednotková cena '[CZK/kg'] (P1)]],RZ[[#This Row],[Jednotková cena bez DPH '[cena/MJCR'] (P0)]])</f>
        <v>110</v>
      </c>
      <c r="IO54" s="222">
        <f t="shared" si="243"/>
        <v>1</v>
      </c>
      <c r="IP54" s="224">
        <f ca="1">IF(RZ[[#This Row],[Rozhodný sloupec indikativní ceny]]=1,1,IF($IW54=$JL$15,KA54,IF($IW54=$KE$15,KT54,IF($IW54=$KX$15,LM54,IF($IW54=$LQ$15,MF54,IF($IW54=$MJ$15,NT54,0))))))</f>
        <v>1</v>
      </c>
      <c r="IQ54" s="225">
        <f ca="1">IF(RZ[[#This Row],[Jednotková cena bez DPH '[cena/MJCR'] (P1)]]="",0,IF(IP54=0,0,(RZ[[#This Row],[Jednotková cena bez DPH '[cena/MJCR'] (P1)]]*VLOOKUP(IP54,$BR$7:$BT$10,3))))</f>
        <v>110</v>
      </c>
      <c r="IR54" s="737"/>
      <c r="IS54" s="627">
        <f>IF(HY54=0,"",VLOOKUP(RZ[[#This Row],[Stav Projekce (P0)]],Vstupy!$E$11:'Vstupy'!$E$11:$H$17,4,FALSE))</f>
        <v>100</v>
      </c>
      <c r="IT54" s="925" t="str">
        <f>IF(RZ[[#This Row],[Stav Projekce (P0)]]=0,"",RZ[[#This Row],[Stav Projekce (P0)]])</f>
        <v>S</v>
      </c>
      <c r="IU54" s="925" t="str">
        <f>IF(RZ[[#This Row],[Stav Nákup (P0)]]=0,"",RZ[[#This Row],[Stav Nákup (P0)]])</f>
        <v>N</v>
      </c>
      <c r="IV54" s="926" t="str">
        <f t="shared" si="244"/>
        <v>Zajíc</v>
      </c>
      <c r="IW54" s="641">
        <v>1</v>
      </c>
      <c r="IX54" s="630"/>
      <c r="IY54" s="264"/>
      <c r="IZ54" s="648"/>
      <c r="JA54" s="100"/>
      <c r="JB54" s="100" t="s">
        <v>36</v>
      </c>
      <c r="JC54" s="100"/>
      <c r="JD54" s="100"/>
      <c r="JE54" s="100"/>
      <c r="JF54" s="100"/>
      <c r="JG54" s="100"/>
      <c r="JH54" s="100"/>
      <c r="JI54" s="100"/>
      <c r="JJ54" s="145" t="s">
        <v>766</v>
      </c>
      <c r="JK54" s="529"/>
      <c r="JL54" s="286"/>
      <c r="JM54" s="100"/>
      <c r="JN54" s="100"/>
      <c r="JO54" s="145" t="s">
        <v>35</v>
      </c>
      <c r="JP54" s="117">
        <v>1</v>
      </c>
      <c r="JQ54" s="117">
        <v>208.58</v>
      </c>
      <c r="JR54" s="148">
        <v>1</v>
      </c>
      <c r="JS54" s="145" t="s">
        <v>602</v>
      </c>
      <c r="JT54" s="631"/>
      <c r="JU54" s="148" t="s">
        <v>853</v>
      </c>
      <c r="JV54" s="154">
        <v>42950.631585648145</v>
      </c>
      <c r="JW54" s="145"/>
      <c r="JX54" s="210" t="s">
        <v>0</v>
      </c>
      <c r="JY54" s="117"/>
      <c r="JZ54" s="662">
        <v>110</v>
      </c>
      <c r="KA54" s="145">
        <v>1</v>
      </c>
      <c r="KB54" s="148">
        <v>1</v>
      </c>
      <c r="KC54" s="148" t="s">
        <v>611</v>
      </c>
      <c r="KD54" s="644"/>
      <c r="KE54" s="286"/>
      <c r="KF54" s="100"/>
      <c r="KG54" s="100"/>
      <c r="KH54" s="210"/>
      <c r="KI54" s="117"/>
      <c r="KJ54" s="117"/>
      <c r="KK54" s="148"/>
      <c r="KL54" s="145"/>
      <c r="KM54" s="632"/>
      <c r="KN54" s="148"/>
      <c r="KO54" s="154"/>
      <c r="KP54" s="154"/>
      <c r="KQ54" s="210"/>
      <c r="KR54" s="117"/>
      <c r="KS54" s="211"/>
      <c r="KT54" s="145"/>
      <c r="KU54" s="148"/>
      <c r="KV54" s="148"/>
      <c r="KW54" s="265"/>
      <c r="KX54" s="286"/>
      <c r="KY54" s="100"/>
      <c r="KZ54" s="100"/>
      <c r="LA54" s="210"/>
      <c r="LB54" s="117"/>
      <c r="LC54" s="117"/>
      <c r="LD54" s="148"/>
      <c r="LE54" s="145"/>
      <c r="LF54" s="632"/>
      <c r="LG54" s="148"/>
      <c r="LH54" s="154"/>
      <c r="LI54" s="154"/>
      <c r="LJ54" s="154"/>
      <c r="LK54" s="117"/>
      <c r="LL54" s="211"/>
      <c r="LM54" s="210"/>
      <c r="LN54" s="148"/>
      <c r="LO54" s="148"/>
      <c r="LP54" s="265"/>
      <c r="LQ54" s="286"/>
      <c r="LR54" s="100"/>
      <c r="LS54" s="100"/>
      <c r="LT54" s="210"/>
      <c r="LU54" s="117"/>
      <c r="LV54" s="117"/>
      <c r="LW54" s="148"/>
      <c r="LX54" s="145"/>
      <c r="LY54" s="632"/>
      <c r="LZ54" s="148"/>
      <c r="MA54" s="154"/>
      <c r="MB54" s="154"/>
      <c r="MC54" s="145"/>
      <c r="MD54" s="117"/>
      <c r="ME54" s="211"/>
      <c r="MF54" s="210"/>
      <c r="MG54" s="148"/>
      <c r="MH54" s="148"/>
      <c r="MI54" s="265"/>
      <c r="MJ54" s="647"/>
      <c r="MK54" s="264"/>
      <c r="ML54" s="153"/>
      <c r="MM54" s="153"/>
      <c r="MN54" s="153"/>
      <c r="MO54" s="153"/>
      <c r="MP54" s="153"/>
      <c r="MQ54" s="153"/>
      <c r="MR54" s="153"/>
      <c r="MS54" s="99"/>
      <c r="MT54" s="99"/>
      <c r="MU54" s="99"/>
      <c r="MV54" s="99"/>
      <c r="MW54" s="99"/>
      <c r="MX54" s="99"/>
      <c r="MY54" s="153"/>
      <c r="MZ54" s="153"/>
      <c r="NA54" s="153"/>
      <c r="NB54" s="153"/>
      <c r="NC54" s="153"/>
      <c r="ND54" s="153"/>
      <c r="NE54" s="148"/>
      <c r="NF54" s="153"/>
      <c r="NG54" s="153"/>
      <c r="NH54" s="330" t="str">
        <f t="shared" si="245"/>
        <v>ks</v>
      </c>
      <c r="NI54" s="797">
        <f>RZ[[#This Row],[Počet ks (K)]]</f>
        <v>0</v>
      </c>
      <c r="NJ54" s="798">
        <f>RZ[[#This Row],[Hmotnost '[kg/ks'] (K)]]</f>
        <v>0</v>
      </c>
      <c r="NK54" s="148"/>
      <c r="NL54" s="145"/>
      <c r="NM54" s="632"/>
      <c r="NN54" s="148"/>
      <c r="NO54" s="154"/>
      <c r="NP54" s="153"/>
      <c r="NQ54" s="153"/>
      <c r="NR54" s="210"/>
      <c r="NS54" s="148"/>
      <c r="NT54" s="210"/>
      <c r="NU54" s="148"/>
      <c r="NV54" s="148"/>
      <c r="NW54" s="175"/>
    </row>
    <row r="55" spans="2:387" ht="15.95" customHeight="1" x14ac:dyDescent="0.35">
      <c r="B55" s="118" t="str">
        <f t="shared" si="1"/>
        <v/>
      </c>
      <c r="C5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55" s="262" t="str">
        <f t="shared" si="2"/>
        <v xml:space="preserve">  Podpěrné kladky krajní</v>
      </c>
      <c r="E55" s="12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Row],[Kód položek (P2)]]))))))))))</f>
        <v>-</v>
      </c>
      <c r="F55" s="122" t="str">
        <f t="shared" si="3"/>
        <v>N/A</v>
      </c>
      <c r="G55" s="121" t="str">
        <f t="shared" si="4"/>
        <v/>
      </c>
      <c r="H55" s="122" t="str">
        <f t="shared" si="5"/>
        <v/>
      </c>
      <c r="I55" s="123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HR '[MJHR'] (P0)]]))))))))))</f>
        <v>sest</v>
      </c>
      <c r="J55" s="123">
        <f t="shared" si="6"/>
        <v>2</v>
      </c>
      <c r="K55" s="151">
        <f>RZ[[#This Row],[Koeficient odhadu HR '[-'] (P1)]]</f>
        <v>1</v>
      </c>
      <c r="L55" s="124">
        <f ca="1">RZ[[#This Row],[Jednotková hmotnost s koef. '[kg/MJHR'] (P0)]]</f>
        <v>6613.0319999999992</v>
      </c>
      <c r="M55" s="124">
        <f t="shared" ca="1" si="7"/>
        <v>0</v>
      </c>
      <c r="N55" s="125">
        <f t="shared" ca="1" si="8"/>
        <v>13226.063999999998</v>
      </c>
      <c r="O55" s="125">
        <f t="shared" ca="1" si="9"/>
        <v>0</v>
      </c>
      <c r="P55" s="328" t="str">
        <f t="shared" si="10"/>
        <v/>
      </c>
      <c r="Q55" s="743">
        <f ca="1">RZ[[#This Row],[Počet MJHR v rozpadu (P0)]]</f>
        <v>2</v>
      </c>
      <c r="R55" s="439" t="str">
        <f t="shared" si="11"/>
        <v/>
      </c>
      <c r="S55" s="129" t="str">
        <f t="shared" si="12"/>
        <v/>
      </c>
      <c r="T55" s="130" t="str">
        <f t="shared" si="13"/>
        <v/>
      </c>
      <c r="U55" s="126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CR (MJCR) (P0)]]))))))))))</f>
        <v>sest</v>
      </c>
      <c r="V55" s="575">
        <f t="shared" ca="1" si="14"/>
        <v>2</v>
      </c>
      <c r="W55" s="322">
        <f>RZ[[#This Row],[Koeficient odhadu CR '[-'] (P1)]]</f>
        <v>1</v>
      </c>
      <c r="X55" s="44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Row],[Jednotková cena bez DPH '[cena/MJCR'] (P1)]]*RZ[[#This Row],[Koeficient odhadu CR '[-']]]))))))))))</f>
        <v>-</v>
      </c>
      <c r="Y55" s="440">
        <f t="shared" ca="1" si="108"/>
        <v>0</v>
      </c>
      <c r="Z55" s="142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VLOOKUP(IP55,$BR$7:$BS$11,2,FALSE)))))))))))</f>
        <v>-</v>
      </c>
      <c r="AA55" s="811">
        <f t="shared" ca="1" si="16"/>
        <v>2</v>
      </c>
      <c r="AB55" s="814">
        <f ca="1">RZ[[#This Row],[Kumulovaný koeficient v rozpadu (P0)]]</f>
        <v>1</v>
      </c>
      <c r="AC55" s="260"/>
      <c r="AD55" s="510">
        <f ca="1">RZ[[#This Row],[Jednotková cena bez DPH '[cena/MJCR'] s koef. (P0)]]/RZ[[#This Row],[Koeficient odhadu CR '[-']]]*RZ[[#This Row],[Kumulovaný koeficient odhadu CR  '[-']]]</f>
        <v>1106904.0200000003</v>
      </c>
      <c r="AE55" s="511">
        <f t="shared" ca="1" si="17"/>
        <v>2213808.0400000005</v>
      </c>
      <c r="AF55" s="512">
        <f ca="1">-IF(ISNUMBER(AA55),RZ[[#This Row],[Celková cena bez DPH (1)]]-RZ[[#This Row],[Jednotková cena bez DPH '[cena/MJCR'] bez koef. (P0)]]*AA55,0)</f>
        <v>-40000.000000000466</v>
      </c>
      <c r="AG5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167.38222648854571</v>
      </c>
      <c r="AH55" s="261"/>
      <c r="AI55" s="510">
        <f t="shared" ca="1" si="18"/>
        <v>40996.445185185192</v>
      </c>
      <c r="AJ55" s="511">
        <f t="shared" ca="1" si="19"/>
        <v>81992.890370370384</v>
      </c>
      <c r="AK55" s="512">
        <f t="shared" ca="1" si="20"/>
        <v>-1481.4814814814988</v>
      </c>
      <c r="AL55" s="753">
        <f ca="1">RZ[[#This Row],[Kilogramová cena bez DPH '[cena/kg'] (1)]]/$AK$13</f>
        <v>6.1993417217979889</v>
      </c>
      <c r="AM55" s="261"/>
      <c r="AN55" s="510">
        <f t="shared" ca="1" si="21"/>
        <v>53473.624154589386</v>
      </c>
      <c r="AO55" s="511">
        <f t="shared" ca="1" si="22"/>
        <v>106947.24830917877</v>
      </c>
      <c r="AP55" s="512">
        <f t="shared" ca="1" si="23"/>
        <v>-1932.3671497584767</v>
      </c>
      <c r="AQ55" s="753">
        <f ca="1">RZ[[#This Row],[Kilogramová cena bez DPH '[cena/kg'] (1)]]/$AP$13</f>
        <v>8.0860978979973783</v>
      </c>
      <c r="AR55" s="261"/>
      <c r="AS55" s="510">
        <f t="shared" ca="1" si="24"/>
        <v>30276.368161925606</v>
      </c>
      <c r="AT55" s="511">
        <f t="shared" ca="1" si="25"/>
        <v>60552.736323851212</v>
      </c>
      <c r="AU55" s="511">
        <f t="shared" ca="1" si="26"/>
        <v>-1094.0919037199251</v>
      </c>
      <c r="AV55" s="767">
        <f ca="1">RZ[[#This Row],[Kilogramová cena bez DPH '[cena/kg'] (1)]]/$AU$13</f>
        <v>4.5782884706932627</v>
      </c>
      <c r="AW55" s="165"/>
      <c r="AX55" s="110">
        <f t="shared" ca="1" si="27"/>
        <v>2</v>
      </c>
      <c r="AY55" s="55">
        <f t="shared" ca="1" si="28"/>
        <v>2</v>
      </c>
      <c r="AZ55" s="111">
        <f t="shared" ca="1" si="29"/>
        <v>0</v>
      </c>
      <c r="BA55" s="111">
        <f t="shared" ca="1" si="30"/>
        <v>0</v>
      </c>
      <c r="BB55" s="111">
        <f t="shared" ca="1" si="31"/>
        <v>0</v>
      </c>
      <c r="BC55" s="111">
        <f t="shared" ca="1" si="32"/>
        <v>0</v>
      </c>
      <c r="BD55" s="111">
        <f t="shared" ca="1" si="33"/>
        <v>0</v>
      </c>
      <c r="BE55" s="111">
        <f t="shared" ca="1" si="109"/>
        <v>0</v>
      </c>
      <c r="BF55" s="111">
        <f t="shared" ca="1" si="34"/>
        <v>0</v>
      </c>
      <c r="BG55" s="112">
        <f t="shared" ca="1" si="35"/>
        <v>0</v>
      </c>
      <c r="BH55" s="110">
        <f t="shared" si="110"/>
        <v>0</v>
      </c>
      <c r="BI55" s="55">
        <f t="shared" si="111"/>
        <v>1</v>
      </c>
      <c r="BJ55" s="55">
        <f t="shared" si="112"/>
        <v>0</v>
      </c>
      <c r="BK55" s="111">
        <f t="shared" si="113"/>
        <v>0</v>
      </c>
      <c r="BL55" s="111">
        <f t="shared" si="114"/>
        <v>0</v>
      </c>
      <c r="BM55" s="111">
        <f t="shared" si="115"/>
        <v>0</v>
      </c>
      <c r="BN55" s="111">
        <f t="shared" si="116"/>
        <v>0</v>
      </c>
      <c r="BO55" s="111">
        <f t="shared" si="117"/>
        <v>0</v>
      </c>
      <c r="BP55" s="111">
        <f t="shared" si="118"/>
        <v>0</v>
      </c>
      <c r="BQ55" s="112">
        <f t="shared" si="119"/>
        <v>0</v>
      </c>
      <c r="BR55" s="186">
        <f ca="1">IF(OFFSET(AY55,1,0,1,1)&lt;&gt;0,RZ[[#This Row],[Koeficient odhadu HR '[-'] (P1)]]*$BH55*SUMIFS(RZ[Úroveň 2 s koef. (P2)],RZ[0],AX55),RZ[[#This Row],[Koeficient odhadu HR '[-'] (P1)]]*$BH55*$IG55)</f>
        <v>0</v>
      </c>
      <c r="BS55" s="186">
        <f ca="1">IF(OFFSET(AY55,1,0,1,1)&lt;&gt;0,$BH55*SUMIFS(RZ[Úroveň 2 bez koef. (P2)],RZ[0],AX55),$BH55*$IG55)</f>
        <v>0</v>
      </c>
      <c r="BT55" s="138">
        <f ca="1">RZ[[#This Row],[Úroveň 2 s koef. (P2a)]]*RZ[[#This Row],[Počet MJHR (P0)]]</f>
        <v>13226.063999999998</v>
      </c>
      <c r="BU55" s="138">
        <f ca="1">RZ[[#This Row],[Úroveň 2 bez koef. (P2a)]]*RZ[[#This Row],[Počet MJHR (P0)]]</f>
        <v>13226.063999999998</v>
      </c>
      <c r="BV55" s="138">
        <f ca="1">IF(OFFSET(AZ55,1,0,1,1)&lt;&gt;0,RZ[[#This Row],[Koeficient odhadu HR '[-'] (P1)]]*$BI55*SUMIFS(RZ[Úroveň 3 s koef. (P2)],RZ[0],AX55,RZ[Úroveň 2 (P0)],AY55),RZ[[#This Row],[Koeficient odhadu HR '[-'] (P1)]]*$BI55*$IG55)</f>
        <v>6613.0319999999992</v>
      </c>
      <c r="BW55" s="138">
        <f ca="1">IF(OFFSET(AZ55,1,0,1,1)&lt;&gt;0,$BI55*SUMIFS(RZ[Úroveň 3 bez koef. (P2)],RZ[0],AX55,RZ[Úroveň 2 (P0)],AY55),$BI55*$IG55)</f>
        <v>6613.0319999999992</v>
      </c>
      <c r="BX55" s="132">
        <f ca="1">RZ[[#This Row],[Úroveň 3 s koef. (P2a)]]*RZ[[#This Row],[Počet MJHR (P0)]]</f>
        <v>0</v>
      </c>
      <c r="BY55" s="132">
        <f ca="1">RZ[Úroveň 3 bez koef. (P2a)]*RZ[[#This Row],[Počet MJHR (P0)]]</f>
        <v>0</v>
      </c>
      <c r="BZ55" s="132">
        <f ca="1">IF(OFFSET(BA55,1,0,1,1)&lt;&gt;0,RZ[[#This Row],[Koeficient odhadu HR '[-'] (P1)]]*$BJ55*SUMIFS(RZ[Úroveň 4 s koef. (P2)],RZ[0],AX55,RZ[Úroveň 2 (P0)],AY55,RZ[Úroveň 3 (P0)],AZ55),RZ[[#This Row],[Koeficient odhadu HR '[-'] (P1)]]*$BJ55*$IG55)</f>
        <v>0</v>
      </c>
      <c r="CA55" s="132">
        <f ca="1">IF(OFFSET(BA55,1,0,1,1)&lt;&gt;0,$BJ55*SUMIFS(RZ[Úroveň 4 bez koef. (P2)],RZ[0],AX55,RZ[Úroveň 2 (P0)],AY55,RZ[Úroveň 3 (P0)],AZ55),$BJ55*$IG55)</f>
        <v>0</v>
      </c>
      <c r="CB55" s="138">
        <f ca="1">RZ[[#This Row],[Úroveň 4 s koef. (P2a)]]*RZ[[#This Row],[Počet MJHR (P0)]]</f>
        <v>0</v>
      </c>
      <c r="CC55" s="138">
        <f ca="1">RZ[Úroveň 4 bez koef. (P2a)]*RZ[[#This Row],[Počet MJHR (P0)]]</f>
        <v>0</v>
      </c>
      <c r="CD55" s="138">
        <f ca="1">IF(OFFSET(BB55,1,0,1,1)&lt;&gt;0,RZ[[#This Row],[Koeficient odhadu HR '[-'] (P1)]]*$BK55*SUMIFS(RZ[Úroveň 5 s koef. (P2)],RZ[0],AX55,RZ[Úroveň 2 (P0)],AY55,RZ[Úroveň 3 (P0)],AZ55,RZ[Úroveň 4 (P0)],BA55),RZ[[#This Row],[Koeficient odhadu HR '[-'] (P1)]]*$BK55*$IG55)</f>
        <v>0</v>
      </c>
      <c r="CE55" s="138">
        <f ca="1">IF(OFFSET(BB55,1,0,1,1)&lt;&gt;0,$BK55*SUMIFS(RZ[Úroveň 5 bez koef. (P2)],RZ[0],AX55,RZ[Úroveň 2 (P0)],AY55,RZ[Úroveň 3 (P0)],AZ55,RZ[Úroveň 4 (P0)],BA55),$BK55*$IG55)</f>
        <v>0</v>
      </c>
      <c r="CF55" s="132">
        <f ca="1">RZ[[#This Row],[Úroveň 5 s koef. (P2a)]]*RZ[[#This Row],[Počet MJHR (P0)]]</f>
        <v>0</v>
      </c>
      <c r="CG55" s="132">
        <f ca="1">RZ[Úroveň 5 bez koef. (P2a)]*RZ[[#This Row],[Počet MJHR (P0)]]</f>
        <v>0</v>
      </c>
      <c r="CH55" s="132">
        <f ca="1">IF(OFFSET(BC55,1,0,1,1)&lt;&gt;0,RZ[[#This Row],[Koeficient odhadu HR '[-'] (P1)]]*$BL55*SUMIFS(RZ[Úroveň 6 s koef. (P2)],RZ[0],AX55,RZ[Úroveň 2 (P0)],AY55,RZ[Úroveň 3 (P0)],AZ55,RZ[Úroveň 4 (P0)],BA55,RZ[Úroveň 5 (P0)],BB55),RZ[[#This Row],[Koeficient odhadu HR '[-'] (P1)]]*$BL55*$IG55)</f>
        <v>0</v>
      </c>
      <c r="CI55" s="132">
        <f ca="1">IF(OFFSET(BC55,1,0,1,1)&lt;&gt;0,$BL55*SUMIFS(RZ[Úroveň 6 bez koef. (P2)],RZ[0],AX55,RZ[Úroveň 2 (P0)],AY55,RZ[Úroveň 3 (P0)],AZ55,RZ[Úroveň 4 (P0)],BA55,RZ[Úroveň 5 (P0)],BB55),$BL55*$IG55)</f>
        <v>0</v>
      </c>
      <c r="CJ55" s="138">
        <f ca="1">RZ[[#This Row],[Úroveň 6 s koef. (P2a)]]*RZ[[#This Row],[Počet MJHR (P0)]]</f>
        <v>0</v>
      </c>
      <c r="CK55" s="138">
        <f ca="1">RZ[Úroveň 6 bez koef. (P2a)]*RZ[[#This Row],[Počet MJHR (P0)]]</f>
        <v>0</v>
      </c>
      <c r="CL55" s="138">
        <f ca="1">IF(OFFSET(BD55,1,0,1,1)&lt;&gt;0,RZ[[#This Row],[Koeficient odhadu HR '[-'] (P1)]]*$BM55*SUMIFS(RZ[Úroveň 7 s koef. (P2)],RZ[0],AX55,RZ[Úroveň 2 (P0)],AY55,RZ[Úroveň 3 (P0)],AZ55,RZ[Úroveň 4 (P0)],BA55,RZ[Úroveň 5 (P0)],BB55,RZ[Úroveň 6 (P0)],BC55),RZ[[#This Row],[Koeficient odhadu HR '[-'] (P1)]]*$BM55*$IG55)</f>
        <v>0</v>
      </c>
      <c r="CM55" s="138">
        <f ca="1">IF(OFFSET(BD55,1,0,1,1)&lt;&gt;0,$BM55*SUMIFS(RZ[Úroveň 7 bez koef. (P2)],RZ[0],AX55,RZ[Úroveň 2 (P0)],AY55,RZ[Úroveň 3 (P0)],AZ55,RZ[Úroveň 4 (P0)],BA55,RZ[Úroveň 5 (P0)],BB55,RZ[Úroveň 6 (P0)],BC55),$BM55*$IG55)</f>
        <v>0</v>
      </c>
      <c r="CN55" s="132">
        <f ca="1">RZ[[#This Row],[Úroveň 7 s koef. (P2a)]]*RZ[[#This Row],[Počet MJHR (P0)]]</f>
        <v>0</v>
      </c>
      <c r="CO55" s="132">
        <f ca="1">RZ[Úroveň 7 bez koef. (P2a)]*RZ[[#This Row],[Počet MJHR (P0)]]</f>
        <v>0</v>
      </c>
      <c r="CP55" s="132">
        <f ca="1">IF(OFFSET(BE55,1,0,1,1)&lt;&gt;0,RZ[[#This Row],[Koeficient odhadu HR '[-'] (P1)]]*$BN55*SUMIFS(RZ[Úroveň 8 s koef. (P2)],RZ[0],AX55,RZ[Úroveň 2 (P0)],AY55,RZ[Úroveň 3 (P0)],AZ55,RZ[Úroveň 4 (P0)],BA55,RZ[Úroveň 5 (P0)],BB55,RZ[Úroveň 6 (P0)],BC55,RZ[Úroveň 7 (P0)],BD55),RZ[[#This Row],[Koeficient odhadu HR '[-'] (P1)]]*$BN55*$IG55)</f>
        <v>0</v>
      </c>
      <c r="CQ55" s="132">
        <f ca="1">IF(OFFSET(BE55,1,0,1,1)&lt;&gt;0,$BN55*SUMIFS(RZ[Úroveň 8 bez koef. (P2)],RZ[0],AX55,RZ[Úroveň 2 (P0)],AY55,RZ[Úroveň 3 (P0)],AZ55,RZ[Úroveň 4 (P0)],BA55,RZ[Úroveň 5 (P0)],BB55,RZ[Úroveň 6 (P0)],BC55,RZ[Úroveň 7 (P0)],BD55),$BN55*$IG55)</f>
        <v>0</v>
      </c>
      <c r="CR55" s="138">
        <f ca="1">RZ[[#This Row],[Úroveň 8 s koef. (P2a)]]*RZ[[#This Row],[Počet MJHR (P0)]]</f>
        <v>0</v>
      </c>
      <c r="CS55" s="138">
        <f ca="1">RZ[Úroveň 8 bez koef. (P2a)]*RZ[[#This Row],[Počet MJHR (P0)]]</f>
        <v>0</v>
      </c>
      <c r="CT55" s="138">
        <f ca="1">IF(OFFSET(BF55,1,0,1,1)&lt;&gt;0,RZ[[#This Row],[Koeficient odhadu HR '[-'] (P1)]]*$BO55*SUMIFS(RZ[Úroveň 9 s koef. (P2)],RZ[0],AX55,RZ[Úroveň 2 (P0)],AY55,RZ[Úroveň 3 (P0)],AZ55,RZ[Úroveň 4 (P0)],BA55,RZ[Úroveň 5 (P0)],BB55,RZ[Úroveň 6 (P0)],BC55,RZ[Úroveň 7 (P0)],BD55,RZ[Úroveň 8 (P0)],BE55),RZ[[#This Row],[Koeficient odhadu HR '[-'] (P1)]]*$BO55*$IG55)</f>
        <v>0</v>
      </c>
      <c r="CU55" s="138">
        <f ca="1">IF(OFFSET(BF55,1,0,1,1)&lt;&gt;0,$BO55*SUMIFS(RZ[Úroveň 9 bez koef. (P2)],RZ[0],AX55,RZ[Úroveň 2 (P0)],AY55,RZ[Úroveň 3 (P0)],AZ55,RZ[Úroveň 4 (P0)],BA55,RZ[Úroveň 5 (P0)],BB55,RZ[Úroveň 6 (P0)],BC55,RZ[Úroveň 7 (P0)],BD55,RZ[Úroveň 8 (P0)],BE55),$BO55*$IG55)</f>
        <v>0</v>
      </c>
      <c r="CV55" s="132">
        <f ca="1">RZ[[#This Row],[Úroveň 9 s koef. (P2a)]]*RZ[[#This Row],[Počet MJHR (P0)]]</f>
        <v>0</v>
      </c>
      <c r="CW55" s="132">
        <f ca="1">RZ[Úroveň 9 bez koef. (P2a)]*RZ[[#This Row],[Počet MJHR (P0)]]</f>
        <v>0</v>
      </c>
      <c r="CX55" s="132">
        <f ca="1">IF(OFFSET(BG55,1,0,1,1)&lt;&gt;0,RZ[[#This Row],[Koeficient odhadu HR '[-'] (P1)]]*$BP55*SUMIFS(RZ[Úroveň 10 s koef. (P2)],RZ[0],AX55,RZ[Úroveň 2 (P0)],AY55,RZ[Úroveň 3 (P0)],AZ55,RZ[Úroveň 4 (P0)],BA55,RZ[Úroveň 5 (P0)],BB55,RZ[Úroveň 6 (P0)],BC55,RZ[Úroveň 7 (P0)],BD55,RZ[Úroveň 8 (P0)],BE55,RZ[Úroveň 9 (P0)],BF55),RZ[[#This Row],[Koeficient odhadu HR '[-'] (P1)]]*$BP55*$IG55)</f>
        <v>0</v>
      </c>
      <c r="CY55" s="132">
        <f ca="1">IF(OFFSET(BG55,1,0,1,1)&lt;&gt;0,$BP55*SUMIFS(RZ[Úroveň 10 bez koef. (P2)],RZ[0],AX55,RZ[Úroveň 2 (P0)],AY55,RZ[Úroveň 3 (P0)],AZ55,RZ[Úroveň 4 (P0)],BA55,RZ[Úroveň 5 (P0)],BB55,RZ[Úroveň 6 (P0)],BC55,RZ[Úroveň 7 (P0)],BD55,RZ[Úroveň 8 (P0)],BE55,RZ[Úroveň 9 (P0)],BF55),$BP55*$IG55)</f>
        <v>0</v>
      </c>
      <c r="CZ55" s="138">
        <f>RZ[[#This Row],[Úroveň 10 s koef. (P2a)]]*RZ[[#This Row],[Počet MJHR (P0)]]</f>
        <v>0</v>
      </c>
      <c r="DA55" s="138">
        <f>RZ[Úroveň 10 bez koef. (P2a)]*RZ[[#This Row],[Počet MJHR (P0)]]</f>
        <v>0</v>
      </c>
      <c r="DB55" s="138">
        <f>RZ[[#This Row],[Koeficient odhadu HR '[-'] (P1)]]*$BQ55*IG55</f>
        <v>0</v>
      </c>
      <c r="DC55" s="231">
        <f t="shared" si="37"/>
        <v>0</v>
      </c>
      <c r="DD55" s="241">
        <f t="shared" ca="1" si="120"/>
        <v>6613.0319999999992</v>
      </c>
      <c r="DE55" s="229">
        <f t="shared" ca="1" si="121"/>
        <v>6613.0319999999992</v>
      </c>
      <c r="DF55" s="521">
        <f t="shared" si="40"/>
        <v>0</v>
      </c>
      <c r="DG55" s="522">
        <f t="shared" si="41"/>
        <v>2</v>
      </c>
      <c r="DH55" s="522">
        <f t="shared" si="42"/>
        <v>0</v>
      </c>
      <c r="DI55" s="523">
        <f t="shared" si="43"/>
        <v>0</v>
      </c>
      <c r="DJ55" s="524">
        <f t="shared" si="44"/>
        <v>0</v>
      </c>
      <c r="DK55" s="524">
        <f t="shared" si="45"/>
        <v>0</v>
      </c>
      <c r="DL55" s="524">
        <f t="shared" si="46"/>
        <v>0</v>
      </c>
      <c r="DM55" s="524">
        <f t="shared" si="47"/>
        <v>0</v>
      </c>
      <c r="DN55" s="524">
        <f t="shared" si="48"/>
        <v>0</v>
      </c>
      <c r="DO55" s="523">
        <f t="shared" si="49"/>
        <v>0</v>
      </c>
      <c r="DP55" s="525">
        <f ca="1">SUMIFS(RZ[Úroveň 1 (P4)],RZ[0],AX55)</f>
        <v>1</v>
      </c>
      <c r="DQ55" s="525">
        <f ca="1">SUMIFS(RZ[Úroveň 2 (P4)],RZ[0],AX55,RZ[Úroveň 2 (P0)],AY55)</f>
        <v>2</v>
      </c>
      <c r="DR55" s="525">
        <f ca="1">SUMIFS(RZ[Úroveň 3 (P4)],RZ[0],AX55,RZ[Úroveň 2 (P0)],AY55,RZ[Úroveň 3 (P0)],AZ55)</f>
        <v>0</v>
      </c>
      <c r="DS55" s="525">
        <f ca="1">SUMIFS(RZ[Úroveň 4 (P4)],RZ[0],AX55,RZ[Úroveň 2 (P0)],AY55,RZ[Úroveň 3 (P0)],AZ55,RZ[Úroveň 4 (P0)],BA55)</f>
        <v>0</v>
      </c>
      <c r="DT55" s="526">
        <f ca="1">SUMIFS(RZ[Úroveň 5 (P4)],RZ[0],AX55,RZ[Úroveň 2 (P0)],AY55,RZ[Úroveň 3 (P0)],AZ55,RZ[Úroveň 4 (P0)],BA55,RZ[Úroveň 5 (P0)],BB55)</f>
        <v>0</v>
      </c>
      <c r="DU55" s="526">
        <f ca="1">SUMIFS(RZ[Úroveň 6 (P4)],RZ[0],AX55,RZ[Úroveň 2 (P0)],AY55,RZ[Úroveň 3 (P0)],AZ55,RZ[Úroveň 4 (P0)],BA55,RZ[Úroveň 5 (P0)],BB55,RZ[Úroveň 6 (P0)],BC55)</f>
        <v>0</v>
      </c>
      <c r="DV55" s="526">
        <f ca="1">SUMIFS(RZ[Úroveň 7 (P4)],RZ[0],AX55,RZ[Úroveň 2 (P0)],AY55,RZ[Úroveň 3 (P0)],AZ55,RZ[Úroveň 4 (P0)],BA55,RZ[Úroveň 5 (P0)],BB55,RZ[Úroveň 6 (P0)],BC55,RZ[Úroveň 7 (P0)],BD55)</f>
        <v>0</v>
      </c>
      <c r="DW55" s="526">
        <f ca="1">SUMIFS(RZ[Úroveň 8 (P4)],RZ[0],AX55,RZ[Úroveň 2 (P0)],AY55,RZ[Úroveň 3 (P0)],AZ55,RZ[Úroveň 4 (P0)],BA55,RZ[Úroveň 5 (P0)],BB55,RZ[Úroveň 6 (P0)],BC55,RZ[Úroveň 7 (P0)],BD55,RZ[Úroveň 8 (P0)],BE55)</f>
        <v>0</v>
      </c>
      <c r="DX55" s="526">
        <f ca="1">SUMIFS(RZ[Úroveň 9 (P4)],RZ[0],AX55,RZ[Úroveň 2 (P0)],AY55,RZ[Úroveň 3 (P0)],AZ55,RZ[Úroveň 4 (P0)],BA55,RZ[Úroveň 5 (P0)],BB55,RZ[Úroveň 6 (P0)],BC55,RZ[Úroveň 7 (P0)],BD55,RZ[Úroveň 8 (P0)],BE55,RZ[Úroveň 9 (P0)],BF55)</f>
        <v>0</v>
      </c>
      <c r="DY55" s="526">
        <f ca="1">SUMIFS(RZ[Úroveň 10 (P4)],RZ[0],AX55,RZ[Úroveň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DZ55" s="527">
        <f t="shared" ca="1" si="122"/>
        <v>2</v>
      </c>
      <c r="EA55" s="528">
        <f ca="1">RZ[[#This Row],[Jednotková hmotnost bez koef. '[kg/MJHR'] (P0)]]*RZ[[#This Row],[Počet MJHR v rozpadu (P0)]]</f>
        <v>13226.063999999998</v>
      </c>
      <c r="EB55" s="191">
        <f ca="1">IF(OFFSET(AY55,1,0,1,1)&lt;&gt;0,RZ[[#This Row],[Koeficient odhadu CR '[-'] (P1)]]*$BH55*SUMIFS(RZ[Úroveň 2 s koef. (P3)],RZ[0],AX55),RZ[[#This Row],[Koeficient odhadu CR '[-'] (P1)]]*$BH55*$IQ55)</f>
        <v>0</v>
      </c>
      <c r="EC55" s="191">
        <f ca="1">IF(OFFSET(AY55,1,0,1,1)&lt;&gt;0,$BH55*SUMIFS(RZ[Úroveň 2 bez koef. (P3)],RZ[0],AX55),$BH55*$IQ55)</f>
        <v>0</v>
      </c>
      <c r="ED55" s="140">
        <f ca="1">RZ[[#This Row],[Úroveň 2 s koef. (P3a)]]*RZ[[#This Row],[Počet MJCR (P0) pro "kg"]]</f>
        <v>2213808.0400000005</v>
      </c>
      <c r="EE55" s="140">
        <f ca="1">RZ[Úroveň 2 bez koef. (P3a)]*RZ[[#This Row],[Počet MJCR (P0) pro "kg"]]</f>
        <v>2173808.04</v>
      </c>
      <c r="EF55" s="140">
        <f ca="1">IF(OFFSET(AZ55,1,0,1,1)&lt;&gt;0,RZ[[#This Row],[Koeficient odhadu CR '[-'] (P1)]]*$BI55*SUMIFS(RZ[Úroveň 3 s koef. (P3)],RZ[0],AX55,RZ[Úroveň 2 (P0)],AY55),RZ[[#This Row],[Koeficient odhadu CR '[-'] (P1)]]*$BI55*$IQ55)</f>
        <v>1106904.0200000003</v>
      </c>
      <c r="EG55" s="140">
        <f ca="1">IF(OFFSET(AZ55,1,0,1,1)&lt;&gt;0,$BI55*SUMIFS(RZ[Úroveň 3 bez koef. (P3)],RZ[0],AX55,RZ[Úroveň 2 (P0)],AY55),$BI55*$IQ55)</f>
        <v>1086904.02</v>
      </c>
      <c r="EH55" s="135">
        <f ca="1">RZ[[#This Row],[Úroveň 3 s koef. (P3a)]]*RZ[[#This Row],[Počet MJCR (P0) pro "kg"]]</f>
        <v>0</v>
      </c>
      <c r="EI55" s="135">
        <f ca="1">RZ[Úroveň 3 bez koef. (P3a)]*RZ[[#This Row],[Počet MJCR (P0) pro "kg"]]</f>
        <v>0</v>
      </c>
      <c r="EJ55" s="135">
        <f ca="1">IF(OFFSET(BA55,1,0,1,1)&lt;&gt;0,RZ[[#This Row],[Koeficient odhadu CR '[-'] (P1)]]*$BJ55*SUMIFS(RZ[Úroveň 4 s koef. (P3)],RZ[0],AX55,RZ[Úroveň 2 (P0)],AY55,RZ[Úroveň 3 (P0)],AZ55),RZ[[#This Row],[Koeficient odhadu CR '[-'] (P1)]]*$BJ55*$IQ55)</f>
        <v>0</v>
      </c>
      <c r="EK55" s="135">
        <f ca="1">IF(OFFSET(BA55,1,0,1,1)&lt;&gt;0,$BJ55*SUMIFS(RZ[Úroveň 4 bez koef. (P3)],RZ[0],AX55,RZ[Úroveň 2 (P0)],AY55,RZ[Úroveň 3 (P0)],AZ55),$BJ55*$IQ55)</f>
        <v>0</v>
      </c>
      <c r="EL55" s="140">
        <f ca="1">RZ[[#This Row],[Úroveň 4 s koef. (P3a)]]*RZ[[#This Row],[Počet MJCR (P0) pro "kg"]]</f>
        <v>0</v>
      </c>
      <c r="EM55" s="140">
        <f ca="1">RZ[Úroveň 4 bez koef. (P3a)]*RZ[[#This Row],[Počet MJCR (P0) pro "kg"]]</f>
        <v>0</v>
      </c>
      <c r="EN55" s="140">
        <f ca="1">IF(OFFSET(BB55,1,0,1,1)&lt;&gt;0,RZ[[#This Row],[Koeficient odhadu CR '[-'] (P1)]]*$BK55*SUMIFS(RZ[Úroveň 5 s koef. (P3)],RZ[0],AX55,RZ[Úroveň 2 (P0)],AY55,RZ[Úroveň 3 (P0)],AZ55,RZ[Úroveň 4 (P0)],BA55),RZ[[#This Row],[Koeficient odhadu CR '[-'] (P1)]]*$BK55*$IQ55)</f>
        <v>0</v>
      </c>
      <c r="EO55" s="140">
        <f ca="1">IF(OFFSET(BB55,1,0,1,1)&lt;&gt;0,$BK55*SUMIFS(RZ[Úroveň 5 bez koef. (P3)],RZ[0],AX55,RZ[Úroveň 2 (P0)],AY55,RZ[Úroveň 3 (P0)],AZ55,RZ[Úroveň 4 (P0)],BA55),$BK55*$IQ55)</f>
        <v>0</v>
      </c>
      <c r="EP55" s="135">
        <f ca="1">RZ[[#This Row],[Úroveň 5 s koef. (P3a)]]*RZ[[#This Row],[Počet MJCR (P0) pro "kg"]]</f>
        <v>0</v>
      </c>
      <c r="EQ55" s="135">
        <f ca="1">RZ[Úroveň 5 bez koef. (P3a)]*RZ[[#This Row],[Počet MJCR (P0) pro "kg"]]</f>
        <v>0</v>
      </c>
      <c r="ER55" s="135">
        <f ca="1">IF(OFFSET(BC55,1,0,1,1)&lt;&gt;0,RZ[[#This Row],[Koeficient odhadu CR '[-'] (P1)]]*$BL55*SUMIFS(RZ[Úroveň 6 s koef. (P3)],RZ[0],AX55,RZ[Úroveň 2 (P0)],AY55,RZ[Úroveň 3 (P0)],AZ55,RZ[Úroveň 4 (P0)],BA55,RZ[Úroveň 5 (P0)],BB55),RZ[[#This Row],[Koeficient odhadu CR '[-'] (P1)]]*$BL55*$IQ55)</f>
        <v>0</v>
      </c>
      <c r="ES55" s="135">
        <f ca="1">IF(OFFSET(BC55,1,0,1,1)&lt;&gt;0,$BL55*SUMIFS(RZ[Úroveň 6 bez koef. (P3)],RZ[0],AX55,RZ[Úroveň 2 (P0)],AY55,RZ[Úroveň 3 (P0)],AZ55,RZ[Úroveň 4 (P0)],BA55,RZ[Úroveň 5 (P0)],BB55),$BL55*$IQ55)</f>
        <v>0</v>
      </c>
      <c r="ET55" s="140">
        <f ca="1">RZ[[#This Row],[Úroveň 6 s koef. (P3a)]]*RZ[[#This Row],[Počet MJCR (P0) pro "kg"]]</f>
        <v>0</v>
      </c>
      <c r="EU55" s="140">
        <f ca="1">RZ[Úroveň 6 bez koef. (P3a)]*RZ[[#This Row],[Počet MJCR (P0) pro "kg"]]</f>
        <v>0</v>
      </c>
      <c r="EV55" s="140">
        <f ca="1">IF(OFFSET(BD55,1,0,1,1)&lt;&gt;0,RZ[[#This Row],[Koeficient odhadu CR '[-'] (P1)]]*$BM55*SUMIFS(RZ[Úroveň 7 s koef. (P3)],RZ[0],AX55,RZ[Úroveň 2 (P0)],AY55,RZ[Úroveň 3 (P0)],AZ55,RZ[Úroveň 4 (P0)],BA55,RZ[Úroveň 5 (P0)],BB55,RZ[Úroveň 6 (P0)],BC55),RZ[[#This Row],[Koeficient odhadu CR '[-'] (P1)]]*$BM55*$IQ55)</f>
        <v>0</v>
      </c>
      <c r="EW55" s="140">
        <f ca="1">IF(OFFSET(BD55,1,0,1,1)&lt;&gt;0,$BM55*SUMIFS(RZ[Úroveň 7 bez koef. (P3)],RZ[0],AX55,RZ[Úroveň 2 (P0)],AY55,RZ[Úroveň 3 (P0)],AZ55,RZ[Úroveň 4 (P0)],BA55,RZ[Úroveň 5 (P0)],BB55,RZ[Úroveň 6 (P0)],BC55),$BM55*$IQ55)</f>
        <v>0</v>
      </c>
      <c r="EX55" s="135">
        <f ca="1">RZ[[#This Row],[Úroveň 7 s koef. (P3a)]]*RZ[[#This Row],[Počet MJCR (P0) pro "kg"]]</f>
        <v>0</v>
      </c>
      <c r="EY55" s="135">
        <f ca="1">RZ[Úroveň 7 bez koef. (P3a)]*RZ[[#This Row],[Počet MJCR (P0) pro "kg"]]</f>
        <v>0</v>
      </c>
      <c r="EZ55" s="135">
        <f ca="1">IF(OFFSET(BE55,1,0,1,1)&lt;&gt;0,RZ[[#This Row],[Koeficient odhadu CR '[-'] (P1)]]*$BN55*SUMIFS(RZ[Úroveň 8 s koef. (P3)],RZ[0],AX55,RZ[Úroveň 2 (P0)],AY55,RZ[Úroveň 3 (P0)],AZ55,RZ[Úroveň 4 (P0)],BA55,RZ[Úroveň 5 (P0)],BB55,RZ[Úroveň 6 (P0)],BC55,RZ[Úroveň 7 (P0)],BD55),RZ[[#This Row],[Koeficient odhadu CR '[-'] (P1)]]*$BN55*$IQ55)</f>
        <v>0</v>
      </c>
      <c r="FA55" s="135">
        <f ca="1">IF(OFFSET(BE55,1,0,1,1)&lt;&gt;0,$BN55*SUMIFS(RZ[Úroveň 8 bez koef. (P3)],RZ[0],AX55,RZ[Úroveň 2 (P0)],AY55,RZ[Úroveň 3 (P0)],AZ55,RZ[Úroveň 4 (P0)],BA55,RZ[Úroveň 5 (P0)],BB55,RZ[Úroveň 6 (P0)],BC55,RZ[Úroveň 7 (P0)],BD55),$BN55*$IQ55)</f>
        <v>0</v>
      </c>
      <c r="FB55" s="140">
        <f ca="1">RZ[[#This Row],[Úroveň 8 s koef. (P3a)]]*RZ[[#This Row],[Počet MJCR (P0) pro "kg"]]</f>
        <v>0</v>
      </c>
      <c r="FC55" s="140">
        <f ca="1">RZ[Úroveň 8 bez koef. (P3a)]*RZ[[#This Row],[Počet MJCR (P0) pro "kg"]]</f>
        <v>0</v>
      </c>
      <c r="FD55" s="140">
        <f ca="1">IF(OFFSET(BF55,1,0,1,1)&lt;&gt;0,RZ[[#This Row],[Koeficient odhadu CR '[-'] (P1)]]*$BO55*SUMIFS(RZ[Úroveň 9 s koef. (P3)],RZ[0],AX55,RZ[Úroveň 2 (P0)],AY55,RZ[Úroveň 3 (P0)],AZ55,RZ[Úroveň 4 (P0)],BA55,RZ[Úroveň 5 (P0)],BB55,RZ[Úroveň 6 (P0)],BC55,RZ[Úroveň 7 (P0)],BD55,RZ[Úroveň 8 (P0)],BE55),RZ[[#This Row],[Koeficient odhadu CR '[-'] (P1)]]*$BO55*$IQ55)</f>
        <v>0</v>
      </c>
      <c r="FE55" s="140">
        <f ca="1">IF(OFFSET(BF55,1,0,1,1)&lt;&gt;0,$BO55*SUMIFS(RZ[Úroveň 9 bez koef. (P3)],RZ[0],AX55,RZ[Úroveň 2 (P0)],AY55,RZ[Úroveň 3 (P0)],AZ55,RZ[Úroveň 4 (P0)],BA55,RZ[Úroveň 5 (P0)],BB55,RZ[Úroveň 6 (P0)],BC55,RZ[Úroveň 7 (P0)],BD55,RZ[Úroveň 8 (P0)],BE55),$BO55*$IQ55)</f>
        <v>0</v>
      </c>
      <c r="FF55" s="135">
        <f ca="1">RZ[[#This Row],[Úroveň 9 s koef. (P3a)]]*RZ[[#This Row],[Počet MJCR (P0) pro "kg"]]</f>
        <v>0</v>
      </c>
      <c r="FG55" s="135">
        <f ca="1">RZ[Úroveň 9 bez koef. (P3a)]*RZ[[#This Row],[Počet MJCR (P0) pro "kg"]]</f>
        <v>0</v>
      </c>
      <c r="FH55" s="135">
        <f ca="1">IF(OFFSET(BG55,1,0,1,1)&lt;&gt;0,RZ[[#This Row],[Koeficient odhadu CR '[-'] (P1)]]*$BP55*SUMIFS(RZ[Úroveň 10 s koef. (P3)],RZ[0],AX55,RZ[Úroveň 2 (P0)],AY55,RZ[Úroveň 3 (P0)],AZ55,RZ[Úroveň 4 (P0)],BA55,RZ[Úroveň 5 (P0)],BB55,RZ[Úroveň 6 (P0)],BC55,RZ[Úroveň 7 (P0)],BD55,RZ[Úroveň 8 (P0)],BE55,RZ[Úroveň 9 (P0)],BF55),RZ[[#This Row],[Koeficient odhadu CR '[-'] (P1)]]*$BP55*$IQ55)</f>
        <v>0</v>
      </c>
      <c r="FI55" s="135">
        <f ca="1">IF(OFFSET(BG55,1,0,1,1)&lt;&gt;0,$BP55*SUMIFS(RZ[Úroveň 10 bez koef. (P3)],RZ[0],AX55,RZ[Úroveň 2 (P0)],AY55,RZ[Úroveň 3 (P0)],AZ55,RZ[Úroveň 4 (P0)],BA55,RZ[Úroveň 5 (P0)],BB55,RZ[Úroveň 6 (P0)],BC55,RZ[Úroveň 7 (P0)],BD55,RZ[Úroveň 8 (P0)],BE55,RZ[Úroveň 9 (P0)],BF55),$BP55*$IQ55)</f>
        <v>0</v>
      </c>
      <c r="FJ55" s="140">
        <f ca="1">RZ[[#This Row],[Úroveň 10 s koef. (P3a)]]*RZ[[#This Row],[Počet MJCR (P0) pro "kg"]]</f>
        <v>0</v>
      </c>
      <c r="FK55" s="140">
        <f ca="1">RZ[Úroveň 10 bez koef. (P3a)]*RZ[[#This Row],[Počet MJCR (P0) pro "kg"]]</f>
        <v>0</v>
      </c>
      <c r="FL55" s="140">
        <f ca="1">RZ[[#This Row],[Koeficient odhadu CR '[-'] (P1)]]*$BQ55*IQ55</f>
        <v>0</v>
      </c>
      <c r="FM55" s="236">
        <f t="shared" ca="1" si="51"/>
        <v>0</v>
      </c>
      <c r="FN55" s="194">
        <f t="shared" ca="1" si="123"/>
        <v>1106904.0200000003</v>
      </c>
      <c r="FO55" s="238">
        <f t="shared" ca="1" si="124"/>
        <v>1086904.02</v>
      </c>
      <c r="FP55" s="191">
        <f t="shared" ca="1" si="54"/>
        <v>0</v>
      </c>
      <c r="FQ55" s="135">
        <f t="shared" ca="1" si="55"/>
        <v>2</v>
      </c>
      <c r="FR55" s="135">
        <f t="shared" ca="1" si="56"/>
        <v>0</v>
      </c>
      <c r="FS55" s="135">
        <f t="shared" ca="1" si="57"/>
        <v>0</v>
      </c>
      <c r="FT55" s="135">
        <f t="shared" ca="1" si="58"/>
        <v>0</v>
      </c>
      <c r="FU55" s="135">
        <f t="shared" ca="1" si="59"/>
        <v>0</v>
      </c>
      <c r="FV55" s="135">
        <f t="shared" ca="1" si="60"/>
        <v>0</v>
      </c>
      <c r="FW55" s="135">
        <f t="shared" ca="1" si="61"/>
        <v>0</v>
      </c>
      <c r="FX55" s="135">
        <f t="shared" ca="1" si="62"/>
        <v>0</v>
      </c>
      <c r="FY55" s="135">
        <f t="shared" ca="1" si="63"/>
        <v>0</v>
      </c>
      <c r="FZ55" s="140">
        <f ca="1">SUMIFS(RZ[Úroveň 1 (P6)],RZ[0],AX55)</f>
        <v>1</v>
      </c>
      <c r="GA55" s="140">
        <f ca="1">SUMIFS(RZ[Úroveň 2 (P6)],RZ[0],AX55,RZ[Úroveň 2 (P0)],AY55)</f>
        <v>2</v>
      </c>
      <c r="GB55" s="140">
        <f ca="1">SUMIFS(RZ[Úroveň 3 (P6)],RZ[0],AX55,RZ[Úroveň 2 (P0)],AY55,RZ[Úroveň 3 (P0)],AZ55)</f>
        <v>0</v>
      </c>
      <c r="GC55" s="140">
        <f ca="1">SUMIFS(RZ[Úroveň 4 (P6)],RZ[0],AX55,RZ[Úroveň 2 (P0)],AY55,RZ[Úroveň 3 (P0)],AZ55,RZ[Úroveň 4 (P0)],BA55)</f>
        <v>0</v>
      </c>
      <c r="GD55" s="140">
        <f ca="1">SUMIFS(RZ[Úroveň 5 (P6)],RZ[0],AX55,RZ[Úroveň 2 (P0)],AY55,RZ[Úroveň 3 (P0)],AZ55,RZ[Úroveň 4 (P0)],BA55,RZ[Úroveň 5 (P0)],BB55)</f>
        <v>0</v>
      </c>
      <c r="GE55" s="140">
        <f ca="1">SUMIFS(RZ[Úroveň 6 (P6)],RZ[0],AX55,RZ[Úroveň 2 (P0)],AY55,RZ[Úroveň 3 (P0)],AZ55,RZ[Úroveň 4 (P0)],BA55,RZ[Úroveň 5 (P0)],BB55,RZ[Úroveň 6 (P0)],BC55)</f>
        <v>0</v>
      </c>
      <c r="GF55" s="140">
        <f ca="1">SUMIFS(RZ[Úroveň 7 (P6)],RZ[0],AX55,RZ[Úroveň 2 (P0)],AY55,RZ[Úroveň 3 (P0)],AZ55,RZ[Úroveň 4 (P0)],BA55,RZ[Úroveň 5 (P0)],BB55,RZ[Úroveň 6 (P0)],BC55,RZ[Úroveň 7 (P0)],BD55)</f>
        <v>0</v>
      </c>
      <c r="GG55" s="140">
        <f ca="1">SUMIFS(RZ[Úroveň 8 (P6)],RZ[0],AX55,RZ[Úroveň 2 (P0)],AY55,RZ[Úroveň 3 (P0)],AZ55,RZ[Úroveň 4 (P0)],BA55,RZ[Úroveň 5 (P0)],BB55,RZ[Úroveň 6 (P0)],BC55,RZ[Úroveň 7 (P0)],BD55,RZ[Úroveň 8 (P0)],BE55)</f>
        <v>0</v>
      </c>
      <c r="GH55" s="140">
        <f ca="1">SUMIFS(RZ[Úroveň 9 (P6)],RZ[0],AX55,RZ[Úroveň 2 (P0)],AY55,RZ[Úroveň 3 (P0)],AZ55,RZ[Úroveň 4 (P0)],BA55,RZ[Úroveň 5 (P0)],BB55,RZ[Úroveň 6 (P0)],BC55,RZ[Úroveň 7 (P0)],BD55,RZ[Úroveň 8 (P0)],BE55,RZ[Úroveň 9 (P0)],BF55)</f>
        <v>0</v>
      </c>
      <c r="GI55" s="140">
        <f ca="1">SUMIFS(RZ[Úroveň 10 (P6)],RZ[0],AX55,RZ[Úroveň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GJ55" s="194">
        <f t="shared" ca="1" si="125"/>
        <v>2</v>
      </c>
      <c r="GK55" s="807">
        <f t="shared" si="65"/>
        <v>0</v>
      </c>
      <c r="GL55" s="808">
        <f t="shared" si="66"/>
        <v>1</v>
      </c>
      <c r="GM55" s="808">
        <f t="shared" si="67"/>
        <v>0</v>
      </c>
      <c r="GN55" s="808">
        <f t="shared" si="68"/>
        <v>0</v>
      </c>
      <c r="GO55" s="808">
        <f t="shared" si="69"/>
        <v>0</v>
      </c>
      <c r="GP55" s="808">
        <f t="shared" si="70"/>
        <v>0</v>
      </c>
      <c r="GQ55" s="808">
        <f t="shared" si="71"/>
        <v>0</v>
      </c>
      <c r="GR55" s="808">
        <f t="shared" si="72"/>
        <v>0</v>
      </c>
      <c r="GS55" s="808">
        <f t="shared" si="73"/>
        <v>0</v>
      </c>
      <c r="GT55" s="808">
        <f t="shared" si="74"/>
        <v>0</v>
      </c>
      <c r="GU55" s="809">
        <f ca="1">SUMIFS(RZ[Sloupec1],RZ[0],AX55)</f>
        <v>1</v>
      </c>
      <c r="GV55" s="809">
        <f ca="1">SUMIFS(RZ[Sloupec2],RZ[0],AX55,RZ[Úroveň 2 (P0)],AY55)</f>
        <v>1</v>
      </c>
      <c r="GW55" s="809">
        <f ca="1">SUMIFS(RZ[Sloupec3],RZ[0],AX55,RZ[Úroveň 2 (P0)],AY55,RZ[Úroveň 3 (P0)],AZ55)</f>
        <v>0</v>
      </c>
      <c r="GX55" s="809">
        <f ca="1">SUMIFS(RZ[Sloupec4],RZ[0],AX55,RZ[Úroveň 2 (P0)],AY55,RZ[Úroveň 3 (P0)],AZ55,RZ[Úroveň 4 (P0)],BA55)</f>
        <v>0</v>
      </c>
      <c r="GY55" s="809">
        <f ca="1">SUMIFS(RZ[Sloupec5],RZ[0],AX55,RZ[Úroveň 2 (P0)],AY55,RZ[Úroveň 3 (P0)],AZ55,RZ[Úroveň 4 (P0)],BA55,RZ[Úroveň 5 (P0)],BB55)</f>
        <v>0</v>
      </c>
      <c r="GZ55" s="809">
        <f ca="1">SUMIFS(RZ[Sloupec6],RZ[0],AX55,RZ[Úroveň 2 (P0)],AY55,RZ[Úroveň 3 (P0)],AZ55,RZ[Úroveň 4 (P0)],BA55,RZ[Úroveň 5 (P0)],BB55,RZ[Úroveň 6 (P0)],BC55)</f>
        <v>0</v>
      </c>
      <c r="HA55" s="809">
        <f ca="1">SUMIFS(RZ[Sloupec62],RZ[0],AX55,RZ[Úroveň 2 (P0)],AY55,RZ[Úroveň 3 (P0)],AZ55,RZ[Úroveň 4 (P0)],BA55,RZ[Úroveň 5 (P0)],BB55,RZ[Úroveň 6 (P0)],BC55,RZ[Úroveň 7 (P0)],BD55)</f>
        <v>0</v>
      </c>
      <c r="HB55" s="809">
        <f ca="1">SUMIFS(RZ[Sloupec63],RZ[0],AX55,RZ[Úroveň 2 (P0)],AY55,RZ[Úroveň 3 (P0)],AZ55,RZ[Úroveň 4 (P0)],BA55,RZ[Úroveň 5 (P0)],BB55,RZ[Úroveň 6 (P0)],BC55,RZ[Úroveň 7 (P0)],BD55,RZ[Úroveň 8 (P0)],BE55)</f>
        <v>0</v>
      </c>
      <c r="HC55" s="809">
        <f ca="1">SUMIFS(RZ[Sloupec64],RZ[0],AX55,RZ[Úroveň 2 (P0)],AY55,RZ[Úroveň 3 (P0)],AZ55,RZ[Úroveň 4 (P0)],BA55,RZ[Úroveň 5 (P0)],BB55,RZ[Úroveň 6 (P0)],BC55,RZ[Úroveň 7 (P0)],BD55,RZ[Úroveň 8 (P0)],BE55,RZ[Úroveň 9 (P0)],BF55)</f>
        <v>0</v>
      </c>
      <c r="HD55" s="809">
        <f ca="1">SUMIFS(RZ[Sloupec65],RZ[0],AX55,RZ[Úroveň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HE55" s="803">
        <f t="shared" ca="1" si="75"/>
        <v>1</v>
      </c>
      <c r="HF55" s="48" t="str">
        <f t="shared" si="76"/>
        <v/>
      </c>
      <c r="HG55" s="94" t="str">
        <f t="shared" si="77"/>
        <v/>
      </c>
      <c r="HH55" s="95" t="str">
        <f t="shared" si="78"/>
        <v>Podpěrné kladky krajní</v>
      </c>
      <c r="HI55" s="95" t="str">
        <f t="shared" si="79"/>
        <v/>
      </c>
      <c r="HJ55" s="96" t="str">
        <f t="shared" si="80"/>
        <v/>
      </c>
      <c r="HK55" s="96" t="str">
        <f t="shared" si="81"/>
        <v/>
      </c>
      <c r="HL55" s="96" t="str">
        <f t="shared" si="82"/>
        <v/>
      </c>
      <c r="HM55" s="96" t="str">
        <f t="shared" si="83"/>
        <v/>
      </c>
      <c r="HN55" s="96" t="str">
        <f t="shared" si="84"/>
        <v/>
      </c>
      <c r="HO55" s="96" t="str">
        <f t="shared" si="85"/>
        <v/>
      </c>
      <c r="HP55" s="96" t="str">
        <f t="shared" si="86"/>
        <v/>
      </c>
      <c r="HQ55" s="145" t="str">
        <f t="shared" si="87"/>
        <v>-</v>
      </c>
      <c r="HR55" s="175" t="str">
        <f t="shared" si="88"/>
        <v/>
      </c>
      <c r="HS55" s="173">
        <f t="shared" si="89"/>
        <v>0</v>
      </c>
      <c r="HT55" s="99">
        <f t="shared" si="90"/>
        <v>0</v>
      </c>
      <c r="HU55" s="99">
        <f t="shared" si="91"/>
        <v>0</v>
      </c>
      <c r="HV55" s="209">
        <f t="shared" si="92"/>
        <v>0</v>
      </c>
      <c r="HW55" s="47">
        <f t="shared" si="93"/>
        <v>0</v>
      </c>
      <c r="HX55" s="46">
        <f t="shared" si="94"/>
        <v>0</v>
      </c>
      <c r="HY55" s="149" t="str">
        <f t="shared" si="95"/>
        <v>S</v>
      </c>
      <c r="HZ55" s="263">
        <f t="shared" si="96"/>
        <v>0</v>
      </c>
      <c r="IA55" s="150">
        <f t="shared" si="97"/>
        <v>1</v>
      </c>
      <c r="IB55" s="319">
        <f t="shared" si="98"/>
        <v>0</v>
      </c>
      <c r="IC55" s="220">
        <f t="shared" si="99"/>
        <v>0</v>
      </c>
      <c r="ID55" s="200" t="str">
        <f t="shared" ca="1" si="100"/>
        <v>--</v>
      </c>
      <c r="IE55" s="201">
        <f t="shared" si="101"/>
        <v>0</v>
      </c>
      <c r="IF55" s="145">
        <f t="shared" si="102"/>
        <v>2</v>
      </c>
      <c r="IG55" s="216">
        <f t="shared" si="103"/>
        <v>0</v>
      </c>
      <c r="IH55" s="217">
        <f t="shared" si="126"/>
        <v>1</v>
      </c>
      <c r="II55" s="224">
        <f ca="1">IF(RZ[[#This Row],[Rozhodný sloupec indikativní ceny]]=1,"kg",IF($IW55=$JL$15,IF(JX55=0,JO55,JX55),IF($IW55=$KE$15,IF(KQ55=0,KH55,KQ55),IF($IW55=$KX$15,IF(LJ55=0,LA55,LJ55),IF($IW55=$LQ$15,IF(MC55=0,LT55,MC55),IF($IW55=$MJ$15,IF(NQ55=0,NH55,NQ55),0))))))</f>
        <v>0</v>
      </c>
      <c r="IJ55" s="224">
        <f ca="1">IF((BH55+OFFSET(BH55,1,1,1,1))=2,RZ[[#This Row],[Počet MJHR (P0)]],IF((BI55+OFFSET(BI55,1,1,1,1))=2,RZ[[#This Row],[Počet MJHR (P0)]],IF((BJ55+OFFSET(BJ55,1,1,1,1))=2,RZ[[#This Row],[Počet MJHR (P0)]],IF((BK55+OFFSET(BK55,1,1,1,1))=2,RZ[[#This Row],[Počet MJHR (P0)]],IF((BL55+OFFSET(BL55,1,1,1,1))=2,RZ[[#This Row],[Počet MJHR (P0)]],IF((BM55+OFFSET(BM55,1,1,1,1))=2,RZ[[#This Row],[Počet MJHR (P0)]],IF((BN55+OFFSET(BN55,1,1,1,1))=2,RZ[[#This Row],[Počet MJHR (P0)]],IF((BO55+OFFSET(BO55,1,1,1,1))=2,RZ[[#This Row],[Počet MJHR (P0)]],IF((BP55+OFFSET(BP55,1,1,1,1))=2,RZ[[#This Row],[Počet MJHR (P0)]],IF((BQ55+OFFSET(BQ55,1,1,1,1))=2,RZ[[#This Row],[Počet MJHR (P0)]],IF(RZ[[#This Row],[Měrná jednotka CR (MJCR) (P0)]]=RZ[[#This Row],[Měrná jednotka HR '[MJHR'] (P0)]],RZ[[#This Row],[Počet MJHR (P0)]],IF($IW55=$JL$15,JY55,IF($IW55=$KE$15,KR55,IF($IW55=$KX$15,LK55,IF($IW55=$LQ$15,MD55,IF($IW55=$MJ$15,NR55,0))))))))))))))))</f>
        <v>2</v>
      </c>
      <c r="IK5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5" s="330">
        <f ca="1">IF(AND(RZ[[#This Row],[Jednotková cena bez DPH '[cena/MJCR'] (P0)]]=0,RZ[[#This Row],[Indikativní jednotková cena '[CZK/kg'] (P1)]]&lt;&gt;0),1,0)</f>
        <v>0</v>
      </c>
      <c r="IM55" s="217">
        <f ca="1">VLOOKUP(RZ[[#This Row],[Kód položek]],INDIKAT_CENA,2,FALSE)</f>
        <v>0</v>
      </c>
      <c r="IN55" s="222">
        <f ca="1">IF(RZ[[#This Row],[Rozhodný sloupec indikativní ceny]]=1,RZ[[#This Row],[Indikativní jednotková cena '[CZK/kg'] (P1)]],RZ[[#This Row],[Jednotková cena bez DPH '[cena/MJCR'] (P0)]])</f>
        <v>0</v>
      </c>
      <c r="IO55" s="222">
        <f t="shared" si="127"/>
        <v>1</v>
      </c>
      <c r="IP55" s="223">
        <f ca="1">IF(RZ[[#This Row],[Rozhodný sloupec indikativní ceny]]=1,1,IF($IW55=$JL$15,KA55,IF($IW55=$KE$15,KT55,IF($IW55=$KX$15,LM55,IF($IW55=$LQ$15,MF55,IF($IW55=$MJ$15,NT55,0))))))</f>
        <v>0</v>
      </c>
      <c r="IQ55" s="225">
        <f ca="1">IF(RZ[[#This Row],[Jednotková cena bez DPH '[cena/MJCR'] (P1)]]="",0,IF(IP55=0,0,(RZ[[#This Row],[Jednotková cena bez DPH '[cena/MJCR'] (P1)]]*VLOOKUP(IP55,$BR$7:$BT$10,3))))</f>
        <v>0</v>
      </c>
      <c r="IR55" s="737"/>
      <c r="IS55" s="627">
        <f>IF(HY55=0,"",VLOOKUP(RZ[[#This Row],[Stav Projekce (P0)]],Vstupy!$E$11:'Vstupy'!$E$11:$H$17,4,FALSE))</f>
        <v>100</v>
      </c>
      <c r="IT55" s="628" t="str">
        <f>IF(RZ[[#This Row],[Stav Projekce (P0)]]=0,"",RZ[[#This Row],[Stav Projekce (P0)]])</f>
        <v>S</v>
      </c>
      <c r="IU55" s="628" t="str">
        <f>IF(RZ[[#This Row],[Stav Nákup (P0)]]=0,"",RZ[[#This Row],[Stav Nákup (P0)]])</f>
        <v/>
      </c>
      <c r="IV55" s="636" t="str">
        <f t="shared" si="128"/>
        <v/>
      </c>
      <c r="IW55" s="641">
        <v>1</v>
      </c>
      <c r="IX55" s="630"/>
      <c r="IY55" s="264"/>
      <c r="IZ55" s="648"/>
      <c r="JA55" s="100" t="s">
        <v>738</v>
      </c>
      <c r="JB55" s="100"/>
      <c r="JC55" s="100"/>
      <c r="JD55" s="100"/>
      <c r="JE55" s="100"/>
      <c r="JF55" s="100"/>
      <c r="JG55" s="100"/>
      <c r="JH55" s="100"/>
      <c r="JI55" s="100"/>
      <c r="JJ55" s="145" t="s">
        <v>231</v>
      </c>
      <c r="JK55" s="529"/>
      <c r="JL55" s="286"/>
      <c r="JM55" s="100"/>
      <c r="JN55" s="100"/>
      <c r="JO55" s="145"/>
      <c r="JP55" s="117">
        <v>2</v>
      </c>
      <c r="JQ55" s="117"/>
      <c r="JR55" s="148">
        <v>1</v>
      </c>
      <c r="JS55" s="145" t="s">
        <v>602</v>
      </c>
      <c r="JT55" s="631"/>
      <c r="JU55" s="148"/>
      <c r="JV55" s="154"/>
      <c r="JW55" s="145"/>
      <c r="JX55" s="210"/>
      <c r="JY55" s="117"/>
      <c r="JZ55" s="662"/>
      <c r="KA55" s="145"/>
      <c r="KB55" s="148"/>
      <c r="KC55" s="148"/>
      <c r="KD55" s="644"/>
      <c r="KE55" s="286"/>
      <c r="KF55" s="100"/>
      <c r="KG55" s="100"/>
      <c r="KH55" s="210"/>
      <c r="KI55" s="117"/>
      <c r="KJ55" s="117"/>
      <c r="KK55" s="148"/>
      <c r="KL55" s="145"/>
      <c r="KM55" s="632"/>
      <c r="KN55" s="148"/>
      <c r="KO55" s="154"/>
      <c r="KP55" s="154"/>
      <c r="KQ55" s="210"/>
      <c r="KR55" s="117"/>
      <c r="KS55" s="211"/>
      <c r="KT55" s="145"/>
      <c r="KU55" s="148"/>
      <c r="KV55" s="148"/>
      <c r="KW55" s="265"/>
      <c r="KX55" s="286"/>
      <c r="KY55" s="100"/>
      <c r="KZ55" s="100"/>
      <c r="LA55" s="210"/>
      <c r="LB55" s="117"/>
      <c r="LC55" s="117"/>
      <c r="LD55" s="148"/>
      <c r="LE55" s="145"/>
      <c r="LF55" s="632"/>
      <c r="LG55" s="148"/>
      <c r="LH55" s="154"/>
      <c r="LI55" s="154"/>
      <c r="LJ55" s="154"/>
      <c r="LK55" s="117"/>
      <c r="LL55" s="211"/>
      <c r="LM55" s="210"/>
      <c r="LN55" s="148"/>
      <c r="LO55" s="148"/>
      <c r="LP55" s="265"/>
      <c r="LQ55" s="286"/>
      <c r="LR55" s="100"/>
      <c r="LS55" s="100"/>
      <c r="LT55" s="210"/>
      <c r="LU55" s="117"/>
      <c r="LV55" s="117"/>
      <c r="LW55" s="148"/>
      <c r="LX55" s="145"/>
      <c r="LY55" s="632"/>
      <c r="LZ55" s="148"/>
      <c r="MA55" s="154"/>
      <c r="MB55" s="154"/>
      <c r="MC55" s="145"/>
      <c r="MD55" s="117"/>
      <c r="ME55" s="211"/>
      <c r="MF55" s="210"/>
      <c r="MG55" s="148"/>
      <c r="MH55" s="148"/>
      <c r="MI55" s="265"/>
      <c r="MJ55" s="647"/>
      <c r="MK55" s="264"/>
      <c r="ML55" s="153"/>
      <c r="MM55" s="153"/>
      <c r="MN55" s="153"/>
      <c r="MO55" s="153"/>
      <c r="MP55" s="153"/>
      <c r="MQ55" s="153"/>
      <c r="MR55" s="153"/>
      <c r="MS55" s="99"/>
      <c r="MT55" s="99"/>
      <c r="MU55" s="99"/>
      <c r="MV55" s="99"/>
      <c r="MW55" s="99"/>
      <c r="MX55" s="99"/>
      <c r="MY55" s="153"/>
      <c r="MZ55" s="153"/>
      <c r="NA55" s="153"/>
      <c r="NB55" s="153"/>
      <c r="NC55" s="153"/>
      <c r="ND55" s="153"/>
      <c r="NE55" s="148"/>
      <c r="NF55" s="153"/>
      <c r="NG55" s="153"/>
      <c r="NH55" s="145" t="str">
        <f t="shared" ref="NH55:NH92" si="358">"ks"</f>
        <v>ks</v>
      </c>
      <c r="NI55" s="779">
        <f>RZ[[#This Row],[Počet ks (K)]]</f>
        <v>0</v>
      </c>
      <c r="NJ55" s="210">
        <f>RZ[[#This Row],[Hmotnost '[kg/ks'] (K)]]</f>
        <v>0</v>
      </c>
      <c r="NK55" s="148"/>
      <c r="NL55" s="145"/>
      <c r="NM55" s="632"/>
      <c r="NN55" s="148"/>
      <c r="NO55" s="154"/>
      <c r="NP55" s="153"/>
      <c r="NQ55" s="153"/>
      <c r="NR55" s="210"/>
      <c r="NS55" s="148"/>
      <c r="NT55" s="210"/>
      <c r="NU55" s="148"/>
      <c r="NV55" s="148"/>
      <c r="NW55" s="175"/>
    </row>
    <row r="56" spans="2:387" ht="15.95" customHeight="1" x14ac:dyDescent="0.35">
      <c r="B56" s="118" t="str">
        <f t="shared" ref="B56:B72" si="359">IF(HF56=0,"",HF56)</f>
        <v/>
      </c>
      <c r="C5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6" s="262" t="str">
        <f t="shared" ref="D56:D72" si="360">IF(HG56&lt;&gt;"",HG56,IF(HH56&lt;&gt;"","  "&amp;HH56,IF(HI56&lt;&gt;"","  "&amp;"  "&amp;HI56,IF(HJ56&lt;&gt;"","  "&amp;"  "&amp;"  "&amp;HJ56,IF(HK56&lt;&gt;"","  "&amp;"  "&amp;"  "&amp;"  "&amp;HK56,IF(HL56&lt;&gt;"","  "&amp;"  "&amp;"  "&amp;"  "&amp;"  "&amp;HL56,IF(HM56&lt;&gt;"","  "&amp;"  "&amp;"  "&amp;"  "&amp;"  "&amp;"  "&amp;HM56,IF(HN56&lt;&gt;"","  "&amp;"  "&amp;"  "&amp;"  "&amp;"  "&amp;"  "&amp;"  "&amp;HN56,IF(HO56&lt;&gt;"","  "&amp;"  "&amp;"  "&amp;"  "&amp;"  "&amp;"  "&amp;"  "&amp;"  "&amp;HO56,IF(HP56&lt;&gt;"","  "&amp;"  "&amp;"  "&amp;"  "&amp;"  "&amp;"  "&amp;"  "&amp;"  "&amp;"  "&amp;HP56,0))))))))))</f>
        <v xml:space="preserve">    Kladka</v>
      </c>
      <c r="E56" s="120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Row],[Kód položek (P2)]]))))))))))</f>
        <v>OKS1</v>
      </c>
      <c r="F56" s="791" t="str">
        <f t="shared" ref="F56:F72" si="361">IF(HS56=0,"N/A",HS56)</f>
        <v>N/A</v>
      </c>
      <c r="G56" s="792" t="str">
        <f t="shared" ref="G56:G72" si="362">IF(HT56=0,"",HT56)</f>
        <v/>
      </c>
      <c r="H56" s="262" t="str">
        <f t="shared" ref="H56:H72" si="363">IF(HU56=0,"",HU56)</f>
        <v/>
      </c>
      <c r="I56" s="123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HR '[MJHR'] (P0)]]))))))))))</f>
        <v>ks</v>
      </c>
      <c r="J56" s="123">
        <f t="shared" ref="J56:J72" si="364">IF(IF56=0,"",IF56)</f>
        <v>4</v>
      </c>
      <c r="K56" s="793">
        <f>RZ[[#This Row],[Koeficient odhadu HR '[-'] (P1)]]</f>
        <v>1</v>
      </c>
      <c r="L56" s="124">
        <f ca="1">RZ[[#This Row],[Jednotková hmotnost s koef. '[kg/MJHR'] (P0)]]</f>
        <v>280</v>
      </c>
      <c r="M56" s="794">
        <f t="shared" ref="M56:M72" ca="1" si="365">IF(ISNUMBER(K56),L56/K56*(K56-1),0)</f>
        <v>0</v>
      </c>
      <c r="N56" s="125">
        <f t="shared" ref="N56:N72" ca="1" si="366">IF(ISNUMBER(J56),J56*L56,0)</f>
        <v>1120</v>
      </c>
      <c r="O56" s="125">
        <f t="shared" ref="O56:O72" ca="1" si="367">IF(ISNUMBER(J56),J56*M56,0)</f>
        <v>0</v>
      </c>
      <c r="P56" s="126" t="str">
        <f t="shared" ref="P56:P72" si="368">IF(HR56=0,"",HR56)</f>
        <v/>
      </c>
      <c r="Q56" s="795">
        <f ca="1">RZ[[#This Row],[Počet MJHR v rozpadu (P0)]]</f>
        <v>8</v>
      </c>
      <c r="R56" s="439" t="str">
        <f t="shared" ref="R56:R72" si="369">IF(HV56&lt;&gt;0,HV56,"")</f>
        <v/>
      </c>
      <c r="S56" s="129" t="str">
        <f t="shared" ref="S56:S72" si="370">IF(HW56&lt;&gt;0,HW56,"")</f>
        <v/>
      </c>
      <c r="T56" s="126" t="str">
        <f t="shared" ref="T56:T72" si="371">IF(HX56=0,"",HX56)</f>
        <v/>
      </c>
      <c r="U56" s="126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CR (MJCR) (P0)]]))))))))))</f>
        <v>kg</v>
      </c>
      <c r="V56" s="575">
        <f t="shared" ref="V56:V72" ca="1" si="372">IF(IK56=0,"",IK56)</f>
        <v>1120</v>
      </c>
      <c r="W56" s="322">
        <f>RZ[[#This Row],[Koeficient odhadu CR '[-'] (P1)]]</f>
        <v>1</v>
      </c>
      <c r="X56" s="440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Row],[Jednotková cena bez DPH '[cena/MJCR'] (P1)]]*RZ[[#This Row],[Koeficient odhadu CR '[-']]]))))))))))</f>
        <v>140</v>
      </c>
      <c r="Y56" s="440">
        <f t="shared" ref="Y56:Y72" ca="1" si="373">IF(ISNUMBER(X56),-X56/W56*(W56-1),0)</f>
        <v>0</v>
      </c>
      <c r="Z56" s="142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VLOOKUP(IP56,$BR$7:$BS$11,2,FALSE)))))))))))</f>
        <v>CZK</v>
      </c>
      <c r="AA56" s="909">
        <f t="shared" ref="AA56:AA72" ca="1" si="374">GJ56</f>
        <v>2240</v>
      </c>
      <c r="AB56" s="910">
        <f ca="1">RZ[[#This Row],[Kumulovaný koeficient v rozpadu (P0)]]</f>
        <v>1</v>
      </c>
      <c r="AC56" s="261"/>
      <c r="AD56" s="796">
        <f ca="1">RZ[[#This Row],[Jednotková cena bez DPH '[cena/MJCR'] s koef. (P0)]]/RZ[[#This Row],[Koeficient odhadu CR '[-']]]*RZ[[#This Row],[Kumulovaný koeficient odhadu CR  '[-']]]</f>
        <v>140</v>
      </c>
      <c r="AE56" s="796">
        <f t="shared" ref="AE56:AE72" ca="1" si="375">IF(ISNUMBER(AA56),AA56*AD56,0)*IF(V56="",0,1)</f>
        <v>313600</v>
      </c>
      <c r="AF56" s="796">
        <f ca="1">-IF(ISNUMBER(AA56),RZ[[#This Row],[Celková cena bez DPH (1)]]-RZ[[#This Row],[Jednotková cena bez DPH '[cena/MJCR'] bez koef. (P0)]]*AA56,0)</f>
        <v>0</v>
      </c>
      <c r="AG5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6" s="261"/>
      <c r="AI56" s="796">
        <f t="shared" ref="AI56:AI72" ca="1" si="376">AD56/VLOOKUP($AJ$13,KURZY,3,FALSE)</f>
        <v>5.1851851851851851</v>
      </c>
      <c r="AJ56" s="796">
        <f t="shared" ref="AJ56:AJ72" ca="1" si="377">AE56/VLOOKUP($AJ$13,KURZY,3,FALSE)*IF(V56="",0,1)</f>
        <v>11614.814814814816</v>
      </c>
      <c r="AK56" s="796">
        <f t="shared" ref="AK56:AK72" ca="1" si="378">AF56/VLOOKUP($AJ$13,KURZY,3,FALSE)</f>
        <v>0</v>
      </c>
      <c r="AL56" s="753">
        <f ca="1">RZ[[#This Row],[Kilogramová cena bez DPH '[cena/kg'] (1)]]/$AK$13</f>
        <v>5.1851851851851851</v>
      </c>
      <c r="AM56" s="261"/>
      <c r="AN56" s="796">
        <f t="shared" ref="AN56:AN72" ca="1" si="379">AD56/VLOOKUP($AO$13,KURZY,3,FALSE)</f>
        <v>6.7632850241545892</v>
      </c>
      <c r="AO56" s="796">
        <f t="shared" ref="AO56:AO72" ca="1" si="380">AE56/VLOOKUP($AO$13,KURZY,3,FALSE)*IF(V56="",0,1)</f>
        <v>15149.758454106281</v>
      </c>
      <c r="AP56" s="796">
        <f t="shared" ref="AP56:AP72" ca="1" si="381">AF56/VLOOKUP($AO$13,KURZY,3,FALSE)</f>
        <v>0</v>
      </c>
      <c r="AQ56" s="753">
        <f ca="1">RZ[[#This Row],[Kilogramová cena bez DPH '[cena/kg'] (1)]]/$AP$13</f>
        <v>6.7632850241545892</v>
      </c>
      <c r="AR56" s="261"/>
      <c r="AS56" s="796">
        <f t="shared" ref="AS56:AS72" ca="1" si="382">AD56/VLOOKUP($AT$13,KURZY,3,FALSE)</f>
        <v>3.8293216630196936</v>
      </c>
      <c r="AT56" s="796">
        <f t="shared" ref="AT56:AT72" ca="1" si="383">AE56/VLOOKUP($AT$13,KURZY,3,FALSE)*IF(V56="",0,1)</f>
        <v>8577.6805251641126</v>
      </c>
      <c r="AU56" s="789">
        <f t="shared" ref="AU56:AU72" ca="1" si="384">AF56/VLOOKUP($AT$13,KURZY,3,FALSE)</f>
        <v>0</v>
      </c>
      <c r="AV56" s="767">
        <f ca="1">RZ[[#This Row],[Kilogramová cena bez DPH '[cena/kg'] (1)]]/$AU$13</f>
        <v>3.8293216630196936</v>
      </c>
      <c r="AW56" s="165"/>
      <c r="AX56" s="911">
        <f t="shared" ref="AX56:AX72" ca="1" si="385">IF($BH56=0,IF(AY56&gt;0,OFFSET(AX56,-1,0,1,1),0),OFFSET(AX56,-1,0,1,1)+1)</f>
        <v>2</v>
      </c>
      <c r="AY56" s="111">
        <f t="shared" ref="AY56:AY72" ca="1" si="386">IF($BI56=0,IF(AZ56&gt;0,OFFSET(AY56,-1,0,1,1),0),OFFSET(AY56,-1,0,1,1)+1)</f>
        <v>2</v>
      </c>
      <c r="AZ56" s="111">
        <f t="shared" ref="AZ56:AZ72" ca="1" si="387">IF($BJ56=0,IF(BA56&gt;0,OFFSET(AZ56,-1,0,1,1),0),OFFSET(AZ56,-1,0,1,1)+1)</f>
        <v>1</v>
      </c>
      <c r="BA56" s="111">
        <f t="shared" ref="BA56:BA72" ca="1" si="388">IF($BK56=0,IF(BB56&gt;0,OFFSET(BA56,-1,0,1,1),0),OFFSET(BA56,-1,0,1,1)+1)</f>
        <v>0</v>
      </c>
      <c r="BB56" s="111">
        <f t="shared" ref="BB56:BB72" ca="1" si="389">IF($BL56=0,IF(BC56&gt;0,OFFSET(BB56,-1,0,1,1),0),OFFSET(BB56,-1,0,1,1)+1)</f>
        <v>0</v>
      </c>
      <c r="BC56" s="111">
        <f t="shared" ref="BC56:BC72" ca="1" si="390">IF($BM56=0,IF(BD56&gt;0,OFFSET(BC56,-1,0,1,1),0),OFFSET(BC56,-1,0,1,1)+1)</f>
        <v>0</v>
      </c>
      <c r="BD56" s="111">
        <f t="shared" ref="BD56:BD72" ca="1" si="391">IF($BN56=0,IF(BE56&gt;0,OFFSET(BD56,-1,0,1,1),0),OFFSET(BD56,-1,0,1,1)+1)</f>
        <v>0</v>
      </c>
      <c r="BE56" s="111">
        <f t="shared" ref="BE56:BE72" ca="1" si="392">IF($BO56=0,IF(BF56&gt;0,OFFSET(BE56,-1,0,1,1),0),OFFSET(BE56,-1,0,1,1)+1)</f>
        <v>0</v>
      </c>
      <c r="BF56" s="111">
        <f t="shared" ref="BF56:BF72" ca="1" si="393">IF($BP56=0,IF(BG56&gt;0,OFFSET(BF56,-1,0,1,1),0),OFFSET(BF56,-1,0,1,1)+1)</f>
        <v>0</v>
      </c>
      <c r="BG56" s="112">
        <f t="shared" ref="BG56:BG72" ca="1" si="394">IF($BQ56=0,0,OFFSET($BG56,-1,0,1,1)+1)</f>
        <v>0</v>
      </c>
      <c r="BH56" s="911">
        <f t="shared" ref="BH56:BH72" si="395">IF(HG56="",0,1)</f>
        <v>0</v>
      </c>
      <c r="BI56" s="111">
        <f t="shared" ref="BI56:BI72" si="396">IF(HH56="",0,1)</f>
        <v>0</v>
      </c>
      <c r="BJ56" s="111">
        <f t="shared" ref="BJ56:BJ72" si="397">IF(HI56="",0,1)</f>
        <v>1</v>
      </c>
      <c r="BK56" s="111">
        <f t="shared" ref="BK56:BK72" si="398">IF(HJ56="",0,1)</f>
        <v>0</v>
      </c>
      <c r="BL56" s="111">
        <f t="shared" ref="BL56:BL72" si="399">IF(HK56="",0,1)</f>
        <v>0</v>
      </c>
      <c r="BM56" s="111">
        <f t="shared" ref="BM56:BM72" si="400">IF(HL56="",0,1)</f>
        <v>0</v>
      </c>
      <c r="BN56" s="111">
        <f t="shared" ref="BN56:BN72" si="401">IF(HM56="",0,1)</f>
        <v>0</v>
      </c>
      <c r="BO56" s="111">
        <f t="shared" ref="BO56:BO72" si="402">IF(HN56="",0,1)</f>
        <v>0</v>
      </c>
      <c r="BP56" s="111">
        <f t="shared" ref="BP56:BP72" si="403">IF(HO56="",0,1)</f>
        <v>0</v>
      </c>
      <c r="BQ56" s="112">
        <f t="shared" ref="BQ56:BQ72" si="404">IF(HP56="",0,1)</f>
        <v>0</v>
      </c>
      <c r="BR56" s="132">
        <f ca="1">IF(OFFSET(AY56,1,0,1,1)&lt;&gt;0,RZ[[#This Row],[Koeficient odhadu HR '[-'] (P1)]]*$BH56*SUMIFS(RZ[Úroveň 2 s koef. (P2)],RZ[0],AX56),RZ[[#This Row],[Koeficient odhadu HR '[-'] (P1)]]*$BH56*$IG56)</f>
        <v>0</v>
      </c>
      <c r="BS56" s="186">
        <f ca="1">IF(OFFSET(AY56,1,0,1,1)&lt;&gt;0,$BH56*SUMIFS(RZ[Úroveň 2 bez koef. (P2)],RZ[0],AX56),$BH56*$IG56)</f>
        <v>0</v>
      </c>
      <c r="BT56" s="138">
        <f ca="1">RZ[[#This Row],[Úroveň 2 s koef. (P2a)]]*RZ[[#This Row],[Počet MJHR (P0)]]</f>
        <v>0</v>
      </c>
      <c r="BU56" s="138">
        <f ca="1">RZ[[#This Row],[Úroveň 2 bez koef. (P2a)]]*RZ[[#This Row],[Počet MJHR (P0)]]</f>
        <v>0</v>
      </c>
      <c r="BV56" s="138">
        <f ca="1">IF(OFFSET(AZ56,1,0,1,1)&lt;&gt;0,RZ[[#This Row],[Koeficient odhadu HR '[-'] (P1)]]*$BI56*SUMIFS(RZ[Úroveň 3 s koef. (P2)],RZ[0],AX56,RZ[Úroveň 2 (P0)],AY56),RZ[[#This Row],[Koeficient odhadu HR '[-'] (P1)]]*$BI56*$IG56)</f>
        <v>0</v>
      </c>
      <c r="BW56" s="138">
        <f ca="1">IF(OFFSET(AZ56,1,0,1,1)&lt;&gt;0,$BI56*SUMIFS(RZ[Úroveň 3 bez koef. (P2)],RZ[0],AX56,RZ[Úroveň 2 (P0)],AY56),$BI56*$IG56)</f>
        <v>0</v>
      </c>
      <c r="BX56" s="132">
        <f ca="1">RZ[[#This Row],[Úroveň 3 s koef. (P2a)]]*RZ[[#This Row],[Počet MJHR (P0)]]</f>
        <v>1120</v>
      </c>
      <c r="BY56" s="132">
        <f ca="1">RZ[Úroveň 3 bez koef. (P2a)]*RZ[[#This Row],[Počet MJHR (P0)]]</f>
        <v>1120</v>
      </c>
      <c r="BZ56" s="132">
        <f ca="1">IF(OFFSET(BA56,1,0,1,1)&lt;&gt;0,RZ[[#This Row],[Koeficient odhadu HR '[-'] (P1)]]*$BJ56*SUMIFS(RZ[Úroveň 4 s koef. (P2)],RZ[0],AX56,RZ[Úroveň 2 (P0)],AY56,RZ[Úroveň 3 (P0)],AZ56),RZ[[#This Row],[Koeficient odhadu HR '[-'] (P1)]]*$BJ56*$IG56)</f>
        <v>280</v>
      </c>
      <c r="CA56" s="132">
        <f ca="1">IF(OFFSET(BA56,1,0,1,1)&lt;&gt;0,$BJ56*SUMIFS(RZ[Úroveň 4 bez koef. (P2)],RZ[0],AX56,RZ[Úroveň 2 (P0)],AY56,RZ[Úroveň 3 (P0)],AZ56),$BJ56*$IG56)</f>
        <v>280</v>
      </c>
      <c r="CB56" s="138">
        <f ca="1">RZ[[#This Row],[Úroveň 4 s koef. (P2a)]]*RZ[[#This Row],[Počet MJHR (P0)]]</f>
        <v>0</v>
      </c>
      <c r="CC56" s="138">
        <f ca="1">RZ[Úroveň 4 bez koef. (P2a)]*RZ[[#This Row],[Počet MJHR (P0)]]</f>
        <v>0</v>
      </c>
      <c r="CD56" s="138">
        <f ca="1">IF(OFFSET(BB56,1,0,1,1)&lt;&gt;0,RZ[[#This Row],[Koeficient odhadu HR '[-'] (P1)]]*$BK56*SUMIFS(RZ[Úroveň 5 s koef. (P2)],RZ[0],AX56,RZ[Úroveň 2 (P0)],AY56,RZ[Úroveň 3 (P0)],AZ56,RZ[Úroveň 4 (P0)],BA56),RZ[[#This Row],[Koeficient odhadu HR '[-'] (P1)]]*$BK56*$IG56)</f>
        <v>0</v>
      </c>
      <c r="CE56" s="138">
        <f ca="1">IF(OFFSET(BB56,1,0,1,1)&lt;&gt;0,$BK56*SUMIFS(RZ[Úroveň 5 bez koef. (P2)],RZ[0],AX56,RZ[Úroveň 2 (P0)],AY56,RZ[Úroveň 3 (P0)],AZ56,RZ[Úroveň 4 (P0)],BA56),$BK56*$IG56)</f>
        <v>0</v>
      </c>
      <c r="CF56" s="132">
        <f ca="1">RZ[[#This Row],[Úroveň 5 s koef. (P2a)]]*RZ[[#This Row],[Počet MJHR (P0)]]</f>
        <v>0</v>
      </c>
      <c r="CG56" s="132">
        <f ca="1">RZ[Úroveň 5 bez koef. (P2a)]*RZ[[#This Row],[Počet MJHR (P0)]]</f>
        <v>0</v>
      </c>
      <c r="CH56" s="132">
        <f ca="1">IF(OFFSET(BC56,1,0,1,1)&lt;&gt;0,RZ[[#This Row],[Koeficient odhadu HR '[-'] (P1)]]*$BL56*SUMIFS(RZ[Úroveň 6 s koef. (P2)],RZ[0],AX56,RZ[Úroveň 2 (P0)],AY56,RZ[Úroveň 3 (P0)],AZ56,RZ[Úroveň 4 (P0)],BA56,RZ[Úroveň 5 (P0)],BB56),RZ[[#This Row],[Koeficient odhadu HR '[-'] (P1)]]*$BL56*$IG56)</f>
        <v>0</v>
      </c>
      <c r="CI56" s="132">
        <f ca="1">IF(OFFSET(BC56,1,0,1,1)&lt;&gt;0,$BL56*SUMIFS(RZ[Úroveň 6 bez koef. (P2)],RZ[0],AX56,RZ[Úroveň 2 (P0)],AY56,RZ[Úroveň 3 (P0)],AZ56,RZ[Úroveň 4 (P0)],BA56,RZ[Úroveň 5 (P0)],BB56),$BL56*$IG56)</f>
        <v>0</v>
      </c>
      <c r="CJ56" s="138">
        <f ca="1">RZ[[#This Row],[Úroveň 6 s koef. (P2a)]]*RZ[[#This Row],[Počet MJHR (P0)]]</f>
        <v>0</v>
      </c>
      <c r="CK56" s="138">
        <f ca="1">RZ[Úroveň 6 bez koef. (P2a)]*RZ[[#This Row],[Počet MJHR (P0)]]</f>
        <v>0</v>
      </c>
      <c r="CL56" s="138">
        <f ca="1">IF(OFFSET(BD56,1,0,1,1)&lt;&gt;0,RZ[[#This Row],[Koeficient odhadu HR '[-'] (P1)]]*$BM56*SUMIFS(RZ[Úroveň 7 s koef. (P2)],RZ[0],AX56,RZ[Úroveň 2 (P0)],AY56,RZ[Úroveň 3 (P0)],AZ56,RZ[Úroveň 4 (P0)],BA56,RZ[Úroveň 5 (P0)],BB56,RZ[Úroveň 6 (P0)],BC56),RZ[[#This Row],[Koeficient odhadu HR '[-'] (P1)]]*$BM56*$IG56)</f>
        <v>0</v>
      </c>
      <c r="CM56" s="138">
        <f ca="1">IF(OFFSET(BD56,1,0,1,1)&lt;&gt;0,$BM56*SUMIFS(RZ[Úroveň 7 bez koef. (P2)],RZ[0],AX56,RZ[Úroveň 2 (P0)],AY56,RZ[Úroveň 3 (P0)],AZ56,RZ[Úroveň 4 (P0)],BA56,RZ[Úroveň 5 (P0)],BB56,RZ[Úroveň 6 (P0)],BC56),$BM56*$IG56)</f>
        <v>0</v>
      </c>
      <c r="CN56" s="132">
        <f ca="1">RZ[[#This Row],[Úroveň 7 s koef. (P2a)]]*RZ[[#This Row],[Počet MJHR (P0)]]</f>
        <v>0</v>
      </c>
      <c r="CO56" s="132">
        <f ca="1">RZ[Úroveň 7 bez koef. (P2a)]*RZ[[#This Row],[Počet MJHR (P0)]]</f>
        <v>0</v>
      </c>
      <c r="CP56" s="132">
        <f ca="1">IF(OFFSET(BE56,1,0,1,1)&lt;&gt;0,RZ[[#This Row],[Koeficient odhadu HR '[-'] (P1)]]*$BN56*SUMIFS(RZ[Úroveň 8 s koef. (P2)],RZ[0],AX56,RZ[Úroveň 2 (P0)],AY56,RZ[Úroveň 3 (P0)],AZ56,RZ[Úroveň 4 (P0)],BA56,RZ[Úroveň 5 (P0)],BB56,RZ[Úroveň 6 (P0)],BC56,RZ[Úroveň 7 (P0)],BD56),RZ[[#This Row],[Koeficient odhadu HR '[-'] (P1)]]*$BN56*$IG56)</f>
        <v>0</v>
      </c>
      <c r="CQ56" s="132">
        <f ca="1">IF(OFFSET(BE56,1,0,1,1)&lt;&gt;0,$BN56*SUMIFS(RZ[Úroveň 8 bez koef. (P2)],RZ[0],AX56,RZ[Úroveň 2 (P0)],AY56,RZ[Úroveň 3 (P0)],AZ56,RZ[Úroveň 4 (P0)],BA56,RZ[Úroveň 5 (P0)],BB56,RZ[Úroveň 6 (P0)],BC56,RZ[Úroveň 7 (P0)],BD56),$BN56*$IG56)</f>
        <v>0</v>
      </c>
      <c r="CR56" s="138">
        <f ca="1">RZ[[#This Row],[Úroveň 8 s koef. (P2a)]]*RZ[[#This Row],[Počet MJHR (P0)]]</f>
        <v>0</v>
      </c>
      <c r="CS56" s="138">
        <f ca="1">RZ[Úroveň 8 bez koef. (P2a)]*RZ[[#This Row],[Počet MJHR (P0)]]</f>
        <v>0</v>
      </c>
      <c r="CT56" s="138">
        <f ca="1">IF(OFFSET(BF56,1,0,1,1)&lt;&gt;0,RZ[[#This Row],[Koeficient odhadu HR '[-'] (P1)]]*$BO56*SUMIFS(RZ[Úroveň 9 s koef. (P2)],RZ[0],AX56,RZ[Úroveň 2 (P0)],AY56,RZ[Úroveň 3 (P0)],AZ56,RZ[Úroveň 4 (P0)],BA56,RZ[Úroveň 5 (P0)],BB56,RZ[Úroveň 6 (P0)],BC56,RZ[Úroveň 7 (P0)],BD56,RZ[Úroveň 8 (P0)],BE56),RZ[[#This Row],[Koeficient odhadu HR '[-'] (P1)]]*$BO56*$IG56)</f>
        <v>0</v>
      </c>
      <c r="CU56" s="138">
        <f ca="1">IF(OFFSET(BF56,1,0,1,1)&lt;&gt;0,$BO56*SUMIFS(RZ[Úroveň 9 bez koef. (P2)],RZ[0],AX56,RZ[Úroveň 2 (P0)],AY56,RZ[Úroveň 3 (P0)],AZ56,RZ[Úroveň 4 (P0)],BA56,RZ[Úroveň 5 (P0)],BB56,RZ[Úroveň 6 (P0)],BC56,RZ[Úroveň 7 (P0)],BD56,RZ[Úroveň 8 (P0)],BE56),$BO56*$IG56)</f>
        <v>0</v>
      </c>
      <c r="CV56" s="132">
        <f ca="1">RZ[[#This Row],[Úroveň 9 s koef. (P2a)]]*RZ[[#This Row],[Počet MJHR (P0)]]</f>
        <v>0</v>
      </c>
      <c r="CW56" s="132">
        <f ca="1">RZ[Úroveň 9 bez koef. (P2a)]*RZ[[#This Row],[Počet MJHR (P0)]]</f>
        <v>0</v>
      </c>
      <c r="CX56" s="132">
        <f ca="1">IF(OFFSET(BG56,1,0,1,1)&lt;&gt;0,RZ[[#This Row],[Koeficient odhadu HR '[-'] (P1)]]*$BP56*SUMIFS(RZ[Úroveň 10 s koef. (P2)],RZ[0],AX56,RZ[Úroveň 2 (P0)],AY56,RZ[Úroveň 3 (P0)],AZ56,RZ[Úroveň 4 (P0)],BA56,RZ[Úroveň 5 (P0)],BB56,RZ[Úroveň 6 (P0)],BC56,RZ[Úroveň 7 (P0)],BD56,RZ[Úroveň 8 (P0)],BE56,RZ[Úroveň 9 (P0)],BF56),RZ[[#This Row],[Koeficient odhadu HR '[-'] (P1)]]*$BP56*$IG56)</f>
        <v>0</v>
      </c>
      <c r="CY56" s="132">
        <f ca="1">IF(OFFSET(BG56,1,0,1,1)&lt;&gt;0,$BP56*SUMIFS(RZ[Úroveň 10 bez koef. (P2)],RZ[0],AX56,RZ[Úroveň 2 (P0)],AY56,RZ[Úroveň 3 (P0)],AZ56,RZ[Úroveň 4 (P0)],BA56,RZ[Úroveň 5 (P0)],BB56,RZ[Úroveň 6 (P0)],BC56,RZ[Úroveň 7 (P0)],BD56,RZ[Úroveň 8 (P0)],BE56,RZ[Úroveň 9 (P0)],BF56),$BP56*$IG56)</f>
        <v>0</v>
      </c>
      <c r="CZ56" s="138">
        <f>RZ[[#This Row],[Úroveň 10 s koef. (P2a)]]*RZ[[#This Row],[Počet MJHR (P0)]]</f>
        <v>0</v>
      </c>
      <c r="DA56" s="138">
        <f>RZ[Úroveň 10 bez koef. (P2a)]*RZ[[#This Row],[Počet MJHR (P0)]]</f>
        <v>0</v>
      </c>
      <c r="DB56" s="138">
        <f>RZ[[#This Row],[Koeficient odhadu HR '[-'] (P1)]]*$BQ56*IG56</f>
        <v>0</v>
      </c>
      <c r="DC56" s="231">
        <f t="shared" ref="DC56:DC72" si="405">$BQ56*IG56</f>
        <v>0</v>
      </c>
      <c r="DD56" s="241">
        <f t="shared" ref="DD56:DD72" ca="1" si="406">IF(BH56=1,BR56,IF(BI56=1,BV56,IF(BJ56=1,BZ56,IF(BK56=1,CD56,IF(BL56=1,CH56,IF(BM56=1,CL56,IF(BN56=1,CP56,IF(BO56=1,CT56,IF(BP56=1,CX56,DB56)))))))))</f>
        <v>280</v>
      </c>
      <c r="DE56" s="229">
        <f t="shared" ref="DE56:DE72" ca="1" si="407">IF(BH56=1,BS56,IF(BI56=1,BW56,IF(BJ56=1,CA56,IF(BK56=1,CE56,IF(BL56=1,CI56,IF(BM56=1,CM56,IF(BN56=1,CQ56,IF(BO56=1,CU56,IF(BP56=1,CY56,DC56)))))))))</f>
        <v>280</v>
      </c>
      <c r="DF56" s="912">
        <f t="shared" ref="DF56:DF72" si="408">BH56*$IF56</f>
        <v>0</v>
      </c>
      <c r="DG56" s="913">
        <f t="shared" ref="DG56:DG72" si="409">BI56*$IF56</f>
        <v>0</v>
      </c>
      <c r="DH56" s="913">
        <f t="shared" ref="DH56:DH72" si="410">BJ56*$IF56</f>
        <v>4</v>
      </c>
      <c r="DI56" s="913">
        <f t="shared" ref="DI56:DI72" si="411">BK56*$IF56</f>
        <v>0</v>
      </c>
      <c r="DJ56" s="913">
        <f t="shared" ref="DJ56:DJ72" si="412">BL56*$IF56</f>
        <v>0</v>
      </c>
      <c r="DK56" s="913">
        <f t="shared" ref="DK56:DK72" si="413">BM56*$IF56</f>
        <v>0</v>
      </c>
      <c r="DL56" s="913">
        <f t="shared" ref="DL56:DL72" si="414">BN56*$IF56</f>
        <v>0</v>
      </c>
      <c r="DM56" s="913">
        <f t="shared" ref="DM56:DM72" si="415">BO56*$IF56</f>
        <v>0</v>
      </c>
      <c r="DN56" s="913">
        <f t="shared" ref="DN56:DN72" si="416">BP56*$IF56</f>
        <v>0</v>
      </c>
      <c r="DO56" s="913">
        <f t="shared" ref="DO56:DO72" si="417">BQ56*$IF56</f>
        <v>0</v>
      </c>
      <c r="DP56" s="914">
        <f ca="1">SUMIFS(RZ[Úroveň 1 (P4)],RZ[0],AX56)</f>
        <v>1</v>
      </c>
      <c r="DQ56" s="914">
        <f ca="1">SUMIFS(RZ[Úroveň 2 (P4)],RZ[0],AX56,RZ[Úroveň 2 (P0)],AY56)</f>
        <v>2</v>
      </c>
      <c r="DR56" s="914">
        <f ca="1">SUMIFS(RZ[Úroveň 3 (P4)],RZ[0],AX56,RZ[Úroveň 2 (P0)],AY56,RZ[Úroveň 3 (P0)],AZ56)</f>
        <v>4</v>
      </c>
      <c r="DS56" s="914">
        <f ca="1">SUMIFS(RZ[Úroveň 4 (P4)],RZ[0],AX56,RZ[Úroveň 2 (P0)],AY56,RZ[Úroveň 3 (P0)],AZ56,RZ[Úroveň 4 (P0)],BA56)</f>
        <v>0</v>
      </c>
      <c r="DT56" s="914">
        <f ca="1">SUMIFS(RZ[Úroveň 5 (P4)],RZ[0],AX56,RZ[Úroveň 2 (P0)],AY56,RZ[Úroveň 3 (P0)],AZ56,RZ[Úroveň 4 (P0)],BA56,RZ[Úroveň 5 (P0)],BB56)</f>
        <v>0</v>
      </c>
      <c r="DU56" s="914">
        <f ca="1">SUMIFS(RZ[Úroveň 6 (P4)],RZ[0],AX56,RZ[Úroveň 2 (P0)],AY56,RZ[Úroveň 3 (P0)],AZ56,RZ[Úroveň 4 (P0)],BA56,RZ[Úroveň 5 (P0)],BB56,RZ[Úroveň 6 (P0)],BC56)</f>
        <v>0</v>
      </c>
      <c r="DV56" s="914">
        <f ca="1">SUMIFS(RZ[Úroveň 7 (P4)],RZ[0],AX56,RZ[Úroveň 2 (P0)],AY56,RZ[Úroveň 3 (P0)],AZ56,RZ[Úroveň 4 (P0)],BA56,RZ[Úroveň 5 (P0)],BB56,RZ[Úroveň 6 (P0)],BC56,RZ[Úroveň 7 (P0)],BD56)</f>
        <v>0</v>
      </c>
      <c r="DW56" s="914">
        <f ca="1">SUMIFS(RZ[Úroveň 8 (P4)],RZ[0],AX56,RZ[Úroveň 2 (P0)],AY56,RZ[Úroveň 3 (P0)],AZ56,RZ[Úroveň 4 (P0)],BA56,RZ[Úroveň 5 (P0)],BB56,RZ[Úroveň 6 (P0)],BC56,RZ[Úroveň 7 (P0)],BD56,RZ[Úroveň 8 (P0)],BE56)</f>
        <v>0</v>
      </c>
      <c r="DX56" s="914">
        <f ca="1">SUMIFS(RZ[Úroveň 9 (P4)],RZ[0],AX56,RZ[Úroveň 2 (P0)],AY56,RZ[Úroveň 3 (P0)],AZ56,RZ[Úroveň 4 (P0)],BA56,RZ[Úroveň 5 (P0)],BB56,RZ[Úroveň 6 (P0)],BC56,RZ[Úroveň 7 (P0)],BD56,RZ[Úroveň 8 (P0)],BE56,RZ[Úroveň 9 (P0)],BF56)</f>
        <v>0</v>
      </c>
      <c r="DY56" s="914">
        <f ca="1">SUMIFS(RZ[Úroveň 10 (P4)],RZ[0],AX56,RZ[Úroveň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DZ56" s="915">
        <f t="shared" ref="DZ56:DZ72" ca="1" si="418">IF(DP56&lt;&gt;0,DP56,1)*IF(DQ56&lt;&gt;0,DQ56,1)*IF(DR56&lt;&gt;0,DR56,1)*IF(DS56&lt;&gt;0,DS56,1)*IF(DT56&lt;&gt;0,DT56,1)*IF(DU56&lt;&gt;0,DU56,1)*IF(DV56&lt;&gt;0,DV56,1)*IF(DW56&lt;&gt;0,DW56,1)*IF(DX56&lt;&gt;0,DX56,1)*IF(DY56&lt;&gt;0,DY56,1)</f>
        <v>8</v>
      </c>
      <c r="EA56" s="916">
        <f ca="1">RZ[[#This Row],[Jednotková hmotnost bez koef. '[kg/MJHR'] (P0)]]*RZ[[#This Row],[Počet MJHR v rozpadu (P0)]]</f>
        <v>2240</v>
      </c>
      <c r="EB56" s="917">
        <f ca="1">IF(OFFSET(AY56,1,0,1,1)&lt;&gt;0,RZ[[#This Row],[Koeficient odhadu CR '[-'] (P1)]]*$BH56*SUMIFS(RZ[Úroveň 2 s koef. (P3)],RZ[0],AX56),RZ[[#This Row],[Koeficient odhadu CR '[-'] (P1)]]*$BH56*$IQ56)</f>
        <v>0</v>
      </c>
      <c r="EC56" s="191">
        <f ca="1">IF(OFFSET(AY56,1,0,1,1)&lt;&gt;0,$BH56*SUMIFS(RZ[Úroveň 2 bez koef. (P3)],RZ[0],AX56),$BH56*$IQ56)</f>
        <v>0</v>
      </c>
      <c r="ED56" s="140">
        <f ca="1">RZ[[#This Row],[Úroveň 2 s koef. (P3a)]]*RZ[[#This Row],[Počet MJCR (P0) pro "kg"]]</f>
        <v>0</v>
      </c>
      <c r="EE56" s="140">
        <f ca="1">RZ[Úroveň 2 bez koef. (P3a)]*RZ[[#This Row],[Počet MJCR (P0) pro "kg"]]</f>
        <v>0</v>
      </c>
      <c r="EF56" s="140">
        <f ca="1">IF(OFFSET(AZ56,1,0,1,1)&lt;&gt;0,RZ[[#This Row],[Koeficient odhadu CR '[-'] (P1)]]*$BI56*SUMIFS(RZ[Úroveň 3 s koef. (P3)],RZ[0],AX56,RZ[Úroveň 2 (P0)],AY56),RZ[[#This Row],[Koeficient odhadu CR '[-'] (P1)]]*$BI56*$IQ56)</f>
        <v>0</v>
      </c>
      <c r="EG56" s="140">
        <f ca="1">IF(OFFSET(AZ56,1,0,1,1)&lt;&gt;0,$BI56*SUMIFS(RZ[Úroveň 3 bez koef. (P3)],RZ[0],AX56,RZ[Úroveň 2 (P0)],AY56),$BI56*$IQ56)</f>
        <v>0</v>
      </c>
      <c r="EH56" s="135">
        <f ca="1">RZ[[#This Row],[Úroveň 3 s koef. (P3a)]]*RZ[[#This Row],[Počet MJCR (P0) pro "kg"]]</f>
        <v>156800</v>
      </c>
      <c r="EI56" s="135">
        <f ca="1">RZ[Úroveň 3 bez koef. (P3a)]*RZ[[#This Row],[Počet MJCR (P0) pro "kg"]]</f>
        <v>156800</v>
      </c>
      <c r="EJ56" s="135">
        <f ca="1">IF(OFFSET(BA56,1,0,1,1)&lt;&gt;0,RZ[[#This Row],[Koeficient odhadu CR '[-'] (P1)]]*$BJ56*SUMIFS(RZ[Úroveň 4 s koef. (P3)],RZ[0],AX56,RZ[Úroveň 2 (P0)],AY56,RZ[Úroveň 3 (P0)],AZ56),RZ[[#This Row],[Koeficient odhadu CR '[-'] (P1)]]*$BJ56*$IQ56)</f>
        <v>140</v>
      </c>
      <c r="EK56" s="135">
        <f ca="1">IF(OFFSET(BA56,1,0,1,1)&lt;&gt;0,$BJ56*SUMIFS(RZ[Úroveň 4 bez koef. (P3)],RZ[0],AX56,RZ[Úroveň 2 (P0)],AY56,RZ[Úroveň 3 (P0)],AZ56),$BJ56*$IQ56)</f>
        <v>140</v>
      </c>
      <c r="EL56" s="140">
        <f ca="1">RZ[[#This Row],[Úroveň 4 s koef. (P3a)]]*RZ[[#This Row],[Počet MJCR (P0) pro "kg"]]</f>
        <v>0</v>
      </c>
      <c r="EM56" s="140">
        <f ca="1">RZ[Úroveň 4 bez koef. (P3a)]*RZ[[#This Row],[Počet MJCR (P0) pro "kg"]]</f>
        <v>0</v>
      </c>
      <c r="EN56" s="140">
        <f ca="1">IF(OFFSET(BB56,1,0,1,1)&lt;&gt;0,RZ[[#This Row],[Koeficient odhadu CR '[-'] (P1)]]*$BK56*SUMIFS(RZ[Úroveň 5 s koef. (P3)],RZ[0],AX56,RZ[Úroveň 2 (P0)],AY56,RZ[Úroveň 3 (P0)],AZ56,RZ[Úroveň 4 (P0)],BA56),RZ[[#This Row],[Koeficient odhadu CR '[-'] (P1)]]*$BK56*$IQ56)</f>
        <v>0</v>
      </c>
      <c r="EO56" s="140">
        <f ca="1">IF(OFFSET(BB56,1,0,1,1)&lt;&gt;0,$BK56*SUMIFS(RZ[Úroveň 5 bez koef. (P3)],RZ[0],AX56,RZ[Úroveň 2 (P0)],AY56,RZ[Úroveň 3 (P0)],AZ56,RZ[Úroveň 4 (P0)],BA56),$BK56*$IQ56)</f>
        <v>0</v>
      </c>
      <c r="EP56" s="135">
        <f ca="1">RZ[[#This Row],[Úroveň 5 s koef. (P3a)]]*RZ[[#This Row],[Počet MJCR (P0) pro "kg"]]</f>
        <v>0</v>
      </c>
      <c r="EQ56" s="135">
        <f ca="1">RZ[Úroveň 5 bez koef. (P3a)]*RZ[[#This Row],[Počet MJCR (P0) pro "kg"]]</f>
        <v>0</v>
      </c>
      <c r="ER56" s="135">
        <f ca="1">IF(OFFSET(BC56,1,0,1,1)&lt;&gt;0,RZ[[#This Row],[Koeficient odhadu CR '[-'] (P1)]]*$BL56*SUMIFS(RZ[Úroveň 6 s koef. (P3)],RZ[0],AX56,RZ[Úroveň 2 (P0)],AY56,RZ[Úroveň 3 (P0)],AZ56,RZ[Úroveň 4 (P0)],BA56,RZ[Úroveň 5 (P0)],BB56),RZ[[#This Row],[Koeficient odhadu CR '[-'] (P1)]]*$BL56*$IQ56)</f>
        <v>0</v>
      </c>
      <c r="ES56" s="135">
        <f ca="1">IF(OFFSET(BC56,1,0,1,1)&lt;&gt;0,$BL56*SUMIFS(RZ[Úroveň 6 bez koef. (P3)],RZ[0],AX56,RZ[Úroveň 2 (P0)],AY56,RZ[Úroveň 3 (P0)],AZ56,RZ[Úroveň 4 (P0)],BA56,RZ[Úroveň 5 (P0)],BB56),$BL56*$IQ56)</f>
        <v>0</v>
      </c>
      <c r="ET56" s="140">
        <f ca="1">RZ[[#This Row],[Úroveň 6 s koef. (P3a)]]*RZ[[#This Row],[Počet MJCR (P0) pro "kg"]]</f>
        <v>0</v>
      </c>
      <c r="EU56" s="140">
        <f ca="1">RZ[Úroveň 6 bez koef. (P3a)]*RZ[[#This Row],[Počet MJCR (P0) pro "kg"]]</f>
        <v>0</v>
      </c>
      <c r="EV56" s="140">
        <f ca="1">IF(OFFSET(BD56,1,0,1,1)&lt;&gt;0,RZ[[#This Row],[Koeficient odhadu CR '[-'] (P1)]]*$BM56*SUMIFS(RZ[Úroveň 7 s koef. (P3)],RZ[0],AX56,RZ[Úroveň 2 (P0)],AY56,RZ[Úroveň 3 (P0)],AZ56,RZ[Úroveň 4 (P0)],BA56,RZ[Úroveň 5 (P0)],BB56,RZ[Úroveň 6 (P0)],BC56),RZ[[#This Row],[Koeficient odhadu CR '[-'] (P1)]]*$BM56*$IQ56)</f>
        <v>0</v>
      </c>
      <c r="EW56" s="140">
        <f ca="1">IF(OFFSET(BD56,1,0,1,1)&lt;&gt;0,$BM56*SUMIFS(RZ[Úroveň 7 bez koef. (P3)],RZ[0],AX56,RZ[Úroveň 2 (P0)],AY56,RZ[Úroveň 3 (P0)],AZ56,RZ[Úroveň 4 (P0)],BA56,RZ[Úroveň 5 (P0)],BB56,RZ[Úroveň 6 (P0)],BC56),$BM56*$IQ56)</f>
        <v>0</v>
      </c>
      <c r="EX56" s="135">
        <f ca="1">RZ[[#This Row],[Úroveň 7 s koef. (P3a)]]*RZ[[#This Row],[Počet MJCR (P0) pro "kg"]]</f>
        <v>0</v>
      </c>
      <c r="EY56" s="135">
        <f ca="1">RZ[Úroveň 7 bez koef. (P3a)]*RZ[[#This Row],[Počet MJCR (P0) pro "kg"]]</f>
        <v>0</v>
      </c>
      <c r="EZ56" s="135">
        <f ca="1">IF(OFFSET(BE56,1,0,1,1)&lt;&gt;0,RZ[[#This Row],[Koeficient odhadu CR '[-'] (P1)]]*$BN56*SUMIFS(RZ[Úroveň 8 s koef. (P3)],RZ[0],AX56,RZ[Úroveň 2 (P0)],AY56,RZ[Úroveň 3 (P0)],AZ56,RZ[Úroveň 4 (P0)],BA56,RZ[Úroveň 5 (P0)],BB56,RZ[Úroveň 6 (P0)],BC56,RZ[Úroveň 7 (P0)],BD56),RZ[[#This Row],[Koeficient odhadu CR '[-'] (P1)]]*$BN56*$IQ56)</f>
        <v>0</v>
      </c>
      <c r="FA56" s="135">
        <f ca="1">IF(OFFSET(BE56,1,0,1,1)&lt;&gt;0,$BN56*SUMIFS(RZ[Úroveň 8 bez koef. (P3)],RZ[0],AX56,RZ[Úroveň 2 (P0)],AY56,RZ[Úroveň 3 (P0)],AZ56,RZ[Úroveň 4 (P0)],BA56,RZ[Úroveň 5 (P0)],BB56,RZ[Úroveň 6 (P0)],BC56,RZ[Úroveň 7 (P0)],BD56),$BN56*$IQ56)</f>
        <v>0</v>
      </c>
      <c r="FB56" s="140">
        <f ca="1">RZ[[#This Row],[Úroveň 8 s koef. (P3a)]]*RZ[[#This Row],[Počet MJCR (P0) pro "kg"]]</f>
        <v>0</v>
      </c>
      <c r="FC56" s="140">
        <f ca="1">RZ[Úroveň 8 bez koef. (P3a)]*RZ[[#This Row],[Počet MJCR (P0) pro "kg"]]</f>
        <v>0</v>
      </c>
      <c r="FD56" s="140">
        <f ca="1">IF(OFFSET(BF56,1,0,1,1)&lt;&gt;0,RZ[[#This Row],[Koeficient odhadu CR '[-'] (P1)]]*$BO56*SUMIFS(RZ[Úroveň 9 s koef. (P3)],RZ[0],AX56,RZ[Úroveň 2 (P0)],AY56,RZ[Úroveň 3 (P0)],AZ56,RZ[Úroveň 4 (P0)],BA56,RZ[Úroveň 5 (P0)],BB56,RZ[Úroveň 6 (P0)],BC56,RZ[Úroveň 7 (P0)],BD56,RZ[Úroveň 8 (P0)],BE56),RZ[[#This Row],[Koeficient odhadu CR '[-'] (P1)]]*$BO56*$IQ56)</f>
        <v>0</v>
      </c>
      <c r="FE56" s="140">
        <f ca="1">IF(OFFSET(BF56,1,0,1,1)&lt;&gt;0,$BO56*SUMIFS(RZ[Úroveň 9 bez koef. (P3)],RZ[0],AX56,RZ[Úroveň 2 (P0)],AY56,RZ[Úroveň 3 (P0)],AZ56,RZ[Úroveň 4 (P0)],BA56,RZ[Úroveň 5 (P0)],BB56,RZ[Úroveň 6 (P0)],BC56,RZ[Úroveň 7 (P0)],BD56,RZ[Úroveň 8 (P0)],BE56),$BO56*$IQ56)</f>
        <v>0</v>
      </c>
      <c r="FF56" s="135">
        <f ca="1">RZ[[#This Row],[Úroveň 9 s koef. (P3a)]]*RZ[[#This Row],[Počet MJCR (P0) pro "kg"]]</f>
        <v>0</v>
      </c>
      <c r="FG56" s="135">
        <f ca="1">RZ[Úroveň 9 bez koef. (P3a)]*RZ[[#This Row],[Počet MJCR (P0) pro "kg"]]</f>
        <v>0</v>
      </c>
      <c r="FH56" s="135">
        <f ca="1">IF(OFFSET(BG56,1,0,1,1)&lt;&gt;0,RZ[[#This Row],[Koeficient odhadu CR '[-'] (P1)]]*$BP56*SUMIFS(RZ[Úroveň 10 s koef. (P3)],RZ[0],AX56,RZ[Úroveň 2 (P0)],AY56,RZ[Úroveň 3 (P0)],AZ56,RZ[Úroveň 4 (P0)],BA56,RZ[Úroveň 5 (P0)],BB56,RZ[Úroveň 6 (P0)],BC56,RZ[Úroveň 7 (P0)],BD56,RZ[Úroveň 8 (P0)],BE56,RZ[Úroveň 9 (P0)],BF56),RZ[[#This Row],[Koeficient odhadu CR '[-'] (P1)]]*$BP56*$IQ56)</f>
        <v>0</v>
      </c>
      <c r="FI56" s="135">
        <f ca="1">IF(OFFSET(BG56,1,0,1,1)&lt;&gt;0,$BP56*SUMIFS(RZ[Úroveň 10 bez koef. (P3)],RZ[0],AX56,RZ[Úroveň 2 (P0)],AY56,RZ[Úroveň 3 (P0)],AZ56,RZ[Úroveň 4 (P0)],BA56,RZ[Úroveň 5 (P0)],BB56,RZ[Úroveň 6 (P0)],BC56,RZ[Úroveň 7 (P0)],BD56,RZ[Úroveň 8 (P0)],BE56,RZ[Úroveň 9 (P0)],BF56),$BP56*$IQ56)</f>
        <v>0</v>
      </c>
      <c r="FJ56" s="140">
        <f ca="1">RZ[[#This Row],[Úroveň 10 s koef. (P3a)]]*RZ[[#This Row],[Počet MJCR (P0) pro "kg"]]</f>
        <v>0</v>
      </c>
      <c r="FK56" s="140">
        <f ca="1">RZ[Úroveň 10 bez koef. (P3a)]*RZ[[#This Row],[Počet MJCR (P0) pro "kg"]]</f>
        <v>0</v>
      </c>
      <c r="FL56" s="140">
        <f ca="1">RZ[[#This Row],[Koeficient odhadu CR '[-'] (P1)]]*$BQ56*IQ56</f>
        <v>0</v>
      </c>
      <c r="FM56" s="236">
        <f t="shared" ref="FM56:FM72" ca="1" si="419">$BQ56*IQ56</f>
        <v>0</v>
      </c>
      <c r="FN56" s="194">
        <f t="shared" ref="FN56:FN72" ca="1" si="420">IF(BH56=1,EB56,IF(BI56=1,EF56,IF(BJ56=1,EJ56,IF(BK56=1,EN56,IF(BL56=1,ER56,IF(BM56=1,EV56,IF(BN56=1,EZ56,IF(BO56=1,FD56,IF(BP56=1,FH56,FL56)))))))))</f>
        <v>140</v>
      </c>
      <c r="FO56" s="238">
        <f t="shared" ref="FO56:FO72" ca="1" si="421">IF(BH56=1,EC56,IF(BI56=1,EG56,IF(BJ56=1,EK56,IF(BK56=1,EO56,IF(BL56=1,ES56,IF(BM56=1,EW56,IF(BN56=1,FA56,IF(BO56=1,FE56,IF(BP56=1,FI56,FM56)))))))))</f>
        <v>140</v>
      </c>
      <c r="FP56" s="135">
        <f t="shared" ref="FP56:FP72" ca="1" si="422">BH56*$IK56</f>
        <v>0</v>
      </c>
      <c r="FQ56" s="135">
        <f t="shared" ref="FQ56:FQ72" ca="1" si="423">BI56*$IK56</f>
        <v>0</v>
      </c>
      <c r="FR56" s="135">
        <f t="shared" ref="FR56:FR72" ca="1" si="424">BJ56*$IK56</f>
        <v>1120</v>
      </c>
      <c r="FS56" s="135">
        <f t="shared" ref="FS56:FS72" ca="1" si="425">BK56*$IK56</f>
        <v>0</v>
      </c>
      <c r="FT56" s="135">
        <f t="shared" ref="FT56:FT72" ca="1" si="426">BL56*$IK56</f>
        <v>0</v>
      </c>
      <c r="FU56" s="135">
        <f t="shared" ref="FU56:FU72" ca="1" si="427">BM56*$IK56</f>
        <v>0</v>
      </c>
      <c r="FV56" s="135">
        <f t="shared" ref="FV56:FV72" ca="1" si="428">BN56*$IK56</f>
        <v>0</v>
      </c>
      <c r="FW56" s="135">
        <f t="shared" ref="FW56:FW72" ca="1" si="429">BO56*$IK56</f>
        <v>0</v>
      </c>
      <c r="FX56" s="135">
        <f t="shared" ref="FX56:FX72" ca="1" si="430">BP56*$IK56</f>
        <v>0</v>
      </c>
      <c r="FY56" s="135">
        <f t="shared" ref="FY56:FY72" ca="1" si="431">BQ56*$IK56</f>
        <v>0</v>
      </c>
      <c r="FZ56" s="140">
        <f ca="1">SUMIFS(RZ[Úroveň 1 (P6)],RZ[0],AX56)</f>
        <v>1</v>
      </c>
      <c r="GA56" s="140">
        <f ca="1">SUMIFS(RZ[Úroveň 2 (P6)],RZ[0],AX56,RZ[Úroveň 2 (P0)],AY56)</f>
        <v>2</v>
      </c>
      <c r="GB56" s="140">
        <f ca="1">SUMIFS(RZ[Úroveň 3 (P6)],RZ[0],AX56,RZ[Úroveň 2 (P0)],AY56,RZ[Úroveň 3 (P0)],AZ56)</f>
        <v>1120</v>
      </c>
      <c r="GC56" s="140">
        <f ca="1">SUMIFS(RZ[Úroveň 4 (P6)],RZ[0],AX56,RZ[Úroveň 2 (P0)],AY56,RZ[Úroveň 3 (P0)],AZ56,RZ[Úroveň 4 (P0)],BA56)</f>
        <v>0</v>
      </c>
      <c r="GD56" s="140">
        <f ca="1">SUMIFS(RZ[Úroveň 5 (P6)],RZ[0],AX56,RZ[Úroveň 2 (P0)],AY56,RZ[Úroveň 3 (P0)],AZ56,RZ[Úroveň 4 (P0)],BA56,RZ[Úroveň 5 (P0)],BB56)</f>
        <v>0</v>
      </c>
      <c r="GE56" s="140">
        <f ca="1">SUMIFS(RZ[Úroveň 6 (P6)],RZ[0],AX56,RZ[Úroveň 2 (P0)],AY56,RZ[Úroveň 3 (P0)],AZ56,RZ[Úroveň 4 (P0)],BA56,RZ[Úroveň 5 (P0)],BB56,RZ[Úroveň 6 (P0)],BC56)</f>
        <v>0</v>
      </c>
      <c r="GF56" s="140">
        <f ca="1">SUMIFS(RZ[Úroveň 7 (P6)],RZ[0],AX56,RZ[Úroveň 2 (P0)],AY56,RZ[Úroveň 3 (P0)],AZ56,RZ[Úroveň 4 (P0)],BA56,RZ[Úroveň 5 (P0)],BB56,RZ[Úroveň 6 (P0)],BC56,RZ[Úroveň 7 (P0)],BD56)</f>
        <v>0</v>
      </c>
      <c r="GG56" s="140">
        <f ca="1">SUMIFS(RZ[Úroveň 8 (P6)],RZ[0],AX56,RZ[Úroveň 2 (P0)],AY56,RZ[Úroveň 3 (P0)],AZ56,RZ[Úroveň 4 (P0)],BA56,RZ[Úroveň 5 (P0)],BB56,RZ[Úroveň 6 (P0)],BC56,RZ[Úroveň 7 (P0)],BD56,RZ[Úroveň 8 (P0)],BE56)</f>
        <v>0</v>
      </c>
      <c r="GH56" s="140">
        <f ca="1">SUMIFS(RZ[Úroveň 9 (P6)],RZ[0],AX56,RZ[Úroveň 2 (P0)],AY56,RZ[Úroveň 3 (P0)],AZ56,RZ[Úroveň 4 (P0)],BA56,RZ[Úroveň 5 (P0)],BB56,RZ[Úroveň 6 (P0)],BC56,RZ[Úroveň 7 (P0)],BD56,RZ[Úroveň 8 (P0)],BE56,RZ[Úroveň 9 (P0)],BF56)</f>
        <v>0</v>
      </c>
      <c r="GI56" s="140">
        <f ca="1">SUMIFS(RZ[Úroveň 10 (P6)],RZ[0],AX56,RZ[Úroveň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GJ56" s="918">
        <f t="shared" ref="GJ56:GJ72" ca="1" si="432">IF(FZ56&lt;&gt;0,FZ56,1)*IF(GA56&lt;&gt;0,GA56,1)*IF(GB56&lt;&gt;0,GB56,1)*IF(GC56&lt;&gt;0,GC56,1)*IF(GD56&lt;&gt;0,GD56,1)*IF(GE56&lt;&gt;0,GE56,1)*IF(GF56&lt;&gt;0,GF56,1)*IF(GG56&lt;&gt;0,GG56,1)*IF(GH56&lt;&gt;0,GH56,1)*IF(GI56&lt;&gt;0,GI56,1)</f>
        <v>2240</v>
      </c>
      <c r="GK56" s="808">
        <f t="shared" ref="GK56:GK72" si="433">BH56*$IO56</f>
        <v>0</v>
      </c>
      <c r="GL56" s="808">
        <f t="shared" ref="GL56:GL72" si="434">BI56*$IO56</f>
        <v>0</v>
      </c>
      <c r="GM56" s="808">
        <f t="shared" ref="GM56:GM72" si="435">BJ56*$IO56</f>
        <v>1</v>
      </c>
      <c r="GN56" s="808">
        <f t="shared" ref="GN56:GN72" si="436">BK56*$IO56</f>
        <v>0</v>
      </c>
      <c r="GO56" s="808">
        <f t="shared" ref="GO56:GO72" si="437">BL56*$IO56</f>
        <v>0</v>
      </c>
      <c r="GP56" s="808">
        <f t="shared" ref="GP56:GP72" si="438">BM56*$IO56</f>
        <v>0</v>
      </c>
      <c r="GQ56" s="808">
        <f t="shared" ref="GQ56:GQ72" si="439">BN56*$IO56</f>
        <v>0</v>
      </c>
      <c r="GR56" s="808">
        <f t="shared" ref="GR56:GR72" si="440">BO56*$IO56</f>
        <v>0</v>
      </c>
      <c r="GS56" s="808">
        <f t="shared" ref="GS56:GS72" si="441">BP56*$IO56</f>
        <v>0</v>
      </c>
      <c r="GT56" s="808">
        <f t="shared" ref="GT56:GT72" si="442">BQ56*$IO56</f>
        <v>0</v>
      </c>
      <c r="GU56" s="809">
        <f ca="1">SUMIFS(RZ[Sloupec1],RZ[0],AX56)</f>
        <v>1</v>
      </c>
      <c r="GV56" s="809">
        <f ca="1">SUMIFS(RZ[Sloupec2],RZ[0],AX56,RZ[Úroveň 2 (P0)],AY56)</f>
        <v>1</v>
      </c>
      <c r="GW56" s="809">
        <f ca="1">SUMIFS(RZ[Sloupec3],RZ[0],AX56,RZ[Úroveň 2 (P0)],AY56,RZ[Úroveň 3 (P0)],AZ56)</f>
        <v>1</v>
      </c>
      <c r="GX56" s="809">
        <f ca="1">SUMIFS(RZ[Sloupec4],RZ[0],AX56,RZ[Úroveň 2 (P0)],AY56,RZ[Úroveň 3 (P0)],AZ56,RZ[Úroveň 4 (P0)],BA56)</f>
        <v>0</v>
      </c>
      <c r="GY56" s="809">
        <f ca="1">SUMIFS(RZ[Sloupec5],RZ[0],AX56,RZ[Úroveň 2 (P0)],AY56,RZ[Úroveň 3 (P0)],AZ56,RZ[Úroveň 4 (P0)],BA56,RZ[Úroveň 5 (P0)],BB56)</f>
        <v>0</v>
      </c>
      <c r="GZ56" s="809">
        <f ca="1">SUMIFS(RZ[Sloupec6],RZ[0],AX56,RZ[Úroveň 2 (P0)],AY56,RZ[Úroveň 3 (P0)],AZ56,RZ[Úroveň 4 (P0)],BA56,RZ[Úroveň 5 (P0)],BB56,RZ[Úroveň 6 (P0)],BC56)</f>
        <v>0</v>
      </c>
      <c r="HA56" s="809">
        <f ca="1">SUMIFS(RZ[Sloupec62],RZ[0],AX56,RZ[Úroveň 2 (P0)],AY56,RZ[Úroveň 3 (P0)],AZ56,RZ[Úroveň 4 (P0)],BA56,RZ[Úroveň 5 (P0)],BB56,RZ[Úroveň 6 (P0)],BC56,RZ[Úroveň 7 (P0)],BD56)</f>
        <v>0</v>
      </c>
      <c r="HB56" s="809">
        <f ca="1">SUMIFS(RZ[Sloupec63],RZ[0],AX56,RZ[Úroveň 2 (P0)],AY56,RZ[Úroveň 3 (P0)],AZ56,RZ[Úroveň 4 (P0)],BA56,RZ[Úroveň 5 (P0)],BB56,RZ[Úroveň 6 (P0)],BC56,RZ[Úroveň 7 (P0)],BD56,RZ[Úroveň 8 (P0)],BE56)</f>
        <v>0</v>
      </c>
      <c r="HC56" s="809">
        <f ca="1">SUMIFS(RZ[Sloupec64],RZ[0],AX56,RZ[Úroveň 2 (P0)],AY56,RZ[Úroveň 3 (P0)],AZ56,RZ[Úroveň 4 (P0)],BA56,RZ[Úroveň 5 (P0)],BB56,RZ[Úroveň 6 (P0)],BC56,RZ[Úroveň 7 (P0)],BD56,RZ[Úroveň 8 (P0)],BE56,RZ[Úroveň 9 (P0)],BF56)</f>
        <v>0</v>
      </c>
      <c r="HD56" s="809">
        <f ca="1">SUMIFS(RZ[Sloupec65],RZ[0],AX56,RZ[Úroveň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HE56" s="919">
        <f t="shared" ref="HE56:HE72" ca="1" si="443">IF(GU56&lt;&gt;0,GU56,1)*IF(GV56&lt;&gt;0,GV56,1)*IF(GW56&lt;&gt;0,GW56,1)*IF(GX56&lt;&gt;0,GX56,1)*IF(GY56&lt;&gt;0,GY56,1)*IF(GZ56&lt;&gt;0,GZ56,1)*IF(HA56&lt;&gt;0,HA56,1)*IF(HB56&lt;&gt;0,HB56,1)*IF(HC56&lt;&gt;0,HC56,1)*IF(HD56&lt;&gt;0,HD56,1)</f>
        <v>1</v>
      </c>
      <c r="HF56" s="920" t="str">
        <f t="shared" ref="HF56:HF72" si="444">IF($IW56=$MJ$15,IF(MK56="","",MK56),IF(IY56="","",IY56))</f>
        <v/>
      </c>
      <c r="HG56" s="94" t="str">
        <f t="shared" ref="HG56:HG72" si="445">IF($IW56=$MJ$15,IF($MJ56=1,$MS56,""),IF(IZ56="","",IZ56))</f>
        <v/>
      </c>
      <c r="HH56" s="95" t="str">
        <f t="shared" ref="HH56:HH72" si="446">IF($IW56=$MJ$15,IF($MJ56=2,$MS56,""),IF(JA56="","",JA56))</f>
        <v/>
      </c>
      <c r="HI56" s="95" t="str">
        <f t="shared" ref="HI56:HI72" si="447">IF($IW56=$MJ$15,IF($MJ56=3,$MS56,""),IF(JB56="","",JB56))</f>
        <v>Kladka</v>
      </c>
      <c r="HJ56" s="96" t="str">
        <f t="shared" ref="HJ56:HJ72" si="448">IF($IW56=$MJ$15,IF($MJ56=4,$MS56,""),IF(JC56="","",JC56))</f>
        <v/>
      </c>
      <c r="HK56" s="96" t="str">
        <f t="shared" ref="HK56:HK72" si="449">IF($IW56=$MJ$15,IF($MJ56=5,$MS56,""),IF(JD56="","",JD56))</f>
        <v/>
      </c>
      <c r="HL56" s="96" t="str">
        <f t="shared" ref="HL56:HL72" si="450">IF($IW56=$MJ$15,IF($MJ56=6,$MS56,""),IF(JE56="","",JE56))</f>
        <v/>
      </c>
      <c r="HM56" s="96" t="str">
        <f t="shared" ref="HM56:HM72" si="451">IF($IW56=$MJ$15,IF($MJ56=7,$MS56,""),IF(JF56="","",JF56))</f>
        <v/>
      </c>
      <c r="HN56" s="96" t="str">
        <f t="shared" ref="HN56:HN72" si="452">IF($IW56=$MJ$15,IF($MJ56=8,$MS56,""),IF(JG56="","",JG56))</f>
        <v/>
      </c>
      <c r="HO56" s="96" t="str">
        <f t="shared" ref="HO56:HO72" si="453">IF($IW56=$MJ$15,IF($MJ56=9,$MS56,""),IF(JH56="","",JH56))</f>
        <v/>
      </c>
      <c r="HP56" s="96" t="str">
        <f t="shared" ref="HP56:HP72" si="454">IF($IW56=$MJ$15,IF($MJ56=10,$MS56,""),IF(JI56="","",JI56))</f>
        <v/>
      </c>
      <c r="HQ56" s="145" t="str">
        <f t="shared" ref="HQ56:HQ72" si="455">IF($IW56=$MJ$15,IF(ML56="","N/A",ML56),IF(JJ56="","N/A",JJ56))</f>
        <v>OKS1</v>
      </c>
      <c r="HR56" s="921" t="str">
        <f t="shared" ref="HR56:HR72" si="456">IF($IW56=$MJ$15,IF(MM56="","",MM56),IF(JK56="","",JK56))</f>
        <v/>
      </c>
      <c r="HS56" s="173">
        <f t="shared" ref="HS56:HS72" si="457">IF($IW56=$JL$15,JL56,IF($IW56=$KE$15,KE56,IF($IW56=$KX$15,KX56,IF($IW56=$LQ$15,LQ56,IF($IW56=$MJ$15,NE56,0)))))</f>
        <v>0</v>
      </c>
      <c r="HT56" s="100">
        <f t="shared" ref="HT56:HT72" si="458">IF($IW56=$JL$15,JM56,IF($IW56=$KE$15,KF56,IF($IW56=$KX$15,KY56,IF($IW56=$LQ$15,LR56,IF($IW56=$MJ$15,NF56,0)))))</f>
        <v>0</v>
      </c>
      <c r="HU56" s="100">
        <f t="shared" ref="HU56:HU72" si="459">IF($IW56=$JL$15,JN56,IF($IW56=$KE$15,KG56,IF($IW56=$KX$15,KZ56,IF($IW56=$LQ$15,LS56,IF($IW56=$MJ$15,NG56,0)))))</f>
        <v>0</v>
      </c>
      <c r="HV56" s="908">
        <f t="shared" ref="HV56:HV72" si="460">IF($IW56=$JL$15,JU56,IF($IW56=$KE$15,KN56,IF($IW56=$KX$15,LG56,IF($IW56=$LQ$15,LZ56,IF($IW56=$MJ$15,NN56,0)))))</f>
        <v>0</v>
      </c>
      <c r="HW56" s="922">
        <f t="shared" ref="HW56:HW72" si="461">IF($IW56=$JL$15,JV56,IF($IW56=$KE$15,KO56,IF($IW56=$KX$15,LH56,IF($IW56=$LQ$15,MA56,IF($IW56=$MJ$15,NO56,0)))))</f>
        <v>0</v>
      </c>
      <c r="HX56" s="224">
        <f t="shared" ref="HX56:HX72" si="462">IF($IW56=$JL$15,JW56,IF($IW56=$KE$15,KP56,IF($IW56=$KX$15,LI56,IF($IW56=$LQ$15,MB56,IF($IW56=$MJ$15,NP56,0)))))</f>
        <v>0</v>
      </c>
      <c r="HY56" s="263" t="str">
        <f t="shared" ref="HY56:HY72" si="463">IF($IW56=$JL$15,JS56,IF($IW56=$KE$15,KL56,IF($IW56=$KX$15,LE56,IF($IW56=$LQ$15,LX56,IF($IW56=$MJ$15,NL56,0)))))</f>
        <v>S</v>
      </c>
      <c r="HZ56" s="263">
        <f t="shared" ref="HZ56:HZ72" si="464">IF($IW56=$JL$15,KC56,IF($IW56=$KE$15,KV56,IF($IW56=$KX$15,LO56,IF($IW56=$LQ$15,MH56,IF($IW56=$MJ$15,NV56,0)))))</f>
        <v>0</v>
      </c>
      <c r="IA56" s="150">
        <f t="shared" ref="IA56:IA72" si="465">IF($IW56=$JL$15,JR56,IF($IW56=$KE$15,KK56,IF($IW56=$KX$15,LD56,IF($IW56=$LQ$15,LW56,IF($IW56=$MJ$15,NK56,0)))))</f>
        <v>1</v>
      </c>
      <c r="IB56" s="319">
        <f t="shared" ref="IB56:IB72" si="466">IF($IW56=$JL$15,JZ56,IF($IW56=$KE$15,KS56,IF($IW56=$KX$15,LL56,IF($IW56=$LQ$15,ME56,IF($IW56=$MJ$15,NS56,0)))))</f>
        <v>0</v>
      </c>
      <c r="IC56" s="923">
        <f t="shared" ref="IC56:IC72" si="467">IF($IW56=$JL$15,KB56,IF($IW56=$KE$15,KU56,IF($IW56=$KX$15,LN56,IF($IW56=$LQ$15,MG56,IF($IW56=$MJ$15,NU56,0)))))</f>
        <v>0</v>
      </c>
      <c r="ID56" s="924" t="str">
        <f t="shared" ref="ID56:ID72" ca="1" si="468">IF((BH56+OFFSET(BH56,1,1,1,1))=2,"--",IF((BI56+OFFSET(BI56,1,1,1,1))=2,"--",IF((BJ56+OFFSET(BJ56,1,1,1,1))=2,"--",IF((BK56+OFFSET(BK56,1,1,1,1))=2,"--",IF((BL56+OFFSET(BL56,1,1,1,1))=2,"--",IF((BM56+OFFSET(BM56,1,1,1,1))=2,"--",IF((BN56+OFFSET(BN56,1,1,1,1))=2,"--",IF((BO56+OFFSET(BO56,1,1,1,1))=2,"--",IF((BP56+OFFSET(BP56,1,1,1,1))=2,"--",IF((BQ56+OFFSET(BQ56,1,1,1,1))=2,"--","OK"))))))))))</f>
        <v>OK</v>
      </c>
      <c r="IE56" s="201" t="str">
        <f t="shared" ref="IE56:IE72" si="469">IF($IW56=$JL$15,JO56,IF($IW56=$KE$15,KH56,IF($IW56=$KX$15,LA56,IF($IW56=$LQ$15,LT56,IF($IW56=$MJ$15,NH56,0)))))</f>
        <v>ks</v>
      </c>
      <c r="IF56" s="145">
        <f t="shared" ref="IF56:IF72" si="470">IF($IW56=$JL$15,JP56,IF($IW56=$KE$15,KI56,IF($IW56=$KX$15,LB56,IF($IW56=$LQ$15,LU56,IF($IW56=$MJ$15,NI56,0)))))</f>
        <v>4</v>
      </c>
      <c r="IG56" s="216">
        <f t="shared" ref="IG56:IG72" si="471">IF($IW56=$JL$15,JQ56,IF($IW56=$KE$15,KJ56,IF($IW56=$KX$15,LC56,IF($IW56=$LQ$15,LV56,IF($IW56=$MJ$15,NJ56,0)))))</f>
        <v>280</v>
      </c>
      <c r="IH56" s="217">
        <f t="shared" ref="IH56:IH72" si="472">IF(IA56=0,1,IA56)</f>
        <v>1</v>
      </c>
      <c r="II56" s="224" t="str">
        <f ca="1">IF(RZ[[#This Row],[Rozhodný sloupec indikativní ceny]]=1,"kg",IF($IW56=$JL$15,IF(JX56=0,JO56,JX56),IF($IW56=$KE$15,IF(KQ56=0,KH56,KQ56),IF($IW56=$KX$15,IF(LJ56=0,LA56,LJ56),IF($IW56=$LQ$15,IF(MC56=0,LT56,MC56),IF($IW56=$MJ$15,IF(NQ56=0,NH56,NQ56),0))))))</f>
        <v>kg</v>
      </c>
      <c r="IJ56" s="224">
        <f ca="1">IF((BH56+OFFSET(BH56,1,1,1,1))=2,RZ[[#This Row],[Počet MJHR (P0)]],IF((BI56+OFFSET(BI56,1,1,1,1))=2,RZ[[#This Row],[Počet MJHR (P0)]],IF((BJ56+OFFSET(BJ56,1,1,1,1))=2,RZ[[#This Row],[Počet MJHR (P0)]],IF((BK56+OFFSET(BK56,1,1,1,1))=2,RZ[[#This Row],[Počet MJHR (P0)]],IF((BL56+OFFSET(BL56,1,1,1,1))=2,RZ[[#This Row],[Počet MJHR (P0)]],IF((BM56+OFFSET(BM56,1,1,1,1))=2,RZ[[#This Row],[Počet MJHR (P0)]],IF((BN56+OFFSET(BN56,1,1,1,1))=2,RZ[[#This Row],[Počet MJHR (P0)]],IF((BO56+OFFSET(BO56,1,1,1,1))=2,RZ[[#This Row],[Počet MJHR (P0)]],IF((BP56+OFFSET(BP56,1,1,1,1))=2,RZ[[#This Row],[Počet MJHR (P0)]],IF((BQ56+OFFSET(BQ56,1,1,1,1))=2,RZ[[#This Row],[Počet MJHR (P0)]],IF(RZ[[#This Row],[Měrná jednotka CR (MJCR) (P0)]]=RZ[[#This Row],[Měrná jednotka HR '[MJHR'] (P0)]],RZ[[#This Row],[Počet MJHR (P0)]],IF($IW56=$JL$15,JY56,IF($IW56=$KE$15,KR56,IF($IW56=$KX$15,LK56,IF($IW56=$LQ$15,MD56,IF($IW56=$MJ$15,NR56,0))))))))))))))))</f>
        <v>0</v>
      </c>
      <c r="IK5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1120</v>
      </c>
      <c r="IL56" s="145">
        <f ca="1">IF(AND(RZ[[#This Row],[Jednotková cena bez DPH '[cena/MJCR'] (P0)]]=0,RZ[[#This Row],[Indikativní jednotková cena '[CZK/kg'] (P1)]]&lt;&gt;0),1,0)</f>
        <v>1</v>
      </c>
      <c r="IM56" s="217">
        <f ca="1">VLOOKUP(RZ[[#This Row],[Kód položek]],INDIKAT_CENA,2,FALSE)</f>
        <v>140</v>
      </c>
      <c r="IN56" s="222">
        <f ca="1">IF(RZ[[#This Row],[Rozhodný sloupec indikativní ceny]]=1,RZ[[#This Row],[Indikativní jednotková cena '[CZK/kg'] (P1)]],RZ[[#This Row],[Jednotková cena bez DPH '[cena/MJCR'] (P0)]])</f>
        <v>140</v>
      </c>
      <c r="IO56" s="222">
        <f t="shared" ref="IO56:IO72" si="473">IF(IC56=0,1,IC56)</f>
        <v>1</v>
      </c>
      <c r="IP56" s="224">
        <f ca="1">IF(RZ[[#This Row],[Rozhodný sloupec indikativní ceny]]=1,1,IF($IW56=$JL$15,KA56,IF($IW56=$KE$15,KT56,IF($IW56=$KX$15,LM56,IF($IW56=$LQ$15,MF56,IF($IW56=$MJ$15,NT56,0))))))</f>
        <v>1</v>
      </c>
      <c r="IQ56" s="225">
        <f ca="1">IF(RZ[[#This Row],[Jednotková cena bez DPH '[cena/MJCR'] (P1)]]="",0,IF(IP56=0,0,(RZ[[#This Row],[Jednotková cena bez DPH '[cena/MJCR'] (P1)]]*VLOOKUP(IP56,$BR$7:$BT$10,3))))</f>
        <v>140</v>
      </c>
      <c r="IR56" s="737"/>
      <c r="IS56" s="627">
        <f>IF(HY56=0,"",VLOOKUP(RZ[[#This Row],[Stav Projekce (P0)]],Vstupy!$E$11:'Vstupy'!$E$11:$H$17,4,FALSE))</f>
        <v>100</v>
      </c>
      <c r="IT56" s="925" t="str">
        <f>IF(RZ[[#This Row],[Stav Projekce (P0)]]=0,"",RZ[[#This Row],[Stav Projekce (P0)]])</f>
        <v>S</v>
      </c>
      <c r="IU56" s="925" t="str">
        <f>IF(RZ[[#This Row],[Stav Nákup (P0)]]=0,"",RZ[[#This Row],[Stav Nákup (P0)]])</f>
        <v/>
      </c>
      <c r="IV56" s="926" t="str">
        <f t="shared" ref="IV56:IV72" si="474">IF(HV56=0,"",HV56)</f>
        <v/>
      </c>
      <c r="IW56" s="641">
        <v>1</v>
      </c>
      <c r="IX56" s="630"/>
      <c r="IY56" s="264"/>
      <c r="IZ56" s="648"/>
      <c r="JA56" s="100"/>
      <c r="JB56" s="100" t="s">
        <v>799</v>
      </c>
      <c r="JC56" s="100"/>
      <c r="JD56" s="100"/>
      <c r="JE56" s="100"/>
      <c r="JF56" s="100"/>
      <c r="JG56" s="100"/>
      <c r="JH56" s="100"/>
      <c r="JI56" s="100"/>
      <c r="JJ56" s="145" t="s">
        <v>764</v>
      </c>
      <c r="JK56" s="529"/>
      <c r="JL56" s="286"/>
      <c r="JM56" s="100"/>
      <c r="JN56" s="100"/>
      <c r="JO56" s="145" t="s">
        <v>35</v>
      </c>
      <c r="JP56" s="117">
        <v>4</v>
      </c>
      <c r="JQ56" s="117">
        <v>280</v>
      </c>
      <c r="JR56" s="148">
        <v>1</v>
      </c>
      <c r="JS56" s="145" t="s">
        <v>602</v>
      </c>
      <c r="JT56" s="631"/>
      <c r="JU56" s="148"/>
      <c r="JV56" s="154"/>
      <c r="JW56" s="145"/>
      <c r="JX56" s="210"/>
      <c r="JY56" s="117"/>
      <c r="JZ56" s="662"/>
      <c r="KA56" s="145"/>
      <c r="KB56" s="148"/>
      <c r="KC56" s="148"/>
      <c r="KD56" s="644"/>
      <c r="KE56" s="286"/>
      <c r="KF56" s="100"/>
      <c r="KG56" s="100"/>
      <c r="KH56" s="210"/>
      <c r="KI56" s="117"/>
      <c r="KJ56" s="117"/>
      <c r="KK56" s="148"/>
      <c r="KL56" s="145"/>
      <c r="KM56" s="632"/>
      <c r="KN56" s="148"/>
      <c r="KO56" s="154"/>
      <c r="KP56" s="154"/>
      <c r="KQ56" s="210"/>
      <c r="KR56" s="117"/>
      <c r="KS56" s="211"/>
      <c r="KT56" s="145"/>
      <c r="KU56" s="148"/>
      <c r="KV56" s="148"/>
      <c r="KW56" s="265"/>
      <c r="KX56" s="286"/>
      <c r="KY56" s="100"/>
      <c r="KZ56" s="100"/>
      <c r="LA56" s="210"/>
      <c r="LB56" s="117"/>
      <c r="LC56" s="117"/>
      <c r="LD56" s="148"/>
      <c r="LE56" s="145"/>
      <c r="LF56" s="632"/>
      <c r="LG56" s="148"/>
      <c r="LH56" s="154"/>
      <c r="LI56" s="154"/>
      <c r="LJ56" s="154"/>
      <c r="LK56" s="117"/>
      <c r="LL56" s="211"/>
      <c r="LM56" s="210"/>
      <c r="LN56" s="148"/>
      <c r="LO56" s="148"/>
      <c r="LP56" s="265"/>
      <c r="LQ56" s="286"/>
      <c r="LR56" s="100"/>
      <c r="LS56" s="100"/>
      <c r="LT56" s="210"/>
      <c r="LU56" s="117"/>
      <c r="LV56" s="117"/>
      <c r="LW56" s="148"/>
      <c r="LX56" s="145"/>
      <c r="LY56" s="632"/>
      <c r="LZ56" s="148"/>
      <c r="MA56" s="154"/>
      <c r="MB56" s="154"/>
      <c r="MC56" s="145"/>
      <c r="MD56" s="117"/>
      <c r="ME56" s="211"/>
      <c r="MF56" s="210"/>
      <c r="MG56" s="148"/>
      <c r="MH56" s="148"/>
      <c r="MI56" s="265"/>
      <c r="MJ56" s="647"/>
      <c r="MK56" s="264"/>
      <c r="ML56" s="153"/>
      <c r="MM56" s="153"/>
      <c r="MN56" s="153"/>
      <c r="MO56" s="153"/>
      <c r="MP56" s="153"/>
      <c r="MQ56" s="153"/>
      <c r="MR56" s="153"/>
      <c r="MS56" s="99"/>
      <c r="MT56" s="99"/>
      <c r="MU56" s="99"/>
      <c r="MV56" s="99"/>
      <c r="MW56" s="99"/>
      <c r="MX56" s="99"/>
      <c r="MY56" s="153"/>
      <c r="MZ56" s="153"/>
      <c r="NA56" s="153"/>
      <c r="NB56" s="153"/>
      <c r="NC56" s="153"/>
      <c r="ND56" s="153"/>
      <c r="NE56" s="148"/>
      <c r="NF56" s="153"/>
      <c r="NG56" s="153"/>
      <c r="NH56" s="330" t="str">
        <f t="shared" ref="NH56:NH72" si="475">"ks"</f>
        <v>ks</v>
      </c>
      <c r="NI56" s="797">
        <f>RZ[[#This Row],[Počet ks (K)]]</f>
        <v>0</v>
      </c>
      <c r="NJ56" s="798">
        <f>RZ[[#This Row],[Hmotnost '[kg/ks'] (K)]]</f>
        <v>0</v>
      </c>
      <c r="NK56" s="148"/>
      <c r="NL56" s="145"/>
      <c r="NM56" s="632"/>
      <c r="NN56" s="148"/>
      <c r="NO56" s="154"/>
      <c r="NP56" s="153"/>
      <c r="NQ56" s="153"/>
      <c r="NR56" s="210"/>
      <c r="NS56" s="148"/>
      <c r="NT56" s="210"/>
      <c r="NU56" s="148"/>
      <c r="NV56" s="148"/>
      <c r="NW56" s="175"/>
    </row>
    <row r="57" spans="2:387" ht="15.95" customHeight="1" x14ac:dyDescent="0.35">
      <c r="B57" s="118" t="str">
        <f t="shared" si="359"/>
        <v/>
      </c>
      <c r="C5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7" s="262" t="str">
        <f t="shared" si="360"/>
        <v xml:space="preserve">    Rám</v>
      </c>
      <c r="E57" s="120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Row],[Kód položek (P2)]]))))))))))</f>
        <v>OKS1</v>
      </c>
      <c r="F57" s="791" t="str">
        <f t="shared" si="361"/>
        <v>N/A</v>
      </c>
      <c r="G57" s="792" t="str">
        <f t="shared" si="362"/>
        <v/>
      </c>
      <c r="H57" s="262" t="str">
        <f t="shared" si="363"/>
        <v/>
      </c>
      <c r="I57" s="123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HR '[MJHR'] (P0)]]))))))))))</f>
        <v>ks</v>
      </c>
      <c r="J57" s="123">
        <f t="shared" si="364"/>
        <v>1</v>
      </c>
      <c r="K57" s="793">
        <f>RZ[[#This Row],[Koeficient odhadu HR '[-'] (P1)]]</f>
        <v>1</v>
      </c>
      <c r="L57" s="124">
        <f ca="1">RZ[[#This Row],[Jednotková hmotnost s koef. '[kg/MJHR'] (P0)]]</f>
        <v>3599.8</v>
      </c>
      <c r="M57" s="794">
        <f t="shared" ca="1" si="365"/>
        <v>0</v>
      </c>
      <c r="N57" s="125">
        <f t="shared" ca="1" si="366"/>
        <v>3599.8</v>
      </c>
      <c r="O57" s="125">
        <f t="shared" ca="1" si="367"/>
        <v>0</v>
      </c>
      <c r="P57" s="126" t="str">
        <f t="shared" si="368"/>
        <v/>
      </c>
      <c r="Q57" s="795">
        <f ca="1">RZ[[#This Row],[Počet MJHR v rozpadu (P0)]]</f>
        <v>2</v>
      </c>
      <c r="R57" s="439" t="str">
        <f t="shared" si="369"/>
        <v/>
      </c>
      <c r="S57" s="129" t="str">
        <f t="shared" si="370"/>
        <v/>
      </c>
      <c r="T57" s="126" t="str">
        <f t="shared" si="371"/>
        <v/>
      </c>
      <c r="U57" s="126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CR (MJCR) (P0)]]))))))))))</f>
        <v>kg</v>
      </c>
      <c r="V57" s="575">
        <f t="shared" ca="1" si="372"/>
        <v>3599.8</v>
      </c>
      <c r="W57" s="322">
        <f>RZ[[#This Row],[Koeficient odhadu CR '[-'] (P1)]]</f>
        <v>1</v>
      </c>
      <c r="X57" s="440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Row],[Jednotková cena bez DPH '[cena/MJCR'] (P1)]]*RZ[[#This Row],[Koeficient odhadu CR '[-']]]))))))))))</f>
        <v>140</v>
      </c>
      <c r="Y57" s="440">
        <f t="shared" ca="1" si="373"/>
        <v>0</v>
      </c>
      <c r="Z57" s="142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VLOOKUP(IP57,$BR$7:$BS$11,2,FALSE)))))))))))</f>
        <v>CZK</v>
      </c>
      <c r="AA57" s="909">
        <f t="shared" ca="1" si="374"/>
        <v>7199.6</v>
      </c>
      <c r="AB57" s="910">
        <f ca="1">RZ[[#This Row],[Kumulovaný koeficient v rozpadu (P0)]]</f>
        <v>1</v>
      </c>
      <c r="AC57" s="261"/>
      <c r="AD57" s="796">
        <f ca="1">RZ[[#This Row],[Jednotková cena bez DPH '[cena/MJCR'] s koef. (P0)]]/RZ[[#This Row],[Koeficient odhadu CR '[-']]]*RZ[[#This Row],[Kumulovaný koeficient odhadu CR  '[-']]]</f>
        <v>140</v>
      </c>
      <c r="AE57" s="796">
        <f t="shared" ca="1" si="375"/>
        <v>1007944</v>
      </c>
      <c r="AF57" s="796">
        <f ca="1">-IF(ISNUMBER(AA57),RZ[[#This Row],[Celková cena bez DPH (1)]]-RZ[[#This Row],[Jednotková cena bez DPH '[cena/MJCR'] bez koef. (P0)]]*AA57,0)</f>
        <v>0</v>
      </c>
      <c r="AG5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7" s="261"/>
      <c r="AI57" s="796">
        <f t="shared" ca="1" si="376"/>
        <v>5.1851851851851851</v>
      </c>
      <c r="AJ57" s="796">
        <f t="shared" ca="1" si="377"/>
        <v>37331.259259259263</v>
      </c>
      <c r="AK57" s="796">
        <f t="shared" ca="1" si="378"/>
        <v>0</v>
      </c>
      <c r="AL57" s="753">
        <f ca="1">RZ[[#This Row],[Kilogramová cena bez DPH '[cena/kg'] (1)]]/$AK$13</f>
        <v>5.1851851851851851</v>
      </c>
      <c r="AM57" s="261"/>
      <c r="AN57" s="796">
        <f t="shared" ca="1" si="379"/>
        <v>6.7632850241545892</v>
      </c>
      <c r="AO57" s="796">
        <f t="shared" ca="1" si="380"/>
        <v>48692.946859903386</v>
      </c>
      <c r="AP57" s="796">
        <f t="shared" ca="1" si="381"/>
        <v>0</v>
      </c>
      <c r="AQ57" s="753">
        <f ca="1">RZ[[#This Row],[Kilogramová cena bez DPH '[cena/kg'] (1)]]/$AP$13</f>
        <v>6.7632850241545892</v>
      </c>
      <c r="AR57" s="261"/>
      <c r="AS57" s="796">
        <f t="shared" ca="1" si="382"/>
        <v>3.8293216630196936</v>
      </c>
      <c r="AT57" s="796">
        <f t="shared" ca="1" si="383"/>
        <v>27569.584245076585</v>
      </c>
      <c r="AU57" s="789">
        <f t="shared" ca="1" si="384"/>
        <v>0</v>
      </c>
      <c r="AV57" s="767">
        <f ca="1">RZ[[#This Row],[Kilogramová cena bez DPH '[cena/kg'] (1)]]/$AU$13</f>
        <v>3.8293216630196936</v>
      </c>
      <c r="AW57" s="165"/>
      <c r="AX57" s="911">
        <f t="shared" ca="1" si="385"/>
        <v>2</v>
      </c>
      <c r="AY57" s="111">
        <f t="shared" ca="1" si="386"/>
        <v>2</v>
      </c>
      <c r="AZ57" s="111">
        <f t="shared" ca="1" si="387"/>
        <v>2</v>
      </c>
      <c r="BA57" s="111">
        <f t="shared" ca="1" si="388"/>
        <v>0</v>
      </c>
      <c r="BB57" s="111">
        <f t="shared" ca="1" si="389"/>
        <v>0</v>
      </c>
      <c r="BC57" s="111">
        <f t="shared" ca="1" si="390"/>
        <v>0</v>
      </c>
      <c r="BD57" s="111">
        <f t="shared" ca="1" si="391"/>
        <v>0</v>
      </c>
      <c r="BE57" s="111">
        <f t="shared" ca="1" si="392"/>
        <v>0</v>
      </c>
      <c r="BF57" s="111">
        <f t="shared" ca="1" si="393"/>
        <v>0</v>
      </c>
      <c r="BG57" s="112">
        <f t="shared" ca="1" si="394"/>
        <v>0</v>
      </c>
      <c r="BH57" s="911">
        <f t="shared" si="395"/>
        <v>0</v>
      </c>
      <c r="BI57" s="111">
        <f t="shared" si="396"/>
        <v>0</v>
      </c>
      <c r="BJ57" s="111">
        <f t="shared" si="397"/>
        <v>1</v>
      </c>
      <c r="BK57" s="111">
        <f t="shared" si="398"/>
        <v>0</v>
      </c>
      <c r="BL57" s="111">
        <f t="shared" si="399"/>
        <v>0</v>
      </c>
      <c r="BM57" s="111">
        <f t="shared" si="400"/>
        <v>0</v>
      </c>
      <c r="BN57" s="111">
        <f t="shared" si="401"/>
        <v>0</v>
      </c>
      <c r="BO57" s="111">
        <f t="shared" si="402"/>
        <v>0</v>
      </c>
      <c r="BP57" s="111">
        <f t="shared" si="403"/>
        <v>0</v>
      </c>
      <c r="BQ57" s="112">
        <f t="shared" si="404"/>
        <v>0</v>
      </c>
      <c r="BR57" s="132">
        <f ca="1">IF(OFFSET(AY57,1,0,1,1)&lt;&gt;0,RZ[[#This Row],[Koeficient odhadu HR '[-'] (P1)]]*$BH57*SUMIFS(RZ[Úroveň 2 s koef. (P2)],RZ[0],AX57),RZ[[#This Row],[Koeficient odhadu HR '[-'] (P1)]]*$BH57*$IG57)</f>
        <v>0</v>
      </c>
      <c r="BS57" s="186">
        <f ca="1">IF(OFFSET(AY57,1,0,1,1)&lt;&gt;0,$BH57*SUMIFS(RZ[Úroveň 2 bez koef. (P2)],RZ[0],AX57),$BH57*$IG57)</f>
        <v>0</v>
      </c>
      <c r="BT57" s="138">
        <f ca="1">RZ[[#This Row],[Úroveň 2 s koef. (P2a)]]*RZ[[#This Row],[Počet MJHR (P0)]]</f>
        <v>0</v>
      </c>
      <c r="BU57" s="138">
        <f ca="1">RZ[[#This Row],[Úroveň 2 bez koef. (P2a)]]*RZ[[#This Row],[Počet MJHR (P0)]]</f>
        <v>0</v>
      </c>
      <c r="BV57" s="138">
        <f ca="1">IF(OFFSET(AZ57,1,0,1,1)&lt;&gt;0,RZ[[#This Row],[Koeficient odhadu HR '[-'] (P1)]]*$BI57*SUMIFS(RZ[Úroveň 3 s koef. (P2)],RZ[0],AX57,RZ[Úroveň 2 (P0)],AY57),RZ[[#This Row],[Koeficient odhadu HR '[-'] (P1)]]*$BI57*$IG57)</f>
        <v>0</v>
      </c>
      <c r="BW57" s="138">
        <f ca="1">IF(OFFSET(AZ57,1,0,1,1)&lt;&gt;0,$BI57*SUMIFS(RZ[Úroveň 3 bez koef. (P2)],RZ[0],AX57,RZ[Úroveň 2 (P0)],AY57),$BI57*$IG57)</f>
        <v>0</v>
      </c>
      <c r="BX57" s="132">
        <f ca="1">RZ[[#This Row],[Úroveň 3 s koef. (P2a)]]*RZ[[#This Row],[Počet MJHR (P0)]]</f>
        <v>3599.8</v>
      </c>
      <c r="BY57" s="132">
        <f ca="1">RZ[Úroveň 3 bez koef. (P2a)]*RZ[[#This Row],[Počet MJHR (P0)]]</f>
        <v>3599.8</v>
      </c>
      <c r="BZ57" s="132">
        <f ca="1">IF(OFFSET(BA57,1,0,1,1)&lt;&gt;0,RZ[[#This Row],[Koeficient odhadu HR '[-'] (P1)]]*$BJ57*SUMIFS(RZ[Úroveň 4 s koef. (P2)],RZ[0],AX57,RZ[Úroveň 2 (P0)],AY57,RZ[Úroveň 3 (P0)],AZ57),RZ[[#This Row],[Koeficient odhadu HR '[-'] (P1)]]*$BJ57*$IG57)</f>
        <v>3599.8</v>
      </c>
      <c r="CA57" s="132">
        <f ca="1">IF(OFFSET(BA57,1,0,1,1)&lt;&gt;0,$BJ57*SUMIFS(RZ[Úroveň 4 bez koef. (P2)],RZ[0],AX57,RZ[Úroveň 2 (P0)],AY57,RZ[Úroveň 3 (P0)],AZ57),$BJ57*$IG57)</f>
        <v>3599.8</v>
      </c>
      <c r="CB57" s="138">
        <f ca="1">RZ[[#This Row],[Úroveň 4 s koef. (P2a)]]*RZ[[#This Row],[Počet MJHR (P0)]]</f>
        <v>0</v>
      </c>
      <c r="CC57" s="138">
        <f ca="1">RZ[Úroveň 4 bez koef. (P2a)]*RZ[[#This Row],[Počet MJHR (P0)]]</f>
        <v>0</v>
      </c>
      <c r="CD57" s="138">
        <f ca="1">IF(OFFSET(BB57,1,0,1,1)&lt;&gt;0,RZ[[#This Row],[Koeficient odhadu HR '[-'] (P1)]]*$BK57*SUMIFS(RZ[Úroveň 5 s koef. (P2)],RZ[0],AX57,RZ[Úroveň 2 (P0)],AY57,RZ[Úroveň 3 (P0)],AZ57,RZ[Úroveň 4 (P0)],BA57),RZ[[#This Row],[Koeficient odhadu HR '[-'] (P1)]]*$BK57*$IG57)</f>
        <v>0</v>
      </c>
      <c r="CE57" s="138">
        <f ca="1">IF(OFFSET(BB57,1,0,1,1)&lt;&gt;0,$BK57*SUMIFS(RZ[Úroveň 5 bez koef. (P2)],RZ[0],AX57,RZ[Úroveň 2 (P0)],AY57,RZ[Úroveň 3 (P0)],AZ57,RZ[Úroveň 4 (P0)],BA57),$BK57*$IG57)</f>
        <v>0</v>
      </c>
      <c r="CF57" s="132">
        <f ca="1">RZ[[#This Row],[Úroveň 5 s koef. (P2a)]]*RZ[[#This Row],[Počet MJHR (P0)]]</f>
        <v>0</v>
      </c>
      <c r="CG57" s="132">
        <f ca="1">RZ[Úroveň 5 bez koef. (P2a)]*RZ[[#This Row],[Počet MJHR (P0)]]</f>
        <v>0</v>
      </c>
      <c r="CH57" s="132">
        <f ca="1">IF(OFFSET(BC57,1,0,1,1)&lt;&gt;0,RZ[[#This Row],[Koeficient odhadu HR '[-'] (P1)]]*$BL57*SUMIFS(RZ[Úroveň 6 s koef. (P2)],RZ[0],AX57,RZ[Úroveň 2 (P0)],AY57,RZ[Úroveň 3 (P0)],AZ57,RZ[Úroveň 4 (P0)],BA57,RZ[Úroveň 5 (P0)],BB57),RZ[[#This Row],[Koeficient odhadu HR '[-'] (P1)]]*$BL57*$IG57)</f>
        <v>0</v>
      </c>
      <c r="CI57" s="132">
        <f ca="1">IF(OFFSET(BC57,1,0,1,1)&lt;&gt;0,$BL57*SUMIFS(RZ[Úroveň 6 bez koef. (P2)],RZ[0],AX57,RZ[Úroveň 2 (P0)],AY57,RZ[Úroveň 3 (P0)],AZ57,RZ[Úroveň 4 (P0)],BA57,RZ[Úroveň 5 (P0)],BB57),$BL57*$IG57)</f>
        <v>0</v>
      </c>
      <c r="CJ57" s="138">
        <f ca="1">RZ[[#This Row],[Úroveň 6 s koef. (P2a)]]*RZ[[#This Row],[Počet MJHR (P0)]]</f>
        <v>0</v>
      </c>
      <c r="CK57" s="138">
        <f ca="1">RZ[Úroveň 6 bez koef. (P2a)]*RZ[[#This Row],[Počet MJHR (P0)]]</f>
        <v>0</v>
      </c>
      <c r="CL57" s="138">
        <f ca="1">IF(OFFSET(BD57,1,0,1,1)&lt;&gt;0,RZ[[#This Row],[Koeficient odhadu HR '[-'] (P1)]]*$BM57*SUMIFS(RZ[Úroveň 7 s koef. (P2)],RZ[0],AX57,RZ[Úroveň 2 (P0)],AY57,RZ[Úroveň 3 (P0)],AZ57,RZ[Úroveň 4 (P0)],BA57,RZ[Úroveň 5 (P0)],BB57,RZ[Úroveň 6 (P0)],BC57),RZ[[#This Row],[Koeficient odhadu HR '[-'] (P1)]]*$BM57*$IG57)</f>
        <v>0</v>
      </c>
      <c r="CM57" s="138">
        <f ca="1">IF(OFFSET(BD57,1,0,1,1)&lt;&gt;0,$BM57*SUMIFS(RZ[Úroveň 7 bez koef. (P2)],RZ[0],AX57,RZ[Úroveň 2 (P0)],AY57,RZ[Úroveň 3 (P0)],AZ57,RZ[Úroveň 4 (P0)],BA57,RZ[Úroveň 5 (P0)],BB57,RZ[Úroveň 6 (P0)],BC57),$BM57*$IG57)</f>
        <v>0</v>
      </c>
      <c r="CN57" s="132">
        <f ca="1">RZ[[#This Row],[Úroveň 7 s koef. (P2a)]]*RZ[[#This Row],[Počet MJHR (P0)]]</f>
        <v>0</v>
      </c>
      <c r="CO57" s="132">
        <f ca="1">RZ[Úroveň 7 bez koef. (P2a)]*RZ[[#This Row],[Počet MJHR (P0)]]</f>
        <v>0</v>
      </c>
      <c r="CP57" s="132">
        <f ca="1">IF(OFFSET(BE57,1,0,1,1)&lt;&gt;0,RZ[[#This Row],[Koeficient odhadu HR '[-'] (P1)]]*$BN57*SUMIFS(RZ[Úroveň 8 s koef. (P2)],RZ[0],AX57,RZ[Úroveň 2 (P0)],AY57,RZ[Úroveň 3 (P0)],AZ57,RZ[Úroveň 4 (P0)],BA57,RZ[Úroveň 5 (P0)],BB57,RZ[Úroveň 6 (P0)],BC57,RZ[Úroveň 7 (P0)],BD57),RZ[[#This Row],[Koeficient odhadu HR '[-'] (P1)]]*$BN57*$IG57)</f>
        <v>0</v>
      </c>
      <c r="CQ57" s="132">
        <f ca="1">IF(OFFSET(BE57,1,0,1,1)&lt;&gt;0,$BN57*SUMIFS(RZ[Úroveň 8 bez koef. (P2)],RZ[0],AX57,RZ[Úroveň 2 (P0)],AY57,RZ[Úroveň 3 (P0)],AZ57,RZ[Úroveň 4 (P0)],BA57,RZ[Úroveň 5 (P0)],BB57,RZ[Úroveň 6 (P0)],BC57,RZ[Úroveň 7 (P0)],BD57),$BN57*$IG57)</f>
        <v>0</v>
      </c>
      <c r="CR57" s="138">
        <f ca="1">RZ[[#This Row],[Úroveň 8 s koef. (P2a)]]*RZ[[#This Row],[Počet MJHR (P0)]]</f>
        <v>0</v>
      </c>
      <c r="CS57" s="138">
        <f ca="1">RZ[Úroveň 8 bez koef. (P2a)]*RZ[[#This Row],[Počet MJHR (P0)]]</f>
        <v>0</v>
      </c>
      <c r="CT57" s="138">
        <f ca="1">IF(OFFSET(BF57,1,0,1,1)&lt;&gt;0,RZ[[#This Row],[Koeficient odhadu HR '[-'] (P1)]]*$BO57*SUMIFS(RZ[Úroveň 9 s koef. (P2)],RZ[0],AX57,RZ[Úroveň 2 (P0)],AY57,RZ[Úroveň 3 (P0)],AZ57,RZ[Úroveň 4 (P0)],BA57,RZ[Úroveň 5 (P0)],BB57,RZ[Úroveň 6 (P0)],BC57,RZ[Úroveň 7 (P0)],BD57,RZ[Úroveň 8 (P0)],BE57),RZ[[#This Row],[Koeficient odhadu HR '[-'] (P1)]]*$BO57*$IG57)</f>
        <v>0</v>
      </c>
      <c r="CU57" s="138">
        <f ca="1">IF(OFFSET(BF57,1,0,1,1)&lt;&gt;0,$BO57*SUMIFS(RZ[Úroveň 9 bez koef. (P2)],RZ[0],AX57,RZ[Úroveň 2 (P0)],AY57,RZ[Úroveň 3 (P0)],AZ57,RZ[Úroveň 4 (P0)],BA57,RZ[Úroveň 5 (P0)],BB57,RZ[Úroveň 6 (P0)],BC57,RZ[Úroveň 7 (P0)],BD57,RZ[Úroveň 8 (P0)],BE57),$BO57*$IG57)</f>
        <v>0</v>
      </c>
      <c r="CV57" s="132">
        <f ca="1">RZ[[#This Row],[Úroveň 9 s koef. (P2a)]]*RZ[[#This Row],[Počet MJHR (P0)]]</f>
        <v>0</v>
      </c>
      <c r="CW57" s="132">
        <f ca="1">RZ[Úroveň 9 bez koef. (P2a)]*RZ[[#This Row],[Počet MJHR (P0)]]</f>
        <v>0</v>
      </c>
      <c r="CX57" s="132">
        <f ca="1">IF(OFFSET(BG57,1,0,1,1)&lt;&gt;0,RZ[[#This Row],[Koeficient odhadu HR '[-'] (P1)]]*$BP57*SUMIFS(RZ[Úroveň 10 s koef. (P2)],RZ[0],AX57,RZ[Úroveň 2 (P0)],AY57,RZ[Úroveň 3 (P0)],AZ57,RZ[Úroveň 4 (P0)],BA57,RZ[Úroveň 5 (P0)],BB57,RZ[Úroveň 6 (P0)],BC57,RZ[Úroveň 7 (P0)],BD57,RZ[Úroveň 8 (P0)],BE57,RZ[Úroveň 9 (P0)],BF57),RZ[[#This Row],[Koeficient odhadu HR '[-'] (P1)]]*$BP57*$IG57)</f>
        <v>0</v>
      </c>
      <c r="CY57" s="132">
        <f ca="1">IF(OFFSET(BG57,1,0,1,1)&lt;&gt;0,$BP57*SUMIFS(RZ[Úroveň 10 bez koef. (P2)],RZ[0],AX57,RZ[Úroveň 2 (P0)],AY57,RZ[Úroveň 3 (P0)],AZ57,RZ[Úroveň 4 (P0)],BA57,RZ[Úroveň 5 (P0)],BB57,RZ[Úroveň 6 (P0)],BC57,RZ[Úroveň 7 (P0)],BD57,RZ[Úroveň 8 (P0)],BE57,RZ[Úroveň 9 (P0)],BF57),$BP57*$IG57)</f>
        <v>0</v>
      </c>
      <c r="CZ57" s="138">
        <f>RZ[[#This Row],[Úroveň 10 s koef. (P2a)]]*RZ[[#This Row],[Počet MJHR (P0)]]</f>
        <v>0</v>
      </c>
      <c r="DA57" s="138">
        <f>RZ[Úroveň 10 bez koef. (P2a)]*RZ[[#This Row],[Počet MJHR (P0)]]</f>
        <v>0</v>
      </c>
      <c r="DB57" s="138">
        <f>RZ[[#This Row],[Koeficient odhadu HR '[-'] (P1)]]*$BQ57*IG57</f>
        <v>0</v>
      </c>
      <c r="DC57" s="231">
        <f t="shared" si="405"/>
        <v>0</v>
      </c>
      <c r="DD57" s="241">
        <f t="shared" ca="1" si="406"/>
        <v>3599.8</v>
      </c>
      <c r="DE57" s="229">
        <f t="shared" ca="1" si="407"/>
        <v>3599.8</v>
      </c>
      <c r="DF57" s="912">
        <f t="shared" si="408"/>
        <v>0</v>
      </c>
      <c r="DG57" s="913">
        <f t="shared" si="409"/>
        <v>0</v>
      </c>
      <c r="DH57" s="913">
        <f t="shared" si="410"/>
        <v>1</v>
      </c>
      <c r="DI57" s="913">
        <f t="shared" si="411"/>
        <v>0</v>
      </c>
      <c r="DJ57" s="913">
        <f t="shared" si="412"/>
        <v>0</v>
      </c>
      <c r="DK57" s="913">
        <f t="shared" si="413"/>
        <v>0</v>
      </c>
      <c r="DL57" s="913">
        <f t="shared" si="414"/>
        <v>0</v>
      </c>
      <c r="DM57" s="913">
        <f t="shared" si="415"/>
        <v>0</v>
      </c>
      <c r="DN57" s="913">
        <f t="shared" si="416"/>
        <v>0</v>
      </c>
      <c r="DO57" s="913">
        <f t="shared" si="417"/>
        <v>0</v>
      </c>
      <c r="DP57" s="914">
        <f ca="1">SUMIFS(RZ[Úroveň 1 (P4)],RZ[0],AX57)</f>
        <v>1</v>
      </c>
      <c r="DQ57" s="914">
        <f ca="1">SUMIFS(RZ[Úroveň 2 (P4)],RZ[0],AX57,RZ[Úroveň 2 (P0)],AY57)</f>
        <v>2</v>
      </c>
      <c r="DR57" s="914">
        <f ca="1">SUMIFS(RZ[Úroveň 3 (P4)],RZ[0],AX57,RZ[Úroveň 2 (P0)],AY57,RZ[Úroveň 3 (P0)],AZ57)</f>
        <v>1</v>
      </c>
      <c r="DS57" s="914">
        <f ca="1">SUMIFS(RZ[Úroveň 4 (P4)],RZ[0],AX57,RZ[Úroveň 2 (P0)],AY57,RZ[Úroveň 3 (P0)],AZ57,RZ[Úroveň 4 (P0)],BA57)</f>
        <v>0</v>
      </c>
      <c r="DT57" s="914">
        <f ca="1">SUMIFS(RZ[Úroveň 5 (P4)],RZ[0],AX57,RZ[Úroveň 2 (P0)],AY57,RZ[Úroveň 3 (P0)],AZ57,RZ[Úroveň 4 (P0)],BA57,RZ[Úroveň 5 (P0)],BB57)</f>
        <v>0</v>
      </c>
      <c r="DU57" s="914">
        <f ca="1">SUMIFS(RZ[Úroveň 6 (P4)],RZ[0],AX57,RZ[Úroveň 2 (P0)],AY57,RZ[Úroveň 3 (P0)],AZ57,RZ[Úroveň 4 (P0)],BA57,RZ[Úroveň 5 (P0)],BB57,RZ[Úroveň 6 (P0)],BC57)</f>
        <v>0</v>
      </c>
      <c r="DV57" s="914">
        <f ca="1">SUMIFS(RZ[Úroveň 7 (P4)],RZ[0],AX57,RZ[Úroveň 2 (P0)],AY57,RZ[Úroveň 3 (P0)],AZ57,RZ[Úroveň 4 (P0)],BA57,RZ[Úroveň 5 (P0)],BB57,RZ[Úroveň 6 (P0)],BC57,RZ[Úroveň 7 (P0)],BD57)</f>
        <v>0</v>
      </c>
      <c r="DW57" s="914">
        <f ca="1">SUMIFS(RZ[Úroveň 8 (P4)],RZ[0],AX57,RZ[Úroveň 2 (P0)],AY57,RZ[Úroveň 3 (P0)],AZ57,RZ[Úroveň 4 (P0)],BA57,RZ[Úroveň 5 (P0)],BB57,RZ[Úroveň 6 (P0)],BC57,RZ[Úroveň 7 (P0)],BD57,RZ[Úroveň 8 (P0)],BE57)</f>
        <v>0</v>
      </c>
      <c r="DX57" s="914">
        <f ca="1">SUMIFS(RZ[Úroveň 9 (P4)],RZ[0],AX57,RZ[Úroveň 2 (P0)],AY57,RZ[Úroveň 3 (P0)],AZ57,RZ[Úroveň 4 (P0)],BA57,RZ[Úroveň 5 (P0)],BB57,RZ[Úroveň 6 (P0)],BC57,RZ[Úroveň 7 (P0)],BD57,RZ[Úroveň 8 (P0)],BE57,RZ[Úroveň 9 (P0)],BF57)</f>
        <v>0</v>
      </c>
      <c r="DY57" s="914">
        <f ca="1">SUMIFS(RZ[Úroveň 10 (P4)],RZ[0],AX57,RZ[Úroveň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DZ57" s="915">
        <f t="shared" ca="1" si="418"/>
        <v>2</v>
      </c>
      <c r="EA57" s="916">
        <f ca="1">RZ[[#This Row],[Jednotková hmotnost bez koef. '[kg/MJHR'] (P0)]]*RZ[[#This Row],[Počet MJHR v rozpadu (P0)]]</f>
        <v>7199.6</v>
      </c>
      <c r="EB57" s="917">
        <f ca="1">IF(OFFSET(AY57,1,0,1,1)&lt;&gt;0,RZ[[#This Row],[Koeficient odhadu CR '[-'] (P1)]]*$BH57*SUMIFS(RZ[Úroveň 2 s koef. (P3)],RZ[0],AX57),RZ[[#This Row],[Koeficient odhadu CR '[-'] (P1)]]*$BH57*$IQ57)</f>
        <v>0</v>
      </c>
      <c r="EC57" s="191">
        <f ca="1">IF(OFFSET(AY57,1,0,1,1)&lt;&gt;0,$BH57*SUMIFS(RZ[Úroveň 2 bez koef. (P3)],RZ[0],AX57),$BH57*$IQ57)</f>
        <v>0</v>
      </c>
      <c r="ED57" s="140">
        <f ca="1">RZ[[#This Row],[Úroveň 2 s koef. (P3a)]]*RZ[[#This Row],[Počet MJCR (P0) pro "kg"]]</f>
        <v>0</v>
      </c>
      <c r="EE57" s="140">
        <f ca="1">RZ[Úroveň 2 bez koef. (P3a)]*RZ[[#This Row],[Počet MJCR (P0) pro "kg"]]</f>
        <v>0</v>
      </c>
      <c r="EF57" s="140">
        <f ca="1">IF(OFFSET(AZ57,1,0,1,1)&lt;&gt;0,RZ[[#This Row],[Koeficient odhadu CR '[-'] (P1)]]*$BI57*SUMIFS(RZ[Úroveň 3 s koef. (P3)],RZ[0],AX57,RZ[Úroveň 2 (P0)],AY57),RZ[[#This Row],[Koeficient odhadu CR '[-'] (P1)]]*$BI57*$IQ57)</f>
        <v>0</v>
      </c>
      <c r="EG57" s="140">
        <f ca="1">IF(OFFSET(AZ57,1,0,1,1)&lt;&gt;0,$BI57*SUMIFS(RZ[Úroveň 3 bez koef. (P3)],RZ[0],AX57,RZ[Úroveň 2 (P0)],AY57),$BI57*$IQ57)</f>
        <v>0</v>
      </c>
      <c r="EH57" s="135">
        <f ca="1">RZ[[#This Row],[Úroveň 3 s koef. (P3a)]]*RZ[[#This Row],[Počet MJCR (P0) pro "kg"]]</f>
        <v>503972</v>
      </c>
      <c r="EI57" s="135">
        <f ca="1">RZ[Úroveň 3 bez koef. (P3a)]*RZ[[#This Row],[Počet MJCR (P0) pro "kg"]]</f>
        <v>503972</v>
      </c>
      <c r="EJ57" s="135">
        <f ca="1">IF(OFFSET(BA57,1,0,1,1)&lt;&gt;0,RZ[[#This Row],[Koeficient odhadu CR '[-'] (P1)]]*$BJ57*SUMIFS(RZ[Úroveň 4 s koef. (P3)],RZ[0],AX57,RZ[Úroveň 2 (P0)],AY57,RZ[Úroveň 3 (P0)],AZ57),RZ[[#This Row],[Koeficient odhadu CR '[-'] (P1)]]*$BJ57*$IQ57)</f>
        <v>140</v>
      </c>
      <c r="EK57" s="135">
        <f ca="1">IF(OFFSET(BA57,1,0,1,1)&lt;&gt;0,$BJ57*SUMIFS(RZ[Úroveň 4 bez koef. (P3)],RZ[0],AX57,RZ[Úroveň 2 (P0)],AY57,RZ[Úroveň 3 (P0)],AZ57),$BJ57*$IQ57)</f>
        <v>140</v>
      </c>
      <c r="EL57" s="140">
        <f ca="1">RZ[[#This Row],[Úroveň 4 s koef. (P3a)]]*RZ[[#This Row],[Počet MJCR (P0) pro "kg"]]</f>
        <v>0</v>
      </c>
      <c r="EM57" s="140">
        <f ca="1">RZ[Úroveň 4 bez koef. (P3a)]*RZ[[#This Row],[Počet MJCR (P0) pro "kg"]]</f>
        <v>0</v>
      </c>
      <c r="EN57" s="140">
        <f ca="1">IF(OFFSET(BB57,1,0,1,1)&lt;&gt;0,RZ[[#This Row],[Koeficient odhadu CR '[-'] (P1)]]*$BK57*SUMIFS(RZ[Úroveň 5 s koef. (P3)],RZ[0],AX57,RZ[Úroveň 2 (P0)],AY57,RZ[Úroveň 3 (P0)],AZ57,RZ[Úroveň 4 (P0)],BA57),RZ[[#This Row],[Koeficient odhadu CR '[-'] (P1)]]*$BK57*$IQ57)</f>
        <v>0</v>
      </c>
      <c r="EO57" s="140">
        <f ca="1">IF(OFFSET(BB57,1,0,1,1)&lt;&gt;0,$BK57*SUMIFS(RZ[Úroveň 5 bez koef. (P3)],RZ[0],AX57,RZ[Úroveň 2 (P0)],AY57,RZ[Úroveň 3 (P0)],AZ57,RZ[Úroveň 4 (P0)],BA57),$BK57*$IQ57)</f>
        <v>0</v>
      </c>
      <c r="EP57" s="135">
        <f ca="1">RZ[[#This Row],[Úroveň 5 s koef. (P3a)]]*RZ[[#This Row],[Počet MJCR (P0) pro "kg"]]</f>
        <v>0</v>
      </c>
      <c r="EQ57" s="135">
        <f ca="1">RZ[Úroveň 5 bez koef. (P3a)]*RZ[[#This Row],[Počet MJCR (P0) pro "kg"]]</f>
        <v>0</v>
      </c>
      <c r="ER57" s="135">
        <f ca="1">IF(OFFSET(BC57,1,0,1,1)&lt;&gt;0,RZ[[#This Row],[Koeficient odhadu CR '[-'] (P1)]]*$BL57*SUMIFS(RZ[Úroveň 6 s koef. (P3)],RZ[0],AX57,RZ[Úroveň 2 (P0)],AY57,RZ[Úroveň 3 (P0)],AZ57,RZ[Úroveň 4 (P0)],BA57,RZ[Úroveň 5 (P0)],BB57),RZ[[#This Row],[Koeficient odhadu CR '[-'] (P1)]]*$BL57*$IQ57)</f>
        <v>0</v>
      </c>
      <c r="ES57" s="135">
        <f ca="1">IF(OFFSET(BC57,1,0,1,1)&lt;&gt;0,$BL57*SUMIFS(RZ[Úroveň 6 bez koef. (P3)],RZ[0],AX57,RZ[Úroveň 2 (P0)],AY57,RZ[Úroveň 3 (P0)],AZ57,RZ[Úroveň 4 (P0)],BA57,RZ[Úroveň 5 (P0)],BB57),$BL57*$IQ57)</f>
        <v>0</v>
      </c>
      <c r="ET57" s="140">
        <f ca="1">RZ[[#This Row],[Úroveň 6 s koef. (P3a)]]*RZ[[#This Row],[Počet MJCR (P0) pro "kg"]]</f>
        <v>0</v>
      </c>
      <c r="EU57" s="140">
        <f ca="1">RZ[Úroveň 6 bez koef. (P3a)]*RZ[[#This Row],[Počet MJCR (P0) pro "kg"]]</f>
        <v>0</v>
      </c>
      <c r="EV57" s="140">
        <f ca="1">IF(OFFSET(BD57,1,0,1,1)&lt;&gt;0,RZ[[#This Row],[Koeficient odhadu CR '[-'] (P1)]]*$BM57*SUMIFS(RZ[Úroveň 7 s koef. (P3)],RZ[0],AX57,RZ[Úroveň 2 (P0)],AY57,RZ[Úroveň 3 (P0)],AZ57,RZ[Úroveň 4 (P0)],BA57,RZ[Úroveň 5 (P0)],BB57,RZ[Úroveň 6 (P0)],BC57),RZ[[#This Row],[Koeficient odhadu CR '[-'] (P1)]]*$BM57*$IQ57)</f>
        <v>0</v>
      </c>
      <c r="EW57" s="140">
        <f ca="1">IF(OFFSET(BD57,1,0,1,1)&lt;&gt;0,$BM57*SUMIFS(RZ[Úroveň 7 bez koef. (P3)],RZ[0],AX57,RZ[Úroveň 2 (P0)],AY57,RZ[Úroveň 3 (P0)],AZ57,RZ[Úroveň 4 (P0)],BA57,RZ[Úroveň 5 (P0)],BB57,RZ[Úroveň 6 (P0)],BC57),$BM57*$IQ57)</f>
        <v>0</v>
      </c>
      <c r="EX57" s="135">
        <f ca="1">RZ[[#This Row],[Úroveň 7 s koef. (P3a)]]*RZ[[#This Row],[Počet MJCR (P0) pro "kg"]]</f>
        <v>0</v>
      </c>
      <c r="EY57" s="135">
        <f ca="1">RZ[Úroveň 7 bez koef. (P3a)]*RZ[[#This Row],[Počet MJCR (P0) pro "kg"]]</f>
        <v>0</v>
      </c>
      <c r="EZ57" s="135">
        <f ca="1">IF(OFFSET(BE57,1,0,1,1)&lt;&gt;0,RZ[[#This Row],[Koeficient odhadu CR '[-'] (P1)]]*$BN57*SUMIFS(RZ[Úroveň 8 s koef. (P3)],RZ[0],AX57,RZ[Úroveň 2 (P0)],AY57,RZ[Úroveň 3 (P0)],AZ57,RZ[Úroveň 4 (P0)],BA57,RZ[Úroveň 5 (P0)],BB57,RZ[Úroveň 6 (P0)],BC57,RZ[Úroveň 7 (P0)],BD57),RZ[[#This Row],[Koeficient odhadu CR '[-'] (P1)]]*$BN57*$IQ57)</f>
        <v>0</v>
      </c>
      <c r="FA57" s="135">
        <f ca="1">IF(OFFSET(BE57,1,0,1,1)&lt;&gt;0,$BN57*SUMIFS(RZ[Úroveň 8 bez koef. (P3)],RZ[0],AX57,RZ[Úroveň 2 (P0)],AY57,RZ[Úroveň 3 (P0)],AZ57,RZ[Úroveň 4 (P0)],BA57,RZ[Úroveň 5 (P0)],BB57,RZ[Úroveň 6 (P0)],BC57,RZ[Úroveň 7 (P0)],BD57),$BN57*$IQ57)</f>
        <v>0</v>
      </c>
      <c r="FB57" s="140">
        <f ca="1">RZ[[#This Row],[Úroveň 8 s koef. (P3a)]]*RZ[[#This Row],[Počet MJCR (P0) pro "kg"]]</f>
        <v>0</v>
      </c>
      <c r="FC57" s="140">
        <f ca="1">RZ[Úroveň 8 bez koef. (P3a)]*RZ[[#This Row],[Počet MJCR (P0) pro "kg"]]</f>
        <v>0</v>
      </c>
      <c r="FD57" s="140">
        <f ca="1">IF(OFFSET(BF57,1,0,1,1)&lt;&gt;0,RZ[[#This Row],[Koeficient odhadu CR '[-'] (P1)]]*$BO57*SUMIFS(RZ[Úroveň 9 s koef. (P3)],RZ[0],AX57,RZ[Úroveň 2 (P0)],AY57,RZ[Úroveň 3 (P0)],AZ57,RZ[Úroveň 4 (P0)],BA57,RZ[Úroveň 5 (P0)],BB57,RZ[Úroveň 6 (P0)],BC57,RZ[Úroveň 7 (P0)],BD57,RZ[Úroveň 8 (P0)],BE57),RZ[[#This Row],[Koeficient odhadu CR '[-'] (P1)]]*$BO57*$IQ57)</f>
        <v>0</v>
      </c>
      <c r="FE57" s="140">
        <f ca="1">IF(OFFSET(BF57,1,0,1,1)&lt;&gt;0,$BO57*SUMIFS(RZ[Úroveň 9 bez koef. (P3)],RZ[0],AX57,RZ[Úroveň 2 (P0)],AY57,RZ[Úroveň 3 (P0)],AZ57,RZ[Úroveň 4 (P0)],BA57,RZ[Úroveň 5 (P0)],BB57,RZ[Úroveň 6 (P0)],BC57,RZ[Úroveň 7 (P0)],BD57,RZ[Úroveň 8 (P0)],BE57),$BO57*$IQ57)</f>
        <v>0</v>
      </c>
      <c r="FF57" s="135">
        <f ca="1">RZ[[#This Row],[Úroveň 9 s koef. (P3a)]]*RZ[[#This Row],[Počet MJCR (P0) pro "kg"]]</f>
        <v>0</v>
      </c>
      <c r="FG57" s="135">
        <f ca="1">RZ[Úroveň 9 bez koef. (P3a)]*RZ[[#This Row],[Počet MJCR (P0) pro "kg"]]</f>
        <v>0</v>
      </c>
      <c r="FH57" s="135">
        <f ca="1">IF(OFFSET(BG57,1,0,1,1)&lt;&gt;0,RZ[[#This Row],[Koeficient odhadu CR '[-'] (P1)]]*$BP57*SUMIFS(RZ[Úroveň 10 s koef. (P3)],RZ[0],AX57,RZ[Úroveň 2 (P0)],AY57,RZ[Úroveň 3 (P0)],AZ57,RZ[Úroveň 4 (P0)],BA57,RZ[Úroveň 5 (P0)],BB57,RZ[Úroveň 6 (P0)],BC57,RZ[Úroveň 7 (P0)],BD57,RZ[Úroveň 8 (P0)],BE57,RZ[Úroveň 9 (P0)],BF57),RZ[[#This Row],[Koeficient odhadu CR '[-'] (P1)]]*$BP57*$IQ57)</f>
        <v>0</v>
      </c>
      <c r="FI57" s="135">
        <f ca="1">IF(OFFSET(BG57,1,0,1,1)&lt;&gt;0,$BP57*SUMIFS(RZ[Úroveň 10 bez koef. (P3)],RZ[0],AX57,RZ[Úroveň 2 (P0)],AY57,RZ[Úroveň 3 (P0)],AZ57,RZ[Úroveň 4 (P0)],BA57,RZ[Úroveň 5 (P0)],BB57,RZ[Úroveň 6 (P0)],BC57,RZ[Úroveň 7 (P0)],BD57,RZ[Úroveň 8 (P0)],BE57,RZ[Úroveň 9 (P0)],BF57),$BP57*$IQ57)</f>
        <v>0</v>
      </c>
      <c r="FJ57" s="140">
        <f ca="1">RZ[[#This Row],[Úroveň 10 s koef. (P3a)]]*RZ[[#This Row],[Počet MJCR (P0) pro "kg"]]</f>
        <v>0</v>
      </c>
      <c r="FK57" s="140">
        <f ca="1">RZ[Úroveň 10 bez koef. (P3a)]*RZ[[#This Row],[Počet MJCR (P0) pro "kg"]]</f>
        <v>0</v>
      </c>
      <c r="FL57" s="140">
        <f ca="1">RZ[[#This Row],[Koeficient odhadu CR '[-'] (P1)]]*$BQ57*IQ57</f>
        <v>0</v>
      </c>
      <c r="FM57" s="236">
        <f t="shared" ca="1" si="419"/>
        <v>0</v>
      </c>
      <c r="FN57" s="194">
        <f t="shared" ca="1" si="420"/>
        <v>140</v>
      </c>
      <c r="FO57" s="238">
        <f t="shared" ca="1" si="421"/>
        <v>140</v>
      </c>
      <c r="FP57" s="135">
        <f t="shared" ca="1" si="422"/>
        <v>0</v>
      </c>
      <c r="FQ57" s="135">
        <f t="shared" ca="1" si="423"/>
        <v>0</v>
      </c>
      <c r="FR57" s="135">
        <f t="shared" ca="1" si="424"/>
        <v>3599.8</v>
      </c>
      <c r="FS57" s="135">
        <f t="shared" ca="1" si="425"/>
        <v>0</v>
      </c>
      <c r="FT57" s="135">
        <f t="shared" ca="1" si="426"/>
        <v>0</v>
      </c>
      <c r="FU57" s="135">
        <f t="shared" ca="1" si="427"/>
        <v>0</v>
      </c>
      <c r="FV57" s="135">
        <f t="shared" ca="1" si="428"/>
        <v>0</v>
      </c>
      <c r="FW57" s="135">
        <f t="shared" ca="1" si="429"/>
        <v>0</v>
      </c>
      <c r="FX57" s="135">
        <f t="shared" ca="1" si="430"/>
        <v>0</v>
      </c>
      <c r="FY57" s="135">
        <f t="shared" ca="1" si="431"/>
        <v>0</v>
      </c>
      <c r="FZ57" s="140">
        <f ca="1">SUMIFS(RZ[Úroveň 1 (P6)],RZ[0],AX57)</f>
        <v>1</v>
      </c>
      <c r="GA57" s="140">
        <f ca="1">SUMIFS(RZ[Úroveň 2 (P6)],RZ[0],AX57,RZ[Úroveň 2 (P0)],AY57)</f>
        <v>2</v>
      </c>
      <c r="GB57" s="140">
        <f ca="1">SUMIFS(RZ[Úroveň 3 (P6)],RZ[0],AX57,RZ[Úroveň 2 (P0)],AY57,RZ[Úroveň 3 (P0)],AZ57)</f>
        <v>3599.8</v>
      </c>
      <c r="GC57" s="140">
        <f ca="1">SUMIFS(RZ[Úroveň 4 (P6)],RZ[0],AX57,RZ[Úroveň 2 (P0)],AY57,RZ[Úroveň 3 (P0)],AZ57,RZ[Úroveň 4 (P0)],BA57)</f>
        <v>0</v>
      </c>
      <c r="GD57" s="140">
        <f ca="1">SUMIFS(RZ[Úroveň 5 (P6)],RZ[0],AX57,RZ[Úroveň 2 (P0)],AY57,RZ[Úroveň 3 (P0)],AZ57,RZ[Úroveň 4 (P0)],BA57,RZ[Úroveň 5 (P0)],BB57)</f>
        <v>0</v>
      </c>
      <c r="GE57" s="140">
        <f ca="1">SUMIFS(RZ[Úroveň 6 (P6)],RZ[0],AX57,RZ[Úroveň 2 (P0)],AY57,RZ[Úroveň 3 (P0)],AZ57,RZ[Úroveň 4 (P0)],BA57,RZ[Úroveň 5 (P0)],BB57,RZ[Úroveň 6 (P0)],BC57)</f>
        <v>0</v>
      </c>
      <c r="GF57" s="140">
        <f ca="1">SUMIFS(RZ[Úroveň 7 (P6)],RZ[0],AX57,RZ[Úroveň 2 (P0)],AY57,RZ[Úroveň 3 (P0)],AZ57,RZ[Úroveň 4 (P0)],BA57,RZ[Úroveň 5 (P0)],BB57,RZ[Úroveň 6 (P0)],BC57,RZ[Úroveň 7 (P0)],BD57)</f>
        <v>0</v>
      </c>
      <c r="GG57" s="140">
        <f ca="1">SUMIFS(RZ[Úroveň 8 (P6)],RZ[0],AX57,RZ[Úroveň 2 (P0)],AY57,RZ[Úroveň 3 (P0)],AZ57,RZ[Úroveň 4 (P0)],BA57,RZ[Úroveň 5 (P0)],BB57,RZ[Úroveň 6 (P0)],BC57,RZ[Úroveň 7 (P0)],BD57,RZ[Úroveň 8 (P0)],BE57)</f>
        <v>0</v>
      </c>
      <c r="GH57" s="140">
        <f ca="1">SUMIFS(RZ[Úroveň 9 (P6)],RZ[0],AX57,RZ[Úroveň 2 (P0)],AY57,RZ[Úroveň 3 (P0)],AZ57,RZ[Úroveň 4 (P0)],BA57,RZ[Úroveň 5 (P0)],BB57,RZ[Úroveň 6 (P0)],BC57,RZ[Úroveň 7 (P0)],BD57,RZ[Úroveň 8 (P0)],BE57,RZ[Úroveň 9 (P0)],BF57)</f>
        <v>0</v>
      </c>
      <c r="GI57" s="140">
        <f ca="1">SUMIFS(RZ[Úroveň 10 (P6)],RZ[0],AX57,RZ[Úroveň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GJ57" s="918">
        <f t="shared" ca="1" si="432"/>
        <v>7199.6</v>
      </c>
      <c r="GK57" s="808">
        <f t="shared" si="433"/>
        <v>0</v>
      </c>
      <c r="GL57" s="808">
        <f t="shared" si="434"/>
        <v>0</v>
      </c>
      <c r="GM57" s="808">
        <f t="shared" si="435"/>
        <v>1</v>
      </c>
      <c r="GN57" s="808">
        <f t="shared" si="436"/>
        <v>0</v>
      </c>
      <c r="GO57" s="808">
        <f t="shared" si="437"/>
        <v>0</v>
      </c>
      <c r="GP57" s="808">
        <f t="shared" si="438"/>
        <v>0</v>
      </c>
      <c r="GQ57" s="808">
        <f t="shared" si="439"/>
        <v>0</v>
      </c>
      <c r="GR57" s="808">
        <f t="shared" si="440"/>
        <v>0</v>
      </c>
      <c r="GS57" s="808">
        <f t="shared" si="441"/>
        <v>0</v>
      </c>
      <c r="GT57" s="808">
        <f t="shared" si="442"/>
        <v>0</v>
      </c>
      <c r="GU57" s="809">
        <f ca="1">SUMIFS(RZ[Sloupec1],RZ[0],AX57)</f>
        <v>1</v>
      </c>
      <c r="GV57" s="809">
        <f ca="1">SUMIFS(RZ[Sloupec2],RZ[0],AX57,RZ[Úroveň 2 (P0)],AY57)</f>
        <v>1</v>
      </c>
      <c r="GW57" s="809">
        <f ca="1">SUMIFS(RZ[Sloupec3],RZ[0],AX57,RZ[Úroveň 2 (P0)],AY57,RZ[Úroveň 3 (P0)],AZ57)</f>
        <v>1</v>
      </c>
      <c r="GX57" s="809">
        <f ca="1">SUMIFS(RZ[Sloupec4],RZ[0],AX57,RZ[Úroveň 2 (P0)],AY57,RZ[Úroveň 3 (P0)],AZ57,RZ[Úroveň 4 (P0)],BA57)</f>
        <v>0</v>
      </c>
      <c r="GY57" s="809">
        <f ca="1">SUMIFS(RZ[Sloupec5],RZ[0],AX57,RZ[Úroveň 2 (P0)],AY57,RZ[Úroveň 3 (P0)],AZ57,RZ[Úroveň 4 (P0)],BA57,RZ[Úroveň 5 (P0)],BB57)</f>
        <v>0</v>
      </c>
      <c r="GZ57" s="809">
        <f ca="1">SUMIFS(RZ[Sloupec6],RZ[0],AX57,RZ[Úroveň 2 (P0)],AY57,RZ[Úroveň 3 (P0)],AZ57,RZ[Úroveň 4 (P0)],BA57,RZ[Úroveň 5 (P0)],BB57,RZ[Úroveň 6 (P0)],BC57)</f>
        <v>0</v>
      </c>
      <c r="HA57" s="809">
        <f ca="1">SUMIFS(RZ[Sloupec62],RZ[0],AX57,RZ[Úroveň 2 (P0)],AY57,RZ[Úroveň 3 (P0)],AZ57,RZ[Úroveň 4 (P0)],BA57,RZ[Úroveň 5 (P0)],BB57,RZ[Úroveň 6 (P0)],BC57,RZ[Úroveň 7 (P0)],BD57)</f>
        <v>0</v>
      </c>
      <c r="HB57" s="809">
        <f ca="1">SUMIFS(RZ[Sloupec63],RZ[0],AX57,RZ[Úroveň 2 (P0)],AY57,RZ[Úroveň 3 (P0)],AZ57,RZ[Úroveň 4 (P0)],BA57,RZ[Úroveň 5 (P0)],BB57,RZ[Úroveň 6 (P0)],BC57,RZ[Úroveň 7 (P0)],BD57,RZ[Úroveň 8 (P0)],BE57)</f>
        <v>0</v>
      </c>
      <c r="HC57" s="809">
        <f ca="1">SUMIFS(RZ[Sloupec64],RZ[0],AX57,RZ[Úroveň 2 (P0)],AY57,RZ[Úroveň 3 (P0)],AZ57,RZ[Úroveň 4 (P0)],BA57,RZ[Úroveň 5 (P0)],BB57,RZ[Úroveň 6 (P0)],BC57,RZ[Úroveň 7 (P0)],BD57,RZ[Úroveň 8 (P0)],BE57,RZ[Úroveň 9 (P0)],BF57)</f>
        <v>0</v>
      </c>
      <c r="HD57" s="809">
        <f ca="1">SUMIFS(RZ[Sloupec65],RZ[0],AX57,RZ[Úroveň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HE57" s="919">
        <f t="shared" ca="1" si="443"/>
        <v>1</v>
      </c>
      <c r="HF57" s="920" t="str">
        <f t="shared" si="444"/>
        <v/>
      </c>
      <c r="HG57" s="94" t="str">
        <f t="shared" si="445"/>
        <v/>
      </c>
      <c r="HH57" s="95" t="str">
        <f t="shared" si="446"/>
        <v/>
      </c>
      <c r="HI57" s="95" t="str">
        <f t="shared" si="447"/>
        <v>Rám</v>
      </c>
      <c r="HJ57" s="96" t="str">
        <f t="shared" si="448"/>
        <v/>
      </c>
      <c r="HK57" s="96" t="str">
        <f t="shared" si="449"/>
        <v/>
      </c>
      <c r="HL57" s="96" t="str">
        <f t="shared" si="450"/>
        <v/>
      </c>
      <c r="HM57" s="96" t="str">
        <f t="shared" si="451"/>
        <v/>
      </c>
      <c r="HN57" s="96" t="str">
        <f t="shared" si="452"/>
        <v/>
      </c>
      <c r="HO57" s="96" t="str">
        <f t="shared" si="453"/>
        <v/>
      </c>
      <c r="HP57" s="96" t="str">
        <f t="shared" si="454"/>
        <v/>
      </c>
      <c r="HQ57" s="145" t="str">
        <f t="shared" si="455"/>
        <v>OKS1</v>
      </c>
      <c r="HR57" s="921" t="str">
        <f t="shared" si="456"/>
        <v/>
      </c>
      <c r="HS57" s="173">
        <f t="shared" si="457"/>
        <v>0</v>
      </c>
      <c r="HT57" s="100">
        <f t="shared" si="458"/>
        <v>0</v>
      </c>
      <c r="HU57" s="100">
        <f t="shared" si="459"/>
        <v>0</v>
      </c>
      <c r="HV57" s="908">
        <f t="shared" si="460"/>
        <v>0</v>
      </c>
      <c r="HW57" s="922">
        <f t="shared" si="461"/>
        <v>0</v>
      </c>
      <c r="HX57" s="224">
        <f t="shared" si="462"/>
        <v>0</v>
      </c>
      <c r="HY57" s="263" t="str">
        <f t="shared" si="463"/>
        <v>S</v>
      </c>
      <c r="HZ57" s="263">
        <f t="shared" si="464"/>
        <v>0</v>
      </c>
      <c r="IA57" s="150">
        <f t="shared" si="465"/>
        <v>1</v>
      </c>
      <c r="IB57" s="319">
        <f t="shared" si="466"/>
        <v>0</v>
      </c>
      <c r="IC57" s="923">
        <f t="shared" si="467"/>
        <v>0</v>
      </c>
      <c r="ID57" s="924" t="str">
        <f t="shared" ca="1" si="468"/>
        <v>OK</v>
      </c>
      <c r="IE57" s="201" t="str">
        <f t="shared" si="469"/>
        <v>ks</v>
      </c>
      <c r="IF57" s="145">
        <f t="shared" si="470"/>
        <v>1</v>
      </c>
      <c r="IG57" s="216">
        <f t="shared" si="471"/>
        <v>3599.8</v>
      </c>
      <c r="IH57" s="217">
        <f t="shared" si="472"/>
        <v>1</v>
      </c>
      <c r="II57" s="224" t="str">
        <f ca="1">IF(RZ[[#This Row],[Rozhodný sloupec indikativní ceny]]=1,"kg",IF($IW57=$JL$15,IF(JX57=0,JO57,JX57),IF($IW57=$KE$15,IF(KQ57=0,KH57,KQ57),IF($IW57=$KX$15,IF(LJ57=0,LA57,LJ57),IF($IW57=$LQ$15,IF(MC57=0,LT57,MC57),IF($IW57=$MJ$15,IF(NQ57=0,NH57,NQ57),0))))))</f>
        <v>kg</v>
      </c>
      <c r="IJ57" s="224">
        <f ca="1">IF((BH57+OFFSET(BH57,1,1,1,1))=2,RZ[[#This Row],[Počet MJHR (P0)]],IF((BI57+OFFSET(BI57,1,1,1,1))=2,RZ[[#This Row],[Počet MJHR (P0)]],IF((BJ57+OFFSET(BJ57,1,1,1,1))=2,RZ[[#This Row],[Počet MJHR (P0)]],IF((BK57+OFFSET(BK57,1,1,1,1))=2,RZ[[#This Row],[Počet MJHR (P0)]],IF((BL57+OFFSET(BL57,1,1,1,1))=2,RZ[[#This Row],[Počet MJHR (P0)]],IF((BM57+OFFSET(BM57,1,1,1,1))=2,RZ[[#This Row],[Počet MJHR (P0)]],IF((BN57+OFFSET(BN57,1,1,1,1))=2,RZ[[#This Row],[Počet MJHR (P0)]],IF((BO57+OFFSET(BO57,1,1,1,1))=2,RZ[[#This Row],[Počet MJHR (P0)]],IF((BP57+OFFSET(BP57,1,1,1,1))=2,RZ[[#This Row],[Počet MJHR (P0)]],IF((BQ57+OFFSET(BQ57,1,1,1,1))=2,RZ[[#This Row],[Počet MJHR (P0)]],IF(RZ[[#This Row],[Měrná jednotka CR (MJCR) (P0)]]=RZ[[#This Row],[Měrná jednotka HR '[MJHR'] (P0)]],RZ[[#This Row],[Počet MJHR (P0)]],IF($IW57=$JL$15,JY57,IF($IW57=$KE$15,KR57,IF($IW57=$KX$15,LK57,IF($IW57=$LQ$15,MD57,IF($IW57=$MJ$15,NR57,0))))))))))))))))</f>
        <v>0</v>
      </c>
      <c r="IK5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3599.8</v>
      </c>
      <c r="IL57" s="145">
        <f ca="1">IF(AND(RZ[[#This Row],[Jednotková cena bez DPH '[cena/MJCR'] (P0)]]=0,RZ[[#This Row],[Indikativní jednotková cena '[CZK/kg'] (P1)]]&lt;&gt;0),1,0)</f>
        <v>1</v>
      </c>
      <c r="IM57" s="217">
        <f ca="1">VLOOKUP(RZ[[#This Row],[Kód položek]],INDIKAT_CENA,2,FALSE)</f>
        <v>140</v>
      </c>
      <c r="IN57" s="222">
        <f ca="1">IF(RZ[[#This Row],[Rozhodný sloupec indikativní ceny]]=1,RZ[[#This Row],[Indikativní jednotková cena '[CZK/kg'] (P1)]],RZ[[#This Row],[Jednotková cena bez DPH '[cena/MJCR'] (P0)]])</f>
        <v>140</v>
      </c>
      <c r="IO57" s="222">
        <f t="shared" si="473"/>
        <v>1</v>
      </c>
      <c r="IP57" s="224">
        <f ca="1">IF(RZ[[#This Row],[Rozhodný sloupec indikativní ceny]]=1,1,IF($IW57=$JL$15,KA57,IF($IW57=$KE$15,KT57,IF($IW57=$KX$15,LM57,IF($IW57=$LQ$15,MF57,IF($IW57=$MJ$15,NT57,0))))))</f>
        <v>1</v>
      </c>
      <c r="IQ57" s="225">
        <f ca="1">IF(RZ[[#This Row],[Jednotková cena bez DPH '[cena/MJCR'] (P1)]]="",0,IF(IP57=0,0,(RZ[[#This Row],[Jednotková cena bez DPH '[cena/MJCR'] (P1)]]*VLOOKUP(IP57,$BR$7:$BT$10,3))))</f>
        <v>140</v>
      </c>
      <c r="IR57" s="737"/>
      <c r="IS57" s="627">
        <f>IF(HY57=0,"",VLOOKUP(RZ[[#This Row],[Stav Projekce (P0)]],Vstupy!$E$11:'Vstupy'!$E$11:$H$17,4,FALSE))</f>
        <v>100</v>
      </c>
      <c r="IT57" s="925" t="str">
        <f>IF(RZ[[#This Row],[Stav Projekce (P0)]]=0,"",RZ[[#This Row],[Stav Projekce (P0)]])</f>
        <v>S</v>
      </c>
      <c r="IU57" s="925" t="str">
        <f>IF(RZ[[#This Row],[Stav Nákup (P0)]]=0,"",RZ[[#This Row],[Stav Nákup (P0)]])</f>
        <v/>
      </c>
      <c r="IV57" s="926" t="str">
        <f t="shared" si="474"/>
        <v/>
      </c>
      <c r="IW57" s="641">
        <v>1</v>
      </c>
      <c r="IX57" s="630"/>
      <c r="IY57" s="264"/>
      <c r="IZ57" s="648"/>
      <c r="JA57" s="100"/>
      <c r="JB57" s="100" t="s">
        <v>743</v>
      </c>
      <c r="JC57" s="100"/>
      <c r="JD57" s="100"/>
      <c r="JE57" s="100"/>
      <c r="JF57" s="100"/>
      <c r="JG57" s="100"/>
      <c r="JH57" s="100"/>
      <c r="JI57" s="100"/>
      <c r="JJ57" s="145" t="s">
        <v>764</v>
      </c>
      <c r="JK57" s="529"/>
      <c r="JL57" s="286"/>
      <c r="JM57" s="100"/>
      <c r="JN57" s="100"/>
      <c r="JO57" s="145" t="s">
        <v>35</v>
      </c>
      <c r="JP57" s="117">
        <v>1</v>
      </c>
      <c r="JQ57" s="117">
        <v>3599.8</v>
      </c>
      <c r="JR57" s="148">
        <v>1</v>
      </c>
      <c r="JS57" s="145" t="s">
        <v>602</v>
      </c>
      <c r="JT57" s="631"/>
      <c r="JU57" s="148"/>
      <c r="JV57" s="154"/>
      <c r="JW57" s="145"/>
      <c r="JX57" s="210"/>
      <c r="JY57" s="117"/>
      <c r="JZ57" s="662"/>
      <c r="KA57" s="145"/>
      <c r="KB57" s="148"/>
      <c r="KC57" s="148"/>
      <c r="KD57" s="644"/>
      <c r="KE57" s="286"/>
      <c r="KF57" s="100"/>
      <c r="KG57" s="100"/>
      <c r="KH57" s="210"/>
      <c r="KI57" s="117"/>
      <c r="KJ57" s="117"/>
      <c r="KK57" s="148"/>
      <c r="KL57" s="145"/>
      <c r="KM57" s="632"/>
      <c r="KN57" s="148"/>
      <c r="KO57" s="154"/>
      <c r="KP57" s="154"/>
      <c r="KQ57" s="210"/>
      <c r="KR57" s="117"/>
      <c r="KS57" s="211"/>
      <c r="KT57" s="145"/>
      <c r="KU57" s="148"/>
      <c r="KV57" s="148"/>
      <c r="KW57" s="265"/>
      <c r="KX57" s="286"/>
      <c r="KY57" s="100"/>
      <c r="KZ57" s="100"/>
      <c r="LA57" s="210"/>
      <c r="LB57" s="117"/>
      <c r="LC57" s="117"/>
      <c r="LD57" s="148"/>
      <c r="LE57" s="145"/>
      <c r="LF57" s="632"/>
      <c r="LG57" s="148"/>
      <c r="LH57" s="154"/>
      <c r="LI57" s="154"/>
      <c r="LJ57" s="154"/>
      <c r="LK57" s="117"/>
      <c r="LL57" s="211"/>
      <c r="LM57" s="210"/>
      <c r="LN57" s="148"/>
      <c r="LO57" s="148"/>
      <c r="LP57" s="265"/>
      <c r="LQ57" s="286"/>
      <c r="LR57" s="100"/>
      <c r="LS57" s="100"/>
      <c r="LT57" s="210"/>
      <c r="LU57" s="117"/>
      <c r="LV57" s="117"/>
      <c r="LW57" s="148"/>
      <c r="LX57" s="145"/>
      <c r="LY57" s="632"/>
      <c r="LZ57" s="148"/>
      <c r="MA57" s="154"/>
      <c r="MB57" s="154"/>
      <c r="MC57" s="145"/>
      <c r="MD57" s="117"/>
      <c r="ME57" s="211"/>
      <c r="MF57" s="210"/>
      <c r="MG57" s="148"/>
      <c r="MH57" s="148"/>
      <c r="MI57" s="265"/>
      <c r="MJ57" s="647"/>
      <c r="MK57" s="264"/>
      <c r="ML57" s="153"/>
      <c r="MM57" s="153"/>
      <c r="MN57" s="153"/>
      <c r="MO57" s="153"/>
      <c r="MP57" s="153"/>
      <c r="MQ57" s="153"/>
      <c r="MR57" s="153"/>
      <c r="MS57" s="99"/>
      <c r="MT57" s="99"/>
      <c r="MU57" s="99"/>
      <c r="MV57" s="99"/>
      <c r="MW57" s="99"/>
      <c r="MX57" s="99"/>
      <c r="MY57" s="153"/>
      <c r="MZ57" s="153"/>
      <c r="NA57" s="153"/>
      <c r="NB57" s="153"/>
      <c r="NC57" s="153"/>
      <c r="ND57" s="153"/>
      <c r="NE57" s="148"/>
      <c r="NF57" s="153"/>
      <c r="NG57" s="153"/>
      <c r="NH57" s="330" t="str">
        <f t="shared" si="475"/>
        <v>ks</v>
      </c>
      <c r="NI57" s="797">
        <f>RZ[[#This Row],[Počet ks (K)]]</f>
        <v>0</v>
      </c>
      <c r="NJ57" s="798">
        <f>RZ[[#This Row],[Hmotnost '[kg/ks'] (K)]]</f>
        <v>0</v>
      </c>
      <c r="NK57" s="148"/>
      <c r="NL57" s="145"/>
      <c r="NM57" s="632"/>
      <c r="NN57" s="148"/>
      <c r="NO57" s="154"/>
      <c r="NP57" s="153"/>
      <c r="NQ57" s="153"/>
      <c r="NR57" s="210"/>
      <c r="NS57" s="148"/>
      <c r="NT57" s="210"/>
      <c r="NU57" s="148"/>
      <c r="NV57" s="148"/>
      <c r="NW57" s="175"/>
    </row>
    <row r="58" spans="2:387" ht="15.95" customHeight="1" x14ac:dyDescent="0.35">
      <c r="B58" s="118" t="str">
        <f t="shared" si="359"/>
        <v/>
      </c>
      <c r="C5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8" s="262" t="str">
        <f t="shared" si="360"/>
        <v xml:space="preserve">    Nosník</v>
      </c>
      <c r="E58" s="120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Row],[Kód položek (P2)]]))))))))))</f>
        <v>OKS1</v>
      </c>
      <c r="F58" s="791" t="str">
        <f t="shared" si="361"/>
        <v>N/A</v>
      </c>
      <c r="G58" s="792" t="str">
        <f t="shared" si="362"/>
        <v/>
      </c>
      <c r="H58" s="262" t="str">
        <f t="shared" si="363"/>
        <v/>
      </c>
      <c r="I58" s="123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HR '[MJHR'] (P0)]]))))))))))</f>
        <v>ks</v>
      </c>
      <c r="J58" s="123">
        <f t="shared" si="364"/>
        <v>2</v>
      </c>
      <c r="K58" s="793">
        <f>RZ[[#This Row],[Koeficient odhadu HR '[-'] (P1)]]</f>
        <v>1</v>
      </c>
      <c r="L58" s="124">
        <f ca="1">RZ[[#This Row],[Jednotková hmotnost s koef. '[kg/MJHR'] (P0)]]</f>
        <v>510</v>
      </c>
      <c r="M58" s="794">
        <f t="shared" ca="1" si="365"/>
        <v>0</v>
      </c>
      <c r="N58" s="125">
        <f t="shared" ca="1" si="366"/>
        <v>1020</v>
      </c>
      <c r="O58" s="125">
        <f t="shared" ca="1" si="367"/>
        <v>0</v>
      </c>
      <c r="P58" s="126" t="str">
        <f t="shared" si="368"/>
        <v/>
      </c>
      <c r="Q58" s="795">
        <f ca="1">RZ[[#This Row],[Počet MJHR v rozpadu (P0)]]</f>
        <v>4</v>
      </c>
      <c r="R58" s="439" t="str">
        <f t="shared" si="369"/>
        <v/>
      </c>
      <c r="S58" s="129" t="str">
        <f t="shared" si="370"/>
        <v/>
      </c>
      <c r="T58" s="126" t="str">
        <f t="shared" si="371"/>
        <v/>
      </c>
      <c r="U58" s="126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CR (MJCR) (P0)]]))))))))))</f>
        <v>kg</v>
      </c>
      <c r="V58" s="575">
        <f t="shared" ca="1" si="372"/>
        <v>1020</v>
      </c>
      <c r="W58" s="322">
        <f>RZ[[#This Row],[Koeficient odhadu CR '[-'] (P1)]]</f>
        <v>1</v>
      </c>
      <c r="X58" s="440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Row],[Jednotková cena bez DPH '[cena/MJCR'] (P1)]]*RZ[[#This Row],[Koeficient odhadu CR '[-']]]))))))))))</f>
        <v>140</v>
      </c>
      <c r="Y58" s="440">
        <f t="shared" ca="1" si="373"/>
        <v>0</v>
      </c>
      <c r="Z58" s="142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VLOOKUP(IP58,$BR$7:$BS$11,2,FALSE)))))))))))</f>
        <v>CZK</v>
      </c>
      <c r="AA58" s="909">
        <f t="shared" ca="1" si="374"/>
        <v>2040</v>
      </c>
      <c r="AB58" s="910">
        <f ca="1">RZ[[#This Row],[Kumulovaný koeficient v rozpadu (P0)]]</f>
        <v>1</v>
      </c>
      <c r="AC58" s="261"/>
      <c r="AD58" s="796">
        <f ca="1">RZ[[#This Row],[Jednotková cena bez DPH '[cena/MJCR'] s koef. (P0)]]/RZ[[#This Row],[Koeficient odhadu CR '[-']]]*RZ[[#This Row],[Kumulovaný koeficient odhadu CR  '[-']]]</f>
        <v>140</v>
      </c>
      <c r="AE58" s="796">
        <f t="shared" ca="1" si="375"/>
        <v>285600</v>
      </c>
      <c r="AF58" s="796">
        <f ca="1">-IF(ISNUMBER(AA58),RZ[[#This Row],[Celková cena bez DPH (1)]]-RZ[[#This Row],[Jednotková cena bez DPH '[cena/MJCR'] bez koef. (P0)]]*AA58,0)</f>
        <v>0</v>
      </c>
      <c r="AG5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8" s="261"/>
      <c r="AI58" s="796">
        <f t="shared" ca="1" si="376"/>
        <v>5.1851851851851851</v>
      </c>
      <c r="AJ58" s="796">
        <f t="shared" ca="1" si="377"/>
        <v>10577.777777777777</v>
      </c>
      <c r="AK58" s="796">
        <f t="shared" ca="1" si="378"/>
        <v>0</v>
      </c>
      <c r="AL58" s="753">
        <f ca="1">RZ[[#This Row],[Kilogramová cena bez DPH '[cena/kg'] (1)]]/$AK$13</f>
        <v>5.1851851851851851</v>
      </c>
      <c r="AM58" s="261"/>
      <c r="AN58" s="796">
        <f t="shared" ca="1" si="379"/>
        <v>6.7632850241545892</v>
      </c>
      <c r="AO58" s="796">
        <f t="shared" ca="1" si="380"/>
        <v>13797.101449275362</v>
      </c>
      <c r="AP58" s="796">
        <f t="shared" ca="1" si="381"/>
        <v>0</v>
      </c>
      <c r="AQ58" s="753">
        <f ca="1">RZ[[#This Row],[Kilogramová cena bez DPH '[cena/kg'] (1)]]/$AP$13</f>
        <v>6.7632850241545892</v>
      </c>
      <c r="AR58" s="261"/>
      <c r="AS58" s="796">
        <f t="shared" ca="1" si="382"/>
        <v>3.8293216630196936</v>
      </c>
      <c r="AT58" s="796">
        <f t="shared" ca="1" si="383"/>
        <v>7811.8161925601744</v>
      </c>
      <c r="AU58" s="789">
        <f t="shared" ca="1" si="384"/>
        <v>0</v>
      </c>
      <c r="AV58" s="767">
        <f ca="1">RZ[[#This Row],[Kilogramová cena bez DPH '[cena/kg'] (1)]]/$AU$13</f>
        <v>3.8293216630196936</v>
      </c>
      <c r="AW58" s="165"/>
      <c r="AX58" s="911">
        <f t="shared" ca="1" si="385"/>
        <v>2</v>
      </c>
      <c r="AY58" s="111">
        <f t="shared" ca="1" si="386"/>
        <v>2</v>
      </c>
      <c r="AZ58" s="111">
        <f t="shared" ca="1" si="387"/>
        <v>3</v>
      </c>
      <c r="BA58" s="111">
        <f t="shared" ca="1" si="388"/>
        <v>0</v>
      </c>
      <c r="BB58" s="111">
        <f t="shared" ca="1" si="389"/>
        <v>0</v>
      </c>
      <c r="BC58" s="111">
        <f t="shared" ca="1" si="390"/>
        <v>0</v>
      </c>
      <c r="BD58" s="111">
        <f t="shared" ca="1" si="391"/>
        <v>0</v>
      </c>
      <c r="BE58" s="111">
        <f t="shared" ca="1" si="392"/>
        <v>0</v>
      </c>
      <c r="BF58" s="111">
        <f t="shared" ca="1" si="393"/>
        <v>0</v>
      </c>
      <c r="BG58" s="112">
        <f t="shared" ca="1" si="394"/>
        <v>0</v>
      </c>
      <c r="BH58" s="911">
        <f t="shared" si="395"/>
        <v>0</v>
      </c>
      <c r="BI58" s="111">
        <f t="shared" si="396"/>
        <v>0</v>
      </c>
      <c r="BJ58" s="111">
        <f t="shared" si="397"/>
        <v>1</v>
      </c>
      <c r="BK58" s="111">
        <f t="shared" si="398"/>
        <v>0</v>
      </c>
      <c r="BL58" s="111">
        <f t="shared" si="399"/>
        <v>0</v>
      </c>
      <c r="BM58" s="111">
        <f t="shared" si="400"/>
        <v>0</v>
      </c>
      <c r="BN58" s="111">
        <f t="shared" si="401"/>
        <v>0</v>
      </c>
      <c r="BO58" s="111">
        <f t="shared" si="402"/>
        <v>0</v>
      </c>
      <c r="BP58" s="111">
        <f t="shared" si="403"/>
        <v>0</v>
      </c>
      <c r="BQ58" s="112">
        <f t="shared" si="404"/>
        <v>0</v>
      </c>
      <c r="BR58" s="132">
        <f ca="1">IF(OFFSET(AY58,1,0,1,1)&lt;&gt;0,RZ[[#This Row],[Koeficient odhadu HR '[-'] (P1)]]*$BH58*SUMIFS(RZ[Úroveň 2 s koef. (P2)],RZ[0],AX58),RZ[[#This Row],[Koeficient odhadu HR '[-'] (P1)]]*$BH58*$IG58)</f>
        <v>0</v>
      </c>
      <c r="BS58" s="186">
        <f ca="1">IF(OFFSET(AY58,1,0,1,1)&lt;&gt;0,$BH58*SUMIFS(RZ[Úroveň 2 bez koef. (P2)],RZ[0],AX58),$BH58*$IG58)</f>
        <v>0</v>
      </c>
      <c r="BT58" s="138">
        <f ca="1">RZ[[#This Row],[Úroveň 2 s koef. (P2a)]]*RZ[[#This Row],[Počet MJHR (P0)]]</f>
        <v>0</v>
      </c>
      <c r="BU58" s="138">
        <f ca="1">RZ[[#This Row],[Úroveň 2 bez koef. (P2a)]]*RZ[[#This Row],[Počet MJHR (P0)]]</f>
        <v>0</v>
      </c>
      <c r="BV58" s="138">
        <f ca="1">IF(OFFSET(AZ58,1,0,1,1)&lt;&gt;0,RZ[[#This Row],[Koeficient odhadu HR '[-'] (P1)]]*$BI58*SUMIFS(RZ[Úroveň 3 s koef. (P2)],RZ[0],AX58,RZ[Úroveň 2 (P0)],AY58),RZ[[#This Row],[Koeficient odhadu HR '[-'] (P1)]]*$BI58*$IG58)</f>
        <v>0</v>
      </c>
      <c r="BW58" s="138">
        <f ca="1">IF(OFFSET(AZ58,1,0,1,1)&lt;&gt;0,$BI58*SUMIFS(RZ[Úroveň 3 bez koef. (P2)],RZ[0],AX58,RZ[Úroveň 2 (P0)],AY58),$BI58*$IG58)</f>
        <v>0</v>
      </c>
      <c r="BX58" s="132">
        <f ca="1">RZ[[#This Row],[Úroveň 3 s koef. (P2a)]]*RZ[[#This Row],[Počet MJHR (P0)]]</f>
        <v>1020</v>
      </c>
      <c r="BY58" s="132">
        <f ca="1">RZ[Úroveň 3 bez koef. (P2a)]*RZ[[#This Row],[Počet MJHR (P0)]]</f>
        <v>1020</v>
      </c>
      <c r="BZ58" s="132">
        <f ca="1">IF(OFFSET(BA58,1,0,1,1)&lt;&gt;0,RZ[[#This Row],[Koeficient odhadu HR '[-'] (P1)]]*$BJ58*SUMIFS(RZ[Úroveň 4 s koef. (P2)],RZ[0],AX58,RZ[Úroveň 2 (P0)],AY58,RZ[Úroveň 3 (P0)],AZ58),RZ[[#This Row],[Koeficient odhadu HR '[-'] (P1)]]*$BJ58*$IG58)</f>
        <v>510</v>
      </c>
      <c r="CA58" s="132">
        <f ca="1">IF(OFFSET(BA58,1,0,1,1)&lt;&gt;0,$BJ58*SUMIFS(RZ[Úroveň 4 bez koef. (P2)],RZ[0],AX58,RZ[Úroveň 2 (P0)],AY58,RZ[Úroveň 3 (P0)],AZ58),$BJ58*$IG58)</f>
        <v>510</v>
      </c>
      <c r="CB58" s="138">
        <f ca="1">RZ[[#This Row],[Úroveň 4 s koef. (P2a)]]*RZ[[#This Row],[Počet MJHR (P0)]]</f>
        <v>0</v>
      </c>
      <c r="CC58" s="138">
        <f ca="1">RZ[Úroveň 4 bez koef. (P2a)]*RZ[[#This Row],[Počet MJHR (P0)]]</f>
        <v>0</v>
      </c>
      <c r="CD58" s="138">
        <f ca="1">IF(OFFSET(BB58,1,0,1,1)&lt;&gt;0,RZ[[#This Row],[Koeficient odhadu HR '[-'] (P1)]]*$BK58*SUMIFS(RZ[Úroveň 5 s koef. (P2)],RZ[0],AX58,RZ[Úroveň 2 (P0)],AY58,RZ[Úroveň 3 (P0)],AZ58,RZ[Úroveň 4 (P0)],BA58),RZ[[#This Row],[Koeficient odhadu HR '[-'] (P1)]]*$BK58*$IG58)</f>
        <v>0</v>
      </c>
      <c r="CE58" s="138">
        <f ca="1">IF(OFFSET(BB58,1,0,1,1)&lt;&gt;0,$BK58*SUMIFS(RZ[Úroveň 5 bez koef. (P2)],RZ[0],AX58,RZ[Úroveň 2 (P0)],AY58,RZ[Úroveň 3 (P0)],AZ58,RZ[Úroveň 4 (P0)],BA58),$BK58*$IG58)</f>
        <v>0</v>
      </c>
      <c r="CF58" s="132">
        <f ca="1">RZ[[#This Row],[Úroveň 5 s koef. (P2a)]]*RZ[[#This Row],[Počet MJHR (P0)]]</f>
        <v>0</v>
      </c>
      <c r="CG58" s="132">
        <f ca="1">RZ[Úroveň 5 bez koef. (P2a)]*RZ[[#This Row],[Počet MJHR (P0)]]</f>
        <v>0</v>
      </c>
      <c r="CH58" s="132">
        <f ca="1">IF(OFFSET(BC58,1,0,1,1)&lt;&gt;0,RZ[[#This Row],[Koeficient odhadu HR '[-'] (P1)]]*$BL58*SUMIFS(RZ[Úroveň 6 s koef. (P2)],RZ[0],AX58,RZ[Úroveň 2 (P0)],AY58,RZ[Úroveň 3 (P0)],AZ58,RZ[Úroveň 4 (P0)],BA58,RZ[Úroveň 5 (P0)],BB58),RZ[[#This Row],[Koeficient odhadu HR '[-'] (P1)]]*$BL58*$IG58)</f>
        <v>0</v>
      </c>
      <c r="CI58" s="132">
        <f ca="1">IF(OFFSET(BC58,1,0,1,1)&lt;&gt;0,$BL58*SUMIFS(RZ[Úroveň 6 bez koef. (P2)],RZ[0],AX58,RZ[Úroveň 2 (P0)],AY58,RZ[Úroveň 3 (P0)],AZ58,RZ[Úroveň 4 (P0)],BA58,RZ[Úroveň 5 (P0)],BB58),$BL58*$IG58)</f>
        <v>0</v>
      </c>
      <c r="CJ58" s="138">
        <f ca="1">RZ[[#This Row],[Úroveň 6 s koef. (P2a)]]*RZ[[#This Row],[Počet MJHR (P0)]]</f>
        <v>0</v>
      </c>
      <c r="CK58" s="138">
        <f ca="1">RZ[Úroveň 6 bez koef. (P2a)]*RZ[[#This Row],[Počet MJHR (P0)]]</f>
        <v>0</v>
      </c>
      <c r="CL58" s="138">
        <f ca="1">IF(OFFSET(BD58,1,0,1,1)&lt;&gt;0,RZ[[#This Row],[Koeficient odhadu HR '[-'] (P1)]]*$BM58*SUMIFS(RZ[Úroveň 7 s koef. (P2)],RZ[0],AX58,RZ[Úroveň 2 (P0)],AY58,RZ[Úroveň 3 (P0)],AZ58,RZ[Úroveň 4 (P0)],BA58,RZ[Úroveň 5 (P0)],BB58,RZ[Úroveň 6 (P0)],BC58),RZ[[#This Row],[Koeficient odhadu HR '[-'] (P1)]]*$BM58*$IG58)</f>
        <v>0</v>
      </c>
      <c r="CM58" s="138">
        <f ca="1">IF(OFFSET(BD58,1,0,1,1)&lt;&gt;0,$BM58*SUMIFS(RZ[Úroveň 7 bez koef. (P2)],RZ[0],AX58,RZ[Úroveň 2 (P0)],AY58,RZ[Úroveň 3 (P0)],AZ58,RZ[Úroveň 4 (P0)],BA58,RZ[Úroveň 5 (P0)],BB58,RZ[Úroveň 6 (P0)],BC58),$BM58*$IG58)</f>
        <v>0</v>
      </c>
      <c r="CN58" s="132">
        <f ca="1">RZ[[#This Row],[Úroveň 7 s koef. (P2a)]]*RZ[[#This Row],[Počet MJHR (P0)]]</f>
        <v>0</v>
      </c>
      <c r="CO58" s="132">
        <f ca="1">RZ[Úroveň 7 bez koef. (P2a)]*RZ[[#This Row],[Počet MJHR (P0)]]</f>
        <v>0</v>
      </c>
      <c r="CP58" s="132">
        <f ca="1">IF(OFFSET(BE58,1,0,1,1)&lt;&gt;0,RZ[[#This Row],[Koeficient odhadu HR '[-'] (P1)]]*$BN58*SUMIFS(RZ[Úroveň 8 s koef. (P2)],RZ[0],AX58,RZ[Úroveň 2 (P0)],AY58,RZ[Úroveň 3 (P0)],AZ58,RZ[Úroveň 4 (P0)],BA58,RZ[Úroveň 5 (P0)],BB58,RZ[Úroveň 6 (P0)],BC58,RZ[Úroveň 7 (P0)],BD58),RZ[[#This Row],[Koeficient odhadu HR '[-'] (P1)]]*$BN58*$IG58)</f>
        <v>0</v>
      </c>
      <c r="CQ58" s="132">
        <f ca="1">IF(OFFSET(BE58,1,0,1,1)&lt;&gt;0,$BN58*SUMIFS(RZ[Úroveň 8 bez koef. (P2)],RZ[0],AX58,RZ[Úroveň 2 (P0)],AY58,RZ[Úroveň 3 (P0)],AZ58,RZ[Úroveň 4 (P0)],BA58,RZ[Úroveň 5 (P0)],BB58,RZ[Úroveň 6 (P0)],BC58,RZ[Úroveň 7 (P0)],BD58),$BN58*$IG58)</f>
        <v>0</v>
      </c>
      <c r="CR58" s="138">
        <f ca="1">RZ[[#This Row],[Úroveň 8 s koef. (P2a)]]*RZ[[#This Row],[Počet MJHR (P0)]]</f>
        <v>0</v>
      </c>
      <c r="CS58" s="138">
        <f ca="1">RZ[Úroveň 8 bez koef. (P2a)]*RZ[[#This Row],[Počet MJHR (P0)]]</f>
        <v>0</v>
      </c>
      <c r="CT58" s="138">
        <f ca="1">IF(OFFSET(BF58,1,0,1,1)&lt;&gt;0,RZ[[#This Row],[Koeficient odhadu HR '[-'] (P1)]]*$BO58*SUMIFS(RZ[Úroveň 9 s koef. (P2)],RZ[0],AX58,RZ[Úroveň 2 (P0)],AY58,RZ[Úroveň 3 (P0)],AZ58,RZ[Úroveň 4 (P0)],BA58,RZ[Úroveň 5 (P0)],BB58,RZ[Úroveň 6 (P0)],BC58,RZ[Úroveň 7 (P0)],BD58,RZ[Úroveň 8 (P0)],BE58),RZ[[#This Row],[Koeficient odhadu HR '[-'] (P1)]]*$BO58*$IG58)</f>
        <v>0</v>
      </c>
      <c r="CU58" s="138">
        <f ca="1">IF(OFFSET(BF58,1,0,1,1)&lt;&gt;0,$BO58*SUMIFS(RZ[Úroveň 9 bez koef. (P2)],RZ[0],AX58,RZ[Úroveň 2 (P0)],AY58,RZ[Úroveň 3 (P0)],AZ58,RZ[Úroveň 4 (P0)],BA58,RZ[Úroveň 5 (P0)],BB58,RZ[Úroveň 6 (P0)],BC58,RZ[Úroveň 7 (P0)],BD58,RZ[Úroveň 8 (P0)],BE58),$BO58*$IG58)</f>
        <v>0</v>
      </c>
      <c r="CV58" s="132">
        <f ca="1">RZ[[#This Row],[Úroveň 9 s koef. (P2a)]]*RZ[[#This Row],[Počet MJHR (P0)]]</f>
        <v>0</v>
      </c>
      <c r="CW58" s="132">
        <f ca="1">RZ[Úroveň 9 bez koef. (P2a)]*RZ[[#This Row],[Počet MJHR (P0)]]</f>
        <v>0</v>
      </c>
      <c r="CX58" s="132">
        <f ca="1">IF(OFFSET(BG58,1,0,1,1)&lt;&gt;0,RZ[[#This Row],[Koeficient odhadu HR '[-'] (P1)]]*$BP58*SUMIFS(RZ[Úroveň 10 s koef. (P2)],RZ[0],AX58,RZ[Úroveň 2 (P0)],AY58,RZ[Úroveň 3 (P0)],AZ58,RZ[Úroveň 4 (P0)],BA58,RZ[Úroveň 5 (P0)],BB58,RZ[Úroveň 6 (P0)],BC58,RZ[Úroveň 7 (P0)],BD58,RZ[Úroveň 8 (P0)],BE58,RZ[Úroveň 9 (P0)],BF58),RZ[[#This Row],[Koeficient odhadu HR '[-'] (P1)]]*$BP58*$IG58)</f>
        <v>0</v>
      </c>
      <c r="CY58" s="132">
        <f ca="1">IF(OFFSET(BG58,1,0,1,1)&lt;&gt;0,$BP58*SUMIFS(RZ[Úroveň 10 bez koef. (P2)],RZ[0],AX58,RZ[Úroveň 2 (P0)],AY58,RZ[Úroveň 3 (P0)],AZ58,RZ[Úroveň 4 (P0)],BA58,RZ[Úroveň 5 (P0)],BB58,RZ[Úroveň 6 (P0)],BC58,RZ[Úroveň 7 (P0)],BD58,RZ[Úroveň 8 (P0)],BE58,RZ[Úroveň 9 (P0)],BF58),$BP58*$IG58)</f>
        <v>0</v>
      </c>
      <c r="CZ58" s="138">
        <f>RZ[[#This Row],[Úroveň 10 s koef. (P2a)]]*RZ[[#This Row],[Počet MJHR (P0)]]</f>
        <v>0</v>
      </c>
      <c r="DA58" s="138">
        <f>RZ[Úroveň 10 bez koef. (P2a)]*RZ[[#This Row],[Počet MJHR (P0)]]</f>
        <v>0</v>
      </c>
      <c r="DB58" s="138">
        <f>RZ[[#This Row],[Koeficient odhadu HR '[-'] (P1)]]*$BQ58*IG58</f>
        <v>0</v>
      </c>
      <c r="DC58" s="231">
        <f t="shared" si="405"/>
        <v>0</v>
      </c>
      <c r="DD58" s="241">
        <f t="shared" ca="1" si="406"/>
        <v>510</v>
      </c>
      <c r="DE58" s="229">
        <f t="shared" ca="1" si="407"/>
        <v>510</v>
      </c>
      <c r="DF58" s="912">
        <f t="shared" si="408"/>
        <v>0</v>
      </c>
      <c r="DG58" s="913">
        <f t="shared" si="409"/>
        <v>0</v>
      </c>
      <c r="DH58" s="913">
        <f t="shared" si="410"/>
        <v>2</v>
      </c>
      <c r="DI58" s="913">
        <f t="shared" si="411"/>
        <v>0</v>
      </c>
      <c r="DJ58" s="913">
        <f t="shared" si="412"/>
        <v>0</v>
      </c>
      <c r="DK58" s="913">
        <f t="shared" si="413"/>
        <v>0</v>
      </c>
      <c r="DL58" s="913">
        <f t="shared" si="414"/>
        <v>0</v>
      </c>
      <c r="DM58" s="913">
        <f t="shared" si="415"/>
        <v>0</v>
      </c>
      <c r="DN58" s="913">
        <f t="shared" si="416"/>
        <v>0</v>
      </c>
      <c r="DO58" s="913">
        <f t="shared" si="417"/>
        <v>0</v>
      </c>
      <c r="DP58" s="914">
        <f ca="1">SUMIFS(RZ[Úroveň 1 (P4)],RZ[0],AX58)</f>
        <v>1</v>
      </c>
      <c r="DQ58" s="914">
        <f ca="1">SUMIFS(RZ[Úroveň 2 (P4)],RZ[0],AX58,RZ[Úroveň 2 (P0)],AY58)</f>
        <v>2</v>
      </c>
      <c r="DR58" s="914">
        <f ca="1">SUMIFS(RZ[Úroveň 3 (P4)],RZ[0],AX58,RZ[Úroveň 2 (P0)],AY58,RZ[Úroveň 3 (P0)],AZ58)</f>
        <v>2</v>
      </c>
      <c r="DS58" s="914">
        <f ca="1">SUMIFS(RZ[Úroveň 4 (P4)],RZ[0],AX58,RZ[Úroveň 2 (P0)],AY58,RZ[Úroveň 3 (P0)],AZ58,RZ[Úroveň 4 (P0)],BA58)</f>
        <v>0</v>
      </c>
      <c r="DT58" s="914">
        <f ca="1">SUMIFS(RZ[Úroveň 5 (P4)],RZ[0],AX58,RZ[Úroveň 2 (P0)],AY58,RZ[Úroveň 3 (P0)],AZ58,RZ[Úroveň 4 (P0)],BA58,RZ[Úroveň 5 (P0)],BB58)</f>
        <v>0</v>
      </c>
      <c r="DU58" s="914">
        <f ca="1">SUMIFS(RZ[Úroveň 6 (P4)],RZ[0],AX58,RZ[Úroveň 2 (P0)],AY58,RZ[Úroveň 3 (P0)],AZ58,RZ[Úroveň 4 (P0)],BA58,RZ[Úroveň 5 (P0)],BB58,RZ[Úroveň 6 (P0)],BC58)</f>
        <v>0</v>
      </c>
      <c r="DV58" s="914">
        <f ca="1">SUMIFS(RZ[Úroveň 7 (P4)],RZ[0],AX58,RZ[Úroveň 2 (P0)],AY58,RZ[Úroveň 3 (P0)],AZ58,RZ[Úroveň 4 (P0)],BA58,RZ[Úroveň 5 (P0)],BB58,RZ[Úroveň 6 (P0)],BC58,RZ[Úroveň 7 (P0)],BD58)</f>
        <v>0</v>
      </c>
      <c r="DW58" s="914">
        <f ca="1">SUMIFS(RZ[Úroveň 8 (P4)],RZ[0],AX58,RZ[Úroveň 2 (P0)],AY58,RZ[Úroveň 3 (P0)],AZ58,RZ[Úroveň 4 (P0)],BA58,RZ[Úroveň 5 (P0)],BB58,RZ[Úroveň 6 (P0)],BC58,RZ[Úroveň 7 (P0)],BD58,RZ[Úroveň 8 (P0)],BE58)</f>
        <v>0</v>
      </c>
      <c r="DX58" s="914">
        <f ca="1">SUMIFS(RZ[Úroveň 9 (P4)],RZ[0],AX58,RZ[Úroveň 2 (P0)],AY58,RZ[Úroveň 3 (P0)],AZ58,RZ[Úroveň 4 (P0)],BA58,RZ[Úroveň 5 (P0)],BB58,RZ[Úroveň 6 (P0)],BC58,RZ[Úroveň 7 (P0)],BD58,RZ[Úroveň 8 (P0)],BE58,RZ[Úroveň 9 (P0)],BF58)</f>
        <v>0</v>
      </c>
      <c r="DY58" s="914">
        <f ca="1">SUMIFS(RZ[Úroveň 10 (P4)],RZ[0],AX58,RZ[Úroveň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DZ58" s="915">
        <f t="shared" ca="1" si="418"/>
        <v>4</v>
      </c>
      <c r="EA58" s="916">
        <f ca="1">RZ[[#This Row],[Jednotková hmotnost bez koef. '[kg/MJHR'] (P0)]]*RZ[[#This Row],[Počet MJHR v rozpadu (P0)]]</f>
        <v>2040</v>
      </c>
      <c r="EB58" s="917">
        <f ca="1">IF(OFFSET(AY58,1,0,1,1)&lt;&gt;0,RZ[[#This Row],[Koeficient odhadu CR '[-'] (P1)]]*$BH58*SUMIFS(RZ[Úroveň 2 s koef. (P3)],RZ[0],AX58),RZ[[#This Row],[Koeficient odhadu CR '[-'] (P1)]]*$BH58*$IQ58)</f>
        <v>0</v>
      </c>
      <c r="EC58" s="191">
        <f ca="1">IF(OFFSET(AY58,1,0,1,1)&lt;&gt;0,$BH58*SUMIFS(RZ[Úroveň 2 bez koef. (P3)],RZ[0],AX58),$BH58*$IQ58)</f>
        <v>0</v>
      </c>
      <c r="ED58" s="140">
        <f ca="1">RZ[[#This Row],[Úroveň 2 s koef. (P3a)]]*RZ[[#This Row],[Počet MJCR (P0) pro "kg"]]</f>
        <v>0</v>
      </c>
      <c r="EE58" s="140">
        <f ca="1">RZ[Úroveň 2 bez koef. (P3a)]*RZ[[#This Row],[Počet MJCR (P0) pro "kg"]]</f>
        <v>0</v>
      </c>
      <c r="EF58" s="140">
        <f ca="1">IF(OFFSET(AZ58,1,0,1,1)&lt;&gt;0,RZ[[#This Row],[Koeficient odhadu CR '[-'] (P1)]]*$BI58*SUMIFS(RZ[Úroveň 3 s koef. (P3)],RZ[0],AX58,RZ[Úroveň 2 (P0)],AY58),RZ[[#This Row],[Koeficient odhadu CR '[-'] (P1)]]*$BI58*$IQ58)</f>
        <v>0</v>
      </c>
      <c r="EG58" s="140">
        <f ca="1">IF(OFFSET(AZ58,1,0,1,1)&lt;&gt;0,$BI58*SUMIFS(RZ[Úroveň 3 bez koef. (P3)],RZ[0],AX58,RZ[Úroveň 2 (P0)],AY58),$BI58*$IQ58)</f>
        <v>0</v>
      </c>
      <c r="EH58" s="135">
        <f ca="1">RZ[[#This Row],[Úroveň 3 s koef. (P3a)]]*RZ[[#This Row],[Počet MJCR (P0) pro "kg"]]</f>
        <v>142800</v>
      </c>
      <c r="EI58" s="135">
        <f ca="1">RZ[Úroveň 3 bez koef. (P3a)]*RZ[[#This Row],[Počet MJCR (P0) pro "kg"]]</f>
        <v>142800</v>
      </c>
      <c r="EJ58" s="135">
        <f ca="1">IF(OFFSET(BA58,1,0,1,1)&lt;&gt;0,RZ[[#This Row],[Koeficient odhadu CR '[-'] (P1)]]*$BJ58*SUMIFS(RZ[Úroveň 4 s koef. (P3)],RZ[0],AX58,RZ[Úroveň 2 (P0)],AY58,RZ[Úroveň 3 (P0)],AZ58),RZ[[#This Row],[Koeficient odhadu CR '[-'] (P1)]]*$BJ58*$IQ58)</f>
        <v>140</v>
      </c>
      <c r="EK58" s="135">
        <f ca="1">IF(OFFSET(BA58,1,0,1,1)&lt;&gt;0,$BJ58*SUMIFS(RZ[Úroveň 4 bez koef. (P3)],RZ[0],AX58,RZ[Úroveň 2 (P0)],AY58,RZ[Úroveň 3 (P0)],AZ58),$BJ58*$IQ58)</f>
        <v>140</v>
      </c>
      <c r="EL58" s="140">
        <f ca="1">RZ[[#This Row],[Úroveň 4 s koef. (P3a)]]*RZ[[#This Row],[Počet MJCR (P0) pro "kg"]]</f>
        <v>0</v>
      </c>
      <c r="EM58" s="140">
        <f ca="1">RZ[Úroveň 4 bez koef. (P3a)]*RZ[[#This Row],[Počet MJCR (P0) pro "kg"]]</f>
        <v>0</v>
      </c>
      <c r="EN58" s="140">
        <f ca="1">IF(OFFSET(BB58,1,0,1,1)&lt;&gt;0,RZ[[#This Row],[Koeficient odhadu CR '[-'] (P1)]]*$BK58*SUMIFS(RZ[Úroveň 5 s koef. (P3)],RZ[0],AX58,RZ[Úroveň 2 (P0)],AY58,RZ[Úroveň 3 (P0)],AZ58,RZ[Úroveň 4 (P0)],BA58),RZ[[#This Row],[Koeficient odhadu CR '[-'] (P1)]]*$BK58*$IQ58)</f>
        <v>0</v>
      </c>
      <c r="EO58" s="140">
        <f ca="1">IF(OFFSET(BB58,1,0,1,1)&lt;&gt;0,$BK58*SUMIFS(RZ[Úroveň 5 bez koef. (P3)],RZ[0],AX58,RZ[Úroveň 2 (P0)],AY58,RZ[Úroveň 3 (P0)],AZ58,RZ[Úroveň 4 (P0)],BA58),$BK58*$IQ58)</f>
        <v>0</v>
      </c>
      <c r="EP58" s="135">
        <f ca="1">RZ[[#This Row],[Úroveň 5 s koef. (P3a)]]*RZ[[#This Row],[Počet MJCR (P0) pro "kg"]]</f>
        <v>0</v>
      </c>
      <c r="EQ58" s="135">
        <f ca="1">RZ[Úroveň 5 bez koef. (P3a)]*RZ[[#This Row],[Počet MJCR (P0) pro "kg"]]</f>
        <v>0</v>
      </c>
      <c r="ER58" s="135">
        <f ca="1">IF(OFFSET(BC58,1,0,1,1)&lt;&gt;0,RZ[[#This Row],[Koeficient odhadu CR '[-'] (P1)]]*$BL58*SUMIFS(RZ[Úroveň 6 s koef. (P3)],RZ[0],AX58,RZ[Úroveň 2 (P0)],AY58,RZ[Úroveň 3 (P0)],AZ58,RZ[Úroveň 4 (P0)],BA58,RZ[Úroveň 5 (P0)],BB58),RZ[[#This Row],[Koeficient odhadu CR '[-'] (P1)]]*$BL58*$IQ58)</f>
        <v>0</v>
      </c>
      <c r="ES58" s="135">
        <f ca="1">IF(OFFSET(BC58,1,0,1,1)&lt;&gt;0,$BL58*SUMIFS(RZ[Úroveň 6 bez koef. (P3)],RZ[0],AX58,RZ[Úroveň 2 (P0)],AY58,RZ[Úroveň 3 (P0)],AZ58,RZ[Úroveň 4 (P0)],BA58,RZ[Úroveň 5 (P0)],BB58),$BL58*$IQ58)</f>
        <v>0</v>
      </c>
      <c r="ET58" s="140">
        <f ca="1">RZ[[#This Row],[Úroveň 6 s koef. (P3a)]]*RZ[[#This Row],[Počet MJCR (P0) pro "kg"]]</f>
        <v>0</v>
      </c>
      <c r="EU58" s="140">
        <f ca="1">RZ[Úroveň 6 bez koef. (P3a)]*RZ[[#This Row],[Počet MJCR (P0) pro "kg"]]</f>
        <v>0</v>
      </c>
      <c r="EV58" s="140">
        <f ca="1">IF(OFFSET(BD58,1,0,1,1)&lt;&gt;0,RZ[[#This Row],[Koeficient odhadu CR '[-'] (P1)]]*$BM58*SUMIFS(RZ[Úroveň 7 s koef. (P3)],RZ[0],AX58,RZ[Úroveň 2 (P0)],AY58,RZ[Úroveň 3 (P0)],AZ58,RZ[Úroveň 4 (P0)],BA58,RZ[Úroveň 5 (P0)],BB58,RZ[Úroveň 6 (P0)],BC58),RZ[[#This Row],[Koeficient odhadu CR '[-'] (P1)]]*$BM58*$IQ58)</f>
        <v>0</v>
      </c>
      <c r="EW58" s="140">
        <f ca="1">IF(OFFSET(BD58,1,0,1,1)&lt;&gt;0,$BM58*SUMIFS(RZ[Úroveň 7 bez koef. (P3)],RZ[0],AX58,RZ[Úroveň 2 (P0)],AY58,RZ[Úroveň 3 (P0)],AZ58,RZ[Úroveň 4 (P0)],BA58,RZ[Úroveň 5 (P0)],BB58,RZ[Úroveň 6 (P0)],BC58),$BM58*$IQ58)</f>
        <v>0</v>
      </c>
      <c r="EX58" s="135">
        <f ca="1">RZ[[#This Row],[Úroveň 7 s koef. (P3a)]]*RZ[[#This Row],[Počet MJCR (P0) pro "kg"]]</f>
        <v>0</v>
      </c>
      <c r="EY58" s="135">
        <f ca="1">RZ[Úroveň 7 bez koef. (P3a)]*RZ[[#This Row],[Počet MJCR (P0) pro "kg"]]</f>
        <v>0</v>
      </c>
      <c r="EZ58" s="135">
        <f ca="1">IF(OFFSET(BE58,1,0,1,1)&lt;&gt;0,RZ[[#This Row],[Koeficient odhadu CR '[-'] (P1)]]*$BN58*SUMIFS(RZ[Úroveň 8 s koef. (P3)],RZ[0],AX58,RZ[Úroveň 2 (P0)],AY58,RZ[Úroveň 3 (P0)],AZ58,RZ[Úroveň 4 (P0)],BA58,RZ[Úroveň 5 (P0)],BB58,RZ[Úroveň 6 (P0)],BC58,RZ[Úroveň 7 (P0)],BD58),RZ[[#This Row],[Koeficient odhadu CR '[-'] (P1)]]*$BN58*$IQ58)</f>
        <v>0</v>
      </c>
      <c r="FA58" s="135">
        <f ca="1">IF(OFFSET(BE58,1,0,1,1)&lt;&gt;0,$BN58*SUMIFS(RZ[Úroveň 8 bez koef. (P3)],RZ[0],AX58,RZ[Úroveň 2 (P0)],AY58,RZ[Úroveň 3 (P0)],AZ58,RZ[Úroveň 4 (P0)],BA58,RZ[Úroveň 5 (P0)],BB58,RZ[Úroveň 6 (P0)],BC58,RZ[Úroveň 7 (P0)],BD58),$BN58*$IQ58)</f>
        <v>0</v>
      </c>
      <c r="FB58" s="140">
        <f ca="1">RZ[[#This Row],[Úroveň 8 s koef. (P3a)]]*RZ[[#This Row],[Počet MJCR (P0) pro "kg"]]</f>
        <v>0</v>
      </c>
      <c r="FC58" s="140">
        <f ca="1">RZ[Úroveň 8 bez koef. (P3a)]*RZ[[#This Row],[Počet MJCR (P0) pro "kg"]]</f>
        <v>0</v>
      </c>
      <c r="FD58" s="140">
        <f ca="1">IF(OFFSET(BF58,1,0,1,1)&lt;&gt;0,RZ[[#This Row],[Koeficient odhadu CR '[-'] (P1)]]*$BO58*SUMIFS(RZ[Úroveň 9 s koef. (P3)],RZ[0],AX58,RZ[Úroveň 2 (P0)],AY58,RZ[Úroveň 3 (P0)],AZ58,RZ[Úroveň 4 (P0)],BA58,RZ[Úroveň 5 (P0)],BB58,RZ[Úroveň 6 (P0)],BC58,RZ[Úroveň 7 (P0)],BD58,RZ[Úroveň 8 (P0)],BE58),RZ[[#This Row],[Koeficient odhadu CR '[-'] (P1)]]*$BO58*$IQ58)</f>
        <v>0</v>
      </c>
      <c r="FE58" s="140">
        <f ca="1">IF(OFFSET(BF58,1,0,1,1)&lt;&gt;0,$BO58*SUMIFS(RZ[Úroveň 9 bez koef. (P3)],RZ[0],AX58,RZ[Úroveň 2 (P0)],AY58,RZ[Úroveň 3 (P0)],AZ58,RZ[Úroveň 4 (P0)],BA58,RZ[Úroveň 5 (P0)],BB58,RZ[Úroveň 6 (P0)],BC58,RZ[Úroveň 7 (P0)],BD58,RZ[Úroveň 8 (P0)],BE58),$BO58*$IQ58)</f>
        <v>0</v>
      </c>
      <c r="FF58" s="135">
        <f ca="1">RZ[[#This Row],[Úroveň 9 s koef. (P3a)]]*RZ[[#This Row],[Počet MJCR (P0) pro "kg"]]</f>
        <v>0</v>
      </c>
      <c r="FG58" s="135">
        <f ca="1">RZ[Úroveň 9 bez koef. (P3a)]*RZ[[#This Row],[Počet MJCR (P0) pro "kg"]]</f>
        <v>0</v>
      </c>
      <c r="FH58" s="135">
        <f ca="1">IF(OFFSET(BG58,1,0,1,1)&lt;&gt;0,RZ[[#This Row],[Koeficient odhadu CR '[-'] (P1)]]*$BP58*SUMIFS(RZ[Úroveň 10 s koef. (P3)],RZ[0],AX58,RZ[Úroveň 2 (P0)],AY58,RZ[Úroveň 3 (P0)],AZ58,RZ[Úroveň 4 (P0)],BA58,RZ[Úroveň 5 (P0)],BB58,RZ[Úroveň 6 (P0)],BC58,RZ[Úroveň 7 (P0)],BD58,RZ[Úroveň 8 (P0)],BE58,RZ[Úroveň 9 (P0)],BF58),RZ[[#This Row],[Koeficient odhadu CR '[-'] (P1)]]*$BP58*$IQ58)</f>
        <v>0</v>
      </c>
      <c r="FI58" s="135">
        <f ca="1">IF(OFFSET(BG58,1,0,1,1)&lt;&gt;0,$BP58*SUMIFS(RZ[Úroveň 10 bez koef. (P3)],RZ[0],AX58,RZ[Úroveň 2 (P0)],AY58,RZ[Úroveň 3 (P0)],AZ58,RZ[Úroveň 4 (P0)],BA58,RZ[Úroveň 5 (P0)],BB58,RZ[Úroveň 6 (P0)],BC58,RZ[Úroveň 7 (P0)],BD58,RZ[Úroveň 8 (P0)],BE58,RZ[Úroveň 9 (P0)],BF58),$BP58*$IQ58)</f>
        <v>0</v>
      </c>
      <c r="FJ58" s="140">
        <f ca="1">RZ[[#This Row],[Úroveň 10 s koef. (P3a)]]*RZ[[#This Row],[Počet MJCR (P0) pro "kg"]]</f>
        <v>0</v>
      </c>
      <c r="FK58" s="140">
        <f ca="1">RZ[Úroveň 10 bez koef. (P3a)]*RZ[[#This Row],[Počet MJCR (P0) pro "kg"]]</f>
        <v>0</v>
      </c>
      <c r="FL58" s="140">
        <f ca="1">RZ[[#This Row],[Koeficient odhadu CR '[-'] (P1)]]*$BQ58*IQ58</f>
        <v>0</v>
      </c>
      <c r="FM58" s="236">
        <f t="shared" ca="1" si="419"/>
        <v>0</v>
      </c>
      <c r="FN58" s="194">
        <f t="shared" ca="1" si="420"/>
        <v>140</v>
      </c>
      <c r="FO58" s="238">
        <f t="shared" ca="1" si="421"/>
        <v>140</v>
      </c>
      <c r="FP58" s="135">
        <f t="shared" ca="1" si="422"/>
        <v>0</v>
      </c>
      <c r="FQ58" s="135">
        <f t="shared" ca="1" si="423"/>
        <v>0</v>
      </c>
      <c r="FR58" s="135">
        <f t="shared" ca="1" si="424"/>
        <v>1020</v>
      </c>
      <c r="FS58" s="135">
        <f t="shared" ca="1" si="425"/>
        <v>0</v>
      </c>
      <c r="FT58" s="135">
        <f t="shared" ca="1" si="426"/>
        <v>0</v>
      </c>
      <c r="FU58" s="135">
        <f t="shared" ca="1" si="427"/>
        <v>0</v>
      </c>
      <c r="FV58" s="135">
        <f t="shared" ca="1" si="428"/>
        <v>0</v>
      </c>
      <c r="FW58" s="135">
        <f t="shared" ca="1" si="429"/>
        <v>0</v>
      </c>
      <c r="FX58" s="135">
        <f t="shared" ca="1" si="430"/>
        <v>0</v>
      </c>
      <c r="FY58" s="135">
        <f t="shared" ca="1" si="431"/>
        <v>0</v>
      </c>
      <c r="FZ58" s="140">
        <f ca="1">SUMIFS(RZ[Úroveň 1 (P6)],RZ[0],AX58)</f>
        <v>1</v>
      </c>
      <c r="GA58" s="140">
        <f ca="1">SUMIFS(RZ[Úroveň 2 (P6)],RZ[0],AX58,RZ[Úroveň 2 (P0)],AY58)</f>
        <v>2</v>
      </c>
      <c r="GB58" s="140">
        <f ca="1">SUMIFS(RZ[Úroveň 3 (P6)],RZ[0],AX58,RZ[Úroveň 2 (P0)],AY58,RZ[Úroveň 3 (P0)],AZ58)</f>
        <v>1020</v>
      </c>
      <c r="GC58" s="140">
        <f ca="1">SUMIFS(RZ[Úroveň 4 (P6)],RZ[0],AX58,RZ[Úroveň 2 (P0)],AY58,RZ[Úroveň 3 (P0)],AZ58,RZ[Úroveň 4 (P0)],BA58)</f>
        <v>0</v>
      </c>
      <c r="GD58" s="140">
        <f ca="1">SUMIFS(RZ[Úroveň 5 (P6)],RZ[0],AX58,RZ[Úroveň 2 (P0)],AY58,RZ[Úroveň 3 (P0)],AZ58,RZ[Úroveň 4 (P0)],BA58,RZ[Úroveň 5 (P0)],BB58)</f>
        <v>0</v>
      </c>
      <c r="GE58" s="140">
        <f ca="1">SUMIFS(RZ[Úroveň 6 (P6)],RZ[0],AX58,RZ[Úroveň 2 (P0)],AY58,RZ[Úroveň 3 (P0)],AZ58,RZ[Úroveň 4 (P0)],BA58,RZ[Úroveň 5 (P0)],BB58,RZ[Úroveň 6 (P0)],BC58)</f>
        <v>0</v>
      </c>
      <c r="GF58" s="140">
        <f ca="1">SUMIFS(RZ[Úroveň 7 (P6)],RZ[0],AX58,RZ[Úroveň 2 (P0)],AY58,RZ[Úroveň 3 (P0)],AZ58,RZ[Úroveň 4 (P0)],BA58,RZ[Úroveň 5 (P0)],BB58,RZ[Úroveň 6 (P0)],BC58,RZ[Úroveň 7 (P0)],BD58)</f>
        <v>0</v>
      </c>
      <c r="GG58" s="140">
        <f ca="1">SUMIFS(RZ[Úroveň 8 (P6)],RZ[0],AX58,RZ[Úroveň 2 (P0)],AY58,RZ[Úroveň 3 (P0)],AZ58,RZ[Úroveň 4 (P0)],BA58,RZ[Úroveň 5 (P0)],BB58,RZ[Úroveň 6 (P0)],BC58,RZ[Úroveň 7 (P0)],BD58,RZ[Úroveň 8 (P0)],BE58)</f>
        <v>0</v>
      </c>
      <c r="GH58" s="140">
        <f ca="1">SUMIFS(RZ[Úroveň 9 (P6)],RZ[0],AX58,RZ[Úroveň 2 (P0)],AY58,RZ[Úroveň 3 (P0)],AZ58,RZ[Úroveň 4 (P0)],BA58,RZ[Úroveň 5 (P0)],BB58,RZ[Úroveň 6 (P0)],BC58,RZ[Úroveň 7 (P0)],BD58,RZ[Úroveň 8 (P0)],BE58,RZ[Úroveň 9 (P0)],BF58)</f>
        <v>0</v>
      </c>
      <c r="GI58" s="140">
        <f ca="1">SUMIFS(RZ[Úroveň 10 (P6)],RZ[0],AX58,RZ[Úroveň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GJ58" s="918">
        <f t="shared" ca="1" si="432"/>
        <v>2040</v>
      </c>
      <c r="GK58" s="808">
        <f t="shared" si="433"/>
        <v>0</v>
      </c>
      <c r="GL58" s="808">
        <f t="shared" si="434"/>
        <v>0</v>
      </c>
      <c r="GM58" s="808">
        <f t="shared" si="435"/>
        <v>1</v>
      </c>
      <c r="GN58" s="808">
        <f t="shared" si="436"/>
        <v>0</v>
      </c>
      <c r="GO58" s="808">
        <f t="shared" si="437"/>
        <v>0</v>
      </c>
      <c r="GP58" s="808">
        <f t="shared" si="438"/>
        <v>0</v>
      </c>
      <c r="GQ58" s="808">
        <f t="shared" si="439"/>
        <v>0</v>
      </c>
      <c r="GR58" s="808">
        <f t="shared" si="440"/>
        <v>0</v>
      </c>
      <c r="GS58" s="808">
        <f t="shared" si="441"/>
        <v>0</v>
      </c>
      <c r="GT58" s="808">
        <f t="shared" si="442"/>
        <v>0</v>
      </c>
      <c r="GU58" s="809">
        <f ca="1">SUMIFS(RZ[Sloupec1],RZ[0],AX58)</f>
        <v>1</v>
      </c>
      <c r="GV58" s="809">
        <f ca="1">SUMIFS(RZ[Sloupec2],RZ[0],AX58,RZ[Úroveň 2 (P0)],AY58)</f>
        <v>1</v>
      </c>
      <c r="GW58" s="809">
        <f ca="1">SUMIFS(RZ[Sloupec3],RZ[0],AX58,RZ[Úroveň 2 (P0)],AY58,RZ[Úroveň 3 (P0)],AZ58)</f>
        <v>1</v>
      </c>
      <c r="GX58" s="809">
        <f ca="1">SUMIFS(RZ[Sloupec4],RZ[0],AX58,RZ[Úroveň 2 (P0)],AY58,RZ[Úroveň 3 (P0)],AZ58,RZ[Úroveň 4 (P0)],BA58)</f>
        <v>0</v>
      </c>
      <c r="GY58" s="809">
        <f ca="1">SUMIFS(RZ[Sloupec5],RZ[0],AX58,RZ[Úroveň 2 (P0)],AY58,RZ[Úroveň 3 (P0)],AZ58,RZ[Úroveň 4 (P0)],BA58,RZ[Úroveň 5 (P0)],BB58)</f>
        <v>0</v>
      </c>
      <c r="GZ58" s="809">
        <f ca="1">SUMIFS(RZ[Sloupec6],RZ[0],AX58,RZ[Úroveň 2 (P0)],AY58,RZ[Úroveň 3 (P0)],AZ58,RZ[Úroveň 4 (P0)],BA58,RZ[Úroveň 5 (P0)],BB58,RZ[Úroveň 6 (P0)],BC58)</f>
        <v>0</v>
      </c>
      <c r="HA58" s="809">
        <f ca="1">SUMIFS(RZ[Sloupec62],RZ[0],AX58,RZ[Úroveň 2 (P0)],AY58,RZ[Úroveň 3 (P0)],AZ58,RZ[Úroveň 4 (P0)],BA58,RZ[Úroveň 5 (P0)],BB58,RZ[Úroveň 6 (P0)],BC58,RZ[Úroveň 7 (P0)],BD58)</f>
        <v>0</v>
      </c>
      <c r="HB58" s="809">
        <f ca="1">SUMIFS(RZ[Sloupec63],RZ[0],AX58,RZ[Úroveň 2 (P0)],AY58,RZ[Úroveň 3 (P0)],AZ58,RZ[Úroveň 4 (P0)],BA58,RZ[Úroveň 5 (P0)],BB58,RZ[Úroveň 6 (P0)],BC58,RZ[Úroveň 7 (P0)],BD58,RZ[Úroveň 8 (P0)],BE58)</f>
        <v>0</v>
      </c>
      <c r="HC58" s="809">
        <f ca="1">SUMIFS(RZ[Sloupec64],RZ[0],AX58,RZ[Úroveň 2 (P0)],AY58,RZ[Úroveň 3 (P0)],AZ58,RZ[Úroveň 4 (P0)],BA58,RZ[Úroveň 5 (P0)],BB58,RZ[Úroveň 6 (P0)],BC58,RZ[Úroveň 7 (P0)],BD58,RZ[Úroveň 8 (P0)],BE58,RZ[Úroveň 9 (P0)],BF58)</f>
        <v>0</v>
      </c>
      <c r="HD58" s="809">
        <f ca="1">SUMIFS(RZ[Sloupec65],RZ[0],AX58,RZ[Úroveň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HE58" s="919">
        <f t="shared" ca="1" si="443"/>
        <v>1</v>
      </c>
      <c r="HF58" s="920" t="str">
        <f t="shared" si="444"/>
        <v/>
      </c>
      <c r="HG58" s="94" t="str">
        <f t="shared" si="445"/>
        <v/>
      </c>
      <c r="HH58" s="95" t="str">
        <f t="shared" si="446"/>
        <v/>
      </c>
      <c r="HI58" s="95" t="str">
        <f t="shared" si="447"/>
        <v>Nosník</v>
      </c>
      <c r="HJ58" s="96" t="str">
        <f t="shared" si="448"/>
        <v/>
      </c>
      <c r="HK58" s="96" t="str">
        <f t="shared" si="449"/>
        <v/>
      </c>
      <c r="HL58" s="96" t="str">
        <f t="shared" si="450"/>
        <v/>
      </c>
      <c r="HM58" s="96" t="str">
        <f t="shared" si="451"/>
        <v/>
      </c>
      <c r="HN58" s="96" t="str">
        <f t="shared" si="452"/>
        <v/>
      </c>
      <c r="HO58" s="96" t="str">
        <f t="shared" si="453"/>
        <v/>
      </c>
      <c r="HP58" s="96" t="str">
        <f t="shared" si="454"/>
        <v/>
      </c>
      <c r="HQ58" s="145" t="str">
        <f t="shared" si="455"/>
        <v>OKS1</v>
      </c>
      <c r="HR58" s="921" t="str">
        <f t="shared" si="456"/>
        <v/>
      </c>
      <c r="HS58" s="173">
        <f t="shared" si="457"/>
        <v>0</v>
      </c>
      <c r="HT58" s="100">
        <f t="shared" si="458"/>
        <v>0</v>
      </c>
      <c r="HU58" s="100">
        <f t="shared" si="459"/>
        <v>0</v>
      </c>
      <c r="HV58" s="908">
        <f t="shared" si="460"/>
        <v>0</v>
      </c>
      <c r="HW58" s="922">
        <f t="shared" si="461"/>
        <v>0</v>
      </c>
      <c r="HX58" s="224">
        <f t="shared" si="462"/>
        <v>0</v>
      </c>
      <c r="HY58" s="263" t="str">
        <f t="shared" si="463"/>
        <v>S</v>
      </c>
      <c r="HZ58" s="263">
        <f t="shared" si="464"/>
        <v>0</v>
      </c>
      <c r="IA58" s="150">
        <f t="shared" si="465"/>
        <v>1</v>
      </c>
      <c r="IB58" s="319">
        <f t="shared" si="466"/>
        <v>0</v>
      </c>
      <c r="IC58" s="923">
        <f t="shared" si="467"/>
        <v>0</v>
      </c>
      <c r="ID58" s="924" t="str">
        <f t="shared" ca="1" si="468"/>
        <v>OK</v>
      </c>
      <c r="IE58" s="201" t="str">
        <f t="shared" si="469"/>
        <v>ks</v>
      </c>
      <c r="IF58" s="145">
        <f t="shared" si="470"/>
        <v>2</v>
      </c>
      <c r="IG58" s="216">
        <f t="shared" si="471"/>
        <v>510</v>
      </c>
      <c r="IH58" s="217">
        <f t="shared" si="472"/>
        <v>1</v>
      </c>
      <c r="II58" s="224" t="str">
        <f ca="1">IF(RZ[[#This Row],[Rozhodný sloupec indikativní ceny]]=1,"kg",IF($IW58=$JL$15,IF(JX58=0,JO58,JX58),IF($IW58=$KE$15,IF(KQ58=0,KH58,KQ58),IF($IW58=$KX$15,IF(LJ58=0,LA58,LJ58),IF($IW58=$LQ$15,IF(MC58=0,LT58,MC58),IF($IW58=$MJ$15,IF(NQ58=0,NH58,NQ58),0))))))</f>
        <v>kg</v>
      </c>
      <c r="IJ58" s="224">
        <f ca="1">IF((BH58+OFFSET(BH58,1,1,1,1))=2,RZ[[#This Row],[Počet MJHR (P0)]],IF((BI58+OFFSET(BI58,1,1,1,1))=2,RZ[[#This Row],[Počet MJHR (P0)]],IF((BJ58+OFFSET(BJ58,1,1,1,1))=2,RZ[[#This Row],[Počet MJHR (P0)]],IF((BK58+OFFSET(BK58,1,1,1,1))=2,RZ[[#This Row],[Počet MJHR (P0)]],IF((BL58+OFFSET(BL58,1,1,1,1))=2,RZ[[#This Row],[Počet MJHR (P0)]],IF((BM58+OFFSET(BM58,1,1,1,1))=2,RZ[[#This Row],[Počet MJHR (P0)]],IF((BN58+OFFSET(BN58,1,1,1,1))=2,RZ[[#This Row],[Počet MJHR (P0)]],IF((BO58+OFFSET(BO58,1,1,1,1))=2,RZ[[#This Row],[Počet MJHR (P0)]],IF((BP58+OFFSET(BP58,1,1,1,1))=2,RZ[[#This Row],[Počet MJHR (P0)]],IF((BQ58+OFFSET(BQ58,1,1,1,1))=2,RZ[[#This Row],[Počet MJHR (P0)]],IF(RZ[[#This Row],[Měrná jednotka CR (MJCR) (P0)]]=RZ[[#This Row],[Měrná jednotka HR '[MJHR'] (P0)]],RZ[[#This Row],[Počet MJHR (P0)]],IF($IW58=$JL$15,JY58,IF($IW58=$KE$15,KR58,IF($IW58=$KX$15,LK58,IF($IW58=$LQ$15,MD58,IF($IW58=$MJ$15,NR58,0))))))))))))))))</f>
        <v>0</v>
      </c>
      <c r="IK5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58" s="145">
        <f ca="1">IF(AND(RZ[[#This Row],[Jednotková cena bez DPH '[cena/MJCR'] (P0)]]=0,RZ[[#This Row],[Indikativní jednotková cena '[CZK/kg'] (P1)]]&lt;&gt;0),1,0)</f>
        <v>1</v>
      </c>
      <c r="IM58" s="217">
        <f ca="1">VLOOKUP(RZ[[#This Row],[Kód položek]],INDIKAT_CENA,2,FALSE)</f>
        <v>140</v>
      </c>
      <c r="IN58" s="222">
        <f ca="1">IF(RZ[[#This Row],[Rozhodný sloupec indikativní ceny]]=1,RZ[[#This Row],[Indikativní jednotková cena '[CZK/kg'] (P1)]],RZ[[#This Row],[Jednotková cena bez DPH '[cena/MJCR'] (P0)]])</f>
        <v>140</v>
      </c>
      <c r="IO58" s="222">
        <f t="shared" si="473"/>
        <v>1</v>
      </c>
      <c r="IP58" s="224">
        <f ca="1">IF(RZ[[#This Row],[Rozhodný sloupec indikativní ceny]]=1,1,IF($IW58=$JL$15,KA58,IF($IW58=$KE$15,KT58,IF($IW58=$KX$15,LM58,IF($IW58=$LQ$15,MF58,IF($IW58=$MJ$15,NT58,0))))))</f>
        <v>1</v>
      </c>
      <c r="IQ58" s="225">
        <f ca="1">IF(RZ[[#This Row],[Jednotková cena bez DPH '[cena/MJCR'] (P1)]]="",0,IF(IP58=0,0,(RZ[[#This Row],[Jednotková cena bez DPH '[cena/MJCR'] (P1)]]*VLOOKUP(IP58,$BR$7:$BT$10,3))))</f>
        <v>140</v>
      </c>
      <c r="IR58" s="737"/>
      <c r="IS58" s="627">
        <f>IF(HY58=0,"",VLOOKUP(RZ[[#This Row],[Stav Projekce (P0)]],Vstupy!$E$11:'Vstupy'!$E$11:$H$17,4,FALSE))</f>
        <v>100</v>
      </c>
      <c r="IT58" s="925" t="str">
        <f>IF(RZ[[#This Row],[Stav Projekce (P0)]]=0,"",RZ[[#This Row],[Stav Projekce (P0)]])</f>
        <v>S</v>
      </c>
      <c r="IU58" s="925" t="str">
        <f>IF(RZ[[#This Row],[Stav Nákup (P0)]]=0,"",RZ[[#This Row],[Stav Nákup (P0)]])</f>
        <v/>
      </c>
      <c r="IV58" s="926" t="str">
        <f t="shared" si="474"/>
        <v/>
      </c>
      <c r="IW58" s="641">
        <v>1</v>
      </c>
      <c r="IX58" s="630"/>
      <c r="IY58" s="264"/>
      <c r="IZ58" s="648"/>
      <c r="JA58" s="100"/>
      <c r="JB58" s="100" t="s">
        <v>786</v>
      </c>
      <c r="JC58" s="100"/>
      <c r="JD58" s="100"/>
      <c r="JE58" s="100"/>
      <c r="JF58" s="100"/>
      <c r="JG58" s="100"/>
      <c r="JH58" s="100"/>
      <c r="JI58" s="100"/>
      <c r="JJ58" s="145" t="s">
        <v>764</v>
      </c>
      <c r="JK58" s="529"/>
      <c r="JL58" s="286"/>
      <c r="JM58" s="100"/>
      <c r="JN58" s="100"/>
      <c r="JO58" s="145" t="s">
        <v>35</v>
      </c>
      <c r="JP58" s="117">
        <v>2</v>
      </c>
      <c r="JQ58" s="117">
        <v>510</v>
      </c>
      <c r="JR58" s="148">
        <v>1</v>
      </c>
      <c r="JS58" s="145" t="s">
        <v>602</v>
      </c>
      <c r="JT58" s="631"/>
      <c r="JU58" s="148"/>
      <c r="JV58" s="154"/>
      <c r="JW58" s="145"/>
      <c r="JX58" s="210"/>
      <c r="JY58" s="117"/>
      <c r="JZ58" s="662"/>
      <c r="KA58" s="145"/>
      <c r="KB58" s="148"/>
      <c r="KC58" s="148"/>
      <c r="KD58" s="644"/>
      <c r="KE58" s="286"/>
      <c r="KF58" s="100"/>
      <c r="KG58" s="100"/>
      <c r="KH58" s="210"/>
      <c r="KI58" s="117"/>
      <c r="KJ58" s="117"/>
      <c r="KK58" s="148"/>
      <c r="KL58" s="145"/>
      <c r="KM58" s="632"/>
      <c r="KN58" s="148"/>
      <c r="KO58" s="154"/>
      <c r="KP58" s="154"/>
      <c r="KQ58" s="210"/>
      <c r="KR58" s="117"/>
      <c r="KS58" s="211"/>
      <c r="KT58" s="145"/>
      <c r="KU58" s="148"/>
      <c r="KV58" s="148"/>
      <c r="KW58" s="265"/>
      <c r="KX58" s="286"/>
      <c r="KY58" s="100"/>
      <c r="KZ58" s="100"/>
      <c r="LA58" s="210"/>
      <c r="LB58" s="117"/>
      <c r="LC58" s="117"/>
      <c r="LD58" s="148"/>
      <c r="LE58" s="145"/>
      <c r="LF58" s="632"/>
      <c r="LG58" s="148"/>
      <c r="LH58" s="154"/>
      <c r="LI58" s="154"/>
      <c r="LJ58" s="154"/>
      <c r="LK58" s="117"/>
      <c r="LL58" s="211"/>
      <c r="LM58" s="210"/>
      <c r="LN58" s="148"/>
      <c r="LO58" s="148"/>
      <c r="LP58" s="265"/>
      <c r="LQ58" s="286"/>
      <c r="LR58" s="100"/>
      <c r="LS58" s="100"/>
      <c r="LT58" s="210"/>
      <c r="LU58" s="117"/>
      <c r="LV58" s="117"/>
      <c r="LW58" s="148"/>
      <c r="LX58" s="145"/>
      <c r="LY58" s="632"/>
      <c r="LZ58" s="148"/>
      <c r="MA58" s="154"/>
      <c r="MB58" s="154"/>
      <c r="MC58" s="145"/>
      <c r="MD58" s="117"/>
      <c r="ME58" s="211"/>
      <c r="MF58" s="210"/>
      <c r="MG58" s="148"/>
      <c r="MH58" s="148"/>
      <c r="MI58" s="265"/>
      <c r="MJ58" s="647"/>
      <c r="MK58" s="264"/>
      <c r="ML58" s="153"/>
      <c r="MM58" s="153"/>
      <c r="MN58" s="153"/>
      <c r="MO58" s="153"/>
      <c r="MP58" s="153"/>
      <c r="MQ58" s="153"/>
      <c r="MR58" s="153"/>
      <c r="MS58" s="99"/>
      <c r="MT58" s="99"/>
      <c r="MU58" s="99"/>
      <c r="MV58" s="99"/>
      <c r="MW58" s="99"/>
      <c r="MX58" s="99"/>
      <c r="MY58" s="153"/>
      <c r="MZ58" s="153"/>
      <c r="NA58" s="153"/>
      <c r="NB58" s="153"/>
      <c r="NC58" s="153"/>
      <c r="ND58" s="153"/>
      <c r="NE58" s="148"/>
      <c r="NF58" s="153"/>
      <c r="NG58" s="153"/>
      <c r="NH58" s="330" t="str">
        <f t="shared" si="475"/>
        <v>ks</v>
      </c>
      <c r="NI58" s="797">
        <f>RZ[[#This Row],[Počet ks (K)]]</f>
        <v>0</v>
      </c>
      <c r="NJ58" s="798">
        <f>RZ[[#This Row],[Hmotnost '[kg/ks'] (K)]]</f>
        <v>0</v>
      </c>
      <c r="NK58" s="148"/>
      <c r="NL58" s="145"/>
      <c r="NM58" s="632"/>
      <c r="NN58" s="148"/>
      <c r="NO58" s="154"/>
      <c r="NP58" s="153"/>
      <c r="NQ58" s="153"/>
      <c r="NR58" s="210"/>
      <c r="NS58" s="148"/>
      <c r="NT58" s="210"/>
      <c r="NU58" s="148"/>
      <c r="NV58" s="148"/>
      <c r="NW58" s="175"/>
    </row>
    <row r="59" spans="2:387" ht="15.95" customHeight="1" x14ac:dyDescent="0.35">
      <c r="B59" s="118" t="str">
        <f t="shared" si="359"/>
        <v/>
      </c>
      <c r="C5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9" s="262" t="str">
        <f t="shared" si="360"/>
        <v xml:space="preserve">    Víko</v>
      </c>
      <c r="E59" s="120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Row],[Kód položek (P2)]]))))))))))</f>
        <v>STO2</v>
      </c>
      <c r="F59" s="791" t="str">
        <f t="shared" si="361"/>
        <v>N/A</v>
      </c>
      <c r="G59" s="792" t="str">
        <f t="shared" si="362"/>
        <v/>
      </c>
      <c r="H59" s="262" t="str">
        <f t="shared" si="363"/>
        <v/>
      </c>
      <c r="I59" s="123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HR '[MJHR'] (P0)]]))))))))))</f>
        <v>ks</v>
      </c>
      <c r="J59" s="123">
        <f t="shared" si="364"/>
        <v>4</v>
      </c>
      <c r="K59" s="793">
        <f>RZ[[#This Row],[Koeficient odhadu HR '[-'] (P1)]]</f>
        <v>1</v>
      </c>
      <c r="L59" s="124">
        <f ca="1">RZ[[#This Row],[Jednotková hmotnost s koef. '[kg/MJHR'] (P0)]]</f>
        <v>6.6</v>
      </c>
      <c r="M59" s="794">
        <f t="shared" ca="1" si="365"/>
        <v>0</v>
      </c>
      <c r="N59" s="125">
        <f t="shared" ca="1" si="366"/>
        <v>26.4</v>
      </c>
      <c r="O59" s="125">
        <f t="shared" ca="1" si="367"/>
        <v>0</v>
      </c>
      <c r="P59" s="126" t="str">
        <f t="shared" si="368"/>
        <v/>
      </c>
      <c r="Q59" s="795">
        <f ca="1">RZ[[#This Row],[Počet MJHR v rozpadu (P0)]]</f>
        <v>8</v>
      </c>
      <c r="R59" s="439" t="str">
        <f t="shared" si="369"/>
        <v/>
      </c>
      <c r="S59" s="129" t="str">
        <f t="shared" si="370"/>
        <v/>
      </c>
      <c r="T59" s="126" t="str">
        <f t="shared" si="371"/>
        <v/>
      </c>
      <c r="U59" s="126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CR (MJCR) (P0)]]))))))))))</f>
        <v>kg</v>
      </c>
      <c r="V59" s="575">
        <f t="shared" ca="1" si="372"/>
        <v>26.4</v>
      </c>
      <c r="W59" s="322">
        <f>RZ[[#This Row],[Koeficient odhadu CR '[-'] (P1)]]</f>
        <v>1</v>
      </c>
      <c r="X59" s="440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Row],[Jednotková cena bez DPH '[cena/MJCR'] (P1)]]*RZ[[#This Row],[Koeficient odhadu CR '[-']]]))))))))))</f>
        <v>115</v>
      </c>
      <c r="Y59" s="440">
        <f t="shared" ca="1" si="373"/>
        <v>0</v>
      </c>
      <c r="Z59" s="142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VLOOKUP(IP59,$BR$7:$BS$11,2,FALSE)))))))))))</f>
        <v>CZK</v>
      </c>
      <c r="AA59" s="909">
        <f t="shared" ca="1" si="374"/>
        <v>52.8</v>
      </c>
      <c r="AB59" s="910">
        <f ca="1">RZ[[#This Row],[Kumulovaný koeficient v rozpadu (P0)]]</f>
        <v>1</v>
      </c>
      <c r="AC59" s="261"/>
      <c r="AD59" s="796">
        <f ca="1">RZ[[#This Row],[Jednotková cena bez DPH '[cena/MJCR'] s koef. (P0)]]/RZ[[#This Row],[Koeficient odhadu CR '[-']]]*RZ[[#This Row],[Kumulovaný koeficient odhadu CR  '[-']]]</f>
        <v>115</v>
      </c>
      <c r="AE59" s="796">
        <f t="shared" ca="1" si="375"/>
        <v>6072</v>
      </c>
      <c r="AF59" s="796">
        <f ca="1">-IF(ISNUMBER(AA59),RZ[[#This Row],[Celková cena bez DPH (1)]]-RZ[[#This Row],[Jednotková cena bez DPH '[cena/MJCR'] bez koef. (P0)]]*AA59,0)</f>
        <v>0</v>
      </c>
      <c r="AG5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59" s="261"/>
      <c r="AI59" s="796">
        <f t="shared" ca="1" si="376"/>
        <v>4.2592592592592595</v>
      </c>
      <c r="AJ59" s="796">
        <f t="shared" ca="1" si="377"/>
        <v>224.88888888888889</v>
      </c>
      <c r="AK59" s="796">
        <f t="shared" ca="1" si="378"/>
        <v>0</v>
      </c>
      <c r="AL59" s="753">
        <f ca="1">RZ[[#This Row],[Kilogramová cena bez DPH '[cena/kg'] (1)]]/$AK$13</f>
        <v>4.2592592592592595</v>
      </c>
      <c r="AM59" s="261"/>
      <c r="AN59" s="796">
        <f t="shared" ca="1" si="379"/>
        <v>5.5555555555555554</v>
      </c>
      <c r="AO59" s="796">
        <f t="shared" ca="1" si="380"/>
        <v>293.33333333333337</v>
      </c>
      <c r="AP59" s="796">
        <f t="shared" ca="1" si="381"/>
        <v>0</v>
      </c>
      <c r="AQ59" s="753">
        <f ca="1">RZ[[#This Row],[Kilogramová cena bez DPH '[cena/kg'] (1)]]/$AP$13</f>
        <v>5.5555555555555554</v>
      </c>
      <c r="AR59" s="261"/>
      <c r="AS59" s="796">
        <f t="shared" ca="1" si="382"/>
        <v>3.1455142231947484</v>
      </c>
      <c r="AT59" s="796">
        <f t="shared" ca="1" si="383"/>
        <v>166.0831509846827</v>
      </c>
      <c r="AU59" s="789">
        <f t="shared" ca="1" si="384"/>
        <v>0</v>
      </c>
      <c r="AV59" s="767">
        <f ca="1">RZ[[#This Row],[Kilogramová cena bez DPH '[cena/kg'] (1)]]/$AU$13</f>
        <v>3.1455142231947484</v>
      </c>
      <c r="AW59" s="165"/>
      <c r="AX59" s="911">
        <f t="shared" ca="1" si="385"/>
        <v>2</v>
      </c>
      <c r="AY59" s="111">
        <f t="shared" ca="1" si="386"/>
        <v>2</v>
      </c>
      <c r="AZ59" s="111">
        <f t="shared" ca="1" si="387"/>
        <v>4</v>
      </c>
      <c r="BA59" s="111">
        <f t="shared" ca="1" si="388"/>
        <v>0</v>
      </c>
      <c r="BB59" s="111">
        <f t="shared" ca="1" si="389"/>
        <v>0</v>
      </c>
      <c r="BC59" s="111">
        <f t="shared" ca="1" si="390"/>
        <v>0</v>
      </c>
      <c r="BD59" s="111">
        <f t="shared" ca="1" si="391"/>
        <v>0</v>
      </c>
      <c r="BE59" s="111">
        <f t="shared" ca="1" si="392"/>
        <v>0</v>
      </c>
      <c r="BF59" s="111">
        <f t="shared" ca="1" si="393"/>
        <v>0</v>
      </c>
      <c r="BG59" s="112">
        <f t="shared" ca="1" si="394"/>
        <v>0</v>
      </c>
      <c r="BH59" s="911">
        <f t="shared" si="395"/>
        <v>0</v>
      </c>
      <c r="BI59" s="111">
        <f t="shared" si="396"/>
        <v>0</v>
      </c>
      <c r="BJ59" s="111">
        <f t="shared" si="397"/>
        <v>1</v>
      </c>
      <c r="BK59" s="111">
        <f t="shared" si="398"/>
        <v>0</v>
      </c>
      <c r="BL59" s="111">
        <f t="shared" si="399"/>
        <v>0</v>
      </c>
      <c r="BM59" s="111">
        <f t="shared" si="400"/>
        <v>0</v>
      </c>
      <c r="BN59" s="111">
        <f t="shared" si="401"/>
        <v>0</v>
      </c>
      <c r="BO59" s="111">
        <f t="shared" si="402"/>
        <v>0</v>
      </c>
      <c r="BP59" s="111">
        <f t="shared" si="403"/>
        <v>0</v>
      </c>
      <c r="BQ59" s="112">
        <f t="shared" si="404"/>
        <v>0</v>
      </c>
      <c r="BR59" s="132">
        <f ca="1">IF(OFFSET(AY59,1,0,1,1)&lt;&gt;0,RZ[[#This Row],[Koeficient odhadu HR '[-'] (P1)]]*$BH59*SUMIFS(RZ[Úroveň 2 s koef. (P2)],RZ[0],AX59),RZ[[#This Row],[Koeficient odhadu HR '[-'] (P1)]]*$BH59*$IG59)</f>
        <v>0</v>
      </c>
      <c r="BS59" s="186">
        <f ca="1">IF(OFFSET(AY59,1,0,1,1)&lt;&gt;0,$BH59*SUMIFS(RZ[Úroveň 2 bez koef. (P2)],RZ[0],AX59),$BH59*$IG59)</f>
        <v>0</v>
      </c>
      <c r="BT59" s="138">
        <f ca="1">RZ[[#This Row],[Úroveň 2 s koef. (P2a)]]*RZ[[#This Row],[Počet MJHR (P0)]]</f>
        <v>0</v>
      </c>
      <c r="BU59" s="138">
        <f ca="1">RZ[[#This Row],[Úroveň 2 bez koef. (P2a)]]*RZ[[#This Row],[Počet MJHR (P0)]]</f>
        <v>0</v>
      </c>
      <c r="BV59" s="138">
        <f ca="1">IF(OFFSET(AZ59,1,0,1,1)&lt;&gt;0,RZ[[#This Row],[Koeficient odhadu HR '[-'] (P1)]]*$BI59*SUMIFS(RZ[Úroveň 3 s koef. (P2)],RZ[0],AX59,RZ[Úroveň 2 (P0)],AY59),RZ[[#This Row],[Koeficient odhadu HR '[-'] (P1)]]*$BI59*$IG59)</f>
        <v>0</v>
      </c>
      <c r="BW59" s="138">
        <f ca="1">IF(OFFSET(AZ59,1,0,1,1)&lt;&gt;0,$BI59*SUMIFS(RZ[Úroveň 3 bez koef. (P2)],RZ[0],AX59,RZ[Úroveň 2 (P0)],AY59),$BI59*$IG59)</f>
        <v>0</v>
      </c>
      <c r="BX59" s="132">
        <f ca="1">RZ[[#This Row],[Úroveň 3 s koef. (P2a)]]*RZ[[#This Row],[Počet MJHR (P0)]]</f>
        <v>26.4</v>
      </c>
      <c r="BY59" s="132">
        <f ca="1">RZ[Úroveň 3 bez koef. (P2a)]*RZ[[#This Row],[Počet MJHR (P0)]]</f>
        <v>26.4</v>
      </c>
      <c r="BZ59" s="132">
        <f ca="1">IF(OFFSET(BA59,1,0,1,1)&lt;&gt;0,RZ[[#This Row],[Koeficient odhadu HR '[-'] (P1)]]*$BJ59*SUMIFS(RZ[Úroveň 4 s koef. (P2)],RZ[0],AX59,RZ[Úroveň 2 (P0)],AY59,RZ[Úroveň 3 (P0)],AZ59),RZ[[#This Row],[Koeficient odhadu HR '[-'] (P1)]]*$BJ59*$IG59)</f>
        <v>6.6</v>
      </c>
      <c r="CA59" s="132">
        <f ca="1">IF(OFFSET(BA59,1,0,1,1)&lt;&gt;0,$BJ59*SUMIFS(RZ[Úroveň 4 bez koef. (P2)],RZ[0],AX59,RZ[Úroveň 2 (P0)],AY59,RZ[Úroveň 3 (P0)],AZ59),$BJ59*$IG59)</f>
        <v>6.6</v>
      </c>
      <c r="CB59" s="138">
        <f ca="1">RZ[[#This Row],[Úroveň 4 s koef. (P2a)]]*RZ[[#This Row],[Počet MJHR (P0)]]</f>
        <v>0</v>
      </c>
      <c r="CC59" s="138">
        <f ca="1">RZ[Úroveň 4 bez koef. (P2a)]*RZ[[#This Row],[Počet MJHR (P0)]]</f>
        <v>0</v>
      </c>
      <c r="CD59" s="138">
        <f ca="1">IF(OFFSET(BB59,1,0,1,1)&lt;&gt;0,RZ[[#This Row],[Koeficient odhadu HR '[-'] (P1)]]*$BK59*SUMIFS(RZ[Úroveň 5 s koef. (P2)],RZ[0],AX59,RZ[Úroveň 2 (P0)],AY59,RZ[Úroveň 3 (P0)],AZ59,RZ[Úroveň 4 (P0)],BA59),RZ[[#This Row],[Koeficient odhadu HR '[-'] (P1)]]*$BK59*$IG59)</f>
        <v>0</v>
      </c>
      <c r="CE59" s="138">
        <f ca="1">IF(OFFSET(BB59,1,0,1,1)&lt;&gt;0,$BK59*SUMIFS(RZ[Úroveň 5 bez koef. (P2)],RZ[0],AX59,RZ[Úroveň 2 (P0)],AY59,RZ[Úroveň 3 (P0)],AZ59,RZ[Úroveň 4 (P0)],BA59),$BK59*$IG59)</f>
        <v>0</v>
      </c>
      <c r="CF59" s="132">
        <f ca="1">RZ[[#This Row],[Úroveň 5 s koef. (P2a)]]*RZ[[#This Row],[Počet MJHR (P0)]]</f>
        <v>0</v>
      </c>
      <c r="CG59" s="132">
        <f ca="1">RZ[Úroveň 5 bez koef. (P2a)]*RZ[[#This Row],[Počet MJHR (P0)]]</f>
        <v>0</v>
      </c>
      <c r="CH59" s="132">
        <f ca="1">IF(OFFSET(BC59,1,0,1,1)&lt;&gt;0,RZ[[#This Row],[Koeficient odhadu HR '[-'] (P1)]]*$BL59*SUMIFS(RZ[Úroveň 6 s koef. (P2)],RZ[0],AX59,RZ[Úroveň 2 (P0)],AY59,RZ[Úroveň 3 (P0)],AZ59,RZ[Úroveň 4 (P0)],BA59,RZ[Úroveň 5 (P0)],BB59),RZ[[#This Row],[Koeficient odhadu HR '[-'] (P1)]]*$BL59*$IG59)</f>
        <v>0</v>
      </c>
      <c r="CI59" s="132">
        <f ca="1">IF(OFFSET(BC59,1,0,1,1)&lt;&gt;0,$BL59*SUMIFS(RZ[Úroveň 6 bez koef. (P2)],RZ[0],AX59,RZ[Úroveň 2 (P0)],AY59,RZ[Úroveň 3 (P0)],AZ59,RZ[Úroveň 4 (P0)],BA59,RZ[Úroveň 5 (P0)],BB59),$BL59*$IG59)</f>
        <v>0</v>
      </c>
      <c r="CJ59" s="138">
        <f ca="1">RZ[[#This Row],[Úroveň 6 s koef. (P2a)]]*RZ[[#This Row],[Počet MJHR (P0)]]</f>
        <v>0</v>
      </c>
      <c r="CK59" s="138">
        <f ca="1">RZ[Úroveň 6 bez koef. (P2a)]*RZ[[#This Row],[Počet MJHR (P0)]]</f>
        <v>0</v>
      </c>
      <c r="CL59" s="138">
        <f ca="1">IF(OFFSET(BD59,1,0,1,1)&lt;&gt;0,RZ[[#This Row],[Koeficient odhadu HR '[-'] (P1)]]*$BM59*SUMIFS(RZ[Úroveň 7 s koef. (P2)],RZ[0],AX59,RZ[Úroveň 2 (P0)],AY59,RZ[Úroveň 3 (P0)],AZ59,RZ[Úroveň 4 (P0)],BA59,RZ[Úroveň 5 (P0)],BB59,RZ[Úroveň 6 (P0)],BC59),RZ[[#This Row],[Koeficient odhadu HR '[-'] (P1)]]*$BM59*$IG59)</f>
        <v>0</v>
      </c>
      <c r="CM59" s="138">
        <f ca="1">IF(OFFSET(BD59,1,0,1,1)&lt;&gt;0,$BM59*SUMIFS(RZ[Úroveň 7 bez koef. (P2)],RZ[0],AX59,RZ[Úroveň 2 (P0)],AY59,RZ[Úroveň 3 (P0)],AZ59,RZ[Úroveň 4 (P0)],BA59,RZ[Úroveň 5 (P0)],BB59,RZ[Úroveň 6 (P0)],BC59),$BM59*$IG59)</f>
        <v>0</v>
      </c>
      <c r="CN59" s="132">
        <f ca="1">RZ[[#This Row],[Úroveň 7 s koef. (P2a)]]*RZ[[#This Row],[Počet MJHR (P0)]]</f>
        <v>0</v>
      </c>
      <c r="CO59" s="132">
        <f ca="1">RZ[Úroveň 7 bez koef. (P2a)]*RZ[[#This Row],[Počet MJHR (P0)]]</f>
        <v>0</v>
      </c>
      <c r="CP59" s="132">
        <f ca="1">IF(OFFSET(BE59,1,0,1,1)&lt;&gt;0,RZ[[#This Row],[Koeficient odhadu HR '[-'] (P1)]]*$BN59*SUMIFS(RZ[Úroveň 8 s koef. (P2)],RZ[0],AX59,RZ[Úroveň 2 (P0)],AY59,RZ[Úroveň 3 (P0)],AZ59,RZ[Úroveň 4 (P0)],BA59,RZ[Úroveň 5 (P0)],BB59,RZ[Úroveň 6 (P0)],BC59,RZ[Úroveň 7 (P0)],BD59),RZ[[#This Row],[Koeficient odhadu HR '[-'] (P1)]]*$BN59*$IG59)</f>
        <v>0</v>
      </c>
      <c r="CQ59" s="132">
        <f ca="1">IF(OFFSET(BE59,1,0,1,1)&lt;&gt;0,$BN59*SUMIFS(RZ[Úroveň 8 bez koef. (P2)],RZ[0],AX59,RZ[Úroveň 2 (P0)],AY59,RZ[Úroveň 3 (P0)],AZ59,RZ[Úroveň 4 (P0)],BA59,RZ[Úroveň 5 (P0)],BB59,RZ[Úroveň 6 (P0)],BC59,RZ[Úroveň 7 (P0)],BD59),$BN59*$IG59)</f>
        <v>0</v>
      </c>
      <c r="CR59" s="138">
        <f ca="1">RZ[[#This Row],[Úroveň 8 s koef. (P2a)]]*RZ[[#This Row],[Počet MJHR (P0)]]</f>
        <v>0</v>
      </c>
      <c r="CS59" s="138">
        <f ca="1">RZ[Úroveň 8 bez koef. (P2a)]*RZ[[#This Row],[Počet MJHR (P0)]]</f>
        <v>0</v>
      </c>
      <c r="CT59" s="138">
        <f ca="1">IF(OFFSET(BF59,1,0,1,1)&lt;&gt;0,RZ[[#This Row],[Koeficient odhadu HR '[-'] (P1)]]*$BO59*SUMIFS(RZ[Úroveň 9 s koef. (P2)],RZ[0],AX59,RZ[Úroveň 2 (P0)],AY59,RZ[Úroveň 3 (P0)],AZ59,RZ[Úroveň 4 (P0)],BA59,RZ[Úroveň 5 (P0)],BB59,RZ[Úroveň 6 (P0)],BC59,RZ[Úroveň 7 (P0)],BD59,RZ[Úroveň 8 (P0)],BE59),RZ[[#This Row],[Koeficient odhadu HR '[-'] (P1)]]*$BO59*$IG59)</f>
        <v>0</v>
      </c>
      <c r="CU59" s="138">
        <f ca="1">IF(OFFSET(BF59,1,0,1,1)&lt;&gt;0,$BO59*SUMIFS(RZ[Úroveň 9 bez koef. (P2)],RZ[0],AX59,RZ[Úroveň 2 (P0)],AY59,RZ[Úroveň 3 (P0)],AZ59,RZ[Úroveň 4 (P0)],BA59,RZ[Úroveň 5 (P0)],BB59,RZ[Úroveň 6 (P0)],BC59,RZ[Úroveň 7 (P0)],BD59,RZ[Úroveň 8 (P0)],BE59),$BO59*$IG59)</f>
        <v>0</v>
      </c>
      <c r="CV59" s="132">
        <f ca="1">RZ[[#This Row],[Úroveň 9 s koef. (P2a)]]*RZ[[#This Row],[Počet MJHR (P0)]]</f>
        <v>0</v>
      </c>
      <c r="CW59" s="132">
        <f ca="1">RZ[Úroveň 9 bez koef. (P2a)]*RZ[[#This Row],[Počet MJHR (P0)]]</f>
        <v>0</v>
      </c>
      <c r="CX59" s="132">
        <f ca="1">IF(OFFSET(BG59,1,0,1,1)&lt;&gt;0,RZ[[#This Row],[Koeficient odhadu HR '[-'] (P1)]]*$BP59*SUMIFS(RZ[Úroveň 10 s koef. (P2)],RZ[0],AX59,RZ[Úroveň 2 (P0)],AY59,RZ[Úroveň 3 (P0)],AZ59,RZ[Úroveň 4 (P0)],BA59,RZ[Úroveň 5 (P0)],BB59,RZ[Úroveň 6 (P0)],BC59,RZ[Úroveň 7 (P0)],BD59,RZ[Úroveň 8 (P0)],BE59,RZ[Úroveň 9 (P0)],BF59),RZ[[#This Row],[Koeficient odhadu HR '[-'] (P1)]]*$BP59*$IG59)</f>
        <v>0</v>
      </c>
      <c r="CY59" s="132">
        <f ca="1">IF(OFFSET(BG59,1,0,1,1)&lt;&gt;0,$BP59*SUMIFS(RZ[Úroveň 10 bez koef. (P2)],RZ[0],AX59,RZ[Úroveň 2 (P0)],AY59,RZ[Úroveň 3 (P0)],AZ59,RZ[Úroveň 4 (P0)],BA59,RZ[Úroveň 5 (P0)],BB59,RZ[Úroveň 6 (P0)],BC59,RZ[Úroveň 7 (P0)],BD59,RZ[Úroveň 8 (P0)],BE59,RZ[Úroveň 9 (P0)],BF59),$BP59*$IG59)</f>
        <v>0</v>
      </c>
      <c r="CZ59" s="138">
        <f>RZ[[#This Row],[Úroveň 10 s koef. (P2a)]]*RZ[[#This Row],[Počet MJHR (P0)]]</f>
        <v>0</v>
      </c>
      <c r="DA59" s="138">
        <f>RZ[Úroveň 10 bez koef. (P2a)]*RZ[[#This Row],[Počet MJHR (P0)]]</f>
        <v>0</v>
      </c>
      <c r="DB59" s="138">
        <f>RZ[[#This Row],[Koeficient odhadu HR '[-'] (P1)]]*$BQ59*IG59</f>
        <v>0</v>
      </c>
      <c r="DC59" s="231">
        <f t="shared" si="405"/>
        <v>0</v>
      </c>
      <c r="DD59" s="241">
        <f t="shared" ca="1" si="406"/>
        <v>6.6</v>
      </c>
      <c r="DE59" s="229">
        <f t="shared" ca="1" si="407"/>
        <v>6.6</v>
      </c>
      <c r="DF59" s="912">
        <f t="shared" si="408"/>
        <v>0</v>
      </c>
      <c r="DG59" s="913">
        <f t="shared" si="409"/>
        <v>0</v>
      </c>
      <c r="DH59" s="913">
        <f t="shared" si="410"/>
        <v>4</v>
      </c>
      <c r="DI59" s="913">
        <f t="shared" si="411"/>
        <v>0</v>
      </c>
      <c r="DJ59" s="913">
        <f t="shared" si="412"/>
        <v>0</v>
      </c>
      <c r="DK59" s="913">
        <f t="shared" si="413"/>
        <v>0</v>
      </c>
      <c r="DL59" s="913">
        <f t="shared" si="414"/>
        <v>0</v>
      </c>
      <c r="DM59" s="913">
        <f t="shared" si="415"/>
        <v>0</v>
      </c>
      <c r="DN59" s="913">
        <f t="shared" si="416"/>
        <v>0</v>
      </c>
      <c r="DO59" s="913">
        <f t="shared" si="417"/>
        <v>0</v>
      </c>
      <c r="DP59" s="914">
        <f ca="1">SUMIFS(RZ[Úroveň 1 (P4)],RZ[0],AX59)</f>
        <v>1</v>
      </c>
      <c r="DQ59" s="914">
        <f ca="1">SUMIFS(RZ[Úroveň 2 (P4)],RZ[0],AX59,RZ[Úroveň 2 (P0)],AY59)</f>
        <v>2</v>
      </c>
      <c r="DR59" s="914">
        <f ca="1">SUMIFS(RZ[Úroveň 3 (P4)],RZ[0],AX59,RZ[Úroveň 2 (P0)],AY59,RZ[Úroveň 3 (P0)],AZ59)</f>
        <v>4</v>
      </c>
      <c r="DS59" s="914">
        <f ca="1">SUMIFS(RZ[Úroveň 4 (P4)],RZ[0],AX59,RZ[Úroveň 2 (P0)],AY59,RZ[Úroveň 3 (P0)],AZ59,RZ[Úroveň 4 (P0)],BA59)</f>
        <v>0</v>
      </c>
      <c r="DT59" s="914">
        <f ca="1">SUMIFS(RZ[Úroveň 5 (P4)],RZ[0],AX59,RZ[Úroveň 2 (P0)],AY59,RZ[Úroveň 3 (P0)],AZ59,RZ[Úroveň 4 (P0)],BA59,RZ[Úroveň 5 (P0)],BB59)</f>
        <v>0</v>
      </c>
      <c r="DU59" s="914">
        <f ca="1">SUMIFS(RZ[Úroveň 6 (P4)],RZ[0],AX59,RZ[Úroveň 2 (P0)],AY59,RZ[Úroveň 3 (P0)],AZ59,RZ[Úroveň 4 (P0)],BA59,RZ[Úroveň 5 (P0)],BB59,RZ[Úroveň 6 (P0)],BC59)</f>
        <v>0</v>
      </c>
      <c r="DV59" s="914">
        <f ca="1">SUMIFS(RZ[Úroveň 7 (P4)],RZ[0],AX59,RZ[Úroveň 2 (P0)],AY59,RZ[Úroveň 3 (P0)],AZ59,RZ[Úroveň 4 (P0)],BA59,RZ[Úroveň 5 (P0)],BB59,RZ[Úroveň 6 (P0)],BC59,RZ[Úroveň 7 (P0)],BD59)</f>
        <v>0</v>
      </c>
      <c r="DW59" s="914">
        <f ca="1">SUMIFS(RZ[Úroveň 8 (P4)],RZ[0],AX59,RZ[Úroveň 2 (P0)],AY59,RZ[Úroveň 3 (P0)],AZ59,RZ[Úroveň 4 (P0)],BA59,RZ[Úroveň 5 (P0)],BB59,RZ[Úroveň 6 (P0)],BC59,RZ[Úroveň 7 (P0)],BD59,RZ[Úroveň 8 (P0)],BE59)</f>
        <v>0</v>
      </c>
      <c r="DX59" s="914">
        <f ca="1">SUMIFS(RZ[Úroveň 9 (P4)],RZ[0],AX59,RZ[Úroveň 2 (P0)],AY59,RZ[Úroveň 3 (P0)],AZ59,RZ[Úroveň 4 (P0)],BA59,RZ[Úroveň 5 (P0)],BB59,RZ[Úroveň 6 (P0)],BC59,RZ[Úroveň 7 (P0)],BD59,RZ[Úroveň 8 (P0)],BE59,RZ[Úroveň 9 (P0)],BF59)</f>
        <v>0</v>
      </c>
      <c r="DY59" s="914">
        <f ca="1">SUMIFS(RZ[Úroveň 10 (P4)],RZ[0],AX59,RZ[Úroveň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DZ59" s="915">
        <f t="shared" ca="1" si="418"/>
        <v>8</v>
      </c>
      <c r="EA59" s="916">
        <f ca="1">RZ[[#This Row],[Jednotková hmotnost bez koef. '[kg/MJHR'] (P0)]]*RZ[[#This Row],[Počet MJHR v rozpadu (P0)]]</f>
        <v>52.8</v>
      </c>
      <c r="EB59" s="917">
        <f ca="1">IF(OFFSET(AY59,1,0,1,1)&lt;&gt;0,RZ[[#This Row],[Koeficient odhadu CR '[-'] (P1)]]*$BH59*SUMIFS(RZ[Úroveň 2 s koef. (P3)],RZ[0],AX59),RZ[[#This Row],[Koeficient odhadu CR '[-'] (P1)]]*$BH59*$IQ59)</f>
        <v>0</v>
      </c>
      <c r="EC59" s="191">
        <f ca="1">IF(OFFSET(AY59,1,0,1,1)&lt;&gt;0,$BH59*SUMIFS(RZ[Úroveň 2 bez koef. (P3)],RZ[0],AX59),$BH59*$IQ59)</f>
        <v>0</v>
      </c>
      <c r="ED59" s="140">
        <f ca="1">RZ[[#This Row],[Úroveň 2 s koef. (P3a)]]*RZ[[#This Row],[Počet MJCR (P0) pro "kg"]]</f>
        <v>0</v>
      </c>
      <c r="EE59" s="140">
        <f ca="1">RZ[Úroveň 2 bez koef. (P3a)]*RZ[[#This Row],[Počet MJCR (P0) pro "kg"]]</f>
        <v>0</v>
      </c>
      <c r="EF59" s="140">
        <f ca="1">IF(OFFSET(AZ59,1,0,1,1)&lt;&gt;0,RZ[[#This Row],[Koeficient odhadu CR '[-'] (P1)]]*$BI59*SUMIFS(RZ[Úroveň 3 s koef. (P3)],RZ[0],AX59,RZ[Úroveň 2 (P0)],AY59),RZ[[#This Row],[Koeficient odhadu CR '[-'] (P1)]]*$BI59*$IQ59)</f>
        <v>0</v>
      </c>
      <c r="EG59" s="140">
        <f ca="1">IF(OFFSET(AZ59,1,0,1,1)&lt;&gt;0,$BI59*SUMIFS(RZ[Úroveň 3 bez koef. (P3)],RZ[0],AX59,RZ[Úroveň 2 (P0)],AY59),$BI59*$IQ59)</f>
        <v>0</v>
      </c>
      <c r="EH59" s="135">
        <f ca="1">RZ[[#This Row],[Úroveň 3 s koef. (P3a)]]*RZ[[#This Row],[Počet MJCR (P0) pro "kg"]]</f>
        <v>3036</v>
      </c>
      <c r="EI59" s="135">
        <f ca="1">RZ[Úroveň 3 bez koef. (P3a)]*RZ[[#This Row],[Počet MJCR (P0) pro "kg"]]</f>
        <v>3036</v>
      </c>
      <c r="EJ59" s="135">
        <f ca="1">IF(OFFSET(BA59,1,0,1,1)&lt;&gt;0,RZ[[#This Row],[Koeficient odhadu CR '[-'] (P1)]]*$BJ59*SUMIFS(RZ[Úroveň 4 s koef. (P3)],RZ[0],AX59,RZ[Úroveň 2 (P0)],AY59,RZ[Úroveň 3 (P0)],AZ59),RZ[[#This Row],[Koeficient odhadu CR '[-'] (P1)]]*$BJ59*$IQ59)</f>
        <v>115</v>
      </c>
      <c r="EK59" s="135">
        <f ca="1">IF(OFFSET(BA59,1,0,1,1)&lt;&gt;0,$BJ59*SUMIFS(RZ[Úroveň 4 bez koef. (P3)],RZ[0],AX59,RZ[Úroveň 2 (P0)],AY59,RZ[Úroveň 3 (P0)],AZ59),$BJ59*$IQ59)</f>
        <v>115</v>
      </c>
      <c r="EL59" s="140">
        <f ca="1">RZ[[#This Row],[Úroveň 4 s koef. (P3a)]]*RZ[[#This Row],[Počet MJCR (P0) pro "kg"]]</f>
        <v>0</v>
      </c>
      <c r="EM59" s="140">
        <f ca="1">RZ[Úroveň 4 bez koef. (P3a)]*RZ[[#This Row],[Počet MJCR (P0) pro "kg"]]</f>
        <v>0</v>
      </c>
      <c r="EN59" s="140">
        <f ca="1">IF(OFFSET(BB59,1,0,1,1)&lt;&gt;0,RZ[[#This Row],[Koeficient odhadu CR '[-'] (P1)]]*$BK59*SUMIFS(RZ[Úroveň 5 s koef. (P3)],RZ[0],AX59,RZ[Úroveň 2 (P0)],AY59,RZ[Úroveň 3 (P0)],AZ59,RZ[Úroveň 4 (P0)],BA59),RZ[[#This Row],[Koeficient odhadu CR '[-'] (P1)]]*$BK59*$IQ59)</f>
        <v>0</v>
      </c>
      <c r="EO59" s="140">
        <f ca="1">IF(OFFSET(BB59,1,0,1,1)&lt;&gt;0,$BK59*SUMIFS(RZ[Úroveň 5 bez koef. (P3)],RZ[0],AX59,RZ[Úroveň 2 (P0)],AY59,RZ[Úroveň 3 (P0)],AZ59,RZ[Úroveň 4 (P0)],BA59),$BK59*$IQ59)</f>
        <v>0</v>
      </c>
      <c r="EP59" s="135">
        <f ca="1">RZ[[#This Row],[Úroveň 5 s koef. (P3a)]]*RZ[[#This Row],[Počet MJCR (P0) pro "kg"]]</f>
        <v>0</v>
      </c>
      <c r="EQ59" s="135">
        <f ca="1">RZ[Úroveň 5 bez koef. (P3a)]*RZ[[#This Row],[Počet MJCR (P0) pro "kg"]]</f>
        <v>0</v>
      </c>
      <c r="ER59" s="135">
        <f ca="1">IF(OFFSET(BC59,1,0,1,1)&lt;&gt;0,RZ[[#This Row],[Koeficient odhadu CR '[-'] (P1)]]*$BL59*SUMIFS(RZ[Úroveň 6 s koef. (P3)],RZ[0],AX59,RZ[Úroveň 2 (P0)],AY59,RZ[Úroveň 3 (P0)],AZ59,RZ[Úroveň 4 (P0)],BA59,RZ[Úroveň 5 (P0)],BB59),RZ[[#This Row],[Koeficient odhadu CR '[-'] (P1)]]*$BL59*$IQ59)</f>
        <v>0</v>
      </c>
      <c r="ES59" s="135">
        <f ca="1">IF(OFFSET(BC59,1,0,1,1)&lt;&gt;0,$BL59*SUMIFS(RZ[Úroveň 6 bez koef. (P3)],RZ[0],AX59,RZ[Úroveň 2 (P0)],AY59,RZ[Úroveň 3 (P0)],AZ59,RZ[Úroveň 4 (P0)],BA59,RZ[Úroveň 5 (P0)],BB59),$BL59*$IQ59)</f>
        <v>0</v>
      </c>
      <c r="ET59" s="140">
        <f ca="1">RZ[[#This Row],[Úroveň 6 s koef. (P3a)]]*RZ[[#This Row],[Počet MJCR (P0) pro "kg"]]</f>
        <v>0</v>
      </c>
      <c r="EU59" s="140">
        <f ca="1">RZ[Úroveň 6 bez koef. (P3a)]*RZ[[#This Row],[Počet MJCR (P0) pro "kg"]]</f>
        <v>0</v>
      </c>
      <c r="EV59" s="140">
        <f ca="1">IF(OFFSET(BD59,1,0,1,1)&lt;&gt;0,RZ[[#This Row],[Koeficient odhadu CR '[-'] (P1)]]*$BM59*SUMIFS(RZ[Úroveň 7 s koef. (P3)],RZ[0],AX59,RZ[Úroveň 2 (P0)],AY59,RZ[Úroveň 3 (P0)],AZ59,RZ[Úroveň 4 (P0)],BA59,RZ[Úroveň 5 (P0)],BB59,RZ[Úroveň 6 (P0)],BC59),RZ[[#This Row],[Koeficient odhadu CR '[-'] (P1)]]*$BM59*$IQ59)</f>
        <v>0</v>
      </c>
      <c r="EW59" s="140">
        <f ca="1">IF(OFFSET(BD59,1,0,1,1)&lt;&gt;0,$BM59*SUMIFS(RZ[Úroveň 7 bez koef. (P3)],RZ[0],AX59,RZ[Úroveň 2 (P0)],AY59,RZ[Úroveň 3 (P0)],AZ59,RZ[Úroveň 4 (P0)],BA59,RZ[Úroveň 5 (P0)],BB59,RZ[Úroveň 6 (P0)],BC59),$BM59*$IQ59)</f>
        <v>0</v>
      </c>
      <c r="EX59" s="135">
        <f ca="1">RZ[[#This Row],[Úroveň 7 s koef. (P3a)]]*RZ[[#This Row],[Počet MJCR (P0) pro "kg"]]</f>
        <v>0</v>
      </c>
      <c r="EY59" s="135">
        <f ca="1">RZ[Úroveň 7 bez koef. (P3a)]*RZ[[#This Row],[Počet MJCR (P0) pro "kg"]]</f>
        <v>0</v>
      </c>
      <c r="EZ59" s="135">
        <f ca="1">IF(OFFSET(BE59,1,0,1,1)&lt;&gt;0,RZ[[#This Row],[Koeficient odhadu CR '[-'] (P1)]]*$BN59*SUMIFS(RZ[Úroveň 8 s koef. (P3)],RZ[0],AX59,RZ[Úroveň 2 (P0)],AY59,RZ[Úroveň 3 (P0)],AZ59,RZ[Úroveň 4 (P0)],BA59,RZ[Úroveň 5 (P0)],BB59,RZ[Úroveň 6 (P0)],BC59,RZ[Úroveň 7 (P0)],BD59),RZ[[#This Row],[Koeficient odhadu CR '[-'] (P1)]]*$BN59*$IQ59)</f>
        <v>0</v>
      </c>
      <c r="FA59" s="135">
        <f ca="1">IF(OFFSET(BE59,1,0,1,1)&lt;&gt;0,$BN59*SUMIFS(RZ[Úroveň 8 bez koef. (P3)],RZ[0],AX59,RZ[Úroveň 2 (P0)],AY59,RZ[Úroveň 3 (P0)],AZ59,RZ[Úroveň 4 (P0)],BA59,RZ[Úroveň 5 (P0)],BB59,RZ[Úroveň 6 (P0)],BC59,RZ[Úroveň 7 (P0)],BD59),$BN59*$IQ59)</f>
        <v>0</v>
      </c>
      <c r="FB59" s="140">
        <f ca="1">RZ[[#This Row],[Úroveň 8 s koef. (P3a)]]*RZ[[#This Row],[Počet MJCR (P0) pro "kg"]]</f>
        <v>0</v>
      </c>
      <c r="FC59" s="140">
        <f ca="1">RZ[Úroveň 8 bez koef. (P3a)]*RZ[[#This Row],[Počet MJCR (P0) pro "kg"]]</f>
        <v>0</v>
      </c>
      <c r="FD59" s="140">
        <f ca="1">IF(OFFSET(BF59,1,0,1,1)&lt;&gt;0,RZ[[#This Row],[Koeficient odhadu CR '[-'] (P1)]]*$BO59*SUMIFS(RZ[Úroveň 9 s koef. (P3)],RZ[0],AX59,RZ[Úroveň 2 (P0)],AY59,RZ[Úroveň 3 (P0)],AZ59,RZ[Úroveň 4 (P0)],BA59,RZ[Úroveň 5 (P0)],BB59,RZ[Úroveň 6 (P0)],BC59,RZ[Úroveň 7 (P0)],BD59,RZ[Úroveň 8 (P0)],BE59),RZ[[#This Row],[Koeficient odhadu CR '[-'] (P1)]]*$BO59*$IQ59)</f>
        <v>0</v>
      </c>
      <c r="FE59" s="140">
        <f ca="1">IF(OFFSET(BF59,1,0,1,1)&lt;&gt;0,$BO59*SUMIFS(RZ[Úroveň 9 bez koef. (P3)],RZ[0],AX59,RZ[Úroveň 2 (P0)],AY59,RZ[Úroveň 3 (P0)],AZ59,RZ[Úroveň 4 (P0)],BA59,RZ[Úroveň 5 (P0)],BB59,RZ[Úroveň 6 (P0)],BC59,RZ[Úroveň 7 (P0)],BD59,RZ[Úroveň 8 (P0)],BE59),$BO59*$IQ59)</f>
        <v>0</v>
      </c>
      <c r="FF59" s="135">
        <f ca="1">RZ[[#This Row],[Úroveň 9 s koef. (P3a)]]*RZ[[#This Row],[Počet MJCR (P0) pro "kg"]]</f>
        <v>0</v>
      </c>
      <c r="FG59" s="135">
        <f ca="1">RZ[Úroveň 9 bez koef. (P3a)]*RZ[[#This Row],[Počet MJCR (P0) pro "kg"]]</f>
        <v>0</v>
      </c>
      <c r="FH59" s="135">
        <f ca="1">IF(OFFSET(BG59,1,0,1,1)&lt;&gt;0,RZ[[#This Row],[Koeficient odhadu CR '[-'] (P1)]]*$BP59*SUMIFS(RZ[Úroveň 10 s koef. (P3)],RZ[0],AX59,RZ[Úroveň 2 (P0)],AY59,RZ[Úroveň 3 (P0)],AZ59,RZ[Úroveň 4 (P0)],BA59,RZ[Úroveň 5 (P0)],BB59,RZ[Úroveň 6 (P0)],BC59,RZ[Úroveň 7 (P0)],BD59,RZ[Úroveň 8 (P0)],BE59,RZ[Úroveň 9 (P0)],BF59),RZ[[#This Row],[Koeficient odhadu CR '[-'] (P1)]]*$BP59*$IQ59)</f>
        <v>0</v>
      </c>
      <c r="FI59" s="135">
        <f ca="1">IF(OFFSET(BG59,1,0,1,1)&lt;&gt;0,$BP59*SUMIFS(RZ[Úroveň 10 bez koef. (P3)],RZ[0],AX59,RZ[Úroveň 2 (P0)],AY59,RZ[Úroveň 3 (P0)],AZ59,RZ[Úroveň 4 (P0)],BA59,RZ[Úroveň 5 (P0)],BB59,RZ[Úroveň 6 (P0)],BC59,RZ[Úroveň 7 (P0)],BD59,RZ[Úroveň 8 (P0)],BE59,RZ[Úroveň 9 (P0)],BF59),$BP59*$IQ59)</f>
        <v>0</v>
      </c>
      <c r="FJ59" s="140">
        <f ca="1">RZ[[#This Row],[Úroveň 10 s koef. (P3a)]]*RZ[[#This Row],[Počet MJCR (P0) pro "kg"]]</f>
        <v>0</v>
      </c>
      <c r="FK59" s="140">
        <f ca="1">RZ[Úroveň 10 bez koef. (P3a)]*RZ[[#This Row],[Počet MJCR (P0) pro "kg"]]</f>
        <v>0</v>
      </c>
      <c r="FL59" s="140">
        <f ca="1">RZ[[#This Row],[Koeficient odhadu CR '[-'] (P1)]]*$BQ59*IQ59</f>
        <v>0</v>
      </c>
      <c r="FM59" s="236">
        <f t="shared" ca="1" si="419"/>
        <v>0</v>
      </c>
      <c r="FN59" s="194">
        <f t="shared" ca="1" si="420"/>
        <v>115</v>
      </c>
      <c r="FO59" s="238">
        <f t="shared" ca="1" si="421"/>
        <v>115</v>
      </c>
      <c r="FP59" s="135">
        <f t="shared" ca="1" si="422"/>
        <v>0</v>
      </c>
      <c r="FQ59" s="135">
        <f t="shared" ca="1" si="423"/>
        <v>0</v>
      </c>
      <c r="FR59" s="135">
        <f t="shared" ca="1" si="424"/>
        <v>26.4</v>
      </c>
      <c r="FS59" s="135">
        <f t="shared" ca="1" si="425"/>
        <v>0</v>
      </c>
      <c r="FT59" s="135">
        <f t="shared" ca="1" si="426"/>
        <v>0</v>
      </c>
      <c r="FU59" s="135">
        <f t="shared" ca="1" si="427"/>
        <v>0</v>
      </c>
      <c r="FV59" s="135">
        <f t="shared" ca="1" si="428"/>
        <v>0</v>
      </c>
      <c r="FW59" s="135">
        <f t="shared" ca="1" si="429"/>
        <v>0</v>
      </c>
      <c r="FX59" s="135">
        <f t="shared" ca="1" si="430"/>
        <v>0</v>
      </c>
      <c r="FY59" s="135">
        <f t="shared" ca="1" si="431"/>
        <v>0</v>
      </c>
      <c r="FZ59" s="140">
        <f ca="1">SUMIFS(RZ[Úroveň 1 (P6)],RZ[0],AX59)</f>
        <v>1</v>
      </c>
      <c r="GA59" s="140">
        <f ca="1">SUMIFS(RZ[Úroveň 2 (P6)],RZ[0],AX59,RZ[Úroveň 2 (P0)],AY59)</f>
        <v>2</v>
      </c>
      <c r="GB59" s="140">
        <f ca="1">SUMIFS(RZ[Úroveň 3 (P6)],RZ[0],AX59,RZ[Úroveň 2 (P0)],AY59,RZ[Úroveň 3 (P0)],AZ59)</f>
        <v>26.4</v>
      </c>
      <c r="GC59" s="140">
        <f ca="1">SUMIFS(RZ[Úroveň 4 (P6)],RZ[0],AX59,RZ[Úroveň 2 (P0)],AY59,RZ[Úroveň 3 (P0)],AZ59,RZ[Úroveň 4 (P0)],BA59)</f>
        <v>0</v>
      </c>
      <c r="GD59" s="140">
        <f ca="1">SUMIFS(RZ[Úroveň 5 (P6)],RZ[0],AX59,RZ[Úroveň 2 (P0)],AY59,RZ[Úroveň 3 (P0)],AZ59,RZ[Úroveň 4 (P0)],BA59,RZ[Úroveň 5 (P0)],BB59)</f>
        <v>0</v>
      </c>
      <c r="GE59" s="140">
        <f ca="1">SUMIFS(RZ[Úroveň 6 (P6)],RZ[0],AX59,RZ[Úroveň 2 (P0)],AY59,RZ[Úroveň 3 (P0)],AZ59,RZ[Úroveň 4 (P0)],BA59,RZ[Úroveň 5 (P0)],BB59,RZ[Úroveň 6 (P0)],BC59)</f>
        <v>0</v>
      </c>
      <c r="GF59" s="140">
        <f ca="1">SUMIFS(RZ[Úroveň 7 (P6)],RZ[0],AX59,RZ[Úroveň 2 (P0)],AY59,RZ[Úroveň 3 (P0)],AZ59,RZ[Úroveň 4 (P0)],BA59,RZ[Úroveň 5 (P0)],BB59,RZ[Úroveň 6 (P0)],BC59,RZ[Úroveň 7 (P0)],BD59)</f>
        <v>0</v>
      </c>
      <c r="GG59" s="140">
        <f ca="1">SUMIFS(RZ[Úroveň 8 (P6)],RZ[0],AX59,RZ[Úroveň 2 (P0)],AY59,RZ[Úroveň 3 (P0)],AZ59,RZ[Úroveň 4 (P0)],BA59,RZ[Úroveň 5 (P0)],BB59,RZ[Úroveň 6 (P0)],BC59,RZ[Úroveň 7 (P0)],BD59,RZ[Úroveň 8 (P0)],BE59)</f>
        <v>0</v>
      </c>
      <c r="GH59" s="140">
        <f ca="1">SUMIFS(RZ[Úroveň 9 (P6)],RZ[0],AX59,RZ[Úroveň 2 (P0)],AY59,RZ[Úroveň 3 (P0)],AZ59,RZ[Úroveň 4 (P0)],BA59,RZ[Úroveň 5 (P0)],BB59,RZ[Úroveň 6 (P0)],BC59,RZ[Úroveň 7 (P0)],BD59,RZ[Úroveň 8 (P0)],BE59,RZ[Úroveň 9 (P0)],BF59)</f>
        <v>0</v>
      </c>
      <c r="GI59" s="140">
        <f ca="1">SUMIFS(RZ[Úroveň 10 (P6)],RZ[0],AX59,RZ[Úroveň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GJ59" s="918">
        <f t="shared" ca="1" si="432"/>
        <v>52.8</v>
      </c>
      <c r="GK59" s="808">
        <f t="shared" si="433"/>
        <v>0</v>
      </c>
      <c r="GL59" s="808">
        <f t="shared" si="434"/>
        <v>0</v>
      </c>
      <c r="GM59" s="808">
        <f t="shared" si="435"/>
        <v>1</v>
      </c>
      <c r="GN59" s="808">
        <f t="shared" si="436"/>
        <v>0</v>
      </c>
      <c r="GO59" s="808">
        <f t="shared" si="437"/>
        <v>0</v>
      </c>
      <c r="GP59" s="808">
        <f t="shared" si="438"/>
        <v>0</v>
      </c>
      <c r="GQ59" s="808">
        <f t="shared" si="439"/>
        <v>0</v>
      </c>
      <c r="GR59" s="808">
        <f t="shared" si="440"/>
        <v>0</v>
      </c>
      <c r="GS59" s="808">
        <f t="shared" si="441"/>
        <v>0</v>
      </c>
      <c r="GT59" s="808">
        <f t="shared" si="442"/>
        <v>0</v>
      </c>
      <c r="GU59" s="809">
        <f ca="1">SUMIFS(RZ[Sloupec1],RZ[0],AX59)</f>
        <v>1</v>
      </c>
      <c r="GV59" s="809">
        <f ca="1">SUMIFS(RZ[Sloupec2],RZ[0],AX59,RZ[Úroveň 2 (P0)],AY59)</f>
        <v>1</v>
      </c>
      <c r="GW59" s="809">
        <f ca="1">SUMIFS(RZ[Sloupec3],RZ[0],AX59,RZ[Úroveň 2 (P0)],AY59,RZ[Úroveň 3 (P0)],AZ59)</f>
        <v>1</v>
      </c>
      <c r="GX59" s="809">
        <f ca="1">SUMIFS(RZ[Sloupec4],RZ[0],AX59,RZ[Úroveň 2 (P0)],AY59,RZ[Úroveň 3 (P0)],AZ59,RZ[Úroveň 4 (P0)],BA59)</f>
        <v>0</v>
      </c>
      <c r="GY59" s="809">
        <f ca="1">SUMIFS(RZ[Sloupec5],RZ[0],AX59,RZ[Úroveň 2 (P0)],AY59,RZ[Úroveň 3 (P0)],AZ59,RZ[Úroveň 4 (P0)],BA59,RZ[Úroveň 5 (P0)],BB59)</f>
        <v>0</v>
      </c>
      <c r="GZ59" s="809">
        <f ca="1">SUMIFS(RZ[Sloupec6],RZ[0],AX59,RZ[Úroveň 2 (P0)],AY59,RZ[Úroveň 3 (P0)],AZ59,RZ[Úroveň 4 (P0)],BA59,RZ[Úroveň 5 (P0)],BB59,RZ[Úroveň 6 (P0)],BC59)</f>
        <v>0</v>
      </c>
      <c r="HA59" s="809">
        <f ca="1">SUMIFS(RZ[Sloupec62],RZ[0],AX59,RZ[Úroveň 2 (P0)],AY59,RZ[Úroveň 3 (P0)],AZ59,RZ[Úroveň 4 (P0)],BA59,RZ[Úroveň 5 (P0)],BB59,RZ[Úroveň 6 (P0)],BC59,RZ[Úroveň 7 (P0)],BD59)</f>
        <v>0</v>
      </c>
      <c r="HB59" s="809">
        <f ca="1">SUMIFS(RZ[Sloupec63],RZ[0],AX59,RZ[Úroveň 2 (P0)],AY59,RZ[Úroveň 3 (P0)],AZ59,RZ[Úroveň 4 (P0)],BA59,RZ[Úroveň 5 (P0)],BB59,RZ[Úroveň 6 (P0)],BC59,RZ[Úroveň 7 (P0)],BD59,RZ[Úroveň 8 (P0)],BE59)</f>
        <v>0</v>
      </c>
      <c r="HC59" s="809">
        <f ca="1">SUMIFS(RZ[Sloupec64],RZ[0],AX59,RZ[Úroveň 2 (P0)],AY59,RZ[Úroveň 3 (P0)],AZ59,RZ[Úroveň 4 (P0)],BA59,RZ[Úroveň 5 (P0)],BB59,RZ[Úroveň 6 (P0)],BC59,RZ[Úroveň 7 (P0)],BD59,RZ[Úroveň 8 (P0)],BE59,RZ[Úroveň 9 (P0)],BF59)</f>
        <v>0</v>
      </c>
      <c r="HD59" s="809">
        <f ca="1">SUMIFS(RZ[Sloupec65],RZ[0],AX59,RZ[Úroveň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HE59" s="919">
        <f t="shared" ca="1" si="443"/>
        <v>1</v>
      </c>
      <c r="HF59" s="920" t="str">
        <f t="shared" si="444"/>
        <v/>
      </c>
      <c r="HG59" s="94" t="str">
        <f t="shared" si="445"/>
        <v/>
      </c>
      <c r="HH59" s="95" t="str">
        <f t="shared" si="446"/>
        <v/>
      </c>
      <c r="HI59" s="95" t="str">
        <f t="shared" si="447"/>
        <v>Víko</v>
      </c>
      <c r="HJ59" s="96" t="str">
        <f t="shared" si="448"/>
        <v/>
      </c>
      <c r="HK59" s="96" t="str">
        <f t="shared" si="449"/>
        <v/>
      </c>
      <c r="HL59" s="96" t="str">
        <f t="shared" si="450"/>
        <v/>
      </c>
      <c r="HM59" s="96" t="str">
        <f t="shared" si="451"/>
        <v/>
      </c>
      <c r="HN59" s="96" t="str">
        <f t="shared" si="452"/>
        <v/>
      </c>
      <c r="HO59" s="96" t="str">
        <f t="shared" si="453"/>
        <v/>
      </c>
      <c r="HP59" s="96" t="str">
        <f t="shared" si="454"/>
        <v/>
      </c>
      <c r="HQ59" s="145" t="str">
        <f t="shared" si="455"/>
        <v>STO2</v>
      </c>
      <c r="HR59" s="921" t="str">
        <f t="shared" si="456"/>
        <v/>
      </c>
      <c r="HS59" s="173">
        <f t="shared" si="457"/>
        <v>0</v>
      </c>
      <c r="HT59" s="100">
        <f t="shared" si="458"/>
        <v>0</v>
      </c>
      <c r="HU59" s="100">
        <f t="shared" si="459"/>
        <v>0</v>
      </c>
      <c r="HV59" s="908">
        <f t="shared" si="460"/>
        <v>0</v>
      </c>
      <c r="HW59" s="922">
        <f t="shared" si="461"/>
        <v>0</v>
      </c>
      <c r="HX59" s="224">
        <f t="shared" si="462"/>
        <v>0</v>
      </c>
      <c r="HY59" s="263" t="str">
        <f t="shared" si="463"/>
        <v>S</v>
      </c>
      <c r="HZ59" s="263">
        <f t="shared" si="464"/>
        <v>0</v>
      </c>
      <c r="IA59" s="150">
        <f t="shared" si="465"/>
        <v>1</v>
      </c>
      <c r="IB59" s="319">
        <f t="shared" si="466"/>
        <v>0</v>
      </c>
      <c r="IC59" s="923">
        <f t="shared" si="467"/>
        <v>0</v>
      </c>
      <c r="ID59" s="924" t="str">
        <f t="shared" ca="1" si="468"/>
        <v>OK</v>
      </c>
      <c r="IE59" s="201" t="str">
        <f t="shared" si="469"/>
        <v>ks</v>
      </c>
      <c r="IF59" s="145">
        <f t="shared" si="470"/>
        <v>4</v>
      </c>
      <c r="IG59" s="216">
        <f t="shared" si="471"/>
        <v>6.6</v>
      </c>
      <c r="IH59" s="217">
        <f t="shared" si="472"/>
        <v>1</v>
      </c>
      <c r="II59" s="224" t="str">
        <f ca="1">IF(RZ[[#This Row],[Rozhodný sloupec indikativní ceny]]=1,"kg",IF($IW59=$JL$15,IF(JX59=0,JO59,JX59),IF($IW59=$KE$15,IF(KQ59=0,KH59,KQ59),IF($IW59=$KX$15,IF(LJ59=0,LA59,LJ59),IF($IW59=$LQ$15,IF(MC59=0,LT59,MC59),IF($IW59=$MJ$15,IF(NQ59=0,NH59,NQ59),0))))))</f>
        <v>kg</v>
      </c>
      <c r="IJ59" s="224">
        <f ca="1">IF((BH59+OFFSET(BH59,1,1,1,1))=2,RZ[[#This Row],[Počet MJHR (P0)]],IF((BI59+OFFSET(BI59,1,1,1,1))=2,RZ[[#This Row],[Počet MJHR (P0)]],IF((BJ59+OFFSET(BJ59,1,1,1,1))=2,RZ[[#This Row],[Počet MJHR (P0)]],IF((BK59+OFFSET(BK59,1,1,1,1))=2,RZ[[#This Row],[Počet MJHR (P0)]],IF((BL59+OFFSET(BL59,1,1,1,1))=2,RZ[[#This Row],[Počet MJHR (P0)]],IF((BM59+OFFSET(BM59,1,1,1,1))=2,RZ[[#This Row],[Počet MJHR (P0)]],IF((BN59+OFFSET(BN59,1,1,1,1))=2,RZ[[#This Row],[Počet MJHR (P0)]],IF((BO59+OFFSET(BO59,1,1,1,1))=2,RZ[[#This Row],[Počet MJHR (P0)]],IF((BP59+OFFSET(BP59,1,1,1,1))=2,RZ[[#This Row],[Počet MJHR (P0)]],IF((BQ59+OFFSET(BQ59,1,1,1,1))=2,RZ[[#This Row],[Počet MJHR (P0)]],IF(RZ[[#This Row],[Měrná jednotka CR (MJCR) (P0)]]=RZ[[#This Row],[Měrná jednotka HR '[MJHR'] (P0)]],RZ[[#This Row],[Počet MJHR (P0)]],IF($IW59=$JL$15,JY59,IF($IW59=$KE$15,KR59,IF($IW59=$KX$15,LK59,IF($IW59=$LQ$15,MD59,IF($IW59=$MJ$15,NR59,0))))))))))))))))</f>
        <v>0</v>
      </c>
      <c r="IK5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59" s="145">
        <f ca="1">IF(AND(RZ[[#This Row],[Jednotková cena bez DPH '[cena/MJCR'] (P0)]]=0,RZ[[#This Row],[Indikativní jednotková cena '[CZK/kg'] (P1)]]&lt;&gt;0),1,0)</f>
        <v>1</v>
      </c>
      <c r="IM59" s="217">
        <f ca="1">VLOOKUP(RZ[[#This Row],[Kód položek]],INDIKAT_CENA,2,FALSE)</f>
        <v>115</v>
      </c>
      <c r="IN59" s="222">
        <f ca="1">IF(RZ[[#This Row],[Rozhodný sloupec indikativní ceny]]=1,RZ[[#This Row],[Indikativní jednotková cena '[CZK/kg'] (P1)]],RZ[[#This Row],[Jednotková cena bez DPH '[cena/MJCR'] (P0)]])</f>
        <v>115</v>
      </c>
      <c r="IO59" s="222">
        <f t="shared" si="473"/>
        <v>1</v>
      </c>
      <c r="IP59" s="224">
        <f ca="1">IF(RZ[[#This Row],[Rozhodný sloupec indikativní ceny]]=1,1,IF($IW59=$JL$15,KA59,IF($IW59=$KE$15,KT59,IF($IW59=$KX$15,LM59,IF($IW59=$LQ$15,MF59,IF($IW59=$MJ$15,NT59,0))))))</f>
        <v>1</v>
      </c>
      <c r="IQ59" s="225">
        <f ca="1">IF(RZ[[#This Row],[Jednotková cena bez DPH '[cena/MJCR'] (P1)]]="",0,IF(IP59=0,0,(RZ[[#This Row],[Jednotková cena bez DPH '[cena/MJCR'] (P1)]]*VLOOKUP(IP59,$BR$7:$BT$10,3))))</f>
        <v>115</v>
      </c>
      <c r="IR59" s="737"/>
      <c r="IS59" s="627">
        <f>IF(HY59=0,"",VLOOKUP(RZ[[#This Row],[Stav Projekce (P0)]],Vstupy!$E$11:'Vstupy'!$E$11:$H$17,4,FALSE))</f>
        <v>100</v>
      </c>
      <c r="IT59" s="925" t="str">
        <f>IF(RZ[[#This Row],[Stav Projekce (P0)]]=0,"",RZ[[#This Row],[Stav Projekce (P0)]])</f>
        <v>S</v>
      </c>
      <c r="IU59" s="925" t="str">
        <f>IF(RZ[[#This Row],[Stav Nákup (P0)]]=0,"",RZ[[#This Row],[Stav Nákup (P0)]])</f>
        <v/>
      </c>
      <c r="IV59" s="926" t="str">
        <f t="shared" si="474"/>
        <v/>
      </c>
      <c r="IW59" s="641">
        <v>1</v>
      </c>
      <c r="IX59" s="630"/>
      <c r="IY59" s="264"/>
      <c r="IZ59" s="648"/>
      <c r="JA59" s="100"/>
      <c r="JB59" s="100" t="s">
        <v>787</v>
      </c>
      <c r="JC59" s="100"/>
      <c r="JD59" s="100"/>
      <c r="JE59" s="100"/>
      <c r="JF59" s="100"/>
      <c r="JG59" s="100"/>
      <c r="JH59" s="100"/>
      <c r="JI59" s="100"/>
      <c r="JJ59" s="145" t="s">
        <v>773</v>
      </c>
      <c r="JK59" s="529"/>
      <c r="JL59" s="286"/>
      <c r="JM59" s="100"/>
      <c r="JN59" s="100"/>
      <c r="JO59" s="145" t="s">
        <v>35</v>
      </c>
      <c r="JP59" s="117">
        <v>4</v>
      </c>
      <c r="JQ59" s="117">
        <v>6.6</v>
      </c>
      <c r="JR59" s="148">
        <v>1</v>
      </c>
      <c r="JS59" s="145" t="s">
        <v>602</v>
      </c>
      <c r="JT59" s="631"/>
      <c r="JU59" s="148"/>
      <c r="JV59" s="154"/>
      <c r="JW59" s="145"/>
      <c r="JX59" s="210"/>
      <c r="JY59" s="117"/>
      <c r="JZ59" s="662"/>
      <c r="KA59" s="145"/>
      <c r="KB59" s="148"/>
      <c r="KC59" s="148"/>
      <c r="KD59" s="644"/>
      <c r="KE59" s="286"/>
      <c r="KF59" s="100"/>
      <c r="KG59" s="100"/>
      <c r="KH59" s="210"/>
      <c r="KI59" s="117"/>
      <c r="KJ59" s="117"/>
      <c r="KK59" s="148"/>
      <c r="KL59" s="145"/>
      <c r="KM59" s="632"/>
      <c r="KN59" s="148"/>
      <c r="KO59" s="154"/>
      <c r="KP59" s="154"/>
      <c r="KQ59" s="210"/>
      <c r="KR59" s="117"/>
      <c r="KS59" s="211"/>
      <c r="KT59" s="145"/>
      <c r="KU59" s="148"/>
      <c r="KV59" s="148"/>
      <c r="KW59" s="265"/>
      <c r="KX59" s="286"/>
      <c r="KY59" s="100"/>
      <c r="KZ59" s="100"/>
      <c r="LA59" s="210"/>
      <c r="LB59" s="117"/>
      <c r="LC59" s="117"/>
      <c r="LD59" s="148"/>
      <c r="LE59" s="145"/>
      <c r="LF59" s="632"/>
      <c r="LG59" s="148"/>
      <c r="LH59" s="154"/>
      <c r="LI59" s="154"/>
      <c r="LJ59" s="154"/>
      <c r="LK59" s="117"/>
      <c r="LL59" s="211"/>
      <c r="LM59" s="210"/>
      <c r="LN59" s="148"/>
      <c r="LO59" s="148"/>
      <c r="LP59" s="265"/>
      <c r="LQ59" s="286"/>
      <c r="LR59" s="100"/>
      <c r="LS59" s="100"/>
      <c r="LT59" s="210"/>
      <c r="LU59" s="117"/>
      <c r="LV59" s="117"/>
      <c r="LW59" s="148"/>
      <c r="LX59" s="145"/>
      <c r="LY59" s="632"/>
      <c r="LZ59" s="148"/>
      <c r="MA59" s="154"/>
      <c r="MB59" s="154"/>
      <c r="MC59" s="145"/>
      <c r="MD59" s="117"/>
      <c r="ME59" s="211"/>
      <c r="MF59" s="210"/>
      <c r="MG59" s="148"/>
      <c r="MH59" s="148"/>
      <c r="MI59" s="265"/>
      <c r="MJ59" s="647"/>
      <c r="MK59" s="264"/>
      <c r="ML59" s="153"/>
      <c r="MM59" s="153"/>
      <c r="MN59" s="153"/>
      <c r="MO59" s="153"/>
      <c r="MP59" s="153"/>
      <c r="MQ59" s="153"/>
      <c r="MR59" s="153"/>
      <c r="MS59" s="99"/>
      <c r="MT59" s="99"/>
      <c r="MU59" s="99"/>
      <c r="MV59" s="99"/>
      <c r="MW59" s="99"/>
      <c r="MX59" s="99"/>
      <c r="MY59" s="153"/>
      <c r="MZ59" s="153"/>
      <c r="NA59" s="153"/>
      <c r="NB59" s="153"/>
      <c r="NC59" s="153"/>
      <c r="ND59" s="153"/>
      <c r="NE59" s="148"/>
      <c r="NF59" s="153"/>
      <c r="NG59" s="153"/>
      <c r="NH59" s="330" t="str">
        <f t="shared" si="475"/>
        <v>ks</v>
      </c>
      <c r="NI59" s="797">
        <f>RZ[[#This Row],[Počet ks (K)]]</f>
        <v>0</v>
      </c>
      <c r="NJ59" s="798">
        <f>RZ[[#This Row],[Hmotnost '[kg/ks'] (K)]]</f>
        <v>0</v>
      </c>
      <c r="NK59" s="148"/>
      <c r="NL59" s="145"/>
      <c r="NM59" s="632"/>
      <c r="NN59" s="148"/>
      <c r="NO59" s="154"/>
      <c r="NP59" s="153"/>
      <c r="NQ59" s="153"/>
      <c r="NR59" s="210"/>
      <c r="NS59" s="148"/>
      <c r="NT59" s="210"/>
      <c r="NU59" s="148"/>
      <c r="NV59" s="148"/>
      <c r="NW59" s="175"/>
    </row>
    <row r="60" spans="2:387" ht="15.95" customHeight="1" x14ac:dyDescent="0.35">
      <c r="B60" s="118" t="str">
        <f t="shared" si="359"/>
        <v/>
      </c>
      <c r="C6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0" s="262" t="str">
        <f t="shared" si="360"/>
        <v xml:space="preserve">    Víko</v>
      </c>
      <c r="E60" s="120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Row],[Kód položek (P2)]]))))))))))</f>
        <v>STO2</v>
      </c>
      <c r="F60" s="791" t="str">
        <f t="shared" si="361"/>
        <v>N/A</v>
      </c>
      <c r="G60" s="792" t="str">
        <f t="shared" si="362"/>
        <v/>
      </c>
      <c r="H60" s="262" t="str">
        <f t="shared" si="363"/>
        <v/>
      </c>
      <c r="I60" s="123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HR '[MJHR'] (P0)]]))))))))))</f>
        <v>ks</v>
      </c>
      <c r="J60" s="123">
        <f t="shared" si="364"/>
        <v>4</v>
      </c>
      <c r="K60" s="793">
        <f>RZ[[#This Row],[Koeficient odhadu HR '[-'] (P1)]]</f>
        <v>1</v>
      </c>
      <c r="L60" s="124">
        <f ca="1">RZ[[#This Row],[Jednotková hmotnost s koef. '[kg/MJHR'] (P0)]]</f>
        <v>6.6</v>
      </c>
      <c r="M60" s="794">
        <f t="shared" ca="1" si="365"/>
        <v>0</v>
      </c>
      <c r="N60" s="125">
        <f t="shared" ca="1" si="366"/>
        <v>26.4</v>
      </c>
      <c r="O60" s="125">
        <f t="shared" ca="1" si="367"/>
        <v>0</v>
      </c>
      <c r="P60" s="126" t="str">
        <f t="shared" si="368"/>
        <v/>
      </c>
      <c r="Q60" s="795">
        <f ca="1">RZ[[#This Row],[Počet MJHR v rozpadu (P0)]]</f>
        <v>8</v>
      </c>
      <c r="R60" s="439" t="str">
        <f t="shared" si="369"/>
        <v/>
      </c>
      <c r="S60" s="129" t="str">
        <f t="shared" si="370"/>
        <v/>
      </c>
      <c r="T60" s="126" t="str">
        <f t="shared" si="371"/>
        <v/>
      </c>
      <c r="U60" s="126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CR (MJCR) (P0)]]))))))))))</f>
        <v>kg</v>
      </c>
      <c r="V60" s="575">
        <f t="shared" ca="1" si="372"/>
        <v>26.4</v>
      </c>
      <c r="W60" s="322">
        <f>RZ[[#This Row],[Koeficient odhadu CR '[-'] (P1)]]</f>
        <v>1</v>
      </c>
      <c r="X60" s="440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Row],[Jednotková cena bez DPH '[cena/MJCR'] (P1)]]*RZ[[#This Row],[Koeficient odhadu CR '[-']]]))))))))))</f>
        <v>115</v>
      </c>
      <c r="Y60" s="440">
        <f t="shared" ca="1" si="373"/>
        <v>0</v>
      </c>
      <c r="Z60" s="142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VLOOKUP(IP60,$BR$7:$BS$11,2,FALSE)))))))))))</f>
        <v>CZK</v>
      </c>
      <c r="AA60" s="909">
        <f t="shared" ca="1" si="374"/>
        <v>52.8</v>
      </c>
      <c r="AB60" s="910">
        <f ca="1">RZ[[#This Row],[Kumulovaný koeficient v rozpadu (P0)]]</f>
        <v>1</v>
      </c>
      <c r="AC60" s="261"/>
      <c r="AD60" s="796">
        <f ca="1">RZ[[#This Row],[Jednotková cena bez DPH '[cena/MJCR'] s koef. (P0)]]/RZ[[#This Row],[Koeficient odhadu CR '[-']]]*RZ[[#This Row],[Kumulovaný koeficient odhadu CR  '[-']]]</f>
        <v>115</v>
      </c>
      <c r="AE60" s="796">
        <f t="shared" ca="1" si="375"/>
        <v>6072</v>
      </c>
      <c r="AF60" s="796">
        <f ca="1">-IF(ISNUMBER(AA60),RZ[[#This Row],[Celková cena bez DPH (1)]]-RZ[[#This Row],[Jednotková cena bez DPH '[cena/MJCR'] bez koef. (P0)]]*AA60,0)</f>
        <v>0</v>
      </c>
      <c r="AG6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0" s="261"/>
      <c r="AI60" s="796">
        <f t="shared" ca="1" si="376"/>
        <v>4.2592592592592595</v>
      </c>
      <c r="AJ60" s="796">
        <f t="shared" ca="1" si="377"/>
        <v>224.88888888888889</v>
      </c>
      <c r="AK60" s="796">
        <f t="shared" ca="1" si="378"/>
        <v>0</v>
      </c>
      <c r="AL60" s="753">
        <f ca="1">RZ[[#This Row],[Kilogramová cena bez DPH '[cena/kg'] (1)]]/$AK$13</f>
        <v>4.2592592592592595</v>
      </c>
      <c r="AM60" s="261"/>
      <c r="AN60" s="796">
        <f t="shared" ca="1" si="379"/>
        <v>5.5555555555555554</v>
      </c>
      <c r="AO60" s="796">
        <f t="shared" ca="1" si="380"/>
        <v>293.33333333333337</v>
      </c>
      <c r="AP60" s="796">
        <f t="shared" ca="1" si="381"/>
        <v>0</v>
      </c>
      <c r="AQ60" s="753">
        <f ca="1">RZ[[#This Row],[Kilogramová cena bez DPH '[cena/kg'] (1)]]/$AP$13</f>
        <v>5.5555555555555554</v>
      </c>
      <c r="AR60" s="261"/>
      <c r="AS60" s="796">
        <f t="shared" ca="1" si="382"/>
        <v>3.1455142231947484</v>
      </c>
      <c r="AT60" s="796">
        <f t="shared" ca="1" si="383"/>
        <v>166.0831509846827</v>
      </c>
      <c r="AU60" s="789">
        <f t="shared" ca="1" si="384"/>
        <v>0</v>
      </c>
      <c r="AV60" s="767">
        <f ca="1">RZ[[#This Row],[Kilogramová cena bez DPH '[cena/kg'] (1)]]/$AU$13</f>
        <v>3.1455142231947484</v>
      </c>
      <c r="AW60" s="165"/>
      <c r="AX60" s="911">
        <f t="shared" ca="1" si="385"/>
        <v>2</v>
      </c>
      <c r="AY60" s="111">
        <f t="shared" ca="1" si="386"/>
        <v>2</v>
      </c>
      <c r="AZ60" s="111">
        <f t="shared" ca="1" si="387"/>
        <v>5</v>
      </c>
      <c r="BA60" s="111">
        <f t="shared" ca="1" si="388"/>
        <v>0</v>
      </c>
      <c r="BB60" s="111">
        <f t="shared" ca="1" si="389"/>
        <v>0</v>
      </c>
      <c r="BC60" s="111">
        <f t="shared" ca="1" si="390"/>
        <v>0</v>
      </c>
      <c r="BD60" s="111">
        <f t="shared" ca="1" si="391"/>
        <v>0</v>
      </c>
      <c r="BE60" s="111">
        <f t="shared" ca="1" si="392"/>
        <v>0</v>
      </c>
      <c r="BF60" s="111">
        <f t="shared" ca="1" si="393"/>
        <v>0</v>
      </c>
      <c r="BG60" s="112">
        <f t="shared" ca="1" si="394"/>
        <v>0</v>
      </c>
      <c r="BH60" s="911">
        <f t="shared" si="395"/>
        <v>0</v>
      </c>
      <c r="BI60" s="111">
        <f t="shared" si="396"/>
        <v>0</v>
      </c>
      <c r="BJ60" s="111">
        <f t="shared" si="397"/>
        <v>1</v>
      </c>
      <c r="BK60" s="111">
        <f t="shared" si="398"/>
        <v>0</v>
      </c>
      <c r="BL60" s="111">
        <f t="shared" si="399"/>
        <v>0</v>
      </c>
      <c r="BM60" s="111">
        <f t="shared" si="400"/>
        <v>0</v>
      </c>
      <c r="BN60" s="111">
        <f t="shared" si="401"/>
        <v>0</v>
      </c>
      <c r="BO60" s="111">
        <f t="shared" si="402"/>
        <v>0</v>
      </c>
      <c r="BP60" s="111">
        <f t="shared" si="403"/>
        <v>0</v>
      </c>
      <c r="BQ60" s="112">
        <f t="shared" si="404"/>
        <v>0</v>
      </c>
      <c r="BR60" s="132">
        <f ca="1">IF(OFFSET(AY60,1,0,1,1)&lt;&gt;0,RZ[[#This Row],[Koeficient odhadu HR '[-'] (P1)]]*$BH60*SUMIFS(RZ[Úroveň 2 s koef. (P2)],RZ[0],AX60),RZ[[#This Row],[Koeficient odhadu HR '[-'] (P1)]]*$BH60*$IG60)</f>
        <v>0</v>
      </c>
      <c r="BS60" s="186">
        <f ca="1">IF(OFFSET(AY60,1,0,1,1)&lt;&gt;0,$BH60*SUMIFS(RZ[Úroveň 2 bez koef. (P2)],RZ[0],AX60),$BH60*$IG60)</f>
        <v>0</v>
      </c>
      <c r="BT60" s="138">
        <f ca="1">RZ[[#This Row],[Úroveň 2 s koef. (P2a)]]*RZ[[#This Row],[Počet MJHR (P0)]]</f>
        <v>0</v>
      </c>
      <c r="BU60" s="138">
        <f ca="1">RZ[[#This Row],[Úroveň 2 bez koef. (P2a)]]*RZ[[#This Row],[Počet MJHR (P0)]]</f>
        <v>0</v>
      </c>
      <c r="BV60" s="138">
        <f ca="1">IF(OFFSET(AZ60,1,0,1,1)&lt;&gt;0,RZ[[#This Row],[Koeficient odhadu HR '[-'] (P1)]]*$BI60*SUMIFS(RZ[Úroveň 3 s koef. (P2)],RZ[0],AX60,RZ[Úroveň 2 (P0)],AY60),RZ[[#This Row],[Koeficient odhadu HR '[-'] (P1)]]*$BI60*$IG60)</f>
        <v>0</v>
      </c>
      <c r="BW60" s="138">
        <f ca="1">IF(OFFSET(AZ60,1,0,1,1)&lt;&gt;0,$BI60*SUMIFS(RZ[Úroveň 3 bez koef. (P2)],RZ[0],AX60,RZ[Úroveň 2 (P0)],AY60),$BI60*$IG60)</f>
        <v>0</v>
      </c>
      <c r="BX60" s="132">
        <f ca="1">RZ[[#This Row],[Úroveň 3 s koef. (P2a)]]*RZ[[#This Row],[Počet MJHR (P0)]]</f>
        <v>26.4</v>
      </c>
      <c r="BY60" s="132">
        <f ca="1">RZ[Úroveň 3 bez koef. (P2a)]*RZ[[#This Row],[Počet MJHR (P0)]]</f>
        <v>26.4</v>
      </c>
      <c r="BZ60" s="132">
        <f ca="1">IF(OFFSET(BA60,1,0,1,1)&lt;&gt;0,RZ[[#This Row],[Koeficient odhadu HR '[-'] (P1)]]*$BJ60*SUMIFS(RZ[Úroveň 4 s koef. (P2)],RZ[0],AX60,RZ[Úroveň 2 (P0)],AY60,RZ[Úroveň 3 (P0)],AZ60),RZ[[#This Row],[Koeficient odhadu HR '[-'] (P1)]]*$BJ60*$IG60)</f>
        <v>6.6</v>
      </c>
      <c r="CA60" s="132">
        <f ca="1">IF(OFFSET(BA60,1,0,1,1)&lt;&gt;0,$BJ60*SUMIFS(RZ[Úroveň 4 bez koef. (P2)],RZ[0],AX60,RZ[Úroveň 2 (P0)],AY60,RZ[Úroveň 3 (P0)],AZ60),$BJ60*$IG60)</f>
        <v>6.6</v>
      </c>
      <c r="CB60" s="138">
        <f ca="1">RZ[[#This Row],[Úroveň 4 s koef. (P2a)]]*RZ[[#This Row],[Počet MJHR (P0)]]</f>
        <v>0</v>
      </c>
      <c r="CC60" s="138">
        <f ca="1">RZ[Úroveň 4 bez koef. (P2a)]*RZ[[#This Row],[Počet MJHR (P0)]]</f>
        <v>0</v>
      </c>
      <c r="CD60" s="138">
        <f ca="1">IF(OFFSET(BB60,1,0,1,1)&lt;&gt;0,RZ[[#This Row],[Koeficient odhadu HR '[-'] (P1)]]*$BK60*SUMIFS(RZ[Úroveň 5 s koef. (P2)],RZ[0],AX60,RZ[Úroveň 2 (P0)],AY60,RZ[Úroveň 3 (P0)],AZ60,RZ[Úroveň 4 (P0)],BA60),RZ[[#This Row],[Koeficient odhadu HR '[-'] (P1)]]*$BK60*$IG60)</f>
        <v>0</v>
      </c>
      <c r="CE60" s="138">
        <f ca="1">IF(OFFSET(BB60,1,0,1,1)&lt;&gt;0,$BK60*SUMIFS(RZ[Úroveň 5 bez koef. (P2)],RZ[0],AX60,RZ[Úroveň 2 (P0)],AY60,RZ[Úroveň 3 (P0)],AZ60,RZ[Úroveň 4 (P0)],BA60),$BK60*$IG60)</f>
        <v>0</v>
      </c>
      <c r="CF60" s="132">
        <f ca="1">RZ[[#This Row],[Úroveň 5 s koef. (P2a)]]*RZ[[#This Row],[Počet MJHR (P0)]]</f>
        <v>0</v>
      </c>
      <c r="CG60" s="132">
        <f ca="1">RZ[Úroveň 5 bez koef. (P2a)]*RZ[[#This Row],[Počet MJHR (P0)]]</f>
        <v>0</v>
      </c>
      <c r="CH60" s="132">
        <f ca="1">IF(OFFSET(BC60,1,0,1,1)&lt;&gt;0,RZ[[#This Row],[Koeficient odhadu HR '[-'] (P1)]]*$BL60*SUMIFS(RZ[Úroveň 6 s koef. (P2)],RZ[0],AX60,RZ[Úroveň 2 (P0)],AY60,RZ[Úroveň 3 (P0)],AZ60,RZ[Úroveň 4 (P0)],BA60,RZ[Úroveň 5 (P0)],BB60),RZ[[#This Row],[Koeficient odhadu HR '[-'] (P1)]]*$BL60*$IG60)</f>
        <v>0</v>
      </c>
      <c r="CI60" s="132">
        <f ca="1">IF(OFFSET(BC60,1,0,1,1)&lt;&gt;0,$BL60*SUMIFS(RZ[Úroveň 6 bez koef. (P2)],RZ[0],AX60,RZ[Úroveň 2 (P0)],AY60,RZ[Úroveň 3 (P0)],AZ60,RZ[Úroveň 4 (P0)],BA60,RZ[Úroveň 5 (P0)],BB60),$BL60*$IG60)</f>
        <v>0</v>
      </c>
      <c r="CJ60" s="138">
        <f ca="1">RZ[[#This Row],[Úroveň 6 s koef. (P2a)]]*RZ[[#This Row],[Počet MJHR (P0)]]</f>
        <v>0</v>
      </c>
      <c r="CK60" s="138">
        <f ca="1">RZ[Úroveň 6 bez koef. (P2a)]*RZ[[#This Row],[Počet MJHR (P0)]]</f>
        <v>0</v>
      </c>
      <c r="CL60" s="138">
        <f ca="1">IF(OFFSET(BD60,1,0,1,1)&lt;&gt;0,RZ[[#This Row],[Koeficient odhadu HR '[-'] (P1)]]*$BM60*SUMIFS(RZ[Úroveň 7 s koef. (P2)],RZ[0],AX60,RZ[Úroveň 2 (P0)],AY60,RZ[Úroveň 3 (P0)],AZ60,RZ[Úroveň 4 (P0)],BA60,RZ[Úroveň 5 (P0)],BB60,RZ[Úroveň 6 (P0)],BC60),RZ[[#This Row],[Koeficient odhadu HR '[-'] (P1)]]*$BM60*$IG60)</f>
        <v>0</v>
      </c>
      <c r="CM60" s="138">
        <f ca="1">IF(OFFSET(BD60,1,0,1,1)&lt;&gt;0,$BM60*SUMIFS(RZ[Úroveň 7 bez koef. (P2)],RZ[0],AX60,RZ[Úroveň 2 (P0)],AY60,RZ[Úroveň 3 (P0)],AZ60,RZ[Úroveň 4 (P0)],BA60,RZ[Úroveň 5 (P0)],BB60,RZ[Úroveň 6 (P0)],BC60),$BM60*$IG60)</f>
        <v>0</v>
      </c>
      <c r="CN60" s="132">
        <f ca="1">RZ[[#This Row],[Úroveň 7 s koef. (P2a)]]*RZ[[#This Row],[Počet MJHR (P0)]]</f>
        <v>0</v>
      </c>
      <c r="CO60" s="132">
        <f ca="1">RZ[Úroveň 7 bez koef. (P2a)]*RZ[[#This Row],[Počet MJHR (P0)]]</f>
        <v>0</v>
      </c>
      <c r="CP60" s="132">
        <f ca="1">IF(OFFSET(BE60,1,0,1,1)&lt;&gt;0,RZ[[#This Row],[Koeficient odhadu HR '[-'] (P1)]]*$BN60*SUMIFS(RZ[Úroveň 8 s koef. (P2)],RZ[0],AX60,RZ[Úroveň 2 (P0)],AY60,RZ[Úroveň 3 (P0)],AZ60,RZ[Úroveň 4 (P0)],BA60,RZ[Úroveň 5 (P0)],BB60,RZ[Úroveň 6 (P0)],BC60,RZ[Úroveň 7 (P0)],BD60),RZ[[#This Row],[Koeficient odhadu HR '[-'] (P1)]]*$BN60*$IG60)</f>
        <v>0</v>
      </c>
      <c r="CQ60" s="132">
        <f ca="1">IF(OFFSET(BE60,1,0,1,1)&lt;&gt;0,$BN60*SUMIFS(RZ[Úroveň 8 bez koef. (P2)],RZ[0],AX60,RZ[Úroveň 2 (P0)],AY60,RZ[Úroveň 3 (P0)],AZ60,RZ[Úroveň 4 (P0)],BA60,RZ[Úroveň 5 (P0)],BB60,RZ[Úroveň 6 (P0)],BC60,RZ[Úroveň 7 (P0)],BD60),$BN60*$IG60)</f>
        <v>0</v>
      </c>
      <c r="CR60" s="138">
        <f ca="1">RZ[[#This Row],[Úroveň 8 s koef. (P2a)]]*RZ[[#This Row],[Počet MJHR (P0)]]</f>
        <v>0</v>
      </c>
      <c r="CS60" s="138">
        <f ca="1">RZ[Úroveň 8 bez koef. (P2a)]*RZ[[#This Row],[Počet MJHR (P0)]]</f>
        <v>0</v>
      </c>
      <c r="CT60" s="138">
        <f ca="1">IF(OFFSET(BF60,1,0,1,1)&lt;&gt;0,RZ[[#This Row],[Koeficient odhadu HR '[-'] (P1)]]*$BO60*SUMIFS(RZ[Úroveň 9 s koef. (P2)],RZ[0],AX60,RZ[Úroveň 2 (P0)],AY60,RZ[Úroveň 3 (P0)],AZ60,RZ[Úroveň 4 (P0)],BA60,RZ[Úroveň 5 (P0)],BB60,RZ[Úroveň 6 (P0)],BC60,RZ[Úroveň 7 (P0)],BD60,RZ[Úroveň 8 (P0)],BE60),RZ[[#This Row],[Koeficient odhadu HR '[-'] (P1)]]*$BO60*$IG60)</f>
        <v>0</v>
      </c>
      <c r="CU60" s="138">
        <f ca="1">IF(OFFSET(BF60,1,0,1,1)&lt;&gt;0,$BO60*SUMIFS(RZ[Úroveň 9 bez koef. (P2)],RZ[0],AX60,RZ[Úroveň 2 (P0)],AY60,RZ[Úroveň 3 (P0)],AZ60,RZ[Úroveň 4 (P0)],BA60,RZ[Úroveň 5 (P0)],BB60,RZ[Úroveň 6 (P0)],BC60,RZ[Úroveň 7 (P0)],BD60,RZ[Úroveň 8 (P0)],BE60),$BO60*$IG60)</f>
        <v>0</v>
      </c>
      <c r="CV60" s="132">
        <f ca="1">RZ[[#This Row],[Úroveň 9 s koef. (P2a)]]*RZ[[#This Row],[Počet MJHR (P0)]]</f>
        <v>0</v>
      </c>
      <c r="CW60" s="132">
        <f ca="1">RZ[Úroveň 9 bez koef. (P2a)]*RZ[[#This Row],[Počet MJHR (P0)]]</f>
        <v>0</v>
      </c>
      <c r="CX60" s="132">
        <f ca="1">IF(OFFSET(BG60,1,0,1,1)&lt;&gt;0,RZ[[#This Row],[Koeficient odhadu HR '[-'] (P1)]]*$BP60*SUMIFS(RZ[Úroveň 10 s koef. (P2)],RZ[0],AX60,RZ[Úroveň 2 (P0)],AY60,RZ[Úroveň 3 (P0)],AZ60,RZ[Úroveň 4 (P0)],BA60,RZ[Úroveň 5 (P0)],BB60,RZ[Úroveň 6 (P0)],BC60,RZ[Úroveň 7 (P0)],BD60,RZ[Úroveň 8 (P0)],BE60,RZ[Úroveň 9 (P0)],BF60),RZ[[#This Row],[Koeficient odhadu HR '[-'] (P1)]]*$BP60*$IG60)</f>
        <v>0</v>
      </c>
      <c r="CY60" s="132">
        <f ca="1">IF(OFFSET(BG60,1,0,1,1)&lt;&gt;0,$BP60*SUMIFS(RZ[Úroveň 10 bez koef. (P2)],RZ[0],AX60,RZ[Úroveň 2 (P0)],AY60,RZ[Úroveň 3 (P0)],AZ60,RZ[Úroveň 4 (P0)],BA60,RZ[Úroveň 5 (P0)],BB60,RZ[Úroveň 6 (P0)],BC60,RZ[Úroveň 7 (P0)],BD60,RZ[Úroveň 8 (P0)],BE60,RZ[Úroveň 9 (P0)],BF60),$BP60*$IG60)</f>
        <v>0</v>
      </c>
      <c r="CZ60" s="138">
        <f>RZ[[#This Row],[Úroveň 10 s koef. (P2a)]]*RZ[[#This Row],[Počet MJHR (P0)]]</f>
        <v>0</v>
      </c>
      <c r="DA60" s="138">
        <f>RZ[Úroveň 10 bez koef. (P2a)]*RZ[[#This Row],[Počet MJHR (P0)]]</f>
        <v>0</v>
      </c>
      <c r="DB60" s="138">
        <f>RZ[[#This Row],[Koeficient odhadu HR '[-'] (P1)]]*$BQ60*IG60</f>
        <v>0</v>
      </c>
      <c r="DC60" s="231">
        <f t="shared" si="405"/>
        <v>0</v>
      </c>
      <c r="DD60" s="241">
        <f t="shared" ca="1" si="406"/>
        <v>6.6</v>
      </c>
      <c r="DE60" s="229">
        <f t="shared" ca="1" si="407"/>
        <v>6.6</v>
      </c>
      <c r="DF60" s="912">
        <f t="shared" si="408"/>
        <v>0</v>
      </c>
      <c r="DG60" s="913">
        <f t="shared" si="409"/>
        <v>0</v>
      </c>
      <c r="DH60" s="913">
        <f t="shared" si="410"/>
        <v>4</v>
      </c>
      <c r="DI60" s="913">
        <f t="shared" si="411"/>
        <v>0</v>
      </c>
      <c r="DJ60" s="913">
        <f t="shared" si="412"/>
        <v>0</v>
      </c>
      <c r="DK60" s="913">
        <f t="shared" si="413"/>
        <v>0</v>
      </c>
      <c r="DL60" s="913">
        <f t="shared" si="414"/>
        <v>0</v>
      </c>
      <c r="DM60" s="913">
        <f t="shared" si="415"/>
        <v>0</v>
      </c>
      <c r="DN60" s="913">
        <f t="shared" si="416"/>
        <v>0</v>
      </c>
      <c r="DO60" s="913">
        <f t="shared" si="417"/>
        <v>0</v>
      </c>
      <c r="DP60" s="914">
        <f ca="1">SUMIFS(RZ[Úroveň 1 (P4)],RZ[0],AX60)</f>
        <v>1</v>
      </c>
      <c r="DQ60" s="914">
        <f ca="1">SUMIFS(RZ[Úroveň 2 (P4)],RZ[0],AX60,RZ[Úroveň 2 (P0)],AY60)</f>
        <v>2</v>
      </c>
      <c r="DR60" s="914">
        <f ca="1">SUMIFS(RZ[Úroveň 3 (P4)],RZ[0],AX60,RZ[Úroveň 2 (P0)],AY60,RZ[Úroveň 3 (P0)],AZ60)</f>
        <v>4</v>
      </c>
      <c r="DS60" s="914">
        <f ca="1">SUMIFS(RZ[Úroveň 4 (P4)],RZ[0],AX60,RZ[Úroveň 2 (P0)],AY60,RZ[Úroveň 3 (P0)],AZ60,RZ[Úroveň 4 (P0)],BA60)</f>
        <v>0</v>
      </c>
      <c r="DT60" s="914">
        <f ca="1">SUMIFS(RZ[Úroveň 5 (P4)],RZ[0],AX60,RZ[Úroveň 2 (P0)],AY60,RZ[Úroveň 3 (P0)],AZ60,RZ[Úroveň 4 (P0)],BA60,RZ[Úroveň 5 (P0)],BB60)</f>
        <v>0</v>
      </c>
      <c r="DU60" s="914">
        <f ca="1">SUMIFS(RZ[Úroveň 6 (P4)],RZ[0],AX60,RZ[Úroveň 2 (P0)],AY60,RZ[Úroveň 3 (P0)],AZ60,RZ[Úroveň 4 (P0)],BA60,RZ[Úroveň 5 (P0)],BB60,RZ[Úroveň 6 (P0)],BC60)</f>
        <v>0</v>
      </c>
      <c r="DV60" s="914">
        <f ca="1">SUMIFS(RZ[Úroveň 7 (P4)],RZ[0],AX60,RZ[Úroveň 2 (P0)],AY60,RZ[Úroveň 3 (P0)],AZ60,RZ[Úroveň 4 (P0)],BA60,RZ[Úroveň 5 (P0)],BB60,RZ[Úroveň 6 (P0)],BC60,RZ[Úroveň 7 (P0)],BD60)</f>
        <v>0</v>
      </c>
      <c r="DW60" s="914">
        <f ca="1">SUMIFS(RZ[Úroveň 8 (P4)],RZ[0],AX60,RZ[Úroveň 2 (P0)],AY60,RZ[Úroveň 3 (P0)],AZ60,RZ[Úroveň 4 (P0)],BA60,RZ[Úroveň 5 (P0)],BB60,RZ[Úroveň 6 (P0)],BC60,RZ[Úroveň 7 (P0)],BD60,RZ[Úroveň 8 (P0)],BE60)</f>
        <v>0</v>
      </c>
      <c r="DX60" s="914">
        <f ca="1">SUMIFS(RZ[Úroveň 9 (P4)],RZ[0],AX60,RZ[Úroveň 2 (P0)],AY60,RZ[Úroveň 3 (P0)],AZ60,RZ[Úroveň 4 (P0)],BA60,RZ[Úroveň 5 (P0)],BB60,RZ[Úroveň 6 (P0)],BC60,RZ[Úroveň 7 (P0)],BD60,RZ[Úroveň 8 (P0)],BE60,RZ[Úroveň 9 (P0)],BF60)</f>
        <v>0</v>
      </c>
      <c r="DY60" s="914">
        <f ca="1">SUMIFS(RZ[Úroveň 10 (P4)],RZ[0],AX60,RZ[Úroveň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DZ60" s="915">
        <f t="shared" ca="1" si="418"/>
        <v>8</v>
      </c>
      <c r="EA60" s="916">
        <f ca="1">RZ[[#This Row],[Jednotková hmotnost bez koef. '[kg/MJHR'] (P0)]]*RZ[[#This Row],[Počet MJHR v rozpadu (P0)]]</f>
        <v>52.8</v>
      </c>
      <c r="EB60" s="917">
        <f ca="1">IF(OFFSET(AY60,1,0,1,1)&lt;&gt;0,RZ[[#This Row],[Koeficient odhadu CR '[-'] (P1)]]*$BH60*SUMIFS(RZ[Úroveň 2 s koef. (P3)],RZ[0],AX60),RZ[[#This Row],[Koeficient odhadu CR '[-'] (P1)]]*$BH60*$IQ60)</f>
        <v>0</v>
      </c>
      <c r="EC60" s="191">
        <f ca="1">IF(OFFSET(AY60,1,0,1,1)&lt;&gt;0,$BH60*SUMIFS(RZ[Úroveň 2 bez koef. (P3)],RZ[0],AX60),$BH60*$IQ60)</f>
        <v>0</v>
      </c>
      <c r="ED60" s="140">
        <f ca="1">RZ[[#This Row],[Úroveň 2 s koef. (P3a)]]*RZ[[#This Row],[Počet MJCR (P0) pro "kg"]]</f>
        <v>0</v>
      </c>
      <c r="EE60" s="140">
        <f ca="1">RZ[Úroveň 2 bez koef. (P3a)]*RZ[[#This Row],[Počet MJCR (P0) pro "kg"]]</f>
        <v>0</v>
      </c>
      <c r="EF60" s="140">
        <f ca="1">IF(OFFSET(AZ60,1,0,1,1)&lt;&gt;0,RZ[[#This Row],[Koeficient odhadu CR '[-'] (P1)]]*$BI60*SUMIFS(RZ[Úroveň 3 s koef. (P3)],RZ[0],AX60,RZ[Úroveň 2 (P0)],AY60),RZ[[#This Row],[Koeficient odhadu CR '[-'] (P1)]]*$BI60*$IQ60)</f>
        <v>0</v>
      </c>
      <c r="EG60" s="140">
        <f ca="1">IF(OFFSET(AZ60,1,0,1,1)&lt;&gt;0,$BI60*SUMIFS(RZ[Úroveň 3 bez koef. (P3)],RZ[0],AX60,RZ[Úroveň 2 (P0)],AY60),$BI60*$IQ60)</f>
        <v>0</v>
      </c>
      <c r="EH60" s="135">
        <f ca="1">RZ[[#This Row],[Úroveň 3 s koef. (P3a)]]*RZ[[#This Row],[Počet MJCR (P0) pro "kg"]]</f>
        <v>3036</v>
      </c>
      <c r="EI60" s="135">
        <f ca="1">RZ[Úroveň 3 bez koef. (P3a)]*RZ[[#This Row],[Počet MJCR (P0) pro "kg"]]</f>
        <v>3036</v>
      </c>
      <c r="EJ60" s="135">
        <f ca="1">IF(OFFSET(BA60,1,0,1,1)&lt;&gt;0,RZ[[#This Row],[Koeficient odhadu CR '[-'] (P1)]]*$BJ60*SUMIFS(RZ[Úroveň 4 s koef. (P3)],RZ[0],AX60,RZ[Úroveň 2 (P0)],AY60,RZ[Úroveň 3 (P0)],AZ60),RZ[[#This Row],[Koeficient odhadu CR '[-'] (P1)]]*$BJ60*$IQ60)</f>
        <v>115</v>
      </c>
      <c r="EK60" s="135">
        <f ca="1">IF(OFFSET(BA60,1,0,1,1)&lt;&gt;0,$BJ60*SUMIFS(RZ[Úroveň 4 bez koef. (P3)],RZ[0],AX60,RZ[Úroveň 2 (P0)],AY60,RZ[Úroveň 3 (P0)],AZ60),$BJ60*$IQ60)</f>
        <v>115</v>
      </c>
      <c r="EL60" s="140">
        <f ca="1">RZ[[#This Row],[Úroveň 4 s koef. (P3a)]]*RZ[[#This Row],[Počet MJCR (P0) pro "kg"]]</f>
        <v>0</v>
      </c>
      <c r="EM60" s="140">
        <f ca="1">RZ[Úroveň 4 bez koef. (P3a)]*RZ[[#This Row],[Počet MJCR (P0) pro "kg"]]</f>
        <v>0</v>
      </c>
      <c r="EN60" s="140">
        <f ca="1">IF(OFFSET(BB60,1,0,1,1)&lt;&gt;0,RZ[[#This Row],[Koeficient odhadu CR '[-'] (P1)]]*$BK60*SUMIFS(RZ[Úroveň 5 s koef. (P3)],RZ[0],AX60,RZ[Úroveň 2 (P0)],AY60,RZ[Úroveň 3 (P0)],AZ60,RZ[Úroveň 4 (P0)],BA60),RZ[[#This Row],[Koeficient odhadu CR '[-'] (P1)]]*$BK60*$IQ60)</f>
        <v>0</v>
      </c>
      <c r="EO60" s="140">
        <f ca="1">IF(OFFSET(BB60,1,0,1,1)&lt;&gt;0,$BK60*SUMIFS(RZ[Úroveň 5 bez koef. (P3)],RZ[0],AX60,RZ[Úroveň 2 (P0)],AY60,RZ[Úroveň 3 (P0)],AZ60,RZ[Úroveň 4 (P0)],BA60),$BK60*$IQ60)</f>
        <v>0</v>
      </c>
      <c r="EP60" s="135">
        <f ca="1">RZ[[#This Row],[Úroveň 5 s koef. (P3a)]]*RZ[[#This Row],[Počet MJCR (P0) pro "kg"]]</f>
        <v>0</v>
      </c>
      <c r="EQ60" s="135">
        <f ca="1">RZ[Úroveň 5 bez koef. (P3a)]*RZ[[#This Row],[Počet MJCR (P0) pro "kg"]]</f>
        <v>0</v>
      </c>
      <c r="ER60" s="135">
        <f ca="1">IF(OFFSET(BC60,1,0,1,1)&lt;&gt;0,RZ[[#This Row],[Koeficient odhadu CR '[-'] (P1)]]*$BL60*SUMIFS(RZ[Úroveň 6 s koef. (P3)],RZ[0],AX60,RZ[Úroveň 2 (P0)],AY60,RZ[Úroveň 3 (P0)],AZ60,RZ[Úroveň 4 (P0)],BA60,RZ[Úroveň 5 (P0)],BB60),RZ[[#This Row],[Koeficient odhadu CR '[-'] (P1)]]*$BL60*$IQ60)</f>
        <v>0</v>
      </c>
      <c r="ES60" s="135">
        <f ca="1">IF(OFFSET(BC60,1,0,1,1)&lt;&gt;0,$BL60*SUMIFS(RZ[Úroveň 6 bez koef. (P3)],RZ[0],AX60,RZ[Úroveň 2 (P0)],AY60,RZ[Úroveň 3 (P0)],AZ60,RZ[Úroveň 4 (P0)],BA60,RZ[Úroveň 5 (P0)],BB60),$BL60*$IQ60)</f>
        <v>0</v>
      </c>
      <c r="ET60" s="140">
        <f ca="1">RZ[[#This Row],[Úroveň 6 s koef. (P3a)]]*RZ[[#This Row],[Počet MJCR (P0) pro "kg"]]</f>
        <v>0</v>
      </c>
      <c r="EU60" s="140">
        <f ca="1">RZ[Úroveň 6 bez koef. (P3a)]*RZ[[#This Row],[Počet MJCR (P0) pro "kg"]]</f>
        <v>0</v>
      </c>
      <c r="EV60" s="140">
        <f ca="1">IF(OFFSET(BD60,1,0,1,1)&lt;&gt;0,RZ[[#This Row],[Koeficient odhadu CR '[-'] (P1)]]*$BM60*SUMIFS(RZ[Úroveň 7 s koef. (P3)],RZ[0],AX60,RZ[Úroveň 2 (P0)],AY60,RZ[Úroveň 3 (P0)],AZ60,RZ[Úroveň 4 (P0)],BA60,RZ[Úroveň 5 (P0)],BB60,RZ[Úroveň 6 (P0)],BC60),RZ[[#This Row],[Koeficient odhadu CR '[-'] (P1)]]*$BM60*$IQ60)</f>
        <v>0</v>
      </c>
      <c r="EW60" s="140">
        <f ca="1">IF(OFFSET(BD60,1,0,1,1)&lt;&gt;0,$BM60*SUMIFS(RZ[Úroveň 7 bez koef. (P3)],RZ[0],AX60,RZ[Úroveň 2 (P0)],AY60,RZ[Úroveň 3 (P0)],AZ60,RZ[Úroveň 4 (P0)],BA60,RZ[Úroveň 5 (P0)],BB60,RZ[Úroveň 6 (P0)],BC60),$BM60*$IQ60)</f>
        <v>0</v>
      </c>
      <c r="EX60" s="135">
        <f ca="1">RZ[[#This Row],[Úroveň 7 s koef. (P3a)]]*RZ[[#This Row],[Počet MJCR (P0) pro "kg"]]</f>
        <v>0</v>
      </c>
      <c r="EY60" s="135">
        <f ca="1">RZ[Úroveň 7 bez koef. (P3a)]*RZ[[#This Row],[Počet MJCR (P0) pro "kg"]]</f>
        <v>0</v>
      </c>
      <c r="EZ60" s="135">
        <f ca="1">IF(OFFSET(BE60,1,0,1,1)&lt;&gt;0,RZ[[#This Row],[Koeficient odhadu CR '[-'] (P1)]]*$BN60*SUMIFS(RZ[Úroveň 8 s koef. (P3)],RZ[0],AX60,RZ[Úroveň 2 (P0)],AY60,RZ[Úroveň 3 (P0)],AZ60,RZ[Úroveň 4 (P0)],BA60,RZ[Úroveň 5 (P0)],BB60,RZ[Úroveň 6 (P0)],BC60,RZ[Úroveň 7 (P0)],BD60),RZ[[#This Row],[Koeficient odhadu CR '[-'] (P1)]]*$BN60*$IQ60)</f>
        <v>0</v>
      </c>
      <c r="FA60" s="135">
        <f ca="1">IF(OFFSET(BE60,1,0,1,1)&lt;&gt;0,$BN60*SUMIFS(RZ[Úroveň 8 bez koef. (P3)],RZ[0],AX60,RZ[Úroveň 2 (P0)],AY60,RZ[Úroveň 3 (P0)],AZ60,RZ[Úroveň 4 (P0)],BA60,RZ[Úroveň 5 (P0)],BB60,RZ[Úroveň 6 (P0)],BC60,RZ[Úroveň 7 (P0)],BD60),$BN60*$IQ60)</f>
        <v>0</v>
      </c>
      <c r="FB60" s="140">
        <f ca="1">RZ[[#This Row],[Úroveň 8 s koef. (P3a)]]*RZ[[#This Row],[Počet MJCR (P0) pro "kg"]]</f>
        <v>0</v>
      </c>
      <c r="FC60" s="140">
        <f ca="1">RZ[Úroveň 8 bez koef. (P3a)]*RZ[[#This Row],[Počet MJCR (P0) pro "kg"]]</f>
        <v>0</v>
      </c>
      <c r="FD60" s="140">
        <f ca="1">IF(OFFSET(BF60,1,0,1,1)&lt;&gt;0,RZ[[#This Row],[Koeficient odhadu CR '[-'] (P1)]]*$BO60*SUMIFS(RZ[Úroveň 9 s koef. (P3)],RZ[0],AX60,RZ[Úroveň 2 (P0)],AY60,RZ[Úroveň 3 (P0)],AZ60,RZ[Úroveň 4 (P0)],BA60,RZ[Úroveň 5 (P0)],BB60,RZ[Úroveň 6 (P0)],BC60,RZ[Úroveň 7 (P0)],BD60,RZ[Úroveň 8 (P0)],BE60),RZ[[#This Row],[Koeficient odhadu CR '[-'] (P1)]]*$BO60*$IQ60)</f>
        <v>0</v>
      </c>
      <c r="FE60" s="140">
        <f ca="1">IF(OFFSET(BF60,1,0,1,1)&lt;&gt;0,$BO60*SUMIFS(RZ[Úroveň 9 bez koef. (P3)],RZ[0],AX60,RZ[Úroveň 2 (P0)],AY60,RZ[Úroveň 3 (P0)],AZ60,RZ[Úroveň 4 (P0)],BA60,RZ[Úroveň 5 (P0)],BB60,RZ[Úroveň 6 (P0)],BC60,RZ[Úroveň 7 (P0)],BD60,RZ[Úroveň 8 (P0)],BE60),$BO60*$IQ60)</f>
        <v>0</v>
      </c>
      <c r="FF60" s="135">
        <f ca="1">RZ[[#This Row],[Úroveň 9 s koef. (P3a)]]*RZ[[#This Row],[Počet MJCR (P0) pro "kg"]]</f>
        <v>0</v>
      </c>
      <c r="FG60" s="135">
        <f ca="1">RZ[Úroveň 9 bez koef. (P3a)]*RZ[[#This Row],[Počet MJCR (P0) pro "kg"]]</f>
        <v>0</v>
      </c>
      <c r="FH60" s="135">
        <f ca="1">IF(OFFSET(BG60,1,0,1,1)&lt;&gt;0,RZ[[#This Row],[Koeficient odhadu CR '[-'] (P1)]]*$BP60*SUMIFS(RZ[Úroveň 10 s koef. (P3)],RZ[0],AX60,RZ[Úroveň 2 (P0)],AY60,RZ[Úroveň 3 (P0)],AZ60,RZ[Úroveň 4 (P0)],BA60,RZ[Úroveň 5 (P0)],BB60,RZ[Úroveň 6 (P0)],BC60,RZ[Úroveň 7 (P0)],BD60,RZ[Úroveň 8 (P0)],BE60,RZ[Úroveň 9 (P0)],BF60),RZ[[#This Row],[Koeficient odhadu CR '[-'] (P1)]]*$BP60*$IQ60)</f>
        <v>0</v>
      </c>
      <c r="FI60" s="135">
        <f ca="1">IF(OFFSET(BG60,1,0,1,1)&lt;&gt;0,$BP60*SUMIFS(RZ[Úroveň 10 bez koef. (P3)],RZ[0],AX60,RZ[Úroveň 2 (P0)],AY60,RZ[Úroveň 3 (P0)],AZ60,RZ[Úroveň 4 (P0)],BA60,RZ[Úroveň 5 (P0)],BB60,RZ[Úroveň 6 (P0)],BC60,RZ[Úroveň 7 (P0)],BD60,RZ[Úroveň 8 (P0)],BE60,RZ[Úroveň 9 (P0)],BF60),$BP60*$IQ60)</f>
        <v>0</v>
      </c>
      <c r="FJ60" s="140">
        <f ca="1">RZ[[#This Row],[Úroveň 10 s koef. (P3a)]]*RZ[[#This Row],[Počet MJCR (P0) pro "kg"]]</f>
        <v>0</v>
      </c>
      <c r="FK60" s="140">
        <f ca="1">RZ[Úroveň 10 bez koef. (P3a)]*RZ[[#This Row],[Počet MJCR (P0) pro "kg"]]</f>
        <v>0</v>
      </c>
      <c r="FL60" s="140">
        <f ca="1">RZ[[#This Row],[Koeficient odhadu CR '[-'] (P1)]]*$BQ60*IQ60</f>
        <v>0</v>
      </c>
      <c r="FM60" s="236">
        <f t="shared" ca="1" si="419"/>
        <v>0</v>
      </c>
      <c r="FN60" s="194">
        <f t="shared" ca="1" si="420"/>
        <v>115</v>
      </c>
      <c r="FO60" s="238">
        <f t="shared" ca="1" si="421"/>
        <v>115</v>
      </c>
      <c r="FP60" s="135">
        <f t="shared" ca="1" si="422"/>
        <v>0</v>
      </c>
      <c r="FQ60" s="135">
        <f t="shared" ca="1" si="423"/>
        <v>0</v>
      </c>
      <c r="FR60" s="135">
        <f t="shared" ca="1" si="424"/>
        <v>26.4</v>
      </c>
      <c r="FS60" s="135">
        <f t="shared" ca="1" si="425"/>
        <v>0</v>
      </c>
      <c r="FT60" s="135">
        <f t="shared" ca="1" si="426"/>
        <v>0</v>
      </c>
      <c r="FU60" s="135">
        <f t="shared" ca="1" si="427"/>
        <v>0</v>
      </c>
      <c r="FV60" s="135">
        <f t="shared" ca="1" si="428"/>
        <v>0</v>
      </c>
      <c r="FW60" s="135">
        <f t="shared" ca="1" si="429"/>
        <v>0</v>
      </c>
      <c r="FX60" s="135">
        <f t="shared" ca="1" si="430"/>
        <v>0</v>
      </c>
      <c r="FY60" s="135">
        <f t="shared" ca="1" si="431"/>
        <v>0</v>
      </c>
      <c r="FZ60" s="140">
        <f ca="1">SUMIFS(RZ[Úroveň 1 (P6)],RZ[0],AX60)</f>
        <v>1</v>
      </c>
      <c r="GA60" s="140">
        <f ca="1">SUMIFS(RZ[Úroveň 2 (P6)],RZ[0],AX60,RZ[Úroveň 2 (P0)],AY60)</f>
        <v>2</v>
      </c>
      <c r="GB60" s="140">
        <f ca="1">SUMIFS(RZ[Úroveň 3 (P6)],RZ[0],AX60,RZ[Úroveň 2 (P0)],AY60,RZ[Úroveň 3 (P0)],AZ60)</f>
        <v>26.4</v>
      </c>
      <c r="GC60" s="140">
        <f ca="1">SUMIFS(RZ[Úroveň 4 (P6)],RZ[0],AX60,RZ[Úroveň 2 (P0)],AY60,RZ[Úroveň 3 (P0)],AZ60,RZ[Úroveň 4 (P0)],BA60)</f>
        <v>0</v>
      </c>
      <c r="GD60" s="140">
        <f ca="1">SUMIFS(RZ[Úroveň 5 (P6)],RZ[0],AX60,RZ[Úroveň 2 (P0)],AY60,RZ[Úroveň 3 (P0)],AZ60,RZ[Úroveň 4 (P0)],BA60,RZ[Úroveň 5 (P0)],BB60)</f>
        <v>0</v>
      </c>
      <c r="GE60" s="140">
        <f ca="1">SUMIFS(RZ[Úroveň 6 (P6)],RZ[0],AX60,RZ[Úroveň 2 (P0)],AY60,RZ[Úroveň 3 (P0)],AZ60,RZ[Úroveň 4 (P0)],BA60,RZ[Úroveň 5 (P0)],BB60,RZ[Úroveň 6 (P0)],BC60)</f>
        <v>0</v>
      </c>
      <c r="GF60" s="140">
        <f ca="1">SUMIFS(RZ[Úroveň 7 (P6)],RZ[0],AX60,RZ[Úroveň 2 (P0)],AY60,RZ[Úroveň 3 (P0)],AZ60,RZ[Úroveň 4 (P0)],BA60,RZ[Úroveň 5 (P0)],BB60,RZ[Úroveň 6 (P0)],BC60,RZ[Úroveň 7 (P0)],BD60)</f>
        <v>0</v>
      </c>
      <c r="GG60" s="140">
        <f ca="1">SUMIFS(RZ[Úroveň 8 (P6)],RZ[0],AX60,RZ[Úroveň 2 (P0)],AY60,RZ[Úroveň 3 (P0)],AZ60,RZ[Úroveň 4 (P0)],BA60,RZ[Úroveň 5 (P0)],BB60,RZ[Úroveň 6 (P0)],BC60,RZ[Úroveň 7 (P0)],BD60,RZ[Úroveň 8 (P0)],BE60)</f>
        <v>0</v>
      </c>
      <c r="GH60" s="140">
        <f ca="1">SUMIFS(RZ[Úroveň 9 (P6)],RZ[0],AX60,RZ[Úroveň 2 (P0)],AY60,RZ[Úroveň 3 (P0)],AZ60,RZ[Úroveň 4 (P0)],BA60,RZ[Úroveň 5 (P0)],BB60,RZ[Úroveň 6 (P0)],BC60,RZ[Úroveň 7 (P0)],BD60,RZ[Úroveň 8 (P0)],BE60,RZ[Úroveň 9 (P0)],BF60)</f>
        <v>0</v>
      </c>
      <c r="GI60" s="140">
        <f ca="1">SUMIFS(RZ[Úroveň 10 (P6)],RZ[0],AX60,RZ[Úroveň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GJ60" s="918">
        <f t="shared" ca="1" si="432"/>
        <v>52.8</v>
      </c>
      <c r="GK60" s="808">
        <f t="shared" si="433"/>
        <v>0</v>
      </c>
      <c r="GL60" s="808">
        <f t="shared" si="434"/>
        <v>0</v>
      </c>
      <c r="GM60" s="808">
        <f t="shared" si="435"/>
        <v>1</v>
      </c>
      <c r="GN60" s="808">
        <f t="shared" si="436"/>
        <v>0</v>
      </c>
      <c r="GO60" s="808">
        <f t="shared" si="437"/>
        <v>0</v>
      </c>
      <c r="GP60" s="808">
        <f t="shared" si="438"/>
        <v>0</v>
      </c>
      <c r="GQ60" s="808">
        <f t="shared" si="439"/>
        <v>0</v>
      </c>
      <c r="GR60" s="808">
        <f t="shared" si="440"/>
        <v>0</v>
      </c>
      <c r="GS60" s="808">
        <f t="shared" si="441"/>
        <v>0</v>
      </c>
      <c r="GT60" s="808">
        <f t="shared" si="442"/>
        <v>0</v>
      </c>
      <c r="GU60" s="809">
        <f ca="1">SUMIFS(RZ[Sloupec1],RZ[0],AX60)</f>
        <v>1</v>
      </c>
      <c r="GV60" s="809">
        <f ca="1">SUMIFS(RZ[Sloupec2],RZ[0],AX60,RZ[Úroveň 2 (P0)],AY60)</f>
        <v>1</v>
      </c>
      <c r="GW60" s="809">
        <f ca="1">SUMIFS(RZ[Sloupec3],RZ[0],AX60,RZ[Úroveň 2 (P0)],AY60,RZ[Úroveň 3 (P0)],AZ60)</f>
        <v>1</v>
      </c>
      <c r="GX60" s="809">
        <f ca="1">SUMIFS(RZ[Sloupec4],RZ[0],AX60,RZ[Úroveň 2 (P0)],AY60,RZ[Úroveň 3 (P0)],AZ60,RZ[Úroveň 4 (P0)],BA60)</f>
        <v>0</v>
      </c>
      <c r="GY60" s="809">
        <f ca="1">SUMIFS(RZ[Sloupec5],RZ[0],AX60,RZ[Úroveň 2 (P0)],AY60,RZ[Úroveň 3 (P0)],AZ60,RZ[Úroveň 4 (P0)],BA60,RZ[Úroveň 5 (P0)],BB60)</f>
        <v>0</v>
      </c>
      <c r="GZ60" s="809">
        <f ca="1">SUMIFS(RZ[Sloupec6],RZ[0],AX60,RZ[Úroveň 2 (P0)],AY60,RZ[Úroveň 3 (P0)],AZ60,RZ[Úroveň 4 (P0)],BA60,RZ[Úroveň 5 (P0)],BB60,RZ[Úroveň 6 (P0)],BC60)</f>
        <v>0</v>
      </c>
      <c r="HA60" s="809">
        <f ca="1">SUMIFS(RZ[Sloupec62],RZ[0],AX60,RZ[Úroveň 2 (P0)],AY60,RZ[Úroveň 3 (P0)],AZ60,RZ[Úroveň 4 (P0)],BA60,RZ[Úroveň 5 (P0)],BB60,RZ[Úroveň 6 (P0)],BC60,RZ[Úroveň 7 (P0)],BD60)</f>
        <v>0</v>
      </c>
      <c r="HB60" s="809">
        <f ca="1">SUMIFS(RZ[Sloupec63],RZ[0],AX60,RZ[Úroveň 2 (P0)],AY60,RZ[Úroveň 3 (P0)],AZ60,RZ[Úroveň 4 (P0)],BA60,RZ[Úroveň 5 (P0)],BB60,RZ[Úroveň 6 (P0)],BC60,RZ[Úroveň 7 (P0)],BD60,RZ[Úroveň 8 (P0)],BE60)</f>
        <v>0</v>
      </c>
      <c r="HC60" s="809">
        <f ca="1">SUMIFS(RZ[Sloupec64],RZ[0],AX60,RZ[Úroveň 2 (P0)],AY60,RZ[Úroveň 3 (P0)],AZ60,RZ[Úroveň 4 (P0)],BA60,RZ[Úroveň 5 (P0)],BB60,RZ[Úroveň 6 (P0)],BC60,RZ[Úroveň 7 (P0)],BD60,RZ[Úroveň 8 (P0)],BE60,RZ[Úroveň 9 (P0)],BF60)</f>
        <v>0</v>
      </c>
      <c r="HD60" s="809">
        <f ca="1">SUMIFS(RZ[Sloupec65],RZ[0],AX60,RZ[Úroveň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HE60" s="919">
        <f t="shared" ca="1" si="443"/>
        <v>1</v>
      </c>
      <c r="HF60" s="920" t="str">
        <f t="shared" si="444"/>
        <v/>
      </c>
      <c r="HG60" s="94" t="str">
        <f t="shared" si="445"/>
        <v/>
      </c>
      <c r="HH60" s="95" t="str">
        <f t="shared" si="446"/>
        <v/>
      </c>
      <c r="HI60" s="95" t="str">
        <f t="shared" si="447"/>
        <v>Víko</v>
      </c>
      <c r="HJ60" s="96" t="str">
        <f t="shared" si="448"/>
        <v/>
      </c>
      <c r="HK60" s="96" t="str">
        <f t="shared" si="449"/>
        <v/>
      </c>
      <c r="HL60" s="96" t="str">
        <f t="shared" si="450"/>
        <v/>
      </c>
      <c r="HM60" s="96" t="str">
        <f t="shared" si="451"/>
        <v/>
      </c>
      <c r="HN60" s="96" t="str">
        <f t="shared" si="452"/>
        <v/>
      </c>
      <c r="HO60" s="96" t="str">
        <f t="shared" si="453"/>
        <v/>
      </c>
      <c r="HP60" s="96" t="str">
        <f t="shared" si="454"/>
        <v/>
      </c>
      <c r="HQ60" s="145" t="str">
        <f t="shared" si="455"/>
        <v>STO2</v>
      </c>
      <c r="HR60" s="921" t="str">
        <f t="shared" si="456"/>
        <v/>
      </c>
      <c r="HS60" s="173">
        <f t="shared" si="457"/>
        <v>0</v>
      </c>
      <c r="HT60" s="100">
        <f t="shared" si="458"/>
        <v>0</v>
      </c>
      <c r="HU60" s="100">
        <f t="shared" si="459"/>
        <v>0</v>
      </c>
      <c r="HV60" s="908">
        <f t="shared" si="460"/>
        <v>0</v>
      </c>
      <c r="HW60" s="922">
        <f t="shared" si="461"/>
        <v>0</v>
      </c>
      <c r="HX60" s="224">
        <f t="shared" si="462"/>
        <v>0</v>
      </c>
      <c r="HY60" s="263" t="str">
        <f t="shared" si="463"/>
        <v>S</v>
      </c>
      <c r="HZ60" s="263">
        <f t="shared" si="464"/>
        <v>0</v>
      </c>
      <c r="IA60" s="150">
        <f t="shared" si="465"/>
        <v>1</v>
      </c>
      <c r="IB60" s="319">
        <f t="shared" si="466"/>
        <v>0</v>
      </c>
      <c r="IC60" s="923">
        <f t="shared" si="467"/>
        <v>0</v>
      </c>
      <c r="ID60" s="924" t="str">
        <f t="shared" ca="1" si="468"/>
        <v>OK</v>
      </c>
      <c r="IE60" s="201" t="str">
        <f t="shared" si="469"/>
        <v>ks</v>
      </c>
      <c r="IF60" s="145">
        <f t="shared" si="470"/>
        <v>4</v>
      </c>
      <c r="IG60" s="216">
        <f t="shared" si="471"/>
        <v>6.6</v>
      </c>
      <c r="IH60" s="217">
        <f t="shared" si="472"/>
        <v>1</v>
      </c>
      <c r="II60" s="224" t="str">
        <f ca="1">IF(RZ[[#This Row],[Rozhodný sloupec indikativní ceny]]=1,"kg",IF($IW60=$JL$15,IF(JX60=0,JO60,JX60),IF($IW60=$KE$15,IF(KQ60=0,KH60,KQ60),IF($IW60=$KX$15,IF(LJ60=0,LA60,LJ60),IF($IW60=$LQ$15,IF(MC60=0,LT60,MC60),IF($IW60=$MJ$15,IF(NQ60=0,NH60,NQ60),0))))))</f>
        <v>kg</v>
      </c>
      <c r="IJ60" s="224">
        <f ca="1">IF((BH60+OFFSET(BH60,1,1,1,1))=2,RZ[[#This Row],[Počet MJHR (P0)]],IF((BI60+OFFSET(BI60,1,1,1,1))=2,RZ[[#This Row],[Počet MJHR (P0)]],IF((BJ60+OFFSET(BJ60,1,1,1,1))=2,RZ[[#This Row],[Počet MJHR (P0)]],IF((BK60+OFFSET(BK60,1,1,1,1))=2,RZ[[#This Row],[Počet MJHR (P0)]],IF((BL60+OFFSET(BL60,1,1,1,1))=2,RZ[[#This Row],[Počet MJHR (P0)]],IF((BM60+OFFSET(BM60,1,1,1,1))=2,RZ[[#This Row],[Počet MJHR (P0)]],IF((BN60+OFFSET(BN60,1,1,1,1))=2,RZ[[#This Row],[Počet MJHR (P0)]],IF((BO60+OFFSET(BO60,1,1,1,1))=2,RZ[[#This Row],[Počet MJHR (P0)]],IF((BP60+OFFSET(BP60,1,1,1,1))=2,RZ[[#This Row],[Počet MJHR (P0)]],IF((BQ60+OFFSET(BQ60,1,1,1,1))=2,RZ[[#This Row],[Počet MJHR (P0)]],IF(RZ[[#This Row],[Měrná jednotka CR (MJCR) (P0)]]=RZ[[#This Row],[Měrná jednotka HR '[MJHR'] (P0)]],RZ[[#This Row],[Počet MJHR (P0)]],IF($IW60=$JL$15,JY60,IF($IW60=$KE$15,KR60,IF($IW60=$KX$15,LK60,IF($IW60=$LQ$15,MD60,IF($IW60=$MJ$15,NR60,0))))))))))))))))</f>
        <v>0</v>
      </c>
      <c r="IK6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60" s="145">
        <f ca="1">IF(AND(RZ[[#This Row],[Jednotková cena bez DPH '[cena/MJCR'] (P0)]]=0,RZ[[#This Row],[Indikativní jednotková cena '[CZK/kg'] (P1)]]&lt;&gt;0),1,0)</f>
        <v>1</v>
      </c>
      <c r="IM60" s="217">
        <f ca="1">VLOOKUP(RZ[[#This Row],[Kód položek]],INDIKAT_CENA,2,FALSE)</f>
        <v>115</v>
      </c>
      <c r="IN60" s="222">
        <f ca="1">IF(RZ[[#This Row],[Rozhodný sloupec indikativní ceny]]=1,RZ[[#This Row],[Indikativní jednotková cena '[CZK/kg'] (P1)]],RZ[[#This Row],[Jednotková cena bez DPH '[cena/MJCR'] (P0)]])</f>
        <v>115</v>
      </c>
      <c r="IO60" s="222">
        <f t="shared" si="473"/>
        <v>1</v>
      </c>
      <c r="IP60" s="224">
        <f ca="1">IF(RZ[[#This Row],[Rozhodný sloupec indikativní ceny]]=1,1,IF($IW60=$JL$15,KA60,IF($IW60=$KE$15,KT60,IF($IW60=$KX$15,LM60,IF($IW60=$LQ$15,MF60,IF($IW60=$MJ$15,NT60,0))))))</f>
        <v>1</v>
      </c>
      <c r="IQ60" s="225">
        <f ca="1">IF(RZ[[#This Row],[Jednotková cena bez DPH '[cena/MJCR'] (P1)]]="",0,IF(IP60=0,0,(RZ[[#This Row],[Jednotková cena bez DPH '[cena/MJCR'] (P1)]]*VLOOKUP(IP60,$BR$7:$BT$10,3))))</f>
        <v>115</v>
      </c>
      <c r="IR60" s="737"/>
      <c r="IS60" s="627">
        <f>IF(HY60=0,"",VLOOKUP(RZ[[#This Row],[Stav Projekce (P0)]],Vstupy!$E$11:'Vstupy'!$E$11:$H$17,4,FALSE))</f>
        <v>100</v>
      </c>
      <c r="IT60" s="925" t="str">
        <f>IF(RZ[[#This Row],[Stav Projekce (P0)]]=0,"",RZ[[#This Row],[Stav Projekce (P0)]])</f>
        <v>S</v>
      </c>
      <c r="IU60" s="925" t="str">
        <f>IF(RZ[[#This Row],[Stav Nákup (P0)]]=0,"",RZ[[#This Row],[Stav Nákup (P0)]])</f>
        <v/>
      </c>
      <c r="IV60" s="926" t="str">
        <f t="shared" si="474"/>
        <v/>
      </c>
      <c r="IW60" s="641">
        <v>1</v>
      </c>
      <c r="IX60" s="630"/>
      <c r="IY60" s="264"/>
      <c r="IZ60" s="648"/>
      <c r="JA60" s="100"/>
      <c r="JB60" s="100" t="s">
        <v>787</v>
      </c>
      <c r="JC60" s="100"/>
      <c r="JD60" s="100"/>
      <c r="JE60" s="100"/>
      <c r="JF60" s="100"/>
      <c r="JG60" s="100"/>
      <c r="JH60" s="100"/>
      <c r="JI60" s="100"/>
      <c r="JJ60" s="145" t="s">
        <v>773</v>
      </c>
      <c r="JK60" s="529"/>
      <c r="JL60" s="286"/>
      <c r="JM60" s="100"/>
      <c r="JN60" s="100"/>
      <c r="JO60" s="145" t="s">
        <v>35</v>
      </c>
      <c r="JP60" s="117">
        <v>4</v>
      </c>
      <c r="JQ60" s="117">
        <v>6.6</v>
      </c>
      <c r="JR60" s="148">
        <v>1</v>
      </c>
      <c r="JS60" s="145" t="s">
        <v>602</v>
      </c>
      <c r="JT60" s="631"/>
      <c r="JU60" s="148"/>
      <c r="JV60" s="154"/>
      <c r="JW60" s="145"/>
      <c r="JX60" s="210"/>
      <c r="JY60" s="117"/>
      <c r="JZ60" s="662"/>
      <c r="KA60" s="145"/>
      <c r="KB60" s="148"/>
      <c r="KC60" s="148"/>
      <c r="KD60" s="644"/>
      <c r="KE60" s="286"/>
      <c r="KF60" s="100"/>
      <c r="KG60" s="100"/>
      <c r="KH60" s="210"/>
      <c r="KI60" s="117"/>
      <c r="KJ60" s="117"/>
      <c r="KK60" s="148"/>
      <c r="KL60" s="145"/>
      <c r="KM60" s="632"/>
      <c r="KN60" s="148"/>
      <c r="KO60" s="154"/>
      <c r="KP60" s="154"/>
      <c r="KQ60" s="210"/>
      <c r="KR60" s="117"/>
      <c r="KS60" s="211"/>
      <c r="KT60" s="145"/>
      <c r="KU60" s="148"/>
      <c r="KV60" s="148"/>
      <c r="KW60" s="265"/>
      <c r="KX60" s="286"/>
      <c r="KY60" s="100"/>
      <c r="KZ60" s="100"/>
      <c r="LA60" s="210"/>
      <c r="LB60" s="117"/>
      <c r="LC60" s="117"/>
      <c r="LD60" s="148"/>
      <c r="LE60" s="145"/>
      <c r="LF60" s="632"/>
      <c r="LG60" s="148"/>
      <c r="LH60" s="154"/>
      <c r="LI60" s="154"/>
      <c r="LJ60" s="154"/>
      <c r="LK60" s="117"/>
      <c r="LL60" s="211"/>
      <c r="LM60" s="210"/>
      <c r="LN60" s="148"/>
      <c r="LO60" s="148"/>
      <c r="LP60" s="265"/>
      <c r="LQ60" s="286"/>
      <c r="LR60" s="100"/>
      <c r="LS60" s="100"/>
      <c r="LT60" s="210"/>
      <c r="LU60" s="117"/>
      <c r="LV60" s="117"/>
      <c r="LW60" s="148"/>
      <c r="LX60" s="145"/>
      <c r="LY60" s="632"/>
      <c r="LZ60" s="148"/>
      <c r="MA60" s="154"/>
      <c r="MB60" s="154"/>
      <c r="MC60" s="145"/>
      <c r="MD60" s="117"/>
      <c r="ME60" s="211"/>
      <c r="MF60" s="210"/>
      <c r="MG60" s="148"/>
      <c r="MH60" s="148"/>
      <c r="MI60" s="265"/>
      <c r="MJ60" s="647"/>
      <c r="MK60" s="264"/>
      <c r="ML60" s="153"/>
      <c r="MM60" s="153"/>
      <c r="MN60" s="153"/>
      <c r="MO60" s="153"/>
      <c r="MP60" s="153"/>
      <c r="MQ60" s="153"/>
      <c r="MR60" s="153"/>
      <c r="MS60" s="99"/>
      <c r="MT60" s="99"/>
      <c r="MU60" s="99"/>
      <c r="MV60" s="99"/>
      <c r="MW60" s="99"/>
      <c r="MX60" s="99"/>
      <c r="MY60" s="153"/>
      <c r="MZ60" s="153"/>
      <c r="NA60" s="153"/>
      <c r="NB60" s="153"/>
      <c r="NC60" s="153"/>
      <c r="ND60" s="153"/>
      <c r="NE60" s="148"/>
      <c r="NF60" s="153"/>
      <c r="NG60" s="153"/>
      <c r="NH60" s="330" t="str">
        <f t="shared" si="475"/>
        <v>ks</v>
      </c>
      <c r="NI60" s="797">
        <f>RZ[[#This Row],[Počet ks (K)]]</f>
        <v>0</v>
      </c>
      <c r="NJ60" s="798">
        <f>RZ[[#This Row],[Hmotnost '[kg/ks'] (K)]]</f>
        <v>0</v>
      </c>
      <c r="NK60" s="148"/>
      <c r="NL60" s="145"/>
      <c r="NM60" s="632"/>
      <c r="NN60" s="148"/>
      <c r="NO60" s="154"/>
      <c r="NP60" s="153"/>
      <c r="NQ60" s="153"/>
      <c r="NR60" s="210"/>
      <c r="NS60" s="148"/>
      <c r="NT60" s="210"/>
      <c r="NU60" s="148"/>
      <c r="NV60" s="148"/>
      <c r="NW60" s="175"/>
    </row>
    <row r="61" spans="2:387" ht="15.95" customHeight="1" x14ac:dyDescent="0.35">
      <c r="B61" s="118" t="str">
        <f t="shared" si="359"/>
        <v/>
      </c>
      <c r="C6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1" s="262" t="str">
        <f t="shared" si="360"/>
        <v xml:space="preserve">    Osa - průměr 200 mm</v>
      </c>
      <c r="E61" s="120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Row],[Kód položek (P2)]]))))))))))</f>
        <v>STO2</v>
      </c>
      <c r="F61" s="791" t="str">
        <f t="shared" si="361"/>
        <v>N/A</v>
      </c>
      <c r="G61" s="792" t="str">
        <f t="shared" si="362"/>
        <v/>
      </c>
      <c r="H61" s="262" t="str">
        <f t="shared" si="363"/>
        <v/>
      </c>
      <c r="I61" s="123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HR '[MJHR'] (P0)]]))))))))))</f>
        <v>ks</v>
      </c>
      <c r="J61" s="123">
        <f t="shared" si="364"/>
        <v>2</v>
      </c>
      <c r="K61" s="793">
        <f>RZ[[#This Row],[Koeficient odhadu HR '[-'] (P1)]]</f>
        <v>1</v>
      </c>
      <c r="L61" s="124">
        <f ca="1">RZ[[#This Row],[Jednotková hmotnost s koef. '[kg/MJHR'] (P0)]]</f>
        <v>140</v>
      </c>
      <c r="M61" s="794">
        <f t="shared" ca="1" si="365"/>
        <v>0</v>
      </c>
      <c r="N61" s="125">
        <f t="shared" ca="1" si="366"/>
        <v>280</v>
      </c>
      <c r="O61" s="125">
        <f t="shared" ca="1" si="367"/>
        <v>0</v>
      </c>
      <c r="P61" s="126" t="str">
        <f t="shared" si="368"/>
        <v/>
      </c>
      <c r="Q61" s="795">
        <f ca="1">RZ[[#This Row],[Počet MJHR v rozpadu (P0)]]</f>
        <v>4</v>
      </c>
      <c r="R61" s="439" t="str">
        <f t="shared" si="369"/>
        <v/>
      </c>
      <c r="S61" s="129" t="str">
        <f t="shared" si="370"/>
        <v/>
      </c>
      <c r="T61" s="126" t="str">
        <f t="shared" si="371"/>
        <v/>
      </c>
      <c r="U61" s="126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CR (MJCR) (P0)]]))))))))))</f>
        <v>kg</v>
      </c>
      <c r="V61" s="575">
        <f t="shared" ca="1" si="372"/>
        <v>280</v>
      </c>
      <c r="W61" s="322">
        <f>RZ[[#This Row],[Koeficient odhadu CR '[-'] (P1)]]</f>
        <v>1</v>
      </c>
      <c r="X61" s="440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Row],[Jednotková cena bez DPH '[cena/MJCR'] (P1)]]*RZ[[#This Row],[Koeficient odhadu CR '[-']]]))))))))))</f>
        <v>115</v>
      </c>
      <c r="Y61" s="440">
        <f t="shared" ca="1" si="373"/>
        <v>0</v>
      </c>
      <c r="Z61" s="142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VLOOKUP(IP61,$BR$7:$BS$11,2,FALSE)))))))))))</f>
        <v>CZK</v>
      </c>
      <c r="AA61" s="909">
        <f t="shared" ca="1" si="374"/>
        <v>560</v>
      </c>
      <c r="AB61" s="910">
        <f ca="1">RZ[[#This Row],[Kumulovaný koeficient v rozpadu (P0)]]</f>
        <v>1</v>
      </c>
      <c r="AC61" s="261"/>
      <c r="AD61" s="796">
        <f ca="1">RZ[[#This Row],[Jednotková cena bez DPH '[cena/MJCR'] s koef. (P0)]]/RZ[[#This Row],[Koeficient odhadu CR '[-']]]*RZ[[#This Row],[Kumulovaný koeficient odhadu CR  '[-']]]</f>
        <v>115</v>
      </c>
      <c r="AE61" s="796">
        <f t="shared" ca="1" si="375"/>
        <v>64400</v>
      </c>
      <c r="AF61" s="796">
        <f ca="1">-IF(ISNUMBER(AA61),RZ[[#This Row],[Celková cena bez DPH (1)]]-RZ[[#This Row],[Jednotková cena bez DPH '[cena/MJCR'] bez koef. (P0)]]*AA61,0)</f>
        <v>0</v>
      </c>
      <c r="AG6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1" s="261"/>
      <c r="AI61" s="796">
        <f t="shared" ca="1" si="376"/>
        <v>4.2592592592592595</v>
      </c>
      <c r="AJ61" s="796">
        <f t="shared" ca="1" si="377"/>
        <v>2385.1851851851852</v>
      </c>
      <c r="AK61" s="796">
        <f t="shared" ca="1" si="378"/>
        <v>0</v>
      </c>
      <c r="AL61" s="753">
        <f ca="1">RZ[[#This Row],[Kilogramová cena bez DPH '[cena/kg'] (1)]]/$AK$13</f>
        <v>4.2592592592592595</v>
      </c>
      <c r="AM61" s="261"/>
      <c r="AN61" s="796">
        <f t="shared" ca="1" si="379"/>
        <v>5.5555555555555554</v>
      </c>
      <c r="AO61" s="796">
        <f t="shared" ca="1" si="380"/>
        <v>3111.1111111111113</v>
      </c>
      <c r="AP61" s="796">
        <f t="shared" ca="1" si="381"/>
        <v>0</v>
      </c>
      <c r="AQ61" s="753">
        <f ca="1">RZ[[#This Row],[Kilogramová cena bez DPH '[cena/kg'] (1)]]/$AP$13</f>
        <v>5.5555555555555554</v>
      </c>
      <c r="AR61" s="261"/>
      <c r="AS61" s="796">
        <f t="shared" ca="1" si="382"/>
        <v>3.1455142231947484</v>
      </c>
      <c r="AT61" s="796">
        <f t="shared" ca="1" si="383"/>
        <v>1761.487964989059</v>
      </c>
      <c r="AU61" s="789">
        <f t="shared" ca="1" si="384"/>
        <v>0</v>
      </c>
      <c r="AV61" s="767">
        <f ca="1">RZ[[#This Row],[Kilogramová cena bez DPH '[cena/kg'] (1)]]/$AU$13</f>
        <v>3.1455142231947484</v>
      </c>
      <c r="AW61" s="165"/>
      <c r="AX61" s="911">
        <f t="shared" ca="1" si="385"/>
        <v>2</v>
      </c>
      <c r="AY61" s="111">
        <f t="shared" ca="1" si="386"/>
        <v>2</v>
      </c>
      <c r="AZ61" s="111">
        <f t="shared" ca="1" si="387"/>
        <v>6</v>
      </c>
      <c r="BA61" s="111">
        <f t="shared" ca="1" si="388"/>
        <v>0</v>
      </c>
      <c r="BB61" s="111">
        <f t="shared" ca="1" si="389"/>
        <v>0</v>
      </c>
      <c r="BC61" s="111">
        <f t="shared" ca="1" si="390"/>
        <v>0</v>
      </c>
      <c r="BD61" s="111">
        <f t="shared" ca="1" si="391"/>
        <v>0</v>
      </c>
      <c r="BE61" s="111">
        <f t="shared" ca="1" si="392"/>
        <v>0</v>
      </c>
      <c r="BF61" s="111">
        <f t="shared" ca="1" si="393"/>
        <v>0</v>
      </c>
      <c r="BG61" s="112">
        <f t="shared" ca="1" si="394"/>
        <v>0</v>
      </c>
      <c r="BH61" s="911">
        <f t="shared" si="395"/>
        <v>0</v>
      </c>
      <c r="BI61" s="111">
        <f t="shared" si="396"/>
        <v>0</v>
      </c>
      <c r="BJ61" s="111">
        <f t="shared" si="397"/>
        <v>1</v>
      </c>
      <c r="BK61" s="111">
        <f t="shared" si="398"/>
        <v>0</v>
      </c>
      <c r="BL61" s="111">
        <f t="shared" si="399"/>
        <v>0</v>
      </c>
      <c r="BM61" s="111">
        <f t="shared" si="400"/>
        <v>0</v>
      </c>
      <c r="BN61" s="111">
        <f t="shared" si="401"/>
        <v>0</v>
      </c>
      <c r="BO61" s="111">
        <f t="shared" si="402"/>
        <v>0</v>
      </c>
      <c r="BP61" s="111">
        <f t="shared" si="403"/>
        <v>0</v>
      </c>
      <c r="BQ61" s="112">
        <f t="shared" si="404"/>
        <v>0</v>
      </c>
      <c r="BR61" s="132">
        <f ca="1">IF(OFFSET(AY61,1,0,1,1)&lt;&gt;0,RZ[[#This Row],[Koeficient odhadu HR '[-'] (P1)]]*$BH61*SUMIFS(RZ[Úroveň 2 s koef. (P2)],RZ[0],AX61),RZ[[#This Row],[Koeficient odhadu HR '[-'] (P1)]]*$BH61*$IG61)</f>
        <v>0</v>
      </c>
      <c r="BS61" s="186">
        <f ca="1">IF(OFFSET(AY61,1,0,1,1)&lt;&gt;0,$BH61*SUMIFS(RZ[Úroveň 2 bez koef. (P2)],RZ[0],AX61),$BH61*$IG61)</f>
        <v>0</v>
      </c>
      <c r="BT61" s="138">
        <f ca="1">RZ[[#This Row],[Úroveň 2 s koef. (P2a)]]*RZ[[#This Row],[Počet MJHR (P0)]]</f>
        <v>0</v>
      </c>
      <c r="BU61" s="138">
        <f ca="1">RZ[[#This Row],[Úroveň 2 bez koef. (P2a)]]*RZ[[#This Row],[Počet MJHR (P0)]]</f>
        <v>0</v>
      </c>
      <c r="BV61" s="138">
        <f ca="1">IF(OFFSET(AZ61,1,0,1,1)&lt;&gt;0,RZ[[#This Row],[Koeficient odhadu HR '[-'] (P1)]]*$BI61*SUMIFS(RZ[Úroveň 3 s koef. (P2)],RZ[0],AX61,RZ[Úroveň 2 (P0)],AY61),RZ[[#This Row],[Koeficient odhadu HR '[-'] (P1)]]*$BI61*$IG61)</f>
        <v>0</v>
      </c>
      <c r="BW61" s="138">
        <f ca="1">IF(OFFSET(AZ61,1,0,1,1)&lt;&gt;0,$BI61*SUMIFS(RZ[Úroveň 3 bez koef. (P2)],RZ[0],AX61,RZ[Úroveň 2 (P0)],AY61),$BI61*$IG61)</f>
        <v>0</v>
      </c>
      <c r="BX61" s="132">
        <f ca="1">RZ[[#This Row],[Úroveň 3 s koef. (P2a)]]*RZ[[#This Row],[Počet MJHR (P0)]]</f>
        <v>280</v>
      </c>
      <c r="BY61" s="132">
        <f ca="1">RZ[Úroveň 3 bez koef. (P2a)]*RZ[[#This Row],[Počet MJHR (P0)]]</f>
        <v>280</v>
      </c>
      <c r="BZ61" s="132">
        <f ca="1">IF(OFFSET(BA61,1,0,1,1)&lt;&gt;0,RZ[[#This Row],[Koeficient odhadu HR '[-'] (P1)]]*$BJ61*SUMIFS(RZ[Úroveň 4 s koef. (P2)],RZ[0],AX61,RZ[Úroveň 2 (P0)],AY61,RZ[Úroveň 3 (P0)],AZ61),RZ[[#This Row],[Koeficient odhadu HR '[-'] (P1)]]*$BJ61*$IG61)</f>
        <v>140</v>
      </c>
      <c r="CA61" s="132">
        <f ca="1">IF(OFFSET(BA61,1,0,1,1)&lt;&gt;0,$BJ61*SUMIFS(RZ[Úroveň 4 bez koef. (P2)],RZ[0],AX61,RZ[Úroveň 2 (P0)],AY61,RZ[Úroveň 3 (P0)],AZ61),$BJ61*$IG61)</f>
        <v>140</v>
      </c>
      <c r="CB61" s="138">
        <f ca="1">RZ[[#This Row],[Úroveň 4 s koef. (P2a)]]*RZ[[#This Row],[Počet MJHR (P0)]]</f>
        <v>0</v>
      </c>
      <c r="CC61" s="138">
        <f ca="1">RZ[Úroveň 4 bez koef. (P2a)]*RZ[[#This Row],[Počet MJHR (P0)]]</f>
        <v>0</v>
      </c>
      <c r="CD61" s="138">
        <f ca="1">IF(OFFSET(BB61,1,0,1,1)&lt;&gt;0,RZ[[#This Row],[Koeficient odhadu HR '[-'] (P1)]]*$BK61*SUMIFS(RZ[Úroveň 5 s koef. (P2)],RZ[0],AX61,RZ[Úroveň 2 (P0)],AY61,RZ[Úroveň 3 (P0)],AZ61,RZ[Úroveň 4 (P0)],BA61),RZ[[#This Row],[Koeficient odhadu HR '[-'] (P1)]]*$BK61*$IG61)</f>
        <v>0</v>
      </c>
      <c r="CE61" s="138">
        <f ca="1">IF(OFFSET(BB61,1,0,1,1)&lt;&gt;0,$BK61*SUMIFS(RZ[Úroveň 5 bez koef. (P2)],RZ[0],AX61,RZ[Úroveň 2 (P0)],AY61,RZ[Úroveň 3 (P0)],AZ61,RZ[Úroveň 4 (P0)],BA61),$BK61*$IG61)</f>
        <v>0</v>
      </c>
      <c r="CF61" s="132">
        <f ca="1">RZ[[#This Row],[Úroveň 5 s koef. (P2a)]]*RZ[[#This Row],[Počet MJHR (P0)]]</f>
        <v>0</v>
      </c>
      <c r="CG61" s="132">
        <f ca="1">RZ[Úroveň 5 bez koef. (P2a)]*RZ[[#This Row],[Počet MJHR (P0)]]</f>
        <v>0</v>
      </c>
      <c r="CH61" s="132">
        <f ca="1">IF(OFFSET(BC61,1,0,1,1)&lt;&gt;0,RZ[[#This Row],[Koeficient odhadu HR '[-'] (P1)]]*$BL61*SUMIFS(RZ[Úroveň 6 s koef. (P2)],RZ[0],AX61,RZ[Úroveň 2 (P0)],AY61,RZ[Úroveň 3 (P0)],AZ61,RZ[Úroveň 4 (P0)],BA61,RZ[Úroveň 5 (P0)],BB61),RZ[[#This Row],[Koeficient odhadu HR '[-'] (P1)]]*$BL61*$IG61)</f>
        <v>0</v>
      </c>
      <c r="CI61" s="132">
        <f ca="1">IF(OFFSET(BC61,1,0,1,1)&lt;&gt;0,$BL61*SUMIFS(RZ[Úroveň 6 bez koef. (P2)],RZ[0],AX61,RZ[Úroveň 2 (P0)],AY61,RZ[Úroveň 3 (P0)],AZ61,RZ[Úroveň 4 (P0)],BA61,RZ[Úroveň 5 (P0)],BB61),$BL61*$IG61)</f>
        <v>0</v>
      </c>
      <c r="CJ61" s="138">
        <f ca="1">RZ[[#This Row],[Úroveň 6 s koef. (P2a)]]*RZ[[#This Row],[Počet MJHR (P0)]]</f>
        <v>0</v>
      </c>
      <c r="CK61" s="138">
        <f ca="1">RZ[Úroveň 6 bez koef. (P2a)]*RZ[[#This Row],[Počet MJHR (P0)]]</f>
        <v>0</v>
      </c>
      <c r="CL61" s="138">
        <f ca="1">IF(OFFSET(BD61,1,0,1,1)&lt;&gt;0,RZ[[#This Row],[Koeficient odhadu HR '[-'] (P1)]]*$BM61*SUMIFS(RZ[Úroveň 7 s koef. (P2)],RZ[0],AX61,RZ[Úroveň 2 (P0)],AY61,RZ[Úroveň 3 (P0)],AZ61,RZ[Úroveň 4 (P0)],BA61,RZ[Úroveň 5 (P0)],BB61,RZ[Úroveň 6 (P0)],BC61),RZ[[#This Row],[Koeficient odhadu HR '[-'] (P1)]]*$BM61*$IG61)</f>
        <v>0</v>
      </c>
      <c r="CM61" s="138">
        <f ca="1">IF(OFFSET(BD61,1,0,1,1)&lt;&gt;0,$BM61*SUMIFS(RZ[Úroveň 7 bez koef. (P2)],RZ[0],AX61,RZ[Úroveň 2 (P0)],AY61,RZ[Úroveň 3 (P0)],AZ61,RZ[Úroveň 4 (P0)],BA61,RZ[Úroveň 5 (P0)],BB61,RZ[Úroveň 6 (P0)],BC61),$BM61*$IG61)</f>
        <v>0</v>
      </c>
      <c r="CN61" s="132">
        <f ca="1">RZ[[#This Row],[Úroveň 7 s koef. (P2a)]]*RZ[[#This Row],[Počet MJHR (P0)]]</f>
        <v>0</v>
      </c>
      <c r="CO61" s="132">
        <f ca="1">RZ[Úroveň 7 bez koef. (P2a)]*RZ[[#This Row],[Počet MJHR (P0)]]</f>
        <v>0</v>
      </c>
      <c r="CP61" s="132">
        <f ca="1">IF(OFFSET(BE61,1,0,1,1)&lt;&gt;0,RZ[[#This Row],[Koeficient odhadu HR '[-'] (P1)]]*$BN61*SUMIFS(RZ[Úroveň 8 s koef. (P2)],RZ[0],AX61,RZ[Úroveň 2 (P0)],AY61,RZ[Úroveň 3 (P0)],AZ61,RZ[Úroveň 4 (P0)],BA61,RZ[Úroveň 5 (P0)],BB61,RZ[Úroveň 6 (P0)],BC61,RZ[Úroveň 7 (P0)],BD61),RZ[[#This Row],[Koeficient odhadu HR '[-'] (P1)]]*$BN61*$IG61)</f>
        <v>0</v>
      </c>
      <c r="CQ61" s="132">
        <f ca="1">IF(OFFSET(BE61,1,0,1,1)&lt;&gt;0,$BN61*SUMIFS(RZ[Úroveň 8 bez koef. (P2)],RZ[0],AX61,RZ[Úroveň 2 (P0)],AY61,RZ[Úroveň 3 (P0)],AZ61,RZ[Úroveň 4 (P0)],BA61,RZ[Úroveň 5 (P0)],BB61,RZ[Úroveň 6 (P0)],BC61,RZ[Úroveň 7 (P0)],BD61),$BN61*$IG61)</f>
        <v>0</v>
      </c>
      <c r="CR61" s="138">
        <f ca="1">RZ[[#This Row],[Úroveň 8 s koef. (P2a)]]*RZ[[#This Row],[Počet MJHR (P0)]]</f>
        <v>0</v>
      </c>
      <c r="CS61" s="138">
        <f ca="1">RZ[Úroveň 8 bez koef. (P2a)]*RZ[[#This Row],[Počet MJHR (P0)]]</f>
        <v>0</v>
      </c>
      <c r="CT61" s="138">
        <f ca="1">IF(OFFSET(BF61,1,0,1,1)&lt;&gt;0,RZ[[#This Row],[Koeficient odhadu HR '[-'] (P1)]]*$BO61*SUMIFS(RZ[Úroveň 9 s koef. (P2)],RZ[0],AX61,RZ[Úroveň 2 (P0)],AY61,RZ[Úroveň 3 (P0)],AZ61,RZ[Úroveň 4 (P0)],BA61,RZ[Úroveň 5 (P0)],BB61,RZ[Úroveň 6 (P0)],BC61,RZ[Úroveň 7 (P0)],BD61,RZ[Úroveň 8 (P0)],BE61),RZ[[#This Row],[Koeficient odhadu HR '[-'] (P1)]]*$BO61*$IG61)</f>
        <v>0</v>
      </c>
      <c r="CU61" s="138">
        <f ca="1">IF(OFFSET(BF61,1,0,1,1)&lt;&gt;0,$BO61*SUMIFS(RZ[Úroveň 9 bez koef. (P2)],RZ[0],AX61,RZ[Úroveň 2 (P0)],AY61,RZ[Úroveň 3 (P0)],AZ61,RZ[Úroveň 4 (P0)],BA61,RZ[Úroveň 5 (P0)],BB61,RZ[Úroveň 6 (P0)],BC61,RZ[Úroveň 7 (P0)],BD61,RZ[Úroveň 8 (P0)],BE61),$BO61*$IG61)</f>
        <v>0</v>
      </c>
      <c r="CV61" s="132">
        <f ca="1">RZ[[#This Row],[Úroveň 9 s koef. (P2a)]]*RZ[[#This Row],[Počet MJHR (P0)]]</f>
        <v>0</v>
      </c>
      <c r="CW61" s="132">
        <f ca="1">RZ[Úroveň 9 bez koef. (P2a)]*RZ[[#This Row],[Počet MJHR (P0)]]</f>
        <v>0</v>
      </c>
      <c r="CX61" s="132">
        <f ca="1">IF(OFFSET(BG61,1,0,1,1)&lt;&gt;0,RZ[[#This Row],[Koeficient odhadu HR '[-'] (P1)]]*$BP61*SUMIFS(RZ[Úroveň 10 s koef. (P2)],RZ[0],AX61,RZ[Úroveň 2 (P0)],AY61,RZ[Úroveň 3 (P0)],AZ61,RZ[Úroveň 4 (P0)],BA61,RZ[Úroveň 5 (P0)],BB61,RZ[Úroveň 6 (P0)],BC61,RZ[Úroveň 7 (P0)],BD61,RZ[Úroveň 8 (P0)],BE61,RZ[Úroveň 9 (P0)],BF61),RZ[[#This Row],[Koeficient odhadu HR '[-'] (P1)]]*$BP61*$IG61)</f>
        <v>0</v>
      </c>
      <c r="CY61" s="132">
        <f ca="1">IF(OFFSET(BG61,1,0,1,1)&lt;&gt;0,$BP61*SUMIFS(RZ[Úroveň 10 bez koef. (P2)],RZ[0],AX61,RZ[Úroveň 2 (P0)],AY61,RZ[Úroveň 3 (P0)],AZ61,RZ[Úroveň 4 (P0)],BA61,RZ[Úroveň 5 (P0)],BB61,RZ[Úroveň 6 (P0)],BC61,RZ[Úroveň 7 (P0)],BD61,RZ[Úroveň 8 (P0)],BE61,RZ[Úroveň 9 (P0)],BF61),$BP61*$IG61)</f>
        <v>0</v>
      </c>
      <c r="CZ61" s="138">
        <f>RZ[[#This Row],[Úroveň 10 s koef. (P2a)]]*RZ[[#This Row],[Počet MJHR (P0)]]</f>
        <v>0</v>
      </c>
      <c r="DA61" s="138">
        <f>RZ[Úroveň 10 bez koef. (P2a)]*RZ[[#This Row],[Počet MJHR (P0)]]</f>
        <v>0</v>
      </c>
      <c r="DB61" s="138">
        <f>RZ[[#This Row],[Koeficient odhadu HR '[-'] (P1)]]*$BQ61*IG61</f>
        <v>0</v>
      </c>
      <c r="DC61" s="231">
        <f t="shared" si="405"/>
        <v>0</v>
      </c>
      <c r="DD61" s="241">
        <f t="shared" ca="1" si="406"/>
        <v>140</v>
      </c>
      <c r="DE61" s="229">
        <f t="shared" ca="1" si="407"/>
        <v>140</v>
      </c>
      <c r="DF61" s="912">
        <f t="shared" si="408"/>
        <v>0</v>
      </c>
      <c r="DG61" s="913">
        <f t="shared" si="409"/>
        <v>0</v>
      </c>
      <c r="DH61" s="913">
        <f t="shared" si="410"/>
        <v>2</v>
      </c>
      <c r="DI61" s="913">
        <f t="shared" si="411"/>
        <v>0</v>
      </c>
      <c r="DJ61" s="913">
        <f t="shared" si="412"/>
        <v>0</v>
      </c>
      <c r="DK61" s="913">
        <f t="shared" si="413"/>
        <v>0</v>
      </c>
      <c r="DL61" s="913">
        <f t="shared" si="414"/>
        <v>0</v>
      </c>
      <c r="DM61" s="913">
        <f t="shared" si="415"/>
        <v>0</v>
      </c>
      <c r="DN61" s="913">
        <f t="shared" si="416"/>
        <v>0</v>
      </c>
      <c r="DO61" s="913">
        <f t="shared" si="417"/>
        <v>0</v>
      </c>
      <c r="DP61" s="914">
        <f ca="1">SUMIFS(RZ[Úroveň 1 (P4)],RZ[0],AX61)</f>
        <v>1</v>
      </c>
      <c r="DQ61" s="914">
        <f ca="1">SUMIFS(RZ[Úroveň 2 (P4)],RZ[0],AX61,RZ[Úroveň 2 (P0)],AY61)</f>
        <v>2</v>
      </c>
      <c r="DR61" s="914">
        <f ca="1">SUMIFS(RZ[Úroveň 3 (P4)],RZ[0],AX61,RZ[Úroveň 2 (P0)],AY61,RZ[Úroveň 3 (P0)],AZ61)</f>
        <v>2</v>
      </c>
      <c r="DS61" s="914">
        <f ca="1">SUMIFS(RZ[Úroveň 4 (P4)],RZ[0],AX61,RZ[Úroveň 2 (P0)],AY61,RZ[Úroveň 3 (P0)],AZ61,RZ[Úroveň 4 (P0)],BA61)</f>
        <v>0</v>
      </c>
      <c r="DT61" s="914">
        <f ca="1">SUMIFS(RZ[Úroveň 5 (P4)],RZ[0],AX61,RZ[Úroveň 2 (P0)],AY61,RZ[Úroveň 3 (P0)],AZ61,RZ[Úroveň 4 (P0)],BA61,RZ[Úroveň 5 (P0)],BB61)</f>
        <v>0</v>
      </c>
      <c r="DU61" s="914">
        <f ca="1">SUMIFS(RZ[Úroveň 6 (P4)],RZ[0],AX61,RZ[Úroveň 2 (P0)],AY61,RZ[Úroveň 3 (P0)],AZ61,RZ[Úroveň 4 (P0)],BA61,RZ[Úroveň 5 (P0)],BB61,RZ[Úroveň 6 (P0)],BC61)</f>
        <v>0</v>
      </c>
      <c r="DV61" s="914">
        <f ca="1">SUMIFS(RZ[Úroveň 7 (P4)],RZ[0],AX61,RZ[Úroveň 2 (P0)],AY61,RZ[Úroveň 3 (P0)],AZ61,RZ[Úroveň 4 (P0)],BA61,RZ[Úroveň 5 (P0)],BB61,RZ[Úroveň 6 (P0)],BC61,RZ[Úroveň 7 (P0)],BD61)</f>
        <v>0</v>
      </c>
      <c r="DW61" s="914">
        <f ca="1">SUMIFS(RZ[Úroveň 8 (P4)],RZ[0],AX61,RZ[Úroveň 2 (P0)],AY61,RZ[Úroveň 3 (P0)],AZ61,RZ[Úroveň 4 (P0)],BA61,RZ[Úroveň 5 (P0)],BB61,RZ[Úroveň 6 (P0)],BC61,RZ[Úroveň 7 (P0)],BD61,RZ[Úroveň 8 (P0)],BE61)</f>
        <v>0</v>
      </c>
      <c r="DX61" s="914">
        <f ca="1">SUMIFS(RZ[Úroveň 9 (P4)],RZ[0],AX61,RZ[Úroveň 2 (P0)],AY61,RZ[Úroveň 3 (P0)],AZ61,RZ[Úroveň 4 (P0)],BA61,RZ[Úroveň 5 (P0)],BB61,RZ[Úroveň 6 (P0)],BC61,RZ[Úroveň 7 (P0)],BD61,RZ[Úroveň 8 (P0)],BE61,RZ[Úroveň 9 (P0)],BF61)</f>
        <v>0</v>
      </c>
      <c r="DY61" s="914">
        <f ca="1">SUMIFS(RZ[Úroveň 10 (P4)],RZ[0],AX61,RZ[Úroveň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DZ61" s="915">
        <f t="shared" ca="1" si="418"/>
        <v>4</v>
      </c>
      <c r="EA61" s="916">
        <f ca="1">RZ[[#This Row],[Jednotková hmotnost bez koef. '[kg/MJHR'] (P0)]]*RZ[[#This Row],[Počet MJHR v rozpadu (P0)]]</f>
        <v>560</v>
      </c>
      <c r="EB61" s="917">
        <f ca="1">IF(OFFSET(AY61,1,0,1,1)&lt;&gt;0,RZ[[#This Row],[Koeficient odhadu CR '[-'] (P1)]]*$BH61*SUMIFS(RZ[Úroveň 2 s koef. (P3)],RZ[0],AX61),RZ[[#This Row],[Koeficient odhadu CR '[-'] (P1)]]*$BH61*$IQ61)</f>
        <v>0</v>
      </c>
      <c r="EC61" s="191">
        <f ca="1">IF(OFFSET(AY61,1,0,1,1)&lt;&gt;0,$BH61*SUMIFS(RZ[Úroveň 2 bez koef. (P3)],RZ[0],AX61),$BH61*$IQ61)</f>
        <v>0</v>
      </c>
      <c r="ED61" s="140">
        <f ca="1">RZ[[#This Row],[Úroveň 2 s koef. (P3a)]]*RZ[[#This Row],[Počet MJCR (P0) pro "kg"]]</f>
        <v>0</v>
      </c>
      <c r="EE61" s="140">
        <f ca="1">RZ[Úroveň 2 bez koef. (P3a)]*RZ[[#This Row],[Počet MJCR (P0) pro "kg"]]</f>
        <v>0</v>
      </c>
      <c r="EF61" s="140">
        <f ca="1">IF(OFFSET(AZ61,1,0,1,1)&lt;&gt;0,RZ[[#This Row],[Koeficient odhadu CR '[-'] (P1)]]*$BI61*SUMIFS(RZ[Úroveň 3 s koef. (P3)],RZ[0],AX61,RZ[Úroveň 2 (P0)],AY61),RZ[[#This Row],[Koeficient odhadu CR '[-'] (P1)]]*$BI61*$IQ61)</f>
        <v>0</v>
      </c>
      <c r="EG61" s="140">
        <f ca="1">IF(OFFSET(AZ61,1,0,1,1)&lt;&gt;0,$BI61*SUMIFS(RZ[Úroveň 3 bez koef. (P3)],RZ[0],AX61,RZ[Úroveň 2 (P0)],AY61),$BI61*$IQ61)</f>
        <v>0</v>
      </c>
      <c r="EH61" s="135">
        <f ca="1">RZ[[#This Row],[Úroveň 3 s koef. (P3a)]]*RZ[[#This Row],[Počet MJCR (P0) pro "kg"]]</f>
        <v>32200</v>
      </c>
      <c r="EI61" s="135">
        <f ca="1">RZ[Úroveň 3 bez koef. (P3a)]*RZ[[#This Row],[Počet MJCR (P0) pro "kg"]]</f>
        <v>32200</v>
      </c>
      <c r="EJ61" s="135">
        <f ca="1">IF(OFFSET(BA61,1,0,1,1)&lt;&gt;0,RZ[[#This Row],[Koeficient odhadu CR '[-'] (P1)]]*$BJ61*SUMIFS(RZ[Úroveň 4 s koef. (P3)],RZ[0],AX61,RZ[Úroveň 2 (P0)],AY61,RZ[Úroveň 3 (P0)],AZ61),RZ[[#This Row],[Koeficient odhadu CR '[-'] (P1)]]*$BJ61*$IQ61)</f>
        <v>115</v>
      </c>
      <c r="EK61" s="135">
        <f ca="1">IF(OFFSET(BA61,1,0,1,1)&lt;&gt;0,$BJ61*SUMIFS(RZ[Úroveň 4 bez koef. (P3)],RZ[0],AX61,RZ[Úroveň 2 (P0)],AY61,RZ[Úroveň 3 (P0)],AZ61),$BJ61*$IQ61)</f>
        <v>115</v>
      </c>
      <c r="EL61" s="140">
        <f ca="1">RZ[[#This Row],[Úroveň 4 s koef. (P3a)]]*RZ[[#This Row],[Počet MJCR (P0) pro "kg"]]</f>
        <v>0</v>
      </c>
      <c r="EM61" s="140">
        <f ca="1">RZ[Úroveň 4 bez koef. (P3a)]*RZ[[#This Row],[Počet MJCR (P0) pro "kg"]]</f>
        <v>0</v>
      </c>
      <c r="EN61" s="140">
        <f ca="1">IF(OFFSET(BB61,1,0,1,1)&lt;&gt;0,RZ[[#This Row],[Koeficient odhadu CR '[-'] (P1)]]*$BK61*SUMIFS(RZ[Úroveň 5 s koef. (P3)],RZ[0],AX61,RZ[Úroveň 2 (P0)],AY61,RZ[Úroveň 3 (P0)],AZ61,RZ[Úroveň 4 (P0)],BA61),RZ[[#This Row],[Koeficient odhadu CR '[-'] (P1)]]*$BK61*$IQ61)</f>
        <v>0</v>
      </c>
      <c r="EO61" s="140">
        <f ca="1">IF(OFFSET(BB61,1,0,1,1)&lt;&gt;0,$BK61*SUMIFS(RZ[Úroveň 5 bez koef. (P3)],RZ[0],AX61,RZ[Úroveň 2 (P0)],AY61,RZ[Úroveň 3 (P0)],AZ61,RZ[Úroveň 4 (P0)],BA61),$BK61*$IQ61)</f>
        <v>0</v>
      </c>
      <c r="EP61" s="135">
        <f ca="1">RZ[[#This Row],[Úroveň 5 s koef. (P3a)]]*RZ[[#This Row],[Počet MJCR (P0) pro "kg"]]</f>
        <v>0</v>
      </c>
      <c r="EQ61" s="135">
        <f ca="1">RZ[Úroveň 5 bez koef. (P3a)]*RZ[[#This Row],[Počet MJCR (P0) pro "kg"]]</f>
        <v>0</v>
      </c>
      <c r="ER61" s="135">
        <f ca="1">IF(OFFSET(BC61,1,0,1,1)&lt;&gt;0,RZ[[#This Row],[Koeficient odhadu CR '[-'] (P1)]]*$BL61*SUMIFS(RZ[Úroveň 6 s koef. (P3)],RZ[0],AX61,RZ[Úroveň 2 (P0)],AY61,RZ[Úroveň 3 (P0)],AZ61,RZ[Úroveň 4 (P0)],BA61,RZ[Úroveň 5 (P0)],BB61),RZ[[#This Row],[Koeficient odhadu CR '[-'] (P1)]]*$BL61*$IQ61)</f>
        <v>0</v>
      </c>
      <c r="ES61" s="135">
        <f ca="1">IF(OFFSET(BC61,1,0,1,1)&lt;&gt;0,$BL61*SUMIFS(RZ[Úroveň 6 bez koef. (P3)],RZ[0],AX61,RZ[Úroveň 2 (P0)],AY61,RZ[Úroveň 3 (P0)],AZ61,RZ[Úroveň 4 (P0)],BA61,RZ[Úroveň 5 (P0)],BB61),$BL61*$IQ61)</f>
        <v>0</v>
      </c>
      <c r="ET61" s="140">
        <f ca="1">RZ[[#This Row],[Úroveň 6 s koef. (P3a)]]*RZ[[#This Row],[Počet MJCR (P0) pro "kg"]]</f>
        <v>0</v>
      </c>
      <c r="EU61" s="140">
        <f ca="1">RZ[Úroveň 6 bez koef. (P3a)]*RZ[[#This Row],[Počet MJCR (P0) pro "kg"]]</f>
        <v>0</v>
      </c>
      <c r="EV61" s="140">
        <f ca="1">IF(OFFSET(BD61,1,0,1,1)&lt;&gt;0,RZ[[#This Row],[Koeficient odhadu CR '[-'] (P1)]]*$BM61*SUMIFS(RZ[Úroveň 7 s koef. (P3)],RZ[0],AX61,RZ[Úroveň 2 (P0)],AY61,RZ[Úroveň 3 (P0)],AZ61,RZ[Úroveň 4 (P0)],BA61,RZ[Úroveň 5 (P0)],BB61,RZ[Úroveň 6 (P0)],BC61),RZ[[#This Row],[Koeficient odhadu CR '[-'] (P1)]]*$BM61*$IQ61)</f>
        <v>0</v>
      </c>
      <c r="EW61" s="140">
        <f ca="1">IF(OFFSET(BD61,1,0,1,1)&lt;&gt;0,$BM61*SUMIFS(RZ[Úroveň 7 bez koef. (P3)],RZ[0],AX61,RZ[Úroveň 2 (P0)],AY61,RZ[Úroveň 3 (P0)],AZ61,RZ[Úroveň 4 (P0)],BA61,RZ[Úroveň 5 (P0)],BB61,RZ[Úroveň 6 (P0)],BC61),$BM61*$IQ61)</f>
        <v>0</v>
      </c>
      <c r="EX61" s="135">
        <f ca="1">RZ[[#This Row],[Úroveň 7 s koef. (P3a)]]*RZ[[#This Row],[Počet MJCR (P0) pro "kg"]]</f>
        <v>0</v>
      </c>
      <c r="EY61" s="135">
        <f ca="1">RZ[Úroveň 7 bez koef. (P3a)]*RZ[[#This Row],[Počet MJCR (P0) pro "kg"]]</f>
        <v>0</v>
      </c>
      <c r="EZ61" s="135">
        <f ca="1">IF(OFFSET(BE61,1,0,1,1)&lt;&gt;0,RZ[[#This Row],[Koeficient odhadu CR '[-'] (P1)]]*$BN61*SUMIFS(RZ[Úroveň 8 s koef. (P3)],RZ[0],AX61,RZ[Úroveň 2 (P0)],AY61,RZ[Úroveň 3 (P0)],AZ61,RZ[Úroveň 4 (P0)],BA61,RZ[Úroveň 5 (P0)],BB61,RZ[Úroveň 6 (P0)],BC61,RZ[Úroveň 7 (P0)],BD61),RZ[[#This Row],[Koeficient odhadu CR '[-'] (P1)]]*$BN61*$IQ61)</f>
        <v>0</v>
      </c>
      <c r="FA61" s="135">
        <f ca="1">IF(OFFSET(BE61,1,0,1,1)&lt;&gt;0,$BN61*SUMIFS(RZ[Úroveň 8 bez koef. (P3)],RZ[0],AX61,RZ[Úroveň 2 (P0)],AY61,RZ[Úroveň 3 (P0)],AZ61,RZ[Úroveň 4 (P0)],BA61,RZ[Úroveň 5 (P0)],BB61,RZ[Úroveň 6 (P0)],BC61,RZ[Úroveň 7 (P0)],BD61),$BN61*$IQ61)</f>
        <v>0</v>
      </c>
      <c r="FB61" s="140">
        <f ca="1">RZ[[#This Row],[Úroveň 8 s koef. (P3a)]]*RZ[[#This Row],[Počet MJCR (P0) pro "kg"]]</f>
        <v>0</v>
      </c>
      <c r="FC61" s="140">
        <f ca="1">RZ[Úroveň 8 bez koef. (P3a)]*RZ[[#This Row],[Počet MJCR (P0) pro "kg"]]</f>
        <v>0</v>
      </c>
      <c r="FD61" s="140">
        <f ca="1">IF(OFFSET(BF61,1,0,1,1)&lt;&gt;0,RZ[[#This Row],[Koeficient odhadu CR '[-'] (P1)]]*$BO61*SUMIFS(RZ[Úroveň 9 s koef. (P3)],RZ[0],AX61,RZ[Úroveň 2 (P0)],AY61,RZ[Úroveň 3 (P0)],AZ61,RZ[Úroveň 4 (P0)],BA61,RZ[Úroveň 5 (P0)],BB61,RZ[Úroveň 6 (P0)],BC61,RZ[Úroveň 7 (P0)],BD61,RZ[Úroveň 8 (P0)],BE61),RZ[[#This Row],[Koeficient odhadu CR '[-'] (P1)]]*$BO61*$IQ61)</f>
        <v>0</v>
      </c>
      <c r="FE61" s="140">
        <f ca="1">IF(OFFSET(BF61,1,0,1,1)&lt;&gt;0,$BO61*SUMIFS(RZ[Úroveň 9 bez koef. (P3)],RZ[0],AX61,RZ[Úroveň 2 (P0)],AY61,RZ[Úroveň 3 (P0)],AZ61,RZ[Úroveň 4 (P0)],BA61,RZ[Úroveň 5 (P0)],BB61,RZ[Úroveň 6 (P0)],BC61,RZ[Úroveň 7 (P0)],BD61,RZ[Úroveň 8 (P0)],BE61),$BO61*$IQ61)</f>
        <v>0</v>
      </c>
      <c r="FF61" s="135">
        <f ca="1">RZ[[#This Row],[Úroveň 9 s koef. (P3a)]]*RZ[[#This Row],[Počet MJCR (P0) pro "kg"]]</f>
        <v>0</v>
      </c>
      <c r="FG61" s="135">
        <f ca="1">RZ[Úroveň 9 bez koef. (P3a)]*RZ[[#This Row],[Počet MJCR (P0) pro "kg"]]</f>
        <v>0</v>
      </c>
      <c r="FH61" s="135">
        <f ca="1">IF(OFFSET(BG61,1,0,1,1)&lt;&gt;0,RZ[[#This Row],[Koeficient odhadu CR '[-'] (P1)]]*$BP61*SUMIFS(RZ[Úroveň 10 s koef. (P3)],RZ[0],AX61,RZ[Úroveň 2 (P0)],AY61,RZ[Úroveň 3 (P0)],AZ61,RZ[Úroveň 4 (P0)],BA61,RZ[Úroveň 5 (P0)],BB61,RZ[Úroveň 6 (P0)],BC61,RZ[Úroveň 7 (P0)],BD61,RZ[Úroveň 8 (P0)],BE61,RZ[Úroveň 9 (P0)],BF61),RZ[[#This Row],[Koeficient odhadu CR '[-'] (P1)]]*$BP61*$IQ61)</f>
        <v>0</v>
      </c>
      <c r="FI61" s="135">
        <f ca="1">IF(OFFSET(BG61,1,0,1,1)&lt;&gt;0,$BP61*SUMIFS(RZ[Úroveň 10 bez koef. (P3)],RZ[0],AX61,RZ[Úroveň 2 (P0)],AY61,RZ[Úroveň 3 (P0)],AZ61,RZ[Úroveň 4 (P0)],BA61,RZ[Úroveň 5 (P0)],BB61,RZ[Úroveň 6 (P0)],BC61,RZ[Úroveň 7 (P0)],BD61,RZ[Úroveň 8 (P0)],BE61,RZ[Úroveň 9 (P0)],BF61),$BP61*$IQ61)</f>
        <v>0</v>
      </c>
      <c r="FJ61" s="140">
        <f ca="1">RZ[[#This Row],[Úroveň 10 s koef. (P3a)]]*RZ[[#This Row],[Počet MJCR (P0) pro "kg"]]</f>
        <v>0</v>
      </c>
      <c r="FK61" s="140">
        <f ca="1">RZ[Úroveň 10 bez koef. (P3a)]*RZ[[#This Row],[Počet MJCR (P0) pro "kg"]]</f>
        <v>0</v>
      </c>
      <c r="FL61" s="140">
        <f ca="1">RZ[[#This Row],[Koeficient odhadu CR '[-'] (P1)]]*$BQ61*IQ61</f>
        <v>0</v>
      </c>
      <c r="FM61" s="236">
        <f t="shared" ca="1" si="419"/>
        <v>0</v>
      </c>
      <c r="FN61" s="194">
        <f t="shared" ca="1" si="420"/>
        <v>115</v>
      </c>
      <c r="FO61" s="238">
        <f t="shared" ca="1" si="421"/>
        <v>115</v>
      </c>
      <c r="FP61" s="135">
        <f t="shared" ca="1" si="422"/>
        <v>0</v>
      </c>
      <c r="FQ61" s="135">
        <f t="shared" ca="1" si="423"/>
        <v>0</v>
      </c>
      <c r="FR61" s="135">
        <f t="shared" ca="1" si="424"/>
        <v>280</v>
      </c>
      <c r="FS61" s="135">
        <f t="shared" ca="1" si="425"/>
        <v>0</v>
      </c>
      <c r="FT61" s="135">
        <f t="shared" ca="1" si="426"/>
        <v>0</v>
      </c>
      <c r="FU61" s="135">
        <f t="shared" ca="1" si="427"/>
        <v>0</v>
      </c>
      <c r="FV61" s="135">
        <f t="shared" ca="1" si="428"/>
        <v>0</v>
      </c>
      <c r="FW61" s="135">
        <f t="shared" ca="1" si="429"/>
        <v>0</v>
      </c>
      <c r="FX61" s="135">
        <f t="shared" ca="1" si="430"/>
        <v>0</v>
      </c>
      <c r="FY61" s="135">
        <f t="shared" ca="1" si="431"/>
        <v>0</v>
      </c>
      <c r="FZ61" s="140">
        <f ca="1">SUMIFS(RZ[Úroveň 1 (P6)],RZ[0],AX61)</f>
        <v>1</v>
      </c>
      <c r="GA61" s="140">
        <f ca="1">SUMIFS(RZ[Úroveň 2 (P6)],RZ[0],AX61,RZ[Úroveň 2 (P0)],AY61)</f>
        <v>2</v>
      </c>
      <c r="GB61" s="140">
        <f ca="1">SUMIFS(RZ[Úroveň 3 (P6)],RZ[0],AX61,RZ[Úroveň 2 (P0)],AY61,RZ[Úroveň 3 (P0)],AZ61)</f>
        <v>280</v>
      </c>
      <c r="GC61" s="140">
        <f ca="1">SUMIFS(RZ[Úroveň 4 (P6)],RZ[0],AX61,RZ[Úroveň 2 (P0)],AY61,RZ[Úroveň 3 (P0)],AZ61,RZ[Úroveň 4 (P0)],BA61)</f>
        <v>0</v>
      </c>
      <c r="GD61" s="140">
        <f ca="1">SUMIFS(RZ[Úroveň 5 (P6)],RZ[0],AX61,RZ[Úroveň 2 (P0)],AY61,RZ[Úroveň 3 (P0)],AZ61,RZ[Úroveň 4 (P0)],BA61,RZ[Úroveň 5 (P0)],BB61)</f>
        <v>0</v>
      </c>
      <c r="GE61" s="140">
        <f ca="1">SUMIFS(RZ[Úroveň 6 (P6)],RZ[0],AX61,RZ[Úroveň 2 (P0)],AY61,RZ[Úroveň 3 (P0)],AZ61,RZ[Úroveň 4 (P0)],BA61,RZ[Úroveň 5 (P0)],BB61,RZ[Úroveň 6 (P0)],BC61)</f>
        <v>0</v>
      </c>
      <c r="GF61" s="140">
        <f ca="1">SUMIFS(RZ[Úroveň 7 (P6)],RZ[0],AX61,RZ[Úroveň 2 (P0)],AY61,RZ[Úroveň 3 (P0)],AZ61,RZ[Úroveň 4 (P0)],BA61,RZ[Úroveň 5 (P0)],BB61,RZ[Úroveň 6 (P0)],BC61,RZ[Úroveň 7 (P0)],BD61)</f>
        <v>0</v>
      </c>
      <c r="GG61" s="140">
        <f ca="1">SUMIFS(RZ[Úroveň 8 (P6)],RZ[0],AX61,RZ[Úroveň 2 (P0)],AY61,RZ[Úroveň 3 (P0)],AZ61,RZ[Úroveň 4 (P0)],BA61,RZ[Úroveň 5 (P0)],BB61,RZ[Úroveň 6 (P0)],BC61,RZ[Úroveň 7 (P0)],BD61,RZ[Úroveň 8 (P0)],BE61)</f>
        <v>0</v>
      </c>
      <c r="GH61" s="140">
        <f ca="1">SUMIFS(RZ[Úroveň 9 (P6)],RZ[0],AX61,RZ[Úroveň 2 (P0)],AY61,RZ[Úroveň 3 (P0)],AZ61,RZ[Úroveň 4 (P0)],BA61,RZ[Úroveň 5 (P0)],BB61,RZ[Úroveň 6 (P0)],BC61,RZ[Úroveň 7 (P0)],BD61,RZ[Úroveň 8 (P0)],BE61,RZ[Úroveň 9 (P0)],BF61)</f>
        <v>0</v>
      </c>
      <c r="GI61" s="140">
        <f ca="1">SUMIFS(RZ[Úroveň 10 (P6)],RZ[0],AX61,RZ[Úroveň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GJ61" s="918">
        <f t="shared" ca="1" si="432"/>
        <v>560</v>
      </c>
      <c r="GK61" s="808">
        <f t="shared" si="433"/>
        <v>0</v>
      </c>
      <c r="GL61" s="808">
        <f t="shared" si="434"/>
        <v>0</v>
      </c>
      <c r="GM61" s="808">
        <f t="shared" si="435"/>
        <v>1</v>
      </c>
      <c r="GN61" s="808">
        <f t="shared" si="436"/>
        <v>0</v>
      </c>
      <c r="GO61" s="808">
        <f t="shared" si="437"/>
        <v>0</v>
      </c>
      <c r="GP61" s="808">
        <f t="shared" si="438"/>
        <v>0</v>
      </c>
      <c r="GQ61" s="808">
        <f t="shared" si="439"/>
        <v>0</v>
      </c>
      <c r="GR61" s="808">
        <f t="shared" si="440"/>
        <v>0</v>
      </c>
      <c r="GS61" s="808">
        <f t="shared" si="441"/>
        <v>0</v>
      </c>
      <c r="GT61" s="808">
        <f t="shared" si="442"/>
        <v>0</v>
      </c>
      <c r="GU61" s="809">
        <f ca="1">SUMIFS(RZ[Sloupec1],RZ[0],AX61)</f>
        <v>1</v>
      </c>
      <c r="GV61" s="809">
        <f ca="1">SUMIFS(RZ[Sloupec2],RZ[0],AX61,RZ[Úroveň 2 (P0)],AY61)</f>
        <v>1</v>
      </c>
      <c r="GW61" s="809">
        <f ca="1">SUMIFS(RZ[Sloupec3],RZ[0],AX61,RZ[Úroveň 2 (P0)],AY61,RZ[Úroveň 3 (P0)],AZ61)</f>
        <v>1</v>
      </c>
      <c r="GX61" s="809">
        <f ca="1">SUMIFS(RZ[Sloupec4],RZ[0],AX61,RZ[Úroveň 2 (P0)],AY61,RZ[Úroveň 3 (P0)],AZ61,RZ[Úroveň 4 (P0)],BA61)</f>
        <v>0</v>
      </c>
      <c r="GY61" s="809">
        <f ca="1">SUMIFS(RZ[Sloupec5],RZ[0],AX61,RZ[Úroveň 2 (P0)],AY61,RZ[Úroveň 3 (P0)],AZ61,RZ[Úroveň 4 (P0)],BA61,RZ[Úroveň 5 (P0)],BB61)</f>
        <v>0</v>
      </c>
      <c r="GZ61" s="809">
        <f ca="1">SUMIFS(RZ[Sloupec6],RZ[0],AX61,RZ[Úroveň 2 (P0)],AY61,RZ[Úroveň 3 (P0)],AZ61,RZ[Úroveň 4 (P0)],BA61,RZ[Úroveň 5 (P0)],BB61,RZ[Úroveň 6 (P0)],BC61)</f>
        <v>0</v>
      </c>
      <c r="HA61" s="809">
        <f ca="1">SUMIFS(RZ[Sloupec62],RZ[0],AX61,RZ[Úroveň 2 (P0)],AY61,RZ[Úroveň 3 (P0)],AZ61,RZ[Úroveň 4 (P0)],BA61,RZ[Úroveň 5 (P0)],BB61,RZ[Úroveň 6 (P0)],BC61,RZ[Úroveň 7 (P0)],BD61)</f>
        <v>0</v>
      </c>
      <c r="HB61" s="809">
        <f ca="1">SUMIFS(RZ[Sloupec63],RZ[0],AX61,RZ[Úroveň 2 (P0)],AY61,RZ[Úroveň 3 (P0)],AZ61,RZ[Úroveň 4 (P0)],BA61,RZ[Úroveň 5 (P0)],BB61,RZ[Úroveň 6 (P0)],BC61,RZ[Úroveň 7 (P0)],BD61,RZ[Úroveň 8 (P0)],BE61)</f>
        <v>0</v>
      </c>
      <c r="HC61" s="809">
        <f ca="1">SUMIFS(RZ[Sloupec64],RZ[0],AX61,RZ[Úroveň 2 (P0)],AY61,RZ[Úroveň 3 (P0)],AZ61,RZ[Úroveň 4 (P0)],BA61,RZ[Úroveň 5 (P0)],BB61,RZ[Úroveň 6 (P0)],BC61,RZ[Úroveň 7 (P0)],BD61,RZ[Úroveň 8 (P0)],BE61,RZ[Úroveň 9 (P0)],BF61)</f>
        <v>0</v>
      </c>
      <c r="HD61" s="809">
        <f ca="1">SUMIFS(RZ[Sloupec65],RZ[0],AX61,RZ[Úroveň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HE61" s="919">
        <f t="shared" ca="1" si="443"/>
        <v>1</v>
      </c>
      <c r="HF61" s="920" t="str">
        <f t="shared" si="444"/>
        <v/>
      </c>
      <c r="HG61" s="94" t="str">
        <f t="shared" si="445"/>
        <v/>
      </c>
      <c r="HH61" s="95" t="str">
        <f t="shared" si="446"/>
        <v/>
      </c>
      <c r="HI61" s="95" t="str">
        <f t="shared" si="447"/>
        <v>Osa - průměr 200 mm</v>
      </c>
      <c r="HJ61" s="96" t="str">
        <f t="shared" si="448"/>
        <v/>
      </c>
      <c r="HK61" s="96" t="str">
        <f t="shared" si="449"/>
        <v/>
      </c>
      <c r="HL61" s="96" t="str">
        <f t="shared" si="450"/>
        <v/>
      </c>
      <c r="HM61" s="96" t="str">
        <f t="shared" si="451"/>
        <v/>
      </c>
      <c r="HN61" s="96" t="str">
        <f t="shared" si="452"/>
        <v/>
      </c>
      <c r="HO61" s="96" t="str">
        <f t="shared" si="453"/>
        <v/>
      </c>
      <c r="HP61" s="96" t="str">
        <f t="shared" si="454"/>
        <v/>
      </c>
      <c r="HQ61" s="145" t="str">
        <f t="shared" si="455"/>
        <v>STO2</v>
      </c>
      <c r="HR61" s="921" t="str">
        <f t="shared" si="456"/>
        <v/>
      </c>
      <c r="HS61" s="173">
        <f t="shared" si="457"/>
        <v>0</v>
      </c>
      <c r="HT61" s="100">
        <f t="shared" si="458"/>
        <v>0</v>
      </c>
      <c r="HU61" s="100">
        <f t="shared" si="459"/>
        <v>0</v>
      </c>
      <c r="HV61" s="908">
        <f t="shared" si="460"/>
        <v>0</v>
      </c>
      <c r="HW61" s="922">
        <f t="shared" si="461"/>
        <v>0</v>
      </c>
      <c r="HX61" s="224">
        <f t="shared" si="462"/>
        <v>0</v>
      </c>
      <c r="HY61" s="263" t="str">
        <f t="shared" si="463"/>
        <v>S</v>
      </c>
      <c r="HZ61" s="263">
        <f t="shared" si="464"/>
        <v>0</v>
      </c>
      <c r="IA61" s="150">
        <f t="shared" si="465"/>
        <v>1</v>
      </c>
      <c r="IB61" s="319">
        <f t="shared" si="466"/>
        <v>0</v>
      </c>
      <c r="IC61" s="923">
        <f t="shared" si="467"/>
        <v>0</v>
      </c>
      <c r="ID61" s="924" t="str">
        <f t="shared" ca="1" si="468"/>
        <v>OK</v>
      </c>
      <c r="IE61" s="201" t="str">
        <f t="shared" si="469"/>
        <v>ks</v>
      </c>
      <c r="IF61" s="145">
        <f t="shared" si="470"/>
        <v>2</v>
      </c>
      <c r="IG61" s="216">
        <f t="shared" si="471"/>
        <v>140</v>
      </c>
      <c r="IH61" s="217">
        <f t="shared" si="472"/>
        <v>1</v>
      </c>
      <c r="II61" s="224" t="str">
        <f ca="1">IF(RZ[[#This Row],[Rozhodný sloupec indikativní ceny]]=1,"kg",IF($IW61=$JL$15,IF(JX61=0,JO61,JX61),IF($IW61=$KE$15,IF(KQ61=0,KH61,KQ61),IF($IW61=$KX$15,IF(LJ61=0,LA61,LJ61),IF($IW61=$LQ$15,IF(MC61=0,LT61,MC61),IF($IW61=$MJ$15,IF(NQ61=0,NH61,NQ61),0))))))</f>
        <v>kg</v>
      </c>
      <c r="IJ61" s="224">
        <f ca="1">IF((BH61+OFFSET(BH61,1,1,1,1))=2,RZ[[#This Row],[Počet MJHR (P0)]],IF((BI61+OFFSET(BI61,1,1,1,1))=2,RZ[[#This Row],[Počet MJHR (P0)]],IF((BJ61+OFFSET(BJ61,1,1,1,1))=2,RZ[[#This Row],[Počet MJHR (P0)]],IF((BK61+OFFSET(BK61,1,1,1,1))=2,RZ[[#This Row],[Počet MJHR (P0)]],IF((BL61+OFFSET(BL61,1,1,1,1))=2,RZ[[#This Row],[Počet MJHR (P0)]],IF((BM61+OFFSET(BM61,1,1,1,1))=2,RZ[[#This Row],[Počet MJHR (P0)]],IF((BN61+OFFSET(BN61,1,1,1,1))=2,RZ[[#This Row],[Počet MJHR (P0)]],IF((BO61+OFFSET(BO61,1,1,1,1))=2,RZ[[#This Row],[Počet MJHR (P0)]],IF((BP61+OFFSET(BP61,1,1,1,1))=2,RZ[[#This Row],[Počet MJHR (P0)]],IF((BQ61+OFFSET(BQ61,1,1,1,1))=2,RZ[[#This Row],[Počet MJHR (P0)]],IF(RZ[[#This Row],[Měrná jednotka CR (MJCR) (P0)]]=RZ[[#This Row],[Měrná jednotka HR '[MJHR'] (P0)]],RZ[[#This Row],[Počet MJHR (P0)]],IF($IW61=$JL$15,JY61,IF($IW61=$KE$15,KR61,IF($IW61=$KX$15,LK61,IF($IW61=$LQ$15,MD61,IF($IW61=$MJ$15,NR61,0))))))))))))))))</f>
        <v>0</v>
      </c>
      <c r="IK6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61" s="145">
        <f ca="1">IF(AND(RZ[[#This Row],[Jednotková cena bez DPH '[cena/MJCR'] (P0)]]=0,RZ[[#This Row],[Indikativní jednotková cena '[CZK/kg'] (P1)]]&lt;&gt;0),1,0)</f>
        <v>1</v>
      </c>
      <c r="IM61" s="217">
        <f ca="1">VLOOKUP(RZ[[#This Row],[Kód položek]],INDIKAT_CENA,2,FALSE)</f>
        <v>115</v>
      </c>
      <c r="IN61" s="222">
        <f ca="1">IF(RZ[[#This Row],[Rozhodný sloupec indikativní ceny]]=1,RZ[[#This Row],[Indikativní jednotková cena '[CZK/kg'] (P1)]],RZ[[#This Row],[Jednotková cena bez DPH '[cena/MJCR'] (P0)]])</f>
        <v>115</v>
      </c>
      <c r="IO61" s="222">
        <f t="shared" si="473"/>
        <v>1</v>
      </c>
      <c r="IP61" s="224">
        <f ca="1">IF(RZ[[#This Row],[Rozhodný sloupec indikativní ceny]]=1,1,IF($IW61=$JL$15,KA61,IF($IW61=$KE$15,KT61,IF($IW61=$KX$15,LM61,IF($IW61=$LQ$15,MF61,IF($IW61=$MJ$15,NT61,0))))))</f>
        <v>1</v>
      </c>
      <c r="IQ61" s="225">
        <f ca="1">IF(RZ[[#This Row],[Jednotková cena bez DPH '[cena/MJCR'] (P1)]]="",0,IF(IP61=0,0,(RZ[[#This Row],[Jednotková cena bez DPH '[cena/MJCR'] (P1)]]*VLOOKUP(IP61,$BR$7:$BT$10,3))))</f>
        <v>115</v>
      </c>
      <c r="IR61" s="737"/>
      <c r="IS61" s="627">
        <f>IF(HY61=0,"",VLOOKUP(RZ[[#This Row],[Stav Projekce (P0)]],Vstupy!$E$11:'Vstupy'!$E$11:$H$17,4,FALSE))</f>
        <v>100</v>
      </c>
      <c r="IT61" s="925" t="str">
        <f>IF(RZ[[#This Row],[Stav Projekce (P0)]]=0,"",RZ[[#This Row],[Stav Projekce (P0)]])</f>
        <v>S</v>
      </c>
      <c r="IU61" s="925" t="str">
        <f>IF(RZ[[#This Row],[Stav Nákup (P0)]]=0,"",RZ[[#This Row],[Stav Nákup (P0)]])</f>
        <v/>
      </c>
      <c r="IV61" s="926" t="str">
        <f t="shared" si="474"/>
        <v/>
      </c>
      <c r="IW61" s="641">
        <v>1</v>
      </c>
      <c r="IX61" s="630"/>
      <c r="IY61" s="264"/>
      <c r="IZ61" s="648"/>
      <c r="JA61" s="100"/>
      <c r="JB61" s="100" t="s">
        <v>788</v>
      </c>
      <c r="JC61" s="100"/>
      <c r="JD61" s="100"/>
      <c r="JE61" s="100"/>
      <c r="JF61" s="100"/>
      <c r="JG61" s="100"/>
      <c r="JH61" s="100"/>
      <c r="JI61" s="100"/>
      <c r="JJ61" s="145" t="s">
        <v>773</v>
      </c>
      <c r="JK61" s="529"/>
      <c r="JL61" s="286"/>
      <c r="JM61" s="100"/>
      <c r="JN61" s="100"/>
      <c r="JO61" s="145" t="s">
        <v>35</v>
      </c>
      <c r="JP61" s="117">
        <v>2</v>
      </c>
      <c r="JQ61" s="117">
        <v>140</v>
      </c>
      <c r="JR61" s="148">
        <v>1</v>
      </c>
      <c r="JS61" s="145" t="s">
        <v>602</v>
      </c>
      <c r="JT61" s="631"/>
      <c r="JU61" s="148"/>
      <c r="JV61" s="154"/>
      <c r="JW61" s="145"/>
      <c r="JX61" s="210"/>
      <c r="JY61" s="117"/>
      <c r="JZ61" s="662"/>
      <c r="KA61" s="145"/>
      <c r="KB61" s="148"/>
      <c r="KC61" s="148"/>
      <c r="KD61" s="644"/>
      <c r="KE61" s="286"/>
      <c r="KF61" s="100"/>
      <c r="KG61" s="100"/>
      <c r="KH61" s="210"/>
      <c r="KI61" s="117"/>
      <c r="KJ61" s="117"/>
      <c r="KK61" s="148"/>
      <c r="KL61" s="145"/>
      <c r="KM61" s="632"/>
      <c r="KN61" s="148"/>
      <c r="KO61" s="154"/>
      <c r="KP61" s="154"/>
      <c r="KQ61" s="210"/>
      <c r="KR61" s="117"/>
      <c r="KS61" s="211"/>
      <c r="KT61" s="145"/>
      <c r="KU61" s="148"/>
      <c r="KV61" s="148"/>
      <c r="KW61" s="265"/>
      <c r="KX61" s="286"/>
      <c r="KY61" s="100"/>
      <c r="KZ61" s="100"/>
      <c r="LA61" s="210"/>
      <c r="LB61" s="117"/>
      <c r="LC61" s="117"/>
      <c r="LD61" s="148"/>
      <c r="LE61" s="145"/>
      <c r="LF61" s="632"/>
      <c r="LG61" s="148"/>
      <c r="LH61" s="154"/>
      <c r="LI61" s="154"/>
      <c r="LJ61" s="154"/>
      <c r="LK61" s="117"/>
      <c r="LL61" s="211"/>
      <c r="LM61" s="210"/>
      <c r="LN61" s="148"/>
      <c r="LO61" s="148"/>
      <c r="LP61" s="265"/>
      <c r="LQ61" s="286"/>
      <c r="LR61" s="100"/>
      <c r="LS61" s="100"/>
      <c r="LT61" s="210"/>
      <c r="LU61" s="117"/>
      <c r="LV61" s="117"/>
      <c r="LW61" s="148"/>
      <c r="LX61" s="145"/>
      <c r="LY61" s="632"/>
      <c r="LZ61" s="148"/>
      <c r="MA61" s="154"/>
      <c r="MB61" s="154"/>
      <c r="MC61" s="145"/>
      <c r="MD61" s="117"/>
      <c r="ME61" s="211"/>
      <c r="MF61" s="210"/>
      <c r="MG61" s="148"/>
      <c r="MH61" s="148"/>
      <c r="MI61" s="265"/>
      <c r="MJ61" s="647"/>
      <c r="MK61" s="264"/>
      <c r="ML61" s="153"/>
      <c r="MM61" s="153"/>
      <c r="MN61" s="153"/>
      <c r="MO61" s="153"/>
      <c r="MP61" s="153"/>
      <c r="MQ61" s="153"/>
      <c r="MR61" s="153"/>
      <c r="MS61" s="99"/>
      <c r="MT61" s="99"/>
      <c r="MU61" s="99"/>
      <c r="MV61" s="99"/>
      <c r="MW61" s="99"/>
      <c r="MX61" s="99"/>
      <c r="MY61" s="153"/>
      <c r="MZ61" s="153"/>
      <c r="NA61" s="153"/>
      <c r="NB61" s="153"/>
      <c r="NC61" s="153"/>
      <c r="ND61" s="153"/>
      <c r="NE61" s="148"/>
      <c r="NF61" s="153"/>
      <c r="NG61" s="153"/>
      <c r="NH61" s="330" t="str">
        <f t="shared" si="475"/>
        <v>ks</v>
      </c>
      <c r="NI61" s="797">
        <f>RZ[[#This Row],[Počet ks (K)]]</f>
        <v>0</v>
      </c>
      <c r="NJ61" s="798">
        <f>RZ[[#This Row],[Hmotnost '[kg/ks'] (K)]]</f>
        <v>0</v>
      </c>
      <c r="NK61" s="148"/>
      <c r="NL61" s="145"/>
      <c r="NM61" s="632"/>
      <c r="NN61" s="148"/>
      <c r="NO61" s="154"/>
      <c r="NP61" s="153"/>
      <c r="NQ61" s="153"/>
      <c r="NR61" s="210"/>
      <c r="NS61" s="148"/>
      <c r="NT61" s="210"/>
      <c r="NU61" s="148"/>
      <c r="NV61" s="148"/>
      <c r="NW61" s="175"/>
    </row>
    <row r="62" spans="2:387" ht="15.95" customHeight="1" x14ac:dyDescent="0.35">
      <c r="B62" s="118" t="str">
        <f t="shared" si="359"/>
        <v/>
      </c>
      <c r="C6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2" s="262" t="str">
        <f t="shared" si="360"/>
        <v xml:space="preserve">    Přídržka</v>
      </c>
      <c r="E62" s="120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Row],[Kód položek (P2)]]))))))))))</f>
        <v>STO3</v>
      </c>
      <c r="F62" s="791" t="str">
        <f t="shared" si="361"/>
        <v>N/A</v>
      </c>
      <c r="G62" s="792" t="str">
        <f t="shared" si="362"/>
        <v/>
      </c>
      <c r="H62" s="262" t="str">
        <f t="shared" si="363"/>
        <v/>
      </c>
      <c r="I62" s="123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HR '[MJHR'] (P0)]]))))))))))</f>
        <v>ks</v>
      </c>
      <c r="J62" s="123">
        <f t="shared" si="364"/>
        <v>2</v>
      </c>
      <c r="K62" s="793">
        <f>RZ[[#This Row],[Koeficient odhadu HR '[-'] (P1)]]</f>
        <v>1</v>
      </c>
      <c r="L62" s="124">
        <f ca="1">RZ[[#This Row],[Jednotková hmotnost s koef. '[kg/MJHR'] (P0)]]</f>
        <v>1.9</v>
      </c>
      <c r="M62" s="794">
        <f t="shared" ca="1" si="365"/>
        <v>0</v>
      </c>
      <c r="N62" s="125">
        <f t="shared" ca="1" si="366"/>
        <v>3.8</v>
      </c>
      <c r="O62" s="125">
        <f t="shared" ca="1" si="367"/>
        <v>0</v>
      </c>
      <c r="P62" s="126" t="str">
        <f t="shared" si="368"/>
        <v/>
      </c>
      <c r="Q62" s="795">
        <f ca="1">RZ[[#This Row],[Počet MJHR v rozpadu (P0)]]</f>
        <v>4</v>
      </c>
      <c r="R62" s="439" t="str">
        <f t="shared" si="369"/>
        <v/>
      </c>
      <c r="S62" s="129" t="str">
        <f t="shared" si="370"/>
        <v/>
      </c>
      <c r="T62" s="126" t="str">
        <f t="shared" si="371"/>
        <v/>
      </c>
      <c r="U62" s="126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CR (MJCR) (P0)]]))))))))))</f>
        <v>kg</v>
      </c>
      <c r="V62" s="575">
        <f t="shared" ca="1" si="372"/>
        <v>3.8</v>
      </c>
      <c r="W62" s="322">
        <f>RZ[[#This Row],[Koeficient odhadu CR '[-'] (P1)]]</f>
        <v>1</v>
      </c>
      <c r="X62" s="440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Row],[Jednotková cena bez DPH '[cena/MJCR'] (P1)]]*RZ[[#This Row],[Koeficient odhadu CR '[-']]]))))))))))</f>
        <v>85</v>
      </c>
      <c r="Y62" s="440">
        <f t="shared" ca="1" si="373"/>
        <v>0</v>
      </c>
      <c r="Z62" s="142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VLOOKUP(IP62,$BR$7:$BS$11,2,FALSE)))))))))))</f>
        <v>CZK</v>
      </c>
      <c r="AA62" s="909">
        <f t="shared" ca="1" si="374"/>
        <v>7.6</v>
      </c>
      <c r="AB62" s="910">
        <f ca="1">RZ[[#This Row],[Kumulovaný koeficient v rozpadu (P0)]]</f>
        <v>1</v>
      </c>
      <c r="AC62" s="261"/>
      <c r="AD62" s="796">
        <f ca="1">RZ[[#This Row],[Jednotková cena bez DPH '[cena/MJCR'] s koef. (P0)]]/RZ[[#This Row],[Koeficient odhadu CR '[-']]]*RZ[[#This Row],[Kumulovaný koeficient odhadu CR  '[-']]]</f>
        <v>85</v>
      </c>
      <c r="AE62" s="796">
        <f t="shared" ca="1" si="375"/>
        <v>646</v>
      </c>
      <c r="AF62" s="796">
        <f ca="1">-IF(ISNUMBER(AA62),RZ[[#This Row],[Celková cena bez DPH (1)]]-RZ[[#This Row],[Jednotková cena bez DPH '[cena/MJCR'] bez koef. (P0)]]*AA62,0)</f>
        <v>0</v>
      </c>
      <c r="AG6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2" s="261"/>
      <c r="AI62" s="796">
        <f t="shared" ca="1" si="376"/>
        <v>3.1481481481481484</v>
      </c>
      <c r="AJ62" s="796">
        <f t="shared" ca="1" si="377"/>
        <v>23.925925925925927</v>
      </c>
      <c r="AK62" s="796">
        <f t="shared" ca="1" si="378"/>
        <v>0</v>
      </c>
      <c r="AL62" s="753">
        <f ca="1">RZ[[#This Row],[Kilogramová cena bez DPH '[cena/kg'] (1)]]/$AK$13</f>
        <v>3.1481481481481484</v>
      </c>
      <c r="AM62" s="261"/>
      <c r="AN62" s="796">
        <f t="shared" ca="1" si="379"/>
        <v>4.1062801932367154</v>
      </c>
      <c r="AO62" s="796">
        <f t="shared" ca="1" si="380"/>
        <v>31.207729468599034</v>
      </c>
      <c r="AP62" s="796">
        <f t="shared" ca="1" si="381"/>
        <v>0</v>
      </c>
      <c r="AQ62" s="753">
        <f ca="1">RZ[[#This Row],[Kilogramová cena bez DPH '[cena/kg'] (1)]]/$AP$13</f>
        <v>4.1062801932367154</v>
      </c>
      <c r="AR62" s="261"/>
      <c r="AS62" s="796">
        <f t="shared" ca="1" si="382"/>
        <v>2.324945295404814</v>
      </c>
      <c r="AT62" s="796">
        <f t="shared" ca="1" si="383"/>
        <v>17.669584245076585</v>
      </c>
      <c r="AU62" s="789">
        <f t="shared" ca="1" si="384"/>
        <v>0</v>
      </c>
      <c r="AV62" s="767">
        <f ca="1">RZ[[#This Row],[Kilogramová cena bez DPH '[cena/kg'] (1)]]/$AU$13</f>
        <v>2.324945295404814</v>
      </c>
      <c r="AW62" s="165"/>
      <c r="AX62" s="911">
        <f t="shared" ca="1" si="385"/>
        <v>2</v>
      </c>
      <c r="AY62" s="111">
        <f t="shared" ca="1" si="386"/>
        <v>2</v>
      </c>
      <c r="AZ62" s="111">
        <f t="shared" ca="1" si="387"/>
        <v>7</v>
      </c>
      <c r="BA62" s="111">
        <f t="shared" ca="1" si="388"/>
        <v>0</v>
      </c>
      <c r="BB62" s="111">
        <f t="shared" ca="1" si="389"/>
        <v>0</v>
      </c>
      <c r="BC62" s="111">
        <f t="shared" ca="1" si="390"/>
        <v>0</v>
      </c>
      <c r="BD62" s="111">
        <f t="shared" ca="1" si="391"/>
        <v>0</v>
      </c>
      <c r="BE62" s="111">
        <f t="shared" ca="1" si="392"/>
        <v>0</v>
      </c>
      <c r="BF62" s="111">
        <f t="shared" ca="1" si="393"/>
        <v>0</v>
      </c>
      <c r="BG62" s="112">
        <f t="shared" ca="1" si="394"/>
        <v>0</v>
      </c>
      <c r="BH62" s="911">
        <f t="shared" si="395"/>
        <v>0</v>
      </c>
      <c r="BI62" s="111">
        <f t="shared" si="396"/>
        <v>0</v>
      </c>
      <c r="BJ62" s="111">
        <f t="shared" si="397"/>
        <v>1</v>
      </c>
      <c r="BK62" s="111">
        <f t="shared" si="398"/>
        <v>0</v>
      </c>
      <c r="BL62" s="111">
        <f t="shared" si="399"/>
        <v>0</v>
      </c>
      <c r="BM62" s="111">
        <f t="shared" si="400"/>
        <v>0</v>
      </c>
      <c r="BN62" s="111">
        <f t="shared" si="401"/>
        <v>0</v>
      </c>
      <c r="BO62" s="111">
        <f t="shared" si="402"/>
        <v>0</v>
      </c>
      <c r="BP62" s="111">
        <f t="shared" si="403"/>
        <v>0</v>
      </c>
      <c r="BQ62" s="112">
        <f t="shared" si="404"/>
        <v>0</v>
      </c>
      <c r="BR62" s="132">
        <f ca="1">IF(OFFSET(AY62,1,0,1,1)&lt;&gt;0,RZ[[#This Row],[Koeficient odhadu HR '[-'] (P1)]]*$BH62*SUMIFS(RZ[Úroveň 2 s koef. (P2)],RZ[0],AX62),RZ[[#This Row],[Koeficient odhadu HR '[-'] (P1)]]*$BH62*$IG62)</f>
        <v>0</v>
      </c>
      <c r="BS62" s="186">
        <f ca="1">IF(OFFSET(AY62,1,0,1,1)&lt;&gt;0,$BH62*SUMIFS(RZ[Úroveň 2 bez koef. (P2)],RZ[0],AX62),$BH62*$IG62)</f>
        <v>0</v>
      </c>
      <c r="BT62" s="138">
        <f ca="1">RZ[[#This Row],[Úroveň 2 s koef. (P2a)]]*RZ[[#This Row],[Počet MJHR (P0)]]</f>
        <v>0</v>
      </c>
      <c r="BU62" s="138">
        <f ca="1">RZ[[#This Row],[Úroveň 2 bez koef. (P2a)]]*RZ[[#This Row],[Počet MJHR (P0)]]</f>
        <v>0</v>
      </c>
      <c r="BV62" s="138">
        <f ca="1">IF(OFFSET(AZ62,1,0,1,1)&lt;&gt;0,RZ[[#This Row],[Koeficient odhadu HR '[-'] (P1)]]*$BI62*SUMIFS(RZ[Úroveň 3 s koef. (P2)],RZ[0],AX62,RZ[Úroveň 2 (P0)],AY62),RZ[[#This Row],[Koeficient odhadu HR '[-'] (P1)]]*$BI62*$IG62)</f>
        <v>0</v>
      </c>
      <c r="BW62" s="138">
        <f ca="1">IF(OFFSET(AZ62,1,0,1,1)&lt;&gt;0,$BI62*SUMIFS(RZ[Úroveň 3 bez koef. (P2)],RZ[0],AX62,RZ[Úroveň 2 (P0)],AY62),$BI62*$IG62)</f>
        <v>0</v>
      </c>
      <c r="BX62" s="132">
        <f ca="1">RZ[[#This Row],[Úroveň 3 s koef. (P2a)]]*RZ[[#This Row],[Počet MJHR (P0)]]</f>
        <v>3.8</v>
      </c>
      <c r="BY62" s="132">
        <f ca="1">RZ[Úroveň 3 bez koef. (P2a)]*RZ[[#This Row],[Počet MJHR (P0)]]</f>
        <v>3.8</v>
      </c>
      <c r="BZ62" s="132">
        <f ca="1">IF(OFFSET(BA62,1,0,1,1)&lt;&gt;0,RZ[[#This Row],[Koeficient odhadu HR '[-'] (P1)]]*$BJ62*SUMIFS(RZ[Úroveň 4 s koef. (P2)],RZ[0],AX62,RZ[Úroveň 2 (P0)],AY62,RZ[Úroveň 3 (P0)],AZ62),RZ[[#This Row],[Koeficient odhadu HR '[-'] (P1)]]*$BJ62*$IG62)</f>
        <v>1.9</v>
      </c>
      <c r="CA62" s="132">
        <f ca="1">IF(OFFSET(BA62,1,0,1,1)&lt;&gt;0,$BJ62*SUMIFS(RZ[Úroveň 4 bez koef. (P2)],RZ[0],AX62,RZ[Úroveň 2 (P0)],AY62,RZ[Úroveň 3 (P0)],AZ62),$BJ62*$IG62)</f>
        <v>1.9</v>
      </c>
      <c r="CB62" s="138">
        <f ca="1">RZ[[#This Row],[Úroveň 4 s koef. (P2a)]]*RZ[[#This Row],[Počet MJHR (P0)]]</f>
        <v>0</v>
      </c>
      <c r="CC62" s="138">
        <f ca="1">RZ[Úroveň 4 bez koef. (P2a)]*RZ[[#This Row],[Počet MJHR (P0)]]</f>
        <v>0</v>
      </c>
      <c r="CD62" s="138">
        <f ca="1">IF(OFFSET(BB62,1,0,1,1)&lt;&gt;0,RZ[[#This Row],[Koeficient odhadu HR '[-'] (P1)]]*$BK62*SUMIFS(RZ[Úroveň 5 s koef. (P2)],RZ[0],AX62,RZ[Úroveň 2 (P0)],AY62,RZ[Úroveň 3 (P0)],AZ62,RZ[Úroveň 4 (P0)],BA62),RZ[[#This Row],[Koeficient odhadu HR '[-'] (P1)]]*$BK62*$IG62)</f>
        <v>0</v>
      </c>
      <c r="CE62" s="138">
        <f ca="1">IF(OFFSET(BB62,1,0,1,1)&lt;&gt;0,$BK62*SUMIFS(RZ[Úroveň 5 bez koef. (P2)],RZ[0],AX62,RZ[Úroveň 2 (P0)],AY62,RZ[Úroveň 3 (P0)],AZ62,RZ[Úroveň 4 (P0)],BA62),$BK62*$IG62)</f>
        <v>0</v>
      </c>
      <c r="CF62" s="132">
        <f ca="1">RZ[[#This Row],[Úroveň 5 s koef. (P2a)]]*RZ[[#This Row],[Počet MJHR (P0)]]</f>
        <v>0</v>
      </c>
      <c r="CG62" s="132">
        <f ca="1">RZ[Úroveň 5 bez koef. (P2a)]*RZ[[#This Row],[Počet MJHR (P0)]]</f>
        <v>0</v>
      </c>
      <c r="CH62" s="132">
        <f ca="1">IF(OFFSET(BC62,1,0,1,1)&lt;&gt;0,RZ[[#This Row],[Koeficient odhadu HR '[-'] (P1)]]*$BL62*SUMIFS(RZ[Úroveň 6 s koef. (P2)],RZ[0],AX62,RZ[Úroveň 2 (P0)],AY62,RZ[Úroveň 3 (P0)],AZ62,RZ[Úroveň 4 (P0)],BA62,RZ[Úroveň 5 (P0)],BB62),RZ[[#This Row],[Koeficient odhadu HR '[-'] (P1)]]*$BL62*$IG62)</f>
        <v>0</v>
      </c>
      <c r="CI62" s="132">
        <f ca="1">IF(OFFSET(BC62,1,0,1,1)&lt;&gt;0,$BL62*SUMIFS(RZ[Úroveň 6 bez koef. (P2)],RZ[0],AX62,RZ[Úroveň 2 (P0)],AY62,RZ[Úroveň 3 (P0)],AZ62,RZ[Úroveň 4 (P0)],BA62,RZ[Úroveň 5 (P0)],BB62),$BL62*$IG62)</f>
        <v>0</v>
      </c>
      <c r="CJ62" s="138">
        <f ca="1">RZ[[#This Row],[Úroveň 6 s koef. (P2a)]]*RZ[[#This Row],[Počet MJHR (P0)]]</f>
        <v>0</v>
      </c>
      <c r="CK62" s="138">
        <f ca="1">RZ[Úroveň 6 bez koef. (P2a)]*RZ[[#This Row],[Počet MJHR (P0)]]</f>
        <v>0</v>
      </c>
      <c r="CL62" s="138">
        <f ca="1">IF(OFFSET(BD62,1,0,1,1)&lt;&gt;0,RZ[[#This Row],[Koeficient odhadu HR '[-'] (P1)]]*$BM62*SUMIFS(RZ[Úroveň 7 s koef. (P2)],RZ[0],AX62,RZ[Úroveň 2 (P0)],AY62,RZ[Úroveň 3 (P0)],AZ62,RZ[Úroveň 4 (P0)],BA62,RZ[Úroveň 5 (P0)],BB62,RZ[Úroveň 6 (P0)],BC62),RZ[[#This Row],[Koeficient odhadu HR '[-'] (P1)]]*$BM62*$IG62)</f>
        <v>0</v>
      </c>
      <c r="CM62" s="138">
        <f ca="1">IF(OFFSET(BD62,1,0,1,1)&lt;&gt;0,$BM62*SUMIFS(RZ[Úroveň 7 bez koef. (P2)],RZ[0],AX62,RZ[Úroveň 2 (P0)],AY62,RZ[Úroveň 3 (P0)],AZ62,RZ[Úroveň 4 (P0)],BA62,RZ[Úroveň 5 (P0)],BB62,RZ[Úroveň 6 (P0)],BC62),$BM62*$IG62)</f>
        <v>0</v>
      </c>
      <c r="CN62" s="132">
        <f ca="1">RZ[[#This Row],[Úroveň 7 s koef. (P2a)]]*RZ[[#This Row],[Počet MJHR (P0)]]</f>
        <v>0</v>
      </c>
      <c r="CO62" s="132">
        <f ca="1">RZ[Úroveň 7 bez koef. (P2a)]*RZ[[#This Row],[Počet MJHR (P0)]]</f>
        <v>0</v>
      </c>
      <c r="CP62" s="132">
        <f ca="1">IF(OFFSET(BE62,1,0,1,1)&lt;&gt;0,RZ[[#This Row],[Koeficient odhadu HR '[-'] (P1)]]*$BN62*SUMIFS(RZ[Úroveň 8 s koef. (P2)],RZ[0],AX62,RZ[Úroveň 2 (P0)],AY62,RZ[Úroveň 3 (P0)],AZ62,RZ[Úroveň 4 (P0)],BA62,RZ[Úroveň 5 (P0)],BB62,RZ[Úroveň 6 (P0)],BC62,RZ[Úroveň 7 (P0)],BD62),RZ[[#This Row],[Koeficient odhadu HR '[-'] (P1)]]*$BN62*$IG62)</f>
        <v>0</v>
      </c>
      <c r="CQ62" s="132">
        <f ca="1">IF(OFFSET(BE62,1,0,1,1)&lt;&gt;0,$BN62*SUMIFS(RZ[Úroveň 8 bez koef. (P2)],RZ[0],AX62,RZ[Úroveň 2 (P0)],AY62,RZ[Úroveň 3 (P0)],AZ62,RZ[Úroveň 4 (P0)],BA62,RZ[Úroveň 5 (P0)],BB62,RZ[Úroveň 6 (P0)],BC62,RZ[Úroveň 7 (P0)],BD62),$BN62*$IG62)</f>
        <v>0</v>
      </c>
      <c r="CR62" s="138">
        <f ca="1">RZ[[#This Row],[Úroveň 8 s koef. (P2a)]]*RZ[[#This Row],[Počet MJHR (P0)]]</f>
        <v>0</v>
      </c>
      <c r="CS62" s="138">
        <f ca="1">RZ[Úroveň 8 bez koef. (P2a)]*RZ[[#This Row],[Počet MJHR (P0)]]</f>
        <v>0</v>
      </c>
      <c r="CT62" s="138">
        <f ca="1">IF(OFFSET(BF62,1,0,1,1)&lt;&gt;0,RZ[[#This Row],[Koeficient odhadu HR '[-'] (P1)]]*$BO62*SUMIFS(RZ[Úroveň 9 s koef. (P2)],RZ[0],AX62,RZ[Úroveň 2 (P0)],AY62,RZ[Úroveň 3 (P0)],AZ62,RZ[Úroveň 4 (P0)],BA62,RZ[Úroveň 5 (P0)],BB62,RZ[Úroveň 6 (P0)],BC62,RZ[Úroveň 7 (P0)],BD62,RZ[Úroveň 8 (P0)],BE62),RZ[[#This Row],[Koeficient odhadu HR '[-'] (P1)]]*$BO62*$IG62)</f>
        <v>0</v>
      </c>
      <c r="CU62" s="138">
        <f ca="1">IF(OFFSET(BF62,1,0,1,1)&lt;&gt;0,$BO62*SUMIFS(RZ[Úroveň 9 bez koef. (P2)],RZ[0],AX62,RZ[Úroveň 2 (P0)],AY62,RZ[Úroveň 3 (P0)],AZ62,RZ[Úroveň 4 (P0)],BA62,RZ[Úroveň 5 (P0)],BB62,RZ[Úroveň 6 (P0)],BC62,RZ[Úroveň 7 (P0)],BD62,RZ[Úroveň 8 (P0)],BE62),$BO62*$IG62)</f>
        <v>0</v>
      </c>
      <c r="CV62" s="132">
        <f ca="1">RZ[[#This Row],[Úroveň 9 s koef. (P2a)]]*RZ[[#This Row],[Počet MJHR (P0)]]</f>
        <v>0</v>
      </c>
      <c r="CW62" s="132">
        <f ca="1">RZ[Úroveň 9 bez koef. (P2a)]*RZ[[#This Row],[Počet MJHR (P0)]]</f>
        <v>0</v>
      </c>
      <c r="CX62" s="132">
        <f ca="1">IF(OFFSET(BG62,1,0,1,1)&lt;&gt;0,RZ[[#This Row],[Koeficient odhadu HR '[-'] (P1)]]*$BP62*SUMIFS(RZ[Úroveň 10 s koef. (P2)],RZ[0],AX62,RZ[Úroveň 2 (P0)],AY62,RZ[Úroveň 3 (P0)],AZ62,RZ[Úroveň 4 (P0)],BA62,RZ[Úroveň 5 (P0)],BB62,RZ[Úroveň 6 (P0)],BC62,RZ[Úroveň 7 (P0)],BD62,RZ[Úroveň 8 (P0)],BE62,RZ[Úroveň 9 (P0)],BF62),RZ[[#This Row],[Koeficient odhadu HR '[-'] (P1)]]*$BP62*$IG62)</f>
        <v>0</v>
      </c>
      <c r="CY62" s="132">
        <f ca="1">IF(OFFSET(BG62,1,0,1,1)&lt;&gt;0,$BP62*SUMIFS(RZ[Úroveň 10 bez koef. (P2)],RZ[0],AX62,RZ[Úroveň 2 (P0)],AY62,RZ[Úroveň 3 (P0)],AZ62,RZ[Úroveň 4 (P0)],BA62,RZ[Úroveň 5 (P0)],BB62,RZ[Úroveň 6 (P0)],BC62,RZ[Úroveň 7 (P0)],BD62,RZ[Úroveň 8 (P0)],BE62,RZ[Úroveň 9 (P0)],BF62),$BP62*$IG62)</f>
        <v>0</v>
      </c>
      <c r="CZ62" s="138">
        <f>RZ[[#This Row],[Úroveň 10 s koef. (P2a)]]*RZ[[#This Row],[Počet MJHR (P0)]]</f>
        <v>0</v>
      </c>
      <c r="DA62" s="138">
        <f>RZ[Úroveň 10 bez koef. (P2a)]*RZ[[#This Row],[Počet MJHR (P0)]]</f>
        <v>0</v>
      </c>
      <c r="DB62" s="138">
        <f>RZ[[#This Row],[Koeficient odhadu HR '[-'] (P1)]]*$BQ62*IG62</f>
        <v>0</v>
      </c>
      <c r="DC62" s="231">
        <f t="shared" si="405"/>
        <v>0</v>
      </c>
      <c r="DD62" s="241">
        <f t="shared" ca="1" si="406"/>
        <v>1.9</v>
      </c>
      <c r="DE62" s="229">
        <f t="shared" ca="1" si="407"/>
        <v>1.9</v>
      </c>
      <c r="DF62" s="912">
        <f t="shared" si="408"/>
        <v>0</v>
      </c>
      <c r="DG62" s="913">
        <f t="shared" si="409"/>
        <v>0</v>
      </c>
      <c r="DH62" s="913">
        <f t="shared" si="410"/>
        <v>2</v>
      </c>
      <c r="DI62" s="913">
        <f t="shared" si="411"/>
        <v>0</v>
      </c>
      <c r="DJ62" s="913">
        <f t="shared" si="412"/>
        <v>0</v>
      </c>
      <c r="DK62" s="913">
        <f t="shared" si="413"/>
        <v>0</v>
      </c>
      <c r="DL62" s="913">
        <f t="shared" si="414"/>
        <v>0</v>
      </c>
      <c r="DM62" s="913">
        <f t="shared" si="415"/>
        <v>0</v>
      </c>
      <c r="DN62" s="913">
        <f t="shared" si="416"/>
        <v>0</v>
      </c>
      <c r="DO62" s="913">
        <f t="shared" si="417"/>
        <v>0</v>
      </c>
      <c r="DP62" s="914">
        <f ca="1">SUMIFS(RZ[Úroveň 1 (P4)],RZ[0],AX62)</f>
        <v>1</v>
      </c>
      <c r="DQ62" s="914">
        <f ca="1">SUMIFS(RZ[Úroveň 2 (P4)],RZ[0],AX62,RZ[Úroveň 2 (P0)],AY62)</f>
        <v>2</v>
      </c>
      <c r="DR62" s="914">
        <f ca="1">SUMIFS(RZ[Úroveň 3 (P4)],RZ[0],AX62,RZ[Úroveň 2 (P0)],AY62,RZ[Úroveň 3 (P0)],AZ62)</f>
        <v>2</v>
      </c>
      <c r="DS62" s="914">
        <f ca="1">SUMIFS(RZ[Úroveň 4 (P4)],RZ[0],AX62,RZ[Úroveň 2 (P0)],AY62,RZ[Úroveň 3 (P0)],AZ62,RZ[Úroveň 4 (P0)],BA62)</f>
        <v>0</v>
      </c>
      <c r="DT62" s="914">
        <f ca="1">SUMIFS(RZ[Úroveň 5 (P4)],RZ[0],AX62,RZ[Úroveň 2 (P0)],AY62,RZ[Úroveň 3 (P0)],AZ62,RZ[Úroveň 4 (P0)],BA62,RZ[Úroveň 5 (P0)],BB62)</f>
        <v>0</v>
      </c>
      <c r="DU62" s="914">
        <f ca="1">SUMIFS(RZ[Úroveň 6 (P4)],RZ[0],AX62,RZ[Úroveň 2 (P0)],AY62,RZ[Úroveň 3 (P0)],AZ62,RZ[Úroveň 4 (P0)],BA62,RZ[Úroveň 5 (P0)],BB62,RZ[Úroveň 6 (P0)],BC62)</f>
        <v>0</v>
      </c>
      <c r="DV62" s="914">
        <f ca="1">SUMIFS(RZ[Úroveň 7 (P4)],RZ[0],AX62,RZ[Úroveň 2 (P0)],AY62,RZ[Úroveň 3 (P0)],AZ62,RZ[Úroveň 4 (P0)],BA62,RZ[Úroveň 5 (P0)],BB62,RZ[Úroveň 6 (P0)],BC62,RZ[Úroveň 7 (P0)],BD62)</f>
        <v>0</v>
      </c>
      <c r="DW62" s="914">
        <f ca="1">SUMIFS(RZ[Úroveň 8 (P4)],RZ[0],AX62,RZ[Úroveň 2 (P0)],AY62,RZ[Úroveň 3 (P0)],AZ62,RZ[Úroveň 4 (P0)],BA62,RZ[Úroveň 5 (P0)],BB62,RZ[Úroveň 6 (P0)],BC62,RZ[Úroveň 7 (P0)],BD62,RZ[Úroveň 8 (P0)],BE62)</f>
        <v>0</v>
      </c>
      <c r="DX62" s="914">
        <f ca="1">SUMIFS(RZ[Úroveň 9 (P4)],RZ[0],AX62,RZ[Úroveň 2 (P0)],AY62,RZ[Úroveň 3 (P0)],AZ62,RZ[Úroveň 4 (P0)],BA62,RZ[Úroveň 5 (P0)],BB62,RZ[Úroveň 6 (P0)],BC62,RZ[Úroveň 7 (P0)],BD62,RZ[Úroveň 8 (P0)],BE62,RZ[Úroveň 9 (P0)],BF62)</f>
        <v>0</v>
      </c>
      <c r="DY62" s="914">
        <f ca="1">SUMIFS(RZ[Úroveň 10 (P4)],RZ[0],AX62,RZ[Úroveň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DZ62" s="915">
        <f t="shared" ca="1" si="418"/>
        <v>4</v>
      </c>
      <c r="EA62" s="916">
        <f ca="1">RZ[[#This Row],[Jednotková hmotnost bez koef. '[kg/MJHR'] (P0)]]*RZ[[#This Row],[Počet MJHR v rozpadu (P0)]]</f>
        <v>7.6</v>
      </c>
      <c r="EB62" s="917">
        <f ca="1">IF(OFFSET(AY62,1,0,1,1)&lt;&gt;0,RZ[[#This Row],[Koeficient odhadu CR '[-'] (P1)]]*$BH62*SUMIFS(RZ[Úroveň 2 s koef. (P3)],RZ[0],AX62),RZ[[#This Row],[Koeficient odhadu CR '[-'] (P1)]]*$BH62*$IQ62)</f>
        <v>0</v>
      </c>
      <c r="EC62" s="191">
        <f ca="1">IF(OFFSET(AY62,1,0,1,1)&lt;&gt;0,$BH62*SUMIFS(RZ[Úroveň 2 bez koef. (P3)],RZ[0],AX62),$BH62*$IQ62)</f>
        <v>0</v>
      </c>
      <c r="ED62" s="140">
        <f ca="1">RZ[[#This Row],[Úroveň 2 s koef. (P3a)]]*RZ[[#This Row],[Počet MJCR (P0) pro "kg"]]</f>
        <v>0</v>
      </c>
      <c r="EE62" s="140">
        <f ca="1">RZ[Úroveň 2 bez koef. (P3a)]*RZ[[#This Row],[Počet MJCR (P0) pro "kg"]]</f>
        <v>0</v>
      </c>
      <c r="EF62" s="140">
        <f ca="1">IF(OFFSET(AZ62,1,0,1,1)&lt;&gt;0,RZ[[#This Row],[Koeficient odhadu CR '[-'] (P1)]]*$BI62*SUMIFS(RZ[Úroveň 3 s koef. (P3)],RZ[0],AX62,RZ[Úroveň 2 (P0)],AY62),RZ[[#This Row],[Koeficient odhadu CR '[-'] (P1)]]*$BI62*$IQ62)</f>
        <v>0</v>
      </c>
      <c r="EG62" s="140">
        <f ca="1">IF(OFFSET(AZ62,1,0,1,1)&lt;&gt;0,$BI62*SUMIFS(RZ[Úroveň 3 bez koef. (P3)],RZ[0],AX62,RZ[Úroveň 2 (P0)],AY62),$BI62*$IQ62)</f>
        <v>0</v>
      </c>
      <c r="EH62" s="135">
        <f ca="1">RZ[[#This Row],[Úroveň 3 s koef. (P3a)]]*RZ[[#This Row],[Počet MJCR (P0) pro "kg"]]</f>
        <v>323</v>
      </c>
      <c r="EI62" s="135">
        <f ca="1">RZ[Úroveň 3 bez koef. (P3a)]*RZ[[#This Row],[Počet MJCR (P0) pro "kg"]]</f>
        <v>323</v>
      </c>
      <c r="EJ62" s="135">
        <f ca="1">IF(OFFSET(BA62,1,0,1,1)&lt;&gt;0,RZ[[#This Row],[Koeficient odhadu CR '[-'] (P1)]]*$BJ62*SUMIFS(RZ[Úroveň 4 s koef. (P3)],RZ[0],AX62,RZ[Úroveň 2 (P0)],AY62,RZ[Úroveň 3 (P0)],AZ62),RZ[[#This Row],[Koeficient odhadu CR '[-'] (P1)]]*$BJ62*$IQ62)</f>
        <v>85</v>
      </c>
      <c r="EK62" s="135">
        <f ca="1">IF(OFFSET(BA62,1,0,1,1)&lt;&gt;0,$BJ62*SUMIFS(RZ[Úroveň 4 bez koef. (P3)],RZ[0],AX62,RZ[Úroveň 2 (P0)],AY62,RZ[Úroveň 3 (P0)],AZ62),$BJ62*$IQ62)</f>
        <v>85</v>
      </c>
      <c r="EL62" s="140">
        <f ca="1">RZ[[#This Row],[Úroveň 4 s koef. (P3a)]]*RZ[[#This Row],[Počet MJCR (P0) pro "kg"]]</f>
        <v>0</v>
      </c>
      <c r="EM62" s="140">
        <f ca="1">RZ[Úroveň 4 bez koef. (P3a)]*RZ[[#This Row],[Počet MJCR (P0) pro "kg"]]</f>
        <v>0</v>
      </c>
      <c r="EN62" s="140">
        <f ca="1">IF(OFFSET(BB62,1,0,1,1)&lt;&gt;0,RZ[[#This Row],[Koeficient odhadu CR '[-'] (P1)]]*$BK62*SUMIFS(RZ[Úroveň 5 s koef. (P3)],RZ[0],AX62,RZ[Úroveň 2 (P0)],AY62,RZ[Úroveň 3 (P0)],AZ62,RZ[Úroveň 4 (P0)],BA62),RZ[[#This Row],[Koeficient odhadu CR '[-'] (P1)]]*$BK62*$IQ62)</f>
        <v>0</v>
      </c>
      <c r="EO62" s="140">
        <f ca="1">IF(OFFSET(BB62,1,0,1,1)&lt;&gt;0,$BK62*SUMIFS(RZ[Úroveň 5 bez koef. (P3)],RZ[0],AX62,RZ[Úroveň 2 (P0)],AY62,RZ[Úroveň 3 (P0)],AZ62,RZ[Úroveň 4 (P0)],BA62),$BK62*$IQ62)</f>
        <v>0</v>
      </c>
      <c r="EP62" s="135">
        <f ca="1">RZ[[#This Row],[Úroveň 5 s koef. (P3a)]]*RZ[[#This Row],[Počet MJCR (P0) pro "kg"]]</f>
        <v>0</v>
      </c>
      <c r="EQ62" s="135">
        <f ca="1">RZ[Úroveň 5 bez koef. (P3a)]*RZ[[#This Row],[Počet MJCR (P0) pro "kg"]]</f>
        <v>0</v>
      </c>
      <c r="ER62" s="135">
        <f ca="1">IF(OFFSET(BC62,1,0,1,1)&lt;&gt;0,RZ[[#This Row],[Koeficient odhadu CR '[-'] (P1)]]*$BL62*SUMIFS(RZ[Úroveň 6 s koef. (P3)],RZ[0],AX62,RZ[Úroveň 2 (P0)],AY62,RZ[Úroveň 3 (P0)],AZ62,RZ[Úroveň 4 (P0)],BA62,RZ[Úroveň 5 (P0)],BB62),RZ[[#This Row],[Koeficient odhadu CR '[-'] (P1)]]*$BL62*$IQ62)</f>
        <v>0</v>
      </c>
      <c r="ES62" s="135">
        <f ca="1">IF(OFFSET(BC62,1,0,1,1)&lt;&gt;0,$BL62*SUMIFS(RZ[Úroveň 6 bez koef. (P3)],RZ[0],AX62,RZ[Úroveň 2 (P0)],AY62,RZ[Úroveň 3 (P0)],AZ62,RZ[Úroveň 4 (P0)],BA62,RZ[Úroveň 5 (P0)],BB62),$BL62*$IQ62)</f>
        <v>0</v>
      </c>
      <c r="ET62" s="140">
        <f ca="1">RZ[[#This Row],[Úroveň 6 s koef. (P3a)]]*RZ[[#This Row],[Počet MJCR (P0) pro "kg"]]</f>
        <v>0</v>
      </c>
      <c r="EU62" s="140">
        <f ca="1">RZ[Úroveň 6 bez koef. (P3a)]*RZ[[#This Row],[Počet MJCR (P0) pro "kg"]]</f>
        <v>0</v>
      </c>
      <c r="EV62" s="140">
        <f ca="1">IF(OFFSET(BD62,1,0,1,1)&lt;&gt;0,RZ[[#This Row],[Koeficient odhadu CR '[-'] (P1)]]*$BM62*SUMIFS(RZ[Úroveň 7 s koef. (P3)],RZ[0],AX62,RZ[Úroveň 2 (P0)],AY62,RZ[Úroveň 3 (P0)],AZ62,RZ[Úroveň 4 (P0)],BA62,RZ[Úroveň 5 (P0)],BB62,RZ[Úroveň 6 (P0)],BC62),RZ[[#This Row],[Koeficient odhadu CR '[-'] (P1)]]*$BM62*$IQ62)</f>
        <v>0</v>
      </c>
      <c r="EW62" s="140">
        <f ca="1">IF(OFFSET(BD62,1,0,1,1)&lt;&gt;0,$BM62*SUMIFS(RZ[Úroveň 7 bez koef. (P3)],RZ[0],AX62,RZ[Úroveň 2 (P0)],AY62,RZ[Úroveň 3 (P0)],AZ62,RZ[Úroveň 4 (P0)],BA62,RZ[Úroveň 5 (P0)],BB62,RZ[Úroveň 6 (P0)],BC62),$BM62*$IQ62)</f>
        <v>0</v>
      </c>
      <c r="EX62" s="135">
        <f ca="1">RZ[[#This Row],[Úroveň 7 s koef. (P3a)]]*RZ[[#This Row],[Počet MJCR (P0) pro "kg"]]</f>
        <v>0</v>
      </c>
      <c r="EY62" s="135">
        <f ca="1">RZ[Úroveň 7 bez koef. (P3a)]*RZ[[#This Row],[Počet MJCR (P0) pro "kg"]]</f>
        <v>0</v>
      </c>
      <c r="EZ62" s="135">
        <f ca="1">IF(OFFSET(BE62,1,0,1,1)&lt;&gt;0,RZ[[#This Row],[Koeficient odhadu CR '[-'] (P1)]]*$BN62*SUMIFS(RZ[Úroveň 8 s koef. (P3)],RZ[0],AX62,RZ[Úroveň 2 (P0)],AY62,RZ[Úroveň 3 (P0)],AZ62,RZ[Úroveň 4 (P0)],BA62,RZ[Úroveň 5 (P0)],BB62,RZ[Úroveň 6 (P0)],BC62,RZ[Úroveň 7 (P0)],BD62),RZ[[#This Row],[Koeficient odhadu CR '[-'] (P1)]]*$BN62*$IQ62)</f>
        <v>0</v>
      </c>
      <c r="FA62" s="135">
        <f ca="1">IF(OFFSET(BE62,1,0,1,1)&lt;&gt;0,$BN62*SUMIFS(RZ[Úroveň 8 bez koef. (P3)],RZ[0],AX62,RZ[Úroveň 2 (P0)],AY62,RZ[Úroveň 3 (P0)],AZ62,RZ[Úroveň 4 (P0)],BA62,RZ[Úroveň 5 (P0)],BB62,RZ[Úroveň 6 (P0)],BC62,RZ[Úroveň 7 (P0)],BD62),$BN62*$IQ62)</f>
        <v>0</v>
      </c>
      <c r="FB62" s="140">
        <f ca="1">RZ[[#This Row],[Úroveň 8 s koef. (P3a)]]*RZ[[#This Row],[Počet MJCR (P0) pro "kg"]]</f>
        <v>0</v>
      </c>
      <c r="FC62" s="140">
        <f ca="1">RZ[Úroveň 8 bez koef. (P3a)]*RZ[[#This Row],[Počet MJCR (P0) pro "kg"]]</f>
        <v>0</v>
      </c>
      <c r="FD62" s="140">
        <f ca="1">IF(OFFSET(BF62,1,0,1,1)&lt;&gt;0,RZ[[#This Row],[Koeficient odhadu CR '[-'] (P1)]]*$BO62*SUMIFS(RZ[Úroveň 9 s koef. (P3)],RZ[0],AX62,RZ[Úroveň 2 (P0)],AY62,RZ[Úroveň 3 (P0)],AZ62,RZ[Úroveň 4 (P0)],BA62,RZ[Úroveň 5 (P0)],BB62,RZ[Úroveň 6 (P0)],BC62,RZ[Úroveň 7 (P0)],BD62,RZ[Úroveň 8 (P0)],BE62),RZ[[#This Row],[Koeficient odhadu CR '[-'] (P1)]]*$BO62*$IQ62)</f>
        <v>0</v>
      </c>
      <c r="FE62" s="140">
        <f ca="1">IF(OFFSET(BF62,1,0,1,1)&lt;&gt;0,$BO62*SUMIFS(RZ[Úroveň 9 bez koef. (P3)],RZ[0],AX62,RZ[Úroveň 2 (P0)],AY62,RZ[Úroveň 3 (P0)],AZ62,RZ[Úroveň 4 (P0)],BA62,RZ[Úroveň 5 (P0)],BB62,RZ[Úroveň 6 (P0)],BC62,RZ[Úroveň 7 (P0)],BD62,RZ[Úroveň 8 (P0)],BE62),$BO62*$IQ62)</f>
        <v>0</v>
      </c>
      <c r="FF62" s="135">
        <f ca="1">RZ[[#This Row],[Úroveň 9 s koef. (P3a)]]*RZ[[#This Row],[Počet MJCR (P0) pro "kg"]]</f>
        <v>0</v>
      </c>
      <c r="FG62" s="135">
        <f ca="1">RZ[Úroveň 9 bez koef. (P3a)]*RZ[[#This Row],[Počet MJCR (P0) pro "kg"]]</f>
        <v>0</v>
      </c>
      <c r="FH62" s="135">
        <f ca="1">IF(OFFSET(BG62,1,0,1,1)&lt;&gt;0,RZ[[#This Row],[Koeficient odhadu CR '[-'] (P1)]]*$BP62*SUMIFS(RZ[Úroveň 10 s koef. (P3)],RZ[0],AX62,RZ[Úroveň 2 (P0)],AY62,RZ[Úroveň 3 (P0)],AZ62,RZ[Úroveň 4 (P0)],BA62,RZ[Úroveň 5 (P0)],BB62,RZ[Úroveň 6 (P0)],BC62,RZ[Úroveň 7 (P0)],BD62,RZ[Úroveň 8 (P0)],BE62,RZ[Úroveň 9 (P0)],BF62),RZ[[#This Row],[Koeficient odhadu CR '[-'] (P1)]]*$BP62*$IQ62)</f>
        <v>0</v>
      </c>
      <c r="FI62" s="135">
        <f ca="1">IF(OFFSET(BG62,1,0,1,1)&lt;&gt;0,$BP62*SUMIFS(RZ[Úroveň 10 bez koef. (P3)],RZ[0],AX62,RZ[Úroveň 2 (P0)],AY62,RZ[Úroveň 3 (P0)],AZ62,RZ[Úroveň 4 (P0)],BA62,RZ[Úroveň 5 (P0)],BB62,RZ[Úroveň 6 (P0)],BC62,RZ[Úroveň 7 (P0)],BD62,RZ[Úroveň 8 (P0)],BE62,RZ[Úroveň 9 (P0)],BF62),$BP62*$IQ62)</f>
        <v>0</v>
      </c>
      <c r="FJ62" s="140">
        <f ca="1">RZ[[#This Row],[Úroveň 10 s koef. (P3a)]]*RZ[[#This Row],[Počet MJCR (P0) pro "kg"]]</f>
        <v>0</v>
      </c>
      <c r="FK62" s="140">
        <f ca="1">RZ[Úroveň 10 bez koef. (P3a)]*RZ[[#This Row],[Počet MJCR (P0) pro "kg"]]</f>
        <v>0</v>
      </c>
      <c r="FL62" s="140">
        <f ca="1">RZ[[#This Row],[Koeficient odhadu CR '[-'] (P1)]]*$BQ62*IQ62</f>
        <v>0</v>
      </c>
      <c r="FM62" s="236">
        <f t="shared" ca="1" si="419"/>
        <v>0</v>
      </c>
      <c r="FN62" s="194">
        <f t="shared" ca="1" si="420"/>
        <v>85</v>
      </c>
      <c r="FO62" s="238">
        <f t="shared" ca="1" si="421"/>
        <v>85</v>
      </c>
      <c r="FP62" s="135">
        <f t="shared" ca="1" si="422"/>
        <v>0</v>
      </c>
      <c r="FQ62" s="135">
        <f t="shared" ca="1" si="423"/>
        <v>0</v>
      </c>
      <c r="FR62" s="135">
        <f t="shared" ca="1" si="424"/>
        <v>3.8</v>
      </c>
      <c r="FS62" s="135">
        <f t="shared" ca="1" si="425"/>
        <v>0</v>
      </c>
      <c r="FT62" s="135">
        <f t="shared" ca="1" si="426"/>
        <v>0</v>
      </c>
      <c r="FU62" s="135">
        <f t="shared" ca="1" si="427"/>
        <v>0</v>
      </c>
      <c r="FV62" s="135">
        <f t="shared" ca="1" si="428"/>
        <v>0</v>
      </c>
      <c r="FW62" s="135">
        <f t="shared" ca="1" si="429"/>
        <v>0</v>
      </c>
      <c r="FX62" s="135">
        <f t="shared" ca="1" si="430"/>
        <v>0</v>
      </c>
      <c r="FY62" s="135">
        <f t="shared" ca="1" si="431"/>
        <v>0</v>
      </c>
      <c r="FZ62" s="140">
        <f ca="1">SUMIFS(RZ[Úroveň 1 (P6)],RZ[0],AX62)</f>
        <v>1</v>
      </c>
      <c r="GA62" s="140">
        <f ca="1">SUMIFS(RZ[Úroveň 2 (P6)],RZ[0],AX62,RZ[Úroveň 2 (P0)],AY62)</f>
        <v>2</v>
      </c>
      <c r="GB62" s="140">
        <f ca="1">SUMIFS(RZ[Úroveň 3 (P6)],RZ[0],AX62,RZ[Úroveň 2 (P0)],AY62,RZ[Úroveň 3 (P0)],AZ62)</f>
        <v>3.8</v>
      </c>
      <c r="GC62" s="140">
        <f ca="1">SUMIFS(RZ[Úroveň 4 (P6)],RZ[0],AX62,RZ[Úroveň 2 (P0)],AY62,RZ[Úroveň 3 (P0)],AZ62,RZ[Úroveň 4 (P0)],BA62)</f>
        <v>0</v>
      </c>
      <c r="GD62" s="140">
        <f ca="1">SUMIFS(RZ[Úroveň 5 (P6)],RZ[0],AX62,RZ[Úroveň 2 (P0)],AY62,RZ[Úroveň 3 (P0)],AZ62,RZ[Úroveň 4 (P0)],BA62,RZ[Úroveň 5 (P0)],BB62)</f>
        <v>0</v>
      </c>
      <c r="GE62" s="140">
        <f ca="1">SUMIFS(RZ[Úroveň 6 (P6)],RZ[0],AX62,RZ[Úroveň 2 (P0)],AY62,RZ[Úroveň 3 (P0)],AZ62,RZ[Úroveň 4 (P0)],BA62,RZ[Úroveň 5 (P0)],BB62,RZ[Úroveň 6 (P0)],BC62)</f>
        <v>0</v>
      </c>
      <c r="GF62" s="140">
        <f ca="1">SUMIFS(RZ[Úroveň 7 (P6)],RZ[0],AX62,RZ[Úroveň 2 (P0)],AY62,RZ[Úroveň 3 (P0)],AZ62,RZ[Úroveň 4 (P0)],BA62,RZ[Úroveň 5 (P0)],BB62,RZ[Úroveň 6 (P0)],BC62,RZ[Úroveň 7 (P0)],BD62)</f>
        <v>0</v>
      </c>
      <c r="GG62" s="140">
        <f ca="1">SUMIFS(RZ[Úroveň 8 (P6)],RZ[0],AX62,RZ[Úroveň 2 (P0)],AY62,RZ[Úroveň 3 (P0)],AZ62,RZ[Úroveň 4 (P0)],BA62,RZ[Úroveň 5 (P0)],BB62,RZ[Úroveň 6 (P0)],BC62,RZ[Úroveň 7 (P0)],BD62,RZ[Úroveň 8 (P0)],BE62)</f>
        <v>0</v>
      </c>
      <c r="GH62" s="140">
        <f ca="1">SUMIFS(RZ[Úroveň 9 (P6)],RZ[0],AX62,RZ[Úroveň 2 (P0)],AY62,RZ[Úroveň 3 (P0)],AZ62,RZ[Úroveň 4 (P0)],BA62,RZ[Úroveň 5 (P0)],BB62,RZ[Úroveň 6 (P0)],BC62,RZ[Úroveň 7 (P0)],BD62,RZ[Úroveň 8 (P0)],BE62,RZ[Úroveň 9 (P0)],BF62)</f>
        <v>0</v>
      </c>
      <c r="GI62" s="140">
        <f ca="1">SUMIFS(RZ[Úroveň 10 (P6)],RZ[0],AX62,RZ[Úroveň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GJ62" s="918">
        <f t="shared" ca="1" si="432"/>
        <v>7.6</v>
      </c>
      <c r="GK62" s="808">
        <f t="shared" si="433"/>
        <v>0</v>
      </c>
      <c r="GL62" s="808">
        <f t="shared" si="434"/>
        <v>0</v>
      </c>
      <c r="GM62" s="808">
        <f t="shared" si="435"/>
        <v>1</v>
      </c>
      <c r="GN62" s="808">
        <f t="shared" si="436"/>
        <v>0</v>
      </c>
      <c r="GO62" s="808">
        <f t="shared" si="437"/>
        <v>0</v>
      </c>
      <c r="GP62" s="808">
        <f t="shared" si="438"/>
        <v>0</v>
      </c>
      <c r="GQ62" s="808">
        <f t="shared" si="439"/>
        <v>0</v>
      </c>
      <c r="GR62" s="808">
        <f t="shared" si="440"/>
        <v>0</v>
      </c>
      <c r="GS62" s="808">
        <f t="shared" si="441"/>
        <v>0</v>
      </c>
      <c r="GT62" s="808">
        <f t="shared" si="442"/>
        <v>0</v>
      </c>
      <c r="GU62" s="809">
        <f ca="1">SUMIFS(RZ[Sloupec1],RZ[0],AX62)</f>
        <v>1</v>
      </c>
      <c r="GV62" s="809">
        <f ca="1">SUMIFS(RZ[Sloupec2],RZ[0],AX62,RZ[Úroveň 2 (P0)],AY62)</f>
        <v>1</v>
      </c>
      <c r="GW62" s="809">
        <f ca="1">SUMIFS(RZ[Sloupec3],RZ[0],AX62,RZ[Úroveň 2 (P0)],AY62,RZ[Úroveň 3 (P0)],AZ62)</f>
        <v>1</v>
      </c>
      <c r="GX62" s="809">
        <f ca="1">SUMIFS(RZ[Sloupec4],RZ[0],AX62,RZ[Úroveň 2 (P0)],AY62,RZ[Úroveň 3 (P0)],AZ62,RZ[Úroveň 4 (P0)],BA62)</f>
        <v>0</v>
      </c>
      <c r="GY62" s="809">
        <f ca="1">SUMIFS(RZ[Sloupec5],RZ[0],AX62,RZ[Úroveň 2 (P0)],AY62,RZ[Úroveň 3 (P0)],AZ62,RZ[Úroveň 4 (P0)],BA62,RZ[Úroveň 5 (P0)],BB62)</f>
        <v>0</v>
      </c>
      <c r="GZ62" s="809">
        <f ca="1">SUMIFS(RZ[Sloupec6],RZ[0],AX62,RZ[Úroveň 2 (P0)],AY62,RZ[Úroveň 3 (P0)],AZ62,RZ[Úroveň 4 (P0)],BA62,RZ[Úroveň 5 (P0)],BB62,RZ[Úroveň 6 (P0)],BC62)</f>
        <v>0</v>
      </c>
      <c r="HA62" s="809">
        <f ca="1">SUMIFS(RZ[Sloupec62],RZ[0],AX62,RZ[Úroveň 2 (P0)],AY62,RZ[Úroveň 3 (P0)],AZ62,RZ[Úroveň 4 (P0)],BA62,RZ[Úroveň 5 (P0)],BB62,RZ[Úroveň 6 (P0)],BC62,RZ[Úroveň 7 (P0)],BD62)</f>
        <v>0</v>
      </c>
      <c r="HB62" s="809">
        <f ca="1">SUMIFS(RZ[Sloupec63],RZ[0],AX62,RZ[Úroveň 2 (P0)],AY62,RZ[Úroveň 3 (P0)],AZ62,RZ[Úroveň 4 (P0)],BA62,RZ[Úroveň 5 (P0)],BB62,RZ[Úroveň 6 (P0)],BC62,RZ[Úroveň 7 (P0)],BD62,RZ[Úroveň 8 (P0)],BE62)</f>
        <v>0</v>
      </c>
      <c r="HC62" s="809">
        <f ca="1">SUMIFS(RZ[Sloupec64],RZ[0],AX62,RZ[Úroveň 2 (P0)],AY62,RZ[Úroveň 3 (P0)],AZ62,RZ[Úroveň 4 (P0)],BA62,RZ[Úroveň 5 (P0)],BB62,RZ[Úroveň 6 (P0)],BC62,RZ[Úroveň 7 (P0)],BD62,RZ[Úroveň 8 (P0)],BE62,RZ[Úroveň 9 (P0)],BF62)</f>
        <v>0</v>
      </c>
      <c r="HD62" s="809">
        <f ca="1">SUMIFS(RZ[Sloupec65],RZ[0],AX62,RZ[Úroveň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HE62" s="919">
        <f t="shared" ca="1" si="443"/>
        <v>1</v>
      </c>
      <c r="HF62" s="920" t="str">
        <f t="shared" si="444"/>
        <v/>
      </c>
      <c r="HG62" s="94" t="str">
        <f t="shared" si="445"/>
        <v/>
      </c>
      <c r="HH62" s="95" t="str">
        <f t="shared" si="446"/>
        <v/>
      </c>
      <c r="HI62" s="95" t="str">
        <f t="shared" si="447"/>
        <v>Přídržka</v>
      </c>
      <c r="HJ62" s="96" t="str">
        <f t="shared" si="448"/>
        <v/>
      </c>
      <c r="HK62" s="96" t="str">
        <f t="shared" si="449"/>
        <v/>
      </c>
      <c r="HL62" s="96" t="str">
        <f t="shared" si="450"/>
        <v/>
      </c>
      <c r="HM62" s="96" t="str">
        <f t="shared" si="451"/>
        <v/>
      </c>
      <c r="HN62" s="96" t="str">
        <f t="shared" si="452"/>
        <v/>
      </c>
      <c r="HO62" s="96" t="str">
        <f t="shared" si="453"/>
        <v/>
      </c>
      <c r="HP62" s="96" t="str">
        <f t="shared" si="454"/>
        <v/>
      </c>
      <c r="HQ62" s="145" t="str">
        <f t="shared" si="455"/>
        <v>STO3</v>
      </c>
      <c r="HR62" s="921" t="str">
        <f t="shared" si="456"/>
        <v/>
      </c>
      <c r="HS62" s="173">
        <f t="shared" si="457"/>
        <v>0</v>
      </c>
      <c r="HT62" s="100">
        <f t="shared" si="458"/>
        <v>0</v>
      </c>
      <c r="HU62" s="100">
        <f t="shared" si="459"/>
        <v>0</v>
      </c>
      <c r="HV62" s="908">
        <f t="shared" si="460"/>
        <v>0</v>
      </c>
      <c r="HW62" s="922">
        <f t="shared" si="461"/>
        <v>0</v>
      </c>
      <c r="HX62" s="224">
        <f t="shared" si="462"/>
        <v>0</v>
      </c>
      <c r="HY62" s="263" t="str">
        <f t="shared" si="463"/>
        <v>S</v>
      </c>
      <c r="HZ62" s="263">
        <f t="shared" si="464"/>
        <v>0</v>
      </c>
      <c r="IA62" s="150">
        <f t="shared" si="465"/>
        <v>1</v>
      </c>
      <c r="IB62" s="319">
        <f t="shared" si="466"/>
        <v>0</v>
      </c>
      <c r="IC62" s="923">
        <f t="shared" si="467"/>
        <v>0</v>
      </c>
      <c r="ID62" s="924" t="str">
        <f t="shared" ca="1" si="468"/>
        <v>OK</v>
      </c>
      <c r="IE62" s="201" t="str">
        <f t="shared" si="469"/>
        <v>ks</v>
      </c>
      <c r="IF62" s="145">
        <f t="shared" si="470"/>
        <v>2</v>
      </c>
      <c r="IG62" s="216">
        <f t="shared" si="471"/>
        <v>1.9</v>
      </c>
      <c r="IH62" s="217">
        <f t="shared" si="472"/>
        <v>1</v>
      </c>
      <c r="II62" s="224" t="str">
        <f ca="1">IF(RZ[[#This Row],[Rozhodný sloupec indikativní ceny]]=1,"kg",IF($IW62=$JL$15,IF(JX62=0,JO62,JX62),IF($IW62=$KE$15,IF(KQ62=0,KH62,KQ62),IF($IW62=$KX$15,IF(LJ62=0,LA62,LJ62),IF($IW62=$LQ$15,IF(MC62=0,LT62,MC62),IF($IW62=$MJ$15,IF(NQ62=0,NH62,NQ62),0))))))</f>
        <v>kg</v>
      </c>
      <c r="IJ62" s="224">
        <f ca="1">IF((BH62+OFFSET(BH62,1,1,1,1))=2,RZ[[#This Row],[Počet MJHR (P0)]],IF((BI62+OFFSET(BI62,1,1,1,1))=2,RZ[[#This Row],[Počet MJHR (P0)]],IF((BJ62+OFFSET(BJ62,1,1,1,1))=2,RZ[[#This Row],[Počet MJHR (P0)]],IF((BK62+OFFSET(BK62,1,1,1,1))=2,RZ[[#This Row],[Počet MJHR (P0)]],IF((BL62+OFFSET(BL62,1,1,1,1))=2,RZ[[#This Row],[Počet MJHR (P0)]],IF((BM62+OFFSET(BM62,1,1,1,1))=2,RZ[[#This Row],[Počet MJHR (P0)]],IF((BN62+OFFSET(BN62,1,1,1,1))=2,RZ[[#This Row],[Počet MJHR (P0)]],IF((BO62+OFFSET(BO62,1,1,1,1))=2,RZ[[#This Row],[Počet MJHR (P0)]],IF((BP62+OFFSET(BP62,1,1,1,1))=2,RZ[[#This Row],[Počet MJHR (P0)]],IF((BQ62+OFFSET(BQ62,1,1,1,1))=2,RZ[[#This Row],[Počet MJHR (P0)]],IF(RZ[[#This Row],[Měrná jednotka CR (MJCR) (P0)]]=RZ[[#This Row],[Měrná jednotka HR '[MJHR'] (P0)]],RZ[[#This Row],[Počet MJHR (P0)]],IF($IW62=$JL$15,JY62,IF($IW62=$KE$15,KR62,IF($IW62=$KX$15,LK62,IF($IW62=$LQ$15,MD62,IF($IW62=$MJ$15,NR62,0))))))))))))))))</f>
        <v>0</v>
      </c>
      <c r="IK6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62" s="145">
        <f ca="1">IF(AND(RZ[[#This Row],[Jednotková cena bez DPH '[cena/MJCR'] (P0)]]=0,RZ[[#This Row],[Indikativní jednotková cena '[CZK/kg'] (P1)]]&lt;&gt;0),1,0)</f>
        <v>1</v>
      </c>
      <c r="IM62" s="217">
        <f ca="1">VLOOKUP(RZ[[#This Row],[Kód položek]],INDIKAT_CENA,2,FALSE)</f>
        <v>85</v>
      </c>
      <c r="IN62" s="222">
        <f ca="1">IF(RZ[[#This Row],[Rozhodný sloupec indikativní ceny]]=1,RZ[[#This Row],[Indikativní jednotková cena '[CZK/kg'] (P1)]],RZ[[#This Row],[Jednotková cena bez DPH '[cena/MJCR'] (P0)]])</f>
        <v>85</v>
      </c>
      <c r="IO62" s="222">
        <f t="shared" si="473"/>
        <v>1</v>
      </c>
      <c r="IP62" s="224">
        <f ca="1">IF(RZ[[#This Row],[Rozhodný sloupec indikativní ceny]]=1,1,IF($IW62=$JL$15,KA62,IF($IW62=$KE$15,KT62,IF($IW62=$KX$15,LM62,IF($IW62=$LQ$15,MF62,IF($IW62=$MJ$15,NT62,0))))))</f>
        <v>1</v>
      </c>
      <c r="IQ62" s="225">
        <f ca="1">IF(RZ[[#This Row],[Jednotková cena bez DPH '[cena/MJCR'] (P1)]]="",0,IF(IP62=0,0,(RZ[[#This Row],[Jednotková cena bez DPH '[cena/MJCR'] (P1)]]*VLOOKUP(IP62,$BR$7:$BT$10,3))))</f>
        <v>85</v>
      </c>
      <c r="IR62" s="737"/>
      <c r="IS62" s="627">
        <f>IF(HY62=0,"",VLOOKUP(RZ[[#This Row],[Stav Projekce (P0)]],Vstupy!$E$11:'Vstupy'!$E$11:$H$17,4,FALSE))</f>
        <v>100</v>
      </c>
      <c r="IT62" s="925" t="str">
        <f>IF(RZ[[#This Row],[Stav Projekce (P0)]]=0,"",RZ[[#This Row],[Stav Projekce (P0)]])</f>
        <v>S</v>
      </c>
      <c r="IU62" s="925" t="str">
        <f>IF(RZ[[#This Row],[Stav Nákup (P0)]]=0,"",RZ[[#This Row],[Stav Nákup (P0)]])</f>
        <v/>
      </c>
      <c r="IV62" s="926" t="str">
        <f t="shared" si="474"/>
        <v/>
      </c>
      <c r="IW62" s="641">
        <v>1</v>
      </c>
      <c r="IX62" s="630"/>
      <c r="IY62" s="264"/>
      <c r="IZ62" s="648"/>
      <c r="JA62" s="100"/>
      <c r="JB62" s="100" t="s">
        <v>789</v>
      </c>
      <c r="JC62" s="100"/>
      <c r="JD62" s="100"/>
      <c r="JE62" s="100"/>
      <c r="JF62" s="100"/>
      <c r="JG62" s="100"/>
      <c r="JH62" s="100"/>
      <c r="JI62" s="100"/>
      <c r="JJ62" s="145" t="s">
        <v>784</v>
      </c>
      <c r="JK62" s="529"/>
      <c r="JL62" s="286"/>
      <c r="JM62" s="100"/>
      <c r="JN62" s="100"/>
      <c r="JO62" s="145" t="s">
        <v>35</v>
      </c>
      <c r="JP62" s="117">
        <v>2</v>
      </c>
      <c r="JQ62" s="117">
        <v>1.9</v>
      </c>
      <c r="JR62" s="148">
        <v>1</v>
      </c>
      <c r="JS62" s="145" t="s">
        <v>602</v>
      </c>
      <c r="JT62" s="631"/>
      <c r="JU62" s="148"/>
      <c r="JV62" s="154"/>
      <c r="JW62" s="145"/>
      <c r="JX62" s="210"/>
      <c r="JY62" s="117"/>
      <c r="JZ62" s="662"/>
      <c r="KA62" s="145"/>
      <c r="KB62" s="148"/>
      <c r="KC62" s="148"/>
      <c r="KD62" s="644"/>
      <c r="KE62" s="286"/>
      <c r="KF62" s="100"/>
      <c r="KG62" s="100"/>
      <c r="KH62" s="210"/>
      <c r="KI62" s="117"/>
      <c r="KJ62" s="117"/>
      <c r="KK62" s="148"/>
      <c r="KL62" s="145"/>
      <c r="KM62" s="632"/>
      <c r="KN62" s="148"/>
      <c r="KO62" s="154"/>
      <c r="KP62" s="154"/>
      <c r="KQ62" s="210"/>
      <c r="KR62" s="117"/>
      <c r="KS62" s="211"/>
      <c r="KT62" s="145"/>
      <c r="KU62" s="148"/>
      <c r="KV62" s="148"/>
      <c r="KW62" s="265"/>
      <c r="KX62" s="286"/>
      <c r="KY62" s="100"/>
      <c r="KZ62" s="100"/>
      <c r="LA62" s="210"/>
      <c r="LB62" s="117"/>
      <c r="LC62" s="117"/>
      <c r="LD62" s="148"/>
      <c r="LE62" s="145"/>
      <c r="LF62" s="632"/>
      <c r="LG62" s="148"/>
      <c r="LH62" s="154"/>
      <c r="LI62" s="154"/>
      <c r="LJ62" s="154"/>
      <c r="LK62" s="117"/>
      <c r="LL62" s="211"/>
      <c r="LM62" s="210"/>
      <c r="LN62" s="148"/>
      <c r="LO62" s="148"/>
      <c r="LP62" s="265"/>
      <c r="LQ62" s="286"/>
      <c r="LR62" s="100"/>
      <c r="LS62" s="100"/>
      <c r="LT62" s="210"/>
      <c r="LU62" s="117"/>
      <c r="LV62" s="117"/>
      <c r="LW62" s="148"/>
      <c r="LX62" s="145"/>
      <c r="LY62" s="632"/>
      <c r="LZ62" s="148"/>
      <c r="MA62" s="154"/>
      <c r="MB62" s="154"/>
      <c r="MC62" s="145"/>
      <c r="MD62" s="117"/>
      <c r="ME62" s="211"/>
      <c r="MF62" s="210"/>
      <c r="MG62" s="148"/>
      <c r="MH62" s="148"/>
      <c r="MI62" s="265"/>
      <c r="MJ62" s="647"/>
      <c r="MK62" s="264"/>
      <c r="ML62" s="153"/>
      <c r="MM62" s="153"/>
      <c r="MN62" s="153"/>
      <c r="MO62" s="153"/>
      <c r="MP62" s="153"/>
      <c r="MQ62" s="153"/>
      <c r="MR62" s="153"/>
      <c r="MS62" s="99"/>
      <c r="MT62" s="99"/>
      <c r="MU62" s="99"/>
      <c r="MV62" s="99"/>
      <c r="MW62" s="99"/>
      <c r="MX62" s="99"/>
      <c r="MY62" s="153"/>
      <c r="MZ62" s="153"/>
      <c r="NA62" s="153"/>
      <c r="NB62" s="153"/>
      <c r="NC62" s="153"/>
      <c r="ND62" s="153"/>
      <c r="NE62" s="148"/>
      <c r="NF62" s="153"/>
      <c r="NG62" s="153"/>
      <c r="NH62" s="330" t="str">
        <f t="shared" si="475"/>
        <v>ks</v>
      </c>
      <c r="NI62" s="797">
        <f>RZ[[#This Row],[Počet ks (K)]]</f>
        <v>0</v>
      </c>
      <c r="NJ62" s="798">
        <f>RZ[[#This Row],[Hmotnost '[kg/ks'] (K)]]</f>
        <v>0</v>
      </c>
      <c r="NK62" s="148"/>
      <c r="NL62" s="145"/>
      <c r="NM62" s="632"/>
      <c r="NN62" s="148"/>
      <c r="NO62" s="154"/>
      <c r="NP62" s="153"/>
      <c r="NQ62" s="153"/>
      <c r="NR62" s="210"/>
      <c r="NS62" s="148"/>
      <c r="NT62" s="210"/>
      <c r="NU62" s="148"/>
      <c r="NV62" s="148"/>
      <c r="NW62" s="175"/>
    </row>
    <row r="63" spans="2:387" ht="15.95" customHeight="1" x14ac:dyDescent="0.35">
      <c r="B63" s="118" t="str">
        <f t="shared" si="359"/>
        <v/>
      </c>
      <c r="C6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3" s="262" t="str">
        <f t="shared" si="360"/>
        <v xml:space="preserve">    Přídržka</v>
      </c>
      <c r="E63" s="120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Row],[Kód položek (P2)]]))))))))))</f>
        <v>STO3</v>
      </c>
      <c r="F63" s="791" t="str">
        <f t="shared" si="361"/>
        <v>N/A</v>
      </c>
      <c r="G63" s="792" t="str">
        <f t="shared" si="362"/>
        <v/>
      </c>
      <c r="H63" s="262" t="str">
        <f t="shared" si="363"/>
        <v/>
      </c>
      <c r="I63" s="123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HR '[MJHR'] (P0)]]))))))))))</f>
        <v>ks</v>
      </c>
      <c r="J63" s="123">
        <f t="shared" si="364"/>
        <v>2</v>
      </c>
      <c r="K63" s="793">
        <f>RZ[[#This Row],[Koeficient odhadu HR '[-'] (P1)]]</f>
        <v>1</v>
      </c>
      <c r="L63" s="124">
        <f ca="1">RZ[[#This Row],[Jednotková hmotnost s koef. '[kg/MJHR'] (P0)]]</f>
        <v>1.85</v>
      </c>
      <c r="M63" s="794">
        <f t="shared" ca="1" si="365"/>
        <v>0</v>
      </c>
      <c r="N63" s="125">
        <f t="shared" ca="1" si="366"/>
        <v>3.7</v>
      </c>
      <c r="O63" s="125">
        <f t="shared" ca="1" si="367"/>
        <v>0</v>
      </c>
      <c r="P63" s="126" t="str">
        <f t="shared" si="368"/>
        <v/>
      </c>
      <c r="Q63" s="795">
        <f ca="1">RZ[[#This Row],[Počet MJHR v rozpadu (P0)]]</f>
        <v>4</v>
      </c>
      <c r="R63" s="439" t="str">
        <f t="shared" si="369"/>
        <v/>
      </c>
      <c r="S63" s="129" t="str">
        <f t="shared" si="370"/>
        <v/>
      </c>
      <c r="T63" s="126" t="str">
        <f t="shared" si="371"/>
        <v/>
      </c>
      <c r="U63" s="126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CR (MJCR) (P0)]]))))))))))</f>
        <v>kg</v>
      </c>
      <c r="V63" s="575">
        <f t="shared" ca="1" si="372"/>
        <v>3.7</v>
      </c>
      <c r="W63" s="322">
        <f>RZ[[#This Row],[Koeficient odhadu CR '[-'] (P1)]]</f>
        <v>1</v>
      </c>
      <c r="X63" s="440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Row],[Jednotková cena bez DPH '[cena/MJCR'] (P1)]]*RZ[[#This Row],[Koeficient odhadu CR '[-']]]))))))))))</f>
        <v>85</v>
      </c>
      <c r="Y63" s="440">
        <f t="shared" ca="1" si="373"/>
        <v>0</v>
      </c>
      <c r="Z63" s="142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VLOOKUP(IP63,$BR$7:$BS$11,2,FALSE)))))))))))</f>
        <v>CZK</v>
      </c>
      <c r="AA63" s="909">
        <f t="shared" ca="1" si="374"/>
        <v>7.4</v>
      </c>
      <c r="AB63" s="910">
        <f ca="1">RZ[[#This Row],[Kumulovaný koeficient v rozpadu (P0)]]</f>
        <v>1</v>
      </c>
      <c r="AC63" s="261"/>
      <c r="AD63" s="796">
        <f ca="1">RZ[[#This Row],[Jednotková cena bez DPH '[cena/MJCR'] s koef. (P0)]]/RZ[[#This Row],[Koeficient odhadu CR '[-']]]*RZ[[#This Row],[Kumulovaný koeficient odhadu CR  '[-']]]</f>
        <v>85</v>
      </c>
      <c r="AE63" s="796">
        <f t="shared" ca="1" si="375"/>
        <v>629</v>
      </c>
      <c r="AF63" s="796">
        <f ca="1">-IF(ISNUMBER(AA63),RZ[[#This Row],[Celková cena bez DPH (1)]]-RZ[[#This Row],[Jednotková cena bez DPH '[cena/MJCR'] bez koef. (P0)]]*AA63,0)</f>
        <v>0</v>
      </c>
      <c r="AG6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3" s="261"/>
      <c r="AI63" s="796">
        <f t="shared" ca="1" si="376"/>
        <v>3.1481481481481484</v>
      </c>
      <c r="AJ63" s="796">
        <f t="shared" ca="1" si="377"/>
        <v>23.296296296296298</v>
      </c>
      <c r="AK63" s="796">
        <f t="shared" ca="1" si="378"/>
        <v>0</v>
      </c>
      <c r="AL63" s="753">
        <f ca="1">RZ[[#This Row],[Kilogramová cena bez DPH '[cena/kg'] (1)]]/$AK$13</f>
        <v>3.1481481481481484</v>
      </c>
      <c r="AM63" s="261"/>
      <c r="AN63" s="796">
        <f t="shared" ca="1" si="379"/>
        <v>4.1062801932367154</v>
      </c>
      <c r="AO63" s="796">
        <f t="shared" ca="1" si="380"/>
        <v>30.386473429951693</v>
      </c>
      <c r="AP63" s="796">
        <f t="shared" ca="1" si="381"/>
        <v>0</v>
      </c>
      <c r="AQ63" s="753">
        <f ca="1">RZ[[#This Row],[Kilogramová cena bez DPH '[cena/kg'] (1)]]/$AP$13</f>
        <v>4.1062801932367154</v>
      </c>
      <c r="AR63" s="261"/>
      <c r="AS63" s="796">
        <f t="shared" ca="1" si="382"/>
        <v>2.324945295404814</v>
      </c>
      <c r="AT63" s="796">
        <f t="shared" ca="1" si="383"/>
        <v>17.204595185995622</v>
      </c>
      <c r="AU63" s="789">
        <f t="shared" ca="1" si="384"/>
        <v>0</v>
      </c>
      <c r="AV63" s="767">
        <f ca="1">RZ[[#This Row],[Kilogramová cena bez DPH '[cena/kg'] (1)]]/$AU$13</f>
        <v>2.324945295404814</v>
      </c>
      <c r="AW63" s="165"/>
      <c r="AX63" s="911">
        <f t="shared" ca="1" si="385"/>
        <v>2</v>
      </c>
      <c r="AY63" s="111">
        <f t="shared" ca="1" si="386"/>
        <v>2</v>
      </c>
      <c r="AZ63" s="111">
        <f t="shared" ca="1" si="387"/>
        <v>8</v>
      </c>
      <c r="BA63" s="111">
        <f t="shared" ca="1" si="388"/>
        <v>0</v>
      </c>
      <c r="BB63" s="111">
        <f t="shared" ca="1" si="389"/>
        <v>0</v>
      </c>
      <c r="BC63" s="111">
        <f t="shared" ca="1" si="390"/>
        <v>0</v>
      </c>
      <c r="BD63" s="111">
        <f t="shared" ca="1" si="391"/>
        <v>0</v>
      </c>
      <c r="BE63" s="111">
        <f t="shared" ca="1" si="392"/>
        <v>0</v>
      </c>
      <c r="BF63" s="111">
        <f t="shared" ca="1" si="393"/>
        <v>0</v>
      </c>
      <c r="BG63" s="112">
        <f t="shared" ca="1" si="394"/>
        <v>0</v>
      </c>
      <c r="BH63" s="911">
        <f t="shared" si="395"/>
        <v>0</v>
      </c>
      <c r="BI63" s="111">
        <f t="shared" si="396"/>
        <v>0</v>
      </c>
      <c r="BJ63" s="111">
        <f t="shared" si="397"/>
        <v>1</v>
      </c>
      <c r="BK63" s="111">
        <f t="shared" si="398"/>
        <v>0</v>
      </c>
      <c r="BL63" s="111">
        <f t="shared" si="399"/>
        <v>0</v>
      </c>
      <c r="BM63" s="111">
        <f t="shared" si="400"/>
        <v>0</v>
      </c>
      <c r="BN63" s="111">
        <f t="shared" si="401"/>
        <v>0</v>
      </c>
      <c r="BO63" s="111">
        <f t="shared" si="402"/>
        <v>0</v>
      </c>
      <c r="BP63" s="111">
        <f t="shared" si="403"/>
        <v>0</v>
      </c>
      <c r="BQ63" s="112">
        <f t="shared" si="404"/>
        <v>0</v>
      </c>
      <c r="BR63" s="132">
        <f ca="1">IF(OFFSET(AY63,1,0,1,1)&lt;&gt;0,RZ[[#This Row],[Koeficient odhadu HR '[-'] (P1)]]*$BH63*SUMIFS(RZ[Úroveň 2 s koef. (P2)],RZ[0],AX63),RZ[[#This Row],[Koeficient odhadu HR '[-'] (P1)]]*$BH63*$IG63)</f>
        <v>0</v>
      </c>
      <c r="BS63" s="186">
        <f ca="1">IF(OFFSET(AY63,1,0,1,1)&lt;&gt;0,$BH63*SUMIFS(RZ[Úroveň 2 bez koef. (P2)],RZ[0],AX63),$BH63*$IG63)</f>
        <v>0</v>
      </c>
      <c r="BT63" s="138">
        <f ca="1">RZ[[#This Row],[Úroveň 2 s koef. (P2a)]]*RZ[[#This Row],[Počet MJHR (P0)]]</f>
        <v>0</v>
      </c>
      <c r="BU63" s="138">
        <f ca="1">RZ[[#This Row],[Úroveň 2 bez koef. (P2a)]]*RZ[[#This Row],[Počet MJHR (P0)]]</f>
        <v>0</v>
      </c>
      <c r="BV63" s="138">
        <f ca="1">IF(OFFSET(AZ63,1,0,1,1)&lt;&gt;0,RZ[[#This Row],[Koeficient odhadu HR '[-'] (P1)]]*$BI63*SUMIFS(RZ[Úroveň 3 s koef. (P2)],RZ[0],AX63,RZ[Úroveň 2 (P0)],AY63),RZ[[#This Row],[Koeficient odhadu HR '[-'] (P1)]]*$BI63*$IG63)</f>
        <v>0</v>
      </c>
      <c r="BW63" s="138">
        <f ca="1">IF(OFFSET(AZ63,1,0,1,1)&lt;&gt;0,$BI63*SUMIFS(RZ[Úroveň 3 bez koef. (P2)],RZ[0],AX63,RZ[Úroveň 2 (P0)],AY63),$BI63*$IG63)</f>
        <v>0</v>
      </c>
      <c r="BX63" s="132">
        <f ca="1">RZ[[#This Row],[Úroveň 3 s koef. (P2a)]]*RZ[[#This Row],[Počet MJHR (P0)]]</f>
        <v>3.7</v>
      </c>
      <c r="BY63" s="132">
        <f ca="1">RZ[Úroveň 3 bez koef. (P2a)]*RZ[[#This Row],[Počet MJHR (P0)]]</f>
        <v>3.7</v>
      </c>
      <c r="BZ63" s="132">
        <f ca="1">IF(OFFSET(BA63,1,0,1,1)&lt;&gt;0,RZ[[#This Row],[Koeficient odhadu HR '[-'] (P1)]]*$BJ63*SUMIFS(RZ[Úroveň 4 s koef. (P2)],RZ[0],AX63,RZ[Úroveň 2 (P0)],AY63,RZ[Úroveň 3 (P0)],AZ63),RZ[[#This Row],[Koeficient odhadu HR '[-'] (P1)]]*$BJ63*$IG63)</f>
        <v>1.85</v>
      </c>
      <c r="CA63" s="132">
        <f ca="1">IF(OFFSET(BA63,1,0,1,1)&lt;&gt;0,$BJ63*SUMIFS(RZ[Úroveň 4 bez koef. (P2)],RZ[0],AX63,RZ[Úroveň 2 (P0)],AY63,RZ[Úroveň 3 (P0)],AZ63),$BJ63*$IG63)</f>
        <v>1.85</v>
      </c>
      <c r="CB63" s="138">
        <f ca="1">RZ[[#This Row],[Úroveň 4 s koef. (P2a)]]*RZ[[#This Row],[Počet MJHR (P0)]]</f>
        <v>0</v>
      </c>
      <c r="CC63" s="138">
        <f ca="1">RZ[Úroveň 4 bez koef. (P2a)]*RZ[[#This Row],[Počet MJHR (P0)]]</f>
        <v>0</v>
      </c>
      <c r="CD63" s="138">
        <f ca="1">IF(OFFSET(BB63,1,0,1,1)&lt;&gt;0,RZ[[#This Row],[Koeficient odhadu HR '[-'] (P1)]]*$BK63*SUMIFS(RZ[Úroveň 5 s koef. (P2)],RZ[0],AX63,RZ[Úroveň 2 (P0)],AY63,RZ[Úroveň 3 (P0)],AZ63,RZ[Úroveň 4 (P0)],BA63),RZ[[#This Row],[Koeficient odhadu HR '[-'] (P1)]]*$BK63*$IG63)</f>
        <v>0</v>
      </c>
      <c r="CE63" s="138">
        <f ca="1">IF(OFFSET(BB63,1,0,1,1)&lt;&gt;0,$BK63*SUMIFS(RZ[Úroveň 5 bez koef. (P2)],RZ[0],AX63,RZ[Úroveň 2 (P0)],AY63,RZ[Úroveň 3 (P0)],AZ63,RZ[Úroveň 4 (P0)],BA63),$BK63*$IG63)</f>
        <v>0</v>
      </c>
      <c r="CF63" s="132">
        <f ca="1">RZ[[#This Row],[Úroveň 5 s koef. (P2a)]]*RZ[[#This Row],[Počet MJHR (P0)]]</f>
        <v>0</v>
      </c>
      <c r="CG63" s="132">
        <f ca="1">RZ[Úroveň 5 bez koef. (P2a)]*RZ[[#This Row],[Počet MJHR (P0)]]</f>
        <v>0</v>
      </c>
      <c r="CH63" s="132">
        <f ca="1">IF(OFFSET(BC63,1,0,1,1)&lt;&gt;0,RZ[[#This Row],[Koeficient odhadu HR '[-'] (P1)]]*$BL63*SUMIFS(RZ[Úroveň 6 s koef. (P2)],RZ[0],AX63,RZ[Úroveň 2 (P0)],AY63,RZ[Úroveň 3 (P0)],AZ63,RZ[Úroveň 4 (P0)],BA63,RZ[Úroveň 5 (P0)],BB63),RZ[[#This Row],[Koeficient odhadu HR '[-'] (P1)]]*$BL63*$IG63)</f>
        <v>0</v>
      </c>
      <c r="CI63" s="132">
        <f ca="1">IF(OFFSET(BC63,1,0,1,1)&lt;&gt;0,$BL63*SUMIFS(RZ[Úroveň 6 bez koef. (P2)],RZ[0],AX63,RZ[Úroveň 2 (P0)],AY63,RZ[Úroveň 3 (P0)],AZ63,RZ[Úroveň 4 (P0)],BA63,RZ[Úroveň 5 (P0)],BB63),$BL63*$IG63)</f>
        <v>0</v>
      </c>
      <c r="CJ63" s="138">
        <f ca="1">RZ[[#This Row],[Úroveň 6 s koef. (P2a)]]*RZ[[#This Row],[Počet MJHR (P0)]]</f>
        <v>0</v>
      </c>
      <c r="CK63" s="138">
        <f ca="1">RZ[Úroveň 6 bez koef. (P2a)]*RZ[[#This Row],[Počet MJHR (P0)]]</f>
        <v>0</v>
      </c>
      <c r="CL63" s="138">
        <f ca="1">IF(OFFSET(BD63,1,0,1,1)&lt;&gt;0,RZ[[#This Row],[Koeficient odhadu HR '[-'] (P1)]]*$BM63*SUMIFS(RZ[Úroveň 7 s koef. (P2)],RZ[0],AX63,RZ[Úroveň 2 (P0)],AY63,RZ[Úroveň 3 (P0)],AZ63,RZ[Úroveň 4 (P0)],BA63,RZ[Úroveň 5 (P0)],BB63,RZ[Úroveň 6 (P0)],BC63),RZ[[#This Row],[Koeficient odhadu HR '[-'] (P1)]]*$BM63*$IG63)</f>
        <v>0</v>
      </c>
      <c r="CM63" s="138">
        <f ca="1">IF(OFFSET(BD63,1,0,1,1)&lt;&gt;0,$BM63*SUMIFS(RZ[Úroveň 7 bez koef. (P2)],RZ[0],AX63,RZ[Úroveň 2 (P0)],AY63,RZ[Úroveň 3 (P0)],AZ63,RZ[Úroveň 4 (P0)],BA63,RZ[Úroveň 5 (P0)],BB63,RZ[Úroveň 6 (P0)],BC63),$BM63*$IG63)</f>
        <v>0</v>
      </c>
      <c r="CN63" s="132">
        <f ca="1">RZ[[#This Row],[Úroveň 7 s koef. (P2a)]]*RZ[[#This Row],[Počet MJHR (P0)]]</f>
        <v>0</v>
      </c>
      <c r="CO63" s="132">
        <f ca="1">RZ[Úroveň 7 bez koef. (P2a)]*RZ[[#This Row],[Počet MJHR (P0)]]</f>
        <v>0</v>
      </c>
      <c r="CP63" s="132">
        <f ca="1">IF(OFFSET(BE63,1,0,1,1)&lt;&gt;0,RZ[[#This Row],[Koeficient odhadu HR '[-'] (P1)]]*$BN63*SUMIFS(RZ[Úroveň 8 s koef. (P2)],RZ[0],AX63,RZ[Úroveň 2 (P0)],AY63,RZ[Úroveň 3 (P0)],AZ63,RZ[Úroveň 4 (P0)],BA63,RZ[Úroveň 5 (P0)],BB63,RZ[Úroveň 6 (P0)],BC63,RZ[Úroveň 7 (P0)],BD63),RZ[[#This Row],[Koeficient odhadu HR '[-'] (P1)]]*$BN63*$IG63)</f>
        <v>0</v>
      </c>
      <c r="CQ63" s="132">
        <f ca="1">IF(OFFSET(BE63,1,0,1,1)&lt;&gt;0,$BN63*SUMIFS(RZ[Úroveň 8 bez koef. (P2)],RZ[0],AX63,RZ[Úroveň 2 (P0)],AY63,RZ[Úroveň 3 (P0)],AZ63,RZ[Úroveň 4 (P0)],BA63,RZ[Úroveň 5 (P0)],BB63,RZ[Úroveň 6 (P0)],BC63,RZ[Úroveň 7 (P0)],BD63),$BN63*$IG63)</f>
        <v>0</v>
      </c>
      <c r="CR63" s="138">
        <f ca="1">RZ[[#This Row],[Úroveň 8 s koef. (P2a)]]*RZ[[#This Row],[Počet MJHR (P0)]]</f>
        <v>0</v>
      </c>
      <c r="CS63" s="138">
        <f ca="1">RZ[Úroveň 8 bez koef. (P2a)]*RZ[[#This Row],[Počet MJHR (P0)]]</f>
        <v>0</v>
      </c>
      <c r="CT63" s="138">
        <f ca="1">IF(OFFSET(BF63,1,0,1,1)&lt;&gt;0,RZ[[#This Row],[Koeficient odhadu HR '[-'] (P1)]]*$BO63*SUMIFS(RZ[Úroveň 9 s koef. (P2)],RZ[0],AX63,RZ[Úroveň 2 (P0)],AY63,RZ[Úroveň 3 (P0)],AZ63,RZ[Úroveň 4 (P0)],BA63,RZ[Úroveň 5 (P0)],BB63,RZ[Úroveň 6 (P0)],BC63,RZ[Úroveň 7 (P0)],BD63,RZ[Úroveň 8 (P0)],BE63),RZ[[#This Row],[Koeficient odhadu HR '[-'] (P1)]]*$BO63*$IG63)</f>
        <v>0</v>
      </c>
      <c r="CU63" s="138">
        <f ca="1">IF(OFFSET(BF63,1,0,1,1)&lt;&gt;0,$BO63*SUMIFS(RZ[Úroveň 9 bez koef. (P2)],RZ[0],AX63,RZ[Úroveň 2 (P0)],AY63,RZ[Úroveň 3 (P0)],AZ63,RZ[Úroveň 4 (P0)],BA63,RZ[Úroveň 5 (P0)],BB63,RZ[Úroveň 6 (P0)],BC63,RZ[Úroveň 7 (P0)],BD63,RZ[Úroveň 8 (P0)],BE63),$BO63*$IG63)</f>
        <v>0</v>
      </c>
      <c r="CV63" s="132">
        <f ca="1">RZ[[#This Row],[Úroveň 9 s koef. (P2a)]]*RZ[[#This Row],[Počet MJHR (P0)]]</f>
        <v>0</v>
      </c>
      <c r="CW63" s="132">
        <f ca="1">RZ[Úroveň 9 bez koef. (P2a)]*RZ[[#This Row],[Počet MJHR (P0)]]</f>
        <v>0</v>
      </c>
      <c r="CX63" s="132">
        <f ca="1">IF(OFFSET(BG63,1,0,1,1)&lt;&gt;0,RZ[[#This Row],[Koeficient odhadu HR '[-'] (P1)]]*$BP63*SUMIFS(RZ[Úroveň 10 s koef. (P2)],RZ[0],AX63,RZ[Úroveň 2 (P0)],AY63,RZ[Úroveň 3 (P0)],AZ63,RZ[Úroveň 4 (P0)],BA63,RZ[Úroveň 5 (P0)],BB63,RZ[Úroveň 6 (P0)],BC63,RZ[Úroveň 7 (P0)],BD63,RZ[Úroveň 8 (P0)],BE63,RZ[Úroveň 9 (P0)],BF63),RZ[[#This Row],[Koeficient odhadu HR '[-'] (P1)]]*$BP63*$IG63)</f>
        <v>0</v>
      </c>
      <c r="CY63" s="132">
        <f ca="1">IF(OFFSET(BG63,1,0,1,1)&lt;&gt;0,$BP63*SUMIFS(RZ[Úroveň 10 bez koef. (P2)],RZ[0],AX63,RZ[Úroveň 2 (P0)],AY63,RZ[Úroveň 3 (P0)],AZ63,RZ[Úroveň 4 (P0)],BA63,RZ[Úroveň 5 (P0)],BB63,RZ[Úroveň 6 (P0)],BC63,RZ[Úroveň 7 (P0)],BD63,RZ[Úroveň 8 (P0)],BE63,RZ[Úroveň 9 (P0)],BF63),$BP63*$IG63)</f>
        <v>0</v>
      </c>
      <c r="CZ63" s="138">
        <f>RZ[[#This Row],[Úroveň 10 s koef. (P2a)]]*RZ[[#This Row],[Počet MJHR (P0)]]</f>
        <v>0</v>
      </c>
      <c r="DA63" s="138">
        <f>RZ[Úroveň 10 bez koef. (P2a)]*RZ[[#This Row],[Počet MJHR (P0)]]</f>
        <v>0</v>
      </c>
      <c r="DB63" s="138">
        <f>RZ[[#This Row],[Koeficient odhadu HR '[-'] (P1)]]*$BQ63*IG63</f>
        <v>0</v>
      </c>
      <c r="DC63" s="231">
        <f t="shared" si="405"/>
        <v>0</v>
      </c>
      <c r="DD63" s="241">
        <f t="shared" ca="1" si="406"/>
        <v>1.85</v>
      </c>
      <c r="DE63" s="229">
        <f t="shared" ca="1" si="407"/>
        <v>1.85</v>
      </c>
      <c r="DF63" s="912">
        <f t="shared" si="408"/>
        <v>0</v>
      </c>
      <c r="DG63" s="913">
        <f t="shared" si="409"/>
        <v>0</v>
      </c>
      <c r="DH63" s="913">
        <f t="shared" si="410"/>
        <v>2</v>
      </c>
      <c r="DI63" s="913">
        <f t="shared" si="411"/>
        <v>0</v>
      </c>
      <c r="DJ63" s="913">
        <f t="shared" si="412"/>
        <v>0</v>
      </c>
      <c r="DK63" s="913">
        <f t="shared" si="413"/>
        <v>0</v>
      </c>
      <c r="DL63" s="913">
        <f t="shared" si="414"/>
        <v>0</v>
      </c>
      <c r="DM63" s="913">
        <f t="shared" si="415"/>
        <v>0</v>
      </c>
      <c r="DN63" s="913">
        <f t="shared" si="416"/>
        <v>0</v>
      </c>
      <c r="DO63" s="913">
        <f t="shared" si="417"/>
        <v>0</v>
      </c>
      <c r="DP63" s="914">
        <f ca="1">SUMIFS(RZ[Úroveň 1 (P4)],RZ[0],AX63)</f>
        <v>1</v>
      </c>
      <c r="DQ63" s="914">
        <f ca="1">SUMIFS(RZ[Úroveň 2 (P4)],RZ[0],AX63,RZ[Úroveň 2 (P0)],AY63)</f>
        <v>2</v>
      </c>
      <c r="DR63" s="914">
        <f ca="1">SUMIFS(RZ[Úroveň 3 (P4)],RZ[0],AX63,RZ[Úroveň 2 (P0)],AY63,RZ[Úroveň 3 (P0)],AZ63)</f>
        <v>2</v>
      </c>
      <c r="DS63" s="914">
        <f ca="1">SUMIFS(RZ[Úroveň 4 (P4)],RZ[0],AX63,RZ[Úroveň 2 (P0)],AY63,RZ[Úroveň 3 (P0)],AZ63,RZ[Úroveň 4 (P0)],BA63)</f>
        <v>0</v>
      </c>
      <c r="DT63" s="914">
        <f ca="1">SUMIFS(RZ[Úroveň 5 (P4)],RZ[0],AX63,RZ[Úroveň 2 (P0)],AY63,RZ[Úroveň 3 (P0)],AZ63,RZ[Úroveň 4 (P0)],BA63,RZ[Úroveň 5 (P0)],BB63)</f>
        <v>0</v>
      </c>
      <c r="DU63" s="914">
        <f ca="1">SUMIFS(RZ[Úroveň 6 (P4)],RZ[0],AX63,RZ[Úroveň 2 (P0)],AY63,RZ[Úroveň 3 (P0)],AZ63,RZ[Úroveň 4 (P0)],BA63,RZ[Úroveň 5 (P0)],BB63,RZ[Úroveň 6 (P0)],BC63)</f>
        <v>0</v>
      </c>
      <c r="DV63" s="914">
        <f ca="1">SUMIFS(RZ[Úroveň 7 (P4)],RZ[0],AX63,RZ[Úroveň 2 (P0)],AY63,RZ[Úroveň 3 (P0)],AZ63,RZ[Úroveň 4 (P0)],BA63,RZ[Úroveň 5 (P0)],BB63,RZ[Úroveň 6 (P0)],BC63,RZ[Úroveň 7 (P0)],BD63)</f>
        <v>0</v>
      </c>
      <c r="DW63" s="914">
        <f ca="1">SUMIFS(RZ[Úroveň 8 (P4)],RZ[0],AX63,RZ[Úroveň 2 (P0)],AY63,RZ[Úroveň 3 (P0)],AZ63,RZ[Úroveň 4 (P0)],BA63,RZ[Úroveň 5 (P0)],BB63,RZ[Úroveň 6 (P0)],BC63,RZ[Úroveň 7 (P0)],BD63,RZ[Úroveň 8 (P0)],BE63)</f>
        <v>0</v>
      </c>
      <c r="DX63" s="914">
        <f ca="1">SUMIFS(RZ[Úroveň 9 (P4)],RZ[0],AX63,RZ[Úroveň 2 (P0)],AY63,RZ[Úroveň 3 (P0)],AZ63,RZ[Úroveň 4 (P0)],BA63,RZ[Úroveň 5 (P0)],BB63,RZ[Úroveň 6 (P0)],BC63,RZ[Úroveň 7 (P0)],BD63,RZ[Úroveň 8 (P0)],BE63,RZ[Úroveň 9 (P0)],BF63)</f>
        <v>0</v>
      </c>
      <c r="DY63" s="914">
        <f ca="1">SUMIFS(RZ[Úroveň 10 (P4)],RZ[0],AX63,RZ[Úroveň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DZ63" s="915">
        <f t="shared" ca="1" si="418"/>
        <v>4</v>
      </c>
      <c r="EA63" s="916">
        <f ca="1">RZ[[#This Row],[Jednotková hmotnost bez koef. '[kg/MJHR'] (P0)]]*RZ[[#This Row],[Počet MJHR v rozpadu (P0)]]</f>
        <v>7.4</v>
      </c>
      <c r="EB63" s="917">
        <f ca="1">IF(OFFSET(AY63,1,0,1,1)&lt;&gt;0,RZ[[#This Row],[Koeficient odhadu CR '[-'] (P1)]]*$BH63*SUMIFS(RZ[Úroveň 2 s koef. (P3)],RZ[0],AX63),RZ[[#This Row],[Koeficient odhadu CR '[-'] (P1)]]*$BH63*$IQ63)</f>
        <v>0</v>
      </c>
      <c r="EC63" s="191">
        <f ca="1">IF(OFFSET(AY63,1,0,1,1)&lt;&gt;0,$BH63*SUMIFS(RZ[Úroveň 2 bez koef. (P3)],RZ[0],AX63),$BH63*$IQ63)</f>
        <v>0</v>
      </c>
      <c r="ED63" s="140">
        <f ca="1">RZ[[#This Row],[Úroveň 2 s koef. (P3a)]]*RZ[[#This Row],[Počet MJCR (P0) pro "kg"]]</f>
        <v>0</v>
      </c>
      <c r="EE63" s="140">
        <f ca="1">RZ[Úroveň 2 bez koef. (P3a)]*RZ[[#This Row],[Počet MJCR (P0) pro "kg"]]</f>
        <v>0</v>
      </c>
      <c r="EF63" s="140">
        <f ca="1">IF(OFFSET(AZ63,1,0,1,1)&lt;&gt;0,RZ[[#This Row],[Koeficient odhadu CR '[-'] (P1)]]*$BI63*SUMIFS(RZ[Úroveň 3 s koef. (P3)],RZ[0],AX63,RZ[Úroveň 2 (P0)],AY63),RZ[[#This Row],[Koeficient odhadu CR '[-'] (P1)]]*$BI63*$IQ63)</f>
        <v>0</v>
      </c>
      <c r="EG63" s="140">
        <f ca="1">IF(OFFSET(AZ63,1,0,1,1)&lt;&gt;0,$BI63*SUMIFS(RZ[Úroveň 3 bez koef. (P3)],RZ[0],AX63,RZ[Úroveň 2 (P0)],AY63),$BI63*$IQ63)</f>
        <v>0</v>
      </c>
      <c r="EH63" s="135">
        <f ca="1">RZ[[#This Row],[Úroveň 3 s koef. (P3a)]]*RZ[[#This Row],[Počet MJCR (P0) pro "kg"]]</f>
        <v>314.5</v>
      </c>
      <c r="EI63" s="135">
        <f ca="1">RZ[Úroveň 3 bez koef. (P3a)]*RZ[[#This Row],[Počet MJCR (P0) pro "kg"]]</f>
        <v>314.5</v>
      </c>
      <c r="EJ63" s="135">
        <f ca="1">IF(OFFSET(BA63,1,0,1,1)&lt;&gt;0,RZ[[#This Row],[Koeficient odhadu CR '[-'] (P1)]]*$BJ63*SUMIFS(RZ[Úroveň 4 s koef. (P3)],RZ[0],AX63,RZ[Úroveň 2 (P0)],AY63,RZ[Úroveň 3 (P0)],AZ63),RZ[[#This Row],[Koeficient odhadu CR '[-'] (P1)]]*$BJ63*$IQ63)</f>
        <v>85</v>
      </c>
      <c r="EK63" s="135">
        <f ca="1">IF(OFFSET(BA63,1,0,1,1)&lt;&gt;0,$BJ63*SUMIFS(RZ[Úroveň 4 bez koef. (P3)],RZ[0],AX63,RZ[Úroveň 2 (P0)],AY63,RZ[Úroveň 3 (P0)],AZ63),$BJ63*$IQ63)</f>
        <v>85</v>
      </c>
      <c r="EL63" s="140">
        <f ca="1">RZ[[#This Row],[Úroveň 4 s koef. (P3a)]]*RZ[[#This Row],[Počet MJCR (P0) pro "kg"]]</f>
        <v>0</v>
      </c>
      <c r="EM63" s="140">
        <f ca="1">RZ[Úroveň 4 bez koef. (P3a)]*RZ[[#This Row],[Počet MJCR (P0) pro "kg"]]</f>
        <v>0</v>
      </c>
      <c r="EN63" s="140">
        <f ca="1">IF(OFFSET(BB63,1,0,1,1)&lt;&gt;0,RZ[[#This Row],[Koeficient odhadu CR '[-'] (P1)]]*$BK63*SUMIFS(RZ[Úroveň 5 s koef. (P3)],RZ[0],AX63,RZ[Úroveň 2 (P0)],AY63,RZ[Úroveň 3 (P0)],AZ63,RZ[Úroveň 4 (P0)],BA63),RZ[[#This Row],[Koeficient odhadu CR '[-'] (P1)]]*$BK63*$IQ63)</f>
        <v>0</v>
      </c>
      <c r="EO63" s="140">
        <f ca="1">IF(OFFSET(BB63,1,0,1,1)&lt;&gt;0,$BK63*SUMIFS(RZ[Úroveň 5 bez koef. (P3)],RZ[0],AX63,RZ[Úroveň 2 (P0)],AY63,RZ[Úroveň 3 (P0)],AZ63,RZ[Úroveň 4 (P0)],BA63),$BK63*$IQ63)</f>
        <v>0</v>
      </c>
      <c r="EP63" s="135">
        <f ca="1">RZ[[#This Row],[Úroveň 5 s koef. (P3a)]]*RZ[[#This Row],[Počet MJCR (P0) pro "kg"]]</f>
        <v>0</v>
      </c>
      <c r="EQ63" s="135">
        <f ca="1">RZ[Úroveň 5 bez koef. (P3a)]*RZ[[#This Row],[Počet MJCR (P0) pro "kg"]]</f>
        <v>0</v>
      </c>
      <c r="ER63" s="135">
        <f ca="1">IF(OFFSET(BC63,1,0,1,1)&lt;&gt;0,RZ[[#This Row],[Koeficient odhadu CR '[-'] (P1)]]*$BL63*SUMIFS(RZ[Úroveň 6 s koef. (P3)],RZ[0],AX63,RZ[Úroveň 2 (P0)],AY63,RZ[Úroveň 3 (P0)],AZ63,RZ[Úroveň 4 (P0)],BA63,RZ[Úroveň 5 (P0)],BB63),RZ[[#This Row],[Koeficient odhadu CR '[-'] (P1)]]*$BL63*$IQ63)</f>
        <v>0</v>
      </c>
      <c r="ES63" s="135">
        <f ca="1">IF(OFFSET(BC63,1,0,1,1)&lt;&gt;0,$BL63*SUMIFS(RZ[Úroveň 6 bez koef. (P3)],RZ[0],AX63,RZ[Úroveň 2 (P0)],AY63,RZ[Úroveň 3 (P0)],AZ63,RZ[Úroveň 4 (P0)],BA63,RZ[Úroveň 5 (P0)],BB63),$BL63*$IQ63)</f>
        <v>0</v>
      </c>
      <c r="ET63" s="140">
        <f ca="1">RZ[[#This Row],[Úroveň 6 s koef. (P3a)]]*RZ[[#This Row],[Počet MJCR (P0) pro "kg"]]</f>
        <v>0</v>
      </c>
      <c r="EU63" s="140">
        <f ca="1">RZ[Úroveň 6 bez koef. (P3a)]*RZ[[#This Row],[Počet MJCR (P0) pro "kg"]]</f>
        <v>0</v>
      </c>
      <c r="EV63" s="140">
        <f ca="1">IF(OFFSET(BD63,1,0,1,1)&lt;&gt;0,RZ[[#This Row],[Koeficient odhadu CR '[-'] (P1)]]*$BM63*SUMIFS(RZ[Úroveň 7 s koef. (P3)],RZ[0],AX63,RZ[Úroveň 2 (P0)],AY63,RZ[Úroveň 3 (P0)],AZ63,RZ[Úroveň 4 (P0)],BA63,RZ[Úroveň 5 (P0)],BB63,RZ[Úroveň 6 (P0)],BC63),RZ[[#This Row],[Koeficient odhadu CR '[-'] (P1)]]*$BM63*$IQ63)</f>
        <v>0</v>
      </c>
      <c r="EW63" s="140">
        <f ca="1">IF(OFFSET(BD63,1,0,1,1)&lt;&gt;0,$BM63*SUMIFS(RZ[Úroveň 7 bez koef. (P3)],RZ[0],AX63,RZ[Úroveň 2 (P0)],AY63,RZ[Úroveň 3 (P0)],AZ63,RZ[Úroveň 4 (P0)],BA63,RZ[Úroveň 5 (P0)],BB63,RZ[Úroveň 6 (P0)],BC63),$BM63*$IQ63)</f>
        <v>0</v>
      </c>
      <c r="EX63" s="135">
        <f ca="1">RZ[[#This Row],[Úroveň 7 s koef. (P3a)]]*RZ[[#This Row],[Počet MJCR (P0) pro "kg"]]</f>
        <v>0</v>
      </c>
      <c r="EY63" s="135">
        <f ca="1">RZ[Úroveň 7 bez koef. (P3a)]*RZ[[#This Row],[Počet MJCR (P0) pro "kg"]]</f>
        <v>0</v>
      </c>
      <c r="EZ63" s="135">
        <f ca="1">IF(OFFSET(BE63,1,0,1,1)&lt;&gt;0,RZ[[#This Row],[Koeficient odhadu CR '[-'] (P1)]]*$BN63*SUMIFS(RZ[Úroveň 8 s koef. (P3)],RZ[0],AX63,RZ[Úroveň 2 (P0)],AY63,RZ[Úroveň 3 (P0)],AZ63,RZ[Úroveň 4 (P0)],BA63,RZ[Úroveň 5 (P0)],BB63,RZ[Úroveň 6 (P0)],BC63,RZ[Úroveň 7 (P0)],BD63),RZ[[#This Row],[Koeficient odhadu CR '[-'] (P1)]]*$BN63*$IQ63)</f>
        <v>0</v>
      </c>
      <c r="FA63" s="135">
        <f ca="1">IF(OFFSET(BE63,1,0,1,1)&lt;&gt;0,$BN63*SUMIFS(RZ[Úroveň 8 bez koef. (P3)],RZ[0],AX63,RZ[Úroveň 2 (P0)],AY63,RZ[Úroveň 3 (P0)],AZ63,RZ[Úroveň 4 (P0)],BA63,RZ[Úroveň 5 (P0)],BB63,RZ[Úroveň 6 (P0)],BC63,RZ[Úroveň 7 (P0)],BD63),$BN63*$IQ63)</f>
        <v>0</v>
      </c>
      <c r="FB63" s="140">
        <f ca="1">RZ[[#This Row],[Úroveň 8 s koef. (P3a)]]*RZ[[#This Row],[Počet MJCR (P0) pro "kg"]]</f>
        <v>0</v>
      </c>
      <c r="FC63" s="140">
        <f ca="1">RZ[Úroveň 8 bez koef. (P3a)]*RZ[[#This Row],[Počet MJCR (P0) pro "kg"]]</f>
        <v>0</v>
      </c>
      <c r="FD63" s="140">
        <f ca="1">IF(OFFSET(BF63,1,0,1,1)&lt;&gt;0,RZ[[#This Row],[Koeficient odhadu CR '[-'] (P1)]]*$BO63*SUMIFS(RZ[Úroveň 9 s koef. (P3)],RZ[0],AX63,RZ[Úroveň 2 (P0)],AY63,RZ[Úroveň 3 (P0)],AZ63,RZ[Úroveň 4 (P0)],BA63,RZ[Úroveň 5 (P0)],BB63,RZ[Úroveň 6 (P0)],BC63,RZ[Úroveň 7 (P0)],BD63,RZ[Úroveň 8 (P0)],BE63),RZ[[#This Row],[Koeficient odhadu CR '[-'] (P1)]]*$BO63*$IQ63)</f>
        <v>0</v>
      </c>
      <c r="FE63" s="140">
        <f ca="1">IF(OFFSET(BF63,1,0,1,1)&lt;&gt;0,$BO63*SUMIFS(RZ[Úroveň 9 bez koef. (P3)],RZ[0],AX63,RZ[Úroveň 2 (P0)],AY63,RZ[Úroveň 3 (P0)],AZ63,RZ[Úroveň 4 (P0)],BA63,RZ[Úroveň 5 (P0)],BB63,RZ[Úroveň 6 (P0)],BC63,RZ[Úroveň 7 (P0)],BD63,RZ[Úroveň 8 (P0)],BE63),$BO63*$IQ63)</f>
        <v>0</v>
      </c>
      <c r="FF63" s="135">
        <f ca="1">RZ[[#This Row],[Úroveň 9 s koef. (P3a)]]*RZ[[#This Row],[Počet MJCR (P0) pro "kg"]]</f>
        <v>0</v>
      </c>
      <c r="FG63" s="135">
        <f ca="1">RZ[Úroveň 9 bez koef. (P3a)]*RZ[[#This Row],[Počet MJCR (P0) pro "kg"]]</f>
        <v>0</v>
      </c>
      <c r="FH63" s="135">
        <f ca="1">IF(OFFSET(BG63,1,0,1,1)&lt;&gt;0,RZ[[#This Row],[Koeficient odhadu CR '[-'] (P1)]]*$BP63*SUMIFS(RZ[Úroveň 10 s koef. (P3)],RZ[0],AX63,RZ[Úroveň 2 (P0)],AY63,RZ[Úroveň 3 (P0)],AZ63,RZ[Úroveň 4 (P0)],BA63,RZ[Úroveň 5 (P0)],BB63,RZ[Úroveň 6 (P0)],BC63,RZ[Úroveň 7 (P0)],BD63,RZ[Úroveň 8 (P0)],BE63,RZ[Úroveň 9 (P0)],BF63),RZ[[#This Row],[Koeficient odhadu CR '[-'] (P1)]]*$BP63*$IQ63)</f>
        <v>0</v>
      </c>
      <c r="FI63" s="135">
        <f ca="1">IF(OFFSET(BG63,1,0,1,1)&lt;&gt;0,$BP63*SUMIFS(RZ[Úroveň 10 bez koef. (P3)],RZ[0],AX63,RZ[Úroveň 2 (P0)],AY63,RZ[Úroveň 3 (P0)],AZ63,RZ[Úroveň 4 (P0)],BA63,RZ[Úroveň 5 (P0)],BB63,RZ[Úroveň 6 (P0)],BC63,RZ[Úroveň 7 (P0)],BD63,RZ[Úroveň 8 (P0)],BE63,RZ[Úroveň 9 (P0)],BF63),$BP63*$IQ63)</f>
        <v>0</v>
      </c>
      <c r="FJ63" s="140">
        <f ca="1">RZ[[#This Row],[Úroveň 10 s koef. (P3a)]]*RZ[[#This Row],[Počet MJCR (P0) pro "kg"]]</f>
        <v>0</v>
      </c>
      <c r="FK63" s="140">
        <f ca="1">RZ[Úroveň 10 bez koef. (P3a)]*RZ[[#This Row],[Počet MJCR (P0) pro "kg"]]</f>
        <v>0</v>
      </c>
      <c r="FL63" s="140">
        <f ca="1">RZ[[#This Row],[Koeficient odhadu CR '[-'] (P1)]]*$BQ63*IQ63</f>
        <v>0</v>
      </c>
      <c r="FM63" s="236">
        <f t="shared" ca="1" si="419"/>
        <v>0</v>
      </c>
      <c r="FN63" s="194">
        <f t="shared" ca="1" si="420"/>
        <v>85</v>
      </c>
      <c r="FO63" s="238">
        <f t="shared" ca="1" si="421"/>
        <v>85</v>
      </c>
      <c r="FP63" s="135">
        <f t="shared" ca="1" si="422"/>
        <v>0</v>
      </c>
      <c r="FQ63" s="135">
        <f t="shared" ca="1" si="423"/>
        <v>0</v>
      </c>
      <c r="FR63" s="135">
        <f t="shared" ca="1" si="424"/>
        <v>3.7</v>
      </c>
      <c r="FS63" s="135">
        <f t="shared" ca="1" si="425"/>
        <v>0</v>
      </c>
      <c r="FT63" s="135">
        <f t="shared" ca="1" si="426"/>
        <v>0</v>
      </c>
      <c r="FU63" s="135">
        <f t="shared" ca="1" si="427"/>
        <v>0</v>
      </c>
      <c r="FV63" s="135">
        <f t="shared" ca="1" si="428"/>
        <v>0</v>
      </c>
      <c r="FW63" s="135">
        <f t="shared" ca="1" si="429"/>
        <v>0</v>
      </c>
      <c r="FX63" s="135">
        <f t="shared" ca="1" si="430"/>
        <v>0</v>
      </c>
      <c r="FY63" s="135">
        <f t="shared" ca="1" si="431"/>
        <v>0</v>
      </c>
      <c r="FZ63" s="140">
        <f ca="1">SUMIFS(RZ[Úroveň 1 (P6)],RZ[0],AX63)</f>
        <v>1</v>
      </c>
      <c r="GA63" s="140">
        <f ca="1">SUMIFS(RZ[Úroveň 2 (P6)],RZ[0],AX63,RZ[Úroveň 2 (P0)],AY63)</f>
        <v>2</v>
      </c>
      <c r="GB63" s="140">
        <f ca="1">SUMIFS(RZ[Úroveň 3 (P6)],RZ[0],AX63,RZ[Úroveň 2 (P0)],AY63,RZ[Úroveň 3 (P0)],AZ63)</f>
        <v>3.7</v>
      </c>
      <c r="GC63" s="140">
        <f ca="1">SUMIFS(RZ[Úroveň 4 (P6)],RZ[0],AX63,RZ[Úroveň 2 (P0)],AY63,RZ[Úroveň 3 (P0)],AZ63,RZ[Úroveň 4 (P0)],BA63)</f>
        <v>0</v>
      </c>
      <c r="GD63" s="140">
        <f ca="1">SUMIFS(RZ[Úroveň 5 (P6)],RZ[0],AX63,RZ[Úroveň 2 (P0)],AY63,RZ[Úroveň 3 (P0)],AZ63,RZ[Úroveň 4 (P0)],BA63,RZ[Úroveň 5 (P0)],BB63)</f>
        <v>0</v>
      </c>
      <c r="GE63" s="140">
        <f ca="1">SUMIFS(RZ[Úroveň 6 (P6)],RZ[0],AX63,RZ[Úroveň 2 (P0)],AY63,RZ[Úroveň 3 (P0)],AZ63,RZ[Úroveň 4 (P0)],BA63,RZ[Úroveň 5 (P0)],BB63,RZ[Úroveň 6 (P0)],BC63)</f>
        <v>0</v>
      </c>
      <c r="GF63" s="140">
        <f ca="1">SUMIFS(RZ[Úroveň 7 (P6)],RZ[0],AX63,RZ[Úroveň 2 (P0)],AY63,RZ[Úroveň 3 (P0)],AZ63,RZ[Úroveň 4 (P0)],BA63,RZ[Úroveň 5 (P0)],BB63,RZ[Úroveň 6 (P0)],BC63,RZ[Úroveň 7 (P0)],BD63)</f>
        <v>0</v>
      </c>
      <c r="GG63" s="140">
        <f ca="1">SUMIFS(RZ[Úroveň 8 (P6)],RZ[0],AX63,RZ[Úroveň 2 (P0)],AY63,RZ[Úroveň 3 (P0)],AZ63,RZ[Úroveň 4 (P0)],BA63,RZ[Úroveň 5 (P0)],BB63,RZ[Úroveň 6 (P0)],BC63,RZ[Úroveň 7 (P0)],BD63,RZ[Úroveň 8 (P0)],BE63)</f>
        <v>0</v>
      </c>
      <c r="GH63" s="140">
        <f ca="1">SUMIFS(RZ[Úroveň 9 (P6)],RZ[0],AX63,RZ[Úroveň 2 (P0)],AY63,RZ[Úroveň 3 (P0)],AZ63,RZ[Úroveň 4 (P0)],BA63,RZ[Úroveň 5 (P0)],BB63,RZ[Úroveň 6 (P0)],BC63,RZ[Úroveň 7 (P0)],BD63,RZ[Úroveň 8 (P0)],BE63,RZ[Úroveň 9 (P0)],BF63)</f>
        <v>0</v>
      </c>
      <c r="GI63" s="140">
        <f ca="1">SUMIFS(RZ[Úroveň 10 (P6)],RZ[0],AX63,RZ[Úroveň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GJ63" s="918">
        <f t="shared" ca="1" si="432"/>
        <v>7.4</v>
      </c>
      <c r="GK63" s="808">
        <f t="shared" si="433"/>
        <v>0</v>
      </c>
      <c r="GL63" s="808">
        <f t="shared" si="434"/>
        <v>0</v>
      </c>
      <c r="GM63" s="808">
        <f t="shared" si="435"/>
        <v>1</v>
      </c>
      <c r="GN63" s="808">
        <f t="shared" si="436"/>
        <v>0</v>
      </c>
      <c r="GO63" s="808">
        <f t="shared" si="437"/>
        <v>0</v>
      </c>
      <c r="GP63" s="808">
        <f t="shared" si="438"/>
        <v>0</v>
      </c>
      <c r="GQ63" s="808">
        <f t="shared" si="439"/>
        <v>0</v>
      </c>
      <c r="GR63" s="808">
        <f t="shared" si="440"/>
        <v>0</v>
      </c>
      <c r="GS63" s="808">
        <f t="shared" si="441"/>
        <v>0</v>
      </c>
      <c r="GT63" s="808">
        <f t="shared" si="442"/>
        <v>0</v>
      </c>
      <c r="GU63" s="809">
        <f ca="1">SUMIFS(RZ[Sloupec1],RZ[0],AX63)</f>
        <v>1</v>
      </c>
      <c r="GV63" s="809">
        <f ca="1">SUMIFS(RZ[Sloupec2],RZ[0],AX63,RZ[Úroveň 2 (P0)],AY63)</f>
        <v>1</v>
      </c>
      <c r="GW63" s="809">
        <f ca="1">SUMIFS(RZ[Sloupec3],RZ[0],AX63,RZ[Úroveň 2 (P0)],AY63,RZ[Úroveň 3 (P0)],AZ63)</f>
        <v>1</v>
      </c>
      <c r="GX63" s="809">
        <f ca="1">SUMIFS(RZ[Sloupec4],RZ[0],AX63,RZ[Úroveň 2 (P0)],AY63,RZ[Úroveň 3 (P0)],AZ63,RZ[Úroveň 4 (P0)],BA63)</f>
        <v>0</v>
      </c>
      <c r="GY63" s="809">
        <f ca="1">SUMIFS(RZ[Sloupec5],RZ[0],AX63,RZ[Úroveň 2 (P0)],AY63,RZ[Úroveň 3 (P0)],AZ63,RZ[Úroveň 4 (P0)],BA63,RZ[Úroveň 5 (P0)],BB63)</f>
        <v>0</v>
      </c>
      <c r="GZ63" s="809">
        <f ca="1">SUMIFS(RZ[Sloupec6],RZ[0],AX63,RZ[Úroveň 2 (P0)],AY63,RZ[Úroveň 3 (P0)],AZ63,RZ[Úroveň 4 (P0)],BA63,RZ[Úroveň 5 (P0)],BB63,RZ[Úroveň 6 (P0)],BC63)</f>
        <v>0</v>
      </c>
      <c r="HA63" s="809">
        <f ca="1">SUMIFS(RZ[Sloupec62],RZ[0],AX63,RZ[Úroveň 2 (P0)],AY63,RZ[Úroveň 3 (P0)],AZ63,RZ[Úroveň 4 (P0)],BA63,RZ[Úroveň 5 (P0)],BB63,RZ[Úroveň 6 (P0)],BC63,RZ[Úroveň 7 (P0)],BD63)</f>
        <v>0</v>
      </c>
      <c r="HB63" s="809">
        <f ca="1">SUMIFS(RZ[Sloupec63],RZ[0],AX63,RZ[Úroveň 2 (P0)],AY63,RZ[Úroveň 3 (P0)],AZ63,RZ[Úroveň 4 (P0)],BA63,RZ[Úroveň 5 (P0)],BB63,RZ[Úroveň 6 (P0)],BC63,RZ[Úroveň 7 (P0)],BD63,RZ[Úroveň 8 (P0)],BE63)</f>
        <v>0</v>
      </c>
      <c r="HC63" s="809">
        <f ca="1">SUMIFS(RZ[Sloupec64],RZ[0],AX63,RZ[Úroveň 2 (P0)],AY63,RZ[Úroveň 3 (P0)],AZ63,RZ[Úroveň 4 (P0)],BA63,RZ[Úroveň 5 (P0)],BB63,RZ[Úroveň 6 (P0)],BC63,RZ[Úroveň 7 (P0)],BD63,RZ[Úroveň 8 (P0)],BE63,RZ[Úroveň 9 (P0)],BF63)</f>
        <v>0</v>
      </c>
      <c r="HD63" s="809">
        <f ca="1">SUMIFS(RZ[Sloupec65],RZ[0],AX63,RZ[Úroveň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HE63" s="919">
        <f t="shared" ca="1" si="443"/>
        <v>1</v>
      </c>
      <c r="HF63" s="920" t="str">
        <f t="shared" si="444"/>
        <v/>
      </c>
      <c r="HG63" s="94" t="str">
        <f t="shared" si="445"/>
        <v/>
      </c>
      <c r="HH63" s="95" t="str">
        <f t="shared" si="446"/>
        <v/>
      </c>
      <c r="HI63" s="95" t="str">
        <f t="shared" si="447"/>
        <v>Přídržka</v>
      </c>
      <c r="HJ63" s="96" t="str">
        <f t="shared" si="448"/>
        <v/>
      </c>
      <c r="HK63" s="96" t="str">
        <f t="shared" si="449"/>
        <v/>
      </c>
      <c r="HL63" s="96" t="str">
        <f t="shared" si="450"/>
        <v/>
      </c>
      <c r="HM63" s="96" t="str">
        <f t="shared" si="451"/>
        <v/>
      </c>
      <c r="HN63" s="96" t="str">
        <f t="shared" si="452"/>
        <v/>
      </c>
      <c r="HO63" s="96" t="str">
        <f t="shared" si="453"/>
        <v/>
      </c>
      <c r="HP63" s="96" t="str">
        <f t="shared" si="454"/>
        <v/>
      </c>
      <c r="HQ63" s="145" t="str">
        <f t="shared" si="455"/>
        <v>STO3</v>
      </c>
      <c r="HR63" s="921" t="str">
        <f t="shared" si="456"/>
        <v/>
      </c>
      <c r="HS63" s="173">
        <f t="shared" si="457"/>
        <v>0</v>
      </c>
      <c r="HT63" s="100">
        <f t="shared" si="458"/>
        <v>0</v>
      </c>
      <c r="HU63" s="100">
        <f t="shared" si="459"/>
        <v>0</v>
      </c>
      <c r="HV63" s="908">
        <f t="shared" si="460"/>
        <v>0</v>
      </c>
      <c r="HW63" s="922">
        <f t="shared" si="461"/>
        <v>0</v>
      </c>
      <c r="HX63" s="224">
        <f t="shared" si="462"/>
        <v>0</v>
      </c>
      <c r="HY63" s="263" t="str">
        <f t="shared" si="463"/>
        <v>S</v>
      </c>
      <c r="HZ63" s="263">
        <f t="shared" si="464"/>
        <v>0</v>
      </c>
      <c r="IA63" s="150">
        <f t="shared" si="465"/>
        <v>1</v>
      </c>
      <c r="IB63" s="319">
        <f t="shared" si="466"/>
        <v>0</v>
      </c>
      <c r="IC63" s="923">
        <f t="shared" si="467"/>
        <v>0</v>
      </c>
      <c r="ID63" s="924" t="str">
        <f t="shared" ca="1" si="468"/>
        <v>OK</v>
      </c>
      <c r="IE63" s="201" t="str">
        <f t="shared" si="469"/>
        <v>ks</v>
      </c>
      <c r="IF63" s="145">
        <f t="shared" si="470"/>
        <v>2</v>
      </c>
      <c r="IG63" s="216">
        <f t="shared" si="471"/>
        <v>1.85</v>
      </c>
      <c r="IH63" s="217">
        <f t="shared" si="472"/>
        <v>1</v>
      </c>
      <c r="II63" s="224" t="str">
        <f ca="1">IF(RZ[[#This Row],[Rozhodný sloupec indikativní ceny]]=1,"kg",IF($IW63=$JL$15,IF(JX63=0,JO63,JX63),IF($IW63=$KE$15,IF(KQ63=0,KH63,KQ63),IF($IW63=$KX$15,IF(LJ63=0,LA63,LJ63),IF($IW63=$LQ$15,IF(MC63=0,LT63,MC63),IF($IW63=$MJ$15,IF(NQ63=0,NH63,NQ63),0))))))</f>
        <v>kg</v>
      </c>
      <c r="IJ63" s="224">
        <f ca="1">IF((BH63+OFFSET(BH63,1,1,1,1))=2,RZ[[#This Row],[Počet MJHR (P0)]],IF((BI63+OFFSET(BI63,1,1,1,1))=2,RZ[[#This Row],[Počet MJHR (P0)]],IF((BJ63+OFFSET(BJ63,1,1,1,1))=2,RZ[[#This Row],[Počet MJHR (P0)]],IF((BK63+OFFSET(BK63,1,1,1,1))=2,RZ[[#This Row],[Počet MJHR (P0)]],IF((BL63+OFFSET(BL63,1,1,1,1))=2,RZ[[#This Row],[Počet MJHR (P0)]],IF((BM63+OFFSET(BM63,1,1,1,1))=2,RZ[[#This Row],[Počet MJHR (P0)]],IF((BN63+OFFSET(BN63,1,1,1,1))=2,RZ[[#This Row],[Počet MJHR (P0)]],IF((BO63+OFFSET(BO63,1,1,1,1))=2,RZ[[#This Row],[Počet MJHR (P0)]],IF((BP63+OFFSET(BP63,1,1,1,1))=2,RZ[[#This Row],[Počet MJHR (P0)]],IF((BQ63+OFFSET(BQ63,1,1,1,1))=2,RZ[[#This Row],[Počet MJHR (P0)]],IF(RZ[[#This Row],[Měrná jednotka CR (MJCR) (P0)]]=RZ[[#This Row],[Měrná jednotka HR '[MJHR'] (P0)]],RZ[[#This Row],[Počet MJHR (P0)]],IF($IW63=$JL$15,JY63,IF($IW63=$KE$15,KR63,IF($IW63=$KX$15,LK63,IF($IW63=$LQ$15,MD63,IF($IW63=$MJ$15,NR63,0))))))))))))))))</f>
        <v>0</v>
      </c>
      <c r="IK6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63" s="145">
        <f ca="1">IF(AND(RZ[[#This Row],[Jednotková cena bez DPH '[cena/MJCR'] (P0)]]=0,RZ[[#This Row],[Indikativní jednotková cena '[CZK/kg'] (P1)]]&lt;&gt;0),1,0)</f>
        <v>1</v>
      </c>
      <c r="IM63" s="217">
        <f ca="1">VLOOKUP(RZ[[#This Row],[Kód položek]],INDIKAT_CENA,2,FALSE)</f>
        <v>85</v>
      </c>
      <c r="IN63" s="222">
        <f ca="1">IF(RZ[[#This Row],[Rozhodný sloupec indikativní ceny]]=1,RZ[[#This Row],[Indikativní jednotková cena '[CZK/kg'] (P1)]],RZ[[#This Row],[Jednotková cena bez DPH '[cena/MJCR'] (P0)]])</f>
        <v>85</v>
      </c>
      <c r="IO63" s="222">
        <f t="shared" si="473"/>
        <v>1</v>
      </c>
      <c r="IP63" s="224">
        <f ca="1">IF(RZ[[#This Row],[Rozhodný sloupec indikativní ceny]]=1,1,IF($IW63=$JL$15,KA63,IF($IW63=$KE$15,KT63,IF($IW63=$KX$15,LM63,IF($IW63=$LQ$15,MF63,IF($IW63=$MJ$15,NT63,0))))))</f>
        <v>1</v>
      </c>
      <c r="IQ63" s="225">
        <f ca="1">IF(RZ[[#This Row],[Jednotková cena bez DPH '[cena/MJCR'] (P1)]]="",0,IF(IP63=0,0,(RZ[[#This Row],[Jednotková cena bez DPH '[cena/MJCR'] (P1)]]*VLOOKUP(IP63,$BR$7:$BT$10,3))))</f>
        <v>85</v>
      </c>
      <c r="IR63" s="737"/>
      <c r="IS63" s="627">
        <f>IF(HY63=0,"",VLOOKUP(RZ[[#This Row],[Stav Projekce (P0)]],Vstupy!$E$11:'Vstupy'!$E$11:$H$17,4,FALSE))</f>
        <v>100</v>
      </c>
      <c r="IT63" s="925" t="str">
        <f>IF(RZ[[#This Row],[Stav Projekce (P0)]]=0,"",RZ[[#This Row],[Stav Projekce (P0)]])</f>
        <v>S</v>
      </c>
      <c r="IU63" s="925" t="str">
        <f>IF(RZ[[#This Row],[Stav Nákup (P0)]]=0,"",RZ[[#This Row],[Stav Nákup (P0)]])</f>
        <v/>
      </c>
      <c r="IV63" s="926" t="str">
        <f t="shared" si="474"/>
        <v/>
      </c>
      <c r="IW63" s="641">
        <v>1</v>
      </c>
      <c r="IX63" s="630"/>
      <c r="IY63" s="264"/>
      <c r="IZ63" s="648"/>
      <c r="JA63" s="100"/>
      <c r="JB63" s="100" t="s">
        <v>789</v>
      </c>
      <c r="JC63" s="100"/>
      <c r="JD63" s="100"/>
      <c r="JE63" s="100"/>
      <c r="JF63" s="100"/>
      <c r="JG63" s="100"/>
      <c r="JH63" s="100"/>
      <c r="JI63" s="100"/>
      <c r="JJ63" s="145" t="s">
        <v>784</v>
      </c>
      <c r="JK63" s="529"/>
      <c r="JL63" s="286"/>
      <c r="JM63" s="100"/>
      <c r="JN63" s="100"/>
      <c r="JO63" s="145" t="s">
        <v>35</v>
      </c>
      <c r="JP63" s="117">
        <v>2</v>
      </c>
      <c r="JQ63" s="117">
        <v>1.85</v>
      </c>
      <c r="JR63" s="148">
        <v>1</v>
      </c>
      <c r="JS63" s="145" t="s">
        <v>602</v>
      </c>
      <c r="JT63" s="631"/>
      <c r="JU63" s="148"/>
      <c r="JV63" s="154"/>
      <c r="JW63" s="145"/>
      <c r="JX63" s="210"/>
      <c r="JY63" s="117"/>
      <c r="JZ63" s="662"/>
      <c r="KA63" s="145"/>
      <c r="KB63" s="148"/>
      <c r="KC63" s="148"/>
      <c r="KD63" s="644"/>
      <c r="KE63" s="286"/>
      <c r="KF63" s="100"/>
      <c r="KG63" s="100"/>
      <c r="KH63" s="210"/>
      <c r="KI63" s="117"/>
      <c r="KJ63" s="117"/>
      <c r="KK63" s="148"/>
      <c r="KL63" s="145"/>
      <c r="KM63" s="632"/>
      <c r="KN63" s="148"/>
      <c r="KO63" s="154"/>
      <c r="KP63" s="154"/>
      <c r="KQ63" s="210"/>
      <c r="KR63" s="117"/>
      <c r="KS63" s="211"/>
      <c r="KT63" s="145"/>
      <c r="KU63" s="148"/>
      <c r="KV63" s="148"/>
      <c r="KW63" s="265"/>
      <c r="KX63" s="286"/>
      <c r="KY63" s="100"/>
      <c r="KZ63" s="100"/>
      <c r="LA63" s="210"/>
      <c r="LB63" s="117"/>
      <c r="LC63" s="117"/>
      <c r="LD63" s="148"/>
      <c r="LE63" s="145"/>
      <c r="LF63" s="632"/>
      <c r="LG63" s="148"/>
      <c r="LH63" s="154"/>
      <c r="LI63" s="154"/>
      <c r="LJ63" s="154"/>
      <c r="LK63" s="117"/>
      <c r="LL63" s="211"/>
      <c r="LM63" s="210"/>
      <c r="LN63" s="148"/>
      <c r="LO63" s="148"/>
      <c r="LP63" s="265"/>
      <c r="LQ63" s="286"/>
      <c r="LR63" s="100"/>
      <c r="LS63" s="100"/>
      <c r="LT63" s="210"/>
      <c r="LU63" s="117"/>
      <c r="LV63" s="117"/>
      <c r="LW63" s="148"/>
      <c r="LX63" s="145"/>
      <c r="LY63" s="632"/>
      <c r="LZ63" s="148"/>
      <c r="MA63" s="154"/>
      <c r="MB63" s="154"/>
      <c r="MC63" s="145"/>
      <c r="MD63" s="117"/>
      <c r="ME63" s="211"/>
      <c r="MF63" s="210"/>
      <c r="MG63" s="148"/>
      <c r="MH63" s="148"/>
      <c r="MI63" s="265"/>
      <c r="MJ63" s="647"/>
      <c r="MK63" s="264"/>
      <c r="ML63" s="153"/>
      <c r="MM63" s="153"/>
      <c r="MN63" s="153"/>
      <c r="MO63" s="153"/>
      <c r="MP63" s="153"/>
      <c r="MQ63" s="153"/>
      <c r="MR63" s="153"/>
      <c r="MS63" s="99"/>
      <c r="MT63" s="99"/>
      <c r="MU63" s="99"/>
      <c r="MV63" s="99"/>
      <c r="MW63" s="99"/>
      <c r="MX63" s="99"/>
      <c r="MY63" s="153"/>
      <c r="MZ63" s="153"/>
      <c r="NA63" s="153"/>
      <c r="NB63" s="153"/>
      <c r="NC63" s="153"/>
      <c r="ND63" s="153"/>
      <c r="NE63" s="148"/>
      <c r="NF63" s="153"/>
      <c r="NG63" s="153"/>
      <c r="NH63" s="330" t="str">
        <f t="shared" si="475"/>
        <v>ks</v>
      </c>
      <c r="NI63" s="797">
        <f>RZ[[#This Row],[Počet ks (K)]]</f>
        <v>0</v>
      </c>
      <c r="NJ63" s="798">
        <f>RZ[[#This Row],[Hmotnost '[kg/ks'] (K)]]</f>
        <v>0</v>
      </c>
      <c r="NK63" s="148"/>
      <c r="NL63" s="145"/>
      <c r="NM63" s="632"/>
      <c r="NN63" s="148"/>
      <c r="NO63" s="154"/>
      <c r="NP63" s="153"/>
      <c r="NQ63" s="153"/>
      <c r="NR63" s="210"/>
      <c r="NS63" s="148"/>
      <c r="NT63" s="210"/>
      <c r="NU63" s="148"/>
      <c r="NV63" s="148"/>
      <c r="NW63" s="175"/>
    </row>
    <row r="64" spans="2:387" ht="15.95" customHeight="1" x14ac:dyDescent="0.35">
      <c r="B64" s="118" t="str">
        <f t="shared" si="359"/>
        <v/>
      </c>
      <c r="C6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4" s="262" t="str">
        <f t="shared" si="360"/>
        <v xml:space="preserve">    Čep - průměr 110 mm</v>
      </c>
      <c r="E64" s="120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Row],[Kód položek (P2)]]))))))))))</f>
        <v>STO2</v>
      </c>
      <c r="F64" s="791" t="str">
        <f t="shared" si="361"/>
        <v>N/A</v>
      </c>
      <c r="G64" s="792" t="str">
        <f t="shared" si="362"/>
        <v/>
      </c>
      <c r="H64" s="262" t="str">
        <f t="shared" si="363"/>
        <v/>
      </c>
      <c r="I64" s="123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HR '[MJHR'] (P0)]]))))))))))</f>
        <v>ks</v>
      </c>
      <c r="J64" s="123">
        <f t="shared" si="364"/>
        <v>4</v>
      </c>
      <c r="K64" s="793">
        <f>RZ[[#This Row],[Koeficient odhadu HR '[-'] (P1)]]</f>
        <v>1</v>
      </c>
      <c r="L64" s="124">
        <f ca="1">RZ[[#This Row],[Jednotková hmotnost s koef. '[kg/MJHR'] (P0)]]</f>
        <v>37</v>
      </c>
      <c r="M64" s="794">
        <f t="shared" ca="1" si="365"/>
        <v>0</v>
      </c>
      <c r="N64" s="125">
        <f t="shared" ca="1" si="366"/>
        <v>148</v>
      </c>
      <c r="O64" s="125">
        <f t="shared" ca="1" si="367"/>
        <v>0</v>
      </c>
      <c r="P64" s="126" t="str">
        <f t="shared" si="368"/>
        <v/>
      </c>
      <c r="Q64" s="795">
        <f ca="1">RZ[[#This Row],[Počet MJHR v rozpadu (P0)]]</f>
        <v>8</v>
      </c>
      <c r="R64" s="439" t="str">
        <f t="shared" si="369"/>
        <v/>
      </c>
      <c r="S64" s="129" t="str">
        <f t="shared" si="370"/>
        <v/>
      </c>
      <c r="T64" s="126" t="str">
        <f t="shared" si="371"/>
        <v/>
      </c>
      <c r="U64" s="126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CR (MJCR) (P0)]]))))))))))</f>
        <v>kg</v>
      </c>
      <c r="V64" s="575">
        <f t="shared" ca="1" si="372"/>
        <v>148</v>
      </c>
      <c r="W64" s="322">
        <f>RZ[[#This Row],[Koeficient odhadu CR '[-'] (P1)]]</f>
        <v>1</v>
      </c>
      <c r="X64" s="440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Row],[Jednotková cena bez DPH '[cena/MJCR'] (P1)]]*RZ[[#This Row],[Koeficient odhadu CR '[-']]]))))))))))</f>
        <v>115</v>
      </c>
      <c r="Y64" s="440">
        <f t="shared" ca="1" si="373"/>
        <v>0</v>
      </c>
      <c r="Z64" s="142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VLOOKUP(IP64,$BR$7:$BS$11,2,FALSE)))))))))))</f>
        <v>CZK</v>
      </c>
      <c r="AA64" s="909">
        <f t="shared" ca="1" si="374"/>
        <v>296</v>
      </c>
      <c r="AB64" s="910">
        <f ca="1">RZ[[#This Row],[Kumulovaný koeficient v rozpadu (P0)]]</f>
        <v>1</v>
      </c>
      <c r="AC64" s="261"/>
      <c r="AD64" s="796">
        <f ca="1">RZ[[#This Row],[Jednotková cena bez DPH '[cena/MJCR'] s koef. (P0)]]/RZ[[#This Row],[Koeficient odhadu CR '[-']]]*RZ[[#This Row],[Kumulovaný koeficient odhadu CR  '[-']]]</f>
        <v>115</v>
      </c>
      <c r="AE64" s="796">
        <f t="shared" ca="1" si="375"/>
        <v>34040</v>
      </c>
      <c r="AF64" s="796">
        <f ca="1">-IF(ISNUMBER(AA64),RZ[[#This Row],[Celková cena bez DPH (1)]]-RZ[[#This Row],[Jednotková cena bez DPH '[cena/MJCR'] bez koef. (P0)]]*AA64,0)</f>
        <v>0</v>
      </c>
      <c r="AG6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4" s="261"/>
      <c r="AI64" s="796">
        <f t="shared" ca="1" si="376"/>
        <v>4.2592592592592595</v>
      </c>
      <c r="AJ64" s="796">
        <f t="shared" ca="1" si="377"/>
        <v>1260.7407407407406</v>
      </c>
      <c r="AK64" s="796">
        <f t="shared" ca="1" si="378"/>
        <v>0</v>
      </c>
      <c r="AL64" s="753">
        <f ca="1">RZ[[#This Row],[Kilogramová cena bez DPH '[cena/kg'] (1)]]/$AK$13</f>
        <v>4.2592592592592595</v>
      </c>
      <c r="AM64" s="261"/>
      <c r="AN64" s="796">
        <f t="shared" ca="1" si="379"/>
        <v>5.5555555555555554</v>
      </c>
      <c r="AO64" s="796">
        <f t="shared" ca="1" si="380"/>
        <v>1644.4444444444446</v>
      </c>
      <c r="AP64" s="796">
        <f t="shared" ca="1" si="381"/>
        <v>0</v>
      </c>
      <c r="AQ64" s="753">
        <f ca="1">RZ[[#This Row],[Kilogramová cena bez DPH '[cena/kg'] (1)]]/$AP$13</f>
        <v>5.5555555555555554</v>
      </c>
      <c r="AR64" s="261"/>
      <c r="AS64" s="796">
        <f t="shared" ca="1" si="382"/>
        <v>3.1455142231947484</v>
      </c>
      <c r="AT64" s="796">
        <f t="shared" ca="1" si="383"/>
        <v>931.07221006564544</v>
      </c>
      <c r="AU64" s="789">
        <f t="shared" ca="1" si="384"/>
        <v>0</v>
      </c>
      <c r="AV64" s="767">
        <f ca="1">RZ[[#This Row],[Kilogramová cena bez DPH '[cena/kg'] (1)]]/$AU$13</f>
        <v>3.1455142231947484</v>
      </c>
      <c r="AW64" s="165"/>
      <c r="AX64" s="911">
        <f t="shared" ca="1" si="385"/>
        <v>2</v>
      </c>
      <c r="AY64" s="111">
        <f t="shared" ca="1" si="386"/>
        <v>2</v>
      </c>
      <c r="AZ64" s="111">
        <f t="shared" ca="1" si="387"/>
        <v>9</v>
      </c>
      <c r="BA64" s="111">
        <f t="shared" ca="1" si="388"/>
        <v>0</v>
      </c>
      <c r="BB64" s="111">
        <f t="shared" ca="1" si="389"/>
        <v>0</v>
      </c>
      <c r="BC64" s="111">
        <f t="shared" ca="1" si="390"/>
        <v>0</v>
      </c>
      <c r="BD64" s="111">
        <f t="shared" ca="1" si="391"/>
        <v>0</v>
      </c>
      <c r="BE64" s="111">
        <f t="shared" ca="1" si="392"/>
        <v>0</v>
      </c>
      <c r="BF64" s="111">
        <f t="shared" ca="1" si="393"/>
        <v>0</v>
      </c>
      <c r="BG64" s="112">
        <f t="shared" ca="1" si="394"/>
        <v>0</v>
      </c>
      <c r="BH64" s="911">
        <f t="shared" si="395"/>
        <v>0</v>
      </c>
      <c r="BI64" s="111">
        <f t="shared" si="396"/>
        <v>0</v>
      </c>
      <c r="BJ64" s="111">
        <f t="shared" si="397"/>
        <v>1</v>
      </c>
      <c r="BK64" s="111">
        <f t="shared" si="398"/>
        <v>0</v>
      </c>
      <c r="BL64" s="111">
        <f t="shared" si="399"/>
        <v>0</v>
      </c>
      <c r="BM64" s="111">
        <f t="shared" si="400"/>
        <v>0</v>
      </c>
      <c r="BN64" s="111">
        <f t="shared" si="401"/>
        <v>0</v>
      </c>
      <c r="BO64" s="111">
        <f t="shared" si="402"/>
        <v>0</v>
      </c>
      <c r="BP64" s="111">
        <f t="shared" si="403"/>
        <v>0</v>
      </c>
      <c r="BQ64" s="112">
        <f t="shared" si="404"/>
        <v>0</v>
      </c>
      <c r="BR64" s="132">
        <f ca="1">IF(OFFSET(AY64,1,0,1,1)&lt;&gt;0,RZ[[#This Row],[Koeficient odhadu HR '[-'] (P1)]]*$BH64*SUMIFS(RZ[Úroveň 2 s koef. (P2)],RZ[0],AX64),RZ[[#This Row],[Koeficient odhadu HR '[-'] (P1)]]*$BH64*$IG64)</f>
        <v>0</v>
      </c>
      <c r="BS64" s="186">
        <f ca="1">IF(OFFSET(AY64,1,0,1,1)&lt;&gt;0,$BH64*SUMIFS(RZ[Úroveň 2 bez koef. (P2)],RZ[0],AX64),$BH64*$IG64)</f>
        <v>0</v>
      </c>
      <c r="BT64" s="138">
        <f ca="1">RZ[[#This Row],[Úroveň 2 s koef. (P2a)]]*RZ[[#This Row],[Počet MJHR (P0)]]</f>
        <v>0</v>
      </c>
      <c r="BU64" s="138">
        <f ca="1">RZ[[#This Row],[Úroveň 2 bez koef. (P2a)]]*RZ[[#This Row],[Počet MJHR (P0)]]</f>
        <v>0</v>
      </c>
      <c r="BV64" s="138">
        <f ca="1">IF(OFFSET(AZ64,1,0,1,1)&lt;&gt;0,RZ[[#This Row],[Koeficient odhadu HR '[-'] (P1)]]*$BI64*SUMIFS(RZ[Úroveň 3 s koef. (P2)],RZ[0],AX64,RZ[Úroveň 2 (P0)],AY64),RZ[[#This Row],[Koeficient odhadu HR '[-'] (P1)]]*$BI64*$IG64)</f>
        <v>0</v>
      </c>
      <c r="BW64" s="138">
        <f ca="1">IF(OFFSET(AZ64,1,0,1,1)&lt;&gt;0,$BI64*SUMIFS(RZ[Úroveň 3 bez koef. (P2)],RZ[0],AX64,RZ[Úroveň 2 (P0)],AY64),$BI64*$IG64)</f>
        <v>0</v>
      </c>
      <c r="BX64" s="132">
        <f ca="1">RZ[[#This Row],[Úroveň 3 s koef. (P2a)]]*RZ[[#This Row],[Počet MJHR (P0)]]</f>
        <v>148</v>
      </c>
      <c r="BY64" s="132">
        <f ca="1">RZ[Úroveň 3 bez koef. (P2a)]*RZ[[#This Row],[Počet MJHR (P0)]]</f>
        <v>148</v>
      </c>
      <c r="BZ64" s="132">
        <f ca="1">IF(OFFSET(BA64,1,0,1,1)&lt;&gt;0,RZ[[#This Row],[Koeficient odhadu HR '[-'] (P1)]]*$BJ64*SUMIFS(RZ[Úroveň 4 s koef. (P2)],RZ[0],AX64,RZ[Úroveň 2 (P0)],AY64,RZ[Úroveň 3 (P0)],AZ64),RZ[[#This Row],[Koeficient odhadu HR '[-'] (P1)]]*$BJ64*$IG64)</f>
        <v>37</v>
      </c>
      <c r="CA64" s="132">
        <f ca="1">IF(OFFSET(BA64,1,0,1,1)&lt;&gt;0,$BJ64*SUMIFS(RZ[Úroveň 4 bez koef. (P2)],RZ[0],AX64,RZ[Úroveň 2 (P0)],AY64,RZ[Úroveň 3 (P0)],AZ64),$BJ64*$IG64)</f>
        <v>37</v>
      </c>
      <c r="CB64" s="138">
        <f ca="1">RZ[[#This Row],[Úroveň 4 s koef. (P2a)]]*RZ[[#This Row],[Počet MJHR (P0)]]</f>
        <v>0</v>
      </c>
      <c r="CC64" s="138">
        <f ca="1">RZ[Úroveň 4 bez koef. (P2a)]*RZ[[#This Row],[Počet MJHR (P0)]]</f>
        <v>0</v>
      </c>
      <c r="CD64" s="138">
        <f ca="1">IF(OFFSET(BB64,1,0,1,1)&lt;&gt;0,RZ[[#This Row],[Koeficient odhadu HR '[-'] (P1)]]*$BK64*SUMIFS(RZ[Úroveň 5 s koef. (P2)],RZ[0],AX64,RZ[Úroveň 2 (P0)],AY64,RZ[Úroveň 3 (P0)],AZ64,RZ[Úroveň 4 (P0)],BA64),RZ[[#This Row],[Koeficient odhadu HR '[-'] (P1)]]*$BK64*$IG64)</f>
        <v>0</v>
      </c>
      <c r="CE64" s="138">
        <f ca="1">IF(OFFSET(BB64,1,0,1,1)&lt;&gt;0,$BK64*SUMIFS(RZ[Úroveň 5 bez koef. (P2)],RZ[0],AX64,RZ[Úroveň 2 (P0)],AY64,RZ[Úroveň 3 (P0)],AZ64,RZ[Úroveň 4 (P0)],BA64),$BK64*$IG64)</f>
        <v>0</v>
      </c>
      <c r="CF64" s="132">
        <f ca="1">RZ[[#This Row],[Úroveň 5 s koef. (P2a)]]*RZ[[#This Row],[Počet MJHR (P0)]]</f>
        <v>0</v>
      </c>
      <c r="CG64" s="132">
        <f ca="1">RZ[Úroveň 5 bez koef. (P2a)]*RZ[[#This Row],[Počet MJHR (P0)]]</f>
        <v>0</v>
      </c>
      <c r="CH64" s="132">
        <f ca="1">IF(OFFSET(BC64,1,0,1,1)&lt;&gt;0,RZ[[#This Row],[Koeficient odhadu HR '[-'] (P1)]]*$BL64*SUMIFS(RZ[Úroveň 6 s koef. (P2)],RZ[0],AX64,RZ[Úroveň 2 (P0)],AY64,RZ[Úroveň 3 (P0)],AZ64,RZ[Úroveň 4 (P0)],BA64,RZ[Úroveň 5 (P0)],BB64),RZ[[#This Row],[Koeficient odhadu HR '[-'] (P1)]]*$BL64*$IG64)</f>
        <v>0</v>
      </c>
      <c r="CI64" s="132">
        <f ca="1">IF(OFFSET(BC64,1,0,1,1)&lt;&gt;0,$BL64*SUMIFS(RZ[Úroveň 6 bez koef. (P2)],RZ[0],AX64,RZ[Úroveň 2 (P0)],AY64,RZ[Úroveň 3 (P0)],AZ64,RZ[Úroveň 4 (P0)],BA64,RZ[Úroveň 5 (P0)],BB64),$BL64*$IG64)</f>
        <v>0</v>
      </c>
      <c r="CJ64" s="138">
        <f ca="1">RZ[[#This Row],[Úroveň 6 s koef. (P2a)]]*RZ[[#This Row],[Počet MJHR (P0)]]</f>
        <v>0</v>
      </c>
      <c r="CK64" s="138">
        <f ca="1">RZ[Úroveň 6 bez koef. (P2a)]*RZ[[#This Row],[Počet MJHR (P0)]]</f>
        <v>0</v>
      </c>
      <c r="CL64" s="138">
        <f ca="1">IF(OFFSET(BD64,1,0,1,1)&lt;&gt;0,RZ[[#This Row],[Koeficient odhadu HR '[-'] (P1)]]*$BM64*SUMIFS(RZ[Úroveň 7 s koef. (P2)],RZ[0],AX64,RZ[Úroveň 2 (P0)],AY64,RZ[Úroveň 3 (P0)],AZ64,RZ[Úroveň 4 (P0)],BA64,RZ[Úroveň 5 (P0)],BB64,RZ[Úroveň 6 (P0)],BC64),RZ[[#This Row],[Koeficient odhadu HR '[-'] (P1)]]*$BM64*$IG64)</f>
        <v>0</v>
      </c>
      <c r="CM64" s="138">
        <f ca="1">IF(OFFSET(BD64,1,0,1,1)&lt;&gt;0,$BM64*SUMIFS(RZ[Úroveň 7 bez koef. (P2)],RZ[0],AX64,RZ[Úroveň 2 (P0)],AY64,RZ[Úroveň 3 (P0)],AZ64,RZ[Úroveň 4 (P0)],BA64,RZ[Úroveň 5 (P0)],BB64,RZ[Úroveň 6 (P0)],BC64),$BM64*$IG64)</f>
        <v>0</v>
      </c>
      <c r="CN64" s="132">
        <f ca="1">RZ[[#This Row],[Úroveň 7 s koef. (P2a)]]*RZ[[#This Row],[Počet MJHR (P0)]]</f>
        <v>0</v>
      </c>
      <c r="CO64" s="132">
        <f ca="1">RZ[Úroveň 7 bez koef. (P2a)]*RZ[[#This Row],[Počet MJHR (P0)]]</f>
        <v>0</v>
      </c>
      <c r="CP64" s="132">
        <f ca="1">IF(OFFSET(BE64,1,0,1,1)&lt;&gt;0,RZ[[#This Row],[Koeficient odhadu HR '[-'] (P1)]]*$BN64*SUMIFS(RZ[Úroveň 8 s koef. (P2)],RZ[0],AX64,RZ[Úroveň 2 (P0)],AY64,RZ[Úroveň 3 (P0)],AZ64,RZ[Úroveň 4 (P0)],BA64,RZ[Úroveň 5 (P0)],BB64,RZ[Úroveň 6 (P0)],BC64,RZ[Úroveň 7 (P0)],BD64),RZ[[#This Row],[Koeficient odhadu HR '[-'] (P1)]]*$BN64*$IG64)</f>
        <v>0</v>
      </c>
      <c r="CQ64" s="132">
        <f ca="1">IF(OFFSET(BE64,1,0,1,1)&lt;&gt;0,$BN64*SUMIFS(RZ[Úroveň 8 bez koef. (P2)],RZ[0],AX64,RZ[Úroveň 2 (P0)],AY64,RZ[Úroveň 3 (P0)],AZ64,RZ[Úroveň 4 (P0)],BA64,RZ[Úroveň 5 (P0)],BB64,RZ[Úroveň 6 (P0)],BC64,RZ[Úroveň 7 (P0)],BD64),$BN64*$IG64)</f>
        <v>0</v>
      </c>
      <c r="CR64" s="138">
        <f ca="1">RZ[[#This Row],[Úroveň 8 s koef. (P2a)]]*RZ[[#This Row],[Počet MJHR (P0)]]</f>
        <v>0</v>
      </c>
      <c r="CS64" s="138">
        <f ca="1">RZ[Úroveň 8 bez koef. (P2a)]*RZ[[#This Row],[Počet MJHR (P0)]]</f>
        <v>0</v>
      </c>
      <c r="CT64" s="138">
        <f ca="1">IF(OFFSET(BF64,1,0,1,1)&lt;&gt;0,RZ[[#This Row],[Koeficient odhadu HR '[-'] (P1)]]*$BO64*SUMIFS(RZ[Úroveň 9 s koef. (P2)],RZ[0],AX64,RZ[Úroveň 2 (P0)],AY64,RZ[Úroveň 3 (P0)],AZ64,RZ[Úroveň 4 (P0)],BA64,RZ[Úroveň 5 (P0)],BB64,RZ[Úroveň 6 (P0)],BC64,RZ[Úroveň 7 (P0)],BD64,RZ[Úroveň 8 (P0)],BE64),RZ[[#This Row],[Koeficient odhadu HR '[-'] (P1)]]*$BO64*$IG64)</f>
        <v>0</v>
      </c>
      <c r="CU64" s="138">
        <f ca="1">IF(OFFSET(BF64,1,0,1,1)&lt;&gt;0,$BO64*SUMIFS(RZ[Úroveň 9 bez koef. (P2)],RZ[0],AX64,RZ[Úroveň 2 (P0)],AY64,RZ[Úroveň 3 (P0)],AZ64,RZ[Úroveň 4 (P0)],BA64,RZ[Úroveň 5 (P0)],BB64,RZ[Úroveň 6 (P0)],BC64,RZ[Úroveň 7 (P0)],BD64,RZ[Úroveň 8 (P0)],BE64),$BO64*$IG64)</f>
        <v>0</v>
      </c>
      <c r="CV64" s="132">
        <f ca="1">RZ[[#This Row],[Úroveň 9 s koef. (P2a)]]*RZ[[#This Row],[Počet MJHR (P0)]]</f>
        <v>0</v>
      </c>
      <c r="CW64" s="132">
        <f ca="1">RZ[Úroveň 9 bez koef. (P2a)]*RZ[[#This Row],[Počet MJHR (P0)]]</f>
        <v>0</v>
      </c>
      <c r="CX64" s="132">
        <f ca="1">IF(OFFSET(BG64,1,0,1,1)&lt;&gt;0,RZ[[#This Row],[Koeficient odhadu HR '[-'] (P1)]]*$BP64*SUMIFS(RZ[Úroveň 10 s koef. (P2)],RZ[0],AX64,RZ[Úroveň 2 (P0)],AY64,RZ[Úroveň 3 (P0)],AZ64,RZ[Úroveň 4 (P0)],BA64,RZ[Úroveň 5 (P0)],BB64,RZ[Úroveň 6 (P0)],BC64,RZ[Úroveň 7 (P0)],BD64,RZ[Úroveň 8 (P0)],BE64,RZ[Úroveň 9 (P0)],BF64),RZ[[#This Row],[Koeficient odhadu HR '[-'] (P1)]]*$BP64*$IG64)</f>
        <v>0</v>
      </c>
      <c r="CY64" s="132">
        <f ca="1">IF(OFFSET(BG64,1,0,1,1)&lt;&gt;0,$BP64*SUMIFS(RZ[Úroveň 10 bez koef. (P2)],RZ[0],AX64,RZ[Úroveň 2 (P0)],AY64,RZ[Úroveň 3 (P0)],AZ64,RZ[Úroveň 4 (P0)],BA64,RZ[Úroveň 5 (P0)],BB64,RZ[Úroveň 6 (P0)],BC64,RZ[Úroveň 7 (P0)],BD64,RZ[Úroveň 8 (P0)],BE64,RZ[Úroveň 9 (P0)],BF64),$BP64*$IG64)</f>
        <v>0</v>
      </c>
      <c r="CZ64" s="138">
        <f>RZ[[#This Row],[Úroveň 10 s koef. (P2a)]]*RZ[[#This Row],[Počet MJHR (P0)]]</f>
        <v>0</v>
      </c>
      <c r="DA64" s="138">
        <f>RZ[Úroveň 10 bez koef. (P2a)]*RZ[[#This Row],[Počet MJHR (P0)]]</f>
        <v>0</v>
      </c>
      <c r="DB64" s="138">
        <f>RZ[[#This Row],[Koeficient odhadu HR '[-'] (P1)]]*$BQ64*IG64</f>
        <v>0</v>
      </c>
      <c r="DC64" s="231">
        <f t="shared" si="405"/>
        <v>0</v>
      </c>
      <c r="DD64" s="241">
        <f t="shared" ca="1" si="406"/>
        <v>37</v>
      </c>
      <c r="DE64" s="229">
        <f t="shared" ca="1" si="407"/>
        <v>37</v>
      </c>
      <c r="DF64" s="912">
        <f t="shared" si="408"/>
        <v>0</v>
      </c>
      <c r="DG64" s="913">
        <f t="shared" si="409"/>
        <v>0</v>
      </c>
      <c r="DH64" s="913">
        <f t="shared" si="410"/>
        <v>4</v>
      </c>
      <c r="DI64" s="913">
        <f t="shared" si="411"/>
        <v>0</v>
      </c>
      <c r="DJ64" s="913">
        <f t="shared" si="412"/>
        <v>0</v>
      </c>
      <c r="DK64" s="913">
        <f t="shared" si="413"/>
        <v>0</v>
      </c>
      <c r="DL64" s="913">
        <f t="shared" si="414"/>
        <v>0</v>
      </c>
      <c r="DM64" s="913">
        <f t="shared" si="415"/>
        <v>0</v>
      </c>
      <c r="DN64" s="913">
        <f t="shared" si="416"/>
        <v>0</v>
      </c>
      <c r="DO64" s="913">
        <f t="shared" si="417"/>
        <v>0</v>
      </c>
      <c r="DP64" s="914">
        <f ca="1">SUMIFS(RZ[Úroveň 1 (P4)],RZ[0],AX64)</f>
        <v>1</v>
      </c>
      <c r="DQ64" s="914">
        <f ca="1">SUMIFS(RZ[Úroveň 2 (P4)],RZ[0],AX64,RZ[Úroveň 2 (P0)],AY64)</f>
        <v>2</v>
      </c>
      <c r="DR64" s="914">
        <f ca="1">SUMIFS(RZ[Úroveň 3 (P4)],RZ[0],AX64,RZ[Úroveň 2 (P0)],AY64,RZ[Úroveň 3 (P0)],AZ64)</f>
        <v>4</v>
      </c>
      <c r="DS64" s="914">
        <f ca="1">SUMIFS(RZ[Úroveň 4 (P4)],RZ[0],AX64,RZ[Úroveň 2 (P0)],AY64,RZ[Úroveň 3 (P0)],AZ64,RZ[Úroveň 4 (P0)],BA64)</f>
        <v>0</v>
      </c>
      <c r="DT64" s="914">
        <f ca="1">SUMIFS(RZ[Úroveň 5 (P4)],RZ[0],AX64,RZ[Úroveň 2 (P0)],AY64,RZ[Úroveň 3 (P0)],AZ64,RZ[Úroveň 4 (P0)],BA64,RZ[Úroveň 5 (P0)],BB64)</f>
        <v>0</v>
      </c>
      <c r="DU64" s="914">
        <f ca="1">SUMIFS(RZ[Úroveň 6 (P4)],RZ[0],AX64,RZ[Úroveň 2 (P0)],AY64,RZ[Úroveň 3 (P0)],AZ64,RZ[Úroveň 4 (P0)],BA64,RZ[Úroveň 5 (P0)],BB64,RZ[Úroveň 6 (P0)],BC64)</f>
        <v>0</v>
      </c>
      <c r="DV64" s="914">
        <f ca="1">SUMIFS(RZ[Úroveň 7 (P4)],RZ[0],AX64,RZ[Úroveň 2 (P0)],AY64,RZ[Úroveň 3 (P0)],AZ64,RZ[Úroveň 4 (P0)],BA64,RZ[Úroveň 5 (P0)],BB64,RZ[Úroveň 6 (P0)],BC64,RZ[Úroveň 7 (P0)],BD64)</f>
        <v>0</v>
      </c>
      <c r="DW64" s="914">
        <f ca="1">SUMIFS(RZ[Úroveň 8 (P4)],RZ[0],AX64,RZ[Úroveň 2 (P0)],AY64,RZ[Úroveň 3 (P0)],AZ64,RZ[Úroveň 4 (P0)],BA64,RZ[Úroveň 5 (P0)],BB64,RZ[Úroveň 6 (P0)],BC64,RZ[Úroveň 7 (P0)],BD64,RZ[Úroveň 8 (P0)],BE64)</f>
        <v>0</v>
      </c>
      <c r="DX64" s="914">
        <f ca="1">SUMIFS(RZ[Úroveň 9 (P4)],RZ[0],AX64,RZ[Úroveň 2 (P0)],AY64,RZ[Úroveň 3 (P0)],AZ64,RZ[Úroveň 4 (P0)],BA64,RZ[Úroveň 5 (P0)],BB64,RZ[Úroveň 6 (P0)],BC64,RZ[Úroveň 7 (P0)],BD64,RZ[Úroveň 8 (P0)],BE64,RZ[Úroveň 9 (P0)],BF64)</f>
        <v>0</v>
      </c>
      <c r="DY64" s="914">
        <f ca="1">SUMIFS(RZ[Úroveň 10 (P4)],RZ[0],AX64,RZ[Úroveň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DZ64" s="915">
        <f t="shared" ca="1" si="418"/>
        <v>8</v>
      </c>
      <c r="EA64" s="916">
        <f ca="1">RZ[[#This Row],[Jednotková hmotnost bez koef. '[kg/MJHR'] (P0)]]*RZ[[#This Row],[Počet MJHR v rozpadu (P0)]]</f>
        <v>296</v>
      </c>
      <c r="EB64" s="917">
        <f ca="1">IF(OFFSET(AY64,1,0,1,1)&lt;&gt;0,RZ[[#This Row],[Koeficient odhadu CR '[-'] (P1)]]*$BH64*SUMIFS(RZ[Úroveň 2 s koef. (P3)],RZ[0],AX64),RZ[[#This Row],[Koeficient odhadu CR '[-'] (P1)]]*$BH64*$IQ64)</f>
        <v>0</v>
      </c>
      <c r="EC64" s="191">
        <f ca="1">IF(OFFSET(AY64,1,0,1,1)&lt;&gt;0,$BH64*SUMIFS(RZ[Úroveň 2 bez koef. (P3)],RZ[0],AX64),$BH64*$IQ64)</f>
        <v>0</v>
      </c>
      <c r="ED64" s="140">
        <f ca="1">RZ[[#This Row],[Úroveň 2 s koef. (P3a)]]*RZ[[#This Row],[Počet MJCR (P0) pro "kg"]]</f>
        <v>0</v>
      </c>
      <c r="EE64" s="140">
        <f ca="1">RZ[Úroveň 2 bez koef. (P3a)]*RZ[[#This Row],[Počet MJCR (P0) pro "kg"]]</f>
        <v>0</v>
      </c>
      <c r="EF64" s="140">
        <f ca="1">IF(OFFSET(AZ64,1,0,1,1)&lt;&gt;0,RZ[[#This Row],[Koeficient odhadu CR '[-'] (P1)]]*$BI64*SUMIFS(RZ[Úroveň 3 s koef. (P3)],RZ[0],AX64,RZ[Úroveň 2 (P0)],AY64),RZ[[#This Row],[Koeficient odhadu CR '[-'] (P1)]]*$BI64*$IQ64)</f>
        <v>0</v>
      </c>
      <c r="EG64" s="140">
        <f ca="1">IF(OFFSET(AZ64,1,0,1,1)&lt;&gt;0,$BI64*SUMIFS(RZ[Úroveň 3 bez koef. (P3)],RZ[0],AX64,RZ[Úroveň 2 (P0)],AY64),$BI64*$IQ64)</f>
        <v>0</v>
      </c>
      <c r="EH64" s="135">
        <f ca="1">RZ[[#This Row],[Úroveň 3 s koef. (P3a)]]*RZ[[#This Row],[Počet MJCR (P0) pro "kg"]]</f>
        <v>17020</v>
      </c>
      <c r="EI64" s="135">
        <f ca="1">RZ[Úroveň 3 bez koef. (P3a)]*RZ[[#This Row],[Počet MJCR (P0) pro "kg"]]</f>
        <v>17020</v>
      </c>
      <c r="EJ64" s="135">
        <f ca="1">IF(OFFSET(BA64,1,0,1,1)&lt;&gt;0,RZ[[#This Row],[Koeficient odhadu CR '[-'] (P1)]]*$BJ64*SUMIFS(RZ[Úroveň 4 s koef. (P3)],RZ[0],AX64,RZ[Úroveň 2 (P0)],AY64,RZ[Úroveň 3 (P0)],AZ64),RZ[[#This Row],[Koeficient odhadu CR '[-'] (P1)]]*$BJ64*$IQ64)</f>
        <v>115</v>
      </c>
      <c r="EK64" s="135">
        <f ca="1">IF(OFFSET(BA64,1,0,1,1)&lt;&gt;0,$BJ64*SUMIFS(RZ[Úroveň 4 bez koef. (P3)],RZ[0],AX64,RZ[Úroveň 2 (P0)],AY64,RZ[Úroveň 3 (P0)],AZ64),$BJ64*$IQ64)</f>
        <v>115</v>
      </c>
      <c r="EL64" s="140">
        <f ca="1">RZ[[#This Row],[Úroveň 4 s koef. (P3a)]]*RZ[[#This Row],[Počet MJCR (P0) pro "kg"]]</f>
        <v>0</v>
      </c>
      <c r="EM64" s="140">
        <f ca="1">RZ[Úroveň 4 bez koef. (P3a)]*RZ[[#This Row],[Počet MJCR (P0) pro "kg"]]</f>
        <v>0</v>
      </c>
      <c r="EN64" s="140">
        <f ca="1">IF(OFFSET(BB64,1,0,1,1)&lt;&gt;0,RZ[[#This Row],[Koeficient odhadu CR '[-'] (P1)]]*$BK64*SUMIFS(RZ[Úroveň 5 s koef. (P3)],RZ[0],AX64,RZ[Úroveň 2 (P0)],AY64,RZ[Úroveň 3 (P0)],AZ64,RZ[Úroveň 4 (P0)],BA64),RZ[[#This Row],[Koeficient odhadu CR '[-'] (P1)]]*$BK64*$IQ64)</f>
        <v>0</v>
      </c>
      <c r="EO64" s="140">
        <f ca="1">IF(OFFSET(BB64,1,0,1,1)&lt;&gt;0,$BK64*SUMIFS(RZ[Úroveň 5 bez koef. (P3)],RZ[0],AX64,RZ[Úroveň 2 (P0)],AY64,RZ[Úroveň 3 (P0)],AZ64,RZ[Úroveň 4 (P0)],BA64),$BK64*$IQ64)</f>
        <v>0</v>
      </c>
      <c r="EP64" s="135">
        <f ca="1">RZ[[#This Row],[Úroveň 5 s koef. (P3a)]]*RZ[[#This Row],[Počet MJCR (P0) pro "kg"]]</f>
        <v>0</v>
      </c>
      <c r="EQ64" s="135">
        <f ca="1">RZ[Úroveň 5 bez koef. (P3a)]*RZ[[#This Row],[Počet MJCR (P0) pro "kg"]]</f>
        <v>0</v>
      </c>
      <c r="ER64" s="135">
        <f ca="1">IF(OFFSET(BC64,1,0,1,1)&lt;&gt;0,RZ[[#This Row],[Koeficient odhadu CR '[-'] (P1)]]*$BL64*SUMIFS(RZ[Úroveň 6 s koef. (P3)],RZ[0],AX64,RZ[Úroveň 2 (P0)],AY64,RZ[Úroveň 3 (P0)],AZ64,RZ[Úroveň 4 (P0)],BA64,RZ[Úroveň 5 (P0)],BB64),RZ[[#This Row],[Koeficient odhadu CR '[-'] (P1)]]*$BL64*$IQ64)</f>
        <v>0</v>
      </c>
      <c r="ES64" s="135">
        <f ca="1">IF(OFFSET(BC64,1,0,1,1)&lt;&gt;0,$BL64*SUMIFS(RZ[Úroveň 6 bez koef. (P3)],RZ[0],AX64,RZ[Úroveň 2 (P0)],AY64,RZ[Úroveň 3 (P0)],AZ64,RZ[Úroveň 4 (P0)],BA64,RZ[Úroveň 5 (P0)],BB64),$BL64*$IQ64)</f>
        <v>0</v>
      </c>
      <c r="ET64" s="140">
        <f ca="1">RZ[[#This Row],[Úroveň 6 s koef. (P3a)]]*RZ[[#This Row],[Počet MJCR (P0) pro "kg"]]</f>
        <v>0</v>
      </c>
      <c r="EU64" s="140">
        <f ca="1">RZ[Úroveň 6 bez koef. (P3a)]*RZ[[#This Row],[Počet MJCR (P0) pro "kg"]]</f>
        <v>0</v>
      </c>
      <c r="EV64" s="140">
        <f ca="1">IF(OFFSET(BD64,1,0,1,1)&lt;&gt;0,RZ[[#This Row],[Koeficient odhadu CR '[-'] (P1)]]*$BM64*SUMIFS(RZ[Úroveň 7 s koef. (P3)],RZ[0],AX64,RZ[Úroveň 2 (P0)],AY64,RZ[Úroveň 3 (P0)],AZ64,RZ[Úroveň 4 (P0)],BA64,RZ[Úroveň 5 (P0)],BB64,RZ[Úroveň 6 (P0)],BC64),RZ[[#This Row],[Koeficient odhadu CR '[-'] (P1)]]*$BM64*$IQ64)</f>
        <v>0</v>
      </c>
      <c r="EW64" s="140">
        <f ca="1">IF(OFFSET(BD64,1,0,1,1)&lt;&gt;0,$BM64*SUMIFS(RZ[Úroveň 7 bez koef. (P3)],RZ[0],AX64,RZ[Úroveň 2 (P0)],AY64,RZ[Úroveň 3 (P0)],AZ64,RZ[Úroveň 4 (P0)],BA64,RZ[Úroveň 5 (P0)],BB64,RZ[Úroveň 6 (P0)],BC64),$BM64*$IQ64)</f>
        <v>0</v>
      </c>
      <c r="EX64" s="135">
        <f ca="1">RZ[[#This Row],[Úroveň 7 s koef. (P3a)]]*RZ[[#This Row],[Počet MJCR (P0) pro "kg"]]</f>
        <v>0</v>
      </c>
      <c r="EY64" s="135">
        <f ca="1">RZ[Úroveň 7 bez koef. (P3a)]*RZ[[#This Row],[Počet MJCR (P0) pro "kg"]]</f>
        <v>0</v>
      </c>
      <c r="EZ64" s="135">
        <f ca="1">IF(OFFSET(BE64,1,0,1,1)&lt;&gt;0,RZ[[#This Row],[Koeficient odhadu CR '[-'] (P1)]]*$BN64*SUMIFS(RZ[Úroveň 8 s koef. (P3)],RZ[0],AX64,RZ[Úroveň 2 (P0)],AY64,RZ[Úroveň 3 (P0)],AZ64,RZ[Úroveň 4 (P0)],BA64,RZ[Úroveň 5 (P0)],BB64,RZ[Úroveň 6 (P0)],BC64,RZ[Úroveň 7 (P0)],BD64),RZ[[#This Row],[Koeficient odhadu CR '[-'] (P1)]]*$BN64*$IQ64)</f>
        <v>0</v>
      </c>
      <c r="FA64" s="135">
        <f ca="1">IF(OFFSET(BE64,1,0,1,1)&lt;&gt;0,$BN64*SUMIFS(RZ[Úroveň 8 bez koef. (P3)],RZ[0],AX64,RZ[Úroveň 2 (P0)],AY64,RZ[Úroveň 3 (P0)],AZ64,RZ[Úroveň 4 (P0)],BA64,RZ[Úroveň 5 (P0)],BB64,RZ[Úroveň 6 (P0)],BC64,RZ[Úroveň 7 (P0)],BD64),$BN64*$IQ64)</f>
        <v>0</v>
      </c>
      <c r="FB64" s="140">
        <f ca="1">RZ[[#This Row],[Úroveň 8 s koef. (P3a)]]*RZ[[#This Row],[Počet MJCR (P0) pro "kg"]]</f>
        <v>0</v>
      </c>
      <c r="FC64" s="140">
        <f ca="1">RZ[Úroveň 8 bez koef. (P3a)]*RZ[[#This Row],[Počet MJCR (P0) pro "kg"]]</f>
        <v>0</v>
      </c>
      <c r="FD64" s="140">
        <f ca="1">IF(OFFSET(BF64,1,0,1,1)&lt;&gt;0,RZ[[#This Row],[Koeficient odhadu CR '[-'] (P1)]]*$BO64*SUMIFS(RZ[Úroveň 9 s koef. (P3)],RZ[0],AX64,RZ[Úroveň 2 (P0)],AY64,RZ[Úroveň 3 (P0)],AZ64,RZ[Úroveň 4 (P0)],BA64,RZ[Úroveň 5 (P0)],BB64,RZ[Úroveň 6 (P0)],BC64,RZ[Úroveň 7 (P0)],BD64,RZ[Úroveň 8 (P0)],BE64),RZ[[#This Row],[Koeficient odhadu CR '[-'] (P1)]]*$BO64*$IQ64)</f>
        <v>0</v>
      </c>
      <c r="FE64" s="140">
        <f ca="1">IF(OFFSET(BF64,1,0,1,1)&lt;&gt;0,$BO64*SUMIFS(RZ[Úroveň 9 bez koef. (P3)],RZ[0],AX64,RZ[Úroveň 2 (P0)],AY64,RZ[Úroveň 3 (P0)],AZ64,RZ[Úroveň 4 (P0)],BA64,RZ[Úroveň 5 (P0)],BB64,RZ[Úroveň 6 (P0)],BC64,RZ[Úroveň 7 (P0)],BD64,RZ[Úroveň 8 (P0)],BE64),$BO64*$IQ64)</f>
        <v>0</v>
      </c>
      <c r="FF64" s="135">
        <f ca="1">RZ[[#This Row],[Úroveň 9 s koef. (P3a)]]*RZ[[#This Row],[Počet MJCR (P0) pro "kg"]]</f>
        <v>0</v>
      </c>
      <c r="FG64" s="135">
        <f ca="1">RZ[Úroveň 9 bez koef. (P3a)]*RZ[[#This Row],[Počet MJCR (P0) pro "kg"]]</f>
        <v>0</v>
      </c>
      <c r="FH64" s="135">
        <f ca="1">IF(OFFSET(BG64,1,0,1,1)&lt;&gt;0,RZ[[#This Row],[Koeficient odhadu CR '[-'] (P1)]]*$BP64*SUMIFS(RZ[Úroveň 10 s koef. (P3)],RZ[0],AX64,RZ[Úroveň 2 (P0)],AY64,RZ[Úroveň 3 (P0)],AZ64,RZ[Úroveň 4 (P0)],BA64,RZ[Úroveň 5 (P0)],BB64,RZ[Úroveň 6 (P0)],BC64,RZ[Úroveň 7 (P0)],BD64,RZ[Úroveň 8 (P0)],BE64,RZ[Úroveň 9 (P0)],BF64),RZ[[#This Row],[Koeficient odhadu CR '[-'] (P1)]]*$BP64*$IQ64)</f>
        <v>0</v>
      </c>
      <c r="FI64" s="135">
        <f ca="1">IF(OFFSET(BG64,1,0,1,1)&lt;&gt;0,$BP64*SUMIFS(RZ[Úroveň 10 bez koef. (P3)],RZ[0],AX64,RZ[Úroveň 2 (P0)],AY64,RZ[Úroveň 3 (P0)],AZ64,RZ[Úroveň 4 (P0)],BA64,RZ[Úroveň 5 (P0)],BB64,RZ[Úroveň 6 (P0)],BC64,RZ[Úroveň 7 (P0)],BD64,RZ[Úroveň 8 (P0)],BE64,RZ[Úroveň 9 (P0)],BF64),$BP64*$IQ64)</f>
        <v>0</v>
      </c>
      <c r="FJ64" s="140">
        <f ca="1">RZ[[#This Row],[Úroveň 10 s koef. (P3a)]]*RZ[[#This Row],[Počet MJCR (P0) pro "kg"]]</f>
        <v>0</v>
      </c>
      <c r="FK64" s="140">
        <f ca="1">RZ[Úroveň 10 bez koef. (P3a)]*RZ[[#This Row],[Počet MJCR (P0) pro "kg"]]</f>
        <v>0</v>
      </c>
      <c r="FL64" s="140">
        <f ca="1">RZ[[#This Row],[Koeficient odhadu CR '[-'] (P1)]]*$BQ64*IQ64</f>
        <v>0</v>
      </c>
      <c r="FM64" s="236">
        <f t="shared" ca="1" si="419"/>
        <v>0</v>
      </c>
      <c r="FN64" s="194">
        <f t="shared" ca="1" si="420"/>
        <v>115</v>
      </c>
      <c r="FO64" s="238">
        <f t="shared" ca="1" si="421"/>
        <v>115</v>
      </c>
      <c r="FP64" s="135">
        <f t="shared" ca="1" si="422"/>
        <v>0</v>
      </c>
      <c r="FQ64" s="135">
        <f t="shared" ca="1" si="423"/>
        <v>0</v>
      </c>
      <c r="FR64" s="135">
        <f t="shared" ca="1" si="424"/>
        <v>148</v>
      </c>
      <c r="FS64" s="135">
        <f t="shared" ca="1" si="425"/>
        <v>0</v>
      </c>
      <c r="FT64" s="135">
        <f t="shared" ca="1" si="426"/>
        <v>0</v>
      </c>
      <c r="FU64" s="135">
        <f t="shared" ca="1" si="427"/>
        <v>0</v>
      </c>
      <c r="FV64" s="135">
        <f t="shared" ca="1" si="428"/>
        <v>0</v>
      </c>
      <c r="FW64" s="135">
        <f t="shared" ca="1" si="429"/>
        <v>0</v>
      </c>
      <c r="FX64" s="135">
        <f t="shared" ca="1" si="430"/>
        <v>0</v>
      </c>
      <c r="FY64" s="135">
        <f t="shared" ca="1" si="431"/>
        <v>0</v>
      </c>
      <c r="FZ64" s="140">
        <f ca="1">SUMIFS(RZ[Úroveň 1 (P6)],RZ[0],AX64)</f>
        <v>1</v>
      </c>
      <c r="GA64" s="140">
        <f ca="1">SUMIFS(RZ[Úroveň 2 (P6)],RZ[0],AX64,RZ[Úroveň 2 (P0)],AY64)</f>
        <v>2</v>
      </c>
      <c r="GB64" s="140">
        <f ca="1">SUMIFS(RZ[Úroveň 3 (P6)],RZ[0],AX64,RZ[Úroveň 2 (P0)],AY64,RZ[Úroveň 3 (P0)],AZ64)</f>
        <v>148</v>
      </c>
      <c r="GC64" s="140">
        <f ca="1">SUMIFS(RZ[Úroveň 4 (P6)],RZ[0],AX64,RZ[Úroveň 2 (P0)],AY64,RZ[Úroveň 3 (P0)],AZ64,RZ[Úroveň 4 (P0)],BA64)</f>
        <v>0</v>
      </c>
      <c r="GD64" s="140">
        <f ca="1">SUMIFS(RZ[Úroveň 5 (P6)],RZ[0],AX64,RZ[Úroveň 2 (P0)],AY64,RZ[Úroveň 3 (P0)],AZ64,RZ[Úroveň 4 (P0)],BA64,RZ[Úroveň 5 (P0)],BB64)</f>
        <v>0</v>
      </c>
      <c r="GE64" s="140">
        <f ca="1">SUMIFS(RZ[Úroveň 6 (P6)],RZ[0],AX64,RZ[Úroveň 2 (P0)],AY64,RZ[Úroveň 3 (P0)],AZ64,RZ[Úroveň 4 (P0)],BA64,RZ[Úroveň 5 (P0)],BB64,RZ[Úroveň 6 (P0)],BC64)</f>
        <v>0</v>
      </c>
      <c r="GF64" s="140">
        <f ca="1">SUMIFS(RZ[Úroveň 7 (P6)],RZ[0],AX64,RZ[Úroveň 2 (P0)],AY64,RZ[Úroveň 3 (P0)],AZ64,RZ[Úroveň 4 (P0)],BA64,RZ[Úroveň 5 (P0)],BB64,RZ[Úroveň 6 (P0)],BC64,RZ[Úroveň 7 (P0)],BD64)</f>
        <v>0</v>
      </c>
      <c r="GG64" s="140">
        <f ca="1">SUMIFS(RZ[Úroveň 8 (P6)],RZ[0],AX64,RZ[Úroveň 2 (P0)],AY64,RZ[Úroveň 3 (P0)],AZ64,RZ[Úroveň 4 (P0)],BA64,RZ[Úroveň 5 (P0)],BB64,RZ[Úroveň 6 (P0)],BC64,RZ[Úroveň 7 (P0)],BD64,RZ[Úroveň 8 (P0)],BE64)</f>
        <v>0</v>
      </c>
      <c r="GH64" s="140">
        <f ca="1">SUMIFS(RZ[Úroveň 9 (P6)],RZ[0],AX64,RZ[Úroveň 2 (P0)],AY64,RZ[Úroveň 3 (P0)],AZ64,RZ[Úroveň 4 (P0)],BA64,RZ[Úroveň 5 (P0)],BB64,RZ[Úroveň 6 (P0)],BC64,RZ[Úroveň 7 (P0)],BD64,RZ[Úroveň 8 (P0)],BE64,RZ[Úroveň 9 (P0)],BF64)</f>
        <v>0</v>
      </c>
      <c r="GI64" s="140">
        <f ca="1">SUMIFS(RZ[Úroveň 10 (P6)],RZ[0],AX64,RZ[Úroveň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GJ64" s="918">
        <f t="shared" ca="1" si="432"/>
        <v>296</v>
      </c>
      <c r="GK64" s="808">
        <f t="shared" si="433"/>
        <v>0</v>
      </c>
      <c r="GL64" s="808">
        <f t="shared" si="434"/>
        <v>0</v>
      </c>
      <c r="GM64" s="808">
        <f t="shared" si="435"/>
        <v>1</v>
      </c>
      <c r="GN64" s="808">
        <f t="shared" si="436"/>
        <v>0</v>
      </c>
      <c r="GO64" s="808">
        <f t="shared" si="437"/>
        <v>0</v>
      </c>
      <c r="GP64" s="808">
        <f t="shared" si="438"/>
        <v>0</v>
      </c>
      <c r="GQ64" s="808">
        <f t="shared" si="439"/>
        <v>0</v>
      </c>
      <c r="GR64" s="808">
        <f t="shared" si="440"/>
        <v>0</v>
      </c>
      <c r="GS64" s="808">
        <f t="shared" si="441"/>
        <v>0</v>
      </c>
      <c r="GT64" s="808">
        <f t="shared" si="442"/>
        <v>0</v>
      </c>
      <c r="GU64" s="809">
        <f ca="1">SUMIFS(RZ[Sloupec1],RZ[0],AX64)</f>
        <v>1</v>
      </c>
      <c r="GV64" s="809">
        <f ca="1">SUMIFS(RZ[Sloupec2],RZ[0],AX64,RZ[Úroveň 2 (P0)],AY64)</f>
        <v>1</v>
      </c>
      <c r="GW64" s="809">
        <f ca="1">SUMIFS(RZ[Sloupec3],RZ[0],AX64,RZ[Úroveň 2 (P0)],AY64,RZ[Úroveň 3 (P0)],AZ64)</f>
        <v>1</v>
      </c>
      <c r="GX64" s="809">
        <f ca="1">SUMIFS(RZ[Sloupec4],RZ[0],AX64,RZ[Úroveň 2 (P0)],AY64,RZ[Úroveň 3 (P0)],AZ64,RZ[Úroveň 4 (P0)],BA64)</f>
        <v>0</v>
      </c>
      <c r="GY64" s="809">
        <f ca="1">SUMIFS(RZ[Sloupec5],RZ[0],AX64,RZ[Úroveň 2 (P0)],AY64,RZ[Úroveň 3 (P0)],AZ64,RZ[Úroveň 4 (P0)],BA64,RZ[Úroveň 5 (P0)],BB64)</f>
        <v>0</v>
      </c>
      <c r="GZ64" s="809">
        <f ca="1">SUMIFS(RZ[Sloupec6],RZ[0],AX64,RZ[Úroveň 2 (P0)],AY64,RZ[Úroveň 3 (P0)],AZ64,RZ[Úroveň 4 (P0)],BA64,RZ[Úroveň 5 (P0)],BB64,RZ[Úroveň 6 (P0)],BC64)</f>
        <v>0</v>
      </c>
      <c r="HA64" s="809">
        <f ca="1">SUMIFS(RZ[Sloupec62],RZ[0],AX64,RZ[Úroveň 2 (P0)],AY64,RZ[Úroveň 3 (P0)],AZ64,RZ[Úroveň 4 (P0)],BA64,RZ[Úroveň 5 (P0)],BB64,RZ[Úroveň 6 (P0)],BC64,RZ[Úroveň 7 (P0)],BD64)</f>
        <v>0</v>
      </c>
      <c r="HB64" s="809">
        <f ca="1">SUMIFS(RZ[Sloupec63],RZ[0],AX64,RZ[Úroveň 2 (P0)],AY64,RZ[Úroveň 3 (P0)],AZ64,RZ[Úroveň 4 (P0)],BA64,RZ[Úroveň 5 (P0)],BB64,RZ[Úroveň 6 (P0)],BC64,RZ[Úroveň 7 (P0)],BD64,RZ[Úroveň 8 (P0)],BE64)</f>
        <v>0</v>
      </c>
      <c r="HC64" s="809">
        <f ca="1">SUMIFS(RZ[Sloupec64],RZ[0],AX64,RZ[Úroveň 2 (P0)],AY64,RZ[Úroveň 3 (P0)],AZ64,RZ[Úroveň 4 (P0)],BA64,RZ[Úroveň 5 (P0)],BB64,RZ[Úroveň 6 (P0)],BC64,RZ[Úroveň 7 (P0)],BD64,RZ[Úroveň 8 (P0)],BE64,RZ[Úroveň 9 (P0)],BF64)</f>
        <v>0</v>
      </c>
      <c r="HD64" s="809">
        <f ca="1">SUMIFS(RZ[Sloupec65],RZ[0],AX64,RZ[Úroveň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HE64" s="919">
        <f t="shared" ca="1" si="443"/>
        <v>1</v>
      </c>
      <c r="HF64" s="920" t="str">
        <f t="shared" si="444"/>
        <v/>
      </c>
      <c r="HG64" s="94" t="str">
        <f t="shared" si="445"/>
        <v/>
      </c>
      <c r="HH64" s="95" t="str">
        <f t="shared" si="446"/>
        <v/>
      </c>
      <c r="HI64" s="95" t="str">
        <f t="shared" si="447"/>
        <v>Čep - průměr 110 mm</v>
      </c>
      <c r="HJ64" s="96" t="str">
        <f t="shared" si="448"/>
        <v/>
      </c>
      <c r="HK64" s="96" t="str">
        <f t="shared" si="449"/>
        <v/>
      </c>
      <c r="HL64" s="96" t="str">
        <f t="shared" si="450"/>
        <v/>
      </c>
      <c r="HM64" s="96" t="str">
        <f t="shared" si="451"/>
        <v/>
      </c>
      <c r="HN64" s="96" t="str">
        <f t="shared" si="452"/>
        <v/>
      </c>
      <c r="HO64" s="96" t="str">
        <f t="shared" si="453"/>
        <v/>
      </c>
      <c r="HP64" s="96" t="str">
        <f t="shared" si="454"/>
        <v/>
      </c>
      <c r="HQ64" s="145" t="str">
        <f t="shared" si="455"/>
        <v>STO2</v>
      </c>
      <c r="HR64" s="921" t="str">
        <f t="shared" si="456"/>
        <v/>
      </c>
      <c r="HS64" s="173">
        <f t="shared" si="457"/>
        <v>0</v>
      </c>
      <c r="HT64" s="100">
        <f t="shared" si="458"/>
        <v>0</v>
      </c>
      <c r="HU64" s="100">
        <f t="shared" si="459"/>
        <v>0</v>
      </c>
      <c r="HV64" s="908">
        <f t="shared" si="460"/>
        <v>0</v>
      </c>
      <c r="HW64" s="922">
        <f t="shared" si="461"/>
        <v>0</v>
      </c>
      <c r="HX64" s="224">
        <f t="shared" si="462"/>
        <v>0</v>
      </c>
      <c r="HY64" s="263" t="str">
        <f t="shared" si="463"/>
        <v>S</v>
      </c>
      <c r="HZ64" s="263">
        <f t="shared" si="464"/>
        <v>0</v>
      </c>
      <c r="IA64" s="150">
        <f t="shared" si="465"/>
        <v>1</v>
      </c>
      <c r="IB64" s="319">
        <f t="shared" si="466"/>
        <v>0</v>
      </c>
      <c r="IC64" s="923">
        <f t="shared" si="467"/>
        <v>0</v>
      </c>
      <c r="ID64" s="924" t="str">
        <f t="shared" ca="1" si="468"/>
        <v>OK</v>
      </c>
      <c r="IE64" s="201" t="str">
        <f t="shared" si="469"/>
        <v>ks</v>
      </c>
      <c r="IF64" s="145">
        <f t="shared" si="470"/>
        <v>4</v>
      </c>
      <c r="IG64" s="216">
        <f t="shared" si="471"/>
        <v>37</v>
      </c>
      <c r="IH64" s="217">
        <f t="shared" si="472"/>
        <v>1</v>
      </c>
      <c r="II64" s="224" t="str">
        <f ca="1">IF(RZ[[#This Row],[Rozhodný sloupec indikativní ceny]]=1,"kg",IF($IW64=$JL$15,IF(JX64=0,JO64,JX64),IF($IW64=$KE$15,IF(KQ64=0,KH64,KQ64),IF($IW64=$KX$15,IF(LJ64=0,LA64,LJ64),IF($IW64=$LQ$15,IF(MC64=0,LT64,MC64),IF($IW64=$MJ$15,IF(NQ64=0,NH64,NQ64),0))))))</f>
        <v>kg</v>
      </c>
      <c r="IJ64" s="224">
        <f ca="1">IF((BH64+OFFSET(BH64,1,1,1,1))=2,RZ[[#This Row],[Počet MJHR (P0)]],IF((BI64+OFFSET(BI64,1,1,1,1))=2,RZ[[#This Row],[Počet MJHR (P0)]],IF((BJ64+OFFSET(BJ64,1,1,1,1))=2,RZ[[#This Row],[Počet MJHR (P0)]],IF((BK64+OFFSET(BK64,1,1,1,1))=2,RZ[[#This Row],[Počet MJHR (P0)]],IF((BL64+OFFSET(BL64,1,1,1,1))=2,RZ[[#This Row],[Počet MJHR (P0)]],IF((BM64+OFFSET(BM64,1,1,1,1))=2,RZ[[#This Row],[Počet MJHR (P0)]],IF((BN64+OFFSET(BN64,1,1,1,1))=2,RZ[[#This Row],[Počet MJHR (P0)]],IF((BO64+OFFSET(BO64,1,1,1,1))=2,RZ[[#This Row],[Počet MJHR (P0)]],IF((BP64+OFFSET(BP64,1,1,1,1))=2,RZ[[#This Row],[Počet MJHR (P0)]],IF((BQ64+OFFSET(BQ64,1,1,1,1))=2,RZ[[#This Row],[Počet MJHR (P0)]],IF(RZ[[#This Row],[Měrná jednotka CR (MJCR) (P0)]]=RZ[[#This Row],[Měrná jednotka HR '[MJHR'] (P0)]],RZ[[#This Row],[Počet MJHR (P0)]],IF($IW64=$JL$15,JY64,IF($IW64=$KE$15,KR64,IF($IW64=$KX$15,LK64,IF($IW64=$LQ$15,MD64,IF($IW64=$MJ$15,NR64,0))))))))))))))))</f>
        <v>0</v>
      </c>
      <c r="IK6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148</v>
      </c>
      <c r="IL64" s="145">
        <f ca="1">IF(AND(RZ[[#This Row],[Jednotková cena bez DPH '[cena/MJCR'] (P0)]]=0,RZ[[#This Row],[Indikativní jednotková cena '[CZK/kg'] (P1)]]&lt;&gt;0),1,0)</f>
        <v>1</v>
      </c>
      <c r="IM64" s="217">
        <f ca="1">VLOOKUP(RZ[[#This Row],[Kód položek]],INDIKAT_CENA,2,FALSE)</f>
        <v>115</v>
      </c>
      <c r="IN64" s="222">
        <f ca="1">IF(RZ[[#This Row],[Rozhodný sloupec indikativní ceny]]=1,RZ[[#This Row],[Indikativní jednotková cena '[CZK/kg'] (P1)]],RZ[[#This Row],[Jednotková cena bez DPH '[cena/MJCR'] (P0)]])</f>
        <v>115</v>
      </c>
      <c r="IO64" s="222">
        <f t="shared" si="473"/>
        <v>1</v>
      </c>
      <c r="IP64" s="224">
        <f ca="1">IF(RZ[[#This Row],[Rozhodný sloupec indikativní ceny]]=1,1,IF($IW64=$JL$15,KA64,IF($IW64=$KE$15,KT64,IF($IW64=$KX$15,LM64,IF($IW64=$LQ$15,MF64,IF($IW64=$MJ$15,NT64,0))))))</f>
        <v>1</v>
      </c>
      <c r="IQ64" s="225">
        <f ca="1">IF(RZ[[#This Row],[Jednotková cena bez DPH '[cena/MJCR'] (P1)]]="",0,IF(IP64=0,0,(RZ[[#This Row],[Jednotková cena bez DPH '[cena/MJCR'] (P1)]]*VLOOKUP(IP64,$BR$7:$BT$10,3))))</f>
        <v>115</v>
      </c>
      <c r="IR64" s="737"/>
      <c r="IS64" s="627">
        <f>IF(HY64=0,"",VLOOKUP(RZ[[#This Row],[Stav Projekce (P0)]],Vstupy!$E$11:'Vstupy'!$E$11:$H$17,4,FALSE))</f>
        <v>100</v>
      </c>
      <c r="IT64" s="925" t="str">
        <f>IF(RZ[[#This Row],[Stav Projekce (P0)]]=0,"",RZ[[#This Row],[Stav Projekce (P0)]])</f>
        <v>S</v>
      </c>
      <c r="IU64" s="925" t="str">
        <f>IF(RZ[[#This Row],[Stav Nákup (P0)]]=0,"",RZ[[#This Row],[Stav Nákup (P0)]])</f>
        <v/>
      </c>
      <c r="IV64" s="926" t="str">
        <f t="shared" si="474"/>
        <v/>
      </c>
      <c r="IW64" s="641">
        <v>1</v>
      </c>
      <c r="IX64" s="630"/>
      <c r="IY64" s="264"/>
      <c r="IZ64" s="648"/>
      <c r="JA64" s="100"/>
      <c r="JB64" s="100" t="s">
        <v>800</v>
      </c>
      <c r="JC64" s="100"/>
      <c r="JD64" s="100"/>
      <c r="JE64" s="100"/>
      <c r="JF64" s="100"/>
      <c r="JG64" s="100"/>
      <c r="JH64" s="100"/>
      <c r="JI64" s="100"/>
      <c r="JJ64" s="145" t="s">
        <v>773</v>
      </c>
      <c r="JK64" s="529"/>
      <c r="JL64" s="286"/>
      <c r="JM64" s="100"/>
      <c r="JN64" s="100"/>
      <c r="JO64" s="145" t="s">
        <v>35</v>
      </c>
      <c r="JP64" s="117">
        <v>4</v>
      </c>
      <c r="JQ64" s="117">
        <v>37</v>
      </c>
      <c r="JR64" s="148">
        <v>1</v>
      </c>
      <c r="JS64" s="145" t="s">
        <v>602</v>
      </c>
      <c r="JT64" s="631"/>
      <c r="JU64" s="148"/>
      <c r="JV64" s="154"/>
      <c r="JW64" s="145"/>
      <c r="JX64" s="210"/>
      <c r="JY64" s="117"/>
      <c r="JZ64" s="662"/>
      <c r="KA64" s="145"/>
      <c r="KB64" s="148"/>
      <c r="KC64" s="148"/>
      <c r="KD64" s="644"/>
      <c r="KE64" s="286"/>
      <c r="KF64" s="100"/>
      <c r="KG64" s="100"/>
      <c r="KH64" s="210"/>
      <c r="KI64" s="117"/>
      <c r="KJ64" s="117"/>
      <c r="KK64" s="148"/>
      <c r="KL64" s="145"/>
      <c r="KM64" s="632"/>
      <c r="KN64" s="148"/>
      <c r="KO64" s="154"/>
      <c r="KP64" s="154"/>
      <c r="KQ64" s="210"/>
      <c r="KR64" s="117"/>
      <c r="KS64" s="211"/>
      <c r="KT64" s="145"/>
      <c r="KU64" s="148"/>
      <c r="KV64" s="148"/>
      <c r="KW64" s="265"/>
      <c r="KX64" s="286"/>
      <c r="KY64" s="100"/>
      <c r="KZ64" s="100"/>
      <c r="LA64" s="210"/>
      <c r="LB64" s="117"/>
      <c r="LC64" s="117"/>
      <c r="LD64" s="148"/>
      <c r="LE64" s="145"/>
      <c r="LF64" s="632"/>
      <c r="LG64" s="148"/>
      <c r="LH64" s="154"/>
      <c r="LI64" s="154"/>
      <c r="LJ64" s="154"/>
      <c r="LK64" s="117"/>
      <c r="LL64" s="211"/>
      <c r="LM64" s="210"/>
      <c r="LN64" s="148"/>
      <c r="LO64" s="148"/>
      <c r="LP64" s="265"/>
      <c r="LQ64" s="286"/>
      <c r="LR64" s="100"/>
      <c r="LS64" s="100"/>
      <c r="LT64" s="210"/>
      <c r="LU64" s="117"/>
      <c r="LV64" s="117"/>
      <c r="LW64" s="148"/>
      <c r="LX64" s="145"/>
      <c r="LY64" s="632"/>
      <c r="LZ64" s="148"/>
      <c r="MA64" s="154"/>
      <c r="MB64" s="154"/>
      <c r="MC64" s="145"/>
      <c r="MD64" s="117"/>
      <c r="ME64" s="211"/>
      <c r="MF64" s="210"/>
      <c r="MG64" s="148"/>
      <c r="MH64" s="148"/>
      <c r="MI64" s="265"/>
      <c r="MJ64" s="647"/>
      <c r="MK64" s="264"/>
      <c r="ML64" s="153"/>
      <c r="MM64" s="153"/>
      <c r="MN64" s="153"/>
      <c r="MO64" s="153"/>
      <c r="MP64" s="153"/>
      <c r="MQ64" s="153"/>
      <c r="MR64" s="153"/>
      <c r="MS64" s="99"/>
      <c r="MT64" s="99"/>
      <c r="MU64" s="99"/>
      <c r="MV64" s="99"/>
      <c r="MW64" s="99"/>
      <c r="MX64" s="99"/>
      <c r="MY64" s="153"/>
      <c r="MZ64" s="153"/>
      <c r="NA64" s="153"/>
      <c r="NB64" s="153"/>
      <c r="NC64" s="153"/>
      <c r="ND64" s="153"/>
      <c r="NE64" s="148"/>
      <c r="NF64" s="153"/>
      <c r="NG64" s="153"/>
      <c r="NH64" s="330" t="str">
        <f t="shared" si="475"/>
        <v>ks</v>
      </c>
      <c r="NI64" s="797">
        <f>RZ[[#This Row],[Počet ks (K)]]</f>
        <v>0</v>
      </c>
      <c r="NJ64" s="798">
        <f>RZ[[#This Row],[Hmotnost '[kg/ks'] (K)]]</f>
        <v>0</v>
      </c>
      <c r="NK64" s="148"/>
      <c r="NL64" s="145"/>
      <c r="NM64" s="632"/>
      <c r="NN64" s="148"/>
      <c r="NO64" s="154"/>
      <c r="NP64" s="153"/>
      <c r="NQ64" s="153"/>
      <c r="NR64" s="210"/>
      <c r="NS64" s="148"/>
      <c r="NT64" s="210"/>
      <c r="NU64" s="148"/>
      <c r="NV64" s="148"/>
      <c r="NW64" s="175"/>
    </row>
    <row r="65" spans="2:387" ht="15.95" customHeight="1" x14ac:dyDescent="0.35">
      <c r="B65" s="118" t="str">
        <f t="shared" si="359"/>
        <v/>
      </c>
      <c r="C6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5" s="262" t="str">
        <f t="shared" si="360"/>
        <v xml:space="preserve">    Distanční kroužek</v>
      </c>
      <c r="E65" s="120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Row],[Kód položek (P2)]]))))))))))</f>
        <v>STO2</v>
      </c>
      <c r="F65" s="791" t="str">
        <f t="shared" si="361"/>
        <v>N/A</v>
      </c>
      <c r="G65" s="792" t="str">
        <f t="shared" si="362"/>
        <v/>
      </c>
      <c r="H65" s="262" t="str">
        <f t="shared" si="363"/>
        <v/>
      </c>
      <c r="I65" s="123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HR '[MJHR'] (P0)]]))))))))))</f>
        <v>ks</v>
      </c>
      <c r="J65" s="123">
        <f t="shared" si="364"/>
        <v>4</v>
      </c>
      <c r="K65" s="793">
        <f>RZ[[#This Row],[Koeficient odhadu HR '[-'] (P1)]]</f>
        <v>1</v>
      </c>
      <c r="L65" s="124">
        <f ca="1">RZ[[#This Row],[Jednotková hmotnost s koef. '[kg/MJHR'] (P0)]]</f>
        <v>1.6</v>
      </c>
      <c r="M65" s="794">
        <f t="shared" ca="1" si="365"/>
        <v>0</v>
      </c>
      <c r="N65" s="125">
        <f t="shared" ca="1" si="366"/>
        <v>6.4</v>
      </c>
      <c r="O65" s="125">
        <f t="shared" ca="1" si="367"/>
        <v>0</v>
      </c>
      <c r="P65" s="126" t="str">
        <f t="shared" si="368"/>
        <v/>
      </c>
      <c r="Q65" s="795">
        <f ca="1">RZ[[#This Row],[Počet MJHR v rozpadu (P0)]]</f>
        <v>8</v>
      </c>
      <c r="R65" s="439" t="str">
        <f t="shared" si="369"/>
        <v/>
      </c>
      <c r="S65" s="129" t="str">
        <f t="shared" si="370"/>
        <v/>
      </c>
      <c r="T65" s="126" t="str">
        <f t="shared" si="371"/>
        <v/>
      </c>
      <c r="U65" s="126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CR (MJCR) (P0)]]))))))))))</f>
        <v>kg</v>
      </c>
      <c r="V65" s="575">
        <f t="shared" ca="1" si="372"/>
        <v>6.4</v>
      </c>
      <c r="W65" s="322">
        <f>RZ[[#This Row],[Koeficient odhadu CR '[-'] (P1)]]</f>
        <v>1</v>
      </c>
      <c r="X65" s="440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Row],[Jednotková cena bez DPH '[cena/MJCR'] (P1)]]*RZ[[#This Row],[Koeficient odhadu CR '[-']]]))))))))))</f>
        <v>115</v>
      </c>
      <c r="Y65" s="440">
        <f t="shared" ca="1" si="373"/>
        <v>0</v>
      </c>
      <c r="Z65" s="142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VLOOKUP(IP65,$BR$7:$BS$11,2,FALSE)))))))))))</f>
        <v>CZK</v>
      </c>
      <c r="AA65" s="909">
        <f t="shared" ca="1" si="374"/>
        <v>12.8</v>
      </c>
      <c r="AB65" s="910">
        <f ca="1">RZ[[#This Row],[Kumulovaný koeficient v rozpadu (P0)]]</f>
        <v>1</v>
      </c>
      <c r="AC65" s="261"/>
      <c r="AD65" s="796">
        <f ca="1">RZ[[#This Row],[Jednotková cena bez DPH '[cena/MJCR'] s koef. (P0)]]/RZ[[#This Row],[Koeficient odhadu CR '[-']]]*RZ[[#This Row],[Kumulovaný koeficient odhadu CR  '[-']]]</f>
        <v>115</v>
      </c>
      <c r="AE65" s="796">
        <f t="shared" ca="1" si="375"/>
        <v>1472</v>
      </c>
      <c r="AF65" s="796">
        <f ca="1">-IF(ISNUMBER(AA65),RZ[[#This Row],[Celková cena bez DPH (1)]]-RZ[[#This Row],[Jednotková cena bez DPH '[cena/MJCR'] bez koef. (P0)]]*AA65,0)</f>
        <v>0</v>
      </c>
      <c r="AG6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5" s="261"/>
      <c r="AI65" s="796">
        <f t="shared" ca="1" si="376"/>
        <v>4.2592592592592595</v>
      </c>
      <c r="AJ65" s="796">
        <f t="shared" ca="1" si="377"/>
        <v>54.518518518518519</v>
      </c>
      <c r="AK65" s="796">
        <f t="shared" ca="1" si="378"/>
        <v>0</v>
      </c>
      <c r="AL65" s="753">
        <f ca="1">RZ[[#This Row],[Kilogramová cena bez DPH '[cena/kg'] (1)]]/$AK$13</f>
        <v>4.2592592592592595</v>
      </c>
      <c r="AM65" s="261"/>
      <c r="AN65" s="796">
        <f t="shared" ca="1" si="379"/>
        <v>5.5555555555555554</v>
      </c>
      <c r="AO65" s="796">
        <f t="shared" ca="1" si="380"/>
        <v>71.111111111111114</v>
      </c>
      <c r="AP65" s="796">
        <f t="shared" ca="1" si="381"/>
        <v>0</v>
      </c>
      <c r="AQ65" s="753">
        <f ca="1">RZ[[#This Row],[Kilogramová cena bez DPH '[cena/kg'] (1)]]/$AP$13</f>
        <v>5.5555555555555554</v>
      </c>
      <c r="AR65" s="261"/>
      <c r="AS65" s="796">
        <f t="shared" ca="1" si="382"/>
        <v>3.1455142231947484</v>
      </c>
      <c r="AT65" s="796">
        <f t="shared" ca="1" si="383"/>
        <v>40.262582056892775</v>
      </c>
      <c r="AU65" s="789">
        <f t="shared" ca="1" si="384"/>
        <v>0</v>
      </c>
      <c r="AV65" s="767">
        <f ca="1">RZ[[#This Row],[Kilogramová cena bez DPH '[cena/kg'] (1)]]/$AU$13</f>
        <v>3.1455142231947484</v>
      </c>
      <c r="AW65" s="165"/>
      <c r="AX65" s="911">
        <f t="shared" ca="1" si="385"/>
        <v>2</v>
      </c>
      <c r="AY65" s="111">
        <f t="shared" ca="1" si="386"/>
        <v>2</v>
      </c>
      <c r="AZ65" s="111">
        <f t="shared" ca="1" si="387"/>
        <v>10</v>
      </c>
      <c r="BA65" s="111">
        <f t="shared" ca="1" si="388"/>
        <v>0</v>
      </c>
      <c r="BB65" s="111">
        <f t="shared" ca="1" si="389"/>
        <v>0</v>
      </c>
      <c r="BC65" s="111">
        <f t="shared" ca="1" si="390"/>
        <v>0</v>
      </c>
      <c r="BD65" s="111">
        <f t="shared" ca="1" si="391"/>
        <v>0</v>
      </c>
      <c r="BE65" s="111">
        <f t="shared" ca="1" si="392"/>
        <v>0</v>
      </c>
      <c r="BF65" s="111">
        <f t="shared" ca="1" si="393"/>
        <v>0</v>
      </c>
      <c r="BG65" s="112">
        <f t="shared" ca="1" si="394"/>
        <v>0</v>
      </c>
      <c r="BH65" s="911">
        <f t="shared" si="395"/>
        <v>0</v>
      </c>
      <c r="BI65" s="111">
        <f t="shared" si="396"/>
        <v>0</v>
      </c>
      <c r="BJ65" s="111">
        <f t="shared" si="397"/>
        <v>1</v>
      </c>
      <c r="BK65" s="111">
        <f t="shared" si="398"/>
        <v>0</v>
      </c>
      <c r="BL65" s="111">
        <f t="shared" si="399"/>
        <v>0</v>
      </c>
      <c r="BM65" s="111">
        <f t="shared" si="400"/>
        <v>0</v>
      </c>
      <c r="BN65" s="111">
        <f t="shared" si="401"/>
        <v>0</v>
      </c>
      <c r="BO65" s="111">
        <f t="shared" si="402"/>
        <v>0</v>
      </c>
      <c r="BP65" s="111">
        <f t="shared" si="403"/>
        <v>0</v>
      </c>
      <c r="BQ65" s="112">
        <f t="shared" si="404"/>
        <v>0</v>
      </c>
      <c r="BR65" s="132">
        <f ca="1">IF(OFFSET(AY65,1,0,1,1)&lt;&gt;0,RZ[[#This Row],[Koeficient odhadu HR '[-'] (P1)]]*$BH65*SUMIFS(RZ[Úroveň 2 s koef. (P2)],RZ[0],AX65),RZ[[#This Row],[Koeficient odhadu HR '[-'] (P1)]]*$BH65*$IG65)</f>
        <v>0</v>
      </c>
      <c r="BS65" s="186">
        <f ca="1">IF(OFFSET(AY65,1,0,1,1)&lt;&gt;0,$BH65*SUMIFS(RZ[Úroveň 2 bez koef. (P2)],RZ[0],AX65),$BH65*$IG65)</f>
        <v>0</v>
      </c>
      <c r="BT65" s="138">
        <f ca="1">RZ[[#This Row],[Úroveň 2 s koef. (P2a)]]*RZ[[#This Row],[Počet MJHR (P0)]]</f>
        <v>0</v>
      </c>
      <c r="BU65" s="138">
        <f ca="1">RZ[[#This Row],[Úroveň 2 bez koef. (P2a)]]*RZ[[#This Row],[Počet MJHR (P0)]]</f>
        <v>0</v>
      </c>
      <c r="BV65" s="138">
        <f ca="1">IF(OFFSET(AZ65,1,0,1,1)&lt;&gt;0,RZ[[#This Row],[Koeficient odhadu HR '[-'] (P1)]]*$BI65*SUMIFS(RZ[Úroveň 3 s koef. (P2)],RZ[0],AX65,RZ[Úroveň 2 (P0)],AY65),RZ[[#This Row],[Koeficient odhadu HR '[-'] (P1)]]*$BI65*$IG65)</f>
        <v>0</v>
      </c>
      <c r="BW65" s="138">
        <f ca="1">IF(OFFSET(AZ65,1,0,1,1)&lt;&gt;0,$BI65*SUMIFS(RZ[Úroveň 3 bez koef. (P2)],RZ[0],AX65,RZ[Úroveň 2 (P0)],AY65),$BI65*$IG65)</f>
        <v>0</v>
      </c>
      <c r="BX65" s="132">
        <f ca="1">RZ[[#This Row],[Úroveň 3 s koef. (P2a)]]*RZ[[#This Row],[Počet MJHR (P0)]]</f>
        <v>6.4</v>
      </c>
      <c r="BY65" s="132">
        <f ca="1">RZ[Úroveň 3 bez koef. (P2a)]*RZ[[#This Row],[Počet MJHR (P0)]]</f>
        <v>6.4</v>
      </c>
      <c r="BZ65" s="132">
        <f ca="1">IF(OFFSET(BA65,1,0,1,1)&lt;&gt;0,RZ[[#This Row],[Koeficient odhadu HR '[-'] (P1)]]*$BJ65*SUMIFS(RZ[Úroveň 4 s koef. (P2)],RZ[0],AX65,RZ[Úroveň 2 (P0)],AY65,RZ[Úroveň 3 (P0)],AZ65),RZ[[#This Row],[Koeficient odhadu HR '[-'] (P1)]]*$BJ65*$IG65)</f>
        <v>1.6</v>
      </c>
      <c r="CA65" s="132">
        <f ca="1">IF(OFFSET(BA65,1,0,1,1)&lt;&gt;0,$BJ65*SUMIFS(RZ[Úroveň 4 bez koef. (P2)],RZ[0],AX65,RZ[Úroveň 2 (P0)],AY65,RZ[Úroveň 3 (P0)],AZ65),$BJ65*$IG65)</f>
        <v>1.6</v>
      </c>
      <c r="CB65" s="138">
        <f ca="1">RZ[[#This Row],[Úroveň 4 s koef. (P2a)]]*RZ[[#This Row],[Počet MJHR (P0)]]</f>
        <v>0</v>
      </c>
      <c r="CC65" s="138">
        <f ca="1">RZ[Úroveň 4 bez koef. (P2a)]*RZ[[#This Row],[Počet MJHR (P0)]]</f>
        <v>0</v>
      </c>
      <c r="CD65" s="138">
        <f ca="1">IF(OFFSET(BB65,1,0,1,1)&lt;&gt;0,RZ[[#This Row],[Koeficient odhadu HR '[-'] (P1)]]*$BK65*SUMIFS(RZ[Úroveň 5 s koef. (P2)],RZ[0],AX65,RZ[Úroveň 2 (P0)],AY65,RZ[Úroveň 3 (P0)],AZ65,RZ[Úroveň 4 (P0)],BA65),RZ[[#This Row],[Koeficient odhadu HR '[-'] (P1)]]*$BK65*$IG65)</f>
        <v>0</v>
      </c>
      <c r="CE65" s="138">
        <f ca="1">IF(OFFSET(BB65,1,0,1,1)&lt;&gt;0,$BK65*SUMIFS(RZ[Úroveň 5 bez koef. (P2)],RZ[0],AX65,RZ[Úroveň 2 (P0)],AY65,RZ[Úroveň 3 (P0)],AZ65,RZ[Úroveň 4 (P0)],BA65),$BK65*$IG65)</f>
        <v>0</v>
      </c>
      <c r="CF65" s="132">
        <f ca="1">RZ[[#This Row],[Úroveň 5 s koef. (P2a)]]*RZ[[#This Row],[Počet MJHR (P0)]]</f>
        <v>0</v>
      </c>
      <c r="CG65" s="132">
        <f ca="1">RZ[Úroveň 5 bez koef. (P2a)]*RZ[[#This Row],[Počet MJHR (P0)]]</f>
        <v>0</v>
      </c>
      <c r="CH65" s="132">
        <f ca="1">IF(OFFSET(BC65,1,0,1,1)&lt;&gt;0,RZ[[#This Row],[Koeficient odhadu HR '[-'] (P1)]]*$BL65*SUMIFS(RZ[Úroveň 6 s koef. (P2)],RZ[0],AX65,RZ[Úroveň 2 (P0)],AY65,RZ[Úroveň 3 (P0)],AZ65,RZ[Úroveň 4 (P0)],BA65,RZ[Úroveň 5 (P0)],BB65),RZ[[#This Row],[Koeficient odhadu HR '[-'] (P1)]]*$BL65*$IG65)</f>
        <v>0</v>
      </c>
      <c r="CI65" s="132">
        <f ca="1">IF(OFFSET(BC65,1,0,1,1)&lt;&gt;0,$BL65*SUMIFS(RZ[Úroveň 6 bez koef. (P2)],RZ[0],AX65,RZ[Úroveň 2 (P0)],AY65,RZ[Úroveň 3 (P0)],AZ65,RZ[Úroveň 4 (P0)],BA65,RZ[Úroveň 5 (P0)],BB65),$BL65*$IG65)</f>
        <v>0</v>
      </c>
      <c r="CJ65" s="138">
        <f ca="1">RZ[[#This Row],[Úroveň 6 s koef. (P2a)]]*RZ[[#This Row],[Počet MJHR (P0)]]</f>
        <v>0</v>
      </c>
      <c r="CK65" s="138">
        <f ca="1">RZ[Úroveň 6 bez koef. (P2a)]*RZ[[#This Row],[Počet MJHR (P0)]]</f>
        <v>0</v>
      </c>
      <c r="CL65" s="138">
        <f ca="1">IF(OFFSET(BD65,1,0,1,1)&lt;&gt;0,RZ[[#This Row],[Koeficient odhadu HR '[-'] (P1)]]*$BM65*SUMIFS(RZ[Úroveň 7 s koef. (P2)],RZ[0],AX65,RZ[Úroveň 2 (P0)],AY65,RZ[Úroveň 3 (P0)],AZ65,RZ[Úroveň 4 (P0)],BA65,RZ[Úroveň 5 (P0)],BB65,RZ[Úroveň 6 (P0)],BC65),RZ[[#This Row],[Koeficient odhadu HR '[-'] (P1)]]*$BM65*$IG65)</f>
        <v>0</v>
      </c>
      <c r="CM65" s="138">
        <f ca="1">IF(OFFSET(BD65,1,0,1,1)&lt;&gt;0,$BM65*SUMIFS(RZ[Úroveň 7 bez koef. (P2)],RZ[0],AX65,RZ[Úroveň 2 (P0)],AY65,RZ[Úroveň 3 (P0)],AZ65,RZ[Úroveň 4 (P0)],BA65,RZ[Úroveň 5 (P0)],BB65,RZ[Úroveň 6 (P0)],BC65),$BM65*$IG65)</f>
        <v>0</v>
      </c>
      <c r="CN65" s="132">
        <f ca="1">RZ[[#This Row],[Úroveň 7 s koef. (P2a)]]*RZ[[#This Row],[Počet MJHR (P0)]]</f>
        <v>0</v>
      </c>
      <c r="CO65" s="132">
        <f ca="1">RZ[Úroveň 7 bez koef. (P2a)]*RZ[[#This Row],[Počet MJHR (P0)]]</f>
        <v>0</v>
      </c>
      <c r="CP65" s="132">
        <f ca="1">IF(OFFSET(BE65,1,0,1,1)&lt;&gt;0,RZ[[#This Row],[Koeficient odhadu HR '[-'] (P1)]]*$BN65*SUMIFS(RZ[Úroveň 8 s koef. (P2)],RZ[0],AX65,RZ[Úroveň 2 (P0)],AY65,RZ[Úroveň 3 (P0)],AZ65,RZ[Úroveň 4 (P0)],BA65,RZ[Úroveň 5 (P0)],BB65,RZ[Úroveň 6 (P0)],BC65,RZ[Úroveň 7 (P0)],BD65),RZ[[#This Row],[Koeficient odhadu HR '[-'] (P1)]]*$BN65*$IG65)</f>
        <v>0</v>
      </c>
      <c r="CQ65" s="132">
        <f ca="1">IF(OFFSET(BE65,1,0,1,1)&lt;&gt;0,$BN65*SUMIFS(RZ[Úroveň 8 bez koef. (P2)],RZ[0],AX65,RZ[Úroveň 2 (P0)],AY65,RZ[Úroveň 3 (P0)],AZ65,RZ[Úroveň 4 (P0)],BA65,RZ[Úroveň 5 (P0)],BB65,RZ[Úroveň 6 (P0)],BC65,RZ[Úroveň 7 (P0)],BD65),$BN65*$IG65)</f>
        <v>0</v>
      </c>
      <c r="CR65" s="138">
        <f ca="1">RZ[[#This Row],[Úroveň 8 s koef. (P2a)]]*RZ[[#This Row],[Počet MJHR (P0)]]</f>
        <v>0</v>
      </c>
      <c r="CS65" s="138">
        <f ca="1">RZ[Úroveň 8 bez koef. (P2a)]*RZ[[#This Row],[Počet MJHR (P0)]]</f>
        <v>0</v>
      </c>
      <c r="CT65" s="138">
        <f ca="1">IF(OFFSET(BF65,1,0,1,1)&lt;&gt;0,RZ[[#This Row],[Koeficient odhadu HR '[-'] (P1)]]*$BO65*SUMIFS(RZ[Úroveň 9 s koef. (P2)],RZ[0],AX65,RZ[Úroveň 2 (P0)],AY65,RZ[Úroveň 3 (P0)],AZ65,RZ[Úroveň 4 (P0)],BA65,RZ[Úroveň 5 (P0)],BB65,RZ[Úroveň 6 (P0)],BC65,RZ[Úroveň 7 (P0)],BD65,RZ[Úroveň 8 (P0)],BE65),RZ[[#This Row],[Koeficient odhadu HR '[-'] (P1)]]*$BO65*$IG65)</f>
        <v>0</v>
      </c>
      <c r="CU65" s="138">
        <f ca="1">IF(OFFSET(BF65,1,0,1,1)&lt;&gt;0,$BO65*SUMIFS(RZ[Úroveň 9 bez koef. (P2)],RZ[0],AX65,RZ[Úroveň 2 (P0)],AY65,RZ[Úroveň 3 (P0)],AZ65,RZ[Úroveň 4 (P0)],BA65,RZ[Úroveň 5 (P0)],BB65,RZ[Úroveň 6 (P0)],BC65,RZ[Úroveň 7 (P0)],BD65,RZ[Úroveň 8 (P0)],BE65),$BO65*$IG65)</f>
        <v>0</v>
      </c>
      <c r="CV65" s="132">
        <f ca="1">RZ[[#This Row],[Úroveň 9 s koef. (P2a)]]*RZ[[#This Row],[Počet MJHR (P0)]]</f>
        <v>0</v>
      </c>
      <c r="CW65" s="132">
        <f ca="1">RZ[Úroveň 9 bez koef. (P2a)]*RZ[[#This Row],[Počet MJHR (P0)]]</f>
        <v>0</v>
      </c>
      <c r="CX65" s="132">
        <f ca="1">IF(OFFSET(BG65,1,0,1,1)&lt;&gt;0,RZ[[#This Row],[Koeficient odhadu HR '[-'] (P1)]]*$BP65*SUMIFS(RZ[Úroveň 10 s koef. (P2)],RZ[0],AX65,RZ[Úroveň 2 (P0)],AY65,RZ[Úroveň 3 (P0)],AZ65,RZ[Úroveň 4 (P0)],BA65,RZ[Úroveň 5 (P0)],BB65,RZ[Úroveň 6 (P0)],BC65,RZ[Úroveň 7 (P0)],BD65,RZ[Úroveň 8 (P0)],BE65,RZ[Úroveň 9 (P0)],BF65),RZ[[#This Row],[Koeficient odhadu HR '[-'] (P1)]]*$BP65*$IG65)</f>
        <v>0</v>
      </c>
      <c r="CY65" s="132">
        <f ca="1">IF(OFFSET(BG65,1,0,1,1)&lt;&gt;0,$BP65*SUMIFS(RZ[Úroveň 10 bez koef. (P2)],RZ[0],AX65,RZ[Úroveň 2 (P0)],AY65,RZ[Úroveň 3 (P0)],AZ65,RZ[Úroveň 4 (P0)],BA65,RZ[Úroveň 5 (P0)],BB65,RZ[Úroveň 6 (P0)],BC65,RZ[Úroveň 7 (P0)],BD65,RZ[Úroveň 8 (P0)],BE65,RZ[Úroveň 9 (P0)],BF65),$BP65*$IG65)</f>
        <v>0</v>
      </c>
      <c r="CZ65" s="138">
        <f>RZ[[#This Row],[Úroveň 10 s koef. (P2a)]]*RZ[[#This Row],[Počet MJHR (P0)]]</f>
        <v>0</v>
      </c>
      <c r="DA65" s="138">
        <f>RZ[Úroveň 10 bez koef. (P2a)]*RZ[[#This Row],[Počet MJHR (P0)]]</f>
        <v>0</v>
      </c>
      <c r="DB65" s="138">
        <f>RZ[[#This Row],[Koeficient odhadu HR '[-'] (P1)]]*$BQ65*IG65</f>
        <v>0</v>
      </c>
      <c r="DC65" s="231">
        <f t="shared" si="405"/>
        <v>0</v>
      </c>
      <c r="DD65" s="241">
        <f t="shared" ca="1" si="406"/>
        <v>1.6</v>
      </c>
      <c r="DE65" s="229">
        <f t="shared" ca="1" si="407"/>
        <v>1.6</v>
      </c>
      <c r="DF65" s="912">
        <f t="shared" si="408"/>
        <v>0</v>
      </c>
      <c r="DG65" s="913">
        <f t="shared" si="409"/>
        <v>0</v>
      </c>
      <c r="DH65" s="913">
        <f t="shared" si="410"/>
        <v>4</v>
      </c>
      <c r="DI65" s="913">
        <f t="shared" si="411"/>
        <v>0</v>
      </c>
      <c r="DJ65" s="913">
        <f t="shared" si="412"/>
        <v>0</v>
      </c>
      <c r="DK65" s="913">
        <f t="shared" si="413"/>
        <v>0</v>
      </c>
      <c r="DL65" s="913">
        <f t="shared" si="414"/>
        <v>0</v>
      </c>
      <c r="DM65" s="913">
        <f t="shared" si="415"/>
        <v>0</v>
      </c>
      <c r="DN65" s="913">
        <f t="shared" si="416"/>
        <v>0</v>
      </c>
      <c r="DO65" s="913">
        <f t="shared" si="417"/>
        <v>0</v>
      </c>
      <c r="DP65" s="914">
        <f ca="1">SUMIFS(RZ[Úroveň 1 (P4)],RZ[0],AX65)</f>
        <v>1</v>
      </c>
      <c r="DQ65" s="914">
        <f ca="1">SUMIFS(RZ[Úroveň 2 (P4)],RZ[0],AX65,RZ[Úroveň 2 (P0)],AY65)</f>
        <v>2</v>
      </c>
      <c r="DR65" s="914">
        <f ca="1">SUMIFS(RZ[Úroveň 3 (P4)],RZ[0],AX65,RZ[Úroveň 2 (P0)],AY65,RZ[Úroveň 3 (P0)],AZ65)</f>
        <v>4</v>
      </c>
      <c r="DS65" s="914">
        <f ca="1">SUMIFS(RZ[Úroveň 4 (P4)],RZ[0],AX65,RZ[Úroveň 2 (P0)],AY65,RZ[Úroveň 3 (P0)],AZ65,RZ[Úroveň 4 (P0)],BA65)</f>
        <v>0</v>
      </c>
      <c r="DT65" s="914">
        <f ca="1">SUMIFS(RZ[Úroveň 5 (P4)],RZ[0],AX65,RZ[Úroveň 2 (P0)],AY65,RZ[Úroveň 3 (P0)],AZ65,RZ[Úroveň 4 (P0)],BA65,RZ[Úroveň 5 (P0)],BB65)</f>
        <v>0</v>
      </c>
      <c r="DU65" s="914">
        <f ca="1">SUMIFS(RZ[Úroveň 6 (P4)],RZ[0],AX65,RZ[Úroveň 2 (P0)],AY65,RZ[Úroveň 3 (P0)],AZ65,RZ[Úroveň 4 (P0)],BA65,RZ[Úroveň 5 (P0)],BB65,RZ[Úroveň 6 (P0)],BC65)</f>
        <v>0</v>
      </c>
      <c r="DV65" s="914">
        <f ca="1">SUMIFS(RZ[Úroveň 7 (P4)],RZ[0],AX65,RZ[Úroveň 2 (P0)],AY65,RZ[Úroveň 3 (P0)],AZ65,RZ[Úroveň 4 (P0)],BA65,RZ[Úroveň 5 (P0)],BB65,RZ[Úroveň 6 (P0)],BC65,RZ[Úroveň 7 (P0)],BD65)</f>
        <v>0</v>
      </c>
      <c r="DW65" s="914">
        <f ca="1">SUMIFS(RZ[Úroveň 8 (P4)],RZ[0],AX65,RZ[Úroveň 2 (P0)],AY65,RZ[Úroveň 3 (P0)],AZ65,RZ[Úroveň 4 (P0)],BA65,RZ[Úroveň 5 (P0)],BB65,RZ[Úroveň 6 (P0)],BC65,RZ[Úroveň 7 (P0)],BD65,RZ[Úroveň 8 (P0)],BE65)</f>
        <v>0</v>
      </c>
      <c r="DX65" s="914">
        <f ca="1">SUMIFS(RZ[Úroveň 9 (P4)],RZ[0],AX65,RZ[Úroveň 2 (P0)],AY65,RZ[Úroveň 3 (P0)],AZ65,RZ[Úroveň 4 (P0)],BA65,RZ[Úroveň 5 (P0)],BB65,RZ[Úroveň 6 (P0)],BC65,RZ[Úroveň 7 (P0)],BD65,RZ[Úroveň 8 (P0)],BE65,RZ[Úroveň 9 (P0)],BF65)</f>
        <v>0</v>
      </c>
      <c r="DY65" s="914">
        <f ca="1">SUMIFS(RZ[Úroveň 10 (P4)],RZ[0],AX65,RZ[Úroveň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DZ65" s="915">
        <f t="shared" ca="1" si="418"/>
        <v>8</v>
      </c>
      <c r="EA65" s="916">
        <f ca="1">RZ[[#This Row],[Jednotková hmotnost bez koef. '[kg/MJHR'] (P0)]]*RZ[[#This Row],[Počet MJHR v rozpadu (P0)]]</f>
        <v>12.8</v>
      </c>
      <c r="EB65" s="917">
        <f ca="1">IF(OFFSET(AY65,1,0,1,1)&lt;&gt;0,RZ[[#This Row],[Koeficient odhadu CR '[-'] (P1)]]*$BH65*SUMIFS(RZ[Úroveň 2 s koef. (P3)],RZ[0],AX65),RZ[[#This Row],[Koeficient odhadu CR '[-'] (P1)]]*$BH65*$IQ65)</f>
        <v>0</v>
      </c>
      <c r="EC65" s="191">
        <f ca="1">IF(OFFSET(AY65,1,0,1,1)&lt;&gt;0,$BH65*SUMIFS(RZ[Úroveň 2 bez koef. (P3)],RZ[0],AX65),$BH65*$IQ65)</f>
        <v>0</v>
      </c>
      <c r="ED65" s="140">
        <f ca="1">RZ[[#This Row],[Úroveň 2 s koef. (P3a)]]*RZ[[#This Row],[Počet MJCR (P0) pro "kg"]]</f>
        <v>0</v>
      </c>
      <c r="EE65" s="140">
        <f ca="1">RZ[Úroveň 2 bez koef. (P3a)]*RZ[[#This Row],[Počet MJCR (P0) pro "kg"]]</f>
        <v>0</v>
      </c>
      <c r="EF65" s="140">
        <f ca="1">IF(OFFSET(AZ65,1,0,1,1)&lt;&gt;0,RZ[[#This Row],[Koeficient odhadu CR '[-'] (P1)]]*$BI65*SUMIFS(RZ[Úroveň 3 s koef. (P3)],RZ[0],AX65,RZ[Úroveň 2 (P0)],AY65),RZ[[#This Row],[Koeficient odhadu CR '[-'] (P1)]]*$BI65*$IQ65)</f>
        <v>0</v>
      </c>
      <c r="EG65" s="140">
        <f ca="1">IF(OFFSET(AZ65,1,0,1,1)&lt;&gt;0,$BI65*SUMIFS(RZ[Úroveň 3 bez koef. (P3)],RZ[0],AX65,RZ[Úroveň 2 (P0)],AY65),$BI65*$IQ65)</f>
        <v>0</v>
      </c>
      <c r="EH65" s="135">
        <f ca="1">RZ[[#This Row],[Úroveň 3 s koef. (P3a)]]*RZ[[#This Row],[Počet MJCR (P0) pro "kg"]]</f>
        <v>736</v>
      </c>
      <c r="EI65" s="135">
        <f ca="1">RZ[Úroveň 3 bez koef. (P3a)]*RZ[[#This Row],[Počet MJCR (P0) pro "kg"]]</f>
        <v>736</v>
      </c>
      <c r="EJ65" s="135">
        <f ca="1">IF(OFFSET(BA65,1,0,1,1)&lt;&gt;0,RZ[[#This Row],[Koeficient odhadu CR '[-'] (P1)]]*$BJ65*SUMIFS(RZ[Úroveň 4 s koef. (P3)],RZ[0],AX65,RZ[Úroveň 2 (P0)],AY65,RZ[Úroveň 3 (P0)],AZ65),RZ[[#This Row],[Koeficient odhadu CR '[-'] (P1)]]*$BJ65*$IQ65)</f>
        <v>115</v>
      </c>
      <c r="EK65" s="135">
        <f ca="1">IF(OFFSET(BA65,1,0,1,1)&lt;&gt;0,$BJ65*SUMIFS(RZ[Úroveň 4 bez koef. (P3)],RZ[0],AX65,RZ[Úroveň 2 (P0)],AY65,RZ[Úroveň 3 (P0)],AZ65),$BJ65*$IQ65)</f>
        <v>115</v>
      </c>
      <c r="EL65" s="140">
        <f ca="1">RZ[[#This Row],[Úroveň 4 s koef. (P3a)]]*RZ[[#This Row],[Počet MJCR (P0) pro "kg"]]</f>
        <v>0</v>
      </c>
      <c r="EM65" s="140">
        <f ca="1">RZ[Úroveň 4 bez koef. (P3a)]*RZ[[#This Row],[Počet MJCR (P0) pro "kg"]]</f>
        <v>0</v>
      </c>
      <c r="EN65" s="140">
        <f ca="1">IF(OFFSET(BB65,1,0,1,1)&lt;&gt;0,RZ[[#This Row],[Koeficient odhadu CR '[-'] (P1)]]*$BK65*SUMIFS(RZ[Úroveň 5 s koef. (P3)],RZ[0],AX65,RZ[Úroveň 2 (P0)],AY65,RZ[Úroveň 3 (P0)],AZ65,RZ[Úroveň 4 (P0)],BA65),RZ[[#This Row],[Koeficient odhadu CR '[-'] (P1)]]*$BK65*$IQ65)</f>
        <v>0</v>
      </c>
      <c r="EO65" s="140">
        <f ca="1">IF(OFFSET(BB65,1,0,1,1)&lt;&gt;0,$BK65*SUMIFS(RZ[Úroveň 5 bez koef. (P3)],RZ[0],AX65,RZ[Úroveň 2 (P0)],AY65,RZ[Úroveň 3 (P0)],AZ65,RZ[Úroveň 4 (P0)],BA65),$BK65*$IQ65)</f>
        <v>0</v>
      </c>
      <c r="EP65" s="135">
        <f ca="1">RZ[[#This Row],[Úroveň 5 s koef. (P3a)]]*RZ[[#This Row],[Počet MJCR (P0) pro "kg"]]</f>
        <v>0</v>
      </c>
      <c r="EQ65" s="135">
        <f ca="1">RZ[Úroveň 5 bez koef. (P3a)]*RZ[[#This Row],[Počet MJCR (P0) pro "kg"]]</f>
        <v>0</v>
      </c>
      <c r="ER65" s="135">
        <f ca="1">IF(OFFSET(BC65,1,0,1,1)&lt;&gt;0,RZ[[#This Row],[Koeficient odhadu CR '[-'] (P1)]]*$BL65*SUMIFS(RZ[Úroveň 6 s koef. (P3)],RZ[0],AX65,RZ[Úroveň 2 (P0)],AY65,RZ[Úroveň 3 (P0)],AZ65,RZ[Úroveň 4 (P0)],BA65,RZ[Úroveň 5 (P0)],BB65),RZ[[#This Row],[Koeficient odhadu CR '[-'] (P1)]]*$BL65*$IQ65)</f>
        <v>0</v>
      </c>
      <c r="ES65" s="135">
        <f ca="1">IF(OFFSET(BC65,1,0,1,1)&lt;&gt;0,$BL65*SUMIFS(RZ[Úroveň 6 bez koef. (P3)],RZ[0],AX65,RZ[Úroveň 2 (P0)],AY65,RZ[Úroveň 3 (P0)],AZ65,RZ[Úroveň 4 (P0)],BA65,RZ[Úroveň 5 (P0)],BB65),$BL65*$IQ65)</f>
        <v>0</v>
      </c>
      <c r="ET65" s="140">
        <f ca="1">RZ[[#This Row],[Úroveň 6 s koef. (P3a)]]*RZ[[#This Row],[Počet MJCR (P0) pro "kg"]]</f>
        <v>0</v>
      </c>
      <c r="EU65" s="140">
        <f ca="1">RZ[Úroveň 6 bez koef. (P3a)]*RZ[[#This Row],[Počet MJCR (P0) pro "kg"]]</f>
        <v>0</v>
      </c>
      <c r="EV65" s="140">
        <f ca="1">IF(OFFSET(BD65,1,0,1,1)&lt;&gt;0,RZ[[#This Row],[Koeficient odhadu CR '[-'] (P1)]]*$BM65*SUMIFS(RZ[Úroveň 7 s koef. (P3)],RZ[0],AX65,RZ[Úroveň 2 (P0)],AY65,RZ[Úroveň 3 (P0)],AZ65,RZ[Úroveň 4 (P0)],BA65,RZ[Úroveň 5 (P0)],BB65,RZ[Úroveň 6 (P0)],BC65),RZ[[#This Row],[Koeficient odhadu CR '[-'] (P1)]]*$BM65*$IQ65)</f>
        <v>0</v>
      </c>
      <c r="EW65" s="140">
        <f ca="1">IF(OFFSET(BD65,1,0,1,1)&lt;&gt;0,$BM65*SUMIFS(RZ[Úroveň 7 bez koef. (P3)],RZ[0],AX65,RZ[Úroveň 2 (P0)],AY65,RZ[Úroveň 3 (P0)],AZ65,RZ[Úroveň 4 (P0)],BA65,RZ[Úroveň 5 (P0)],BB65,RZ[Úroveň 6 (P0)],BC65),$BM65*$IQ65)</f>
        <v>0</v>
      </c>
      <c r="EX65" s="135">
        <f ca="1">RZ[[#This Row],[Úroveň 7 s koef. (P3a)]]*RZ[[#This Row],[Počet MJCR (P0) pro "kg"]]</f>
        <v>0</v>
      </c>
      <c r="EY65" s="135">
        <f ca="1">RZ[Úroveň 7 bez koef. (P3a)]*RZ[[#This Row],[Počet MJCR (P0) pro "kg"]]</f>
        <v>0</v>
      </c>
      <c r="EZ65" s="135">
        <f ca="1">IF(OFFSET(BE65,1,0,1,1)&lt;&gt;0,RZ[[#This Row],[Koeficient odhadu CR '[-'] (P1)]]*$BN65*SUMIFS(RZ[Úroveň 8 s koef. (P3)],RZ[0],AX65,RZ[Úroveň 2 (P0)],AY65,RZ[Úroveň 3 (P0)],AZ65,RZ[Úroveň 4 (P0)],BA65,RZ[Úroveň 5 (P0)],BB65,RZ[Úroveň 6 (P0)],BC65,RZ[Úroveň 7 (P0)],BD65),RZ[[#This Row],[Koeficient odhadu CR '[-'] (P1)]]*$BN65*$IQ65)</f>
        <v>0</v>
      </c>
      <c r="FA65" s="135">
        <f ca="1">IF(OFFSET(BE65,1,0,1,1)&lt;&gt;0,$BN65*SUMIFS(RZ[Úroveň 8 bez koef. (P3)],RZ[0],AX65,RZ[Úroveň 2 (P0)],AY65,RZ[Úroveň 3 (P0)],AZ65,RZ[Úroveň 4 (P0)],BA65,RZ[Úroveň 5 (P0)],BB65,RZ[Úroveň 6 (P0)],BC65,RZ[Úroveň 7 (P0)],BD65),$BN65*$IQ65)</f>
        <v>0</v>
      </c>
      <c r="FB65" s="140">
        <f ca="1">RZ[[#This Row],[Úroveň 8 s koef. (P3a)]]*RZ[[#This Row],[Počet MJCR (P0) pro "kg"]]</f>
        <v>0</v>
      </c>
      <c r="FC65" s="140">
        <f ca="1">RZ[Úroveň 8 bez koef. (P3a)]*RZ[[#This Row],[Počet MJCR (P0) pro "kg"]]</f>
        <v>0</v>
      </c>
      <c r="FD65" s="140">
        <f ca="1">IF(OFFSET(BF65,1,0,1,1)&lt;&gt;0,RZ[[#This Row],[Koeficient odhadu CR '[-'] (P1)]]*$BO65*SUMIFS(RZ[Úroveň 9 s koef. (P3)],RZ[0],AX65,RZ[Úroveň 2 (P0)],AY65,RZ[Úroveň 3 (P0)],AZ65,RZ[Úroveň 4 (P0)],BA65,RZ[Úroveň 5 (P0)],BB65,RZ[Úroveň 6 (P0)],BC65,RZ[Úroveň 7 (P0)],BD65,RZ[Úroveň 8 (P0)],BE65),RZ[[#This Row],[Koeficient odhadu CR '[-'] (P1)]]*$BO65*$IQ65)</f>
        <v>0</v>
      </c>
      <c r="FE65" s="140">
        <f ca="1">IF(OFFSET(BF65,1,0,1,1)&lt;&gt;0,$BO65*SUMIFS(RZ[Úroveň 9 bez koef. (P3)],RZ[0],AX65,RZ[Úroveň 2 (P0)],AY65,RZ[Úroveň 3 (P0)],AZ65,RZ[Úroveň 4 (P0)],BA65,RZ[Úroveň 5 (P0)],BB65,RZ[Úroveň 6 (P0)],BC65,RZ[Úroveň 7 (P0)],BD65,RZ[Úroveň 8 (P0)],BE65),$BO65*$IQ65)</f>
        <v>0</v>
      </c>
      <c r="FF65" s="135">
        <f ca="1">RZ[[#This Row],[Úroveň 9 s koef. (P3a)]]*RZ[[#This Row],[Počet MJCR (P0) pro "kg"]]</f>
        <v>0</v>
      </c>
      <c r="FG65" s="135">
        <f ca="1">RZ[Úroveň 9 bez koef. (P3a)]*RZ[[#This Row],[Počet MJCR (P0) pro "kg"]]</f>
        <v>0</v>
      </c>
      <c r="FH65" s="135">
        <f ca="1">IF(OFFSET(BG65,1,0,1,1)&lt;&gt;0,RZ[[#This Row],[Koeficient odhadu CR '[-'] (P1)]]*$BP65*SUMIFS(RZ[Úroveň 10 s koef. (P3)],RZ[0],AX65,RZ[Úroveň 2 (P0)],AY65,RZ[Úroveň 3 (P0)],AZ65,RZ[Úroveň 4 (P0)],BA65,RZ[Úroveň 5 (P0)],BB65,RZ[Úroveň 6 (P0)],BC65,RZ[Úroveň 7 (P0)],BD65,RZ[Úroveň 8 (P0)],BE65,RZ[Úroveň 9 (P0)],BF65),RZ[[#This Row],[Koeficient odhadu CR '[-'] (P1)]]*$BP65*$IQ65)</f>
        <v>0</v>
      </c>
      <c r="FI65" s="135">
        <f ca="1">IF(OFFSET(BG65,1,0,1,1)&lt;&gt;0,$BP65*SUMIFS(RZ[Úroveň 10 bez koef. (P3)],RZ[0],AX65,RZ[Úroveň 2 (P0)],AY65,RZ[Úroveň 3 (P0)],AZ65,RZ[Úroveň 4 (P0)],BA65,RZ[Úroveň 5 (P0)],BB65,RZ[Úroveň 6 (P0)],BC65,RZ[Úroveň 7 (P0)],BD65,RZ[Úroveň 8 (P0)],BE65,RZ[Úroveň 9 (P0)],BF65),$BP65*$IQ65)</f>
        <v>0</v>
      </c>
      <c r="FJ65" s="140">
        <f ca="1">RZ[[#This Row],[Úroveň 10 s koef. (P3a)]]*RZ[[#This Row],[Počet MJCR (P0) pro "kg"]]</f>
        <v>0</v>
      </c>
      <c r="FK65" s="140">
        <f ca="1">RZ[Úroveň 10 bez koef. (P3a)]*RZ[[#This Row],[Počet MJCR (P0) pro "kg"]]</f>
        <v>0</v>
      </c>
      <c r="FL65" s="140">
        <f ca="1">RZ[[#This Row],[Koeficient odhadu CR '[-'] (P1)]]*$BQ65*IQ65</f>
        <v>0</v>
      </c>
      <c r="FM65" s="236">
        <f t="shared" ca="1" si="419"/>
        <v>0</v>
      </c>
      <c r="FN65" s="194">
        <f t="shared" ca="1" si="420"/>
        <v>115</v>
      </c>
      <c r="FO65" s="238">
        <f t="shared" ca="1" si="421"/>
        <v>115</v>
      </c>
      <c r="FP65" s="135">
        <f t="shared" ca="1" si="422"/>
        <v>0</v>
      </c>
      <c r="FQ65" s="135">
        <f t="shared" ca="1" si="423"/>
        <v>0</v>
      </c>
      <c r="FR65" s="135">
        <f t="shared" ca="1" si="424"/>
        <v>6.4</v>
      </c>
      <c r="FS65" s="135">
        <f t="shared" ca="1" si="425"/>
        <v>0</v>
      </c>
      <c r="FT65" s="135">
        <f t="shared" ca="1" si="426"/>
        <v>0</v>
      </c>
      <c r="FU65" s="135">
        <f t="shared" ca="1" si="427"/>
        <v>0</v>
      </c>
      <c r="FV65" s="135">
        <f t="shared" ca="1" si="428"/>
        <v>0</v>
      </c>
      <c r="FW65" s="135">
        <f t="shared" ca="1" si="429"/>
        <v>0</v>
      </c>
      <c r="FX65" s="135">
        <f t="shared" ca="1" si="430"/>
        <v>0</v>
      </c>
      <c r="FY65" s="135">
        <f t="shared" ca="1" si="431"/>
        <v>0</v>
      </c>
      <c r="FZ65" s="140">
        <f ca="1">SUMIFS(RZ[Úroveň 1 (P6)],RZ[0],AX65)</f>
        <v>1</v>
      </c>
      <c r="GA65" s="140">
        <f ca="1">SUMIFS(RZ[Úroveň 2 (P6)],RZ[0],AX65,RZ[Úroveň 2 (P0)],AY65)</f>
        <v>2</v>
      </c>
      <c r="GB65" s="140">
        <f ca="1">SUMIFS(RZ[Úroveň 3 (P6)],RZ[0],AX65,RZ[Úroveň 2 (P0)],AY65,RZ[Úroveň 3 (P0)],AZ65)</f>
        <v>6.4</v>
      </c>
      <c r="GC65" s="140">
        <f ca="1">SUMIFS(RZ[Úroveň 4 (P6)],RZ[0],AX65,RZ[Úroveň 2 (P0)],AY65,RZ[Úroveň 3 (P0)],AZ65,RZ[Úroveň 4 (P0)],BA65)</f>
        <v>0</v>
      </c>
      <c r="GD65" s="140">
        <f ca="1">SUMIFS(RZ[Úroveň 5 (P6)],RZ[0],AX65,RZ[Úroveň 2 (P0)],AY65,RZ[Úroveň 3 (P0)],AZ65,RZ[Úroveň 4 (P0)],BA65,RZ[Úroveň 5 (P0)],BB65)</f>
        <v>0</v>
      </c>
      <c r="GE65" s="140">
        <f ca="1">SUMIFS(RZ[Úroveň 6 (P6)],RZ[0],AX65,RZ[Úroveň 2 (P0)],AY65,RZ[Úroveň 3 (P0)],AZ65,RZ[Úroveň 4 (P0)],BA65,RZ[Úroveň 5 (P0)],BB65,RZ[Úroveň 6 (P0)],BC65)</f>
        <v>0</v>
      </c>
      <c r="GF65" s="140">
        <f ca="1">SUMIFS(RZ[Úroveň 7 (P6)],RZ[0],AX65,RZ[Úroveň 2 (P0)],AY65,RZ[Úroveň 3 (P0)],AZ65,RZ[Úroveň 4 (P0)],BA65,RZ[Úroveň 5 (P0)],BB65,RZ[Úroveň 6 (P0)],BC65,RZ[Úroveň 7 (P0)],BD65)</f>
        <v>0</v>
      </c>
      <c r="GG65" s="140">
        <f ca="1">SUMIFS(RZ[Úroveň 8 (P6)],RZ[0],AX65,RZ[Úroveň 2 (P0)],AY65,RZ[Úroveň 3 (P0)],AZ65,RZ[Úroveň 4 (P0)],BA65,RZ[Úroveň 5 (P0)],BB65,RZ[Úroveň 6 (P0)],BC65,RZ[Úroveň 7 (P0)],BD65,RZ[Úroveň 8 (P0)],BE65)</f>
        <v>0</v>
      </c>
      <c r="GH65" s="140">
        <f ca="1">SUMIFS(RZ[Úroveň 9 (P6)],RZ[0],AX65,RZ[Úroveň 2 (P0)],AY65,RZ[Úroveň 3 (P0)],AZ65,RZ[Úroveň 4 (P0)],BA65,RZ[Úroveň 5 (P0)],BB65,RZ[Úroveň 6 (P0)],BC65,RZ[Úroveň 7 (P0)],BD65,RZ[Úroveň 8 (P0)],BE65,RZ[Úroveň 9 (P0)],BF65)</f>
        <v>0</v>
      </c>
      <c r="GI65" s="140">
        <f ca="1">SUMIFS(RZ[Úroveň 10 (P6)],RZ[0],AX65,RZ[Úroveň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GJ65" s="918">
        <f t="shared" ca="1" si="432"/>
        <v>12.8</v>
      </c>
      <c r="GK65" s="808">
        <f t="shared" si="433"/>
        <v>0</v>
      </c>
      <c r="GL65" s="808">
        <f t="shared" si="434"/>
        <v>0</v>
      </c>
      <c r="GM65" s="808">
        <f t="shared" si="435"/>
        <v>1</v>
      </c>
      <c r="GN65" s="808">
        <f t="shared" si="436"/>
        <v>0</v>
      </c>
      <c r="GO65" s="808">
        <f t="shared" si="437"/>
        <v>0</v>
      </c>
      <c r="GP65" s="808">
        <f t="shared" si="438"/>
        <v>0</v>
      </c>
      <c r="GQ65" s="808">
        <f t="shared" si="439"/>
        <v>0</v>
      </c>
      <c r="GR65" s="808">
        <f t="shared" si="440"/>
        <v>0</v>
      </c>
      <c r="GS65" s="808">
        <f t="shared" si="441"/>
        <v>0</v>
      </c>
      <c r="GT65" s="808">
        <f t="shared" si="442"/>
        <v>0</v>
      </c>
      <c r="GU65" s="809">
        <f ca="1">SUMIFS(RZ[Sloupec1],RZ[0],AX65)</f>
        <v>1</v>
      </c>
      <c r="GV65" s="809">
        <f ca="1">SUMIFS(RZ[Sloupec2],RZ[0],AX65,RZ[Úroveň 2 (P0)],AY65)</f>
        <v>1</v>
      </c>
      <c r="GW65" s="809">
        <f ca="1">SUMIFS(RZ[Sloupec3],RZ[0],AX65,RZ[Úroveň 2 (P0)],AY65,RZ[Úroveň 3 (P0)],AZ65)</f>
        <v>1</v>
      </c>
      <c r="GX65" s="809">
        <f ca="1">SUMIFS(RZ[Sloupec4],RZ[0],AX65,RZ[Úroveň 2 (P0)],AY65,RZ[Úroveň 3 (P0)],AZ65,RZ[Úroveň 4 (P0)],BA65)</f>
        <v>0</v>
      </c>
      <c r="GY65" s="809">
        <f ca="1">SUMIFS(RZ[Sloupec5],RZ[0],AX65,RZ[Úroveň 2 (P0)],AY65,RZ[Úroveň 3 (P0)],AZ65,RZ[Úroveň 4 (P0)],BA65,RZ[Úroveň 5 (P0)],BB65)</f>
        <v>0</v>
      </c>
      <c r="GZ65" s="809">
        <f ca="1">SUMIFS(RZ[Sloupec6],RZ[0],AX65,RZ[Úroveň 2 (P0)],AY65,RZ[Úroveň 3 (P0)],AZ65,RZ[Úroveň 4 (P0)],BA65,RZ[Úroveň 5 (P0)],BB65,RZ[Úroveň 6 (P0)],BC65)</f>
        <v>0</v>
      </c>
      <c r="HA65" s="809">
        <f ca="1">SUMIFS(RZ[Sloupec62],RZ[0],AX65,RZ[Úroveň 2 (P0)],AY65,RZ[Úroveň 3 (P0)],AZ65,RZ[Úroveň 4 (P0)],BA65,RZ[Úroveň 5 (P0)],BB65,RZ[Úroveň 6 (P0)],BC65,RZ[Úroveň 7 (P0)],BD65)</f>
        <v>0</v>
      </c>
      <c r="HB65" s="809">
        <f ca="1">SUMIFS(RZ[Sloupec63],RZ[0],AX65,RZ[Úroveň 2 (P0)],AY65,RZ[Úroveň 3 (P0)],AZ65,RZ[Úroveň 4 (P0)],BA65,RZ[Úroveň 5 (P0)],BB65,RZ[Úroveň 6 (P0)],BC65,RZ[Úroveň 7 (P0)],BD65,RZ[Úroveň 8 (P0)],BE65)</f>
        <v>0</v>
      </c>
      <c r="HC65" s="809">
        <f ca="1">SUMIFS(RZ[Sloupec64],RZ[0],AX65,RZ[Úroveň 2 (P0)],AY65,RZ[Úroveň 3 (P0)],AZ65,RZ[Úroveň 4 (P0)],BA65,RZ[Úroveň 5 (P0)],BB65,RZ[Úroveň 6 (P0)],BC65,RZ[Úroveň 7 (P0)],BD65,RZ[Úroveň 8 (P0)],BE65,RZ[Úroveň 9 (P0)],BF65)</f>
        <v>0</v>
      </c>
      <c r="HD65" s="809">
        <f ca="1">SUMIFS(RZ[Sloupec65],RZ[0],AX65,RZ[Úroveň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HE65" s="919">
        <f t="shared" ca="1" si="443"/>
        <v>1</v>
      </c>
      <c r="HF65" s="920" t="str">
        <f t="shared" si="444"/>
        <v/>
      </c>
      <c r="HG65" s="94" t="str">
        <f t="shared" si="445"/>
        <v/>
      </c>
      <c r="HH65" s="95" t="str">
        <f t="shared" si="446"/>
        <v/>
      </c>
      <c r="HI65" s="95" t="str">
        <f t="shared" si="447"/>
        <v>Distanční kroužek</v>
      </c>
      <c r="HJ65" s="96" t="str">
        <f t="shared" si="448"/>
        <v/>
      </c>
      <c r="HK65" s="96" t="str">
        <f t="shared" si="449"/>
        <v/>
      </c>
      <c r="HL65" s="96" t="str">
        <f t="shared" si="450"/>
        <v/>
      </c>
      <c r="HM65" s="96" t="str">
        <f t="shared" si="451"/>
        <v/>
      </c>
      <c r="HN65" s="96" t="str">
        <f t="shared" si="452"/>
        <v/>
      </c>
      <c r="HO65" s="96" t="str">
        <f t="shared" si="453"/>
        <v/>
      </c>
      <c r="HP65" s="96" t="str">
        <f t="shared" si="454"/>
        <v/>
      </c>
      <c r="HQ65" s="145" t="str">
        <f t="shared" si="455"/>
        <v>STO2</v>
      </c>
      <c r="HR65" s="921" t="str">
        <f t="shared" si="456"/>
        <v/>
      </c>
      <c r="HS65" s="173">
        <f t="shared" si="457"/>
        <v>0</v>
      </c>
      <c r="HT65" s="100">
        <f t="shared" si="458"/>
        <v>0</v>
      </c>
      <c r="HU65" s="100">
        <f t="shared" si="459"/>
        <v>0</v>
      </c>
      <c r="HV65" s="908">
        <f t="shared" si="460"/>
        <v>0</v>
      </c>
      <c r="HW65" s="922">
        <f t="shared" si="461"/>
        <v>0</v>
      </c>
      <c r="HX65" s="224">
        <f t="shared" si="462"/>
        <v>0</v>
      </c>
      <c r="HY65" s="263" t="str">
        <f t="shared" si="463"/>
        <v>S</v>
      </c>
      <c r="HZ65" s="263">
        <f t="shared" si="464"/>
        <v>0</v>
      </c>
      <c r="IA65" s="150">
        <f t="shared" si="465"/>
        <v>1</v>
      </c>
      <c r="IB65" s="319">
        <f t="shared" si="466"/>
        <v>0</v>
      </c>
      <c r="IC65" s="923">
        <f t="shared" si="467"/>
        <v>0</v>
      </c>
      <c r="ID65" s="924" t="str">
        <f t="shared" ca="1" si="468"/>
        <v>OK</v>
      </c>
      <c r="IE65" s="201" t="str">
        <f t="shared" si="469"/>
        <v>ks</v>
      </c>
      <c r="IF65" s="145">
        <f t="shared" si="470"/>
        <v>4</v>
      </c>
      <c r="IG65" s="216">
        <f t="shared" si="471"/>
        <v>1.6</v>
      </c>
      <c r="IH65" s="217">
        <f t="shared" si="472"/>
        <v>1</v>
      </c>
      <c r="II65" s="224" t="str">
        <f ca="1">IF(RZ[[#This Row],[Rozhodný sloupec indikativní ceny]]=1,"kg",IF($IW65=$JL$15,IF(JX65=0,JO65,JX65),IF($IW65=$KE$15,IF(KQ65=0,KH65,KQ65),IF($IW65=$KX$15,IF(LJ65=0,LA65,LJ65),IF($IW65=$LQ$15,IF(MC65=0,LT65,MC65),IF($IW65=$MJ$15,IF(NQ65=0,NH65,NQ65),0))))))</f>
        <v>kg</v>
      </c>
      <c r="IJ65" s="224">
        <f ca="1">IF((BH65+OFFSET(BH65,1,1,1,1))=2,RZ[[#This Row],[Počet MJHR (P0)]],IF((BI65+OFFSET(BI65,1,1,1,1))=2,RZ[[#This Row],[Počet MJHR (P0)]],IF((BJ65+OFFSET(BJ65,1,1,1,1))=2,RZ[[#This Row],[Počet MJHR (P0)]],IF((BK65+OFFSET(BK65,1,1,1,1))=2,RZ[[#This Row],[Počet MJHR (P0)]],IF((BL65+OFFSET(BL65,1,1,1,1))=2,RZ[[#This Row],[Počet MJHR (P0)]],IF((BM65+OFFSET(BM65,1,1,1,1))=2,RZ[[#This Row],[Počet MJHR (P0)]],IF((BN65+OFFSET(BN65,1,1,1,1))=2,RZ[[#This Row],[Počet MJHR (P0)]],IF((BO65+OFFSET(BO65,1,1,1,1))=2,RZ[[#This Row],[Počet MJHR (P0)]],IF((BP65+OFFSET(BP65,1,1,1,1))=2,RZ[[#This Row],[Počet MJHR (P0)]],IF((BQ65+OFFSET(BQ65,1,1,1,1))=2,RZ[[#This Row],[Počet MJHR (P0)]],IF(RZ[[#This Row],[Měrná jednotka CR (MJCR) (P0)]]=RZ[[#This Row],[Měrná jednotka HR '[MJHR'] (P0)]],RZ[[#This Row],[Počet MJHR (P0)]],IF($IW65=$JL$15,JY65,IF($IW65=$KE$15,KR65,IF($IW65=$KX$15,LK65,IF($IW65=$LQ$15,MD65,IF($IW65=$MJ$15,NR65,0))))))))))))))))</f>
        <v>0</v>
      </c>
      <c r="IK6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5" s="145">
        <f ca="1">IF(AND(RZ[[#This Row],[Jednotková cena bez DPH '[cena/MJCR'] (P0)]]=0,RZ[[#This Row],[Indikativní jednotková cena '[CZK/kg'] (P1)]]&lt;&gt;0),1,0)</f>
        <v>1</v>
      </c>
      <c r="IM65" s="217">
        <f ca="1">VLOOKUP(RZ[[#This Row],[Kód položek]],INDIKAT_CENA,2,FALSE)</f>
        <v>115</v>
      </c>
      <c r="IN65" s="222">
        <f ca="1">IF(RZ[[#This Row],[Rozhodný sloupec indikativní ceny]]=1,RZ[[#This Row],[Indikativní jednotková cena '[CZK/kg'] (P1)]],RZ[[#This Row],[Jednotková cena bez DPH '[cena/MJCR'] (P0)]])</f>
        <v>115</v>
      </c>
      <c r="IO65" s="222">
        <f t="shared" si="473"/>
        <v>1</v>
      </c>
      <c r="IP65" s="224">
        <f ca="1">IF(RZ[[#This Row],[Rozhodný sloupec indikativní ceny]]=1,1,IF($IW65=$JL$15,KA65,IF($IW65=$KE$15,KT65,IF($IW65=$KX$15,LM65,IF($IW65=$LQ$15,MF65,IF($IW65=$MJ$15,NT65,0))))))</f>
        <v>1</v>
      </c>
      <c r="IQ65" s="225">
        <f ca="1">IF(RZ[[#This Row],[Jednotková cena bez DPH '[cena/MJCR'] (P1)]]="",0,IF(IP65=0,0,(RZ[[#This Row],[Jednotková cena bez DPH '[cena/MJCR'] (P1)]]*VLOOKUP(IP65,$BR$7:$BT$10,3))))</f>
        <v>115</v>
      </c>
      <c r="IR65" s="737"/>
      <c r="IS65" s="627">
        <f>IF(HY65=0,"",VLOOKUP(RZ[[#This Row],[Stav Projekce (P0)]],Vstupy!$E$11:'Vstupy'!$E$11:$H$17,4,FALSE))</f>
        <v>100</v>
      </c>
      <c r="IT65" s="925" t="str">
        <f>IF(RZ[[#This Row],[Stav Projekce (P0)]]=0,"",RZ[[#This Row],[Stav Projekce (P0)]])</f>
        <v>S</v>
      </c>
      <c r="IU65" s="925" t="str">
        <f>IF(RZ[[#This Row],[Stav Nákup (P0)]]=0,"",RZ[[#This Row],[Stav Nákup (P0)]])</f>
        <v/>
      </c>
      <c r="IV65" s="926" t="str">
        <f t="shared" si="474"/>
        <v/>
      </c>
      <c r="IW65" s="641">
        <v>1</v>
      </c>
      <c r="IX65" s="630"/>
      <c r="IY65" s="264"/>
      <c r="IZ65" s="648"/>
      <c r="JA65" s="100"/>
      <c r="JB65" s="100" t="s">
        <v>791</v>
      </c>
      <c r="JC65" s="100"/>
      <c r="JD65" s="100"/>
      <c r="JE65" s="100"/>
      <c r="JF65" s="100"/>
      <c r="JG65" s="100"/>
      <c r="JH65" s="100"/>
      <c r="JI65" s="100"/>
      <c r="JJ65" s="145" t="s">
        <v>773</v>
      </c>
      <c r="JK65" s="529"/>
      <c r="JL65" s="286"/>
      <c r="JM65" s="100"/>
      <c r="JN65" s="100"/>
      <c r="JO65" s="145" t="s">
        <v>35</v>
      </c>
      <c r="JP65" s="117">
        <v>4</v>
      </c>
      <c r="JQ65" s="117">
        <v>1.6</v>
      </c>
      <c r="JR65" s="148">
        <v>1</v>
      </c>
      <c r="JS65" s="145" t="s">
        <v>602</v>
      </c>
      <c r="JT65" s="631"/>
      <c r="JU65" s="148"/>
      <c r="JV65" s="154"/>
      <c r="JW65" s="145"/>
      <c r="JX65" s="210"/>
      <c r="JY65" s="117"/>
      <c r="JZ65" s="662"/>
      <c r="KA65" s="145"/>
      <c r="KB65" s="148"/>
      <c r="KC65" s="148"/>
      <c r="KD65" s="644"/>
      <c r="KE65" s="286"/>
      <c r="KF65" s="100"/>
      <c r="KG65" s="100"/>
      <c r="KH65" s="210"/>
      <c r="KI65" s="117"/>
      <c r="KJ65" s="117"/>
      <c r="KK65" s="148"/>
      <c r="KL65" s="145"/>
      <c r="KM65" s="632"/>
      <c r="KN65" s="148"/>
      <c r="KO65" s="154"/>
      <c r="KP65" s="154"/>
      <c r="KQ65" s="210"/>
      <c r="KR65" s="117"/>
      <c r="KS65" s="211"/>
      <c r="KT65" s="145"/>
      <c r="KU65" s="148"/>
      <c r="KV65" s="148"/>
      <c r="KW65" s="265"/>
      <c r="KX65" s="286"/>
      <c r="KY65" s="100"/>
      <c r="KZ65" s="100"/>
      <c r="LA65" s="210"/>
      <c r="LB65" s="117"/>
      <c r="LC65" s="117"/>
      <c r="LD65" s="148"/>
      <c r="LE65" s="145"/>
      <c r="LF65" s="632"/>
      <c r="LG65" s="148"/>
      <c r="LH65" s="154"/>
      <c r="LI65" s="154"/>
      <c r="LJ65" s="154"/>
      <c r="LK65" s="117"/>
      <c r="LL65" s="211"/>
      <c r="LM65" s="210"/>
      <c r="LN65" s="148"/>
      <c r="LO65" s="148"/>
      <c r="LP65" s="265"/>
      <c r="LQ65" s="286"/>
      <c r="LR65" s="100"/>
      <c r="LS65" s="100"/>
      <c r="LT65" s="210"/>
      <c r="LU65" s="117"/>
      <c r="LV65" s="117"/>
      <c r="LW65" s="148"/>
      <c r="LX65" s="145"/>
      <c r="LY65" s="632"/>
      <c r="LZ65" s="148"/>
      <c r="MA65" s="154"/>
      <c r="MB65" s="154"/>
      <c r="MC65" s="145"/>
      <c r="MD65" s="117"/>
      <c r="ME65" s="211"/>
      <c r="MF65" s="210"/>
      <c r="MG65" s="148"/>
      <c r="MH65" s="148"/>
      <c r="MI65" s="265"/>
      <c r="MJ65" s="647"/>
      <c r="MK65" s="264"/>
      <c r="ML65" s="153"/>
      <c r="MM65" s="153"/>
      <c r="MN65" s="153"/>
      <c r="MO65" s="153"/>
      <c r="MP65" s="153"/>
      <c r="MQ65" s="153"/>
      <c r="MR65" s="153"/>
      <c r="MS65" s="99"/>
      <c r="MT65" s="99"/>
      <c r="MU65" s="99"/>
      <c r="MV65" s="99"/>
      <c r="MW65" s="99"/>
      <c r="MX65" s="99"/>
      <c r="MY65" s="153"/>
      <c r="MZ65" s="153"/>
      <c r="NA65" s="153"/>
      <c r="NB65" s="153"/>
      <c r="NC65" s="153"/>
      <c r="ND65" s="153"/>
      <c r="NE65" s="148"/>
      <c r="NF65" s="153"/>
      <c r="NG65" s="153"/>
      <c r="NH65" s="330" t="str">
        <f t="shared" si="475"/>
        <v>ks</v>
      </c>
      <c r="NI65" s="797">
        <f>RZ[[#This Row],[Počet ks (K)]]</f>
        <v>0</v>
      </c>
      <c r="NJ65" s="798">
        <f>RZ[[#This Row],[Hmotnost '[kg/ks'] (K)]]</f>
        <v>0</v>
      </c>
      <c r="NK65" s="148"/>
      <c r="NL65" s="145"/>
      <c r="NM65" s="632"/>
      <c r="NN65" s="148"/>
      <c r="NO65" s="154"/>
      <c r="NP65" s="153"/>
      <c r="NQ65" s="153"/>
      <c r="NR65" s="210"/>
      <c r="NS65" s="148"/>
      <c r="NT65" s="210"/>
      <c r="NU65" s="148"/>
      <c r="NV65" s="148"/>
      <c r="NW65" s="175"/>
    </row>
    <row r="66" spans="2:387" ht="15.95" customHeight="1" x14ac:dyDescent="0.35">
      <c r="B66" s="118" t="str">
        <f t="shared" si="359"/>
        <v/>
      </c>
      <c r="C6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6" s="262" t="str">
        <f t="shared" si="360"/>
        <v xml:space="preserve">    Distanční kroužek</v>
      </c>
      <c r="E66" s="120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Row],[Kód položek (P2)]]))))))))))</f>
        <v>STO2</v>
      </c>
      <c r="F66" s="791" t="str">
        <f t="shared" si="361"/>
        <v>N/A</v>
      </c>
      <c r="G66" s="792" t="str">
        <f t="shared" si="362"/>
        <v/>
      </c>
      <c r="H66" s="262" t="str">
        <f t="shared" si="363"/>
        <v/>
      </c>
      <c r="I66" s="123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HR '[MJHR'] (P0)]]))))))))))</f>
        <v>ks</v>
      </c>
      <c r="J66" s="123">
        <f t="shared" si="364"/>
        <v>8</v>
      </c>
      <c r="K66" s="793">
        <f>RZ[[#This Row],[Koeficient odhadu HR '[-'] (P1)]]</f>
        <v>1</v>
      </c>
      <c r="L66" s="124">
        <f ca="1">RZ[[#This Row],[Jednotková hmotnost s koef. '[kg/MJHR'] (P0)]]</f>
        <v>0.8</v>
      </c>
      <c r="M66" s="794">
        <f t="shared" ca="1" si="365"/>
        <v>0</v>
      </c>
      <c r="N66" s="125">
        <f t="shared" ca="1" si="366"/>
        <v>6.4</v>
      </c>
      <c r="O66" s="125">
        <f t="shared" ca="1" si="367"/>
        <v>0</v>
      </c>
      <c r="P66" s="126" t="str">
        <f t="shared" si="368"/>
        <v/>
      </c>
      <c r="Q66" s="795">
        <f ca="1">RZ[[#This Row],[Počet MJHR v rozpadu (P0)]]</f>
        <v>16</v>
      </c>
      <c r="R66" s="439" t="str">
        <f t="shared" si="369"/>
        <v/>
      </c>
      <c r="S66" s="129" t="str">
        <f t="shared" si="370"/>
        <v/>
      </c>
      <c r="T66" s="126" t="str">
        <f t="shared" si="371"/>
        <v/>
      </c>
      <c r="U66" s="126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CR (MJCR) (P0)]]))))))))))</f>
        <v>kg</v>
      </c>
      <c r="V66" s="575">
        <f t="shared" ca="1" si="372"/>
        <v>6.4</v>
      </c>
      <c r="W66" s="322">
        <f>RZ[[#This Row],[Koeficient odhadu CR '[-'] (P1)]]</f>
        <v>1</v>
      </c>
      <c r="X66" s="440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Row],[Jednotková cena bez DPH '[cena/MJCR'] (P1)]]*RZ[[#This Row],[Koeficient odhadu CR '[-']]]))))))))))</f>
        <v>115</v>
      </c>
      <c r="Y66" s="440">
        <f t="shared" ca="1" si="373"/>
        <v>0</v>
      </c>
      <c r="Z66" s="142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VLOOKUP(IP66,$BR$7:$BS$11,2,FALSE)))))))))))</f>
        <v>CZK</v>
      </c>
      <c r="AA66" s="909">
        <f t="shared" ca="1" si="374"/>
        <v>12.8</v>
      </c>
      <c r="AB66" s="910">
        <f ca="1">RZ[[#This Row],[Kumulovaný koeficient v rozpadu (P0)]]</f>
        <v>1</v>
      </c>
      <c r="AC66" s="261"/>
      <c r="AD66" s="796">
        <f ca="1">RZ[[#This Row],[Jednotková cena bez DPH '[cena/MJCR'] s koef. (P0)]]/RZ[[#This Row],[Koeficient odhadu CR '[-']]]*RZ[[#This Row],[Kumulovaný koeficient odhadu CR  '[-']]]</f>
        <v>115</v>
      </c>
      <c r="AE66" s="796">
        <f t="shared" ca="1" si="375"/>
        <v>1472</v>
      </c>
      <c r="AF66" s="796">
        <f ca="1">-IF(ISNUMBER(AA66),RZ[[#This Row],[Celková cena bez DPH (1)]]-RZ[[#This Row],[Jednotková cena bez DPH '[cena/MJCR'] bez koef. (P0)]]*AA66,0)</f>
        <v>0</v>
      </c>
      <c r="AG6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6" s="261"/>
      <c r="AI66" s="796">
        <f t="shared" ca="1" si="376"/>
        <v>4.2592592592592595</v>
      </c>
      <c r="AJ66" s="796">
        <f t="shared" ca="1" si="377"/>
        <v>54.518518518518519</v>
      </c>
      <c r="AK66" s="796">
        <f t="shared" ca="1" si="378"/>
        <v>0</v>
      </c>
      <c r="AL66" s="753">
        <f ca="1">RZ[[#This Row],[Kilogramová cena bez DPH '[cena/kg'] (1)]]/$AK$13</f>
        <v>4.2592592592592595</v>
      </c>
      <c r="AM66" s="261"/>
      <c r="AN66" s="796">
        <f t="shared" ca="1" si="379"/>
        <v>5.5555555555555554</v>
      </c>
      <c r="AO66" s="796">
        <f t="shared" ca="1" si="380"/>
        <v>71.111111111111114</v>
      </c>
      <c r="AP66" s="796">
        <f t="shared" ca="1" si="381"/>
        <v>0</v>
      </c>
      <c r="AQ66" s="753">
        <f ca="1">RZ[[#This Row],[Kilogramová cena bez DPH '[cena/kg'] (1)]]/$AP$13</f>
        <v>5.5555555555555554</v>
      </c>
      <c r="AR66" s="261"/>
      <c r="AS66" s="796">
        <f t="shared" ca="1" si="382"/>
        <v>3.1455142231947484</v>
      </c>
      <c r="AT66" s="796">
        <f t="shared" ca="1" si="383"/>
        <v>40.262582056892775</v>
      </c>
      <c r="AU66" s="789">
        <f t="shared" ca="1" si="384"/>
        <v>0</v>
      </c>
      <c r="AV66" s="767">
        <f ca="1">RZ[[#This Row],[Kilogramová cena bez DPH '[cena/kg'] (1)]]/$AU$13</f>
        <v>3.1455142231947484</v>
      </c>
      <c r="AW66" s="165"/>
      <c r="AX66" s="911">
        <f t="shared" ca="1" si="385"/>
        <v>2</v>
      </c>
      <c r="AY66" s="111">
        <f t="shared" ca="1" si="386"/>
        <v>2</v>
      </c>
      <c r="AZ66" s="111">
        <f t="shared" ca="1" si="387"/>
        <v>11</v>
      </c>
      <c r="BA66" s="111">
        <f t="shared" ca="1" si="388"/>
        <v>0</v>
      </c>
      <c r="BB66" s="111">
        <f t="shared" ca="1" si="389"/>
        <v>0</v>
      </c>
      <c r="BC66" s="111">
        <f t="shared" ca="1" si="390"/>
        <v>0</v>
      </c>
      <c r="BD66" s="111">
        <f t="shared" ca="1" si="391"/>
        <v>0</v>
      </c>
      <c r="BE66" s="111">
        <f t="shared" ca="1" si="392"/>
        <v>0</v>
      </c>
      <c r="BF66" s="111">
        <f t="shared" ca="1" si="393"/>
        <v>0</v>
      </c>
      <c r="BG66" s="112">
        <f t="shared" ca="1" si="394"/>
        <v>0</v>
      </c>
      <c r="BH66" s="911">
        <f t="shared" si="395"/>
        <v>0</v>
      </c>
      <c r="BI66" s="111">
        <f t="shared" si="396"/>
        <v>0</v>
      </c>
      <c r="BJ66" s="111">
        <f t="shared" si="397"/>
        <v>1</v>
      </c>
      <c r="BK66" s="111">
        <f t="shared" si="398"/>
        <v>0</v>
      </c>
      <c r="BL66" s="111">
        <f t="shared" si="399"/>
        <v>0</v>
      </c>
      <c r="BM66" s="111">
        <f t="shared" si="400"/>
        <v>0</v>
      </c>
      <c r="BN66" s="111">
        <f t="shared" si="401"/>
        <v>0</v>
      </c>
      <c r="BO66" s="111">
        <f t="shared" si="402"/>
        <v>0</v>
      </c>
      <c r="BP66" s="111">
        <f t="shared" si="403"/>
        <v>0</v>
      </c>
      <c r="BQ66" s="112">
        <f t="shared" si="404"/>
        <v>0</v>
      </c>
      <c r="BR66" s="132">
        <f ca="1">IF(OFFSET(AY66,1,0,1,1)&lt;&gt;0,RZ[[#This Row],[Koeficient odhadu HR '[-'] (P1)]]*$BH66*SUMIFS(RZ[Úroveň 2 s koef. (P2)],RZ[0],AX66),RZ[[#This Row],[Koeficient odhadu HR '[-'] (P1)]]*$BH66*$IG66)</f>
        <v>0</v>
      </c>
      <c r="BS66" s="186">
        <f ca="1">IF(OFFSET(AY66,1,0,1,1)&lt;&gt;0,$BH66*SUMIFS(RZ[Úroveň 2 bez koef. (P2)],RZ[0],AX66),$BH66*$IG66)</f>
        <v>0</v>
      </c>
      <c r="BT66" s="138">
        <f ca="1">RZ[[#This Row],[Úroveň 2 s koef. (P2a)]]*RZ[[#This Row],[Počet MJHR (P0)]]</f>
        <v>0</v>
      </c>
      <c r="BU66" s="138">
        <f ca="1">RZ[[#This Row],[Úroveň 2 bez koef. (P2a)]]*RZ[[#This Row],[Počet MJHR (P0)]]</f>
        <v>0</v>
      </c>
      <c r="BV66" s="138">
        <f ca="1">IF(OFFSET(AZ66,1,0,1,1)&lt;&gt;0,RZ[[#This Row],[Koeficient odhadu HR '[-'] (P1)]]*$BI66*SUMIFS(RZ[Úroveň 3 s koef. (P2)],RZ[0],AX66,RZ[Úroveň 2 (P0)],AY66),RZ[[#This Row],[Koeficient odhadu HR '[-'] (P1)]]*$BI66*$IG66)</f>
        <v>0</v>
      </c>
      <c r="BW66" s="138">
        <f ca="1">IF(OFFSET(AZ66,1,0,1,1)&lt;&gt;0,$BI66*SUMIFS(RZ[Úroveň 3 bez koef. (P2)],RZ[0],AX66,RZ[Úroveň 2 (P0)],AY66),$BI66*$IG66)</f>
        <v>0</v>
      </c>
      <c r="BX66" s="132">
        <f ca="1">RZ[[#This Row],[Úroveň 3 s koef. (P2a)]]*RZ[[#This Row],[Počet MJHR (P0)]]</f>
        <v>6.4</v>
      </c>
      <c r="BY66" s="132">
        <f ca="1">RZ[Úroveň 3 bez koef. (P2a)]*RZ[[#This Row],[Počet MJHR (P0)]]</f>
        <v>6.4</v>
      </c>
      <c r="BZ66" s="132">
        <f ca="1">IF(OFFSET(BA66,1,0,1,1)&lt;&gt;0,RZ[[#This Row],[Koeficient odhadu HR '[-'] (P1)]]*$BJ66*SUMIFS(RZ[Úroveň 4 s koef. (P2)],RZ[0],AX66,RZ[Úroveň 2 (P0)],AY66,RZ[Úroveň 3 (P0)],AZ66),RZ[[#This Row],[Koeficient odhadu HR '[-'] (P1)]]*$BJ66*$IG66)</f>
        <v>0.8</v>
      </c>
      <c r="CA66" s="132">
        <f ca="1">IF(OFFSET(BA66,1,0,1,1)&lt;&gt;0,$BJ66*SUMIFS(RZ[Úroveň 4 bez koef. (P2)],RZ[0],AX66,RZ[Úroveň 2 (P0)],AY66,RZ[Úroveň 3 (P0)],AZ66),$BJ66*$IG66)</f>
        <v>0.8</v>
      </c>
      <c r="CB66" s="138">
        <f ca="1">RZ[[#This Row],[Úroveň 4 s koef. (P2a)]]*RZ[[#This Row],[Počet MJHR (P0)]]</f>
        <v>0</v>
      </c>
      <c r="CC66" s="138">
        <f ca="1">RZ[Úroveň 4 bez koef. (P2a)]*RZ[[#This Row],[Počet MJHR (P0)]]</f>
        <v>0</v>
      </c>
      <c r="CD66" s="138">
        <f ca="1">IF(OFFSET(BB66,1,0,1,1)&lt;&gt;0,RZ[[#This Row],[Koeficient odhadu HR '[-'] (P1)]]*$BK66*SUMIFS(RZ[Úroveň 5 s koef. (P2)],RZ[0],AX66,RZ[Úroveň 2 (P0)],AY66,RZ[Úroveň 3 (P0)],AZ66,RZ[Úroveň 4 (P0)],BA66),RZ[[#This Row],[Koeficient odhadu HR '[-'] (P1)]]*$BK66*$IG66)</f>
        <v>0</v>
      </c>
      <c r="CE66" s="138">
        <f ca="1">IF(OFFSET(BB66,1,0,1,1)&lt;&gt;0,$BK66*SUMIFS(RZ[Úroveň 5 bez koef. (P2)],RZ[0],AX66,RZ[Úroveň 2 (P0)],AY66,RZ[Úroveň 3 (P0)],AZ66,RZ[Úroveň 4 (P0)],BA66),$BK66*$IG66)</f>
        <v>0</v>
      </c>
      <c r="CF66" s="132">
        <f ca="1">RZ[[#This Row],[Úroveň 5 s koef. (P2a)]]*RZ[[#This Row],[Počet MJHR (P0)]]</f>
        <v>0</v>
      </c>
      <c r="CG66" s="132">
        <f ca="1">RZ[Úroveň 5 bez koef. (P2a)]*RZ[[#This Row],[Počet MJHR (P0)]]</f>
        <v>0</v>
      </c>
      <c r="CH66" s="132">
        <f ca="1">IF(OFFSET(BC66,1,0,1,1)&lt;&gt;0,RZ[[#This Row],[Koeficient odhadu HR '[-'] (P1)]]*$BL66*SUMIFS(RZ[Úroveň 6 s koef. (P2)],RZ[0],AX66,RZ[Úroveň 2 (P0)],AY66,RZ[Úroveň 3 (P0)],AZ66,RZ[Úroveň 4 (P0)],BA66,RZ[Úroveň 5 (P0)],BB66),RZ[[#This Row],[Koeficient odhadu HR '[-'] (P1)]]*$BL66*$IG66)</f>
        <v>0</v>
      </c>
      <c r="CI66" s="132">
        <f ca="1">IF(OFFSET(BC66,1,0,1,1)&lt;&gt;0,$BL66*SUMIFS(RZ[Úroveň 6 bez koef. (P2)],RZ[0],AX66,RZ[Úroveň 2 (P0)],AY66,RZ[Úroveň 3 (P0)],AZ66,RZ[Úroveň 4 (P0)],BA66,RZ[Úroveň 5 (P0)],BB66),$BL66*$IG66)</f>
        <v>0</v>
      </c>
      <c r="CJ66" s="138">
        <f ca="1">RZ[[#This Row],[Úroveň 6 s koef. (P2a)]]*RZ[[#This Row],[Počet MJHR (P0)]]</f>
        <v>0</v>
      </c>
      <c r="CK66" s="138">
        <f ca="1">RZ[Úroveň 6 bez koef. (P2a)]*RZ[[#This Row],[Počet MJHR (P0)]]</f>
        <v>0</v>
      </c>
      <c r="CL66" s="138">
        <f ca="1">IF(OFFSET(BD66,1,0,1,1)&lt;&gt;0,RZ[[#This Row],[Koeficient odhadu HR '[-'] (P1)]]*$BM66*SUMIFS(RZ[Úroveň 7 s koef. (P2)],RZ[0],AX66,RZ[Úroveň 2 (P0)],AY66,RZ[Úroveň 3 (P0)],AZ66,RZ[Úroveň 4 (P0)],BA66,RZ[Úroveň 5 (P0)],BB66,RZ[Úroveň 6 (P0)],BC66),RZ[[#This Row],[Koeficient odhadu HR '[-'] (P1)]]*$BM66*$IG66)</f>
        <v>0</v>
      </c>
      <c r="CM66" s="138">
        <f ca="1">IF(OFFSET(BD66,1,0,1,1)&lt;&gt;0,$BM66*SUMIFS(RZ[Úroveň 7 bez koef. (P2)],RZ[0],AX66,RZ[Úroveň 2 (P0)],AY66,RZ[Úroveň 3 (P0)],AZ66,RZ[Úroveň 4 (P0)],BA66,RZ[Úroveň 5 (P0)],BB66,RZ[Úroveň 6 (P0)],BC66),$BM66*$IG66)</f>
        <v>0</v>
      </c>
      <c r="CN66" s="132">
        <f ca="1">RZ[[#This Row],[Úroveň 7 s koef. (P2a)]]*RZ[[#This Row],[Počet MJHR (P0)]]</f>
        <v>0</v>
      </c>
      <c r="CO66" s="132">
        <f ca="1">RZ[Úroveň 7 bez koef. (P2a)]*RZ[[#This Row],[Počet MJHR (P0)]]</f>
        <v>0</v>
      </c>
      <c r="CP66" s="132">
        <f ca="1">IF(OFFSET(BE66,1,0,1,1)&lt;&gt;0,RZ[[#This Row],[Koeficient odhadu HR '[-'] (P1)]]*$BN66*SUMIFS(RZ[Úroveň 8 s koef. (P2)],RZ[0],AX66,RZ[Úroveň 2 (P0)],AY66,RZ[Úroveň 3 (P0)],AZ66,RZ[Úroveň 4 (P0)],BA66,RZ[Úroveň 5 (P0)],BB66,RZ[Úroveň 6 (P0)],BC66,RZ[Úroveň 7 (P0)],BD66),RZ[[#This Row],[Koeficient odhadu HR '[-'] (P1)]]*$BN66*$IG66)</f>
        <v>0</v>
      </c>
      <c r="CQ66" s="132">
        <f ca="1">IF(OFFSET(BE66,1,0,1,1)&lt;&gt;0,$BN66*SUMIFS(RZ[Úroveň 8 bez koef. (P2)],RZ[0],AX66,RZ[Úroveň 2 (P0)],AY66,RZ[Úroveň 3 (P0)],AZ66,RZ[Úroveň 4 (P0)],BA66,RZ[Úroveň 5 (P0)],BB66,RZ[Úroveň 6 (P0)],BC66,RZ[Úroveň 7 (P0)],BD66),$BN66*$IG66)</f>
        <v>0</v>
      </c>
      <c r="CR66" s="138">
        <f ca="1">RZ[[#This Row],[Úroveň 8 s koef. (P2a)]]*RZ[[#This Row],[Počet MJHR (P0)]]</f>
        <v>0</v>
      </c>
      <c r="CS66" s="138">
        <f ca="1">RZ[Úroveň 8 bez koef. (P2a)]*RZ[[#This Row],[Počet MJHR (P0)]]</f>
        <v>0</v>
      </c>
      <c r="CT66" s="138">
        <f ca="1">IF(OFFSET(BF66,1,0,1,1)&lt;&gt;0,RZ[[#This Row],[Koeficient odhadu HR '[-'] (P1)]]*$BO66*SUMIFS(RZ[Úroveň 9 s koef. (P2)],RZ[0],AX66,RZ[Úroveň 2 (P0)],AY66,RZ[Úroveň 3 (P0)],AZ66,RZ[Úroveň 4 (P0)],BA66,RZ[Úroveň 5 (P0)],BB66,RZ[Úroveň 6 (P0)],BC66,RZ[Úroveň 7 (P0)],BD66,RZ[Úroveň 8 (P0)],BE66),RZ[[#This Row],[Koeficient odhadu HR '[-'] (P1)]]*$BO66*$IG66)</f>
        <v>0</v>
      </c>
      <c r="CU66" s="138">
        <f ca="1">IF(OFFSET(BF66,1,0,1,1)&lt;&gt;0,$BO66*SUMIFS(RZ[Úroveň 9 bez koef. (P2)],RZ[0],AX66,RZ[Úroveň 2 (P0)],AY66,RZ[Úroveň 3 (P0)],AZ66,RZ[Úroveň 4 (P0)],BA66,RZ[Úroveň 5 (P0)],BB66,RZ[Úroveň 6 (P0)],BC66,RZ[Úroveň 7 (P0)],BD66,RZ[Úroveň 8 (P0)],BE66),$BO66*$IG66)</f>
        <v>0</v>
      </c>
      <c r="CV66" s="132">
        <f ca="1">RZ[[#This Row],[Úroveň 9 s koef. (P2a)]]*RZ[[#This Row],[Počet MJHR (P0)]]</f>
        <v>0</v>
      </c>
      <c r="CW66" s="132">
        <f ca="1">RZ[Úroveň 9 bez koef. (P2a)]*RZ[[#This Row],[Počet MJHR (P0)]]</f>
        <v>0</v>
      </c>
      <c r="CX66" s="132">
        <f ca="1">IF(OFFSET(BG66,1,0,1,1)&lt;&gt;0,RZ[[#This Row],[Koeficient odhadu HR '[-'] (P1)]]*$BP66*SUMIFS(RZ[Úroveň 10 s koef. (P2)],RZ[0],AX66,RZ[Úroveň 2 (P0)],AY66,RZ[Úroveň 3 (P0)],AZ66,RZ[Úroveň 4 (P0)],BA66,RZ[Úroveň 5 (P0)],BB66,RZ[Úroveň 6 (P0)],BC66,RZ[Úroveň 7 (P0)],BD66,RZ[Úroveň 8 (P0)],BE66,RZ[Úroveň 9 (P0)],BF66),RZ[[#This Row],[Koeficient odhadu HR '[-'] (P1)]]*$BP66*$IG66)</f>
        <v>0</v>
      </c>
      <c r="CY66" s="132">
        <f ca="1">IF(OFFSET(BG66,1,0,1,1)&lt;&gt;0,$BP66*SUMIFS(RZ[Úroveň 10 bez koef. (P2)],RZ[0],AX66,RZ[Úroveň 2 (P0)],AY66,RZ[Úroveň 3 (P0)],AZ66,RZ[Úroveň 4 (P0)],BA66,RZ[Úroveň 5 (P0)],BB66,RZ[Úroveň 6 (P0)],BC66,RZ[Úroveň 7 (P0)],BD66,RZ[Úroveň 8 (P0)],BE66,RZ[Úroveň 9 (P0)],BF66),$BP66*$IG66)</f>
        <v>0</v>
      </c>
      <c r="CZ66" s="138">
        <f>RZ[[#This Row],[Úroveň 10 s koef. (P2a)]]*RZ[[#This Row],[Počet MJHR (P0)]]</f>
        <v>0</v>
      </c>
      <c r="DA66" s="138">
        <f>RZ[Úroveň 10 bez koef. (P2a)]*RZ[[#This Row],[Počet MJHR (P0)]]</f>
        <v>0</v>
      </c>
      <c r="DB66" s="138">
        <f>RZ[[#This Row],[Koeficient odhadu HR '[-'] (P1)]]*$BQ66*IG66</f>
        <v>0</v>
      </c>
      <c r="DC66" s="231">
        <f t="shared" si="405"/>
        <v>0</v>
      </c>
      <c r="DD66" s="241">
        <f t="shared" ca="1" si="406"/>
        <v>0.8</v>
      </c>
      <c r="DE66" s="229">
        <f t="shared" ca="1" si="407"/>
        <v>0.8</v>
      </c>
      <c r="DF66" s="912">
        <f t="shared" si="408"/>
        <v>0</v>
      </c>
      <c r="DG66" s="913">
        <f t="shared" si="409"/>
        <v>0</v>
      </c>
      <c r="DH66" s="913">
        <f t="shared" si="410"/>
        <v>8</v>
      </c>
      <c r="DI66" s="913">
        <f t="shared" si="411"/>
        <v>0</v>
      </c>
      <c r="DJ66" s="913">
        <f t="shared" si="412"/>
        <v>0</v>
      </c>
      <c r="DK66" s="913">
        <f t="shared" si="413"/>
        <v>0</v>
      </c>
      <c r="DL66" s="913">
        <f t="shared" si="414"/>
        <v>0</v>
      </c>
      <c r="DM66" s="913">
        <f t="shared" si="415"/>
        <v>0</v>
      </c>
      <c r="DN66" s="913">
        <f t="shared" si="416"/>
        <v>0</v>
      </c>
      <c r="DO66" s="913">
        <f t="shared" si="417"/>
        <v>0</v>
      </c>
      <c r="DP66" s="914">
        <f ca="1">SUMIFS(RZ[Úroveň 1 (P4)],RZ[0],AX66)</f>
        <v>1</v>
      </c>
      <c r="DQ66" s="914">
        <f ca="1">SUMIFS(RZ[Úroveň 2 (P4)],RZ[0],AX66,RZ[Úroveň 2 (P0)],AY66)</f>
        <v>2</v>
      </c>
      <c r="DR66" s="914">
        <f ca="1">SUMIFS(RZ[Úroveň 3 (P4)],RZ[0],AX66,RZ[Úroveň 2 (P0)],AY66,RZ[Úroveň 3 (P0)],AZ66)</f>
        <v>8</v>
      </c>
      <c r="DS66" s="914">
        <f ca="1">SUMIFS(RZ[Úroveň 4 (P4)],RZ[0],AX66,RZ[Úroveň 2 (P0)],AY66,RZ[Úroveň 3 (P0)],AZ66,RZ[Úroveň 4 (P0)],BA66)</f>
        <v>0</v>
      </c>
      <c r="DT66" s="914">
        <f ca="1">SUMIFS(RZ[Úroveň 5 (P4)],RZ[0],AX66,RZ[Úroveň 2 (P0)],AY66,RZ[Úroveň 3 (P0)],AZ66,RZ[Úroveň 4 (P0)],BA66,RZ[Úroveň 5 (P0)],BB66)</f>
        <v>0</v>
      </c>
      <c r="DU66" s="914">
        <f ca="1">SUMIFS(RZ[Úroveň 6 (P4)],RZ[0],AX66,RZ[Úroveň 2 (P0)],AY66,RZ[Úroveň 3 (P0)],AZ66,RZ[Úroveň 4 (P0)],BA66,RZ[Úroveň 5 (P0)],BB66,RZ[Úroveň 6 (P0)],BC66)</f>
        <v>0</v>
      </c>
      <c r="DV66" s="914">
        <f ca="1">SUMIFS(RZ[Úroveň 7 (P4)],RZ[0],AX66,RZ[Úroveň 2 (P0)],AY66,RZ[Úroveň 3 (P0)],AZ66,RZ[Úroveň 4 (P0)],BA66,RZ[Úroveň 5 (P0)],BB66,RZ[Úroveň 6 (P0)],BC66,RZ[Úroveň 7 (P0)],BD66)</f>
        <v>0</v>
      </c>
      <c r="DW66" s="914">
        <f ca="1">SUMIFS(RZ[Úroveň 8 (P4)],RZ[0],AX66,RZ[Úroveň 2 (P0)],AY66,RZ[Úroveň 3 (P0)],AZ66,RZ[Úroveň 4 (P0)],BA66,RZ[Úroveň 5 (P0)],BB66,RZ[Úroveň 6 (P0)],BC66,RZ[Úroveň 7 (P0)],BD66,RZ[Úroveň 8 (P0)],BE66)</f>
        <v>0</v>
      </c>
      <c r="DX66" s="914">
        <f ca="1">SUMIFS(RZ[Úroveň 9 (P4)],RZ[0],AX66,RZ[Úroveň 2 (P0)],AY66,RZ[Úroveň 3 (P0)],AZ66,RZ[Úroveň 4 (P0)],BA66,RZ[Úroveň 5 (P0)],BB66,RZ[Úroveň 6 (P0)],BC66,RZ[Úroveň 7 (P0)],BD66,RZ[Úroveň 8 (P0)],BE66,RZ[Úroveň 9 (P0)],BF66)</f>
        <v>0</v>
      </c>
      <c r="DY66" s="914">
        <f ca="1">SUMIFS(RZ[Úroveň 10 (P4)],RZ[0],AX66,RZ[Úroveň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DZ66" s="915">
        <f t="shared" ca="1" si="418"/>
        <v>16</v>
      </c>
      <c r="EA66" s="916">
        <f ca="1">RZ[[#This Row],[Jednotková hmotnost bez koef. '[kg/MJHR'] (P0)]]*RZ[[#This Row],[Počet MJHR v rozpadu (P0)]]</f>
        <v>12.8</v>
      </c>
      <c r="EB66" s="917">
        <f ca="1">IF(OFFSET(AY66,1,0,1,1)&lt;&gt;0,RZ[[#This Row],[Koeficient odhadu CR '[-'] (P1)]]*$BH66*SUMIFS(RZ[Úroveň 2 s koef. (P3)],RZ[0],AX66),RZ[[#This Row],[Koeficient odhadu CR '[-'] (P1)]]*$BH66*$IQ66)</f>
        <v>0</v>
      </c>
      <c r="EC66" s="191">
        <f ca="1">IF(OFFSET(AY66,1,0,1,1)&lt;&gt;0,$BH66*SUMIFS(RZ[Úroveň 2 bez koef. (P3)],RZ[0],AX66),$BH66*$IQ66)</f>
        <v>0</v>
      </c>
      <c r="ED66" s="140">
        <f ca="1">RZ[[#This Row],[Úroveň 2 s koef. (P3a)]]*RZ[[#This Row],[Počet MJCR (P0) pro "kg"]]</f>
        <v>0</v>
      </c>
      <c r="EE66" s="140">
        <f ca="1">RZ[Úroveň 2 bez koef. (P3a)]*RZ[[#This Row],[Počet MJCR (P0) pro "kg"]]</f>
        <v>0</v>
      </c>
      <c r="EF66" s="140">
        <f ca="1">IF(OFFSET(AZ66,1,0,1,1)&lt;&gt;0,RZ[[#This Row],[Koeficient odhadu CR '[-'] (P1)]]*$BI66*SUMIFS(RZ[Úroveň 3 s koef. (P3)],RZ[0],AX66,RZ[Úroveň 2 (P0)],AY66),RZ[[#This Row],[Koeficient odhadu CR '[-'] (P1)]]*$BI66*$IQ66)</f>
        <v>0</v>
      </c>
      <c r="EG66" s="140">
        <f ca="1">IF(OFFSET(AZ66,1,0,1,1)&lt;&gt;0,$BI66*SUMIFS(RZ[Úroveň 3 bez koef. (P3)],RZ[0],AX66,RZ[Úroveň 2 (P0)],AY66),$BI66*$IQ66)</f>
        <v>0</v>
      </c>
      <c r="EH66" s="135">
        <f ca="1">RZ[[#This Row],[Úroveň 3 s koef. (P3a)]]*RZ[[#This Row],[Počet MJCR (P0) pro "kg"]]</f>
        <v>736</v>
      </c>
      <c r="EI66" s="135">
        <f ca="1">RZ[Úroveň 3 bez koef. (P3a)]*RZ[[#This Row],[Počet MJCR (P0) pro "kg"]]</f>
        <v>736</v>
      </c>
      <c r="EJ66" s="135">
        <f ca="1">IF(OFFSET(BA66,1,0,1,1)&lt;&gt;0,RZ[[#This Row],[Koeficient odhadu CR '[-'] (P1)]]*$BJ66*SUMIFS(RZ[Úroveň 4 s koef. (P3)],RZ[0],AX66,RZ[Úroveň 2 (P0)],AY66,RZ[Úroveň 3 (P0)],AZ66),RZ[[#This Row],[Koeficient odhadu CR '[-'] (P1)]]*$BJ66*$IQ66)</f>
        <v>115</v>
      </c>
      <c r="EK66" s="135">
        <f ca="1">IF(OFFSET(BA66,1,0,1,1)&lt;&gt;0,$BJ66*SUMIFS(RZ[Úroveň 4 bez koef. (P3)],RZ[0],AX66,RZ[Úroveň 2 (P0)],AY66,RZ[Úroveň 3 (P0)],AZ66),$BJ66*$IQ66)</f>
        <v>115</v>
      </c>
      <c r="EL66" s="140">
        <f ca="1">RZ[[#This Row],[Úroveň 4 s koef. (P3a)]]*RZ[[#This Row],[Počet MJCR (P0) pro "kg"]]</f>
        <v>0</v>
      </c>
      <c r="EM66" s="140">
        <f ca="1">RZ[Úroveň 4 bez koef. (P3a)]*RZ[[#This Row],[Počet MJCR (P0) pro "kg"]]</f>
        <v>0</v>
      </c>
      <c r="EN66" s="140">
        <f ca="1">IF(OFFSET(BB66,1,0,1,1)&lt;&gt;0,RZ[[#This Row],[Koeficient odhadu CR '[-'] (P1)]]*$BK66*SUMIFS(RZ[Úroveň 5 s koef. (P3)],RZ[0],AX66,RZ[Úroveň 2 (P0)],AY66,RZ[Úroveň 3 (P0)],AZ66,RZ[Úroveň 4 (P0)],BA66),RZ[[#This Row],[Koeficient odhadu CR '[-'] (P1)]]*$BK66*$IQ66)</f>
        <v>0</v>
      </c>
      <c r="EO66" s="140">
        <f ca="1">IF(OFFSET(BB66,1,0,1,1)&lt;&gt;0,$BK66*SUMIFS(RZ[Úroveň 5 bez koef. (P3)],RZ[0],AX66,RZ[Úroveň 2 (P0)],AY66,RZ[Úroveň 3 (P0)],AZ66,RZ[Úroveň 4 (P0)],BA66),$BK66*$IQ66)</f>
        <v>0</v>
      </c>
      <c r="EP66" s="135">
        <f ca="1">RZ[[#This Row],[Úroveň 5 s koef. (P3a)]]*RZ[[#This Row],[Počet MJCR (P0) pro "kg"]]</f>
        <v>0</v>
      </c>
      <c r="EQ66" s="135">
        <f ca="1">RZ[Úroveň 5 bez koef. (P3a)]*RZ[[#This Row],[Počet MJCR (P0) pro "kg"]]</f>
        <v>0</v>
      </c>
      <c r="ER66" s="135">
        <f ca="1">IF(OFFSET(BC66,1,0,1,1)&lt;&gt;0,RZ[[#This Row],[Koeficient odhadu CR '[-'] (P1)]]*$BL66*SUMIFS(RZ[Úroveň 6 s koef. (P3)],RZ[0],AX66,RZ[Úroveň 2 (P0)],AY66,RZ[Úroveň 3 (P0)],AZ66,RZ[Úroveň 4 (P0)],BA66,RZ[Úroveň 5 (P0)],BB66),RZ[[#This Row],[Koeficient odhadu CR '[-'] (P1)]]*$BL66*$IQ66)</f>
        <v>0</v>
      </c>
      <c r="ES66" s="135">
        <f ca="1">IF(OFFSET(BC66,1,0,1,1)&lt;&gt;0,$BL66*SUMIFS(RZ[Úroveň 6 bez koef. (P3)],RZ[0],AX66,RZ[Úroveň 2 (P0)],AY66,RZ[Úroveň 3 (P0)],AZ66,RZ[Úroveň 4 (P0)],BA66,RZ[Úroveň 5 (P0)],BB66),$BL66*$IQ66)</f>
        <v>0</v>
      </c>
      <c r="ET66" s="140">
        <f ca="1">RZ[[#This Row],[Úroveň 6 s koef. (P3a)]]*RZ[[#This Row],[Počet MJCR (P0) pro "kg"]]</f>
        <v>0</v>
      </c>
      <c r="EU66" s="140">
        <f ca="1">RZ[Úroveň 6 bez koef. (P3a)]*RZ[[#This Row],[Počet MJCR (P0) pro "kg"]]</f>
        <v>0</v>
      </c>
      <c r="EV66" s="140">
        <f ca="1">IF(OFFSET(BD66,1,0,1,1)&lt;&gt;0,RZ[[#This Row],[Koeficient odhadu CR '[-'] (P1)]]*$BM66*SUMIFS(RZ[Úroveň 7 s koef. (P3)],RZ[0],AX66,RZ[Úroveň 2 (P0)],AY66,RZ[Úroveň 3 (P0)],AZ66,RZ[Úroveň 4 (P0)],BA66,RZ[Úroveň 5 (P0)],BB66,RZ[Úroveň 6 (P0)],BC66),RZ[[#This Row],[Koeficient odhadu CR '[-'] (P1)]]*$BM66*$IQ66)</f>
        <v>0</v>
      </c>
      <c r="EW66" s="140">
        <f ca="1">IF(OFFSET(BD66,1,0,1,1)&lt;&gt;0,$BM66*SUMIFS(RZ[Úroveň 7 bez koef. (P3)],RZ[0],AX66,RZ[Úroveň 2 (P0)],AY66,RZ[Úroveň 3 (P0)],AZ66,RZ[Úroveň 4 (P0)],BA66,RZ[Úroveň 5 (P0)],BB66,RZ[Úroveň 6 (P0)],BC66),$BM66*$IQ66)</f>
        <v>0</v>
      </c>
      <c r="EX66" s="135">
        <f ca="1">RZ[[#This Row],[Úroveň 7 s koef. (P3a)]]*RZ[[#This Row],[Počet MJCR (P0) pro "kg"]]</f>
        <v>0</v>
      </c>
      <c r="EY66" s="135">
        <f ca="1">RZ[Úroveň 7 bez koef. (P3a)]*RZ[[#This Row],[Počet MJCR (P0) pro "kg"]]</f>
        <v>0</v>
      </c>
      <c r="EZ66" s="135">
        <f ca="1">IF(OFFSET(BE66,1,0,1,1)&lt;&gt;0,RZ[[#This Row],[Koeficient odhadu CR '[-'] (P1)]]*$BN66*SUMIFS(RZ[Úroveň 8 s koef. (P3)],RZ[0],AX66,RZ[Úroveň 2 (P0)],AY66,RZ[Úroveň 3 (P0)],AZ66,RZ[Úroveň 4 (P0)],BA66,RZ[Úroveň 5 (P0)],BB66,RZ[Úroveň 6 (P0)],BC66,RZ[Úroveň 7 (P0)],BD66),RZ[[#This Row],[Koeficient odhadu CR '[-'] (P1)]]*$BN66*$IQ66)</f>
        <v>0</v>
      </c>
      <c r="FA66" s="135">
        <f ca="1">IF(OFFSET(BE66,1,0,1,1)&lt;&gt;0,$BN66*SUMIFS(RZ[Úroveň 8 bez koef. (P3)],RZ[0],AX66,RZ[Úroveň 2 (P0)],AY66,RZ[Úroveň 3 (P0)],AZ66,RZ[Úroveň 4 (P0)],BA66,RZ[Úroveň 5 (P0)],BB66,RZ[Úroveň 6 (P0)],BC66,RZ[Úroveň 7 (P0)],BD66),$BN66*$IQ66)</f>
        <v>0</v>
      </c>
      <c r="FB66" s="140">
        <f ca="1">RZ[[#This Row],[Úroveň 8 s koef. (P3a)]]*RZ[[#This Row],[Počet MJCR (P0) pro "kg"]]</f>
        <v>0</v>
      </c>
      <c r="FC66" s="140">
        <f ca="1">RZ[Úroveň 8 bez koef. (P3a)]*RZ[[#This Row],[Počet MJCR (P0) pro "kg"]]</f>
        <v>0</v>
      </c>
      <c r="FD66" s="140">
        <f ca="1">IF(OFFSET(BF66,1,0,1,1)&lt;&gt;0,RZ[[#This Row],[Koeficient odhadu CR '[-'] (P1)]]*$BO66*SUMIFS(RZ[Úroveň 9 s koef. (P3)],RZ[0],AX66,RZ[Úroveň 2 (P0)],AY66,RZ[Úroveň 3 (P0)],AZ66,RZ[Úroveň 4 (P0)],BA66,RZ[Úroveň 5 (P0)],BB66,RZ[Úroveň 6 (P0)],BC66,RZ[Úroveň 7 (P0)],BD66,RZ[Úroveň 8 (P0)],BE66),RZ[[#This Row],[Koeficient odhadu CR '[-'] (P1)]]*$BO66*$IQ66)</f>
        <v>0</v>
      </c>
      <c r="FE66" s="140">
        <f ca="1">IF(OFFSET(BF66,1,0,1,1)&lt;&gt;0,$BO66*SUMIFS(RZ[Úroveň 9 bez koef. (P3)],RZ[0],AX66,RZ[Úroveň 2 (P0)],AY66,RZ[Úroveň 3 (P0)],AZ66,RZ[Úroveň 4 (P0)],BA66,RZ[Úroveň 5 (P0)],BB66,RZ[Úroveň 6 (P0)],BC66,RZ[Úroveň 7 (P0)],BD66,RZ[Úroveň 8 (P0)],BE66),$BO66*$IQ66)</f>
        <v>0</v>
      </c>
      <c r="FF66" s="135">
        <f ca="1">RZ[[#This Row],[Úroveň 9 s koef. (P3a)]]*RZ[[#This Row],[Počet MJCR (P0) pro "kg"]]</f>
        <v>0</v>
      </c>
      <c r="FG66" s="135">
        <f ca="1">RZ[Úroveň 9 bez koef. (P3a)]*RZ[[#This Row],[Počet MJCR (P0) pro "kg"]]</f>
        <v>0</v>
      </c>
      <c r="FH66" s="135">
        <f ca="1">IF(OFFSET(BG66,1,0,1,1)&lt;&gt;0,RZ[[#This Row],[Koeficient odhadu CR '[-'] (P1)]]*$BP66*SUMIFS(RZ[Úroveň 10 s koef. (P3)],RZ[0],AX66,RZ[Úroveň 2 (P0)],AY66,RZ[Úroveň 3 (P0)],AZ66,RZ[Úroveň 4 (P0)],BA66,RZ[Úroveň 5 (P0)],BB66,RZ[Úroveň 6 (P0)],BC66,RZ[Úroveň 7 (P0)],BD66,RZ[Úroveň 8 (P0)],BE66,RZ[Úroveň 9 (P0)],BF66),RZ[[#This Row],[Koeficient odhadu CR '[-'] (P1)]]*$BP66*$IQ66)</f>
        <v>0</v>
      </c>
      <c r="FI66" s="135">
        <f ca="1">IF(OFFSET(BG66,1,0,1,1)&lt;&gt;0,$BP66*SUMIFS(RZ[Úroveň 10 bez koef. (P3)],RZ[0],AX66,RZ[Úroveň 2 (P0)],AY66,RZ[Úroveň 3 (P0)],AZ66,RZ[Úroveň 4 (P0)],BA66,RZ[Úroveň 5 (P0)],BB66,RZ[Úroveň 6 (P0)],BC66,RZ[Úroveň 7 (P0)],BD66,RZ[Úroveň 8 (P0)],BE66,RZ[Úroveň 9 (P0)],BF66),$BP66*$IQ66)</f>
        <v>0</v>
      </c>
      <c r="FJ66" s="140">
        <f ca="1">RZ[[#This Row],[Úroveň 10 s koef. (P3a)]]*RZ[[#This Row],[Počet MJCR (P0) pro "kg"]]</f>
        <v>0</v>
      </c>
      <c r="FK66" s="140">
        <f ca="1">RZ[Úroveň 10 bez koef. (P3a)]*RZ[[#This Row],[Počet MJCR (P0) pro "kg"]]</f>
        <v>0</v>
      </c>
      <c r="FL66" s="140">
        <f ca="1">RZ[[#This Row],[Koeficient odhadu CR '[-'] (P1)]]*$BQ66*IQ66</f>
        <v>0</v>
      </c>
      <c r="FM66" s="236">
        <f t="shared" ca="1" si="419"/>
        <v>0</v>
      </c>
      <c r="FN66" s="194">
        <f t="shared" ca="1" si="420"/>
        <v>115</v>
      </c>
      <c r="FO66" s="238">
        <f t="shared" ca="1" si="421"/>
        <v>115</v>
      </c>
      <c r="FP66" s="135">
        <f t="shared" ca="1" si="422"/>
        <v>0</v>
      </c>
      <c r="FQ66" s="135">
        <f t="shared" ca="1" si="423"/>
        <v>0</v>
      </c>
      <c r="FR66" s="135">
        <f t="shared" ca="1" si="424"/>
        <v>6.4</v>
      </c>
      <c r="FS66" s="135">
        <f t="shared" ca="1" si="425"/>
        <v>0</v>
      </c>
      <c r="FT66" s="135">
        <f t="shared" ca="1" si="426"/>
        <v>0</v>
      </c>
      <c r="FU66" s="135">
        <f t="shared" ca="1" si="427"/>
        <v>0</v>
      </c>
      <c r="FV66" s="135">
        <f t="shared" ca="1" si="428"/>
        <v>0</v>
      </c>
      <c r="FW66" s="135">
        <f t="shared" ca="1" si="429"/>
        <v>0</v>
      </c>
      <c r="FX66" s="135">
        <f t="shared" ca="1" si="430"/>
        <v>0</v>
      </c>
      <c r="FY66" s="135">
        <f t="shared" ca="1" si="431"/>
        <v>0</v>
      </c>
      <c r="FZ66" s="140">
        <f ca="1">SUMIFS(RZ[Úroveň 1 (P6)],RZ[0],AX66)</f>
        <v>1</v>
      </c>
      <c r="GA66" s="140">
        <f ca="1">SUMIFS(RZ[Úroveň 2 (P6)],RZ[0],AX66,RZ[Úroveň 2 (P0)],AY66)</f>
        <v>2</v>
      </c>
      <c r="GB66" s="140">
        <f ca="1">SUMIFS(RZ[Úroveň 3 (P6)],RZ[0],AX66,RZ[Úroveň 2 (P0)],AY66,RZ[Úroveň 3 (P0)],AZ66)</f>
        <v>6.4</v>
      </c>
      <c r="GC66" s="140">
        <f ca="1">SUMIFS(RZ[Úroveň 4 (P6)],RZ[0],AX66,RZ[Úroveň 2 (P0)],AY66,RZ[Úroveň 3 (P0)],AZ66,RZ[Úroveň 4 (P0)],BA66)</f>
        <v>0</v>
      </c>
      <c r="GD66" s="140">
        <f ca="1">SUMIFS(RZ[Úroveň 5 (P6)],RZ[0],AX66,RZ[Úroveň 2 (P0)],AY66,RZ[Úroveň 3 (P0)],AZ66,RZ[Úroveň 4 (P0)],BA66,RZ[Úroveň 5 (P0)],BB66)</f>
        <v>0</v>
      </c>
      <c r="GE66" s="140">
        <f ca="1">SUMIFS(RZ[Úroveň 6 (P6)],RZ[0],AX66,RZ[Úroveň 2 (P0)],AY66,RZ[Úroveň 3 (P0)],AZ66,RZ[Úroveň 4 (P0)],BA66,RZ[Úroveň 5 (P0)],BB66,RZ[Úroveň 6 (P0)],BC66)</f>
        <v>0</v>
      </c>
      <c r="GF66" s="140">
        <f ca="1">SUMIFS(RZ[Úroveň 7 (P6)],RZ[0],AX66,RZ[Úroveň 2 (P0)],AY66,RZ[Úroveň 3 (P0)],AZ66,RZ[Úroveň 4 (P0)],BA66,RZ[Úroveň 5 (P0)],BB66,RZ[Úroveň 6 (P0)],BC66,RZ[Úroveň 7 (P0)],BD66)</f>
        <v>0</v>
      </c>
      <c r="GG66" s="140">
        <f ca="1">SUMIFS(RZ[Úroveň 8 (P6)],RZ[0],AX66,RZ[Úroveň 2 (P0)],AY66,RZ[Úroveň 3 (P0)],AZ66,RZ[Úroveň 4 (P0)],BA66,RZ[Úroveň 5 (P0)],BB66,RZ[Úroveň 6 (P0)],BC66,RZ[Úroveň 7 (P0)],BD66,RZ[Úroveň 8 (P0)],BE66)</f>
        <v>0</v>
      </c>
      <c r="GH66" s="140">
        <f ca="1">SUMIFS(RZ[Úroveň 9 (P6)],RZ[0],AX66,RZ[Úroveň 2 (P0)],AY66,RZ[Úroveň 3 (P0)],AZ66,RZ[Úroveň 4 (P0)],BA66,RZ[Úroveň 5 (P0)],BB66,RZ[Úroveň 6 (P0)],BC66,RZ[Úroveň 7 (P0)],BD66,RZ[Úroveň 8 (P0)],BE66,RZ[Úroveň 9 (P0)],BF66)</f>
        <v>0</v>
      </c>
      <c r="GI66" s="140">
        <f ca="1">SUMIFS(RZ[Úroveň 10 (P6)],RZ[0],AX66,RZ[Úroveň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GJ66" s="918">
        <f t="shared" ca="1" si="432"/>
        <v>12.8</v>
      </c>
      <c r="GK66" s="808">
        <f t="shared" si="433"/>
        <v>0</v>
      </c>
      <c r="GL66" s="808">
        <f t="shared" si="434"/>
        <v>0</v>
      </c>
      <c r="GM66" s="808">
        <f t="shared" si="435"/>
        <v>1</v>
      </c>
      <c r="GN66" s="808">
        <f t="shared" si="436"/>
        <v>0</v>
      </c>
      <c r="GO66" s="808">
        <f t="shared" si="437"/>
        <v>0</v>
      </c>
      <c r="GP66" s="808">
        <f t="shared" si="438"/>
        <v>0</v>
      </c>
      <c r="GQ66" s="808">
        <f t="shared" si="439"/>
        <v>0</v>
      </c>
      <c r="GR66" s="808">
        <f t="shared" si="440"/>
        <v>0</v>
      </c>
      <c r="GS66" s="808">
        <f t="shared" si="441"/>
        <v>0</v>
      </c>
      <c r="GT66" s="808">
        <f t="shared" si="442"/>
        <v>0</v>
      </c>
      <c r="GU66" s="809">
        <f ca="1">SUMIFS(RZ[Sloupec1],RZ[0],AX66)</f>
        <v>1</v>
      </c>
      <c r="GV66" s="809">
        <f ca="1">SUMIFS(RZ[Sloupec2],RZ[0],AX66,RZ[Úroveň 2 (P0)],AY66)</f>
        <v>1</v>
      </c>
      <c r="GW66" s="809">
        <f ca="1">SUMIFS(RZ[Sloupec3],RZ[0],AX66,RZ[Úroveň 2 (P0)],AY66,RZ[Úroveň 3 (P0)],AZ66)</f>
        <v>1</v>
      </c>
      <c r="GX66" s="809">
        <f ca="1">SUMIFS(RZ[Sloupec4],RZ[0],AX66,RZ[Úroveň 2 (P0)],AY66,RZ[Úroveň 3 (P0)],AZ66,RZ[Úroveň 4 (P0)],BA66)</f>
        <v>0</v>
      </c>
      <c r="GY66" s="809">
        <f ca="1">SUMIFS(RZ[Sloupec5],RZ[0],AX66,RZ[Úroveň 2 (P0)],AY66,RZ[Úroveň 3 (P0)],AZ66,RZ[Úroveň 4 (P0)],BA66,RZ[Úroveň 5 (P0)],BB66)</f>
        <v>0</v>
      </c>
      <c r="GZ66" s="809">
        <f ca="1">SUMIFS(RZ[Sloupec6],RZ[0],AX66,RZ[Úroveň 2 (P0)],AY66,RZ[Úroveň 3 (P0)],AZ66,RZ[Úroveň 4 (P0)],BA66,RZ[Úroveň 5 (P0)],BB66,RZ[Úroveň 6 (P0)],BC66)</f>
        <v>0</v>
      </c>
      <c r="HA66" s="809">
        <f ca="1">SUMIFS(RZ[Sloupec62],RZ[0],AX66,RZ[Úroveň 2 (P0)],AY66,RZ[Úroveň 3 (P0)],AZ66,RZ[Úroveň 4 (P0)],BA66,RZ[Úroveň 5 (P0)],BB66,RZ[Úroveň 6 (P0)],BC66,RZ[Úroveň 7 (P0)],BD66)</f>
        <v>0</v>
      </c>
      <c r="HB66" s="809">
        <f ca="1">SUMIFS(RZ[Sloupec63],RZ[0],AX66,RZ[Úroveň 2 (P0)],AY66,RZ[Úroveň 3 (P0)],AZ66,RZ[Úroveň 4 (P0)],BA66,RZ[Úroveň 5 (P0)],BB66,RZ[Úroveň 6 (P0)],BC66,RZ[Úroveň 7 (P0)],BD66,RZ[Úroveň 8 (P0)],BE66)</f>
        <v>0</v>
      </c>
      <c r="HC66" s="809">
        <f ca="1">SUMIFS(RZ[Sloupec64],RZ[0],AX66,RZ[Úroveň 2 (P0)],AY66,RZ[Úroveň 3 (P0)],AZ66,RZ[Úroveň 4 (P0)],BA66,RZ[Úroveň 5 (P0)],BB66,RZ[Úroveň 6 (P0)],BC66,RZ[Úroveň 7 (P0)],BD66,RZ[Úroveň 8 (P0)],BE66,RZ[Úroveň 9 (P0)],BF66)</f>
        <v>0</v>
      </c>
      <c r="HD66" s="809">
        <f ca="1">SUMIFS(RZ[Sloupec65],RZ[0],AX66,RZ[Úroveň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HE66" s="919">
        <f t="shared" ca="1" si="443"/>
        <v>1</v>
      </c>
      <c r="HF66" s="920" t="str">
        <f t="shared" si="444"/>
        <v/>
      </c>
      <c r="HG66" s="94" t="str">
        <f t="shared" si="445"/>
        <v/>
      </c>
      <c r="HH66" s="95" t="str">
        <f t="shared" si="446"/>
        <v/>
      </c>
      <c r="HI66" s="95" t="str">
        <f t="shared" si="447"/>
        <v>Distanční kroužek</v>
      </c>
      <c r="HJ66" s="96" t="str">
        <f t="shared" si="448"/>
        <v/>
      </c>
      <c r="HK66" s="96" t="str">
        <f t="shared" si="449"/>
        <v/>
      </c>
      <c r="HL66" s="96" t="str">
        <f t="shared" si="450"/>
        <v/>
      </c>
      <c r="HM66" s="96" t="str">
        <f t="shared" si="451"/>
        <v/>
      </c>
      <c r="HN66" s="96" t="str">
        <f t="shared" si="452"/>
        <v/>
      </c>
      <c r="HO66" s="96" t="str">
        <f t="shared" si="453"/>
        <v/>
      </c>
      <c r="HP66" s="96" t="str">
        <f t="shared" si="454"/>
        <v/>
      </c>
      <c r="HQ66" s="145" t="str">
        <f t="shared" si="455"/>
        <v>STO2</v>
      </c>
      <c r="HR66" s="921" t="str">
        <f t="shared" si="456"/>
        <v/>
      </c>
      <c r="HS66" s="173">
        <f t="shared" si="457"/>
        <v>0</v>
      </c>
      <c r="HT66" s="100">
        <f t="shared" si="458"/>
        <v>0</v>
      </c>
      <c r="HU66" s="100">
        <f t="shared" si="459"/>
        <v>0</v>
      </c>
      <c r="HV66" s="908">
        <f t="shared" si="460"/>
        <v>0</v>
      </c>
      <c r="HW66" s="922">
        <f t="shared" si="461"/>
        <v>0</v>
      </c>
      <c r="HX66" s="224">
        <f t="shared" si="462"/>
        <v>0</v>
      </c>
      <c r="HY66" s="263" t="str">
        <f t="shared" si="463"/>
        <v>S</v>
      </c>
      <c r="HZ66" s="263">
        <f t="shared" si="464"/>
        <v>0</v>
      </c>
      <c r="IA66" s="150">
        <f t="shared" si="465"/>
        <v>1</v>
      </c>
      <c r="IB66" s="319">
        <f t="shared" si="466"/>
        <v>0</v>
      </c>
      <c r="IC66" s="923">
        <f t="shared" si="467"/>
        <v>0</v>
      </c>
      <c r="ID66" s="924" t="str">
        <f t="shared" ca="1" si="468"/>
        <v>OK</v>
      </c>
      <c r="IE66" s="201" t="str">
        <f t="shared" si="469"/>
        <v>ks</v>
      </c>
      <c r="IF66" s="145">
        <f t="shared" si="470"/>
        <v>8</v>
      </c>
      <c r="IG66" s="216">
        <f t="shared" si="471"/>
        <v>0.8</v>
      </c>
      <c r="IH66" s="217">
        <f t="shared" si="472"/>
        <v>1</v>
      </c>
      <c r="II66" s="224" t="str">
        <f ca="1">IF(RZ[[#This Row],[Rozhodný sloupec indikativní ceny]]=1,"kg",IF($IW66=$JL$15,IF(JX66=0,JO66,JX66),IF($IW66=$KE$15,IF(KQ66=0,KH66,KQ66),IF($IW66=$KX$15,IF(LJ66=0,LA66,LJ66),IF($IW66=$LQ$15,IF(MC66=0,LT66,MC66),IF($IW66=$MJ$15,IF(NQ66=0,NH66,NQ66),0))))))</f>
        <v>kg</v>
      </c>
      <c r="IJ66" s="224">
        <f ca="1">IF((BH66+OFFSET(BH66,1,1,1,1))=2,RZ[[#This Row],[Počet MJHR (P0)]],IF((BI66+OFFSET(BI66,1,1,1,1))=2,RZ[[#This Row],[Počet MJHR (P0)]],IF((BJ66+OFFSET(BJ66,1,1,1,1))=2,RZ[[#This Row],[Počet MJHR (P0)]],IF((BK66+OFFSET(BK66,1,1,1,1))=2,RZ[[#This Row],[Počet MJHR (P0)]],IF((BL66+OFFSET(BL66,1,1,1,1))=2,RZ[[#This Row],[Počet MJHR (P0)]],IF((BM66+OFFSET(BM66,1,1,1,1))=2,RZ[[#This Row],[Počet MJHR (P0)]],IF((BN66+OFFSET(BN66,1,1,1,1))=2,RZ[[#This Row],[Počet MJHR (P0)]],IF((BO66+OFFSET(BO66,1,1,1,1))=2,RZ[[#This Row],[Počet MJHR (P0)]],IF((BP66+OFFSET(BP66,1,1,1,1))=2,RZ[[#This Row],[Počet MJHR (P0)]],IF((BQ66+OFFSET(BQ66,1,1,1,1))=2,RZ[[#This Row],[Počet MJHR (P0)]],IF(RZ[[#This Row],[Měrná jednotka CR (MJCR) (P0)]]=RZ[[#This Row],[Měrná jednotka HR '[MJHR'] (P0)]],RZ[[#This Row],[Počet MJHR (P0)]],IF($IW66=$JL$15,JY66,IF($IW66=$KE$15,KR66,IF($IW66=$KX$15,LK66,IF($IW66=$LQ$15,MD66,IF($IW66=$MJ$15,NR66,0))))))))))))))))</f>
        <v>0</v>
      </c>
      <c r="IK6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6" s="145">
        <f ca="1">IF(AND(RZ[[#This Row],[Jednotková cena bez DPH '[cena/MJCR'] (P0)]]=0,RZ[[#This Row],[Indikativní jednotková cena '[CZK/kg'] (P1)]]&lt;&gt;0),1,0)</f>
        <v>1</v>
      </c>
      <c r="IM66" s="217">
        <f ca="1">VLOOKUP(RZ[[#This Row],[Kód položek]],INDIKAT_CENA,2,FALSE)</f>
        <v>115</v>
      </c>
      <c r="IN66" s="222">
        <f ca="1">IF(RZ[[#This Row],[Rozhodný sloupec indikativní ceny]]=1,RZ[[#This Row],[Indikativní jednotková cena '[CZK/kg'] (P1)]],RZ[[#This Row],[Jednotková cena bez DPH '[cena/MJCR'] (P0)]])</f>
        <v>115</v>
      </c>
      <c r="IO66" s="222">
        <f t="shared" si="473"/>
        <v>1</v>
      </c>
      <c r="IP66" s="224">
        <f ca="1">IF(RZ[[#This Row],[Rozhodný sloupec indikativní ceny]]=1,1,IF($IW66=$JL$15,KA66,IF($IW66=$KE$15,KT66,IF($IW66=$KX$15,LM66,IF($IW66=$LQ$15,MF66,IF($IW66=$MJ$15,NT66,0))))))</f>
        <v>1</v>
      </c>
      <c r="IQ66" s="225">
        <f ca="1">IF(RZ[[#This Row],[Jednotková cena bez DPH '[cena/MJCR'] (P1)]]="",0,IF(IP66=0,0,(RZ[[#This Row],[Jednotková cena bez DPH '[cena/MJCR'] (P1)]]*VLOOKUP(IP66,$BR$7:$BT$10,3))))</f>
        <v>115</v>
      </c>
      <c r="IR66" s="737"/>
      <c r="IS66" s="627">
        <f>IF(HY66=0,"",VLOOKUP(RZ[[#This Row],[Stav Projekce (P0)]],Vstupy!$E$11:'Vstupy'!$E$11:$H$17,4,FALSE))</f>
        <v>100</v>
      </c>
      <c r="IT66" s="925" t="str">
        <f>IF(RZ[[#This Row],[Stav Projekce (P0)]]=0,"",RZ[[#This Row],[Stav Projekce (P0)]])</f>
        <v>S</v>
      </c>
      <c r="IU66" s="925" t="str">
        <f>IF(RZ[[#This Row],[Stav Nákup (P0)]]=0,"",RZ[[#This Row],[Stav Nákup (P0)]])</f>
        <v/>
      </c>
      <c r="IV66" s="926" t="str">
        <f t="shared" si="474"/>
        <v/>
      </c>
      <c r="IW66" s="641">
        <v>1</v>
      </c>
      <c r="IX66" s="630"/>
      <c r="IY66" s="264"/>
      <c r="IZ66" s="648"/>
      <c r="JA66" s="100"/>
      <c r="JB66" s="100" t="s">
        <v>791</v>
      </c>
      <c r="JC66" s="100"/>
      <c r="JD66" s="100"/>
      <c r="JE66" s="100"/>
      <c r="JF66" s="100"/>
      <c r="JG66" s="100"/>
      <c r="JH66" s="100"/>
      <c r="JI66" s="100"/>
      <c r="JJ66" s="145" t="s">
        <v>773</v>
      </c>
      <c r="JK66" s="529"/>
      <c r="JL66" s="286"/>
      <c r="JM66" s="100"/>
      <c r="JN66" s="100"/>
      <c r="JO66" s="145" t="s">
        <v>35</v>
      </c>
      <c r="JP66" s="117">
        <v>8</v>
      </c>
      <c r="JQ66" s="117">
        <v>0.8</v>
      </c>
      <c r="JR66" s="148">
        <v>1</v>
      </c>
      <c r="JS66" s="145" t="s">
        <v>602</v>
      </c>
      <c r="JT66" s="631"/>
      <c r="JU66" s="148"/>
      <c r="JV66" s="154"/>
      <c r="JW66" s="145"/>
      <c r="JX66" s="210"/>
      <c r="JY66" s="117"/>
      <c r="JZ66" s="662"/>
      <c r="KA66" s="145"/>
      <c r="KB66" s="148"/>
      <c r="KC66" s="148"/>
      <c r="KD66" s="644"/>
      <c r="KE66" s="286"/>
      <c r="KF66" s="100"/>
      <c r="KG66" s="100"/>
      <c r="KH66" s="210"/>
      <c r="KI66" s="117"/>
      <c r="KJ66" s="117"/>
      <c r="KK66" s="148"/>
      <c r="KL66" s="145"/>
      <c r="KM66" s="632"/>
      <c r="KN66" s="148"/>
      <c r="KO66" s="154"/>
      <c r="KP66" s="154"/>
      <c r="KQ66" s="210"/>
      <c r="KR66" s="117"/>
      <c r="KS66" s="211"/>
      <c r="KT66" s="145"/>
      <c r="KU66" s="148"/>
      <c r="KV66" s="148"/>
      <c r="KW66" s="265"/>
      <c r="KX66" s="286"/>
      <c r="KY66" s="100"/>
      <c r="KZ66" s="100"/>
      <c r="LA66" s="210"/>
      <c r="LB66" s="117"/>
      <c r="LC66" s="117"/>
      <c r="LD66" s="148"/>
      <c r="LE66" s="145"/>
      <c r="LF66" s="632"/>
      <c r="LG66" s="148"/>
      <c r="LH66" s="154"/>
      <c r="LI66" s="154"/>
      <c r="LJ66" s="154"/>
      <c r="LK66" s="117"/>
      <c r="LL66" s="211"/>
      <c r="LM66" s="210"/>
      <c r="LN66" s="148"/>
      <c r="LO66" s="148"/>
      <c r="LP66" s="265"/>
      <c r="LQ66" s="286"/>
      <c r="LR66" s="100"/>
      <c r="LS66" s="100"/>
      <c r="LT66" s="210"/>
      <c r="LU66" s="117"/>
      <c r="LV66" s="117"/>
      <c r="LW66" s="148"/>
      <c r="LX66" s="145"/>
      <c r="LY66" s="632"/>
      <c r="LZ66" s="148"/>
      <c r="MA66" s="154"/>
      <c r="MB66" s="154"/>
      <c r="MC66" s="145"/>
      <c r="MD66" s="117"/>
      <c r="ME66" s="211"/>
      <c r="MF66" s="210"/>
      <c r="MG66" s="148"/>
      <c r="MH66" s="148"/>
      <c r="MI66" s="265"/>
      <c r="MJ66" s="647"/>
      <c r="MK66" s="264"/>
      <c r="ML66" s="153"/>
      <c r="MM66" s="153"/>
      <c r="MN66" s="153"/>
      <c r="MO66" s="153"/>
      <c r="MP66" s="153"/>
      <c r="MQ66" s="153"/>
      <c r="MR66" s="153"/>
      <c r="MS66" s="99"/>
      <c r="MT66" s="99"/>
      <c r="MU66" s="99"/>
      <c r="MV66" s="99"/>
      <c r="MW66" s="99"/>
      <c r="MX66" s="99"/>
      <c r="MY66" s="153"/>
      <c r="MZ66" s="153"/>
      <c r="NA66" s="153"/>
      <c r="NB66" s="153"/>
      <c r="NC66" s="153"/>
      <c r="ND66" s="153"/>
      <c r="NE66" s="148"/>
      <c r="NF66" s="153"/>
      <c r="NG66" s="153"/>
      <c r="NH66" s="330" t="str">
        <f t="shared" si="475"/>
        <v>ks</v>
      </c>
      <c r="NI66" s="797">
        <f>RZ[[#This Row],[Počet ks (K)]]</f>
        <v>0</v>
      </c>
      <c r="NJ66" s="798">
        <f>RZ[[#This Row],[Hmotnost '[kg/ks'] (K)]]</f>
        <v>0</v>
      </c>
      <c r="NK66" s="148"/>
      <c r="NL66" s="145"/>
      <c r="NM66" s="632"/>
      <c r="NN66" s="148"/>
      <c r="NO66" s="154"/>
      <c r="NP66" s="153"/>
      <c r="NQ66" s="153"/>
      <c r="NR66" s="210"/>
      <c r="NS66" s="148"/>
      <c r="NT66" s="210"/>
      <c r="NU66" s="148"/>
      <c r="NV66" s="148"/>
      <c r="NW66" s="175"/>
    </row>
    <row r="67" spans="2:387" ht="15.95" customHeight="1" x14ac:dyDescent="0.35">
      <c r="B67" s="118" t="str">
        <f t="shared" si="359"/>
        <v/>
      </c>
      <c r="C6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7" s="262" t="str">
        <f t="shared" si="360"/>
        <v xml:space="preserve">    Víčko</v>
      </c>
      <c r="E67" s="120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Row],[Kód položek (P2)]]))))))))))</f>
        <v>STO2</v>
      </c>
      <c r="F67" s="791" t="str">
        <f t="shared" si="361"/>
        <v>N/A</v>
      </c>
      <c r="G67" s="792" t="str">
        <f t="shared" si="362"/>
        <v/>
      </c>
      <c r="H67" s="262" t="str">
        <f t="shared" si="363"/>
        <v/>
      </c>
      <c r="I67" s="123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HR '[MJHR'] (P0)]]))))))))))</f>
        <v>ks</v>
      </c>
      <c r="J67" s="123">
        <f t="shared" si="364"/>
        <v>8</v>
      </c>
      <c r="K67" s="793">
        <f>RZ[[#This Row],[Koeficient odhadu HR '[-'] (P1)]]</f>
        <v>1</v>
      </c>
      <c r="L67" s="124">
        <f ca="1">RZ[[#This Row],[Jednotková hmotnost s koef. '[kg/MJHR'] (P0)]]</f>
        <v>6.4</v>
      </c>
      <c r="M67" s="794">
        <f t="shared" ca="1" si="365"/>
        <v>0</v>
      </c>
      <c r="N67" s="125">
        <f t="shared" ca="1" si="366"/>
        <v>51.2</v>
      </c>
      <c r="O67" s="125">
        <f t="shared" ca="1" si="367"/>
        <v>0</v>
      </c>
      <c r="P67" s="126" t="str">
        <f t="shared" si="368"/>
        <v/>
      </c>
      <c r="Q67" s="795">
        <f ca="1">RZ[[#This Row],[Počet MJHR v rozpadu (P0)]]</f>
        <v>16</v>
      </c>
      <c r="R67" s="439" t="str">
        <f t="shared" si="369"/>
        <v/>
      </c>
      <c r="S67" s="129" t="str">
        <f t="shared" si="370"/>
        <v/>
      </c>
      <c r="T67" s="126" t="str">
        <f t="shared" si="371"/>
        <v/>
      </c>
      <c r="U67" s="126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CR (MJCR) (P0)]]))))))))))</f>
        <v>kg</v>
      </c>
      <c r="V67" s="575">
        <f t="shared" ca="1" si="372"/>
        <v>51.2</v>
      </c>
      <c r="W67" s="322">
        <f>RZ[[#This Row],[Koeficient odhadu CR '[-'] (P1)]]</f>
        <v>1</v>
      </c>
      <c r="X67" s="440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Row],[Jednotková cena bez DPH '[cena/MJCR'] (P1)]]*RZ[[#This Row],[Koeficient odhadu CR '[-']]]))))))))))</f>
        <v>115</v>
      </c>
      <c r="Y67" s="440">
        <f t="shared" ca="1" si="373"/>
        <v>0</v>
      </c>
      <c r="Z67" s="142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VLOOKUP(IP67,$BR$7:$BS$11,2,FALSE)))))))))))</f>
        <v>CZK</v>
      </c>
      <c r="AA67" s="909">
        <f t="shared" ca="1" si="374"/>
        <v>102.4</v>
      </c>
      <c r="AB67" s="910">
        <f ca="1">RZ[[#This Row],[Kumulovaný koeficient v rozpadu (P0)]]</f>
        <v>1</v>
      </c>
      <c r="AC67" s="261"/>
      <c r="AD67" s="796">
        <f ca="1">RZ[[#This Row],[Jednotková cena bez DPH '[cena/MJCR'] s koef. (P0)]]/RZ[[#This Row],[Koeficient odhadu CR '[-']]]*RZ[[#This Row],[Kumulovaný koeficient odhadu CR  '[-']]]</f>
        <v>115</v>
      </c>
      <c r="AE67" s="796">
        <f t="shared" ca="1" si="375"/>
        <v>11776</v>
      </c>
      <c r="AF67" s="796">
        <f ca="1">-IF(ISNUMBER(AA67),RZ[[#This Row],[Celková cena bez DPH (1)]]-RZ[[#This Row],[Jednotková cena bez DPH '[cena/MJCR'] bez koef. (P0)]]*AA67,0)</f>
        <v>0</v>
      </c>
      <c r="AG6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7" s="261"/>
      <c r="AI67" s="796">
        <f t="shared" ca="1" si="376"/>
        <v>4.2592592592592595</v>
      </c>
      <c r="AJ67" s="796">
        <f t="shared" ca="1" si="377"/>
        <v>436.14814814814815</v>
      </c>
      <c r="AK67" s="796">
        <f t="shared" ca="1" si="378"/>
        <v>0</v>
      </c>
      <c r="AL67" s="753">
        <f ca="1">RZ[[#This Row],[Kilogramová cena bez DPH '[cena/kg'] (1)]]/$AK$13</f>
        <v>4.2592592592592595</v>
      </c>
      <c r="AM67" s="261"/>
      <c r="AN67" s="796">
        <f t="shared" ca="1" si="379"/>
        <v>5.5555555555555554</v>
      </c>
      <c r="AO67" s="796">
        <f t="shared" ca="1" si="380"/>
        <v>568.88888888888891</v>
      </c>
      <c r="AP67" s="796">
        <f t="shared" ca="1" si="381"/>
        <v>0</v>
      </c>
      <c r="AQ67" s="753">
        <f ca="1">RZ[[#This Row],[Kilogramová cena bez DPH '[cena/kg'] (1)]]/$AP$13</f>
        <v>5.5555555555555554</v>
      </c>
      <c r="AR67" s="261"/>
      <c r="AS67" s="796">
        <f t="shared" ca="1" si="382"/>
        <v>3.1455142231947484</v>
      </c>
      <c r="AT67" s="796">
        <f t="shared" ca="1" si="383"/>
        <v>322.1006564551422</v>
      </c>
      <c r="AU67" s="789">
        <f t="shared" ca="1" si="384"/>
        <v>0</v>
      </c>
      <c r="AV67" s="767">
        <f ca="1">RZ[[#This Row],[Kilogramová cena bez DPH '[cena/kg'] (1)]]/$AU$13</f>
        <v>3.1455142231947484</v>
      </c>
      <c r="AW67" s="165"/>
      <c r="AX67" s="911">
        <f t="shared" ca="1" si="385"/>
        <v>2</v>
      </c>
      <c r="AY67" s="111">
        <f t="shared" ca="1" si="386"/>
        <v>2</v>
      </c>
      <c r="AZ67" s="111">
        <f t="shared" ca="1" si="387"/>
        <v>12</v>
      </c>
      <c r="BA67" s="111">
        <f t="shared" ca="1" si="388"/>
        <v>0</v>
      </c>
      <c r="BB67" s="111">
        <f t="shared" ca="1" si="389"/>
        <v>0</v>
      </c>
      <c r="BC67" s="111">
        <f t="shared" ca="1" si="390"/>
        <v>0</v>
      </c>
      <c r="BD67" s="111">
        <f t="shared" ca="1" si="391"/>
        <v>0</v>
      </c>
      <c r="BE67" s="111">
        <f t="shared" ca="1" si="392"/>
        <v>0</v>
      </c>
      <c r="BF67" s="111">
        <f t="shared" ca="1" si="393"/>
        <v>0</v>
      </c>
      <c r="BG67" s="112">
        <f t="shared" ca="1" si="394"/>
        <v>0</v>
      </c>
      <c r="BH67" s="911">
        <f t="shared" si="395"/>
        <v>0</v>
      </c>
      <c r="BI67" s="111">
        <f t="shared" si="396"/>
        <v>0</v>
      </c>
      <c r="BJ67" s="111">
        <f t="shared" si="397"/>
        <v>1</v>
      </c>
      <c r="BK67" s="111">
        <f t="shared" si="398"/>
        <v>0</v>
      </c>
      <c r="BL67" s="111">
        <f t="shared" si="399"/>
        <v>0</v>
      </c>
      <c r="BM67" s="111">
        <f t="shared" si="400"/>
        <v>0</v>
      </c>
      <c r="BN67" s="111">
        <f t="shared" si="401"/>
        <v>0</v>
      </c>
      <c r="BO67" s="111">
        <f t="shared" si="402"/>
        <v>0</v>
      </c>
      <c r="BP67" s="111">
        <f t="shared" si="403"/>
        <v>0</v>
      </c>
      <c r="BQ67" s="112">
        <f t="shared" si="404"/>
        <v>0</v>
      </c>
      <c r="BR67" s="132">
        <f ca="1">IF(OFFSET(AY67,1,0,1,1)&lt;&gt;0,RZ[[#This Row],[Koeficient odhadu HR '[-'] (P1)]]*$BH67*SUMIFS(RZ[Úroveň 2 s koef. (P2)],RZ[0],AX67),RZ[[#This Row],[Koeficient odhadu HR '[-'] (P1)]]*$BH67*$IG67)</f>
        <v>0</v>
      </c>
      <c r="BS67" s="186">
        <f ca="1">IF(OFFSET(AY67,1,0,1,1)&lt;&gt;0,$BH67*SUMIFS(RZ[Úroveň 2 bez koef. (P2)],RZ[0],AX67),$BH67*$IG67)</f>
        <v>0</v>
      </c>
      <c r="BT67" s="138">
        <f ca="1">RZ[[#This Row],[Úroveň 2 s koef. (P2a)]]*RZ[[#This Row],[Počet MJHR (P0)]]</f>
        <v>0</v>
      </c>
      <c r="BU67" s="138">
        <f ca="1">RZ[[#This Row],[Úroveň 2 bez koef. (P2a)]]*RZ[[#This Row],[Počet MJHR (P0)]]</f>
        <v>0</v>
      </c>
      <c r="BV67" s="138">
        <f ca="1">IF(OFFSET(AZ67,1,0,1,1)&lt;&gt;0,RZ[[#This Row],[Koeficient odhadu HR '[-'] (P1)]]*$BI67*SUMIFS(RZ[Úroveň 3 s koef. (P2)],RZ[0],AX67,RZ[Úroveň 2 (P0)],AY67),RZ[[#This Row],[Koeficient odhadu HR '[-'] (P1)]]*$BI67*$IG67)</f>
        <v>0</v>
      </c>
      <c r="BW67" s="138">
        <f ca="1">IF(OFFSET(AZ67,1,0,1,1)&lt;&gt;0,$BI67*SUMIFS(RZ[Úroveň 3 bez koef. (P2)],RZ[0],AX67,RZ[Úroveň 2 (P0)],AY67),$BI67*$IG67)</f>
        <v>0</v>
      </c>
      <c r="BX67" s="132">
        <f ca="1">RZ[[#This Row],[Úroveň 3 s koef. (P2a)]]*RZ[[#This Row],[Počet MJHR (P0)]]</f>
        <v>51.2</v>
      </c>
      <c r="BY67" s="132">
        <f ca="1">RZ[Úroveň 3 bez koef. (P2a)]*RZ[[#This Row],[Počet MJHR (P0)]]</f>
        <v>51.2</v>
      </c>
      <c r="BZ67" s="132">
        <f ca="1">IF(OFFSET(BA67,1,0,1,1)&lt;&gt;0,RZ[[#This Row],[Koeficient odhadu HR '[-'] (P1)]]*$BJ67*SUMIFS(RZ[Úroveň 4 s koef. (P2)],RZ[0],AX67,RZ[Úroveň 2 (P0)],AY67,RZ[Úroveň 3 (P0)],AZ67),RZ[[#This Row],[Koeficient odhadu HR '[-'] (P1)]]*$BJ67*$IG67)</f>
        <v>6.4</v>
      </c>
      <c r="CA67" s="132">
        <f ca="1">IF(OFFSET(BA67,1,0,1,1)&lt;&gt;0,$BJ67*SUMIFS(RZ[Úroveň 4 bez koef. (P2)],RZ[0],AX67,RZ[Úroveň 2 (P0)],AY67,RZ[Úroveň 3 (P0)],AZ67),$BJ67*$IG67)</f>
        <v>6.4</v>
      </c>
      <c r="CB67" s="138">
        <f ca="1">RZ[[#This Row],[Úroveň 4 s koef. (P2a)]]*RZ[[#This Row],[Počet MJHR (P0)]]</f>
        <v>0</v>
      </c>
      <c r="CC67" s="138">
        <f ca="1">RZ[Úroveň 4 bez koef. (P2a)]*RZ[[#This Row],[Počet MJHR (P0)]]</f>
        <v>0</v>
      </c>
      <c r="CD67" s="138">
        <f ca="1">IF(OFFSET(BB67,1,0,1,1)&lt;&gt;0,RZ[[#This Row],[Koeficient odhadu HR '[-'] (P1)]]*$BK67*SUMIFS(RZ[Úroveň 5 s koef. (P2)],RZ[0],AX67,RZ[Úroveň 2 (P0)],AY67,RZ[Úroveň 3 (P0)],AZ67,RZ[Úroveň 4 (P0)],BA67),RZ[[#This Row],[Koeficient odhadu HR '[-'] (P1)]]*$BK67*$IG67)</f>
        <v>0</v>
      </c>
      <c r="CE67" s="138">
        <f ca="1">IF(OFFSET(BB67,1,0,1,1)&lt;&gt;0,$BK67*SUMIFS(RZ[Úroveň 5 bez koef. (P2)],RZ[0],AX67,RZ[Úroveň 2 (P0)],AY67,RZ[Úroveň 3 (P0)],AZ67,RZ[Úroveň 4 (P0)],BA67),$BK67*$IG67)</f>
        <v>0</v>
      </c>
      <c r="CF67" s="132">
        <f ca="1">RZ[[#This Row],[Úroveň 5 s koef. (P2a)]]*RZ[[#This Row],[Počet MJHR (P0)]]</f>
        <v>0</v>
      </c>
      <c r="CG67" s="132">
        <f ca="1">RZ[Úroveň 5 bez koef. (P2a)]*RZ[[#This Row],[Počet MJHR (P0)]]</f>
        <v>0</v>
      </c>
      <c r="CH67" s="132">
        <f ca="1">IF(OFFSET(BC67,1,0,1,1)&lt;&gt;0,RZ[[#This Row],[Koeficient odhadu HR '[-'] (P1)]]*$BL67*SUMIFS(RZ[Úroveň 6 s koef. (P2)],RZ[0],AX67,RZ[Úroveň 2 (P0)],AY67,RZ[Úroveň 3 (P0)],AZ67,RZ[Úroveň 4 (P0)],BA67,RZ[Úroveň 5 (P0)],BB67),RZ[[#This Row],[Koeficient odhadu HR '[-'] (P1)]]*$BL67*$IG67)</f>
        <v>0</v>
      </c>
      <c r="CI67" s="132">
        <f ca="1">IF(OFFSET(BC67,1,0,1,1)&lt;&gt;0,$BL67*SUMIFS(RZ[Úroveň 6 bez koef. (P2)],RZ[0],AX67,RZ[Úroveň 2 (P0)],AY67,RZ[Úroveň 3 (P0)],AZ67,RZ[Úroveň 4 (P0)],BA67,RZ[Úroveň 5 (P0)],BB67),$BL67*$IG67)</f>
        <v>0</v>
      </c>
      <c r="CJ67" s="138">
        <f ca="1">RZ[[#This Row],[Úroveň 6 s koef. (P2a)]]*RZ[[#This Row],[Počet MJHR (P0)]]</f>
        <v>0</v>
      </c>
      <c r="CK67" s="138">
        <f ca="1">RZ[Úroveň 6 bez koef. (P2a)]*RZ[[#This Row],[Počet MJHR (P0)]]</f>
        <v>0</v>
      </c>
      <c r="CL67" s="138">
        <f ca="1">IF(OFFSET(BD67,1,0,1,1)&lt;&gt;0,RZ[[#This Row],[Koeficient odhadu HR '[-'] (P1)]]*$BM67*SUMIFS(RZ[Úroveň 7 s koef. (P2)],RZ[0],AX67,RZ[Úroveň 2 (P0)],AY67,RZ[Úroveň 3 (P0)],AZ67,RZ[Úroveň 4 (P0)],BA67,RZ[Úroveň 5 (P0)],BB67,RZ[Úroveň 6 (P0)],BC67),RZ[[#This Row],[Koeficient odhadu HR '[-'] (P1)]]*$BM67*$IG67)</f>
        <v>0</v>
      </c>
      <c r="CM67" s="138">
        <f ca="1">IF(OFFSET(BD67,1,0,1,1)&lt;&gt;0,$BM67*SUMIFS(RZ[Úroveň 7 bez koef. (P2)],RZ[0],AX67,RZ[Úroveň 2 (P0)],AY67,RZ[Úroveň 3 (P0)],AZ67,RZ[Úroveň 4 (P0)],BA67,RZ[Úroveň 5 (P0)],BB67,RZ[Úroveň 6 (P0)],BC67),$BM67*$IG67)</f>
        <v>0</v>
      </c>
      <c r="CN67" s="132">
        <f ca="1">RZ[[#This Row],[Úroveň 7 s koef. (P2a)]]*RZ[[#This Row],[Počet MJHR (P0)]]</f>
        <v>0</v>
      </c>
      <c r="CO67" s="132">
        <f ca="1">RZ[Úroveň 7 bez koef. (P2a)]*RZ[[#This Row],[Počet MJHR (P0)]]</f>
        <v>0</v>
      </c>
      <c r="CP67" s="132">
        <f ca="1">IF(OFFSET(BE67,1,0,1,1)&lt;&gt;0,RZ[[#This Row],[Koeficient odhadu HR '[-'] (P1)]]*$BN67*SUMIFS(RZ[Úroveň 8 s koef. (P2)],RZ[0],AX67,RZ[Úroveň 2 (P0)],AY67,RZ[Úroveň 3 (P0)],AZ67,RZ[Úroveň 4 (P0)],BA67,RZ[Úroveň 5 (P0)],BB67,RZ[Úroveň 6 (P0)],BC67,RZ[Úroveň 7 (P0)],BD67),RZ[[#This Row],[Koeficient odhadu HR '[-'] (P1)]]*$BN67*$IG67)</f>
        <v>0</v>
      </c>
      <c r="CQ67" s="132">
        <f ca="1">IF(OFFSET(BE67,1,0,1,1)&lt;&gt;0,$BN67*SUMIFS(RZ[Úroveň 8 bez koef. (P2)],RZ[0],AX67,RZ[Úroveň 2 (P0)],AY67,RZ[Úroveň 3 (P0)],AZ67,RZ[Úroveň 4 (P0)],BA67,RZ[Úroveň 5 (P0)],BB67,RZ[Úroveň 6 (P0)],BC67,RZ[Úroveň 7 (P0)],BD67),$BN67*$IG67)</f>
        <v>0</v>
      </c>
      <c r="CR67" s="138">
        <f ca="1">RZ[[#This Row],[Úroveň 8 s koef. (P2a)]]*RZ[[#This Row],[Počet MJHR (P0)]]</f>
        <v>0</v>
      </c>
      <c r="CS67" s="138">
        <f ca="1">RZ[Úroveň 8 bez koef. (P2a)]*RZ[[#This Row],[Počet MJHR (P0)]]</f>
        <v>0</v>
      </c>
      <c r="CT67" s="138">
        <f ca="1">IF(OFFSET(BF67,1,0,1,1)&lt;&gt;0,RZ[[#This Row],[Koeficient odhadu HR '[-'] (P1)]]*$BO67*SUMIFS(RZ[Úroveň 9 s koef. (P2)],RZ[0],AX67,RZ[Úroveň 2 (P0)],AY67,RZ[Úroveň 3 (P0)],AZ67,RZ[Úroveň 4 (P0)],BA67,RZ[Úroveň 5 (P0)],BB67,RZ[Úroveň 6 (P0)],BC67,RZ[Úroveň 7 (P0)],BD67,RZ[Úroveň 8 (P0)],BE67),RZ[[#This Row],[Koeficient odhadu HR '[-'] (P1)]]*$BO67*$IG67)</f>
        <v>0</v>
      </c>
      <c r="CU67" s="138">
        <f ca="1">IF(OFFSET(BF67,1,0,1,1)&lt;&gt;0,$BO67*SUMIFS(RZ[Úroveň 9 bez koef. (P2)],RZ[0],AX67,RZ[Úroveň 2 (P0)],AY67,RZ[Úroveň 3 (P0)],AZ67,RZ[Úroveň 4 (P0)],BA67,RZ[Úroveň 5 (P0)],BB67,RZ[Úroveň 6 (P0)],BC67,RZ[Úroveň 7 (P0)],BD67,RZ[Úroveň 8 (P0)],BE67),$BO67*$IG67)</f>
        <v>0</v>
      </c>
      <c r="CV67" s="132">
        <f ca="1">RZ[[#This Row],[Úroveň 9 s koef. (P2a)]]*RZ[[#This Row],[Počet MJHR (P0)]]</f>
        <v>0</v>
      </c>
      <c r="CW67" s="132">
        <f ca="1">RZ[Úroveň 9 bez koef. (P2a)]*RZ[[#This Row],[Počet MJHR (P0)]]</f>
        <v>0</v>
      </c>
      <c r="CX67" s="132">
        <f ca="1">IF(OFFSET(BG67,1,0,1,1)&lt;&gt;0,RZ[[#This Row],[Koeficient odhadu HR '[-'] (P1)]]*$BP67*SUMIFS(RZ[Úroveň 10 s koef. (P2)],RZ[0],AX67,RZ[Úroveň 2 (P0)],AY67,RZ[Úroveň 3 (P0)],AZ67,RZ[Úroveň 4 (P0)],BA67,RZ[Úroveň 5 (P0)],BB67,RZ[Úroveň 6 (P0)],BC67,RZ[Úroveň 7 (P0)],BD67,RZ[Úroveň 8 (P0)],BE67,RZ[Úroveň 9 (P0)],BF67),RZ[[#This Row],[Koeficient odhadu HR '[-'] (P1)]]*$BP67*$IG67)</f>
        <v>0</v>
      </c>
      <c r="CY67" s="132">
        <f ca="1">IF(OFFSET(BG67,1,0,1,1)&lt;&gt;0,$BP67*SUMIFS(RZ[Úroveň 10 bez koef. (P2)],RZ[0],AX67,RZ[Úroveň 2 (P0)],AY67,RZ[Úroveň 3 (P0)],AZ67,RZ[Úroveň 4 (P0)],BA67,RZ[Úroveň 5 (P0)],BB67,RZ[Úroveň 6 (P0)],BC67,RZ[Úroveň 7 (P0)],BD67,RZ[Úroveň 8 (P0)],BE67,RZ[Úroveň 9 (P0)],BF67),$BP67*$IG67)</f>
        <v>0</v>
      </c>
      <c r="CZ67" s="138">
        <f>RZ[[#This Row],[Úroveň 10 s koef. (P2a)]]*RZ[[#This Row],[Počet MJHR (P0)]]</f>
        <v>0</v>
      </c>
      <c r="DA67" s="138">
        <f>RZ[Úroveň 10 bez koef. (P2a)]*RZ[[#This Row],[Počet MJHR (P0)]]</f>
        <v>0</v>
      </c>
      <c r="DB67" s="138">
        <f>RZ[[#This Row],[Koeficient odhadu HR '[-'] (P1)]]*$BQ67*IG67</f>
        <v>0</v>
      </c>
      <c r="DC67" s="231">
        <f t="shared" si="405"/>
        <v>0</v>
      </c>
      <c r="DD67" s="241">
        <f t="shared" ca="1" si="406"/>
        <v>6.4</v>
      </c>
      <c r="DE67" s="229">
        <f t="shared" ca="1" si="407"/>
        <v>6.4</v>
      </c>
      <c r="DF67" s="912">
        <f t="shared" si="408"/>
        <v>0</v>
      </c>
      <c r="DG67" s="913">
        <f t="shared" si="409"/>
        <v>0</v>
      </c>
      <c r="DH67" s="913">
        <f t="shared" si="410"/>
        <v>8</v>
      </c>
      <c r="DI67" s="913">
        <f t="shared" si="411"/>
        <v>0</v>
      </c>
      <c r="DJ67" s="913">
        <f t="shared" si="412"/>
        <v>0</v>
      </c>
      <c r="DK67" s="913">
        <f t="shared" si="413"/>
        <v>0</v>
      </c>
      <c r="DL67" s="913">
        <f t="shared" si="414"/>
        <v>0</v>
      </c>
      <c r="DM67" s="913">
        <f t="shared" si="415"/>
        <v>0</v>
      </c>
      <c r="DN67" s="913">
        <f t="shared" si="416"/>
        <v>0</v>
      </c>
      <c r="DO67" s="913">
        <f t="shared" si="417"/>
        <v>0</v>
      </c>
      <c r="DP67" s="914">
        <f ca="1">SUMIFS(RZ[Úroveň 1 (P4)],RZ[0],AX67)</f>
        <v>1</v>
      </c>
      <c r="DQ67" s="914">
        <f ca="1">SUMIFS(RZ[Úroveň 2 (P4)],RZ[0],AX67,RZ[Úroveň 2 (P0)],AY67)</f>
        <v>2</v>
      </c>
      <c r="DR67" s="914">
        <f ca="1">SUMIFS(RZ[Úroveň 3 (P4)],RZ[0],AX67,RZ[Úroveň 2 (P0)],AY67,RZ[Úroveň 3 (P0)],AZ67)</f>
        <v>8</v>
      </c>
      <c r="DS67" s="914">
        <f ca="1">SUMIFS(RZ[Úroveň 4 (P4)],RZ[0],AX67,RZ[Úroveň 2 (P0)],AY67,RZ[Úroveň 3 (P0)],AZ67,RZ[Úroveň 4 (P0)],BA67)</f>
        <v>0</v>
      </c>
      <c r="DT67" s="914">
        <f ca="1">SUMIFS(RZ[Úroveň 5 (P4)],RZ[0],AX67,RZ[Úroveň 2 (P0)],AY67,RZ[Úroveň 3 (P0)],AZ67,RZ[Úroveň 4 (P0)],BA67,RZ[Úroveň 5 (P0)],BB67)</f>
        <v>0</v>
      </c>
      <c r="DU67" s="914">
        <f ca="1">SUMIFS(RZ[Úroveň 6 (P4)],RZ[0],AX67,RZ[Úroveň 2 (P0)],AY67,RZ[Úroveň 3 (P0)],AZ67,RZ[Úroveň 4 (P0)],BA67,RZ[Úroveň 5 (P0)],BB67,RZ[Úroveň 6 (P0)],BC67)</f>
        <v>0</v>
      </c>
      <c r="DV67" s="914">
        <f ca="1">SUMIFS(RZ[Úroveň 7 (P4)],RZ[0],AX67,RZ[Úroveň 2 (P0)],AY67,RZ[Úroveň 3 (P0)],AZ67,RZ[Úroveň 4 (P0)],BA67,RZ[Úroveň 5 (P0)],BB67,RZ[Úroveň 6 (P0)],BC67,RZ[Úroveň 7 (P0)],BD67)</f>
        <v>0</v>
      </c>
      <c r="DW67" s="914">
        <f ca="1">SUMIFS(RZ[Úroveň 8 (P4)],RZ[0],AX67,RZ[Úroveň 2 (P0)],AY67,RZ[Úroveň 3 (P0)],AZ67,RZ[Úroveň 4 (P0)],BA67,RZ[Úroveň 5 (P0)],BB67,RZ[Úroveň 6 (P0)],BC67,RZ[Úroveň 7 (P0)],BD67,RZ[Úroveň 8 (P0)],BE67)</f>
        <v>0</v>
      </c>
      <c r="DX67" s="914">
        <f ca="1">SUMIFS(RZ[Úroveň 9 (P4)],RZ[0],AX67,RZ[Úroveň 2 (P0)],AY67,RZ[Úroveň 3 (P0)],AZ67,RZ[Úroveň 4 (P0)],BA67,RZ[Úroveň 5 (P0)],BB67,RZ[Úroveň 6 (P0)],BC67,RZ[Úroveň 7 (P0)],BD67,RZ[Úroveň 8 (P0)],BE67,RZ[Úroveň 9 (P0)],BF67)</f>
        <v>0</v>
      </c>
      <c r="DY67" s="914">
        <f ca="1">SUMIFS(RZ[Úroveň 10 (P4)],RZ[0],AX67,RZ[Úroveň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DZ67" s="915">
        <f t="shared" ca="1" si="418"/>
        <v>16</v>
      </c>
      <c r="EA67" s="916">
        <f ca="1">RZ[[#This Row],[Jednotková hmotnost bez koef. '[kg/MJHR'] (P0)]]*RZ[[#This Row],[Počet MJHR v rozpadu (P0)]]</f>
        <v>102.4</v>
      </c>
      <c r="EB67" s="917">
        <f ca="1">IF(OFFSET(AY67,1,0,1,1)&lt;&gt;0,RZ[[#This Row],[Koeficient odhadu CR '[-'] (P1)]]*$BH67*SUMIFS(RZ[Úroveň 2 s koef. (P3)],RZ[0],AX67),RZ[[#This Row],[Koeficient odhadu CR '[-'] (P1)]]*$BH67*$IQ67)</f>
        <v>0</v>
      </c>
      <c r="EC67" s="191">
        <f ca="1">IF(OFFSET(AY67,1,0,1,1)&lt;&gt;0,$BH67*SUMIFS(RZ[Úroveň 2 bez koef. (P3)],RZ[0],AX67),$BH67*$IQ67)</f>
        <v>0</v>
      </c>
      <c r="ED67" s="140">
        <f ca="1">RZ[[#This Row],[Úroveň 2 s koef. (P3a)]]*RZ[[#This Row],[Počet MJCR (P0) pro "kg"]]</f>
        <v>0</v>
      </c>
      <c r="EE67" s="140">
        <f ca="1">RZ[Úroveň 2 bez koef. (P3a)]*RZ[[#This Row],[Počet MJCR (P0) pro "kg"]]</f>
        <v>0</v>
      </c>
      <c r="EF67" s="140">
        <f ca="1">IF(OFFSET(AZ67,1,0,1,1)&lt;&gt;0,RZ[[#This Row],[Koeficient odhadu CR '[-'] (P1)]]*$BI67*SUMIFS(RZ[Úroveň 3 s koef. (P3)],RZ[0],AX67,RZ[Úroveň 2 (P0)],AY67),RZ[[#This Row],[Koeficient odhadu CR '[-'] (P1)]]*$BI67*$IQ67)</f>
        <v>0</v>
      </c>
      <c r="EG67" s="140">
        <f ca="1">IF(OFFSET(AZ67,1,0,1,1)&lt;&gt;0,$BI67*SUMIFS(RZ[Úroveň 3 bez koef. (P3)],RZ[0],AX67,RZ[Úroveň 2 (P0)],AY67),$BI67*$IQ67)</f>
        <v>0</v>
      </c>
      <c r="EH67" s="135">
        <f ca="1">RZ[[#This Row],[Úroveň 3 s koef. (P3a)]]*RZ[[#This Row],[Počet MJCR (P0) pro "kg"]]</f>
        <v>5888</v>
      </c>
      <c r="EI67" s="135">
        <f ca="1">RZ[Úroveň 3 bez koef. (P3a)]*RZ[[#This Row],[Počet MJCR (P0) pro "kg"]]</f>
        <v>5888</v>
      </c>
      <c r="EJ67" s="135">
        <f ca="1">IF(OFFSET(BA67,1,0,1,1)&lt;&gt;0,RZ[[#This Row],[Koeficient odhadu CR '[-'] (P1)]]*$BJ67*SUMIFS(RZ[Úroveň 4 s koef. (P3)],RZ[0],AX67,RZ[Úroveň 2 (P0)],AY67,RZ[Úroveň 3 (P0)],AZ67),RZ[[#This Row],[Koeficient odhadu CR '[-'] (P1)]]*$BJ67*$IQ67)</f>
        <v>115</v>
      </c>
      <c r="EK67" s="135">
        <f ca="1">IF(OFFSET(BA67,1,0,1,1)&lt;&gt;0,$BJ67*SUMIFS(RZ[Úroveň 4 bez koef. (P3)],RZ[0],AX67,RZ[Úroveň 2 (P0)],AY67,RZ[Úroveň 3 (P0)],AZ67),$BJ67*$IQ67)</f>
        <v>115</v>
      </c>
      <c r="EL67" s="140">
        <f ca="1">RZ[[#This Row],[Úroveň 4 s koef. (P3a)]]*RZ[[#This Row],[Počet MJCR (P0) pro "kg"]]</f>
        <v>0</v>
      </c>
      <c r="EM67" s="140">
        <f ca="1">RZ[Úroveň 4 bez koef. (P3a)]*RZ[[#This Row],[Počet MJCR (P0) pro "kg"]]</f>
        <v>0</v>
      </c>
      <c r="EN67" s="140">
        <f ca="1">IF(OFFSET(BB67,1,0,1,1)&lt;&gt;0,RZ[[#This Row],[Koeficient odhadu CR '[-'] (P1)]]*$BK67*SUMIFS(RZ[Úroveň 5 s koef. (P3)],RZ[0],AX67,RZ[Úroveň 2 (P0)],AY67,RZ[Úroveň 3 (P0)],AZ67,RZ[Úroveň 4 (P0)],BA67),RZ[[#This Row],[Koeficient odhadu CR '[-'] (P1)]]*$BK67*$IQ67)</f>
        <v>0</v>
      </c>
      <c r="EO67" s="140">
        <f ca="1">IF(OFFSET(BB67,1,0,1,1)&lt;&gt;0,$BK67*SUMIFS(RZ[Úroveň 5 bez koef. (P3)],RZ[0],AX67,RZ[Úroveň 2 (P0)],AY67,RZ[Úroveň 3 (P0)],AZ67,RZ[Úroveň 4 (P0)],BA67),$BK67*$IQ67)</f>
        <v>0</v>
      </c>
      <c r="EP67" s="135">
        <f ca="1">RZ[[#This Row],[Úroveň 5 s koef. (P3a)]]*RZ[[#This Row],[Počet MJCR (P0) pro "kg"]]</f>
        <v>0</v>
      </c>
      <c r="EQ67" s="135">
        <f ca="1">RZ[Úroveň 5 bez koef. (P3a)]*RZ[[#This Row],[Počet MJCR (P0) pro "kg"]]</f>
        <v>0</v>
      </c>
      <c r="ER67" s="135">
        <f ca="1">IF(OFFSET(BC67,1,0,1,1)&lt;&gt;0,RZ[[#This Row],[Koeficient odhadu CR '[-'] (P1)]]*$BL67*SUMIFS(RZ[Úroveň 6 s koef. (P3)],RZ[0],AX67,RZ[Úroveň 2 (P0)],AY67,RZ[Úroveň 3 (P0)],AZ67,RZ[Úroveň 4 (P0)],BA67,RZ[Úroveň 5 (P0)],BB67),RZ[[#This Row],[Koeficient odhadu CR '[-'] (P1)]]*$BL67*$IQ67)</f>
        <v>0</v>
      </c>
      <c r="ES67" s="135">
        <f ca="1">IF(OFFSET(BC67,1,0,1,1)&lt;&gt;0,$BL67*SUMIFS(RZ[Úroveň 6 bez koef. (P3)],RZ[0],AX67,RZ[Úroveň 2 (P0)],AY67,RZ[Úroveň 3 (P0)],AZ67,RZ[Úroveň 4 (P0)],BA67,RZ[Úroveň 5 (P0)],BB67),$BL67*$IQ67)</f>
        <v>0</v>
      </c>
      <c r="ET67" s="140">
        <f ca="1">RZ[[#This Row],[Úroveň 6 s koef. (P3a)]]*RZ[[#This Row],[Počet MJCR (P0) pro "kg"]]</f>
        <v>0</v>
      </c>
      <c r="EU67" s="140">
        <f ca="1">RZ[Úroveň 6 bez koef. (P3a)]*RZ[[#This Row],[Počet MJCR (P0) pro "kg"]]</f>
        <v>0</v>
      </c>
      <c r="EV67" s="140">
        <f ca="1">IF(OFFSET(BD67,1,0,1,1)&lt;&gt;0,RZ[[#This Row],[Koeficient odhadu CR '[-'] (P1)]]*$BM67*SUMIFS(RZ[Úroveň 7 s koef. (P3)],RZ[0],AX67,RZ[Úroveň 2 (P0)],AY67,RZ[Úroveň 3 (P0)],AZ67,RZ[Úroveň 4 (P0)],BA67,RZ[Úroveň 5 (P0)],BB67,RZ[Úroveň 6 (P0)],BC67),RZ[[#This Row],[Koeficient odhadu CR '[-'] (P1)]]*$BM67*$IQ67)</f>
        <v>0</v>
      </c>
      <c r="EW67" s="140">
        <f ca="1">IF(OFFSET(BD67,1,0,1,1)&lt;&gt;0,$BM67*SUMIFS(RZ[Úroveň 7 bez koef. (P3)],RZ[0],AX67,RZ[Úroveň 2 (P0)],AY67,RZ[Úroveň 3 (P0)],AZ67,RZ[Úroveň 4 (P0)],BA67,RZ[Úroveň 5 (P0)],BB67,RZ[Úroveň 6 (P0)],BC67),$BM67*$IQ67)</f>
        <v>0</v>
      </c>
      <c r="EX67" s="135">
        <f ca="1">RZ[[#This Row],[Úroveň 7 s koef. (P3a)]]*RZ[[#This Row],[Počet MJCR (P0) pro "kg"]]</f>
        <v>0</v>
      </c>
      <c r="EY67" s="135">
        <f ca="1">RZ[Úroveň 7 bez koef. (P3a)]*RZ[[#This Row],[Počet MJCR (P0) pro "kg"]]</f>
        <v>0</v>
      </c>
      <c r="EZ67" s="135">
        <f ca="1">IF(OFFSET(BE67,1,0,1,1)&lt;&gt;0,RZ[[#This Row],[Koeficient odhadu CR '[-'] (P1)]]*$BN67*SUMIFS(RZ[Úroveň 8 s koef. (P3)],RZ[0],AX67,RZ[Úroveň 2 (P0)],AY67,RZ[Úroveň 3 (P0)],AZ67,RZ[Úroveň 4 (P0)],BA67,RZ[Úroveň 5 (P0)],BB67,RZ[Úroveň 6 (P0)],BC67,RZ[Úroveň 7 (P0)],BD67),RZ[[#This Row],[Koeficient odhadu CR '[-'] (P1)]]*$BN67*$IQ67)</f>
        <v>0</v>
      </c>
      <c r="FA67" s="135">
        <f ca="1">IF(OFFSET(BE67,1,0,1,1)&lt;&gt;0,$BN67*SUMIFS(RZ[Úroveň 8 bez koef. (P3)],RZ[0],AX67,RZ[Úroveň 2 (P0)],AY67,RZ[Úroveň 3 (P0)],AZ67,RZ[Úroveň 4 (P0)],BA67,RZ[Úroveň 5 (P0)],BB67,RZ[Úroveň 6 (P0)],BC67,RZ[Úroveň 7 (P0)],BD67),$BN67*$IQ67)</f>
        <v>0</v>
      </c>
      <c r="FB67" s="140">
        <f ca="1">RZ[[#This Row],[Úroveň 8 s koef. (P3a)]]*RZ[[#This Row],[Počet MJCR (P0) pro "kg"]]</f>
        <v>0</v>
      </c>
      <c r="FC67" s="140">
        <f ca="1">RZ[Úroveň 8 bez koef. (P3a)]*RZ[[#This Row],[Počet MJCR (P0) pro "kg"]]</f>
        <v>0</v>
      </c>
      <c r="FD67" s="140">
        <f ca="1">IF(OFFSET(BF67,1,0,1,1)&lt;&gt;0,RZ[[#This Row],[Koeficient odhadu CR '[-'] (P1)]]*$BO67*SUMIFS(RZ[Úroveň 9 s koef. (P3)],RZ[0],AX67,RZ[Úroveň 2 (P0)],AY67,RZ[Úroveň 3 (P0)],AZ67,RZ[Úroveň 4 (P0)],BA67,RZ[Úroveň 5 (P0)],BB67,RZ[Úroveň 6 (P0)],BC67,RZ[Úroveň 7 (P0)],BD67,RZ[Úroveň 8 (P0)],BE67),RZ[[#This Row],[Koeficient odhadu CR '[-'] (P1)]]*$BO67*$IQ67)</f>
        <v>0</v>
      </c>
      <c r="FE67" s="140">
        <f ca="1">IF(OFFSET(BF67,1,0,1,1)&lt;&gt;0,$BO67*SUMIFS(RZ[Úroveň 9 bez koef. (P3)],RZ[0],AX67,RZ[Úroveň 2 (P0)],AY67,RZ[Úroveň 3 (P0)],AZ67,RZ[Úroveň 4 (P0)],BA67,RZ[Úroveň 5 (P0)],BB67,RZ[Úroveň 6 (P0)],BC67,RZ[Úroveň 7 (P0)],BD67,RZ[Úroveň 8 (P0)],BE67),$BO67*$IQ67)</f>
        <v>0</v>
      </c>
      <c r="FF67" s="135">
        <f ca="1">RZ[[#This Row],[Úroveň 9 s koef. (P3a)]]*RZ[[#This Row],[Počet MJCR (P0) pro "kg"]]</f>
        <v>0</v>
      </c>
      <c r="FG67" s="135">
        <f ca="1">RZ[Úroveň 9 bez koef. (P3a)]*RZ[[#This Row],[Počet MJCR (P0) pro "kg"]]</f>
        <v>0</v>
      </c>
      <c r="FH67" s="135">
        <f ca="1">IF(OFFSET(BG67,1,0,1,1)&lt;&gt;0,RZ[[#This Row],[Koeficient odhadu CR '[-'] (P1)]]*$BP67*SUMIFS(RZ[Úroveň 10 s koef. (P3)],RZ[0],AX67,RZ[Úroveň 2 (P0)],AY67,RZ[Úroveň 3 (P0)],AZ67,RZ[Úroveň 4 (P0)],BA67,RZ[Úroveň 5 (P0)],BB67,RZ[Úroveň 6 (P0)],BC67,RZ[Úroveň 7 (P0)],BD67,RZ[Úroveň 8 (P0)],BE67,RZ[Úroveň 9 (P0)],BF67),RZ[[#This Row],[Koeficient odhadu CR '[-'] (P1)]]*$BP67*$IQ67)</f>
        <v>0</v>
      </c>
      <c r="FI67" s="135">
        <f ca="1">IF(OFFSET(BG67,1,0,1,1)&lt;&gt;0,$BP67*SUMIFS(RZ[Úroveň 10 bez koef. (P3)],RZ[0],AX67,RZ[Úroveň 2 (P0)],AY67,RZ[Úroveň 3 (P0)],AZ67,RZ[Úroveň 4 (P0)],BA67,RZ[Úroveň 5 (P0)],BB67,RZ[Úroveň 6 (P0)],BC67,RZ[Úroveň 7 (P0)],BD67,RZ[Úroveň 8 (P0)],BE67,RZ[Úroveň 9 (P0)],BF67),$BP67*$IQ67)</f>
        <v>0</v>
      </c>
      <c r="FJ67" s="140">
        <f ca="1">RZ[[#This Row],[Úroveň 10 s koef. (P3a)]]*RZ[[#This Row],[Počet MJCR (P0) pro "kg"]]</f>
        <v>0</v>
      </c>
      <c r="FK67" s="140">
        <f ca="1">RZ[Úroveň 10 bez koef. (P3a)]*RZ[[#This Row],[Počet MJCR (P0) pro "kg"]]</f>
        <v>0</v>
      </c>
      <c r="FL67" s="140">
        <f ca="1">RZ[[#This Row],[Koeficient odhadu CR '[-'] (P1)]]*$BQ67*IQ67</f>
        <v>0</v>
      </c>
      <c r="FM67" s="236">
        <f t="shared" ca="1" si="419"/>
        <v>0</v>
      </c>
      <c r="FN67" s="194">
        <f t="shared" ca="1" si="420"/>
        <v>115</v>
      </c>
      <c r="FO67" s="238">
        <f t="shared" ca="1" si="421"/>
        <v>115</v>
      </c>
      <c r="FP67" s="135">
        <f t="shared" ca="1" si="422"/>
        <v>0</v>
      </c>
      <c r="FQ67" s="135">
        <f t="shared" ca="1" si="423"/>
        <v>0</v>
      </c>
      <c r="FR67" s="135">
        <f t="shared" ca="1" si="424"/>
        <v>51.2</v>
      </c>
      <c r="FS67" s="135">
        <f t="shared" ca="1" si="425"/>
        <v>0</v>
      </c>
      <c r="FT67" s="135">
        <f t="shared" ca="1" si="426"/>
        <v>0</v>
      </c>
      <c r="FU67" s="135">
        <f t="shared" ca="1" si="427"/>
        <v>0</v>
      </c>
      <c r="FV67" s="135">
        <f t="shared" ca="1" si="428"/>
        <v>0</v>
      </c>
      <c r="FW67" s="135">
        <f t="shared" ca="1" si="429"/>
        <v>0</v>
      </c>
      <c r="FX67" s="135">
        <f t="shared" ca="1" si="430"/>
        <v>0</v>
      </c>
      <c r="FY67" s="135">
        <f t="shared" ca="1" si="431"/>
        <v>0</v>
      </c>
      <c r="FZ67" s="140">
        <f ca="1">SUMIFS(RZ[Úroveň 1 (P6)],RZ[0],AX67)</f>
        <v>1</v>
      </c>
      <c r="GA67" s="140">
        <f ca="1">SUMIFS(RZ[Úroveň 2 (P6)],RZ[0],AX67,RZ[Úroveň 2 (P0)],AY67)</f>
        <v>2</v>
      </c>
      <c r="GB67" s="140">
        <f ca="1">SUMIFS(RZ[Úroveň 3 (P6)],RZ[0],AX67,RZ[Úroveň 2 (P0)],AY67,RZ[Úroveň 3 (P0)],AZ67)</f>
        <v>51.2</v>
      </c>
      <c r="GC67" s="140">
        <f ca="1">SUMIFS(RZ[Úroveň 4 (P6)],RZ[0],AX67,RZ[Úroveň 2 (P0)],AY67,RZ[Úroveň 3 (P0)],AZ67,RZ[Úroveň 4 (P0)],BA67)</f>
        <v>0</v>
      </c>
      <c r="GD67" s="140">
        <f ca="1">SUMIFS(RZ[Úroveň 5 (P6)],RZ[0],AX67,RZ[Úroveň 2 (P0)],AY67,RZ[Úroveň 3 (P0)],AZ67,RZ[Úroveň 4 (P0)],BA67,RZ[Úroveň 5 (P0)],BB67)</f>
        <v>0</v>
      </c>
      <c r="GE67" s="140">
        <f ca="1">SUMIFS(RZ[Úroveň 6 (P6)],RZ[0],AX67,RZ[Úroveň 2 (P0)],AY67,RZ[Úroveň 3 (P0)],AZ67,RZ[Úroveň 4 (P0)],BA67,RZ[Úroveň 5 (P0)],BB67,RZ[Úroveň 6 (P0)],BC67)</f>
        <v>0</v>
      </c>
      <c r="GF67" s="140">
        <f ca="1">SUMIFS(RZ[Úroveň 7 (P6)],RZ[0],AX67,RZ[Úroveň 2 (P0)],AY67,RZ[Úroveň 3 (P0)],AZ67,RZ[Úroveň 4 (P0)],BA67,RZ[Úroveň 5 (P0)],BB67,RZ[Úroveň 6 (P0)],BC67,RZ[Úroveň 7 (P0)],BD67)</f>
        <v>0</v>
      </c>
      <c r="GG67" s="140">
        <f ca="1">SUMIFS(RZ[Úroveň 8 (P6)],RZ[0],AX67,RZ[Úroveň 2 (P0)],AY67,RZ[Úroveň 3 (P0)],AZ67,RZ[Úroveň 4 (P0)],BA67,RZ[Úroveň 5 (P0)],BB67,RZ[Úroveň 6 (P0)],BC67,RZ[Úroveň 7 (P0)],BD67,RZ[Úroveň 8 (P0)],BE67)</f>
        <v>0</v>
      </c>
      <c r="GH67" s="140">
        <f ca="1">SUMIFS(RZ[Úroveň 9 (P6)],RZ[0],AX67,RZ[Úroveň 2 (P0)],AY67,RZ[Úroveň 3 (P0)],AZ67,RZ[Úroveň 4 (P0)],BA67,RZ[Úroveň 5 (P0)],BB67,RZ[Úroveň 6 (P0)],BC67,RZ[Úroveň 7 (P0)],BD67,RZ[Úroveň 8 (P0)],BE67,RZ[Úroveň 9 (P0)],BF67)</f>
        <v>0</v>
      </c>
      <c r="GI67" s="140">
        <f ca="1">SUMIFS(RZ[Úroveň 10 (P6)],RZ[0],AX67,RZ[Úroveň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GJ67" s="918">
        <f t="shared" ca="1" si="432"/>
        <v>102.4</v>
      </c>
      <c r="GK67" s="808">
        <f t="shared" si="433"/>
        <v>0</v>
      </c>
      <c r="GL67" s="808">
        <f t="shared" si="434"/>
        <v>0</v>
      </c>
      <c r="GM67" s="808">
        <f t="shared" si="435"/>
        <v>1</v>
      </c>
      <c r="GN67" s="808">
        <f t="shared" si="436"/>
        <v>0</v>
      </c>
      <c r="GO67" s="808">
        <f t="shared" si="437"/>
        <v>0</v>
      </c>
      <c r="GP67" s="808">
        <f t="shared" si="438"/>
        <v>0</v>
      </c>
      <c r="GQ67" s="808">
        <f t="shared" si="439"/>
        <v>0</v>
      </c>
      <c r="GR67" s="808">
        <f t="shared" si="440"/>
        <v>0</v>
      </c>
      <c r="GS67" s="808">
        <f t="shared" si="441"/>
        <v>0</v>
      </c>
      <c r="GT67" s="808">
        <f t="shared" si="442"/>
        <v>0</v>
      </c>
      <c r="GU67" s="809">
        <f ca="1">SUMIFS(RZ[Sloupec1],RZ[0],AX67)</f>
        <v>1</v>
      </c>
      <c r="GV67" s="809">
        <f ca="1">SUMIFS(RZ[Sloupec2],RZ[0],AX67,RZ[Úroveň 2 (P0)],AY67)</f>
        <v>1</v>
      </c>
      <c r="GW67" s="809">
        <f ca="1">SUMIFS(RZ[Sloupec3],RZ[0],AX67,RZ[Úroveň 2 (P0)],AY67,RZ[Úroveň 3 (P0)],AZ67)</f>
        <v>1</v>
      </c>
      <c r="GX67" s="809">
        <f ca="1">SUMIFS(RZ[Sloupec4],RZ[0],AX67,RZ[Úroveň 2 (P0)],AY67,RZ[Úroveň 3 (P0)],AZ67,RZ[Úroveň 4 (P0)],BA67)</f>
        <v>0</v>
      </c>
      <c r="GY67" s="809">
        <f ca="1">SUMIFS(RZ[Sloupec5],RZ[0],AX67,RZ[Úroveň 2 (P0)],AY67,RZ[Úroveň 3 (P0)],AZ67,RZ[Úroveň 4 (P0)],BA67,RZ[Úroveň 5 (P0)],BB67)</f>
        <v>0</v>
      </c>
      <c r="GZ67" s="809">
        <f ca="1">SUMIFS(RZ[Sloupec6],RZ[0],AX67,RZ[Úroveň 2 (P0)],AY67,RZ[Úroveň 3 (P0)],AZ67,RZ[Úroveň 4 (P0)],BA67,RZ[Úroveň 5 (P0)],BB67,RZ[Úroveň 6 (P0)],BC67)</f>
        <v>0</v>
      </c>
      <c r="HA67" s="809">
        <f ca="1">SUMIFS(RZ[Sloupec62],RZ[0],AX67,RZ[Úroveň 2 (P0)],AY67,RZ[Úroveň 3 (P0)],AZ67,RZ[Úroveň 4 (P0)],BA67,RZ[Úroveň 5 (P0)],BB67,RZ[Úroveň 6 (P0)],BC67,RZ[Úroveň 7 (P0)],BD67)</f>
        <v>0</v>
      </c>
      <c r="HB67" s="809">
        <f ca="1">SUMIFS(RZ[Sloupec63],RZ[0],AX67,RZ[Úroveň 2 (P0)],AY67,RZ[Úroveň 3 (P0)],AZ67,RZ[Úroveň 4 (P0)],BA67,RZ[Úroveň 5 (P0)],BB67,RZ[Úroveň 6 (P0)],BC67,RZ[Úroveň 7 (P0)],BD67,RZ[Úroveň 8 (P0)],BE67)</f>
        <v>0</v>
      </c>
      <c r="HC67" s="809">
        <f ca="1">SUMIFS(RZ[Sloupec64],RZ[0],AX67,RZ[Úroveň 2 (P0)],AY67,RZ[Úroveň 3 (P0)],AZ67,RZ[Úroveň 4 (P0)],BA67,RZ[Úroveň 5 (P0)],BB67,RZ[Úroveň 6 (P0)],BC67,RZ[Úroveň 7 (P0)],BD67,RZ[Úroveň 8 (P0)],BE67,RZ[Úroveň 9 (P0)],BF67)</f>
        <v>0</v>
      </c>
      <c r="HD67" s="809">
        <f ca="1">SUMIFS(RZ[Sloupec65],RZ[0],AX67,RZ[Úroveň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HE67" s="919">
        <f t="shared" ca="1" si="443"/>
        <v>1</v>
      </c>
      <c r="HF67" s="920" t="str">
        <f t="shared" si="444"/>
        <v/>
      </c>
      <c r="HG67" s="94" t="str">
        <f t="shared" si="445"/>
        <v/>
      </c>
      <c r="HH67" s="95" t="str">
        <f t="shared" si="446"/>
        <v/>
      </c>
      <c r="HI67" s="95" t="str">
        <f t="shared" si="447"/>
        <v>Víčko</v>
      </c>
      <c r="HJ67" s="96" t="str">
        <f t="shared" si="448"/>
        <v/>
      </c>
      <c r="HK67" s="96" t="str">
        <f t="shared" si="449"/>
        <v/>
      </c>
      <c r="HL67" s="96" t="str">
        <f t="shared" si="450"/>
        <v/>
      </c>
      <c r="HM67" s="96" t="str">
        <f t="shared" si="451"/>
        <v/>
      </c>
      <c r="HN67" s="96" t="str">
        <f t="shared" si="452"/>
        <v/>
      </c>
      <c r="HO67" s="96" t="str">
        <f t="shared" si="453"/>
        <v/>
      </c>
      <c r="HP67" s="96" t="str">
        <f t="shared" si="454"/>
        <v/>
      </c>
      <c r="HQ67" s="145" t="str">
        <f t="shared" si="455"/>
        <v>STO2</v>
      </c>
      <c r="HR67" s="921" t="str">
        <f t="shared" si="456"/>
        <v/>
      </c>
      <c r="HS67" s="173">
        <f t="shared" si="457"/>
        <v>0</v>
      </c>
      <c r="HT67" s="100">
        <f t="shared" si="458"/>
        <v>0</v>
      </c>
      <c r="HU67" s="100">
        <f t="shared" si="459"/>
        <v>0</v>
      </c>
      <c r="HV67" s="908">
        <f t="shared" si="460"/>
        <v>0</v>
      </c>
      <c r="HW67" s="922">
        <f t="shared" si="461"/>
        <v>0</v>
      </c>
      <c r="HX67" s="224">
        <f t="shared" si="462"/>
        <v>0</v>
      </c>
      <c r="HY67" s="263" t="str">
        <f t="shared" si="463"/>
        <v>S</v>
      </c>
      <c r="HZ67" s="263">
        <f t="shared" si="464"/>
        <v>0</v>
      </c>
      <c r="IA67" s="150">
        <f t="shared" si="465"/>
        <v>1</v>
      </c>
      <c r="IB67" s="319">
        <f t="shared" si="466"/>
        <v>0</v>
      </c>
      <c r="IC67" s="923">
        <f t="shared" si="467"/>
        <v>0</v>
      </c>
      <c r="ID67" s="924" t="str">
        <f t="shared" ca="1" si="468"/>
        <v>OK</v>
      </c>
      <c r="IE67" s="201" t="str">
        <f t="shared" si="469"/>
        <v>ks</v>
      </c>
      <c r="IF67" s="145">
        <f t="shared" si="470"/>
        <v>8</v>
      </c>
      <c r="IG67" s="216">
        <f t="shared" si="471"/>
        <v>6.4</v>
      </c>
      <c r="IH67" s="217">
        <f t="shared" si="472"/>
        <v>1</v>
      </c>
      <c r="II67" s="224" t="str">
        <f ca="1">IF(RZ[[#This Row],[Rozhodný sloupec indikativní ceny]]=1,"kg",IF($IW67=$JL$15,IF(JX67=0,JO67,JX67),IF($IW67=$KE$15,IF(KQ67=0,KH67,KQ67),IF($IW67=$KX$15,IF(LJ67=0,LA67,LJ67),IF($IW67=$LQ$15,IF(MC67=0,LT67,MC67),IF($IW67=$MJ$15,IF(NQ67=0,NH67,NQ67),0))))))</f>
        <v>kg</v>
      </c>
      <c r="IJ67" s="224">
        <f ca="1">IF((BH67+OFFSET(BH67,1,1,1,1))=2,RZ[[#This Row],[Počet MJHR (P0)]],IF((BI67+OFFSET(BI67,1,1,1,1))=2,RZ[[#This Row],[Počet MJHR (P0)]],IF((BJ67+OFFSET(BJ67,1,1,1,1))=2,RZ[[#This Row],[Počet MJHR (P0)]],IF((BK67+OFFSET(BK67,1,1,1,1))=2,RZ[[#This Row],[Počet MJHR (P0)]],IF((BL67+OFFSET(BL67,1,1,1,1))=2,RZ[[#This Row],[Počet MJHR (P0)]],IF((BM67+OFFSET(BM67,1,1,1,1))=2,RZ[[#This Row],[Počet MJHR (P0)]],IF((BN67+OFFSET(BN67,1,1,1,1))=2,RZ[[#This Row],[Počet MJHR (P0)]],IF((BO67+OFFSET(BO67,1,1,1,1))=2,RZ[[#This Row],[Počet MJHR (P0)]],IF((BP67+OFFSET(BP67,1,1,1,1))=2,RZ[[#This Row],[Počet MJHR (P0)]],IF((BQ67+OFFSET(BQ67,1,1,1,1))=2,RZ[[#This Row],[Počet MJHR (P0)]],IF(RZ[[#This Row],[Měrná jednotka CR (MJCR) (P0)]]=RZ[[#This Row],[Měrná jednotka HR '[MJHR'] (P0)]],RZ[[#This Row],[Počet MJHR (P0)]],IF($IW67=$JL$15,JY67,IF($IW67=$KE$15,KR67,IF($IW67=$KX$15,LK67,IF($IW67=$LQ$15,MD67,IF($IW67=$MJ$15,NR67,0))))))))))))))))</f>
        <v>0</v>
      </c>
      <c r="IK6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51.2</v>
      </c>
      <c r="IL67" s="145">
        <f ca="1">IF(AND(RZ[[#This Row],[Jednotková cena bez DPH '[cena/MJCR'] (P0)]]=0,RZ[[#This Row],[Indikativní jednotková cena '[CZK/kg'] (P1)]]&lt;&gt;0),1,0)</f>
        <v>1</v>
      </c>
      <c r="IM67" s="217">
        <f ca="1">VLOOKUP(RZ[[#This Row],[Kód položek]],INDIKAT_CENA,2,FALSE)</f>
        <v>115</v>
      </c>
      <c r="IN67" s="222">
        <f ca="1">IF(RZ[[#This Row],[Rozhodný sloupec indikativní ceny]]=1,RZ[[#This Row],[Indikativní jednotková cena '[CZK/kg'] (P1)]],RZ[[#This Row],[Jednotková cena bez DPH '[cena/MJCR'] (P0)]])</f>
        <v>115</v>
      </c>
      <c r="IO67" s="222">
        <f t="shared" si="473"/>
        <v>1</v>
      </c>
      <c r="IP67" s="224">
        <f ca="1">IF(RZ[[#This Row],[Rozhodný sloupec indikativní ceny]]=1,1,IF($IW67=$JL$15,KA67,IF($IW67=$KE$15,KT67,IF($IW67=$KX$15,LM67,IF($IW67=$LQ$15,MF67,IF($IW67=$MJ$15,NT67,0))))))</f>
        <v>1</v>
      </c>
      <c r="IQ67" s="225">
        <f ca="1">IF(RZ[[#This Row],[Jednotková cena bez DPH '[cena/MJCR'] (P1)]]="",0,IF(IP67=0,0,(RZ[[#This Row],[Jednotková cena bez DPH '[cena/MJCR'] (P1)]]*VLOOKUP(IP67,$BR$7:$BT$10,3))))</f>
        <v>115</v>
      </c>
      <c r="IR67" s="737"/>
      <c r="IS67" s="627">
        <f>IF(HY67=0,"",VLOOKUP(RZ[[#This Row],[Stav Projekce (P0)]],Vstupy!$E$11:'Vstupy'!$E$11:$H$17,4,FALSE))</f>
        <v>100</v>
      </c>
      <c r="IT67" s="925" t="str">
        <f>IF(RZ[[#This Row],[Stav Projekce (P0)]]=0,"",RZ[[#This Row],[Stav Projekce (P0)]])</f>
        <v>S</v>
      </c>
      <c r="IU67" s="925" t="str">
        <f>IF(RZ[[#This Row],[Stav Nákup (P0)]]=0,"",RZ[[#This Row],[Stav Nákup (P0)]])</f>
        <v/>
      </c>
      <c r="IV67" s="926" t="str">
        <f t="shared" si="474"/>
        <v/>
      </c>
      <c r="IW67" s="641">
        <v>1</v>
      </c>
      <c r="IX67" s="630"/>
      <c r="IY67" s="264"/>
      <c r="IZ67" s="648"/>
      <c r="JA67" s="100"/>
      <c r="JB67" s="100" t="s">
        <v>792</v>
      </c>
      <c r="JC67" s="100"/>
      <c r="JD67" s="100"/>
      <c r="JE67" s="100"/>
      <c r="JF67" s="100"/>
      <c r="JG67" s="100"/>
      <c r="JH67" s="100"/>
      <c r="JI67" s="100"/>
      <c r="JJ67" s="145" t="s">
        <v>773</v>
      </c>
      <c r="JK67" s="529"/>
      <c r="JL67" s="286"/>
      <c r="JM67" s="100"/>
      <c r="JN67" s="100"/>
      <c r="JO67" s="145" t="s">
        <v>35</v>
      </c>
      <c r="JP67" s="117">
        <v>8</v>
      </c>
      <c r="JQ67" s="117">
        <v>6.4</v>
      </c>
      <c r="JR67" s="148">
        <v>1</v>
      </c>
      <c r="JS67" s="145" t="s">
        <v>602</v>
      </c>
      <c r="JT67" s="631"/>
      <c r="JU67" s="148"/>
      <c r="JV67" s="154"/>
      <c r="JW67" s="145"/>
      <c r="JX67" s="210"/>
      <c r="JY67" s="117"/>
      <c r="JZ67" s="662"/>
      <c r="KA67" s="145"/>
      <c r="KB67" s="148"/>
      <c r="KC67" s="148"/>
      <c r="KD67" s="644"/>
      <c r="KE67" s="286"/>
      <c r="KF67" s="100"/>
      <c r="KG67" s="100"/>
      <c r="KH67" s="210"/>
      <c r="KI67" s="117"/>
      <c r="KJ67" s="117"/>
      <c r="KK67" s="148"/>
      <c r="KL67" s="145"/>
      <c r="KM67" s="632"/>
      <c r="KN67" s="148"/>
      <c r="KO67" s="154"/>
      <c r="KP67" s="154"/>
      <c r="KQ67" s="210"/>
      <c r="KR67" s="117"/>
      <c r="KS67" s="211"/>
      <c r="KT67" s="145"/>
      <c r="KU67" s="148"/>
      <c r="KV67" s="148"/>
      <c r="KW67" s="265"/>
      <c r="KX67" s="286"/>
      <c r="KY67" s="100"/>
      <c r="KZ67" s="100"/>
      <c r="LA67" s="210"/>
      <c r="LB67" s="117"/>
      <c r="LC67" s="117"/>
      <c r="LD67" s="148"/>
      <c r="LE67" s="145"/>
      <c r="LF67" s="632"/>
      <c r="LG67" s="148"/>
      <c r="LH67" s="154"/>
      <c r="LI67" s="154"/>
      <c r="LJ67" s="154"/>
      <c r="LK67" s="117"/>
      <c r="LL67" s="211"/>
      <c r="LM67" s="210"/>
      <c r="LN67" s="148"/>
      <c r="LO67" s="148"/>
      <c r="LP67" s="265"/>
      <c r="LQ67" s="286"/>
      <c r="LR67" s="100"/>
      <c r="LS67" s="100"/>
      <c r="LT67" s="210"/>
      <c r="LU67" s="117"/>
      <c r="LV67" s="117"/>
      <c r="LW67" s="148"/>
      <c r="LX67" s="145"/>
      <c r="LY67" s="632"/>
      <c r="LZ67" s="148"/>
      <c r="MA67" s="154"/>
      <c r="MB67" s="154"/>
      <c r="MC67" s="145"/>
      <c r="MD67" s="117"/>
      <c r="ME67" s="211"/>
      <c r="MF67" s="210"/>
      <c r="MG67" s="148"/>
      <c r="MH67" s="148"/>
      <c r="MI67" s="265"/>
      <c r="MJ67" s="647"/>
      <c r="MK67" s="264"/>
      <c r="ML67" s="153"/>
      <c r="MM67" s="153"/>
      <c r="MN67" s="153"/>
      <c r="MO67" s="153"/>
      <c r="MP67" s="153"/>
      <c r="MQ67" s="153"/>
      <c r="MR67" s="153"/>
      <c r="MS67" s="99"/>
      <c r="MT67" s="99"/>
      <c r="MU67" s="99"/>
      <c r="MV67" s="99"/>
      <c r="MW67" s="99"/>
      <c r="MX67" s="99"/>
      <c r="MY67" s="153"/>
      <c r="MZ67" s="153"/>
      <c r="NA67" s="153"/>
      <c r="NB67" s="153"/>
      <c r="NC67" s="153"/>
      <c r="ND67" s="153"/>
      <c r="NE67" s="148"/>
      <c r="NF67" s="153"/>
      <c r="NG67" s="153"/>
      <c r="NH67" s="330" t="str">
        <f t="shared" si="475"/>
        <v>ks</v>
      </c>
      <c r="NI67" s="797">
        <f>RZ[[#This Row],[Počet ks (K)]]</f>
        <v>0</v>
      </c>
      <c r="NJ67" s="798">
        <f>RZ[[#This Row],[Hmotnost '[kg/ks'] (K)]]</f>
        <v>0</v>
      </c>
      <c r="NK67" s="148"/>
      <c r="NL67" s="145"/>
      <c r="NM67" s="632"/>
      <c r="NN67" s="148"/>
      <c r="NO67" s="154"/>
      <c r="NP67" s="153"/>
      <c r="NQ67" s="153"/>
      <c r="NR67" s="210"/>
      <c r="NS67" s="148"/>
      <c r="NT67" s="210"/>
      <c r="NU67" s="148"/>
      <c r="NV67" s="148"/>
      <c r="NW67" s="175"/>
    </row>
    <row r="68" spans="2:387" ht="15.95" customHeight="1" x14ac:dyDescent="0.35">
      <c r="B68" s="118" t="str">
        <f t="shared" si="359"/>
        <v/>
      </c>
      <c r="C6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8" s="262" t="str">
        <f t="shared" si="360"/>
        <v xml:space="preserve">    Těsnění</v>
      </c>
      <c r="E68" s="120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Row],[Kód položek (P2)]]))))))))))</f>
        <v>SUOS</v>
      </c>
      <c r="F68" s="791" t="str">
        <f t="shared" si="361"/>
        <v>N/A</v>
      </c>
      <c r="G68" s="792" t="str">
        <f t="shared" si="362"/>
        <v/>
      </c>
      <c r="H68" s="262" t="str">
        <f t="shared" si="363"/>
        <v/>
      </c>
      <c r="I68" s="123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HR '[MJHR'] (P0)]]))))))))))</f>
        <v>ks</v>
      </c>
      <c r="J68" s="123">
        <f t="shared" si="364"/>
        <v>8</v>
      </c>
      <c r="K68" s="793">
        <f>RZ[[#This Row],[Koeficient odhadu HR '[-'] (P1)]]</f>
        <v>1</v>
      </c>
      <c r="L68" s="124">
        <f ca="1">RZ[[#This Row],[Jednotková hmotnost s koef. '[kg/MJHR'] (P0)]]</f>
        <v>0.05</v>
      </c>
      <c r="M68" s="794">
        <f t="shared" ca="1" si="365"/>
        <v>0</v>
      </c>
      <c r="N68" s="125">
        <f t="shared" ca="1" si="366"/>
        <v>0.4</v>
      </c>
      <c r="O68" s="125">
        <f t="shared" ca="1" si="367"/>
        <v>0</v>
      </c>
      <c r="P68" s="126" t="str">
        <f t="shared" si="368"/>
        <v/>
      </c>
      <c r="Q68" s="795">
        <f ca="1">RZ[[#This Row],[Počet MJHR v rozpadu (P0)]]</f>
        <v>16</v>
      </c>
      <c r="R68" s="439" t="str">
        <f t="shared" si="369"/>
        <v>Zajíc</v>
      </c>
      <c r="S68" s="129">
        <f t="shared" si="370"/>
        <v>42950.61990740741</v>
      </c>
      <c r="T68" s="126" t="str">
        <f t="shared" si="371"/>
        <v/>
      </c>
      <c r="U68" s="126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CR (MJCR) (P0)]]))))))))))</f>
        <v>ks</v>
      </c>
      <c r="V68" s="575">
        <f t="shared" ca="1" si="372"/>
        <v>8</v>
      </c>
      <c r="W68" s="322">
        <f>RZ[[#This Row],[Koeficient odhadu CR '[-'] (P1)]]</f>
        <v>1</v>
      </c>
      <c r="X68" s="440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Row],[Jednotková cena bez DPH '[cena/MJCR'] (P1)]]*RZ[[#This Row],[Koeficient odhadu CR '[-']]]))))))))))</f>
        <v>100</v>
      </c>
      <c r="Y68" s="440">
        <f t="shared" ca="1" si="373"/>
        <v>0</v>
      </c>
      <c r="Z68" s="142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VLOOKUP(IP68,$BR$7:$BS$11,2,FALSE)))))))))))</f>
        <v>CZK</v>
      </c>
      <c r="AA68" s="909">
        <f t="shared" ca="1" si="374"/>
        <v>16</v>
      </c>
      <c r="AB68" s="910">
        <f ca="1">RZ[[#This Row],[Kumulovaný koeficient v rozpadu (P0)]]</f>
        <v>1</v>
      </c>
      <c r="AC68" s="261"/>
      <c r="AD68" s="796">
        <f ca="1">RZ[[#This Row],[Jednotková cena bez DPH '[cena/MJCR'] s koef. (P0)]]/RZ[[#This Row],[Koeficient odhadu CR '[-']]]*RZ[[#This Row],[Kumulovaný koeficient odhadu CR  '[-']]]</f>
        <v>100</v>
      </c>
      <c r="AE68" s="796">
        <f t="shared" ca="1" si="375"/>
        <v>1600</v>
      </c>
      <c r="AF68" s="796">
        <f ca="1">-IF(ISNUMBER(AA68),RZ[[#This Row],[Celková cena bez DPH (1)]]-RZ[[#This Row],[Jednotková cena bez DPH '[cena/MJCR'] bez koef. (P0)]]*AA68,0)</f>
        <v>0</v>
      </c>
      <c r="AG6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68" s="261"/>
      <c r="AI68" s="796">
        <f t="shared" ca="1" si="376"/>
        <v>3.7037037037037037</v>
      </c>
      <c r="AJ68" s="796">
        <f t="shared" ca="1" si="377"/>
        <v>59.25925925925926</v>
      </c>
      <c r="AK68" s="796">
        <f t="shared" ca="1" si="378"/>
        <v>0</v>
      </c>
      <c r="AL68" s="753">
        <f ca="1">RZ[[#This Row],[Kilogramová cena bez DPH '[cena/kg'] (1)]]/$AK$13</f>
        <v>74.074074074074076</v>
      </c>
      <c r="AM68" s="261"/>
      <c r="AN68" s="796">
        <f t="shared" ca="1" si="379"/>
        <v>4.8309178743961354</v>
      </c>
      <c r="AO68" s="796">
        <f t="shared" ca="1" si="380"/>
        <v>77.294685990338166</v>
      </c>
      <c r="AP68" s="796">
        <f t="shared" ca="1" si="381"/>
        <v>0</v>
      </c>
      <c r="AQ68" s="753">
        <f ca="1">RZ[[#This Row],[Kilogramová cena bez DPH '[cena/kg'] (1)]]/$AP$13</f>
        <v>96.618357487922708</v>
      </c>
      <c r="AR68" s="261"/>
      <c r="AS68" s="796">
        <f t="shared" ca="1" si="382"/>
        <v>2.7352297592997812</v>
      </c>
      <c r="AT68" s="796">
        <f t="shared" ca="1" si="383"/>
        <v>43.763676148796499</v>
      </c>
      <c r="AU68" s="789">
        <f t="shared" ca="1" si="384"/>
        <v>0</v>
      </c>
      <c r="AV68" s="767">
        <f ca="1">RZ[[#This Row],[Kilogramová cena bez DPH '[cena/kg'] (1)]]/$AU$13</f>
        <v>54.704595185995622</v>
      </c>
      <c r="AW68" s="165"/>
      <c r="AX68" s="911">
        <f t="shared" ca="1" si="385"/>
        <v>2</v>
      </c>
      <c r="AY68" s="111">
        <f t="shared" ca="1" si="386"/>
        <v>2</v>
      </c>
      <c r="AZ68" s="111">
        <f t="shared" ca="1" si="387"/>
        <v>13</v>
      </c>
      <c r="BA68" s="111">
        <f t="shared" ca="1" si="388"/>
        <v>0</v>
      </c>
      <c r="BB68" s="111">
        <f t="shared" ca="1" si="389"/>
        <v>0</v>
      </c>
      <c r="BC68" s="111">
        <f t="shared" ca="1" si="390"/>
        <v>0</v>
      </c>
      <c r="BD68" s="111">
        <f t="shared" ca="1" si="391"/>
        <v>0</v>
      </c>
      <c r="BE68" s="111">
        <f t="shared" ca="1" si="392"/>
        <v>0</v>
      </c>
      <c r="BF68" s="111">
        <f t="shared" ca="1" si="393"/>
        <v>0</v>
      </c>
      <c r="BG68" s="112">
        <f t="shared" ca="1" si="394"/>
        <v>0</v>
      </c>
      <c r="BH68" s="911">
        <f t="shared" si="395"/>
        <v>0</v>
      </c>
      <c r="BI68" s="111">
        <f t="shared" si="396"/>
        <v>0</v>
      </c>
      <c r="BJ68" s="111">
        <f t="shared" si="397"/>
        <v>1</v>
      </c>
      <c r="BK68" s="111">
        <f t="shared" si="398"/>
        <v>0</v>
      </c>
      <c r="BL68" s="111">
        <f t="shared" si="399"/>
        <v>0</v>
      </c>
      <c r="BM68" s="111">
        <f t="shared" si="400"/>
        <v>0</v>
      </c>
      <c r="BN68" s="111">
        <f t="shared" si="401"/>
        <v>0</v>
      </c>
      <c r="BO68" s="111">
        <f t="shared" si="402"/>
        <v>0</v>
      </c>
      <c r="BP68" s="111">
        <f t="shared" si="403"/>
        <v>0</v>
      </c>
      <c r="BQ68" s="112">
        <f t="shared" si="404"/>
        <v>0</v>
      </c>
      <c r="BR68" s="132">
        <f ca="1">IF(OFFSET(AY68,1,0,1,1)&lt;&gt;0,RZ[[#This Row],[Koeficient odhadu HR '[-'] (P1)]]*$BH68*SUMIFS(RZ[Úroveň 2 s koef. (P2)],RZ[0],AX68),RZ[[#This Row],[Koeficient odhadu HR '[-'] (P1)]]*$BH68*$IG68)</f>
        <v>0</v>
      </c>
      <c r="BS68" s="186">
        <f ca="1">IF(OFFSET(AY68,1,0,1,1)&lt;&gt;0,$BH68*SUMIFS(RZ[Úroveň 2 bez koef. (P2)],RZ[0],AX68),$BH68*$IG68)</f>
        <v>0</v>
      </c>
      <c r="BT68" s="138">
        <f ca="1">RZ[[#This Row],[Úroveň 2 s koef. (P2a)]]*RZ[[#This Row],[Počet MJHR (P0)]]</f>
        <v>0</v>
      </c>
      <c r="BU68" s="138">
        <f ca="1">RZ[[#This Row],[Úroveň 2 bez koef. (P2a)]]*RZ[[#This Row],[Počet MJHR (P0)]]</f>
        <v>0</v>
      </c>
      <c r="BV68" s="138">
        <f ca="1">IF(OFFSET(AZ68,1,0,1,1)&lt;&gt;0,RZ[[#This Row],[Koeficient odhadu HR '[-'] (P1)]]*$BI68*SUMIFS(RZ[Úroveň 3 s koef. (P2)],RZ[0],AX68,RZ[Úroveň 2 (P0)],AY68),RZ[[#This Row],[Koeficient odhadu HR '[-'] (P1)]]*$BI68*$IG68)</f>
        <v>0</v>
      </c>
      <c r="BW68" s="138">
        <f ca="1">IF(OFFSET(AZ68,1,0,1,1)&lt;&gt;0,$BI68*SUMIFS(RZ[Úroveň 3 bez koef. (P2)],RZ[0],AX68,RZ[Úroveň 2 (P0)],AY68),$BI68*$IG68)</f>
        <v>0</v>
      </c>
      <c r="BX68" s="132">
        <f ca="1">RZ[[#This Row],[Úroveň 3 s koef. (P2a)]]*RZ[[#This Row],[Počet MJHR (P0)]]</f>
        <v>0.4</v>
      </c>
      <c r="BY68" s="132">
        <f ca="1">RZ[Úroveň 3 bez koef. (P2a)]*RZ[[#This Row],[Počet MJHR (P0)]]</f>
        <v>0.4</v>
      </c>
      <c r="BZ68" s="132">
        <f ca="1">IF(OFFSET(BA68,1,0,1,1)&lt;&gt;0,RZ[[#This Row],[Koeficient odhadu HR '[-'] (P1)]]*$BJ68*SUMIFS(RZ[Úroveň 4 s koef. (P2)],RZ[0],AX68,RZ[Úroveň 2 (P0)],AY68,RZ[Úroveň 3 (P0)],AZ68),RZ[[#This Row],[Koeficient odhadu HR '[-'] (P1)]]*$BJ68*$IG68)</f>
        <v>0.05</v>
      </c>
      <c r="CA68" s="132">
        <f ca="1">IF(OFFSET(BA68,1,0,1,1)&lt;&gt;0,$BJ68*SUMIFS(RZ[Úroveň 4 bez koef. (P2)],RZ[0],AX68,RZ[Úroveň 2 (P0)],AY68,RZ[Úroveň 3 (P0)],AZ68),$BJ68*$IG68)</f>
        <v>0.05</v>
      </c>
      <c r="CB68" s="138">
        <f ca="1">RZ[[#This Row],[Úroveň 4 s koef. (P2a)]]*RZ[[#This Row],[Počet MJHR (P0)]]</f>
        <v>0</v>
      </c>
      <c r="CC68" s="138">
        <f ca="1">RZ[Úroveň 4 bez koef. (P2a)]*RZ[[#This Row],[Počet MJHR (P0)]]</f>
        <v>0</v>
      </c>
      <c r="CD68" s="138">
        <f ca="1">IF(OFFSET(BB68,1,0,1,1)&lt;&gt;0,RZ[[#This Row],[Koeficient odhadu HR '[-'] (P1)]]*$BK68*SUMIFS(RZ[Úroveň 5 s koef. (P2)],RZ[0],AX68,RZ[Úroveň 2 (P0)],AY68,RZ[Úroveň 3 (P0)],AZ68,RZ[Úroveň 4 (P0)],BA68),RZ[[#This Row],[Koeficient odhadu HR '[-'] (P1)]]*$BK68*$IG68)</f>
        <v>0</v>
      </c>
      <c r="CE68" s="138">
        <f ca="1">IF(OFFSET(BB68,1,0,1,1)&lt;&gt;0,$BK68*SUMIFS(RZ[Úroveň 5 bez koef. (P2)],RZ[0],AX68,RZ[Úroveň 2 (P0)],AY68,RZ[Úroveň 3 (P0)],AZ68,RZ[Úroveň 4 (P0)],BA68),$BK68*$IG68)</f>
        <v>0</v>
      </c>
      <c r="CF68" s="132">
        <f ca="1">RZ[[#This Row],[Úroveň 5 s koef. (P2a)]]*RZ[[#This Row],[Počet MJHR (P0)]]</f>
        <v>0</v>
      </c>
      <c r="CG68" s="132">
        <f ca="1">RZ[Úroveň 5 bez koef. (P2a)]*RZ[[#This Row],[Počet MJHR (P0)]]</f>
        <v>0</v>
      </c>
      <c r="CH68" s="132">
        <f ca="1">IF(OFFSET(BC68,1,0,1,1)&lt;&gt;0,RZ[[#This Row],[Koeficient odhadu HR '[-'] (P1)]]*$BL68*SUMIFS(RZ[Úroveň 6 s koef. (P2)],RZ[0],AX68,RZ[Úroveň 2 (P0)],AY68,RZ[Úroveň 3 (P0)],AZ68,RZ[Úroveň 4 (P0)],BA68,RZ[Úroveň 5 (P0)],BB68),RZ[[#This Row],[Koeficient odhadu HR '[-'] (P1)]]*$BL68*$IG68)</f>
        <v>0</v>
      </c>
      <c r="CI68" s="132">
        <f ca="1">IF(OFFSET(BC68,1,0,1,1)&lt;&gt;0,$BL68*SUMIFS(RZ[Úroveň 6 bez koef. (P2)],RZ[0],AX68,RZ[Úroveň 2 (P0)],AY68,RZ[Úroveň 3 (P0)],AZ68,RZ[Úroveň 4 (P0)],BA68,RZ[Úroveň 5 (P0)],BB68),$BL68*$IG68)</f>
        <v>0</v>
      </c>
      <c r="CJ68" s="138">
        <f ca="1">RZ[[#This Row],[Úroveň 6 s koef. (P2a)]]*RZ[[#This Row],[Počet MJHR (P0)]]</f>
        <v>0</v>
      </c>
      <c r="CK68" s="138">
        <f ca="1">RZ[Úroveň 6 bez koef. (P2a)]*RZ[[#This Row],[Počet MJHR (P0)]]</f>
        <v>0</v>
      </c>
      <c r="CL68" s="138">
        <f ca="1">IF(OFFSET(BD68,1,0,1,1)&lt;&gt;0,RZ[[#This Row],[Koeficient odhadu HR '[-'] (P1)]]*$BM68*SUMIFS(RZ[Úroveň 7 s koef. (P2)],RZ[0],AX68,RZ[Úroveň 2 (P0)],AY68,RZ[Úroveň 3 (P0)],AZ68,RZ[Úroveň 4 (P0)],BA68,RZ[Úroveň 5 (P0)],BB68,RZ[Úroveň 6 (P0)],BC68),RZ[[#This Row],[Koeficient odhadu HR '[-'] (P1)]]*$BM68*$IG68)</f>
        <v>0</v>
      </c>
      <c r="CM68" s="138">
        <f ca="1">IF(OFFSET(BD68,1,0,1,1)&lt;&gt;0,$BM68*SUMIFS(RZ[Úroveň 7 bez koef. (P2)],RZ[0],AX68,RZ[Úroveň 2 (P0)],AY68,RZ[Úroveň 3 (P0)],AZ68,RZ[Úroveň 4 (P0)],BA68,RZ[Úroveň 5 (P0)],BB68,RZ[Úroveň 6 (P0)],BC68),$BM68*$IG68)</f>
        <v>0</v>
      </c>
      <c r="CN68" s="132">
        <f ca="1">RZ[[#This Row],[Úroveň 7 s koef. (P2a)]]*RZ[[#This Row],[Počet MJHR (P0)]]</f>
        <v>0</v>
      </c>
      <c r="CO68" s="132">
        <f ca="1">RZ[Úroveň 7 bez koef. (P2a)]*RZ[[#This Row],[Počet MJHR (P0)]]</f>
        <v>0</v>
      </c>
      <c r="CP68" s="132">
        <f ca="1">IF(OFFSET(BE68,1,0,1,1)&lt;&gt;0,RZ[[#This Row],[Koeficient odhadu HR '[-'] (P1)]]*$BN68*SUMIFS(RZ[Úroveň 8 s koef. (P2)],RZ[0],AX68,RZ[Úroveň 2 (P0)],AY68,RZ[Úroveň 3 (P0)],AZ68,RZ[Úroveň 4 (P0)],BA68,RZ[Úroveň 5 (P0)],BB68,RZ[Úroveň 6 (P0)],BC68,RZ[Úroveň 7 (P0)],BD68),RZ[[#This Row],[Koeficient odhadu HR '[-'] (P1)]]*$BN68*$IG68)</f>
        <v>0</v>
      </c>
      <c r="CQ68" s="132">
        <f ca="1">IF(OFFSET(BE68,1,0,1,1)&lt;&gt;0,$BN68*SUMIFS(RZ[Úroveň 8 bez koef. (P2)],RZ[0],AX68,RZ[Úroveň 2 (P0)],AY68,RZ[Úroveň 3 (P0)],AZ68,RZ[Úroveň 4 (P0)],BA68,RZ[Úroveň 5 (P0)],BB68,RZ[Úroveň 6 (P0)],BC68,RZ[Úroveň 7 (P0)],BD68),$BN68*$IG68)</f>
        <v>0</v>
      </c>
      <c r="CR68" s="138">
        <f ca="1">RZ[[#This Row],[Úroveň 8 s koef. (P2a)]]*RZ[[#This Row],[Počet MJHR (P0)]]</f>
        <v>0</v>
      </c>
      <c r="CS68" s="138">
        <f ca="1">RZ[Úroveň 8 bez koef. (P2a)]*RZ[[#This Row],[Počet MJHR (P0)]]</f>
        <v>0</v>
      </c>
      <c r="CT68" s="138">
        <f ca="1">IF(OFFSET(BF68,1,0,1,1)&lt;&gt;0,RZ[[#This Row],[Koeficient odhadu HR '[-'] (P1)]]*$BO68*SUMIFS(RZ[Úroveň 9 s koef. (P2)],RZ[0],AX68,RZ[Úroveň 2 (P0)],AY68,RZ[Úroveň 3 (P0)],AZ68,RZ[Úroveň 4 (P0)],BA68,RZ[Úroveň 5 (P0)],BB68,RZ[Úroveň 6 (P0)],BC68,RZ[Úroveň 7 (P0)],BD68,RZ[Úroveň 8 (P0)],BE68),RZ[[#This Row],[Koeficient odhadu HR '[-'] (P1)]]*$BO68*$IG68)</f>
        <v>0</v>
      </c>
      <c r="CU68" s="138">
        <f ca="1">IF(OFFSET(BF68,1,0,1,1)&lt;&gt;0,$BO68*SUMIFS(RZ[Úroveň 9 bez koef. (P2)],RZ[0],AX68,RZ[Úroveň 2 (P0)],AY68,RZ[Úroveň 3 (P0)],AZ68,RZ[Úroveň 4 (P0)],BA68,RZ[Úroveň 5 (P0)],BB68,RZ[Úroveň 6 (P0)],BC68,RZ[Úroveň 7 (P0)],BD68,RZ[Úroveň 8 (P0)],BE68),$BO68*$IG68)</f>
        <v>0</v>
      </c>
      <c r="CV68" s="132">
        <f ca="1">RZ[[#This Row],[Úroveň 9 s koef. (P2a)]]*RZ[[#This Row],[Počet MJHR (P0)]]</f>
        <v>0</v>
      </c>
      <c r="CW68" s="132">
        <f ca="1">RZ[Úroveň 9 bez koef. (P2a)]*RZ[[#This Row],[Počet MJHR (P0)]]</f>
        <v>0</v>
      </c>
      <c r="CX68" s="132">
        <f ca="1">IF(OFFSET(BG68,1,0,1,1)&lt;&gt;0,RZ[[#This Row],[Koeficient odhadu HR '[-'] (P1)]]*$BP68*SUMIFS(RZ[Úroveň 10 s koef. (P2)],RZ[0],AX68,RZ[Úroveň 2 (P0)],AY68,RZ[Úroveň 3 (P0)],AZ68,RZ[Úroveň 4 (P0)],BA68,RZ[Úroveň 5 (P0)],BB68,RZ[Úroveň 6 (P0)],BC68,RZ[Úroveň 7 (P0)],BD68,RZ[Úroveň 8 (P0)],BE68,RZ[Úroveň 9 (P0)],BF68),RZ[[#This Row],[Koeficient odhadu HR '[-'] (P1)]]*$BP68*$IG68)</f>
        <v>0</v>
      </c>
      <c r="CY68" s="132">
        <f ca="1">IF(OFFSET(BG68,1,0,1,1)&lt;&gt;0,$BP68*SUMIFS(RZ[Úroveň 10 bez koef. (P2)],RZ[0],AX68,RZ[Úroveň 2 (P0)],AY68,RZ[Úroveň 3 (P0)],AZ68,RZ[Úroveň 4 (P0)],BA68,RZ[Úroveň 5 (P0)],BB68,RZ[Úroveň 6 (P0)],BC68,RZ[Úroveň 7 (P0)],BD68,RZ[Úroveň 8 (P0)],BE68,RZ[Úroveň 9 (P0)],BF68),$BP68*$IG68)</f>
        <v>0</v>
      </c>
      <c r="CZ68" s="138">
        <f>RZ[[#This Row],[Úroveň 10 s koef. (P2a)]]*RZ[[#This Row],[Počet MJHR (P0)]]</f>
        <v>0</v>
      </c>
      <c r="DA68" s="138">
        <f>RZ[Úroveň 10 bez koef. (P2a)]*RZ[[#This Row],[Počet MJHR (P0)]]</f>
        <v>0</v>
      </c>
      <c r="DB68" s="138">
        <f>RZ[[#This Row],[Koeficient odhadu HR '[-'] (P1)]]*$BQ68*IG68</f>
        <v>0</v>
      </c>
      <c r="DC68" s="231">
        <f t="shared" si="405"/>
        <v>0</v>
      </c>
      <c r="DD68" s="241">
        <f t="shared" ca="1" si="406"/>
        <v>0.05</v>
      </c>
      <c r="DE68" s="229">
        <f t="shared" ca="1" si="407"/>
        <v>0.05</v>
      </c>
      <c r="DF68" s="912">
        <f t="shared" si="408"/>
        <v>0</v>
      </c>
      <c r="DG68" s="913">
        <f t="shared" si="409"/>
        <v>0</v>
      </c>
      <c r="DH68" s="913">
        <f t="shared" si="410"/>
        <v>8</v>
      </c>
      <c r="DI68" s="913">
        <f t="shared" si="411"/>
        <v>0</v>
      </c>
      <c r="DJ68" s="913">
        <f t="shared" si="412"/>
        <v>0</v>
      </c>
      <c r="DK68" s="913">
        <f t="shared" si="413"/>
        <v>0</v>
      </c>
      <c r="DL68" s="913">
        <f t="shared" si="414"/>
        <v>0</v>
      </c>
      <c r="DM68" s="913">
        <f t="shared" si="415"/>
        <v>0</v>
      </c>
      <c r="DN68" s="913">
        <f t="shared" si="416"/>
        <v>0</v>
      </c>
      <c r="DO68" s="913">
        <f t="shared" si="417"/>
        <v>0</v>
      </c>
      <c r="DP68" s="914">
        <f ca="1">SUMIFS(RZ[Úroveň 1 (P4)],RZ[0],AX68)</f>
        <v>1</v>
      </c>
      <c r="DQ68" s="914">
        <f ca="1">SUMIFS(RZ[Úroveň 2 (P4)],RZ[0],AX68,RZ[Úroveň 2 (P0)],AY68)</f>
        <v>2</v>
      </c>
      <c r="DR68" s="914">
        <f ca="1">SUMIFS(RZ[Úroveň 3 (P4)],RZ[0],AX68,RZ[Úroveň 2 (P0)],AY68,RZ[Úroveň 3 (P0)],AZ68)</f>
        <v>8</v>
      </c>
      <c r="DS68" s="914">
        <f ca="1">SUMIFS(RZ[Úroveň 4 (P4)],RZ[0],AX68,RZ[Úroveň 2 (P0)],AY68,RZ[Úroveň 3 (P0)],AZ68,RZ[Úroveň 4 (P0)],BA68)</f>
        <v>0</v>
      </c>
      <c r="DT68" s="914">
        <f ca="1">SUMIFS(RZ[Úroveň 5 (P4)],RZ[0],AX68,RZ[Úroveň 2 (P0)],AY68,RZ[Úroveň 3 (P0)],AZ68,RZ[Úroveň 4 (P0)],BA68,RZ[Úroveň 5 (P0)],BB68)</f>
        <v>0</v>
      </c>
      <c r="DU68" s="914">
        <f ca="1">SUMIFS(RZ[Úroveň 6 (P4)],RZ[0],AX68,RZ[Úroveň 2 (P0)],AY68,RZ[Úroveň 3 (P0)],AZ68,RZ[Úroveň 4 (P0)],BA68,RZ[Úroveň 5 (P0)],BB68,RZ[Úroveň 6 (P0)],BC68)</f>
        <v>0</v>
      </c>
      <c r="DV68" s="914">
        <f ca="1">SUMIFS(RZ[Úroveň 7 (P4)],RZ[0],AX68,RZ[Úroveň 2 (P0)],AY68,RZ[Úroveň 3 (P0)],AZ68,RZ[Úroveň 4 (P0)],BA68,RZ[Úroveň 5 (P0)],BB68,RZ[Úroveň 6 (P0)],BC68,RZ[Úroveň 7 (P0)],BD68)</f>
        <v>0</v>
      </c>
      <c r="DW68" s="914">
        <f ca="1">SUMIFS(RZ[Úroveň 8 (P4)],RZ[0],AX68,RZ[Úroveň 2 (P0)],AY68,RZ[Úroveň 3 (P0)],AZ68,RZ[Úroveň 4 (P0)],BA68,RZ[Úroveň 5 (P0)],BB68,RZ[Úroveň 6 (P0)],BC68,RZ[Úroveň 7 (P0)],BD68,RZ[Úroveň 8 (P0)],BE68)</f>
        <v>0</v>
      </c>
      <c r="DX68" s="914">
        <f ca="1">SUMIFS(RZ[Úroveň 9 (P4)],RZ[0],AX68,RZ[Úroveň 2 (P0)],AY68,RZ[Úroveň 3 (P0)],AZ68,RZ[Úroveň 4 (P0)],BA68,RZ[Úroveň 5 (P0)],BB68,RZ[Úroveň 6 (P0)],BC68,RZ[Úroveň 7 (P0)],BD68,RZ[Úroveň 8 (P0)],BE68,RZ[Úroveň 9 (P0)],BF68)</f>
        <v>0</v>
      </c>
      <c r="DY68" s="914">
        <f ca="1">SUMIFS(RZ[Úroveň 10 (P4)],RZ[0],AX68,RZ[Úroveň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DZ68" s="915">
        <f t="shared" ca="1" si="418"/>
        <v>16</v>
      </c>
      <c r="EA68" s="916">
        <f ca="1">RZ[[#This Row],[Jednotková hmotnost bez koef. '[kg/MJHR'] (P0)]]*RZ[[#This Row],[Počet MJHR v rozpadu (P0)]]</f>
        <v>0.8</v>
      </c>
      <c r="EB68" s="917">
        <f ca="1">IF(OFFSET(AY68,1,0,1,1)&lt;&gt;0,RZ[[#This Row],[Koeficient odhadu CR '[-'] (P1)]]*$BH68*SUMIFS(RZ[Úroveň 2 s koef. (P3)],RZ[0],AX68),RZ[[#This Row],[Koeficient odhadu CR '[-'] (P1)]]*$BH68*$IQ68)</f>
        <v>0</v>
      </c>
      <c r="EC68" s="191">
        <f ca="1">IF(OFFSET(AY68,1,0,1,1)&lt;&gt;0,$BH68*SUMIFS(RZ[Úroveň 2 bez koef. (P3)],RZ[0],AX68),$BH68*$IQ68)</f>
        <v>0</v>
      </c>
      <c r="ED68" s="140">
        <f ca="1">RZ[[#This Row],[Úroveň 2 s koef. (P3a)]]*RZ[[#This Row],[Počet MJCR (P0) pro "kg"]]</f>
        <v>0</v>
      </c>
      <c r="EE68" s="140">
        <f ca="1">RZ[Úroveň 2 bez koef. (P3a)]*RZ[[#This Row],[Počet MJCR (P0) pro "kg"]]</f>
        <v>0</v>
      </c>
      <c r="EF68" s="140">
        <f ca="1">IF(OFFSET(AZ68,1,0,1,1)&lt;&gt;0,RZ[[#This Row],[Koeficient odhadu CR '[-'] (P1)]]*$BI68*SUMIFS(RZ[Úroveň 3 s koef. (P3)],RZ[0],AX68,RZ[Úroveň 2 (P0)],AY68),RZ[[#This Row],[Koeficient odhadu CR '[-'] (P1)]]*$BI68*$IQ68)</f>
        <v>0</v>
      </c>
      <c r="EG68" s="140">
        <f ca="1">IF(OFFSET(AZ68,1,0,1,1)&lt;&gt;0,$BI68*SUMIFS(RZ[Úroveň 3 bez koef. (P3)],RZ[0],AX68,RZ[Úroveň 2 (P0)],AY68),$BI68*$IQ68)</f>
        <v>0</v>
      </c>
      <c r="EH68" s="135">
        <f ca="1">RZ[[#This Row],[Úroveň 3 s koef. (P3a)]]*RZ[[#This Row],[Počet MJCR (P0) pro "kg"]]</f>
        <v>800</v>
      </c>
      <c r="EI68" s="135">
        <f ca="1">RZ[Úroveň 3 bez koef. (P3a)]*RZ[[#This Row],[Počet MJCR (P0) pro "kg"]]</f>
        <v>800</v>
      </c>
      <c r="EJ68" s="135">
        <f ca="1">IF(OFFSET(BA68,1,0,1,1)&lt;&gt;0,RZ[[#This Row],[Koeficient odhadu CR '[-'] (P1)]]*$BJ68*SUMIFS(RZ[Úroveň 4 s koef. (P3)],RZ[0],AX68,RZ[Úroveň 2 (P0)],AY68,RZ[Úroveň 3 (P0)],AZ68),RZ[[#This Row],[Koeficient odhadu CR '[-'] (P1)]]*$BJ68*$IQ68)</f>
        <v>100</v>
      </c>
      <c r="EK68" s="135">
        <f ca="1">IF(OFFSET(BA68,1,0,1,1)&lt;&gt;0,$BJ68*SUMIFS(RZ[Úroveň 4 bez koef. (P3)],RZ[0],AX68,RZ[Úroveň 2 (P0)],AY68,RZ[Úroveň 3 (P0)],AZ68),$BJ68*$IQ68)</f>
        <v>100</v>
      </c>
      <c r="EL68" s="140">
        <f ca="1">RZ[[#This Row],[Úroveň 4 s koef. (P3a)]]*RZ[[#This Row],[Počet MJCR (P0) pro "kg"]]</f>
        <v>0</v>
      </c>
      <c r="EM68" s="140">
        <f ca="1">RZ[Úroveň 4 bez koef. (P3a)]*RZ[[#This Row],[Počet MJCR (P0) pro "kg"]]</f>
        <v>0</v>
      </c>
      <c r="EN68" s="140">
        <f ca="1">IF(OFFSET(BB68,1,0,1,1)&lt;&gt;0,RZ[[#This Row],[Koeficient odhadu CR '[-'] (P1)]]*$BK68*SUMIFS(RZ[Úroveň 5 s koef. (P3)],RZ[0],AX68,RZ[Úroveň 2 (P0)],AY68,RZ[Úroveň 3 (P0)],AZ68,RZ[Úroveň 4 (P0)],BA68),RZ[[#This Row],[Koeficient odhadu CR '[-'] (P1)]]*$BK68*$IQ68)</f>
        <v>0</v>
      </c>
      <c r="EO68" s="140">
        <f ca="1">IF(OFFSET(BB68,1,0,1,1)&lt;&gt;0,$BK68*SUMIFS(RZ[Úroveň 5 bez koef. (P3)],RZ[0],AX68,RZ[Úroveň 2 (P0)],AY68,RZ[Úroveň 3 (P0)],AZ68,RZ[Úroveň 4 (P0)],BA68),$BK68*$IQ68)</f>
        <v>0</v>
      </c>
      <c r="EP68" s="135">
        <f ca="1">RZ[[#This Row],[Úroveň 5 s koef. (P3a)]]*RZ[[#This Row],[Počet MJCR (P0) pro "kg"]]</f>
        <v>0</v>
      </c>
      <c r="EQ68" s="135">
        <f ca="1">RZ[Úroveň 5 bez koef. (P3a)]*RZ[[#This Row],[Počet MJCR (P0) pro "kg"]]</f>
        <v>0</v>
      </c>
      <c r="ER68" s="135">
        <f ca="1">IF(OFFSET(BC68,1,0,1,1)&lt;&gt;0,RZ[[#This Row],[Koeficient odhadu CR '[-'] (P1)]]*$BL68*SUMIFS(RZ[Úroveň 6 s koef. (P3)],RZ[0],AX68,RZ[Úroveň 2 (P0)],AY68,RZ[Úroveň 3 (P0)],AZ68,RZ[Úroveň 4 (P0)],BA68,RZ[Úroveň 5 (P0)],BB68),RZ[[#This Row],[Koeficient odhadu CR '[-'] (P1)]]*$BL68*$IQ68)</f>
        <v>0</v>
      </c>
      <c r="ES68" s="135">
        <f ca="1">IF(OFFSET(BC68,1,0,1,1)&lt;&gt;0,$BL68*SUMIFS(RZ[Úroveň 6 bez koef. (P3)],RZ[0],AX68,RZ[Úroveň 2 (P0)],AY68,RZ[Úroveň 3 (P0)],AZ68,RZ[Úroveň 4 (P0)],BA68,RZ[Úroveň 5 (P0)],BB68),$BL68*$IQ68)</f>
        <v>0</v>
      </c>
      <c r="ET68" s="140">
        <f ca="1">RZ[[#This Row],[Úroveň 6 s koef. (P3a)]]*RZ[[#This Row],[Počet MJCR (P0) pro "kg"]]</f>
        <v>0</v>
      </c>
      <c r="EU68" s="140">
        <f ca="1">RZ[Úroveň 6 bez koef. (P3a)]*RZ[[#This Row],[Počet MJCR (P0) pro "kg"]]</f>
        <v>0</v>
      </c>
      <c r="EV68" s="140">
        <f ca="1">IF(OFFSET(BD68,1,0,1,1)&lt;&gt;0,RZ[[#This Row],[Koeficient odhadu CR '[-'] (P1)]]*$BM68*SUMIFS(RZ[Úroveň 7 s koef. (P3)],RZ[0],AX68,RZ[Úroveň 2 (P0)],AY68,RZ[Úroveň 3 (P0)],AZ68,RZ[Úroveň 4 (P0)],BA68,RZ[Úroveň 5 (P0)],BB68,RZ[Úroveň 6 (P0)],BC68),RZ[[#This Row],[Koeficient odhadu CR '[-'] (P1)]]*$BM68*$IQ68)</f>
        <v>0</v>
      </c>
      <c r="EW68" s="140">
        <f ca="1">IF(OFFSET(BD68,1,0,1,1)&lt;&gt;0,$BM68*SUMIFS(RZ[Úroveň 7 bez koef. (P3)],RZ[0],AX68,RZ[Úroveň 2 (P0)],AY68,RZ[Úroveň 3 (P0)],AZ68,RZ[Úroveň 4 (P0)],BA68,RZ[Úroveň 5 (P0)],BB68,RZ[Úroveň 6 (P0)],BC68),$BM68*$IQ68)</f>
        <v>0</v>
      </c>
      <c r="EX68" s="135">
        <f ca="1">RZ[[#This Row],[Úroveň 7 s koef. (P3a)]]*RZ[[#This Row],[Počet MJCR (P0) pro "kg"]]</f>
        <v>0</v>
      </c>
      <c r="EY68" s="135">
        <f ca="1">RZ[Úroveň 7 bez koef. (P3a)]*RZ[[#This Row],[Počet MJCR (P0) pro "kg"]]</f>
        <v>0</v>
      </c>
      <c r="EZ68" s="135">
        <f ca="1">IF(OFFSET(BE68,1,0,1,1)&lt;&gt;0,RZ[[#This Row],[Koeficient odhadu CR '[-'] (P1)]]*$BN68*SUMIFS(RZ[Úroveň 8 s koef. (P3)],RZ[0],AX68,RZ[Úroveň 2 (P0)],AY68,RZ[Úroveň 3 (P0)],AZ68,RZ[Úroveň 4 (P0)],BA68,RZ[Úroveň 5 (P0)],BB68,RZ[Úroveň 6 (P0)],BC68,RZ[Úroveň 7 (P0)],BD68),RZ[[#This Row],[Koeficient odhadu CR '[-'] (P1)]]*$BN68*$IQ68)</f>
        <v>0</v>
      </c>
      <c r="FA68" s="135">
        <f ca="1">IF(OFFSET(BE68,1,0,1,1)&lt;&gt;0,$BN68*SUMIFS(RZ[Úroveň 8 bez koef. (P3)],RZ[0],AX68,RZ[Úroveň 2 (P0)],AY68,RZ[Úroveň 3 (P0)],AZ68,RZ[Úroveň 4 (P0)],BA68,RZ[Úroveň 5 (P0)],BB68,RZ[Úroveň 6 (P0)],BC68,RZ[Úroveň 7 (P0)],BD68),$BN68*$IQ68)</f>
        <v>0</v>
      </c>
      <c r="FB68" s="140">
        <f ca="1">RZ[[#This Row],[Úroveň 8 s koef. (P3a)]]*RZ[[#This Row],[Počet MJCR (P0) pro "kg"]]</f>
        <v>0</v>
      </c>
      <c r="FC68" s="140">
        <f ca="1">RZ[Úroveň 8 bez koef. (P3a)]*RZ[[#This Row],[Počet MJCR (P0) pro "kg"]]</f>
        <v>0</v>
      </c>
      <c r="FD68" s="140">
        <f ca="1">IF(OFFSET(BF68,1,0,1,1)&lt;&gt;0,RZ[[#This Row],[Koeficient odhadu CR '[-'] (P1)]]*$BO68*SUMIFS(RZ[Úroveň 9 s koef. (P3)],RZ[0],AX68,RZ[Úroveň 2 (P0)],AY68,RZ[Úroveň 3 (P0)],AZ68,RZ[Úroveň 4 (P0)],BA68,RZ[Úroveň 5 (P0)],BB68,RZ[Úroveň 6 (P0)],BC68,RZ[Úroveň 7 (P0)],BD68,RZ[Úroveň 8 (P0)],BE68),RZ[[#This Row],[Koeficient odhadu CR '[-'] (P1)]]*$BO68*$IQ68)</f>
        <v>0</v>
      </c>
      <c r="FE68" s="140">
        <f ca="1">IF(OFFSET(BF68,1,0,1,1)&lt;&gt;0,$BO68*SUMIFS(RZ[Úroveň 9 bez koef. (P3)],RZ[0],AX68,RZ[Úroveň 2 (P0)],AY68,RZ[Úroveň 3 (P0)],AZ68,RZ[Úroveň 4 (P0)],BA68,RZ[Úroveň 5 (P0)],BB68,RZ[Úroveň 6 (P0)],BC68,RZ[Úroveň 7 (P0)],BD68,RZ[Úroveň 8 (P0)],BE68),$BO68*$IQ68)</f>
        <v>0</v>
      </c>
      <c r="FF68" s="135">
        <f ca="1">RZ[[#This Row],[Úroveň 9 s koef. (P3a)]]*RZ[[#This Row],[Počet MJCR (P0) pro "kg"]]</f>
        <v>0</v>
      </c>
      <c r="FG68" s="135">
        <f ca="1">RZ[Úroveň 9 bez koef. (P3a)]*RZ[[#This Row],[Počet MJCR (P0) pro "kg"]]</f>
        <v>0</v>
      </c>
      <c r="FH68" s="135">
        <f ca="1">IF(OFFSET(BG68,1,0,1,1)&lt;&gt;0,RZ[[#This Row],[Koeficient odhadu CR '[-'] (P1)]]*$BP68*SUMIFS(RZ[Úroveň 10 s koef. (P3)],RZ[0],AX68,RZ[Úroveň 2 (P0)],AY68,RZ[Úroveň 3 (P0)],AZ68,RZ[Úroveň 4 (P0)],BA68,RZ[Úroveň 5 (P0)],BB68,RZ[Úroveň 6 (P0)],BC68,RZ[Úroveň 7 (P0)],BD68,RZ[Úroveň 8 (P0)],BE68,RZ[Úroveň 9 (P0)],BF68),RZ[[#This Row],[Koeficient odhadu CR '[-'] (P1)]]*$BP68*$IQ68)</f>
        <v>0</v>
      </c>
      <c r="FI68" s="135">
        <f ca="1">IF(OFFSET(BG68,1,0,1,1)&lt;&gt;0,$BP68*SUMIFS(RZ[Úroveň 10 bez koef. (P3)],RZ[0],AX68,RZ[Úroveň 2 (P0)],AY68,RZ[Úroveň 3 (P0)],AZ68,RZ[Úroveň 4 (P0)],BA68,RZ[Úroveň 5 (P0)],BB68,RZ[Úroveň 6 (P0)],BC68,RZ[Úroveň 7 (P0)],BD68,RZ[Úroveň 8 (P0)],BE68,RZ[Úroveň 9 (P0)],BF68),$BP68*$IQ68)</f>
        <v>0</v>
      </c>
      <c r="FJ68" s="140">
        <f ca="1">RZ[[#This Row],[Úroveň 10 s koef. (P3a)]]*RZ[[#This Row],[Počet MJCR (P0) pro "kg"]]</f>
        <v>0</v>
      </c>
      <c r="FK68" s="140">
        <f ca="1">RZ[Úroveň 10 bez koef. (P3a)]*RZ[[#This Row],[Počet MJCR (P0) pro "kg"]]</f>
        <v>0</v>
      </c>
      <c r="FL68" s="140">
        <f ca="1">RZ[[#This Row],[Koeficient odhadu CR '[-'] (P1)]]*$BQ68*IQ68</f>
        <v>0</v>
      </c>
      <c r="FM68" s="236">
        <f t="shared" ca="1" si="419"/>
        <v>0</v>
      </c>
      <c r="FN68" s="194">
        <f t="shared" ca="1" si="420"/>
        <v>100</v>
      </c>
      <c r="FO68" s="238">
        <f t="shared" ca="1" si="421"/>
        <v>100</v>
      </c>
      <c r="FP68" s="135">
        <f t="shared" ca="1" si="422"/>
        <v>0</v>
      </c>
      <c r="FQ68" s="135">
        <f t="shared" ca="1" si="423"/>
        <v>0</v>
      </c>
      <c r="FR68" s="135">
        <f t="shared" ca="1" si="424"/>
        <v>8</v>
      </c>
      <c r="FS68" s="135">
        <f t="shared" ca="1" si="425"/>
        <v>0</v>
      </c>
      <c r="FT68" s="135">
        <f t="shared" ca="1" si="426"/>
        <v>0</v>
      </c>
      <c r="FU68" s="135">
        <f t="shared" ca="1" si="427"/>
        <v>0</v>
      </c>
      <c r="FV68" s="135">
        <f t="shared" ca="1" si="428"/>
        <v>0</v>
      </c>
      <c r="FW68" s="135">
        <f t="shared" ca="1" si="429"/>
        <v>0</v>
      </c>
      <c r="FX68" s="135">
        <f t="shared" ca="1" si="430"/>
        <v>0</v>
      </c>
      <c r="FY68" s="135">
        <f t="shared" ca="1" si="431"/>
        <v>0</v>
      </c>
      <c r="FZ68" s="140">
        <f ca="1">SUMIFS(RZ[Úroveň 1 (P6)],RZ[0],AX68)</f>
        <v>1</v>
      </c>
      <c r="GA68" s="140">
        <f ca="1">SUMIFS(RZ[Úroveň 2 (P6)],RZ[0],AX68,RZ[Úroveň 2 (P0)],AY68)</f>
        <v>2</v>
      </c>
      <c r="GB68" s="140">
        <f ca="1">SUMIFS(RZ[Úroveň 3 (P6)],RZ[0],AX68,RZ[Úroveň 2 (P0)],AY68,RZ[Úroveň 3 (P0)],AZ68)</f>
        <v>8</v>
      </c>
      <c r="GC68" s="140">
        <f ca="1">SUMIFS(RZ[Úroveň 4 (P6)],RZ[0],AX68,RZ[Úroveň 2 (P0)],AY68,RZ[Úroveň 3 (P0)],AZ68,RZ[Úroveň 4 (P0)],BA68)</f>
        <v>0</v>
      </c>
      <c r="GD68" s="140">
        <f ca="1">SUMIFS(RZ[Úroveň 5 (P6)],RZ[0],AX68,RZ[Úroveň 2 (P0)],AY68,RZ[Úroveň 3 (P0)],AZ68,RZ[Úroveň 4 (P0)],BA68,RZ[Úroveň 5 (P0)],BB68)</f>
        <v>0</v>
      </c>
      <c r="GE68" s="140">
        <f ca="1">SUMIFS(RZ[Úroveň 6 (P6)],RZ[0],AX68,RZ[Úroveň 2 (P0)],AY68,RZ[Úroveň 3 (P0)],AZ68,RZ[Úroveň 4 (P0)],BA68,RZ[Úroveň 5 (P0)],BB68,RZ[Úroveň 6 (P0)],BC68)</f>
        <v>0</v>
      </c>
      <c r="GF68" s="140">
        <f ca="1">SUMIFS(RZ[Úroveň 7 (P6)],RZ[0],AX68,RZ[Úroveň 2 (P0)],AY68,RZ[Úroveň 3 (P0)],AZ68,RZ[Úroveň 4 (P0)],BA68,RZ[Úroveň 5 (P0)],BB68,RZ[Úroveň 6 (P0)],BC68,RZ[Úroveň 7 (P0)],BD68)</f>
        <v>0</v>
      </c>
      <c r="GG68" s="140">
        <f ca="1">SUMIFS(RZ[Úroveň 8 (P6)],RZ[0],AX68,RZ[Úroveň 2 (P0)],AY68,RZ[Úroveň 3 (P0)],AZ68,RZ[Úroveň 4 (P0)],BA68,RZ[Úroveň 5 (P0)],BB68,RZ[Úroveň 6 (P0)],BC68,RZ[Úroveň 7 (P0)],BD68,RZ[Úroveň 8 (P0)],BE68)</f>
        <v>0</v>
      </c>
      <c r="GH68" s="140">
        <f ca="1">SUMIFS(RZ[Úroveň 9 (P6)],RZ[0],AX68,RZ[Úroveň 2 (P0)],AY68,RZ[Úroveň 3 (P0)],AZ68,RZ[Úroveň 4 (P0)],BA68,RZ[Úroveň 5 (P0)],BB68,RZ[Úroveň 6 (P0)],BC68,RZ[Úroveň 7 (P0)],BD68,RZ[Úroveň 8 (P0)],BE68,RZ[Úroveň 9 (P0)],BF68)</f>
        <v>0</v>
      </c>
      <c r="GI68" s="140">
        <f ca="1">SUMIFS(RZ[Úroveň 10 (P6)],RZ[0],AX68,RZ[Úroveň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GJ68" s="918">
        <f t="shared" ca="1" si="432"/>
        <v>16</v>
      </c>
      <c r="GK68" s="808">
        <f t="shared" si="433"/>
        <v>0</v>
      </c>
      <c r="GL68" s="808">
        <f t="shared" si="434"/>
        <v>0</v>
      </c>
      <c r="GM68" s="808">
        <f t="shared" si="435"/>
        <v>1</v>
      </c>
      <c r="GN68" s="808">
        <f t="shared" si="436"/>
        <v>0</v>
      </c>
      <c r="GO68" s="808">
        <f t="shared" si="437"/>
        <v>0</v>
      </c>
      <c r="GP68" s="808">
        <f t="shared" si="438"/>
        <v>0</v>
      </c>
      <c r="GQ68" s="808">
        <f t="shared" si="439"/>
        <v>0</v>
      </c>
      <c r="GR68" s="808">
        <f t="shared" si="440"/>
        <v>0</v>
      </c>
      <c r="GS68" s="808">
        <f t="shared" si="441"/>
        <v>0</v>
      </c>
      <c r="GT68" s="808">
        <f t="shared" si="442"/>
        <v>0</v>
      </c>
      <c r="GU68" s="809">
        <f ca="1">SUMIFS(RZ[Sloupec1],RZ[0],AX68)</f>
        <v>1</v>
      </c>
      <c r="GV68" s="809">
        <f ca="1">SUMIFS(RZ[Sloupec2],RZ[0],AX68,RZ[Úroveň 2 (P0)],AY68)</f>
        <v>1</v>
      </c>
      <c r="GW68" s="809">
        <f ca="1">SUMIFS(RZ[Sloupec3],RZ[0],AX68,RZ[Úroveň 2 (P0)],AY68,RZ[Úroveň 3 (P0)],AZ68)</f>
        <v>1</v>
      </c>
      <c r="GX68" s="809">
        <f ca="1">SUMIFS(RZ[Sloupec4],RZ[0],AX68,RZ[Úroveň 2 (P0)],AY68,RZ[Úroveň 3 (P0)],AZ68,RZ[Úroveň 4 (P0)],BA68)</f>
        <v>0</v>
      </c>
      <c r="GY68" s="809">
        <f ca="1">SUMIFS(RZ[Sloupec5],RZ[0],AX68,RZ[Úroveň 2 (P0)],AY68,RZ[Úroveň 3 (P0)],AZ68,RZ[Úroveň 4 (P0)],BA68,RZ[Úroveň 5 (P0)],BB68)</f>
        <v>0</v>
      </c>
      <c r="GZ68" s="809">
        <f ca="1">SUMIFS(RZ[Sloupec6],RZ[0],AX68,RZ[Úroveň 2 (P0)],AY68,RZ[Úroveň 3 (P0)],AZ68,RZ[Úroveň 4 (P0)],BA68,RZ[Úroveň 5 (P0)],BB68,RZ[Úroveň 6 (P0)],BC68)</f>
        <v>0</v>
      </c>
      <c r="HA68" s="809">
        <f ca="1">SUMIFS(RZ[Sloupec62],RZ[0],AX68,RZ[Úroveň 2 (P0)],AY68,RZ[Úroveň 3 (P0)],AZ68,RZ[Úroveň 4 (P0)],BA68,RZ[Úroveň 5 (P0)],BB68,RZ[Úroveň 6 (P0)],BC68,RZ[Úroveň 7 (P0)],BD68)</f>
        <v>0</v>
      </c>
      <c r="HB68" s="809">
        <f ca="1">SUMIFS(RZ[Sloupec63],RZ[0],AX68,RZ[Úroveň 2 (P0)],AY68,RZ[Úroveň 3 (P0)],AZ68,RZ[Úroveň 4 (P0)],BA68,RZ[Úroveň 5 (P0)],BB68,RZ[Úroveň 6 (P0)],BC68,RZ[Úroveň 7 (P0)],BD68,RZ[Úroveň 8 (P0)],BE68)</f>
        <v>0</v>
      </c>
      <c r="HC68" s="809">
        <f ca="1">SUMIFS(RZ[Sloupec64],RZ[0],AX68,RZ[Úroveň 2 (P0)],AY68,RZ[Úroveň 3 (P0)],AZ68,RZ[Úroveň 4 (P0)],BA68,RZ[Úroveň 5 (P0)],BB68,RZ[Úroveň 6 (P0)],BC68,RZ[Úroveň 7 (P0)],BD68,RZ[Úroveň 8 (P0)],BE68,RZ[Úroveň 9 (P0)],BF68)</f>
        <v>0</v>
      </c>
      <c r="HD68" s="809">
        <f ca="1">SUMIFS(RZ[Sloupec65],RZ[0],AX68,RZ[Úroveň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HE68" s="919">
        <f t="shared" ca="1" si="443"/>
        <v>1</v>
      </c>
      <c r="HF68" s="920" t="str">
        <f t="shared" si="444"/>
        <v/>
      </c>
      <c r="HG68" s="94" t="str">
        <f t="shared" si="445"/>
        <v/>
      </c>
      <c r="HH68" s="95" t="str">
        <f t="shared" si="446"/>
        <v/>
      </c>
      <c r="HI68" s="95" t="str">
        <f t="shared" si="447"/>
        <v>Těsnění</v>
      </c>
      <c r="HJ68" s="96" t="str">
        <f t="shared" si="448"/>
        <v/>
      </c>
      <c r="HK68" s="96" t="str">
        <f t="shared" si="449"/>
        <v/>
      </c>
      <c r="HL68" s="96" t="str">
        <f t="shared" si="450"/>
        <v/>
      </c>
      <c r="HM68" s="96" t="str">
        <f t="shared" si="451"/>
        <v/>
      </c>
      <c r="HN68" s="96" t="str">
        <f t="shared" si="452"/>
        <v/>
      </c>
      <c r="HO68" s="96" t="str">
        <f t="shared" si="453"/>
        <v/>
      </c>
      <c r="HP68" s="96" t="str">
        <f t="shared" si="454"/>
        <v/>
      </c>
      <c r="HQ68" s="145" t="str">
        <f t="shared" si="455"/>
        <v>SUOS</v>
      </c>
      <c r="HR68" s="921" t="str">
        <f t="shared" si="456"/>
        <v/>
      </c>
      <c r="HS68" s="173">
        <f t="shared" si="457"/>
        <v>0</v>
      </c>
      <c r="HT68" s="100">
        <f t="shared" si="458"/>
        <v>0</v>
      </c>
      <c r="HU68" s="100">
        <f t="shared" si="459"/>
        <v>0</v>
      </c>
      <c r="HV68" s="908" t="str">
        <f t="shared" si="460"/>
        <v>Zajíc</v>
      </c>
      <c r="HW68" s="922">
        <f t="shared" si="461"/>
        <v>42950.61990740741</v>
      </c>
      <c r="HX68" s="224">
        <f t="shared" si="462"/>
        <v>0</v>
      </c>
      <c r="HY68" s="263" t="str">
        <f t="shared" si="463"/>
        <v>S</v>
      </c>
      <c r="HZ68" s="263" t="str">
        <f t="shared" si="464"/>
        <v>N</v>
      </c>
      <c r="IA68" s="150">
        <f t="shared" si="465"/>
        <v>1</v>
      </c>
      <c r="IB68" s="319">
        <f t="shared" si="466"/>
        <v>100</v>
      </c>
      <c r="IC68" s="923">
        <f t="shared" si="467"/>
        <v>1</v>
      </c>
      <c r="ID68" s="924" t="str">
        <f t="shared" ca="1" si="468"/>
        <v>OK</v>
      </c>
      <c r="IE68" s="201" t="str">
        <f t="shared" si="469"/>
        <v>ks</v>
      </c>
      <c r="IF68" s="145">
        <f t="shared" si="470"/>
        <v>8</v>
      </c>
      <c r="IG68" s="216">
        <f t="shared" si="471"/>
        <v>0.05</v>
      </c>
      <c r="IH68" s="217">
        <f t="shared" si="472"/>
        <v>1</v>
      </c>
      <c r="II68" s="224" t="str">
        <f ca="1">IF(RZ[[#This Row],[Rozhodný sloupec indikativní ceny]]=1,"kg",IF($IW68=$JL$15,IF(JX68=0,JO68,JX68),IF($IW68=$KE$15,IF(KQ68=0,KH68,KQ68),IF($IW68=$KX$15,IF(LJ68=0,LA68,LJ68),IF($IW68=$LQ$15,IF(MC68=0,LT68,MC68),IF($IW68=$MJ$15,IF(NQ68=0,NH68,NQ68),0))))))</f>
        <v>ks</v>
      </c>
      <c r="IJ68" s="224">
        <f ca="1">IF((BH68+OFFSET(BH68,1,1,1,1))=2,RZ[[#This Row],[Počet MJHR (P0)]],IF((BI68+OFFSET(BI68,1,1,1,1))=2,RZ[[#This Row],[Počet MJHR (P0)]],IF((BJ68+OFFSET(BJ68,1,1,1,1))=2,RZ[[#This Row],[Počet MJHR (P0)]],IF((BK68+OFFSET(BK68,1,1,1,1))=2,RZ[[#This Row],[Počet MJHR (P0)]],IF((BL68+OFFSET(BL68,1,1,1,1))=2,RZ[[#This Row],[Počet MJHR (P0)]],IF((BM68+OFFSET(BM68,1,1,1,1))=2,RZ[[#This Row],[Počet MJHR (P0)]],IF((BN68+OFFSET(BN68,1,1,1,1))=2,RZ[[#This Row],[Počet MJHR (P0)]],IF((BO68+OFFSET(BO68,1,1,1,1))=2,RZ[[#This Row],[Počet MJHR (P0)]],IF((BP68+OFFSET(BP68,1,1,1,1))=2,RZ[[#This Row],[Počet MJHR (P0)]],IF((BQ68+OFFSET(BQ68,1,1,1,1))=2,RZ[[#This Row],[Počet MJHR (P0)]],IF(RZ[[#This Row],[Měrná jednotka CR (MJCR) (P0)]]=RZ[[#This Row],[Měrná jednotka HR '[MJHR'] (P0)]],RZ[[#This Row],[Počet MJHR (P0)]],IF($IW68=$JL$15,JY68,IF($IW68=$KE$15,KR68,IF($IW68=$KX$15,LK68,IF($IW68=$LQ$15,MD68,IF($IW68=$MJ$15,NR68,0))))))))))))))))</f>
        <v>8</v>
      </c>
      <c r="IK6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68" s="145">
        <f ca="1">IF(AND(RZ[[#This Row],[Jednotková cena bez DPH '[cena/MJCR'] (P0)]]=0,RZ[[#This Row],[Indikativní jednotková cena '[CZK/kg'] (P1)]]&lt;&gt;0),1,0)</f>
        <v>0</v>
      </c>
      <c r="IM68" s="217">
        <f ca="1">VLOOKUP(RZ[[#This Row],[Kód položek]],INDIKAT_CENA,2,FALSE)</f>
        <v>0</v>
      </c>
      <c r="IN68" s="222">
        <f ca="1">IF(RZ[[#This Row],[Rozhodný sloupec indikativní ceny]]=1,RZ[[#This Row],[Indikativní jednotková cena '[CZK/kg'] (P1)]],RZ[[#This Row],[Jednotková cena bez DPH '[cena/MJCR'] (P0)]])</f>
        <v>100</v>
      </c>
      <c r="IO68" s="222">
        <f t="shared" si="473"/>
        <v>1</v>
      </c>
      <c r="IP68" s="224">
        <f ca="1">IF(RZ[[#This Row],[Rozhodný sloupec indikativní ceny]]=1,1,IF($IW68=$JL$15,KA68,IF($IW68=$KE$15,KT68,IF($IW68=$KX$15,LM68,IF($IW68=$LQ$15,MF68,IF($IW68=$MJ$15,NT68,0))))))</f>
        <v>1</v>
      </c>
      <c r="IQ68" s="225">
        <f ca="1">IF(RZ[[#This Row],[Jednotková cena bez DPH '[cena/MJCR'] (P1)]]="",0,IF(IP68=0,0,(RZ[[#This Row],[Jednotková cena bez DPH '[cena/MJCR'] (P1)]]*VLOOKUP(IP68,$BR$7:$BT$10,3))))</f>
        <v>100</v>
      </c>
      <c r="IR68" s="737"/>
      <c r="IS68" s="627">
        <f>IF(HY68=0,"",VLOOKUP(RZ[[#This Row],[Stav Projekce (P0)]],Vstupy!$E$11:'Vstupy'!$E$11:$H$17,4,FALSE))</f>
        <v>100</v>
      </c>
      <c r="IT68" s="925" t="str">
        <f>IF(RZ[[#This Row],[Stav Projekce (P0)]]=0,"",RZ[[#This Row],[Stav Projekce (P0)]])</f>
        <v>S</v>
      </c>
      <c r="IU68" s="925" t="str">
        <f>IF(RZ[[#This Row],[Stav Nákup (P0)]]=0,"",RZ[[#This Row],[Stav Nákup (P0)]])</f>
        <v>N</v>
      </c>
      <c r="IV68" s="926" t="str">
        <f t="shared" si="474"/>
        <v>Zajíc</v>
      </c>
      <c r="IW68" s="641">
        <v>1</v>
      </c>
      <c r="IX68" s="630"/>
      <c r="IY68" s="264"/>
      <c r="IZ68" s="648"/>
      <c r="JA68" s="100"/>
      <c r="JB68" s="100" t="s">
        <v>793</v>
      </c>
      <c r="JC68" s="100"/>
      <c r="JD68" s="100"/>
      <c r="JE68" s="100"/>
      <c r="JF68" s="100"/>
      <c r="JG68" s="100"/>
      <c r="JH68" s="100"/>
      <c r="JI68" s="100"/>
      <c r="JJ68" s="145" t="s">
        <v>798</v>
      </c>
      <c r="JK68" s="529"/>
      <c r="JL68" s="286"/>
      <c r="JM68" s="100"/>
      <c r="JN68" s="100"/>
      <c r="JO68" s="145" t="s">
        <v>35</v>
      </c>
      <c r="JP68" s="117">
        <v>8</v>
      </c>
      <c r="JQ68" s="117">
        <v>0.05</v>
      </c>
      <c r="JR68" s="148">
        <v>1</v>
      </c>
      <c r="JS68" s="145" t="s">
        <v>602</v>
      </c>
      <c r="JT68" s="631"/>
      <c r="JU68" s="148" t="s">
        <v>853</v>
      </c>
      <c r="JV68" s="154">
        <v>42950.61990740741</v>
      </c>
      <c r="JW68" s="145"/>
      <c r="JX68" s="210" t="s">
        <v>35</v>
      </c>
      <c r="JY68" s="117"/>
      <c r="JZ68" s="662">
        <v>100</v>
      </c>
      <c r="KA68" s="145">
        <v>1</v>
      </c>
      <c r="KB68" s="148">
        <v>1</v>
      </c>
      <c r="KC68" s="148" t="s">
        <v>611</v>
      </c>
      <c r="KD68" s="644"/>
      <c r="KE68" s="286"/>
      <c r="KF68" s="100"/>
      <c r="KG68" s="100"/>
      <c r="KH68" s="210"/>
      <c r="KI68" s="117"/>
      <c r="KJ68" s="117"/>
      <c r="KK68" s="148"/>
      <c r="KL68" s="145"/>
      <c r="KM68" s="632"/>
      <c r="KN68" s="148"/>
      <c r="KO68" s="154"/>
      <c r="KP68" s="154"/>
      <c r="KQ68" s="210"/>
      <c r="KR68" s="117"/>
      <c r="KS68" s="211"/>
      <c r="KT68" s="145"/>
      <c r="KU68" s="148"/>
      <c r="KV68" s="148"/>
      <c r="KW68" s="265"/>
      <c r="KX68" s="286"/>
      <c r="KY68" s="100"/>
      <c r="KZ68" s="100"/>
      <c r="LA68" s="210"/>
      <c r="LB68" s="117"/>
      <c r="LC68" s="117"/>
      <c r="LD68" s="148"/>
      <c r="LE68" s="145"/>
      <c r="LF68" s="632"/>
      <c r="LG68" s="148"/>
      <c r="LH68" s="154"/>
      <c r="LI68" s="154"/>
      <c r="LJ68" s="154"/>
      <c r="LK68" s="117"/>
      <c r="LL68" s="211"/>
      <c r="LM68" s="210"/>
      <c r="LN68" s="148"/>
      <c r="LO68" s="148"/>
      <c r="LP68" s="265"/>
      <c r="LQ68" s="286"/>
      <c r="LR68" s="100"/>
      <c r="LS68" s="100"/>
      <c r="LT68" s="210"/>
      <c r="LU68" s="117"/>
      <c r="LV68" s="117"/>
      <c r="LW68" s="148"/>
      <c r="LX68" s="145"/>
      <c r="LY68" s="632"/>
      <c r="LZ68" s="148"/>
      <c r="MA68" s="154"/>
      <c r="MB68" s="154"/>
      <c r="MC68" s="145"/>
      <c r="MD68" s="117"/>
      <c r="ME68" s="211"/>
      <c r="MF68" s="210"/>
      <c r="MG68" s="148"/>
      <c r="MH68" s="148"/>
      <c r="MI68" s="265"/>
      <c r="MJ68" s="647"/>
      <c r="MK68" s="264"/>
      <c r="ML68" s="153"/>
      <c r="MM68" s="153"/>
      <c r="MN68" s="153"/>
      <c r="MO68" s="153"/>
      <c r="MP68" s="153"/>
      <c r="MQ68" s="153"/>
      <c r="MR68" s="153"/>
      <c r="MS68" s="99"/>
      <c r="MT68" s="99"/>
      <c r="MU68" s="99"/>
      <c r="MV68" s="99"/>
      <c r="MW68" s="99"/>
      <c r="MX68" s="99"/>
      <c r="MY68" s="153"/>
      <c r="MZ68" s="153"/>
      <c r="NA68" s="153"/>
      <c r="NB68" s="153"/>
      <c r="NC68" s="153"/>
      <c r="ND68" s="153"/>
      <c r="NE68" s="148"/>
      <c r="NF68" s="153"/>
      <c r="NG68" s="153"/>
      <c r="NH68" s="330" t="str">
        <f t="shared" si="475"/>
        <v>ks</v>
      </c>
      <c r="NI68" s="797">
        <f>RZ[[#This Row],[Počet ks (K)]]</f>
        <v>0</v>
      </c>
      <c r="NJ68" s="798">
        <f>RZ[[#This Row],[Hmotnost '[kg/ks'] (K)]]</f>
        <v>0</v>
      </c>
      <c r="NK68" s="148"/>
      <c r="NL68" s="145"/>
      <c r="NM68" s="632"/>
      <c r="NN68" s="148"/>
      <c r="NO68" s="154"/>
      <c r="NP68" s="153"/>
      <c r="NQ68" s="153"/>
      <c r="NR68" s="210"/>
      <c r="NS68" s="148"/>
      <c r="NT68" s="210"/>
      <c r="NU68" s="148"/>
      <c r="NV68" s="148"/>
      <c r="NW68" s="175"/>
    </row>
    <row r="69" spans="2:387" ht="15.95" customHeight="1" x14ac:dyDescent="0.35">
      <c r="B69" s="118" t="str">
        <f t="shared" si="359"/>
        <v/>
      </c>
      <c r="C6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9" s="262" t="str">
        <f t="shared" si="360"/>
        <v xml:space="preserve">    Šroubení</v>
      </c>
      <c r="E69" s="120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Row],[Kód položek (P2)]]))))))))))</f>
        <v>STSM</v>
      </c>
      <c r="F69" s="791" t="str">
        <f t="shared" si="361"/>
        <v>N/A</v>
      </c>
      <c r="G69" s="792" t="str">
        <f t="shared" si="362"/>
        <v/>
      </c>
      <c r="H69" s="262" t="str">
        <f t="shared" si="363"/>
        <v/>
      </c>
      <c r="I69" s="123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HR '[MJHR'] (P0)]]))))))))))</f>
        <v>ks</v>
      </c>
      <c r="J69" s="123">
        <f t="shared" si="364"/>
        <v>2</v>
      </c>
      <c r="K69" s="793">
        <f>RZ[[#This Row],[Koeficient odhadu HR '[-'] (P1)]]</f>
        <v>1</v>
      </c>
      <c r="L69" s="124">
        <f ca="1">RZ[[#This Row],[Jednotková hmotnost s koef. '[kg/MJHR'] (P0)]]</f>
        <v>7.0000000000000007E-2</v>
      </c>
      <c r="M69" s="794">
        <f t="shared" ca="1" si="365"/>
        <v>0</v>
      </c>
      <c r="N69" s="125">
        <f t="shared" ca="1" si="366"/>
        <v>0.14000000000000001</v>
      </c>
      <c r="O69" s="125">
        <f t="shared" ca="1" si="367"/>
        <v>0</v>
      </c>
      <c r="P69" s="126" t="str">
        <f t="shared" si="368"/>
        <v/>
      </c>
      <c r="Q69" s="795">
        <f ca="1">RZ[[#This Row],[Počet MJHR v rozpadu (P0)]]</f>
        <v>4</v>
      </c>
      <c r="R69" s="439" t="str">
        <f t="shared" si="369"/>
        <v/>
      </c>
      <c r="S69" s="129" t="str">
        <f t="shared" si="370"/>
        <v/>
      </c>
      <c r="T69" s="126" t="str">
        <f t="shared" si="371"/>
        <v/>
      </c>
      <c r="U69" s="126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CR (MJCR) (P0)]]))))))))))</f>
        <v>kg</v>
      </c>
      <c r="V69" s="575">
        <f t="shared" ca="1" si="372"/>
        <v>0.14000000000000001</v>
      </c>
      <c r="W69" s="322">
        <f>RZ[[#This Row],[Koeficient odhadu CR '[-'] (P1)]]</f>
        <v>1</v>
      </c>
      <c r="X69" s="440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Row],[Jednotková cena bez DPH '[cena/MJCR'] (P1)]]*RZ[[#This Row],[Koeficient odhadu CR '[-']]]))))))))))</f>
        <v>110</v>
      </c>
      <c r="Y69" s="440">
        <f t="shared" ca="1" si="373"/>
        <v>0</v>
      </c>
      <c r="Z69" s="142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VLOOKUP(IP69,$BR$7:$BS$11,2,FALSE)))))))))))</f>
        <v>CZK</v>
      </c>
      <c r="AA69" s="909">
        <f t="shared" ca="1" si="374"/>
        <v>0.28000000000000003</v>
      </c>
      <c r="AB69" s="910">
        <f ca="1">RZ[[#This Row],[Kumulovaný koeficient v rozpadu (P0)]]</f>
        <v>1</v>
      </c>
      <c r="AC69" s="261"/>
      <c r="AD69" s="796">
        <f ca="1">RZ[[#This Row],[Jednotková cena bez DPH '[cena/MJCR'] s koef. (P0)]]/RZ[[#This Row],[Koeficient odhadu CR '[-']]]*RZ[[#This Row],[Kumulovaný koeficient odhadu CR  '[-']]]</f>
        <v>110</v>
      </c>
      <c r="AE69" s="796">
        <f t="shared" ca="1" si="375"/>
        <v>30.800000000000004</v>
      </c>
      <c r="AF69" s="796">
        <f ca="1">-IF(ISNUMBER(AA69),RZ[[#This Row],[Celková cena bez DPH (1)]]-RZ[[#This Row],[Jednotková cena bez DPH '[cena/MJCR'] bez koef. (P0)]]*AA69,0)</f>
        <v>0</v>
      </c>
      <c r="AG6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69" s="261"/>
      <c r="AI69" s="796">
        <f t="shared" ca="1" si="376"/>
        <v>4.0740740740740744</v>
      </c>
      <c r="AJ69" s="796">
        <f t="shared" ca="1" si="377"/>
        <v>1.1407407407407408</v>
      </c>
      <c r="AK69" s="796">
        <f t="shared" ca="1" si="378"/>
        <v>0</v>
      </c>
      <c r="AL69" s="753">
        <f ca="1">RZ[[#This Row],[Kilogramová cena bez DPH '[cena/kg'] (1)]]/$AK$13</f>
        <v>4.0740740740740744</v>
      </c>
      <c r="AM69" s="261"/>
      <c r="AN69" s="796">
        <f t="shared" ca="1" si="379"/>
        <v>5.3140096618357493</v>
      </c>
      <c r="AO69" s="796">
        <f t="shared" ca="1" si="380"/>
        <v>1.4879227053140098</v>
      </c>
      <c r="AP69" s="796">
        <f t="shared" ca="1" si="381"/>
        <v>0</v>
      </c>
      <c r="AQ69" s="753">
        <f ca="1">RZ[[#This Row],[Kilogramová cena bez DPH '[cena/kg'] (1)]]/$AP$13</f>
        <v>5.3140096618357493</v>
      </c>
      <c r="AR69" s="261"/>
      <c r="AS69" s="796">
        <f t="shared" ca="1" si="382"/>
        <v>3.0087527352297592</v>
      </c>
      <c r="AT69" s="796">
        <f t="shared" ca="1" si="383"/>
        <v>0.84245076586433265</v>
      </c>
      <c r="AU69" s="789">
        <f t="shared" ca="1" si="384"/>
        <v>0</v>
      </c>
      <c r="AV69" s="767">
        <f ca="1">RZ[[#This Row],[Kilogramová cena bez DPH '[cena/kg'] (1)]]/$AU$13</f>
        <v>3.0087527352297592</v>
      </c>
      <c r="AW69" s="165"/>
      <c r="AX69" s="911">
        <f t="shared" ca="1" si="385"/>
        <v>2</v>
      </c>
      <c r="AY69" s="111">
        <f t="shared" ca="1" si="386"/>
        <v>2</v>
      </c>
      <c r="AZ69" s="111">
        <f t="shared" ca="1" si="387"/>
        <v>14</v>
      </c>
      <c r="BA69" s="111">
        <f t="shared" ca="1" si="388"/>
        <v>0</v>
      </c>
      <c r="BB69" s="111">
        <f t="shared" ca="1" si="389"/>
        <v>0</v>
      </c>
      <c r="BC69" s="111">
        <f t="shared" ca="1" si="390"/>
        <v>0</v>
      </c>
      <c r="BD69" s="111">
        <f t="shared" ca="1" si="391"/>
        <v>0</v>
      </c>
      <c r="BE69" s="111">
        <f t="shared" ca="1" si="392"/>
        <v>0</v>
      </c>
      <c r="BF69" s="111">
        <f t="shared" ca="1" si="393"/>
        <v>0</v>
      </c>
      <c r="BG69" s="112">
        <f t="shared" ca="1" si="394"/>
        <v>0</v>
      </c>
      <c r="BH69" s="911">
        <f t="shared" si="395"/>
        <v>0</v>
      </c>
      <c r="BI69" s="111">
        <f t="shared" si="396"/>
        <v>0</v>
      </c>
      <c r="BJ69" s="111">
        <f t="shared" si="397"/>
        <v>1</v>
      </c>
      <c r="BK69" s="111">
        <f t="shared" si="398"/>
        <v>0</v>
      </c>
      <c r="BL69" s="111">
        <f t="shared" si="399"/>
        <v>0</v>
      </c>
      <c r="BM69" s="111">
        <f t="shared" si="400"/>
        <v>0</v>
      </c>
      <c r="BN69" s="111">
        <f t="shared" si="401"/>
        <v>0</v>
      </c>
      <c r="BO69" s="111">
        <f t="shared" si="402"/>
        <v>0</v>
      </c>
      <c r="BP69" s="111">
        <f t="shared" si="403"/>
        <v>0</v>
      </c>
      <c r="BQ69" s="112">
        <f t="shared" si="404"/>
        <v>0</v>
      </c>
      <c r="BR69" s="132">
        <f ca="1">IF(OFFSET(AY69,1,0,1,1)&lt;&gt;0,RZ[[#This Row],[Koeficient odhadu HR '[-'] (P1)]]*$BH69*SUMIFS(RZ[Úroveň 2 s koef. (P2)],RZ[0],AX69),RZ[[#This Row],[Koeficient odhadu HR '[-'] (P1)]]*$BH69*$IG69)</f>
        <v>0</v>
      </c>
      <c r="BS69" s="186">
        <f ca="1">IF(OFFSET(AY69,1,0,1,1)&lt;&gt;0,$BH69*SUMIFS(RZ[Úroveň 2 bez koef. (P2)],RZ[0],AX69),$BH69*$IG69)</f>
        <v>0</v>
      </c>
      <c r="BT69" s="138">
        <f ca="1">RZ[[#This Row],[Úroveň 2 s koef. (P2a)]]*RZ[[#This Row],[Počet MJHR (P0)]]</f>
        <v>0</v>
      </c>
      <c r="BU69" s="138">
        <f ca="1">RZ[[#This Row],[Úroveň 2 bez koef. (P2a)]]*RZ[[#This Row],[Počet MJHR (P0)]]</f>
        <v>0</v>
      </c>
      <c r="BV69" s="138">
        <f ca="1">IF(OFFSET(AZ69,1,0,1,1)&lt;&gt;0,RZ[[#This Row],[Koeficient odhadu HR '[-'] (P1)]]*$BI69*SUMIFS(RZ[Úroveň 3 s koef. (P2)],RZ[0],AX69,RZ[Úroveň 2 (P0)],AY69),RZ[[#This Row],[Koeficient odhadu HR '[-'] (P1)]]*$BI69*$IG69)</f>
        <v>0</v>
      </c>
      <c r="BW69" s="138">
        <f ca="1">IF(OFFSET(AZ69,1,0,1,1)&lt;&gt;0,$BI69*SUMIFS(RZ[Úroveň 3 bez koef. (P2)],RZ[0],AX69,RZ[Úroveň 2 (P0)],AY69),$BI69*$IG69)</f>
        <v>0</v>
      </c>
      <c r="BX69" s="132">
        <f ca="1">RZ[[#This Row],[Úroveň 3 s koef. (P2a)]]*RZ[[#This Row],[Počet MJHR (P0)]]</f>
        <v>0.14000000000000001</v>
      </c>
      <c r="BY69" s="132">
        <f ca="1">RZ[Úroveň 3 bez koef. (P2a)]*RZ[[#This Row],[Počet MJHR (P0)]]</f>
        <v>0.14000000000000001</v>
      </c>
      <c r="BZ69" s="132">
        <f ca="1">IF(OFFSET(BA69,1,0,1,1)&lt;&gt;0,RZ[[#This Row],[Koeficient odhadu HR '[-'] (P1)]]*$BJ69*SUMIFS(RZ[Úroveň 4 s koef. (P2)],RZ[0],AX69,RZ[Úroveň 2 (P0)],AY69,RZ[Úroveň 3 (P0)],AZ69),RZ[[#This Row],[Koeficient odhadu HR '[-'] (P1)]]*$BJ69*$IG69)</f>
        <v>7.0000000000000007E-2</v>
      </c>
      <c r="CA69" s="132">
        <f ca="1">IF(OFFSET(BA69,1,0,1,1)&lt;&gt;0,$BJ69*SUMIFS(RZ[Úroveň 4 bez koef. (P2)],RZ[0],AX69,RZ[Úroveň 2 (P0)],AY69,RZ[Úroveň 3 (P0)],AZ69),$BJ69*$IG69)</f>
        <v>7.0000000000000007E-2</v>
      </c>
      <c r="CB69" s="138">
        <f ca="1">RZ[[#This Row],[Úroveň 4 s koef. (P2a)]]*RZ[[#This Row],[Počet MJHR (P0)]]</f>
        <v>0</v>
      </c>
      <c r="CC69" s="138">
        <f ca="1">RZ[Úroveň 4 bez koef. (P2a)]*RZ[[#This Row],[Počet MJHR (P0)]]</f>
        <v>0</v>
      </c>
      <c r="CD69" s="138">
        <f ca="1">IF(OFFSET(BB69,1,0,1,1)&lt;&gt;0,RZ[[#This Row],[Koeficient odhadu HR '[-'] (P1)]]*$BK69*SUMIFS(RZ[Úroveň 5 s koef. (P2)],RZ[0],AX69,RZ[Úroveň 2 (P0)],AY69,RZ[Úroveň 3 (P0)],AZ69,RZ[Úroveň 4 (P0)],BA69),RZ[[#This Row],[Koeficient odhadu HR '[-'] (P1)]]*$BK69*$IG69)</f>
        <v>0</v>
      </c>
      <c r="CE69" s="138">
        <f ca="1">IF(OFFSET(BB69,1,0,1,1)&lt;&gt;0,$BK69*SUMIFS(RZ[Úroveň 5 bez koef. (P2)],RZ[0],AX69,RZ[Úroveň 2 (P0)],AY69,RZ[Úroveň 3 (P0)],AZ69,RZ[Úroveň 4 (P0)],BA69),$BK69*$IG69)</f>
        <v>0</v>
      </c>
      <c r="CF69" s="132">
        <f ca="1">RZ[[#This Row],[Úroveň 5 s koef. (P2a)]]*RZ[[#This Row],[Počet MJHR (P0)]]</f>
        <v>0</v>
      </c>
      <c r="CG69" s="132">
        <f ca="1">RZ[Úroveň 5 bez koef. (P2a)]*RZ[[#This Row],[Počet MJHR (P0)]]</f>
        <v>0</v>
      </c>
      <c r="CH69" s="132">
        <f ca="1">IF(OFFSET(BC69,1,0,1,1)&lt;&gt;0,RZ[[#This Row],[Koeficient odhadu HR '[-'] (P1)]]*$BL69*SUMIFS(RZ[Úroveň 6 s koef. (P2)],RZ[0],AX69,RZ[Úroveň 2 (P0)],AY69,RZ[Úroveň 3 (P0)],AZ69,RZ[Úroveň 4 (P0)],BA69,RZ[Úroveň 5 (P0)],BB69),RZ[[#This Row],[Koeficient odhadu HR '[-'] (P1)]]*$BL69*$IG69)</f>
        <v>0</v>
      </c>
      <c r="CI69" s="132">
        <f ca="1">IF(OFFSET(BC69,1,0,1,1)&lt;&gt;0,$BL69*SUMIFS(RZ[Úroveň 6 bez koef. (P2)],RZ[0],AX69,RZ[Úroveň 2 (P0)],AY69,RZ[Úroveň 3 (P0)],AZ69,RZ[Úroveň 4 (P0)],BA69,RZ[Úroveň 5 (P0)],BB69),$BL69*$IG69)</f>
        <v>0</v>
      </c>
      <c r="CJ69" s="138">
        <f ca="1">RZ[[#This Row],[Úroveň 6 s koef. (P2a)]]*RZ[[#This Row],[Počet MJHR (P0)]]</f>
        <v>0</v>
      </c>
      <c r="CK69" s="138">
        <f ca="1">RZ[Úroveň 6 bez koef. (P2a)]*RZ[[#This Row],[Počet MJHR (P0)]]</f>
        <v>0</v>
      </c>
      <c r="CL69" s="138">
        <f ca="1">IF(OFFSET(BD69,1,0,1,1)&lt;&gt;0,RZ[[#This Row],[Koeficient odhadu HR '[-'] (P1)]]*$BM69*SUMIFS(RZ[Úroveň 7 s koef. (P2)],RZ[0],AX69,RZ[Úroveň 2 (P0)],AY69,RZ[Úroveň 3 (P0)],AZ69,RZ[Úroveň 4 (P0)],BA69,RZ[Úroveň 5 (P0)],BB69,RZ[Úroveň 6 (P0)],BC69),RZ[[#This Row],[Koeficient odhadu HR '[-'] (P1)]]*$BM69*$IG69)</f>
        <v>0</v>
      </c>
      <c r="CM69" s="138">
        <f ca="1">IF(OFFSET(BD69,1,0,1,1)&lt;&gt;0,$BM69*SUMIFS(RZ[Úroveň 7 bez koef. (P2)],RZ[0],AX69,RZ[Úroveň 2 (P0)],AY69,RZ[Úroveň 3 (P0)],AZ69,RZ[Úroveň 4 (P0)],BA69,RZ[Úroveň 5 (P0)],BB69,RZ[Úroveň 6 (P0)],BC69),$BM69*$IG69)</f>
        <v>0</v>
      </c>
      <c r="CN69" s="132">
        <f ca="1">RZ[[#This Row],[Úroveň 7 s koef. (P2a)]]*RZ[[#This Row],[Počet MJHR (P0)]]</f>
        <v>0</v>
      </c>
      <c r="CO69" s="132">
        <f ca="1">RZ[Úroveň 7 bez koef. (P2a)]*RZ[[#This Row],[Počet MJHR (P0)]]</f>
        <v>0</v>
      </c>
      <c r="CP69" s="132">
        <f ca="1">IF(OFFSET(BE69,1,0,1,1)&lt;&gt;0,RZ[[#This Row],[Koeficient odhadu HR '[-'] (P1)]]*$BN69*SUMIFS(RZ[Úroveň 8 s koef. (P2)],RZ[0],AX69,RZ[Úroveň 2 (P0)],AY69,RZ[Úroveň 3 (P0)],AZ69,RZ[Úroveň 4 (P0)],BA69,RZ[Úroveň 5 (P0)],BB69,RZ[Úroveň 6 (P0)],BC69,RZ[Úroveň 7 (P0)],BD69),RZ[[#This Row],[Koeficient odhadu HR '[-'] (P1)]]*$BN69*$IG69)</f>
        <v>0</v>
      </c>
      <c r="CQ69" s="132">
        <f ca="1">IF(OFFSET(BE69,1,0,1,1)&lt;&gt;0,$BN69*SUMIFS(RZ[Úroveň 8 bez koef. (P2)],RZ[0],AX69,RZ[Úroveň 2 (P0)],AY69,RZ[Úroveň 3 (P0)],AZ69,RZ[Úroveň 4 (P0)],BA69,RZ[Úroveň 5 (P0)],BB69,RZ[Úroveň 6 (P0)],BC69,RZ[Úroveň 7 (P0)],BD69),$BN69*$IG69)</f>
        <v>0</v>
      </c>
      <c r="CR69" s="138">
        <f ca="1">RZ[[#This Row],[Úroveň 8 s koef. (P2a)]]*RZ[[#This Row],[Počet MJHR (P0)]]</f>
        <v>0</v>
      </c>
      <c r="CS69" s="138">
        <f ca="1">RZ[Úroveň 8 bez koef. (P2a)]*RZ[[#This Row],[Počet MJHR (P0)]]</f>
        <v>0</v>
      </c>
      <c r="CT69" s="138">
        <f ca="1">IF(OFFSET(BF69,1,0,1,1)&lt;&gt;0,RZ[[#This Row],[Koeficient odhadu HR '[-'] (P1)]]*$BO69*SUMIFS(RZ[Úroveň 9 s koef. (P2)],RZ[0],AX69,RZ[Úroveň 2 (P0)],AY69,RZ[Úroveň 3 (P0)],AZ69,RZ[Úroveň 4 (P0)],BA69,RZ[Úroveň 5 (P0)],BB69,RZ[Úroveň 6 (P0)],BC69,RZ[Úroveň 7 (P0)],BD69,RZ[Úroveň 8 (P0)],BE69),RZ[[#This Row],[Koeficient odhadu HR '[-'] (P1)]]*$BO69*$IG69)</f>
        <v>0</v>
      </c>
      <c r="CU69" s="138">
        <f ca="1">IF(OFFSET(BF69,1,0,1,1)&lt;&gt;0,$BO69*SUMIFS(RZ[Úroveň 9 bez koef. (P2)],RZ[0],AX69,RZ[Úroveň 2 (P0)],AY69,RZ[Úroveň 3 (P0)],AZ69,RZ[Úroveň 4 (P0)],BA69,RZ[Úroveň 5 (P0)],BB69,RZ[Úroveň 6 (P0)],BC69,RZ[Úroveň 7 (P0)],BD69,RZ[Úroveň 8 (P0)],BE69),$BO69*$IG69)</f>
        <v>0</v>
      </c>
      <c r="CV69" s="132">
        <f ca="1">RZ[[#This Row],[Úroveň 9 s koef. (P2a)]]*RZ[[#This Row],[Počet MJHR (P0)]]</f>
        <v>0</v>
      </c>
      <c r="CW69" s="132">
        <f ca="1">RZ[Úroveň 9 bez koef. (P2a)]*RZ[[#This Row],[Počet MJHR (P0)]]</f>
        <v>0</v>
      </c>
      <c r="CX69" s="132">
        <f ca="1">IF(OFFSET(BG69,1,0,1,1)&lt;&gt;0,RZ[[#This Row],[Koeficient odhadu HR '[-'] (P1)]]*$BP69*SUMIFS(RZ[Úroveň 10 s koef. (P2)],RZ[0],AX69,RZ[Úroveň 2 (P0)],AY69,RZ[Úroveň 3 (P0)],AZ69,RZ[Úroveň 4 (P0)],BA69,RZ[Úroveň 5 (P0)],BB69,RZ[Úroveň 6 (P0)],BC69,RZ[Úroveň 7 (P0)],BD69,RZ[Úroveň 8 (P0)],BE69,RZ[Úroveň 9 (P0)],BF69),RZ[[#This Row],[Koeficient odhadu HR '[-'] (P1)]]*$BP69*$IG69)</f>
        <v>0</v>
      </c>
      <c r="CY69" s="132">
        <f ca="1">IF(OFFSET(BG69,1,0,1,1)&lt;&gt;0,$BP69*SUMIFS(RZ[Úroveň 10 bez koef. (P2)],RZ[0],AX69,RZ[Úroveň 2 (P0)],AY69,RZ[Úroveň 3 (P0)],AZ69,RZ[Úroveň 4 (P0)],BA69,RZ[Úroveň 5 (P0)],BB69,RZ[Úroveň 6 (P0)],BC69,RZ[Úroveň 7 (P0)],BD69,RZ[Úroveň 8 (P0)],BE69,RZ[Úroveň 9 (P0)],BF69),$BP69*$IG69)</f>
        <v>0</v>
      </c>
      <c r="CZ69" s="138">
        <f>RZ[[#This Row],[Úroveň 10 s koef. (P2a)]]*RZ[[#This Row],[Počet MJHR (P0)]]</f>
        <v>0</v>
      </c>
      <c r="DA69" s="138">
        <f>RZ[Úroveň 10 bez koef. (P2a)]*RZ[[#This Row],[Počet MJHR (P0)]]</f>
        <v>0</v>
      </c>
      <c r="DB69" s="138">
        <f>RZ[[#This Row],[Koeficient odhadu HR '[-'] (P1)]]*$BQ69*IG69</f>
        <v>0</v>
      </c>
      <c r="DC69" s="231">
        <f t="shared" si="405"/>
        <v>0</v>
      </c>
      <c r="DD69" s="241">
        <f t="shared" ca="1" si="406"/>
        <v>7.0000000000000007E-2</v>
      </c>
      <c r="DE69" s="229">
        <f t="shared" ca="1" si="407"/>
        <v>7.0000000000000007E-2</v>
      </c>
      <c r="DF69" s="912">
        <f t="shared" si="408"/>
        <v>0</v>
      </c>
      <c r="DG69" s="913">
        <f t="shared" si="409"/>
        <v>0</v>
      </c>
      <c r="DH69" s="913">
        <f t="shared" si="410"/>
        <v>2</v>
      </c>
      <c r="DI69" s="913">
        <f t="shared" si="411"/>
        <v>0</v>
      </c>
      <c r="DJ69" s="913">
        <f t="shared" si="412"/>
        <v>0</v>
      </c>
      <c r="DK69" s="913">
        <f t="shared" si="413"/>
        <v>0</v>
      </c>
      <c r="DL69" s="913">
        <f t="shared" si="414"/>
        <v>0</v>
      </c>
      <c r="DM69" s="913">
        <f t="shared" si="415"/>
        <v>0</v>
      </c>
      <c r="DN69" s="913">
        <f t="shared" si="416"/>
        <v>0</v>
      </c>
      <c r="DO69" s="913">
        <f t="shared" si="417"/>
        <v>0</v>
      </c>
      <c r="DP69" s="914">
        <f ca="1">SUMIFS(RZ[Úroveň 1 (P4)],RZ[0],AX69)</f>
        <v>1</v>
      </c>
      <c r="DQ69" s="914">
        <f ca="1">SUMIFS(RZ[Úroveň 2 (P4)],RZ[0],AX69,RZ[Úroveň 2 (P0)],AY69)</f>
        <v>2</v>
      </c>
      <c r="DR69" s="914">
        <f ca="1">SUMIFS(RZ[Úroveň 3 (P4)],RZ[0],AX69,RZ[Úroveň 2 (P0)],AY69,RZ[Úroveň 3 (P0)],AZ69)</f>
        <v>2</v>
      </c>
      <c r="DS69" s="914">
        <f ca="1">SUMIFS(RZ[Úroveň 4 (P4)],RZ[0],AX69,RZ[Úroveň 2 (P0)],AY69,RZ[Úroveň 3 (P0)],AZ69,RZ[Úroveň 4 (P0)],BA69)</f>
        <v>0</v>
      </c>
      <c r="DT69" s="914">
        <f ca="1">SUMIFS(RZ[Úroveň 5 (P4)],RZ[0],AX69,RZ[Úroveň 2 (P0)],AY69,RZ[Úroveň 3 (P0)],AZ69,RZ[Úroveň 4 (P0)],BA69,RZ[Úroveň 5 (P0)],BB69)</f>
        <v>0</v>
      </c>
      <c r="DU69" s="914">
        <f ca="1">SUMIFS(RZ[Úroveň 6 (P4)],RZ[0],AX69,RZ[Úroveň 2 (P0)],AY69,RZ[Úroveň 3 (P0)],AZ69,RZ[Úroveň 4 (P0)],BA69,RZ[Úroveň 5 (P0)],BB69,RZ[Úroveň 6 (P0)],BC69)</f>
        <v>0</v>
      </c>
      <c r="DV69" s="914">
        <f ca="1">SUMIFS(RZ[Úroveň 7 (P4)],RZ[0],AX69,RZ[Úroveň 2 (P0)],AY69,RZ[Úroveň 3 (P0)],AZ69,RZ[Úroveň 4 (P0)],BA69,RZ[Úroveň 5 (P0)],BB69,RZ[Úroveň 6 (P0)],BC69,RZ[Úroveň 7 (P0)],BD69)</f>
        <v>0</v>
      </c>
      <c r="DW69" s="914">
        <f ca="1">SUMIFS(RZ[Úroveň 8 (P4)],RZ[0],AX69,RZ[Úroveň 2 (P0)],AY69,RZ[Úroveň 3 (P0)],AZ69,RZ[Úroveň 4 (P0)],BA69,RZ[Úroveň 5 (P0)],BB69,RZ[Úroveň 6 (P0)],BC69,RZ[Úroveň 7 (P0)],BD69,RZ[Úroveň 8 (P0)],BE69)</f>
        <v>0</v>
      </c>
      <c r="DX69" s="914">
        <f ca="1">SUMIFS(RZ[Úroveň 9 (P4)],RZ[0],AX69,RZ[Úroveň 2 (P0)],AY69,RZ[Úroveň 3 (P0)],AZ69,RZ[Úroveň 4 (P0)],BA69,RZ[Úroveň 5 (P0)],BB69,RZ[Úroveň 6 (P0)],BC69,RZ[Úroveň 7 (P0)],BD69,RZ[Úroveň 8 (P0)],BE69,RZ[Úroveň 9 (P0)],BF69)</f>
        <v>0</v>
      </c>
      <c r="DY69" s="914">
        <f ca="1">SUMIFS(RZ[Úroveň 10 (P4)],RZ[0],AX69,RZ[Úroveň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DZ69" s="915">
        <f t="shared" ca="1" si="418"/>
        <v>4</v>
      </c>
      <c r="EA69" s="916">
        <f ca="1">RZ[[#This Row],[Jednotková hmotnost bez koef. '[kg/MJHR'] (P0)]]*RZ[[#This Row],[Počet MJHR v rozpadu (P0)]]</f>
        <v>0.28000000000000003</v>
      </c>
      <c r="EB69" s="917">
        <f ca="1">IF(OFFSET(AY69,1,0,1,1)&lt;&gt;0,RZ[[#This Row],[Koeficient odhadu CR '[-'] (P1)]]*$BH69*SUMIFS(RZ[Úroveň 2 s koef. (P3)],RZ[0],AX69),RZ[[#This Row],[Koeficient odhadu CR '[-'] (P1)]]*$BH69*$IQ69)</f>
        <v>0</v>
      </c>
      <c r="EC69" s="191">
        <f ca="1">IF(OFFSET(AY69,1,0,1,1)&lt;&gt;0,$BH69*SUMIFS(RZ[Úroveň 2 bez koef. (P3)],RZ[0],AX69),$BH69*$IQ69)</f>
        <v>0</v>
      </c>
      <c r="ED69" s="140">
        <f ca="1">RZ[[#This Row],[Úroveň 2 s koef. (P3a)]]*RZ[[#This Row],[Počet MJCR (P0) pro "kg"]]</f>
        <v>0</v>
      </c>
      <c r="EE69" s="140">
        <f ca="1">RZ[Úroveň 2 bez koef. (P3a)]*RZ[[#This Row],[Počet MJCR (P0) pro "kg"]]</f>
        <v>0</v>
      </c>
      <c r="EF69" s="140">
        <f ca="1">IF(OFFSET(AZ69,1,0,1,1)&lt;&gt;0,RZ[[#This Row],[Koeficient odhadu CR '[-'] (P1)]]*$BI69*SUMIFS(RZ[Úroveň 3 s koef. (P3)],RZ[0],AX69,RZ[Úroveň 2 (P0)],AY69),RZ[[#This Row],[Koeficient odhadu CR '[-'] (P1)]]*$BI69*$IQ69)</f>
        <v>0</v>
      </c>
      <c r="EG69" s="140">
        <f ca="1">IF(OFFSET(AZ69,1,0,1,1)&lt;&gt;0,$BI69*SUMIFS(RZ[Úroveň 3 bez koef. (P3)],RZ[0],AX69,RZ[Úroveň 2 (P0)],AY69),$BI69*$IQ69)</f>
        <v>0</v>
      </c>
      <c r="EH69" s="135">
        <f ca="1">RZ[[#This Row],[Úroveň 3 s koef. (P3a)]]*RZ[[#This Row],[Počet MJCR (P0) pro "kg"]]</f>
        <v>15.400000000000002</v>
      </c>
      <c r="EI69" s="135">
        <f ca="1">RZ[Úroveň 3 bez koef. (P3a)]*RZ[[#This Row],[Počet MJCR (P0) pro "kg"]]</f>
        <v>15.400000000000002</v>
      </c>
      <c r="EJ69" s="135">
        <f ca="1">IF(OFFSET(BA69,1,0,1,1)&lt;&gt;0,RZ[[#This Row],[Koeficient odhadu CR '[-'] (P1)]]*$BJ69*SUMIFS(RZ[Úroveň 4 s koef. (P3)],RZ[0],AX69,RZ[Úroveň 2 (P0)],AY69,RZ[Úroveň 3 (P0)],AZ69),RZ[[#This Row],[Koeficient odhadu CR '[-'] (P1)]]*$BJ69*$IQ69)</f>
        <v>110</v>
      </c>
      <c r="EK69" s="135">
        <f ca="1">IF(OFFSET(BA69,1,0,1,1)&lt;&gt;0,$BJ69*SUMIFS(RZ[Úroveň 4 bez koef. (P3)],RZ[0],AX69,RZ[Úroveň 2 (P0)],AY69,RZ[Úroveň 3 (P0)],AZ69),$BJ69*$IQ69)</f>
        <v>110</v>
      </c>
      <c r="EL69" s="140">
        <f ca="1">RZ[[#This Row],[Úroveň 4 s koef. (P3a)]]*RZ[[#This Row],[Počet MJCR (P0) pro "kg"]]</f>
        <v>0</v>
      </c>
      <c r="EM69" s="140">
        <f ca="1">RZ[Úroveň 4 bez koef. (P3a)]*RZ[[#This Row],[Počet MJCR (P0) pro "kg"]]</f>
        <v>0</v>
      </c>
      <c r="EN69" s="140">
        <f ca="1">IF(OFFSET(BB69,1,0,1,1)&lt;&gt;0,RZ[[#This Row],[Koeficient odhadu CR '[-'] (P1)]]*$BK69*SUMIFS(RZ[Úroveň 5 s koef. (P3)],RZ[0],AX69,RZ[Úroveň 2 (P0)],AY69,RZ[Úroveň 3 (P0)],AZ69,RZ[Úroveň 4 (P0)],BA69),RZ[[#This Row],[Koeficient odhadu CR '[-'] (P1)]]*$BK69*$IQ69)</f>
        <v>0</v>
      </c>
      <c r="EO69" s="140">
        <f ca="1">IF(OFFSET(BB69,1,0,1,1)&lt;&gt;0,$BK69*SUMIFS(RZ[Úroveň 5 bez koef. (P3)],RZ[0],AX69,RZ[Úroveň 2 (P0)],AY69,RZ[Úroveň 3 (P0)],AZ69,RZ[Úroveň 4 (P0)],BA69),$BK69*$IQ69)</f>
        <v>0</v>
      </c>
      <c r="EP69" s="135">
        <f ca="1">RZ[[#This Row],[Úroveň 5 s koef. (P3a)]]*RZ[[#This Row],[Počet MJCR (P0) pro "kg"]]</f>
        <v>0</v>
      </c>
      <c r="EQ69" s="135">
        <f ca="1">RZ[Úroveň 5 bez koef. (P3a)]*RZ[[#This Row],[Počet MJCR (P0) pro "kg"]]</f>
        <v>0</v>
      </c>
      <c r="ER69" s="135">
        <f ca="1">IF(OFFSET(BC69,1,0,1,1)&lt;&gt;0,RZ[[#This Row],[Koeficient odhadu CR '[-'] (P1)]]*$BL69*SUMIFS(RZ[Úroveň 6 s koef. (P3)],RZ[0],AX69,RZ[Úroveň 2 (P0)],AY69,RZ[Úroveň 3 (P0)],AZ69,RZ[Úroveň 4 (P0)],BA69,RZ[Úroveň 5 (P0)],BB69),RZ[[#This Row],[Koeficient odhadu CR '[-'] (P1)]]*$BL69*$IQ69)</f>
        <v>0</v>
      </c>
      <c r="ES69" s="135">
        <f ca="1">IF(OFFSET(BC69,1,0,1,1)&lt;&gt;0,$BL69*SUMIFS(RZ[Úroveň 6 bez koef. (P3)],RZ[0],AX69,RZ[Úroveň 2 (P0)],AY69,RZ[Úroveň 3 (P0)],AZ69,RZ[Úroveň 4 (P0)],BA69,RZ[Úroveň 5 (P0)],BB69),$BL69*$IQ69)</f>
        <v>0</v>
      </c>
      <c r="ET69" s="140">
        <f ca="1">RZ[[#This Row],[Úroveň 6 s koef. (P3a)]]*RZ[[#This Row],[Počet MJCR (P0) pro "kg"]]</f>
        <v>0</v>
      </c>
      <c r="EU69" s="140">
        <f ca="1">RZ[Úroveň 6 bez koef. (P3a)]*RZ[[#This Row],[Počet MJCR (P0) pro "kg"]]</f>
        <v>0</v>
      </c>
      <c r="EV69" s="140">
        <f ca="1">IF(OFFSET(BD69,1,0,1,1)&lt;&gt;0,RZ[[#This Row],[Koeficient odhadu CR '[-'] (P1)]]*$BM69*SUMIFS(RZ[Úroveň 7 s koef. (P3)],RZ[0],AX69,RZ[Úroveň 2 (P0)],AY69,RZ[Úroveň 3 (P0)],AZ69,RZ[Úroveň 4 (P0)],BA69,RZ[Úroveň 5 (P0)],BB69,RZ[Úroveň 6 (P0)],BC69),RZ[[#This Row],[Koeficient odhadu CR '[-'] (P1)]]*$BM69*$IQ69)</f>
        <v>0</v>
      </c>
      <c r="EW69" s="140">
        <f ca="1">IF(OFFSET(BD69,1,0,1,1)&lt;&gt;0,$BM69*SUMIFS(RZ[Úroveň 7 bez koef. (P3)],RZ[0],AX69,RZ[Úroveň 2 (P0)],AY69,RZ[Úroveň 3 (P0)],AZ69,RZ[Úroveň 4 (P0)],BA69,RZ[Úroveň 5 (P0)],BB69,RZ[Úroveň 6 (P0)],BC69),$BM69*$IQ69)</f>
        <v>0</v>
      </c>
      <c r="EX69" s="135">
        <f ca="1">RZ[[#This Row],[Úroveň 7 s koef. (P3a)]]*RZ[[#This Row],[Počet MJCR (P0) pro "kg"]]</f>
        <v>0</v>
      </c>
      <c r="EY69" s="135">
        <f ca="1">RZ[Úroveň 7 bez koef. (P3a)]*RZ[[#This Row],[Počet MJCR (P0) pro "kg"]]</f>
        <v>0</v>
      </c>
      <c r="EZ69" s="135">
        <f ca="1">IF(OFFSET(BE69,1,0,1,1)&lt;&gt;0,RZ[[#This Row],[Koeficient odhadu CR '[-'] (P1)]]*$BN69*SUMIFS(RZ[Úroveň 8 s koef. (P3)],RZ[0],AX69,RZ[Úroveň 2 (P0)],AY69,RZ[Úroveň 3 (P0)],AZ69,RZ[Úroveň 4 (P0)],BA69,RZ[Úroveň 5 (P0)],BB69,RZ[Úroveň 6 (P0)],BC69,RZ[Úroveň 7 (P0)],BD69),RZ[[#This Row],[Koeficient odhadu CR '[-'] (P1)]]*$BN69*$IQ69)</f>
        <v>0</v>
      </c>
      <c r="FA69" s="135">
        <f ca="1">IF(OFFSET(BE69,1,0,1,1)&lt;&gt;0,$BN69*SUMIFS(RZ[Úroveň 8 bez koef. (P3)],RZ[0],AX69,RZ[Úroveň 2 (P0)],AY69,RZ[Úroveň 3 (P0)],AZ69,RZ[Úroveň 4 (P0)],BA69,RZ[Úroveň 5 (P0)],BB69,RZ[Úroveň 6 (P0)],BC69,RZ[Úroveň 7 (P0)],BD69),$BN69*$IQ69)</f>
        <v>0</v>
      </c>
      <c r="FB69" s="140">
        <f ca="1">RZ[[#This Row],[Úroveň 8 s koef. (P3a)]]*RZ[[#This Row],[Počet MJCR (P0) pro "kg"]]</f>
        <v>0</v>
      </c>
      <c r="FC69" s="140">
        <f ca="1">RZ[Úroveň 8 bez koef. (P3a)]*RZ[[#This Row],[Počet MJCR (P0) pro "kg"]]</f>
        <v>0</v>
      </c>
      <c r="FD69" s="140">
        <f ca="1">IF(OFFSET(BF69,1,0,1,1)&lt;&gt;0,RZ[[#This Row],[Koeficient odhadu CR '[-'] (P1)]]*$BO69*SUMIFS(RZ[Úroveň 9 s koef. (P3)],RZ[0],AX69,RZ[Úroveň 2 (P0)],AY69,RZ[Úroveň 3 (P0)],AZ69,RZ[Úroveň 4 (P0)],BA69,RZ[Úroveň 5 (P0)],BB69,RZ[Úroveň 6 (P0)],BC69,RZ[Úroveň 7 (P0)],BD69,RZ[Úroveň 8 (P0)],BE69),RZ[[#This Row],[Koeficient odhadu CR '[-'] (P1)]]*$BO69*$IQ69)</f>
        <v>0</v>
      </c>
      <c r="FE69" s="140">
        <f ca="1">IF(OFFSET(BF69,1,0,1,1)&lt;&gt;0,$BO69*SUMIFS(RZ[Úroveň 9 bez koef. (P3)],RZ[0],AX69,RZ[Úroveň 2 (P0)],AY69,RZ[Úroveň 3 (P0)],AZ69,RZ[Úroveň 4 (P0)],BA69,RZ[Úroveň 5 (P0)],BB69,RZ[Úroveň 6 (P0)],BC69,RZ[Úroveň 7 (P0)],BD69,RZ[Úroveň 8 (P0)],BE69),$BO69*$IQ69)</f>
        <v>0</v>
      </c>
      <c r="FF69" s="135">
        <f ca="1">RZ[[#This Row],[Úroveň 9 s koef. (P3a)]]*RZ[[#This Row],[Počet MJCR (P0) pro "kg"]]</f>
        <v>0</v>
      </c>
      <c r="FG69" s="135">
        <f ca="1">RZ[Úroveň 9 bez koef. (P3a)]*RZ[[#This Row],[Počet MJCR (P0) pro "kg"]]</f>
        <v>0</v>
      </c>
      <c r="FH69" s="135">
        <f ca="1">IF(OFFSET(BG69,1,0,1,1)&lt;&gt;0,RZ[[#This Row],[Koeficient odhadu CR '[-'] (P1)]]*$BP69*SUMIFS(RZ[Úroveň 10 s koef. (P3)],RZ[0],AX69,RZ[Úroveň 2 (P0)],AY69,RZ[Úroveň 3 (P0)],AZ69,RZ[Úroveň 4 (P0)],BA69,RZ[Úroveň 5 (P0)],BB69,RZ[Úroveň 6 (P0)],BC69,RZ[Úroveň 7 (P0)],BD69,RZ[Úroveň 8 (P0)],BE69,RZ[Úroveň 9 (P0)],BF69),RZ[[#This Row],[Koeficient odhadu CR '[-'] (P1)]]*$BP69*$IQ69)</f>
        <v>0</v>
      </c>
      <c r="FI69" s="135">
        <f ca="1">IF(OFFSET(BG69,1,0,1,1)&lt;&gt;0,$BP69*SUMIFS(RZ[Úroveň 10 bez koef. (P3)],RZ[0],AX69,RZ[Úroveň 2 (P0)],AY69,RZ[Úroveň 3 (P0)],AZ69,RZ[Úroveň 4 (P0)],BA69,RZ[Úroveň 5 (P0)],BB69,RZ[Úroveň 6 (P0)],BC69,RZ[Úroveň 7 (P0)],BD69,RZ[Úroveň 8 (P0)],BE69,RZ[Úroveň 9 (P0)],BF69),$BP69*$IQ69)</f>
        <v>0</v>
      </c>
      <c r="FJ69" s="140">
        <f ca="1">RZ[[#This Row],[Úroveň 10 s koef. (P3a)]]*RZ[[#This Row],[Počet MJCR (P0) pro "kg"]]</f>
        <v>0</v>
      </c>
      <c r="FK69" s="140">
        <f ca="1">RZ[Úroveň 10 bez koef. (P3a)]*RZ[[#This Row],[Počet MJCR (P0) pro "kg"]]</f>
        <v>0</v>
      </c>
      <c r="FL69" s="140">
        <f ca="1">RZ[[#This Row],[Koeficient odhadu CR '[-'] (P1)]]*$BQ69*IQ69</f>
        <v>0</v>
      </c>
      <c r="FM69" s="236">
        <f t="shared" ca="1" si="419"/>
        <v>0</v>
      </c>
      <c r="FN69" s="194">
        <f t="shared" ca="1" si="420"/>
        <v>110</v>
      </c>
      <c r="FO69" s="238">
        <f t="shared" ca="1" si="421"/>
        <v>110</v>
      </c>
      <c r="FP69" s="135">
        <f t="shared" ca="1" si="422"/>
        <v>0</v>
      </c>
      <c r="FQ69" s="135">
        <f t="shared" ca="1" si="423"/>
        <v>0</v>
      </c>
      <c r="FR69" s="135">
        <f t="shared" ca="1" si="424"/>
        <v>0.14000000000000001</v>
      </c>
      <c r="FS69" s="135">
        <f t="shared" ca="1" si="425"/>
        <v>0</v>
      </c>
      <c r="FT69" s="135">
        <f t="shared" ca="1" si="426"/>
        <v>0</v>
      </c>
      <c r="FU69" s="135">
        <f t="shared" ca="1" si="427"/>
        <v>0</v>
      </c>
      <c r="FV69" s="135">
        <f t="shared" ca="1" si="428"/>
        <v>0</v>
      </c>
      <c r="FW69" s="135">
        <f t="shared" ca="1" si="429"/>
        <v>0</v>
      </c>
      <c r="FX69" s="135">
        <f t="shared" ca="1" si="430"/>
        <v>0</v>
      </c>
      <c r="FY69" s="135">
        <f t="shared" ca="1" si="431"/>
        <v>0</v>
      </c>
      <c r="FZ69" s="140">
        <f ca="1">SUMIFS(RZ[Úroveň 1 (P6)],RZ[0],AX69)</f>
        <v>1</v>
      </c>
      <c r="GA69" s="140">
        <f ca="1">SUMIFS(RZ[Úroveň 2 (P6)],RZ[0],AX69,RZ[Úroveň 2 (P0)],AY69)</f>
        <v>2</v>
      </c>
      <c r="GB69" s="140">
        <f ca="1">SUMIFS(RZ[Úroveň 3 (P6)],RZ[0],AX69,RZ[Úroveň 2 (P0)],AY69,RZ[Úroveň 3 (P0)],AZ69)</f>
        <v>0.14000000000000001</v>
      </c>
      <c r="GC69" s="140">
        <f ca="1">SUMIFS(RZ[Úroveň 4 (P6)],RZ[0],AX69,RZ[Úroveň 2 (P0)],AY69,RZ[Úroveň 3 (P0)],AZ69,RZ[Úroveň 4 (P0)],BA69)</f>
        <v>0</v>
      </c>
      <c r="GD69" s="140">
        <f ca="1">SUMIFS(RZ[Úroveň 5 (P6)],RZ[0],AX69,RZ[Úroveň 2 (P0)],AY69,RZ[Úroveň 3 (P0)],AZ69,RZ[Úroveň 4 (P0)],BA69,RZ[Úroveň 5 (P0)],BB69)</f>
        <v>0</v>
      </c>
      <c r="GE69" s="140">
        <f ca="1">SUMIFS(RZ[Úroveň 6 (P6)],RZ[0],AX69,RZ[Úroveň 2 (P0)],AY69,RZ[Úroveň 3 (P0)],AZ69,RZ[Úroveň 4 (P0)],BA69,RZ[Úroveň 5 (P0)],BB69,RZ[Úroveň 6 (P0)],BC69)</f>
        <v>0</v>
      </c>
      <c r="GF69" s="140">
        <f ca="1">SUMIFS(RZ[Úroveň 7 (P6)],RZ[0],AX69,RZ[Úroveň 2 (P0)],AY69,RZ[Úroveň 3 (P0)],AZ69,RZ[Úroveň 4 (P0)],BA69,RZ[Úroveň 5 (P0)],BB69,RZ[Úroveň 6 (P0)],BC69,RZ[Úroveň 7 (P0)],BD69)</f>
        <v>0</v>
      </c>
      <c r="GG69" s="140">
        <f ca="1">SUMIFS(RZ[Úroveň 8 (P6)],RZ[0],AX69,RZ[Úroveň 2 (P0)],AY69,RZ[Úroveň 3 (P0)],AZ69,RZ[Úroveň 4 (P0)],BA69,RZ[Úroveň 5 (P0)],BB69,RZ[Úroveň 6 (P0)],BC69,RZ[Úroveň 7 (P0)],BD69,RZ[Úroveň 8 (P0)],BE69)</f>
        <v>0</v>
      </c>
      <c r="GH69" s="140">
        <f ca="1">SUMIFS(RZ[Úroveň 9 (P6)],RZ[0],AX69,RZ[Úroveň 2 (P0)],AY69,RZ[Úroveň 3 (P0)],AZ69,RZ[Úroveň 4 (P0)],BA69,RZ[Úroveň 5 (P0)],BB69,RZ[Úroveň 6 (P0)],BC69,RZ[Úroveň 7 (P0)],BD69,RZ[Úroveň 8 (P0)],BE69,RZ[Úroveň 9 (P0)],BF69)</f>
        <v>0</v>
      </c>
      <c r="GI69" s="140">
        <f ca="1">SUMIFS(RZ[Úroveň 10 (P6)],RZ[0],AX69,RZ[Úroveň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GJ69" s="918">
        <f t="shared" ca="1" si="432"/>
        <v>0.28000000000000003</v>
      </c>
      <c r="GK69" s="808">
        <f t="shared" si="433"/>
        <v>0</v>
      </c>
      <c r="GL69" s="808">
        <f t="shared" si="434"/>
        <v>0</v>
      </c>
      <c r="GM69" s="808">
        <f t="shared" si="435"/>
        <v>1</v>
      </c>
      <c r="GN69" s="808">
        <f t="shared" si="436"/>
        <v>0</v>
      </c>
      <c r="GO69" s="808">
        <f t="shared" si="437"/>
        <v>0</v>
      </c>
      <c r="GP69" s="808">
        <f t="shared" si="438"/>
        <v>0</v>
      </c>
      <c r="GQ69" s="808">
        <f t="shared" si="439"/>
        <v>0</v>
      </c>
      <c r="GR69" s="808">
        <f t="shared" si="440"/>
        <v>0</v>
      </c>
      <c r="GS69" s="808">
        <f t="shared" si="441"/>
        <v>0</v>
      </c>
      <c r="GT69" s="808">
        <f t="shared" si="442"/>
        <v>0</v>
      </c>
      <c r="GU69" s="809">
        <f ca="1">SUMIFS(RZ[Sloupec1],RZ[0],AX69)</f>
        <v>1</v>
      </c>
      <c r="GV69" s="809">
        <f ca="1">SUMIFS(RZ[Sloupec2],RZ[0],AX69,RZ[Úroveň 2 (P0)],AY69)</f>
        <v>1</v>
      </c>
      <c r="GW69" s="809">
        <f ca="1">SUMIFS(RZ[Sloupec3],RZ[0],AX69,RZ[Úroveň 2 (P0)],AY69,RZ[Úroveň 3 (P0)],AZ69)</f>
        <v>1</v>
      </c>
      <c r="GX69" s="809">
        <f ca="1">SUMIFS(RZ[Sloupec4],RZ[0],AX69,RZ[Úroveň 2 (P0)],AY69,RZ[Úroveň 3 (P0)],AZ69,RZ[Úroveň 4 (P0)],BA69)</f>
        <v>0</v>
      </c>
      <c r="GY69" s="809">
        <f ca="1">SUMIFS(RZ[Sloupec5],RZ[0],AX69,RZ[Úroveň 2 (P0)],AY69,RZ[Úroveň 3 (P0)],AZ69,RZ[Úroveň 4 (P0)],BA69,RZ[Úroveň 5 (P0)],BB69)</f>
        <v>0</v>
      </c>
      <c r="GZ69" s="809">
        <f ca="1">SUMIFS(RZ[Sloupec6],RZ[0],AX69,RZ[Úroveň 2 (P0)],AY69,RZ[Úroveň 3 (P0)],AZ69,RZ[Úroveň 4 (P0)],BA69,RZ[Úroveň 5 (P0)],BB69,RZ[Úroveň 6 (P0)],BC69)</f>
        <v>0</v>
      </c>
      <c r="HA69" s="809">
        <f ca="1">SUMIFS(RZ[Sloupec62],RZ[0],AX69,RZ[Úroveň 2 (P0)],AY69,RZ[Úroveň 3 (P0)],AZ69,RZ[Úroveň 4 (P0)],BA69,RZ[Úroveň 5 (P0)],BB69,RZ[Úroveň 6 (P0)],BC69,RZ[Úroveň 7 (P0)],BD69)</f>
        <v>0</v>
      </c>
      <c r="HB69" s="809">
        <f ca="1">SUMIFS(RZ[Sloupec63],RZ[0],AX69,RZ[Úroveň 2 (P0)],AY69,RZ[Úroveň 3 (P0)],AZ69,RZ[Úroveň 4 (P0)],BA69,RZ[Úroveň 5 (P0)],BB69,RZ[Úroveň 6 (P0)],BC69,RZ[Úroveň 7 (P0)],BD69,RZ[Úroveň 8 (P0)],BE69)</f>
        <v>0</v>
      </c>
      <c r="HC69" s="809">
        <f ca="1">SUMIFS(RZ[Sloupec64],RZ[0],AX69,RZ[Úroveň 2 (P0)],AY69,RZ[Úroveň 3 (P0)],AZ69,RZ[Úroveň 4 (P0)],BA69,RZ[Úroveň 5 (P0)],BB69,RZ[Úroveň 6 (P0)],BC69,RZ[Úroveň 7 (P0)],BD69,RZ[Úroveň 8 (P0)],BE69,RZ[Úroveň 9 (P0)],BF69)</f>
        <v>0</v>
      </c>
      <c r="HD69" s="809">
        <f ca="1">SUMIFS(RZ[Sloupec65],RZ[0],AX69,RZ[Úroveň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HE69" s="919">
        <f t="shared" ca="1" si="443"/>
        <v>1</v>
      </c>
      <c r="HF69" s="920" t="str">
        <f t="shared" si="444"/>
        <v/>
      </c>
      <c r="HG69" s="94" t="str">
        <f t="shared" si="445"/>
        <v/>
      </c>
      <c r="HH69" s="95" t="str">
        <f t="shared" si="446"/>
        <v/>
      </c>
      <c r="HI69" s="95" t="str">
        <f t="shared" si="447"/>
        <v>Šroubení</v>
      </c>
      <c r="HJ69" s="96" t="str">
        <f t="shared" si="448"/>
        <v/>
      </c>
      <c r="HK69" s="96" t="str">
        <f t="shared" si="449"/>
        <v/>
      </c>
      <c r="HL69" s="96" t="str">
        <f t="shared" si="450"/>
        <v/>
      </c>
      <c r="HM69" s="96" t="str">
        <f t="shared" si="451"/>
        <v/>
      </c>
      <c r="HN69" s="96" t="str">
        <f t="shared" si="452"/>
        <v/>
      </c>
      <c r="HO69" s="96" t="str">
        <f t="shared" si="453"/>
        <v/>
      </c>
      <c r="HP69" s="96" t="str">
        <f t="shared" si="454"/>
        <v/>
      </c>
      <c r="HQ69" s="145" t="str">
        <f t="shared" si="455"/>
        <v>STSM</v>
      </c>
      <c r="HR69" s="921" t="str">
        <f t="shared" si="456"/>
        <v/>
      </c>
      <c r="HS69" s="173">
        <f t="shared" si="457"/>
        <v>0</v>
      </c>
      <c r="HT69" s="100">
        <f t="shared" si="458"/>
        <v>0</v>
      </c>
      <c r="HU69" s="100">
        <f t="shared" si="459"/>
        <v>0</v>
      </c>
      <c r="HV69" s="908">
        <f t="shared" si="460"/>
        <v>0</v>
      </c>
      <c r="HW69" s="922">
        <f t="shared" si="461"/>
        <v>0</v>
      </c>
      <c r="HX69" s="224">
        <f t="shared" si="462"/>
        <v>0</v>
      </c>
      <c r="HY69" s="263" t="str">
        <f t="shared" si="463"/>
        <v>S</v>
      </c>
      <c r="HZ69" s="263">
        <f t="shared" si="464"/>
        <v>0</v>
      </c>
      <c r="IA69" s="150">
        <f t="shared" si="465"/>
        <v>1</v>
      </c>
      <c r="IB69" s="319">
        <f t="shared" si="466"/>
        <v>0</v>
      </c>
      <c r="IC69" s="923">
        <f t="shared" si="467"/>
        <v>0</v>
      </c>
      <c r="ID69" s="924" t="str">
        <f t="shared" ca="1" si="468"/>
        <v>OK</v>
      </c>
      <c r="IE69" s="201" t="str">
        <f t="shared" si="469"/>
        <v>ks</v>
      </c>
      <c r="IF69" s="145">
        <f t="shared" si="470"/>
        <v>2</v>
      </c>
      <c r="IG69" s="216">
        <f t="shared" si="471"/>
        <v>7.0000000000000007E-2</v>
      </c>
      <c r="IH69" s="217">
        <f t="shared" si="472"/>
        <v>1</v>
      </c>
      <c r="II69" s="224" t="str">
        <f ca="1">IF(RZ[[#This Row],[Rozhodný sloupec indikativní ceny]]=1,"kg",IF($IW69=$JL$15,IF(JX69=0,JO69,JX69),IF($IW69=$KE$15,IF(KQ69=0,KH69,KQ69),IF($IW69=$KX$15,IF(LJ69=0,LA69,LJ69),IF($IW69=$LQ$15,IF(MC69=0,LT69,MC69),IF($IW69=$MJ$15,IF(NQ69=0,NH69,NQ69),0))))))</f>
        <v>kg</v>
      </c>
      <c r="IJ69" s="224">
        <f ca="1">IF((BH69+OFFSET(BH69,1,1,1,1))=2,RZ[[#This Row],[Počet MJHR (P0)]],IF((BI69+OFFSET(BI69,1,1,1,1))=2,RZ[[#This Row],[Počet MJHR (P0)]],IF((BJ69+OFFSET(BJ69,1,1,1,1))=2,RZ[[#This Row],[Počet MJHR (P0)]],IF((BK69+OFFSET(BK69,1,1,1,1))=2,RZ[[#This Row],[Počet MJHR (P0)]],IF((BL69+OFFSET(BL69,1,1,1,1))=2,RZ[[#This Row],[Počet MJHR (P0)]],IF((BM69+OFFSET(BM69,1,1,1,1))=2,RZ[[#This Row],[Počet MJHR (P0)]],IF((BN69+OFFSET(BN69,1,1,1,1))=2,RZ[[#This Row],[Počet MJHR (P0)]],IF((BO69+OFFSET(BO69,1,1,1,1))=2,RZ[[#This Row],[Počet MJHR (P0)]],IF((BP69+OFFSET(BP69,1,1,1,1))=2,RZ[[#This Row],[Počet MJHR (P0)]],IF((BQ69+OFFSET(BQ69,1,1,1,1))=2,RZ[[#This Row],[Počet MJHR (P0)]],IF(RZ[[#This Row],[Měrná jednotka CR (MJCR) (P0)]]=RZ[[#This Row],[Měrná jednotka HR '[MJHR'] (P0)]],RZ[[#This Row],[Počet MJHR (P0)]],IF($IW69=$JL$15,JY69,IF($IW69=$KE$15,KR69,IF($IW69=$KX$15,LK69,IF($IW69=$LQ$15,MD69,IF($IW69=$MJ$15,NR69,0))))))))))))))))</f>
        <v>0</v>
      </c>
      <c r="IK6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69" s="145">
        <f ca="1">IF(AND(RZ[[#This Row],[Jednotková cena bez DPH '[cena/MJCR'] (P0)]]=0,RZ[[#This Row],[Indikativní jednotková cena '[CZK/kg'] (P1)]]&lt;&gt;0),1,0)</f>
        <v>1</v>
      </c>
      <c r="IM69" s="217">
        <f ca="1">VLOOKUP(RZ[[#This Row],[Kód položek]],INDIKAT_CENA,2,FALSE)</f>
        <v>110</v>
      </c>
      <c r="IN69" s="222">
        <f ca="1">IF(RZ[[#This Row],[Rozhodný sloupec indikativní ceny]]=1,RZ[[#This Row],[Indikativní jednotková cena '[CZK/kg'] (P1)]],RZ[[#This Row],[Jednotková cena bez DPH '[cena/MJCR'] (P0)]])</f>
        <v>110</v>
      </c>
      <c r="IO69" s="222">
        <f t="shared" si="473"/>
        <v>1</v>
      </c>
      <c r="IP69" s="224">
        <f ca="1">IF(RZ[[#This Row],[Rozhodný sloupec indikativní ceny]]=1,1,IF($IW69=$JL$15,KA69,IF($IW69=$KE$15,KT69,IF($IW69=$KX$15,LM69,IF($IW69=$LQ$15,MF69,IF($IW69=$MJ$15,NT69,0))))))</f>
        <v>1</v>
      </c>
      <c r="IQ69" s="225">
        <f ca="1">IF(RZ[[#This Row],[Jednotková cena bez DPH '[cena/MJCR'] (P1)]]="",0,IF(IP69=0,0,(RZ[[#This Row],[Jednotková cena bez DPH '[cena/MJCR'] (P1)]]*VLOOKUP(IP69,$BR$7:$BT$10,3))))</f>
        <v>110</v>
      </c>
      <c r="IR69" s="737"/>
      <c r="IS69" s="627">
        <f>IF(HY69=0,"",VLOOKUP(RZ[[#This Row],[Stav Projekce (P0)]],Vstupy!$E$11:'Vstupy'!$E$11:$H$17,4,FALSE))</f>
        <v>100</v>
      </c>
      <c r="IT69" s="925" t="str">
        <f>IF(RZ[[#This Row],[Stav Projekce (P0)]]=0,"",RZ[[#This Row],[Stav Projekce (P0)]])</f>
        <v>S</v>
      </c>
      <c r="IU69" s="925" t="str">
        <f>IF(RZ[[#This Row],[Stav Nákup (P0)]]=0,"",RZ[[#This Row],[Stav Nákup (P0)]])</f>
        <v/>
      </c>
      <c r="IV69" s="926" t="str">
        <f t="shared" si="474"/>
        <v/>
      </c>
      <c r="IW69" s="641">
        <v>1</v>
      </c>
      <c r="IX69" s="630"/>
      <c r="IY69" s="264"/>
      <c r="IZ69" s="648"/>
      <c r="JA69" s="100"/>
      <c r="JB69" s="100" t="s">
        <v>794</v>
      </c>
      <c r="JC69" s="100"/>
      <c r="JD69" s="100"/>
      <c r="JE69" s="100"/>
      <c r="JF69" s="100"/>
      <c r="JG69" s="100"/>
      <c r="JH69" s="100"/>
      <c r="JI69" s="100"/>
      <c r="JJ69" s="145" t="s">
        <v>766</v>
      </c>
      <c r="JK69" s="529"/>
      <c r="JL69" s="286"/>
      <c r="JM69" s="100"/>
      <c r="JN69" s="100"/>
      <c r="JO69" s="145" t="s">
        <v>35</v>
      </c>
      <c r="JP69" s="117">
        <v>2</v>
      </c>
      <c r="JQ69" s="117">
        <v>7.0000000000000007E-2</v>
      </c>
      <c r="JR69" s="148">
        <v>1</v>
      </c>
      <c r="JS69" s="145" t="s">
        <v>602</v>
      </c>
      <c r="JT69" s="631"/>
      <c r="JU69" s="148"/>
      <c r="JV69" s="154"/>
      <c r="JW69" s="145"/>
      <c r="JX69" s="210"/>
      <c r="JY69" s="117"/>
      <c r="JZ69" s="662"/>
      <c r="KA69" s="145"/>
      <c r="KB69" s="148"/>
      <c r="KC69" s="148"/>
      <c r="KD69" s="644"/>
      <c r="KE69" s="286"/>
      <c r="KF69" s="100"/>
      <c r="KG69" s="100"/>
      <c r="KH69" s="210"/>
      <c r="KI69" s="117"/>
      <c r="KJ69" s="117"/>
      <c r="KK69" s="148"/>
      <c r="KL69" s="145"/>
      <c r="KM69" s="632"/>
      <c r="KN69" s="148"/>
      <c r="KO69" s="154"/>
      <c r="KP69" s="154"/>
      <c r="KQ69" s="210"/>
      <c r="KR69" s="117"/>
      <c r="KS69" s="211"/>
      <c r="KT69" s="145"/>
      <c r="KU69" s="148"/>
      <c r="KV69" s="148"/>
      <c r="KW69" s="265"/>
      <c r="KX69" s="286"/>
      <c r="KY69" s="100"/>
      <c r="KZ69" s="100"/>
      <c r="LA69" s="210"/>
      <c r="LB69" s="117"/>
      <c r="LC69" s="117"/>
      <c r="LD69" s="148"/>
      <c r="LE69" s="145"/>
      <c r="LF69" s="632"/>
      <c r="LG69" s="148"/>
      <c r="LH69" s="154"/>
      <c r="LI69" s="154"/>
      <c r="LJ69" s="154"/>
      <c r="LK69" s="117"/>
      <c r="LL69" s="211"/>
      <c r="LM69" s="210"/>
      <c r="LN69" s="148"/>
      <c r="LO69" s="148"/>
      <c r="LP69" s="265"/>
      <c r="LQ69" s="286"/>
      <c r="LR69" s="100"/>
      <c r="LS69" s="100"/>
      <c r="LT69" s="210"/>
      <c r="LU69" s="117"/>
      <c r="LV69" s="117"/>
      <c r="LW69" s="148"/>
      <c r="LX69" s="145"/>
      <c r="LY69" s="632"/>
      <c r="LZ69" s="148"/>
      <c r="MA69" s="154"/>
      <c r="MB69" s="154"/>
      <c r="MC69" s="145"/>
      <c r="MD69" s="117"/>
      <c r="ME69" s="211"/>
      <c r="MF69" s="210"/>
      <c r="MG69" s="148"/>
      <c r="MH69" s="148"/>
      <c r="MI69" s="265"/>
      <c r="MJ69" s="647"/>
      <c r="MK69" s="264"/>
      <c r="ML69" s="153"/>
      <c r="MM69" s="153"/>
      <c r="MN69" s="153"/>
      <c r="MO69" s="153"/>
      <c r="MP69" s="153"/>
      <c r="MQ69" s="153"/>
      <c r="MR69" s="153"/>
      <c r="MS69" s="99"/>
      <c r="MT69" s="99"/>
      <c r="MU69" s="99"/>
      <c r="MV69" s="99"/>
      <c r="MW69" s="99"/>
      <c r="MX69" s="99"/>
      <c r="MY69" s="153"/>
      <c r="MZ69" s="153"/>
      <c r="NA69" s="153"/>
      <c r="NB69" s="153"/>
      <c r="NC69" s="153"/>
      <c r="ND69" s="153"/>
      <c r="NE69" s="148"/>
      <c r="NF69" s="153"/>
      <c r="NG69" s="153"/>
      <c r="NH69" s="330" t="str">
        <f t="shared" si="475"/>
        <v>ks</v>
      </c>
      <c r="NI69" s="797">
        <f>RZ[[#This Row],[Počet ks (K)]]</f>
        <v>0</v>
      </c>
      <c r="NJ69" s="798">
        <f>RZ[[#This Row],[Hmotnost '[kg/ks'] (K)]]</f>
        <v>0</v>
      </c>
      <c r="NK69" s="148"/>
      <c r="NL69" s="145"/>
      <c r="NM69" s="632"/>
      <c r="NN69" s="148"/>
      <c r="NO69" s="154"/>
      <c r="NP69" s="153"/>
      <c r="NQ69" s="153"/>
      <c r="NR69" s="210"/>
      <c r="NS69" s="148"/>
      <c r="NT69" s="210"/>
      <c r="NU69" s="148"/>
      <c r="NV69" s="148"/>
      <c r="NW69" s="175"/>
    </row>
    <row r="70" spans="2:387" ht="15.95" customHeight="1" x14ac:dyDescent="0.35">
      <c r="B70" s="118" t="str">
        <f t="shared" si="359"/>
        <v/>
      </c>
      <c r="C7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0" s="262" t="str">
        <f t="shared" si="360"/>
        <v xml:space="preserve">    Kryt</v>
      </c>
      <c r="E70" s="120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Row],[Kód položek (P2)]]))))))))))</f>
        <v>OKS2</v>
      </c>
      <c r="F70" s="791" t="str">
        <f t="shared" si="361"/>
        <v>N/A</v>
      </c>
      <c r="G70" s="792" t="str">
        <f t="shared" si="362"/>
        <v/>
      </c>
      <c r="H70" s="262" t="str">
        <f t="shared" si="363"/>
        <v/>
      </c>
      <c r="I70" s="123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HR '[MJHR'] (P0)]]))))))))))</f>
        <v>ks</v>
      </c>
      <c r="J70" s="123">
        <f t="shared" si="364"/>
        <v>1</v>
      </c>
      <c r="K70" s="793">
        <f>RZ[[#This Row],[Koeficient odhadu HR '[-'] (P1)]]</f>
        <v>1</v>
      </c>
      <c r="L70" s="124">
        <f ca="1">RZ[[#This Row],[Jednotková hmotnost s koef. '[kg/MJHR'] (P0)]]</f>
        <v>154.1</v>
      </c>
      <c r="M70" s="794">
        <f t="shared" ca="1" si="365"/>
        <v>0</v>
      </c>
      <c r="N70" s="125">
        <f t="shared" ca="1" si="366"/>
        <v>154.1</v>
      </c>
      <c r="O70" s="125">
        <f t="shared" ca="1" si="367"/>
        <v>0</v>
      </c>
      <c r="P70" s="126" t="str">
        <f t="shared" si="368"/>
        <v/>
      </c>
      <c r="Q70" s="795">
        <f ca="1">RZ[[#This Row],[Počet MJHR v rozpadu (P0)]]</f>
        <v>2</v>
      </c>
      <c r="R70" s="439" t="str">
        <f t="shared" si="369"/>
        <v/>
      </c>
      <c r="S70" s="129" t="str">
        <f t="shared" si="370"/>
        <v/>
      </c>
      <c r="T70" s="126" t="str">
        <f t="shared" si="371"/>
        <v/>
      </c>
      <c r="U70" s="126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CR (MJCR) (P0)]]))))))))))</f>
        <v>kg</v>
      </c>
      <c r="V70" s="575">
        <f t="shared" ca="1" si="372"/>
        <v>154.1</v>
      </c>
      <c r="W70" s="322">
        <f>RZ[[#This Row],[Koeficient odhadu CR '[-'] (P1)]]</f>
        <v>1</v>
      </c>
      <c r="X70" s="440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Row],[Jednotková cena bez DPH '[cena/MJCR'] (P1)]]*RZ[[#This Row],[Koeficient odhadu CR '[-']]]))))))))))</f>
        <v>110</v>
      </c>
      <c r="Y70" s="440">
        <f t="shared" ca="1" si="373"/>
        <v>0</v>
      </c>
      <c r="Z70" s="142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VLOOKUP(IP70,$BR$7:$BS$11,2,FALSE)))))))))))</f>
        <v>CZK</v>
      </c>
      <c r="AA70" s="909">
        <f t="shared" ca="1" si="374"/>
        <v>308.2</v>
      </c>
      <c r="AB70" s="910">
        <f ca="1">RZ[[#This Row],[Kumulovaný koeficient v rozpadu (P0)]]</f>
        <v>1</v>
      </c>
      <c r="AC70" s="261"/>
      <c r="AD70" s="796">
        <f ca="1">RZ[[#This Row],[Jednotková cena bez DPH '[cena/MJCR'] s koef. (P0)]]/RZ[[#This Row],[Koeficient odhadu CR '[-']]]*RZ[[#This Row],[Kumulovaný koeficient odhadu CR  '[-']]]</f>
        <v>110</v>
      </c>
      <c r="AE70" s="796">
        <f t="shared" ca="1" si="375"/>
        <v>33902</v>
      </c>
      <c r="AF70" s="796">
        <f ca="1">-IF(ISNUMBER(AA70),RZ[[#This Row],[Celková cena bez DPH (1)]]-RZ[[#This Row],[Jednotková cena bez DPH '[cena/MJCR'] bez koef. (P0)]]*AA70,0)</f>
        <v>0</v>
      </c>
      <c r="AG7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0" s="261"/>
      <c r="AI70" s="796">
        <f t="shared" ca="1" si="376"/>
        <v>4.0740740740740744</v>
      </c>
      <c r="AJ70" s="796">
        <f t="shared" ca="1" si="377"/>
        <v>1255.6296296296296</v>
      </c>
      <c r="AK70" s="796">
        <f t="shared" ca="1" si="378"/>
        <v>0</v>
      </c>
      <c r="AL70" s="753">
        <f ca="1">RZ[[#This Row],[Kilogramová cena bez DPH '[cena/kg'] (1)]]/$AK$13</f>
        <v>4.0740740740740744</v>
      </c>
      <c r="AM70" s="261"/>
      <c r="AN70" s="796">
        <f t="shared" ca="1" si="379"/>
        <v>5.3140096618357493</v>
      </c>
      <c r="AO70" s="796">
        <f t="shared" ca="1" si="380"/>
        <v>1637.7777777777778</v>
      </c>
      <c r="AP70" s="796">
        <f t="shared" ca="1" si="381"/>
        <v>0</v>
      </c>
      <c r="AQ70" s="753">
        <f ca="1">RZ[[#This Row],[Kilogramová cena bez DPH '[cena/kg'] (1)]]/$AP$13</f>
        <v>5.3140096618357493</v>
      </c>
      <c r="AR70" s="261"/>
      <c r="AS70" s="796">
        <f t="shared" ca="1" si="382"/>
        <v>3.0087527352297592</v>
      </c>
      <c r="AT70" s="796">
        <f t="shared" ca="1" si="383"/>
        <v>927.29759299781176</v>
      </c>
      <c r="AU70" s="789">
        <f t="shared" ca="1" si="384"/>
        <v>0</v>
      </c>
      <c r="AV70" s="767">
        <f ca="1">RZ[[#This Row],[Kilogramová cena bez DPH '[cena/kg'] (1)]]/$AU$13</f>
        <v>3.0087527352297592</v>
      </c>
      <c r="AW70" s="165"/>
      <c r="AX70" s="911">
        <f t="shared" ca="1" si="385"/>
        <v>2</v>
      </c>
      <c r="AY70" s="111">
        <f t="shared" ca="1" si="386"/>
        <v>2</v>
      </c>
      <c r="AZ70" s="111">
        <f t="shared" ca="1" si="387"/>
        <v>15</v>
      </c>
      <c r="BA70" s="111">
        <f t="shared" ca="1" si="388"/>
        <v>0</v>
      </c>
      <c r="BB70" s="111">
        <f t="shared" ca="1" si="389"/>
        <v>0</v>
      </c>
      <c r="BC70" s="111">
        <f t="shared" ca="1" si="390"/>
        <v>0</v>
      </c>
      <c r="BD70" s="111">
        <f t="shared" ca="1" si="391"/>
        <v>0</v>
      </c>
      <c r="BE70" s="111">
        <f t="shared" ca="1" si="392"/>
        <v>0</v>
      </c>
      <c r="BF70" s="111">
        <f t="shared" ca="1" si="393"/>
        <v>0</v>
      </c>
      <c r="BG70" s="112">
        <f t="shared" ca="1" si="394"/>
        <v>0</v>
      </c>
      <c r="BH70" s="911">
        <f t="shared" si="395"/>
        <v>0</v>
      </c>
      <c r="BI70" s="111">
        <f t="shared" si="396"/>
        <v>0</v>
      </c>
      <c r="BJ70" s="111">
        <f t="shared" si="397"/>
        <v>1</v>
      </c>
      <c r="BK70" s="111">
        <f t="shared" si="398"/>
        <v>0</v>
      </c>
      <c r="BL70" s="111">
        <f t="shared" si="399"/>
        <v>0</v>
      </c>
      <c r="BM70" s="111">
        <f t="shared" si="400"/>
        <v>0</v>
      </c>
      <c r="BN70" s="111">
        <f t="shared" si="401"/>
        <v>0</v>
      </c>
      <c r="BO70" s="111">
        <f t="shared" si="402"/>
        <v>0</v>
      </c>
      <c r="BP70" s="111">
        <f t="shared" si="403"/>
        <v>0</v>
      </c>
      <c r="BQ70" s="112">
        <f t="shared" si="404"/>
        <v>0</v>
      </c>
      <c r="BR70" s="132">
        <f ca="1">IF(OFFSET(AY70,1,0,1,1)&lt;&gt;0,RZ[[#This Row],[Koeficient odhadu HR '[-'] (P1)]]*$BH70*SUMIFS(RZ[Úroveň 2 s koef. (P2)],RZ[0],AX70),RZ[[#This Row],[Koeficient odhadu HR '[-'] (P1)]]*$BH70*$IG70)</f>
        <v>0</v>
      </c>
      <c r="BS70" s="186">
        <f ca="1">IF(OFFSET(AY70,1,0,1,1)&lt;&gt;0,$BH70*SUMIFS(RZ[Úroveň 2 bez koef. (P2)],RZ[0],AX70),$BH70*$IG70)</f>
        <v>0</v>
      </c>
      <c r="BT70" s="138">
        <f ca="1">RZ[[#This Row],[Úroveň 2 s koef. (P2a)]]*RZ[[#This Row],[Počet MJHR (P0)]]</f>
        <v>0</v>
      </c>
      <c r="BU70" s="138">
        <f ca="1">RZ[[#This Row],[Úroveň 2 bez koef. (P2a)]]*RZ[[#This Row],[Počet MJHR (P0)]]</f>
        <v>0</v>
      </c>
      <c r="BV70" s="138">
        <f ca="1">IF(OFFSET(AZ70,1,0,1,1)&lt;&gt;0,RZ[[#This Row],[Koeficient odhadu HR '[-'] (P1)]]*$BI70*SUMIFS(RZ[Úroveň 3 s koef. (P2)],RZ[0],AX70,RZ[Úroveň 2 (P0)],AY70),RZ[[#This Row],[Koeficient odhadu HR '[-'] (P1)]]*$BI70*$IG70)</f>
        <v>0</v>
      </c>
      <c r="BW70" s="138">
        <f ca="1">IF(OFFSET(AZ70,1,0,1,1)&lt;&gt;0,$BI70*SUMIFS(RZ[Úroveň 3 bez koef. (P2)],RZ[0],AX70,RZ[Úroveň 2 (P0)],AY70),$BI70*$IG70)</f>
        <v>0</v>
      </c>
      <c r="BX70" s="132">
        <f ca="1">RZ[[#This Row],[Úroveň 3 s koef. (P2a)]]*RZ[[#This Row],[Počet MJHR (P0)]]</f>
        <v>154.1</v>
      </c>
      <c r="BY70" s="132">
        <f ca="1">RZ[Úroveň 3 bez koef. (P2a)]*RZ[[#This Row],[Počet MJHR (P0)]]</f>
        <v>154.1</v>
      </c>
      <c r="BZ70" s="132">
        <f ca="1">IF(OFFSET(BA70,1,0,1,1)&lt;&gt;0,RZ[[#This Row],[Koeficient odhadu HR '[-'] (P1)]]*$BJ70*SUMIFS(RZ[Úroveň 4 s koef. (P2)],RZ[0],AX70,RZ[Úroveň 2 (P0)],AY70,RZ[Úroveň 3 (P0)],AZ70),RZ[[#This Row],[Koeficient odhadu HR '[-'] (P1)]]*$BJ70*$IG70)</f>
        <v>154.1</v>
      </c>
      <c r="CA70" s="132">
        <f ca="1">IF(OFFSET(BA70,1,0,1,1)&lt;&gt;0,$BJ70*SUMIFS(RZ[Úroveň 4 bez koef. (P2)],RZ[0],AX70,RZ[Úroveň 2 (P0)],AY70,RZ[Úroveň 3 (P0)],AZ70),$BJ70*$IG70)</f>
        <v>154.1</v>
      </c>
      <c r="CB70" s="138">
        <f ca="1">RZ[[#This Row],[Úroveň 4 s koef. (P2a)]]*RZ[[#This Row],[Počet MJHR (P0)]]</f>
        <v>0</v>
      </c>
      <c r="CC70" s="138">
        <f ca="1">RZ[Úroveň 4 bez koef. (P2a)]*RZ[[#This Row],[Počet MJHR (P0)]]</f>
        <v>0</v>
      </c>
      <c r="CD70" s="138">
        <f ca="1">IF(OFFSET(BB70,1,0,1,1)&lt;&gt;0,RZ[[#This Row],[Koeficient odhadu HR '[-'] (P1)]]*$BK70*SUMIFS(RZ[Úroveň 5 s koef. (P2)],RZ[0],AX70,RZ[Úroveň 2 (P0)],AY70,RZ[Úroveň 3 (P0)],AZ70,RZ[Úroveň 4 (P0)],BA70),RZ[[#This Row],[Koeficient odhadu HR '[-'] (P1)]]*$BK70*$IG70)</f>
        <v>0</v>
      </c>
      <c r="CE70" s="138">
        <f ca="1">IF(OFFSET(BB70,1,0,1,1)&lt;&gt;0,$BK70*SUMIFS(RZ[Úroveň 5 bez koef. (P2)],RZ[0],AX70,RZ[Úroveň 2 (P0)],AY70,RZ[Úroveň 3 (P0)],AZ70,RZ[Úroveň 4 (P0)],BA70),$BK70*$IG70)</f>
        <v>0</v>
      </c>
      <c r="CF70" s="132">
        <f ca="1">RZ[[#This Row],[Úroveň 5 s koef. (P2a)]]*RZ[[#This Row],[Počet MJHR (P0)]]</f>
        <v>0</v>
      </c>
      <c r="CG70" s="132">
        <f ca="1">RZ[Úroveň 5 bez koef. (P2a)]*RZ[[#This Row],[Počet MJHR (P0)]]</f>
        <v>0</v>
      </c>
      <c r="CH70" s="132">
        <f ca="1">IF(OFFSET(BC70,1,0,1,1)&lt;&gt;0,RZ[[#This Row],[Koeficient odhadu HR '[-'] (P1)]]*$BL70*SUMIFS(RZ[Úroveň 6 s koef. (P2)],RZ[0],AX70,RZ[Úroveň 2 (P0)],AY70,RZ[Úroveň 3 (P0)],AZ70,RZ[Úroveň 4 (P0)],BA70,RZ[Úroveň 5 (P0)],BB70),RZ[[#This Row],[Koeficient odhadu HR '[-'] (P1)]]*$BL70*$IG70)</f>
        <v>0</v>
      </c>
      <c r="CI70" s="132">
        <f ca="1">IF(OFFSET(BC70,1,0,1,1)&lt;&gt;0,$BL70*SUMIFS(RZ[Úroveň 6 bez koef. (P2)],RZ[0],AX70,RZ[Úroveň 2 (P0)],AY70,RZ[Úroveň 3 (P0)],AZ70,RZ[Úroveň 4 (P0)],BA70,RZ[Úroveň 5 (P0)],BB70),$BL70*$IG70)</f>
        <v>0</v>
      </c>
      <c r="CJ70" s="138">
        <f ca="1">RZ[[#This Row],[Úroveň 6 s koef. (P2a)]]*RZ[[#This Row],[Počet MJHR (P0)]]</f>
        <v>0</v>
      </c>
      <c r="CK70" s="138">
        <f ca="1">RZ[Úroveň 6 bez koef. (P2a)]*RZ[[#This Row],[Počet MJHR (P0)]]</f>
        <v>0</v>
      </c>
      <c r="CL70" s="138">
        <f ca="1">IF(OFFSET(BD70,1,0,1,1)&lt;&gt;0,RZ[[#This Row],[Koeficient odhadu HR '[-'] (P1)]]*$BM70*SUMIFS(RZ[Úroveň 7 s koef. (P2)],RZ[0],AX70,RZ[Úroveň 2 (P0)],AY70,RZ[Úroveň 3 (P0)],AZ70,RZ[Úroveň 4 (P0)],BA70,RZ[Úroveň 5 (P0)],BB70,RZ[Úroveň 6 (P0)],BC70),RZ[[#This Row],[Koeficient odhadu HR '[-'] (P1)]]*$BM70*$IG70)</f>
        <v>0</v>
      </c>
      <c r="CM70" s="138">
        <f ca="1">IF(OFFSET(BD70,1,0,1,1)&lt;&gt;0,$BM70*SUMIFS(RZ[Úroveň 7 bez koef. (P2)],RZ[0],AX70,RZ[Úroveň 2 (P0)],AY70,RZ[Úroveň 3 (P0)],AZ70,RZ[Úroveň 4 (P0)],BA70,RZ[Úroveň 5 (P0)],BB70,RZ[Úroveň 6 (P0)],BC70),$BM70*$IG70)</f>
        <v>0</v>
      </c>
      <c r="CN70" s="132">
        <f ca="1">RZ[[#This Row],[Úroveň 7 s koef. (P2a)]]*RZ[[#This Row],[Počet MJHR (P0)]]</f>
        <v>0</v>
      </c>
      <c r="CO70" s="132">
        <f ca="1">RZ[Úroveň 7 bez koef. (P2a)]*RZ[[#This Row],[Počet MJHR (P0)]]</f>
        <v>0</v>
      </c>
      <c r="CP70" s="132">
        <f ca="1">IF(OFFSET(BE70,1,0,1,1)&lt;&gt;0,RZ[[#This Row],[Koeficient odhadu HR '[-'] (P1)]]*$BN70*SUMIFS(RZ[Úroveň 8 s koef. (P2)],RZ[0],AX70,RZ[Úroveň 2 (P0)],AY70,RZ[Úroveň 3 (P0)],AZ70,RZ[Úroveň 4 (P0)],BA70,RZ[Úroveň 5 (P0)],BB70,RZ[Úroveň 6 (P0)],BC70,RZ[Úroveň 7 (P0)],BD70),RZ[[#This Row],[Koeficient odhadu HR '[-'] (P1)]]*$BN70*$IG70)</f>
        <v>0</v>
      </c>
      <c r="CQ70" s="132">
        <f ca="1">IF(OFFSET(BE70,1,0,1,1)&lt;&gt;0,$BN70*SUMIFS(RZ[Úroveň 8 bez koef. (P2)],RZ[0],AX70,RZ[Úroveň 2 (P0)],AY70,RZ[Úroveň 3 (P0)],AZ70,RZ[Úroveň 4 (P0)],BA70,RZ[Úroveň 5 (P0)],BB70,RZ[Úroveň 6 (P0)],BC70,RZ[Úroveň 7 (P0)],BD70),$BN70*$IG70)</f>
        <v>0</v>
      </c>
      <c r="CR70" s="138">
        <f ca="1">RZ[[#This Row],[Úroveň 8 s koef. (P2a)]]*RZ[[#This Row],[Počet MJHR (P0)]]</f>
        <v>0</v>
      </c>
      <c r="CS70" s="138">
        <f ca="1">RZ[Úroveň 8 bez koef. (P2a)]*RZ[[#This Row],[Počet MJHR (P0)]]</f>
        <v>0</v>
      </c>
      <c r="CT70" s="138">
        <f ca="1">IF(OFFSET(BF70,1,0,1,1)&lt;&gt;0,RZ[[#This Row],[Koeficient odhadu HR '[-'] (P1)]]*$BO70*SUMIFS(RZ[Úroveň 9 s koef. (P2)],RZ[0],AX70,RZ[Úroveň 2 (P0)],AY70,RZ[Úroveň 3 (P0)],AZ70,RZ[Úroveň 4 (P0)],BA70,RZ[Úroveň 5 (P0)],BB70,RZ[Úroveň 6 (P0)],BC70,RZ[Úroveň 7 (P0)],BD70,RZ[Úroveň 8 (P0)],BE70),RZ[[#This Row],[Koeficient odhadu HR '[-'] (P1)]]*$BO70*$IG70)</f>
        <v>0</v>
      </c>
      <c r="CU70" s="138">
        <f ca="1">IF(OFFSET(BF70,1,0,1,1)&lt;&gt;0,$BO70*SUMIFS(RZ[Úroveň 9 bez koef. (P2)],RZ[0],AX70,RZ[Úroveň 2 (P0)],AY70,RZ[Úroveň 3 (P0)],AZ70,RZ[Úroveň 4 (P0)],BA70,RZ[Úroveň 5 (P0)],BB70,RZ[Úroveň 6 (P0)],BC70,RZ[Úroveň 7 (P0)],BD70,RZ[Úroveň 8 (P0)],BE70),$BO70*$IG70)</f>
        <v>0</v>
      </c>
      <c r="CV70" s="132">
        <f ca="1">RZ[[#This Row],[Úroveň 9 s koef. (P2a)]]*RZ[[#This Row],[Počet MJHR (P0)]]</f>
        <v>0</v>
      </c>
      <c r="CW70" s="132">
        <f ca="1">RZ[Úroveň 9 bez koef. (P2a)]*RZ[[#This Row],[Počet MJHR (P0)]]</f>
        <v>0</v>
      </c>
      <c r="CX70" s="132">
        <f ca="1">IF(OFFSET(BG70,1,0,1,1)&lt;&gt;0,RZ[[#This Row],[Koeficient odhadu HR '[-'] (P1)]]*$BP70*SUMIFS(RZ[Úroveň 10 s koef. (P2)],RZ[0],AX70,RZ[Úroveň 2 (P0)],AY70,RZ[Úroveň 3 (P0)],AZ70,RZ[Úroveň 4 (P0)],BA70,RZ[Úroveň 5 (P0)],BB70,RZ[Úroveň 6 (P0)],BC70,RZ[Úroveň 7 (P0)],BD70,RZ[Úroveň 8 (P0)],BE70,RZ[Úroveň 9 (P0)],BF70),RZ[[#This Row],[Koeficient odhadu HR '[-'] (P1)]]*$BP70*$IG70)</f>
        <v>0</v>
      </c>
      <c r="CY70" s="132">
        <f ca="1">IF(OFFSET(BG70,1,0,1,1)&lt;&gt;0,$BP70*SUMIFS(RZ[Úroveň 10 bez koef. (P2)],RZ[0],AX70,RZ[Úroveň 2 (P0)],AY70,RZ[Úroveň 3 (P0)],AZ70,RZ[Úroveň 4 (P0)],BA70,RZ[Úroveň 5 (P0)],BB70,RZ[Úroveň 6 (P0)],BC70,RZ[Úroveň 7 (P0)],BD70,RZ[Úroveň 8 (P0)],BE70,RZ[Úroveň 9 (P0)],BF70),$BP70*$IG70)</f>
        <v>0</v>
      </c>
      <c r="CZ70" s="138">
        <f>RZ[[#This Row],[Úroveň 10 s koef. (P2a)]]*RZ[[#This Row],[Počet MJHR (P0)]]</f>
        <v>0</v>
      </c>
      <c r="DA70" s="138">
        <f>RZ[Úroveň 10 bez koef. (P2a)]*RZ[[#This Row],[Počet MJHR (P0)]]</f>
        <v>0</v>
      </c>
      <c r="DB70" s="138">
        <f>RZ[[#This Row],[Koeficient odhadu HR '[-'] (P1)]]*$BQ70*IG70</f>
        <v>0</v>
      </c>
      <c r="DC70" s="231">
        <f t="shared" si="405"/>
        <v>0</v>
      </c>
      <c r="DD70" s="241">
        <f t="shared" ca="1" si="406"/>
        <v>154.1</v>
      </c>
      <c r="DE70" s="229">
        <f t="shared" ca="1" si="407"/>
        <v>154.1</v>
      </c>
      <c r="DF70" s="912">
        <f t="shared" si="408"/>
        <v>0</v>
      </c>
      <c r="DG70" s="913">
        <f t="shared" si="409"/>
        <v>0</v>
      </c>
      <c r="DH70" s="913">
        <f t="shared" si="410"/>
        <v>1</v>
      </c>
      <c r="DI70" s="913">
        <f t="shared" si="411"/>
        <v>0</v>
      </c>
      <c r="DJ70" s="913">
        <f t="shared" si="412"/>
        <v>0</v>
      </c>
      <c r="DK70" s="913">
        <f t="shared" si="413"/>
        <v>0</v>
      </c>
      <c r="DL70" s="913">
        <f t="shared" si="414"/>
        <v>0</v>
      </c>
      <c r="DM70" s="913">
        <f t="shared" si="415"/>
        <v>0</v>
      </c>
      <c r="DN70" s="913">
        <f t="shared" si="416"/>
        <v>0</v>
      </c>
      <c r="DO70" s="913">
        <f t="shared" si="417"/>
        <v>0</v>
      </c>
      <c r="DP70" s="914">
        <f ca="1">SUMIFS(RZ[Úroveň 1 (P4)],RZ[0],AX70)</f>
        <v>1</v>
      </c>
      <c r="DQ70" s="914">
        <f ca="1">SUMIFS(RZ[Úroveň 2 (P4)],RZ[0],AX70,RZ[Úroveň 2 (P0)],AY70)</f>
        <v>2</v>
      </c>
      <c r="DR70" s="914">
        <f ca="1">SUMIFS(RZ[Úroveň 3 (P4)],RZ[0],AX70,RZ[Úroveň 2 (P0)],AY70,RZ[Úroveň 3 (P0)],AZ70)</f>
        <v>1</v>
      </c>
      <c r="DS70" s="914">
        <f ca="1">SUMIFS(RZ[Úroveň 4 (P4)],RZ[0],AX70,RZ[Úroveň 2 (P0)],AY70,RZ[Úroveň 3 (P0)],AZ70,RZ[Úroveň 4 (P0)],BA70)</f>
        <v>0</v>
      </c>
      <c r="DT70" s="914">
        <f ca="1">SUMIFS(RZ[Úroveň 5 (P4)],RZ[0],AX70,RZ[Úroveň 2 (P0)],AY70,RZ[Úroveň 3 (P0)],AZ70,RZ[Úroveň 4 (P0)],BA70,RZ[Úroveň 5 (P0)],BB70)</f>
        <v>0</v>
      </c>
      <c r="DU70" s="914">
        <f ca="1">SUMIFS(RZ[Úroveň 6 (P4)],RZ[0],AX70,RZ[Úroveň 2 (P0)],AY70,RZ[Úroveň 3 (P0)],AZ70,RZ[Úroveň 4 (P0)],BA70,RZ[Úroveň 5 (P0)],BB70,RZ[Úroveň 6 (P0)],BC70)</f>
        <v>0</v>
      </c>
      <c r="DV70" s="914">
        <f ca="1">SUMIFS(RZ[Úroveň 7 (P4)],RZ[0],AX70,RZ[Úroveň 2 (P0)],AY70,RZ[Úroveň 3 (P0)],AZ70,RZ[Úroveň 4 (P0)],BA70,RZ[Úroveň 5 (P0)],BB70,RZ[Úroveň 6 (P0)],BC70,RZ[Úroveň 7 (P0)],BD70)</f>
        <v>0</v>
      </c>
      <c r="DW70" s="914">
        <f ca="1">SUMIFS(RZ[Úroveň 8 (P4)],RZ[0],AX70,RZ[Úroveň 2 (P0)],AY70,RZ[Úroveň 3 (P0)],AZ70,RZ[Úroveň 4 (P0)],BA70,RZ[Úroveň 5 (P0)],BB70,RZ[Úroveň 6 (P0)],BC70,RZ[Úroveň 7 (P0)],BD70,RZ[Úroveň 8 (P0)],BE70)</f>
        <v>0</v>
      </c>
      <c r="DX70" s="914">
        <f ca="1">SUMIFS(RZ[Úroveň 9 (P4)],RZ[0],AX70,RZ[Úroveň 2 (P0)],AY70,RZ[Úroveň 3 (P0)],AZ70,RZ[Úroveň 4 (P0)],BA70,RZ[Úroveň 5 (P0)],BB70,RZ[Úroveň 6 (P0)],BC70,RZ[Úroveň 7 (P0)],BD70,RZ[Úroveň 8 (P0)],BE70,RZ[Úroveň 9 (P0)],BF70)</f>
        <v>0</v>
      </c>
      <c r="DY70" s="914">
        <f ca="1">SUMIFS(RZ[Úroveň 10 (P4)],RZ[0],AX70,RZ[Úroveň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DZ70" s="915">
        <f t="shared" ca="1" si="418"/>
        <v>2</v>
      </c>
      <c r="EA70" s="916">
        <f ca="1">RZ[[#This Row],[Jednotková hmotnost bez koef. '[kg/MJHR'] (P0)]]*RZ[[#This Row],[Počet MJHR v rozpadu (P0)]]</f>
        <v>308.2</v>
      </c>
      <c r="EB70" s="917">
        <f ca="1">IF(OFFSET(AY70,1,0,1,1)&lt;&gt;0,RZ[[#This Row],[Koeficient odhadu CR '[-'] (P1)]]*$BH70*SUMIFS(RZ[Úroveň 2 s koef. (P3)],RZ[0],AX70),RZ[[#This Row],[Koeficient odhadu CR '[-'] (P1)]]*$BH70*$IQ70)</f>
        <v>0</v>
      </c>
      <c r="EC70" s="191">
        <f ca="1">IF(OFFSET(AY70,1,0,1,1)&lt;&gt;0,$BH70*SUMIFS(RZ[Úroveň 2 bez koef. (P3)],RZ[0],AX70),$BH70*$IQ70)</f>
        <v>0</v>
      </c>
      <c r="ED70" s="140">
        <f ca="1">RZ[[#This Row],[Úroveň 2 s koef. (P3a)]]*RZ[[#This Row],[Počet MJCR (P0) pro "kg"]]</f>
        <v>0</v>
      </c>
      <c r="EE70" s="140">
        <f ca="1">RZ[Úroveň 2 bez koef. (P3a)]*RZ[[#This Row],[Počet MJCR (P0) pro "kg"]]</f>
        <v>0</v>
      </c>
      <c r="EF70" s="140">
        <f ca="1">IF(OFFSET(AZ70,1,0,1,1)&lt;&gt;0,RZ[[#This Row],[Koeficient odhadu CR '[-'] (P1)]]*$BI70*SUMIFS(RZ[Úroveň 3 s koef. (P3)],RZ[0],AX70,RZ[Úroveň 2 (P0)],AY70),RZ[[#This Row],[Koeficient odhadu CR '[-'] (P1)]]*$BI70*$IQ70)</f>
        <v>0</v>
      </c>
      <c r="EG70" s="140">
        <f ca="1">IF(OFFSET(AZ70,1,0,1,1)&lt;&gt;0,$BI70*SUMIFS(RZ[Úroveň 3 bez koef. (P3)],RZ[0],AX70,RZ[Úroveň 2 (P0)],AY70),$BI70*$IQ70)</f>
        <v>0</v>
      </c>
      <c r="EH70" s="135">
        <f ca="1">RZ[[#This Row],[Úroveň 3 s koef. (P3a)]]*RZ[[#This Row],[Počet MJCR (P0) pro "kg"]]</f>
        <v>16951</v>
      </c>
      <c r="EI70" s="135">
        <f ca="1">RZ[Úroveň 3 bez koef. (P3a)]*RZ[[#This Row],[Počet MJCR (P0) pro "kg"]]</f>
        <v>16951</v>
      </c>
      <c r="EJ70" s="135">
        <f ca="1">IF(OFFSET(BA70,1,0,1,1)&lt;&gt;0,RZ[[#This Row],[Koeficient odhadu CR '[-'] (P1)]]*$BJ70*SUMIFS(RZ[Úroveň 4 s koef. (P3)],RZ[0],AX70,RZ[Úroveň 2 (P0)],AY70,RZ[Úroveň 3 (P0)],AZ70),RZ[[#This Row],[Koeficient odhadu CR '[-'] (P1)]]*$BJ70*$IQ70)</f>
        <v>110</v>
      </c>
      <c r="EK70" s="135">
        <f ca="1">IF(OFFSET(BA70,1,0,1,1)&lt;&gt;0,$BJ70*SUMIFS(RZ[Úroveň 4 bez koef. (P3)],RZ[0],AX70,RZ[Úroveň 2 (P0)],AY70,RZ[Úroveň 3 (P0)],AZ70),$BJ70*$IQ70)</f>
        <v>110</v>
      </c>
      <c r="EL70" s="140">
        <f ca="1">RZ[[#This Row],[Úroveň 4 s koef. (P3a)]]*RZ[[#This Row],[Počet MJCR (P0) pro "kg"]]</f>
        <v>0</v>
      </c>
      <c r="EM70" s="140">
        <f ca="1">RZ[Úroveň 4 bez koef. (P3a)]*RZ[[#This Row],[Počet MJCR (P0) pro "kg"]]</f>
        <v>0</v>
      </c>
      <c r="EN70" s="140">
        <f ca="1">IF(OFFSET(BB70,1,0,1,1)&lt;&gt;0,RZ[[#This Row],[Koeficient odhadu CR '[-'] (P1)]]*$BK70*SUMIFS(RZ[Úroveň 5 s koef. (P3)],RZ[0],AX70,RZ[Úroveň 2 (P0)],AY70,RZ[Úroveň 3 (P0)],AZ70,RZ[Úroveň 4 (P0)],BA70),RZ[[#This Row],[Koeficient odhadu CR '[-'] (P1)]]*$BK70*$IQ70)</f>
        <v>0</v>
      </c>
      <c r="EO70" s="140">
        <f ca="1">IF(OFFSET(BB70,1,0,1,1)&lt;&gt;0,$BK70*SUMIFS(RZ[Úroveň 5 bez koef. (P3)],RZ[0],AX70,RZ[Úroveň 2 (P0)],AY70,RZ[Úroveň 3 (P0)],AZ70,RZ[Úroveň 4 (P0)],BA70),$BK70*$IQ70)</f>
        <v>0</v>
      </c>
      <c r="EP70" s="135">
        <f ca="1">RZ[[#This Row],[Úroveň 5 s koef. (P3a)]]*RZ[[#This Row],[Počet MJCR (P0) pro "kg"]]</f>
        <v>0</v>
      </c>
      <c r="EQ70" s="135">
        <f ca="1">RZ[Úroveň 5 bez koef. (P3a)]*RZ[[#This Row],[Počet MJCR (P0) pro "kg"]]</f>
        <v>0</v>
      </c>
      <c r="ER70" s="135">
        <f ca="1">IF(OFFSET(BC70,1,0,1,1)&lt;&gt;0,RZ[[#This Row],[Koeficient odhadu CR '[-'] (P1)]]*$BL70*SUMIFS(RZ[Úroveň 6 s koef. (P3)],RZ[0],AX70,RZ[Úroveň 2 (P0)],AY70,RZ[Úroveň 3 (P0)],AZ70,RZ[Úroveň 4 (P0)],BA70,RZ[Úroveň 5 (P0)],BB70),RZ[[#This Row],[Koeficient odhadu CR '[-'] (P1)]]*$BL70*$IQ70)</f>
        <v>0</v>
      </c>
      <c r="ES70" s="135">
        <f ca="1">IF(OFFSET(BC70,1,0,1,1)&lt;&gt;0,$BL70*SUMIFS(RZ[Úroveň 6 bez koef. (P3)],RZ[0],AX70,RZ[Úroveň 2 (P0)],AY70,RZ[Úroveň 3 (P0)],AZ70,RZ[Úroveň 4 (P0)],BA70,RZ[Úroveň 5 (P0)],BB70),$BL70*$IQ70)</f>
        <v>0</v>
      </c>
      <c r="ET70" s="140">
        <f ca="1">RZ[[#This Row],[Úroveň 6 s koef. (P3a)]]*RZ[[#This Row],[Počet MJCR (P0) pro "kg"]]</f>
        <v>0</v>
      </c>
      <c r="EU70" s="140">
        <f ca="1">RZ[Úroveň 6 bez koef. (P3a)]*RZ[[#This Row],[Počet MJCR (P0) pro "kg"]]</f>
        <v>0</v>
      </c>
      <c r="EV70" s="140">
        <f ca="1">IF(OFFSET(BD70,1,0,1,1)&lt;&gt;0,RZ[[#This Row],[Koeficient odhadu CR '[-'] (P1)]]*$BM70*SUMIFS(RZ[Úroveň 7 s koef. (P3)],RZ[0],AX70,RZ[Úroveň 2 (P0)],AY70,RZ[Úroveň 3 (P0)],AZ70,RZ[Úroveň 4 (P0)],BA70,RZ[Úroveň 5 (P0)],BB70,RZ[Úroveň 6 (P0)],BC70),RZ[[#This Row],[Koeficient odhadu CR '[-'] (P1)]]*$BM70*$IQ70)</f>
        <v>0</v>
      </c>
      <c r="EW70" s="140">
        <f ca="1">IF(OFFSET(BD70,1,0,1,1)&lt;&gt;0,$BM70*SUMIFS(RZ[Úroveň 7 bez koef. (P3)],RZ[0],AX70,RZ[Úroveň 2 (P0)],AY70,RZ[Úroveň 3 (P0)],AZ70,RZ[Úroveň 4 (P0)],BA70,RZ[Úroveň 5 (P0)],BB70,RZ[Úroveň 6 (P0)],BC70),$BM70*$IQ70)</f>
        <v>0</v>
      </c>
      <c r="EX70" s="135">
        <f ca="1">RZ[[#This Row],[Úroveň 7 s koef. (P3a)]]*RZ[[#This Row],[Počet MJCR (P0) pro "kg"]]</f>
        <v>0</v>
      </c>
      <c r="EY70" s="135">
        <f ca="1">RZ[Úroveň 7 bez koef. (P3a)]*RZ[[#This Row],[Počet MJCR (P0) pro "kg"]]</f>
        <v>0</v>
      </c>
      <c r="EZ70" s="135">
        <f ca="1">IF(OFFSET(BE70,1,0,1,1)&lt;&gt;0,RZ[[#This Row],[Koeficient odhadu CR '[-'] (P1)]]*$BN70*SUMIFS(RZ[Úroveň 8 s koef. (P3)],RZ[0],AX70,RZ[Úroveň 2 (P0)],AY70,RZ[Úroveň 3 (P0)],AZ70,RZ[Úroveň 4 (P0)],BA70,RZ[Úroveň 5 (P0)],BB70,RZ[Úroveň 6 (P0)],BC70,RZ[Úroveň 7 (P0)],BD70),RZ[[#This Row],[Koeficient odhadu CR '[-'] (P1)]]*$BN70*$IQ70)</f>
        <v>0</v>
      </c>
      <c r="FA70" s="135">
        <f ca="1">IF(OFFSET(BE70,1,0,1,1)&lt;&gt;0,$BN70*SUMIFS(RZ[Úroveň 8 bez koef. (P3)],RZ[0],AX70,RZ[Úroveň 2 (P0)],AY70,RZ[Úroveň 3 (P0)],AZ70,RZ[Úroveň 4 (P0)],BA70,RZ[Úroveň 5 (P0)],BB70,RZ[Úroveň 6 (P0)],BC70,RZ[Úroveň 7 (P0)],BD70),$BN70*$IQ70)</f>
        <v>0</v>
      </c>
      <c r="FB70" s="140">
        <f ca="1">RZ[[#This Row],[Úroveň 8 s koef. (P3a)]]*RZ[[#This Row],[Počet MJCR (P0) pro "kg"]]</f>
        <v>0</v>
      </c>
      <c r="FC70" s="140">
        <f ca="1">RZ[Úroveň 8 bez koef. (P3a)]*RZ[[#This Row],[Počet MJCR (P0) pro "kg"]]</f>
        <v>0</v>
      </c>
      <c r="FD70" s="140">
        <f ca="1">IF(OFFSET(BF70,1,0,1,1)&lt;&gt;0,RZ[[#This Row],[Koeficient odhadu CR '[-'] (P1)]]*$BO70*SUMIFS(RZ[Úroveň 9 s koef. (P3)],RZ[0],AX70,RZ[Úroveň 2 (P0)],AY70,RZ[Úroveň 3 (P0)],AZ70,RZ[Úroveň 4 (P0)],BA70,RZ[Úroveň 5 (P0)],BB70,RZ[Úroveň 6 (P0)],BC70,RZ[Úroveň 7 (P0)],BD70,RZ[Úroveň 8 (P0)],BE70),RZ[[#This Row],[Koeficient odhadu CR '[-'] (P1)]]*$BO70*$IQ70)</f>
        <v>0</v>
      </c>
      <c r="FE70" s="140">
        <f ca="1">IF(OFFSET(BF70,1,0,1,1)&lt;&gt;0,$BO70*SUMIFS(RZ[Úroveň 9 bez koef. (P3)],RZ[0],AX70,RZ[Úroveň 2 (P0)],AY70,RZ[Úroveň 3 (P0)],AZ70,RZ[Úroveň 4 (P0)],BA70,RZ[Úroveň 5 (P0)],BB70,RZ[Úroveň 6 (P0)],BC70,RZ[Úroveň 7 (P0)],BD70,RZ[Úroveň 8 (P0)],BE70),$BO70*$IQ70)</f>
        <v>0</v>
      </c>
      <c r="FF70" s="135">
        <f ca="1">RZ[[#This Row],[Úroveň 9 s koef. (P3a)]]*RZ[[#This Row],[Počet MJCR (P0) pro "kg"]]</f>
        <v>0</v>
      </c>
      <c r="FG70" s="135">
        <f ca="1">RZ[Úroveň 9 bez koef. (P3a)]*RZ[[#This Row],[Počet MJCR (P0) pro "kg"]]</f>
        <v>0</v>
      </c>
      <c r="FH70" s="135">
        <f ca="1">IF(OFFSET(BG70,1,0,1,1)&lt;&gt;0,RZ[[#This Row],[Koeficient odhadu CR '[-'] (P1)]]*$BP70*SUMIFS(RZ[Úroveň 10 s koef. (P3)],RZ[0],AX70,RZ[Úroveň 2 (P0)],AY70,RZ[Úroveň 3 (P0)],AZ70,RZ[Úroveň 4 (P0)],BA70,RZ[Úroveň 5 (P0)],BB70,RZ[Úroveň 6 (P0)],BC70,RZ[Úroveň 7 (P0)],BD70,RZ[Úroveň 8 (P0)],BE70,RZ[Úroveň 9 (P0)],BF70),RZ[[#This Row],[Koeficient odhadu CR '[-'] (P1)]]*$BP70*$IQ70)</f>
        <v>0</v>
      </c>
      <c r="FI70" s="135">
        <f ca="1">IF(OFFSET(BG70,1,0,1,1)&lt;&gt;0,$BP70*SUMIFS(RZ[Úroveň 10 bez koef. (P3)],RZ[0],AX70,RZ[Úroveň 2 (P0)],AY70,RZ[Úroveň 3 (P0)],AZ70,RZ[Úroveň 4 (P0)],BA70,RZ[Úroveň 5 (P0)],BB70,RZ[Úroveň 6 (P0)],BC70,RZ[Úroveň 7 (P0)],BD70,RZ[Úroveň 8 (P0)],BE70,RZ[Úroveň 9 (P0)],BF70),$BP70*$IQ70)</f>
        <v>0</v>
      </c>
      <c r="FJ70" s="140">
        <f ca="1">RZ[[#This Row],[Úroveň 10 s koef. (P3a)]]*RZ[[#This Row],[Počet MJCR (P0) pro "kg"]]</f>
        <v>0</v>
      </c>
      <c r="FK70" s="140">
        <f ca="1">RZ[Úroveň 10 bez koef. (P3a)]*RZ[[#This Row],[Počet MJCR (P0) pro "kg"]]</f>
        <v>0</v>
      </c>
      <c r="FL70" s="140">
        <f ca="1">RZ[[#This Row],[Koeficient odhadu CR '[-'] (P1)]]*$BQ70*IQ70</f>
        <v>0</v>
      </c>
      <c r="FM70" s="236">
        <f t="shared" ca="1" si="419"/>
        <v>0</v>
      </c>
      <c r="FN70" s="194">
        <f t="shared" ca="1" si="420"/>
        <v>110</v>
      </c>
      <c r="FO70" s="238">
        <f t="shared" ca="1" si="421"/>
        <v>110</v>
      </c>
      <c r="FP70" s="135">
        <f t="shared" ca="1" si="422"/>
        <v>0</v>
      </c>
      <c r="FQ70" s="135">
        <f t="shared" ca="1" si="423"/>
        <v>0</v>
      </c>
      <c r="FR70" s="135">
        <f t="shared" ca="1" si="424"/>
        <v>154.1</v>
      </c>
      <c r="FS70" s="135">
        <f t="shared" ca="1" si="425"/>
        <v>0</v>
      </c>
      <c r="FT70" s="135">
        <f t="shared" ca="1" si="426"/>
        <v>0</v>
      </c>
      <c r="FU70" s="135">
        <f t="shared" ca="1" si="427"/>
        <v>0</v>
      </c>
      <c r="FV70" s="135">
        <f t="shared" ca="1" si="428"/>
        <v>0</v>
      </c>
      <c r="FW70" s="135">
        <f t="shared" ca="1" si="429"/>
        <v>0</v>
      </c>
      <c r="FX70" s="135">
        <f t="shared" ca="1" si="430"/>
        <v>0</v>
      </c>
      <c r="FY70" s="135">
        <f t="shared" ca="1" si="431"/>
        <v>0</v>
      </c>
      <c r="FZ70" s="140">
        <f ca="1">SUMIFS(RZ[Úroveň 1 (P6)],RZ[0],AX70)</f>
        <v>1</v>
      </c>
      <c r="GA70" s="140">
        <f ca="1">SUMIFS(RZ[Úroveň 2 (P6)],RZ[0],AX70,RZ[Úroveň 2 (P0)],AY70)</f>
        <v>2</v>
      </c>
      <c r="GB70" s="140">
        <f ca="1">SUMIFS(RZ[Úroveň 3 (P6)],RZ[0],AX70,RZ[Úroveň 2 (P0)],AY70,RZ[Úroveň 3 (P0)],AZ70)</f>
        <v>154.1</v>
      </c>
      <c r="GC70" s="140">
        <f ca="1">SUMIFS(RZ[Úroveň 4 (P6)],RZ[0],AX70,RZ[Úroveň 2 (P0)],AY70,RZ[Úroveň 3 (P0)],AZ70,RZ[Úroveň 4 (P0)],BA70)</f>
        <v>0</v>
      </c>
      <c r="GD70" s="140">
        <f ca="1">SUMIFS(RZ[Úroveň 5 (P6)],RZ[0],AX70,RZ[Úroveň 2 (P0)],AY70,RZ[Úroveň 3 (P0)],AZ70,RZ[Úroveň 4 (P0)],BA70,RZ[Úroveň 5 (P0)],BB70)</f>
        <v>0</v>
      </c>
      <c r="GE70" s="140">
        <f ca="1">SUMIFS(RZ[Úroveň 6 (P6)],RZ[0],AX70,RZ[Úroveň 2 (P0)],AY70,RZ[Úroveň 3 (P0)],AZ70,RZ[Úroveň 4 (P0)],BA70,RZ[Úroveň 5 (P0)],BB70,RZ[Úroveň 6 (P0)],BC70)</f>
        <v>0</v>
      </c>
      <c r="GF70" s="140">
        <f ca="1">SUMIFS(RZ[Úroveň 7 (P6)],RZ[0],AX70,RZ[Úroveň 2 (P0)],AY70,RZ[Úroveň 3 (P0)],AZ70,RZ[Úroveň 4 (P0)],BA70,RZ[Úroveň 5 (P0)],BB70,RZ[Úroveň 6 (P0)],BC70,RZ[Úroveň 7 (P0)],BD70)</f>
        <v>0</v>
      </c>
      <c r="GG70" s="140">
        <f ca="1">SUMIFS(RZ[Úroveň 8 (P6)],RZ[0],AX70,RZ[Úroveň 2 (P0)],AY70,RZ[Úroveň 3 (P0)],AZ70,RZ[Úroveň 4 (P0)],BA70,RZ[Úroveň 5 (P0)],BB70,RZ[Úroveň 6 (P0)],BC70,RZ[Úroveň 7 (P0)],BD70,RZ[Úroveň 8 (P0)],BE70)</f>
        <v>0</v>
      </c>
      <c r="GH70" s="140">
        <f ca="1">SUMIFS(RZ[Úroveň 9 (P6)],RZ[0],AX70,RZ[Úroveň 2 (P0)],AY70,RZ[Úroveň 3 (P0)],AZ70,RZ[Úroveň 4 (P0)],BA70,RZ[Úroveň 5 (P0)],BB70,RZ[Úroveň 6 (P0)],BC70,RZ[Úroveň 7 (P0)],BD70,RZ[Úroveň 8 (P0)],BE70,RZ[Úroveň 9 (P0)],BF70)</f>
        <v>0</v>
      </c>
      <c r="GI70" s="140">
        <f ca="1">SUMIFS(RZ[Úroveň 10 (P6)],RZ[0],AX70,RZ[Úroveň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GJ70" s="918">
        <f t="shared" ca="1" si="432"/>
        <v>308.2</v>
      </c>
      <c r="GK70" s="808">
        <f t="shared" si="433"/>
        <v>0</v>
      </c>
      <c r="GL70" s="808">
        <f t="shared" si="434"/>
        <v>0</v>
      </c>
      <c r="GM70" s="808">
        <f t="shared" si="435"/>
        <v>1</v>
      </c>
      <c r="GN70" s="808">
        <f t="shared" si="436"/>
        <v>0</v>
      </c>
      <c r="GO70" s="808">
        <f t="shared" si="437"/>
        <v>0</v>
      </c>
      <c r="GP70" s="808">
        <f t="shared" si="438"/>
        <v>0</v>
      </c>
      <c r="GQ70" s="808">
        <f t="shared" si="439"/>
        <v>0</v>
      </c>
      <c r="GR70" s="808">
        <f t="shared" si="440"/>
        <v>0</v>
      </c>
      <c r="GS70" s="808">
        <f t="shared" si="441"/>
        <v>0</v>
      </c>
      <c r="GT70" s="808">
        <f t="shared" si="442"/>
        <v>0</v>
      </c>
      <c r="GU70" s="809">
        <f ca="1">SUMIFS(RZ[Sloupec1],RZ[0],AX70)</f>
        <v>1</v>
      </c>
      <c r="GV70" s="809">
        <f ca="1">SUMIFS(RZ[Sloupec2],RZ[0],AX70,RZ[Úroveň 2 (P0)],AY70)</f>
        <v>1</v>
      </c>
      <c r="GW70" s="809">
        <f ca="1">SUMIFS(RZ[Sloupec3],RZ[0],AX70,RZ[Úroveň 2 (P0)],AY70,RZ[Úroveň 3 (P0)],AZ70)</f>
        <v>1</v>
      </c>
      <c r="GX70" s="809">
        <f ca="1">SUMIFS(RZ[Sloupec4],RZ[0],AX70,RZ[Úroveň 2 (P0)],AY70,RZ[Úroveň 3 (P0)],AZ70,RZ[Úroveň 4 (P0)],BA70)</f>
        <v>0</v>
      </c>
      <c r="GY70" s="809">
        <f ca="1">SUMIFS(RZ[Sloupec5],RZ[0],AX70,RZ[Úroveň 2 (P0)],AY70,RZ[Úroveň 3 (P0)],AZ70,RZ[Úroveň 4 (P0)],BA70,RZ[Úroveň 5 (P0)],BB70)</f>
        <v>0</v>
      </c>
      <c r="GZ70" s="809">
        <f ca="1">SUMIFS(RZ[Sloupec6],RZ[0],AX70,RZ[Úroveň 2 (P0)],AY70,RZ[Úroveň 3 (P0)],AZ70,RZ[Úroveň 4 (P0)],BA70,RZ[Úroveň 5 (P0)],BB70,RZ[Úroveň 6 (P0)],BC70)</f>
        <v>0</v>
      </c>
      <c r="HA70" s="809">
        <f ca="1">SUMIFS(RZ[Sloupec62],RZ[0],AX70,RZ[Úroveň 2 (P0)],AY70,RZ[Úroveň 3 (P0)],AZ70,RZ[Úroveň 4 (P0)],BA70,RZ[Úroveň 5 (P0)],BB70,RZ[Úroveň 6 (P0)],BC70,RZ[Úroveň 7 (P0)],BD70)</f>
        <v>0</v>
      </c>
      <c r="HB70" s="809">
        <f ca="1">SUMIFS(RZ[Sloupec63],RZ[0],AX70,RZ[Úroveň 2 (P0)],AY70,RZ[Úroveň 3 (P0)],AZ70,RZ[Úroveň 4 (P0)],BA70,RZ[Úroveň 5 (P0)],BB70,RZ[Úroveň 6 (P0)],BC70,RZ[Úroveň 7 (P0)],BD70,RZ[Úroveň 8 (P0)],BE70)</f>
        <v>0</v>
      </c>
      <c r="HC70" s="809">
        <f ca="1">SUMIFS(RZ[Sloupec64],RZ[0],AX70,RZ[Úroveň 2 (P0)],AY70,RZ[Úroveň 3 (P0)],AZ70,RZ[Úroveň 4 (P0)],BA70,RZ[Úroveň 5 (P0)],BB70,RZ[Úroveň 6 (P0)],BC70,RZ[Úroveň 7 (P0)],BD70,RZ[Úroveň 8 (P0)],BE70,RZ[Úroveň 9 (P0)],BF70)</f>
        <v>0</v>
      </c>
      <c r="HD70" s="809">
        <f ca="1">SUMIFS(RZ[Sloupec65],RZ[0],AX70,RZ[Úroveň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HE70" s="919">
        <f t="shared" ca="1" si="443"/>
        <v>1</v>
      </c>
      <c r="HF70" s="920" t="str">
        <f t="shared" si="444"/>
        <v/>
      </c>
      <c r="HG70" s="94" t="str">
        <f t="shared" si="445"/>
        <v/>
      </c>
      <c r="HH70" s="95" t="str">
        <f t="shared" si="446"/>
        <v/>
      </c>
      <c r="HI70" s="95" t="str">
        <f t="shared" si="447"/>
        <v>Kryt</v>
      </c>
      <c r="HJ70" s="96" t="str">
        <f t="shared" si="448"/>
        <v/>
      </c>
      <c r="HK70" s="96" t="str">
        <f t="shared" si="449"/>
        <v/>
      </c>
      <c r="HL70" s="96" t="str">
        <f t="shared" si="450"/>
        <v/>
      </c>
      <c r="HM70" s="96" t="str">
        <f t="shared" si="451"/>
        <v/>
      </c>
      <c r="HN70" s="96" t="str">
        <f t="shared" si="452"/>
        <v/>
      </c>
      <c r="HO70" s="96" t="str">
        <f t="shared" si="453"/>
        <v/>
      </c>
      <c r="HP70" s="96" t="str">
        <f t="shared" si="454"/>
        <v/>
      </c>
      <c r="HQ70" s="145" t="str">
        <f t="shared" si="455"/>
        <v>OKS2</v>
      </c>
      <c r="HR70" s="921" t="str">
        <f t="shared" si="456"/>
        <v/>
      </c>
      <c r="HS70" s="173">
        <f t="shared" si="457"/>
        <v>0</v>
      </c>
      <c r="HT70" s="100">
        <f t="shared" si="458"/>
        <v>0</v>
      </c>
      <c r="HU70" s="100">
        <f t="shared" si="459"/>
        <v>0</v>
      </c>
      <c r="HV70" s="908">
        <f t="shared" si="460"/>
        <v>0</v>
      </c>
      <c r="HW70" s="922">
        <f t="shared" si="461"/>
        <v>0</v>
      </c>
      <c r="HX70" s="224">
        <f t="shared" si="462"/>
        <v>0</v>
      </c>
      <c r="HY70" s="263" t="str">
        <f t="shared" si="463"/>
        <v>S</v>
      </c>
      <c r="HZ70" s="263">
        <f t="shared" si="464"/>
        <v>0</v>
      </c>
      <c r="IA70" s="150">
        <f t="shared" si="465"/>
        <v>1</v>
      </c>
      <c r="IB70" s="319">
        <f t="shared" si="466"/>
        <v>0</v>
      </c>
      <c r="IC70" s="923">
        <f t="shared" si="467"/>
        <v>0</v>
      </c>
      <c r="ID70" s="924" t="str">
        <f t="shared" ca="1" si="468"/>
        <v>OK</v>
      </c>
      <c r="IE70" s="201" t="str">
        <f t="shared" si="469"/>
        <v>ks</v>
      </c>
      <c r="IF70" s="145">
        <f t="shared" si="470"/>
        <v>1</v>
      </c>
      <c r="IG70" s="216">
        <f t="shared" si="471"/>
        <v>154.1</v>
      </c>
      <c r="IH70" s="217">
        <f t="shared" si="472"/>
        <v>1</v>
      </c>
      <c r="II70" s="224" t="str">
        <f ca="1">IF(RZ[[#This Row],[Rozhodný sloupec indikativní ceny]]=1,"kg",IF($IW70=$JL$15,IF(JX70=0,JO70,JX70),IF($IW70=$KE$15,IF(KQ70=0,KH70,KQ70),IF($IW70=$KX$15,IF(LJ70=0,LA70,LJ70),IF($IW70=$LQ$15,IF(MC70=0,LT70,MC70),IF($IW70=$MJ$15,IF(NQ70=0,NH70,NQ70),0))))))</f>
        <v>kg</v>
      </c>
      <c r="IJ70" s="224">
        <f ca="1">IF((BH70+OFFSET(BH70,1,1,1,1))=2,RZ[[#This Row],[Počet MJHR (P0)]],IF((BI70+OFFSET(BI70,1,1,1,1))=2,RZ[[#This Row],[Počet MJHR (P0)]],IF((BJ70+OFFSET(BJ70,1,1,1,1))=2,RZ[[#This Row],[Počet MJHR (P0)]],IF((BK70+OFFSET(BK70,1,1,1,1))=2,RZ[[#This Row],[Počet MJHR (P0)]],IF((BL70+OFFSET(BL70,1,1,1,1))=2,RZ[[#This Row],[Počet MJHR (P0)]],IF((BM70+OFFSET(BM70,1,1,1,1))=2,RZ[[#This Row],[Počet MJHR (P0)]],IF((BN70+OFFSET(BN70,1,1,1,1))=2,RZ[[#This Row],[Počet MJHR (P0)]],IF((BO70+OFFSET(BO70,1,1,1,1))=2,RZ[[#This Row],[Počet MJHR (P0)]],IF((BP70+OFFSET(BP70,1,1,1,1))=2,RZ[[#This Row],[Počet MJHR (P0)]],IF((BQ70+OFFSET(BQ70,1,1,1,1))=2,RZ[[#This Row],[Počet MJHR (P0)]],IF(RZ[[#This Row],[Měrná jednotka CR (MJCR) (P0)]]=RZ[[#This Row],[Měrná jednotka HR '[MJHR'] (P0)]],RZ[[#This Row],[Počet MJHR (P0)]],IF($IW70=$JL$15,JY70,IF($IW70=$KE$15,KR70,IF($IW70=$KX$15,LK70,IF($IW70=$LQ$15,MD70,IF($IW70=$MJ$15,NR70,0))))))))))))))))</f>
        <v>0</v>
      </c>
      <c r="IK7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70" s="145">
        <f ca="1">IF(AND(RZ[[#This Row],[Jednotková cena bez DPH '[cena/MJCR'] (P0)]]=0,RZ[[#This Row],[Indikativní jednotková cena '[CZK/kg'] (P1)]]&lt;&gt;0),1,0)</f>
        <v>1</v>
      </c>
      <c r="IM70" s="217">
        <f ca="1">VLOOKUP(RZ[[#This Row],[Kód položek]],INDIKAT_CENA,2,FALSE)</f>
        <v>110</v>
      </c>
      <c r="IN70" s="222">
        <f ca="1">IF(RZ[[#This Row],[Rozhodný sloupec indikativní ceny]]=1,RZ[[#This Row],[Indikativní jednotková cena '[CZK/kg'] (P1)]],RZ[[#This Row],[Jednotková cena bez DPH '[cena/MJCR'] (P0)]])</f>
        <v>110</v>
      </c>
      <c r="IO70" s="222">
        <f t="shared" si="473"/>
        <v>1</v>
      </c>
      <c r="IP70" s="224">
        <f ca="1">IF(RZ[[#This Row],[Rozhodný sloupec indikativní ceny]]=1,1,IF($IW70=$JL$15,KA70,IF($IW70=$KE$15,KT70,IF($IW70=$KX$15,LM70,IF($IW70=$LQ$15,MF70,IF($IW70=$MJ$15,NT70,0))))))</f>
        <v>1</v>
      </c>
      <c r="IQ70" s="225">
        <f ca="1">IF(RZ[[#This Row],[Jednotková cena bez DPH '[cena/MJCR'] (P1)]]="",0,IF(IP70=0,0,(RZ[[#This Row],[Jednotková cena bez DPH '[cena/MJCR'] (P1)]]*VLOOKUP(IP70,$BR$7:$BT$10,3))))</f>
        <v>110</v>
      </c>
      <c r="IR70" s="737"/>
      <c r="IS70" s="627">
        <f>IF(HY70=0,"",VLOOKUP(RZ[[#This Row],[Stav Projekce (P0)]],Vstupy!$E$11:'Vstupy'!$E$11:$H$17,4,FALSE))</f>
        <v>100</v>
      </c>
      <c r="IT70" s="925" t="str">
        <f>IF(RZ[[#This Row],[Stav Projekce (P0)]]=0,"",RZ[[#This Row],[Stav Projekce (P0)]])</f>
        <v>S</v>
      </c>
      <c r="IU70" s="925" t="str">
        <f>IF(RZ[[#This Row],[Stav Nákup (P0)]]=0,"",RZ[[#This Row],[Stav Nákup (P0)]])</f>
        <v/>
      </c>
      <c r="IV70" s="926" t="str">
        <f t="shared" si="474"/>
        <v/>
      </c>
      <c r="IW70" s="641">
        <v>1</v>
      </c>
      <c r="IX70" s="630"/>
      <c r="IY70" s="264"/>
      <c r="IZ70" s="648"/>
      <c r="JA70" s="100"/>
      <c r="JB70" s="100" t="s">
        <v>795</v>
      </c>
      <c r="JC70" s="100"/>
      <c r="JD70" s="100"/>
      <c r="JE70" s="100"/>
      <c r="JF70" s="100"/>
      <c r="JG70" s="100"/>
      <c r="JH70" s="100"/>
      <c r="JI70" s="100"/>
      <c r="JJ70" s="145" t="s">
        <v>768</v>
      </c>
      <c r="JK70" s="529"/>
      <c r="JL70" s="286"/>
      <c r="JM70" s="100"/>
      <c r="JN70" s="100"/>
      <c r="JO70" s="145" t="s">
        <v>35</v>
      </c>
      <c r="JP70" s="117">
        <v>1</v>
      </c>
      <c r="JQ70" s="117">
        <v>154.1</v>
      </c>
      <c r="JR70" s="148">
        <v>1</v>
      </c>
      <c r="JS70" s="145" t="s">
        <v>602</v>
      </c>
      <c r="JT70" s="631"/>
      <c r="JU70" s="148"/>
      <c r="JV70" s="154"/>
      <c r="JW70" s="145"/>
      <c r="JX70" s="210"/>
      <c r="JY70" s="117"/>
      <c r="JZ70" s="662"/>
      <c r="KA70" s="145"/>
      <c r="KB70" s="148"/>
      <c r="KC70" s="148"/>
      <c r="KD70" s="644"/>
      <c r="KE70" s="286"/>
      <c r="KF70" s="100"/>
      <c r="KG70" s="100"/>
      <c r="KH70" s="210"/>
      <c r="KI70" s="117"/>
      <c r="KJ70" s="117"/>
      <c r="KK70" s="148"/>
      <c r="KL70" s="145"/>
      <c r="KM70" s="632"/>
      <c r="KN70" s="148"/>
      <c r="KO70" s="154"/>
      <c r="KP70" s="154"/>
      <c r="KQ70" s="210"/>
      <c r="KR70" s="117"/>
      <c r="KS70" s="211"/>
      <c r="KT70" s="145"/>
      <c r="KU70" s="148"/>
      <c r="KV70" s="148"/>
      <c r="KW70" s="265"/>
      <c r="KX70" s="286"/>
      <c r="KY70" s="100"/>
      <c r="KZ70" s="100"/>
      <c r="LA70" s="210"/>
      <c r="LB70" s="117"/>
      <c r="LC70" s="117"/>
      <c r="LD70" s="148"/>
      <c r="LE70" s="145"/>
      <c r="LF70" s="632"/>
      <c r="LG70" s="148"/>
      <c r="LH70" s="154"/>
      <c r="LI70" s="154"/>
      <c r="LJ70" s="154"/>
      <c r="LK70" s="117"/>
      <c r="LL70" s="211"/>
      <c r="LM70" s="210"/>
      <c r="LN70" s="148"/>
      <c r="LO70" s="148"/>
      <c r="LP70" s="265"/>
      <c r="LQ70" s="286"/>
      <c r="LR70" s="100"/>
      <c r="LS70" s="100"/>
      <c r="LT70" s="210"/>
      <c r="LU70" s="117"/>
      <c r="LV70" s="117"/>
      <c r="LW70" s="148"/>
      <c r="LX70" s="145"/>
      <c r="LY70" s="632"/>
      <c r="LZ70" s="148"/>
      <c r="MA70" s="154"/>
      <c r="MB70" s="154"/>
      <c r="MC70" s="145"/>
      <c r="MD70" s="117"/>
      <c r="ME70" s="211"/>
      <c r="MF70" s="210"/>
      <c r="MG70" s="148"/>
      <c r="MH70" s="148"/>
      <c r="MI70" s="265"/>
      <c r="MJ70" s="647"/>
      <c r="MK70" s="264"/>
      <c r="ML70" s="153"/>
      <c r="MM70" s="153"/>
      <c r="MN70" s="153"/>
      <c r="MO70" s="153"/>
      <c r="MP70" s="153"/>
      <c r="MQ70" s="153"/>
      <c r="MR70" s="153"/>
      <c r="MS70" s="99"/>
      <c r="MT70" s="99"/>
      <c r="MU70" s="99"/>
      <c r="MV70" s="99"/>
      <c r="MW70" s="99"/>
      <c r="MX70" s="99"/>
      <c r="MY70" s="153"/>
      <c r="MZ70" s="153"/>
      <c r="NA70" s="153"/>
      <c r="NB70" s="153"/>
      <c r="NC70" s="153"/>
      <c r="ND70" s="153"/>
      <c r="NE70" s="148"/>
      <c r="NF70" s="153"/>
      <c r="NG70" s="153"/>
      <c r="NH70" s="330" t="str">
        <f t="shared" si="475"/>
        <v>ks</v>
      </c>
      <c r="NI70" s="797">
        <f>RZ[[#This Row],[Počet ks (K)]]</f>
        <v>0</v>
      </c>
      <c r="NJ70" s="798">
        <f>RZ[[#This Row],[Hmotnost '[kg/ks'] (K)]]</f>
        <v>0</v>
      </c>
      <c r="NK70" s="148"/>
      <c r="NL70" s="145"/>
      <c r="NM70" s="632"/>
      <c r="NN70" s="148"/>
      <c r="NO70" s="154"/>
      <c r="NP70" s="153"/>
      <c r="NQ70" s="153"/>
      <c r="NR70" s="210"/>
      <c r="NS70" s="148"/>
      <c r="NT70" s="210"/>
      <c r="NU70" s="148"/>
      <c r="NV70" s="148"/>
      <c r="NW70" s="175"/>
    </row>
    <row r="71" spans="2:387" ht="15.95" customHeight="1" x14ac:dyDescent="0.35">
      <c r="B71" s="118" t="str">
        <f t="shared" si="359"/>
        <v/>
      </c>
      <c r="C7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1" s="262" t="str">
        <f t="shared" si="360"/>
        <v xml:space="preserve">    Ložisko 22322</v>
      </c>
      <c r="E71" s="120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Row],[Kód položek (P2)]]))))))))))</f>
        <v>STLO</v>
      </c>
      <c r="F71" s="791" t="str">
        <f t="shared" si="361"/>
        <v>N/A</v>
      </c>
      <c r="G71" s="792" t="str">
        <f t="shared" si="362"/>
        <v/>
      </c>
      <c r="H71" s="262" t="str">
        <f t="shared" si="363"/>
        <v/>
      </c>
      <c r="I71" s="123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HR '[MJHR'] (P0)]]))))))))))</f>
        <v>ks</v>
      </c>
      <c r="J71" s="123">
        <f t="shared" si="364"/>
        <v>8</v>
      </c>
      <c r="K71" s="793">
        <f>RZ[[#This Row],[Koeficient odhadu HR '[-'] (P1)]]</f>
        <v>1</v>
      </c>
      <c r="L71" s="124">
        <f ca="1">RZ[[#This Row],[Jednotková hmotnost s koef. '[kg/MJHR'] (P0)]]</f>
        <v>18.2</v>
      </c>
      <c r="M71" s="794">
        <f t="shared" ca="1" si="365"/>
        <v>0</v>
      </c>
      <c r="N71" s="125">
        <f t="shared" ca="1" si="366"/>
        <v>145.6</v>
      </c>
      <c r="O71" s="125">
        <f t="shared" ca="1" si="367"/>
        <v>0</v>
      </c>
      <c r="P71" s="126" t="str">
        <f t="shared" si="368"/>
        <v/>
      </c>
      <c r="Q71" s="795">
        <f ca="1">RZ[[#This Row],[Počet MJHR v rozpadu (P0)]]</f>
        <v>16</v>
      </c>
      <c r="R71" s="439" t="str">
        <f t="shared" si="369"/>
        <v>Zajíc</v>
      </c>
      <c r="S71" s="129">
        <f t="shared" si="370"/>
        <v>42950.608634259261</v>
      </c>
      <c r="T71" s="126" t="str">
        <f t="shared" si="371"/>
        <v/>
      </c>
      <c r="U71" s="126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CR (MJCR) (P0)]]))))))))))</f>
        <v>ks</v>
      </c>
      <c r="V71" s="575">
        <f t="shared" ca="1" si="372"/>
        <v>8</v>
      </c>
      <c r="W71" s="322">
        <f>RZ[[#This Row],[Koeficient odhadu CR '[-'] (P1)]]</f>
        <v>1.1000000000000001</v>
      </c>
      <c r="X71" s="440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Row],[Jednotková cena bez DPH '[cena/MJCR'] (P1)]]*RZ[[#This Row],[Koeficient odhadu CR '[-']]]))))))))))</f>
        <v>27500.000000000004</v>
      </c>
      <c r="Y71" s="440">
        <f t="shared" ca="1" si="373"/>
        <v>-2500.0000000000023</v>
      </c>
      <c r="Z71" s="142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VLOOKUP(IP71,$BR$7:$BS$11,2,FALSE)))))))))))</f>
        <v>CZK</v>
      </c>
      <c r="AA71" s="909">
        <f t="shared" ca="1" si="374"/>
        <v>16</v>
      </c>
      <c r="AB71" s="910">
        <f ca="1">RZ[[#This Row],[Kumulovaný koeficient v rozpadu (P0)]]</f>
        <v>1.1000000000000001</v>
      </c>
      <c r="AC71" s="261"/>
      <c r="AD71" s="796">
        <f ca="1">RZ[[#This Row],[Jednotková cena bez DPH '[cena/MJCR'] s koef. (P0)]]/RZ[[#This Row],[Koeficient odhadu CR '[-']]]*RZ[[#This Row],[Kumulovaný koeficient odhadu CR  '[-']]]</f>
        <v>27500.000000000004</v>
      </c>
      <c r="AE71" s="796">
        <f t="shared" ca="1" si="375"/>
        <v>440000.00000000006</v>
      </c>
      <c r="AF71" s="796">
        <f ca="1">-IF(ISNUMBER(AA71),RZ[[#This Row],[Celková cena bez DPH (1)]]-RZ[[#This Row],[Jednotková cena bez DPH '[cena/MJCR'] bez koef. (P0)]]*AA71,0)</f>
        <v>-40000.000000000058</v>
      </c>
      <c r="AG7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1510.9890109890111</v>
      </c>
      <c r="AH71" s="261"/>
      <c r="AI71" s="796">
        <f t="shared" ca="1" si="376"/>
        <v>1018.5185185185187</v>
      </c>
      <c r="AJ71" s="796">
        <f t="shared" ca="1" si="377"/>
        <v>16296.296296296299</v>
      </c>
      <c r="AK71" s="796">
        <f t="shared" ca="1" si="378"/>
        <v>-1481.4814814814836</v>
      </c>
      <c r="AL71" s="753">
        <f ca="1">RZ[[#This Row],[Kilogramová cena bez DPH '[cena/kg'] (1)]]/$AK$13</f>
        <v>55.962555962555967</v>
      </c>
      <c r="AM71" s="261"/>
      <c r="AN71" s="796">
        <f t="shared" ca="1" si="379"/>
        <v>1328.5024154589373</v>
      </c>
      <c r="AO71" s="796">
        <f t="shared" ca="1" si="380"/>
        <v>21256.038647342997</v>
      </c>
      <c r="AP71" s="796">
        <f t="shared" ca="1" si="381"/>
        <v>-1932.3671497584569</v>
      </c>
      <c r="AQ71" s="753">
        <f ca="1">RZ[[#This Row],[Kilogramová cena bez DPH '[cena/kg'] (1)]]/$AP$13</f>
        <v>72.994638212029528</v>
      </c>
      <c r="AR71" s="261"/>
      <c r="AS71" s="796">
        <f t="shared" ca="1" si="382"/>
        <v>752.18818380743983</v>
      </c>
      <c r="AT71" s="796">
        <f t="shared" ca="1" si="383"/>
        <v>12035.010940919037</v>
      </c>
      <c r="AU71" s="789">
        <f t="shared" ca="1" si="384"/>
        <v>-1094.0919037199139</v>
      </c>
      <c r="AV71" s="767">
        <f ca="1">RZ[[#This Row],[Kilogramová cena bez DPH '[cena/kg'] (1)]]/$AU$13</f>
        <v>41.329021088320872</v>
      </c>
      <c r="AW71" s="165"/>
      <c r="AX71" s="911">
        <f t="shared" ca="1" si="385"/>
        <v>2</v>
      </c>
      <c r="AY71" s="111">
        <f t="shared" ca="1" si="386"/>
        <v>2</v>
      </c>
      <c r="AZ71" s="111">
        <f t="shared" ca="1" si="387"/>
        <v>16</v>
      </c>
      <c r="BA71" s="111">
        <f t="shared" ca="1" si="388"/>
        <v>0</v>
      </c>
      <c r="BB71" s="111">
        <f t="shared" ca="1" si="389"/>
        <v>0</v>
      </c>
      <c r="BC71" s="111">
        <f t="shared" ca="1" si="390"/>
        <v>0</v>
      </c>
      <c r="BD71" s="111">
        <f t="shared" ca="1" si="391"/>
        <v>0</v>
      </c>
      <c r="BE71" s="111">
        <f t="shared" ca="1" si="392"/>
        <v>0</v>
      </c>
      <c r="BF71" s="111">
        <f t="shared" ca="1" si="393"/>
        <v>0</v>
      </c>
      <c r="BG71" s="112">
        <f t="shared" ca="1" si="394"/>
        <v>0</v>
      </c>
      <c r="BH71" s="911">
        <f t="shared" si="395"/>
        <v>0</v>
      </c>
      <c r="BI71" s="111">
        <f t="shared" si="396"/>
        <v>0</v>
      </c>
      <c r="BJ71" s="111">
        <f t="shared" si="397"/>
        <v>1</v>
      </c>
      <c r="BK71" s="111">
        <f t="shared" si="398"/>
        <v>0</v>
      </c>
      <c r="BL71" s="111">
        <f t="shared" si="399"/>
        <v>0</v>
      </c>
      <c r="BM71" s="111">
        <f t="shared" si="400"/>
        <v>0</v>
      </c>
      <c r="BN71" s="111">
        <f t="shared" si="401"/>
        <v>0</v>
      </c>
      <c r="BO71" s="111">
        <f t="shared" si="402"/>
        <v>0</v>
      </c>
      <c r="BP71" s="111">
        <f t="shared" si="403"/>
        <v>0</v>
      </c>
      <c r="BQ71" s="112">
        <f t="shared" si="404"/>
        <v>0</v>
      </c>
      <c r="BR71" s="132">
        <f ca="1">IF(OFFSET(AY71,1,0,1,1)&lt;&gt;0,RZ[[#This Row],[Koeficient odhadu HR '[-'] (P1)]]*$BH71*SUMIFS(RZ[Úroveň 2 s koef. (P2)],RZ[0],AX71),RZ[[#This Row],[Koeficient odhadu HR '[-'] (P1)]]*$BH71*$IG71)</f>
        <v>0</v>
      </c>
      <c r="BS71" s="186">
        <f ca="1">IF(OFFSET(AY71,1,0,1,1)&lt;&gt;0,$BH71*SUMIFS(RZ[Úroveň 2 bez koef. (P2)],RZ[0],AX71),$BH71*$IG71)</f>
        <v>0</v>
      </c>
      <c r="BT71" s="138">
        <f ca="1">RZ[[#This Row],[Úroveň 2 s koef. (P2a)]]*RZ[[#This Row],[Počet MJHR (P0)]]</f>
        <v>0</v>
      </c>
      <c r="BU71" s="138">
        <f ca="1">RZ[[#This Row],[Úroveň 2 bez koef. (P2a)]]*RZ[[#This Row],[Počet MJHR (P0)]]</f>
        <v>0</v>
      </c>
      <c r="BV71" s="138">
        <f ca="1">IF(OFFSET(AZ71,1,0,1,1)&lt;&gt;0,RZ[[#This Row],[Koeficient odhadu HR '[-'] (P1)]]*$BI71*SUMIFS(RZ[Úroveň 3 s koef. (P2)],RZ[0],AX71,RZ[Úroveň 2 (P0)],AY71),RZ[[#This Row],[Koeficient odhadu HR '[-'] (P1)]]*$BI71*$IG71)</f>
        <v>0</v>
      </c>
      <c r="BW71" s="138">
        <f ca="1">IF(OFFSET(AZ71,1,0,1,1)&lt;&gt;0,$BI71*SUMIFS(RZ[Úroveň 3 bez koef. (P2)],RZ[0],AX71,RZ[Úroveň 2 (P0)],AY71),$BI71*$IG71)</f>
        <v>0</v>
      </c>
      <c r="BX71" s="132">
        <f ca="1">RZ[[#This Row],[Úroveň 3 s koef. (P2a)]]*RZ[[#This Row],[Počet MJHR (P0)]]</f>
        <v>145.6</v>
      </c>
      <c r="BY71" s="132">
        <f ca="1">RZ[Úroveň 3 bez koef. (P2a)]*RZ[[#This Row],[Počet MJHR (P0)]]</f>
        <v>145.6</v>
      </c>
      <c r="BZ71" s="132">
        <f ca="1">IF(OFFSET(BA71,1,0,1,1)&lt;&gt;0,RZ[[#This Row],[Koeficient odhadu HR '[-'] (P1)]]*$BJ71*SUMIFS(RZ[Úroveň 4 s koef. (P2)],RZ[0],AX71,RZ[Úroveň 2 (P0)],AY71,RZ[Úroveň 3 (P0)],AZ71),RZ[[#This Row],[Koeficient odhadu HR '[-'] (P1)]]*$BJ71*$IG71)</f>
        <v>18.2</v>
      </c>
      <c r="CA71" s="132">
        <f ca="1">IF(OFFSET(BA71,1,0,1,1)&lt;&gt;0,$BJ71*SUMIFS(RZ[Úroveň 4 bez koef. (P2)],RZ[0],AX71,RZ[Úroveň 2 (P0)],AY71,RZ[Úroveň 3 (P0)],AZ71),$BJ71*$IG71)</f>
        <v>18.2</v>
      </c>
      <c r="CB71" s="138">
        <f ca="1">RZ[[#This Row],[Úroveň 4 s koef. (P2a)]]*RZ[[#This Row],[Počet MJHR (P0)]]</f>
        <v>0</v>
      </c>
      <c r="CC71" s="138">
        <f ca="1">RZ[Úroveň 4 bez koef. (P2a)]*RZ[[#This Row],[Počet MJHR (P0)]]</f>
        <v>0</v>
      </c>
      <c r="CD71" s="138">
        <f ca="1">IF(OFFSET(BB71,1,0,1,1)&lt;&gt;0,RZ[[#This Row],[Koeficient odhadu HR '[-'] (P1)]]*$BK71*SUMIFS(RZ[Úroveň 5 s koef. (P2)],RZ[0],AX71,RZ[Úroveň 2 (P0)],AY71,RZ[Úroveň 3 (P0)],AZ71,RZ[Úroveň 4 (P0)],BA71),RZ[[#This Row],[Koeficient odhadu HR '[-'] (P1)]]*$BK71*$IG71)</f>
        <v>0</v>
      </c>
      <c r="CE71" s="138">
        <f ca="1">IF(OFFSET(BB71,1,0,1,1)&lt;&gt;0,$BK71*SUMIFS(RZ[Úroveň 5 bez koef. (P2)],RZ[0],AX71,RZ[Úroveň 2 (P0)],AY71,RZ[Úroveň 3 (P0)],AZ71,RZ[Úroveň 4 (P0)],BA71),$BK71*$IG71)</f>
        <v>0</v>
      </c>
      <c r="CF71" s="132">
        <f ca="1">RZ[[#This Row],[Úroveň 5 s koef. (P2a)]]*RZ[[#This Row],[Počet MJHR (P0)]]</f>
        <v>0</v>
      </c>
      <c r="CG71" s="132">
        <f ca="1">RZ[Úroveň 5 bez koef. (P2a)]*RZ[[#This Row],[Počet MJHR (P0)]]</f>
        <v>0</v>
      </c>
      <c r="CH71" s="132">
        <f ca="1">IF(OFFSET(BC71,1,0,1,1)&lt;&gt;0,RZ[[#This Row],[Koeficient odhadu HR '[-'] (P1)]]*$BL71*SUMIFS(RZ[Úroveň 6 s koef. (P2)],RZ[0],AX71,RZ[Úroveň 2 (P0)],AY71,RZ[Úroveň 3 (P0)],AZ71,RZ[Úroveň 4 (P0)],BA71,RZ[Úroveň 5 (P0)],BB71),RZ[[#This Row],[Koeficient odhadu HR '[-'] (P1)]]*$BL71*$IG71)</f>
        <v>0</v>
      </c>
      <c r="CI71" s="132">
        <f ca="1">IF(OFFSET(BC71,1,0,1,1)&lt;&gt;0,$BL71*SUMIFS(RZ[Úroveň 6 bez koef. (P2)],RZ[0],AX71,RZ[Úroveň 2 (P0)],AY71,RZ[Úroveň 3 (P0)],AZ71,RZ[Úroveň 4 (P0)],BA71,RZ[Úroveň 5 (P0)],BB71),$BL71*$IG71)</f>
        <v>0</v>
      </c>
      <c r="CJ71" s="138">
        <f ca="1">RZ[[#This Row],[Úroveň 6 s koef. (P2a)]]*RZ[[#This Row],[Počet MJHR (P0)]]</f>
        <v>0</v>
      </c>
      <c r="CK71" s="138">
        <f ca="1">RZ[Úroveň 6 bez koef. (P2a)]*RZ[[#This Row],[Počet MJHR (P0)]]</f>
        <v>0</v>
      </c>
      <c r="CL71" s="138">
        <f ca="1">IF(OFFSET(BD71,1,0,1,1)&lt;&gt;0,RZ[[#This Row],[Koeficient odhadu HR '[-'] (P1)]]*$BM71*SUMIFS(RZ[Úroveň 7 s koef. (P2)],RZ[0],AX71,RZ[Úroveň 2 (P0)],AY71,RZ[Úroveň 3 (P0)],AZ71,RZ[Úroveň 4 (P0)],BA71,RZ[Úroveň 5 (P0)],BB71,RZ[Úroveň 6 (P0)],BC71),RZ[[#This Row],[Koeficient odhadu HR '[-'] (P1)]]*$BM71*$IG71)</f>
        <v>0</v>
      </c>
      <c r="CM71" s="138">
        <f ca="1">IF(OFFSET(BD71,1,0,1,1)&lt;&gt;0,$BM71*SUMIFS(RZ[Úroveň 7 bez koef. (P2)],RZ[0],AX71,RZ[Úroveň 2 (P0)],AY71,RZ[Úroveň 3 (P0)],AZ71,RZ[Úroveň 4 (P0)],BA71,RZ[Úroveň 5 (P0)],BB71,RZ[Úroveň 6 (P0)],BC71),$BM71*$IG71)</f>
        <v>0</v>
      </c>
      <c r="CN71" s="132">
        <f ca="1">RZ[[#This Row],[Úroveň 7 s koef. (P2a)]]*RZ[[#This Row],[Počet MJHR (P0)]]</f>
        <v>0</v>
      </c>
      <c r="CO71" s="132">
        <f ca="1">RZ[Úroveň 7 bez koef. (P2a)]*RZ[[#This Row],[Počet MJHR (P0)]]</f>
        <v>0</v>
      </c>
      <c r="CP71" s="132">
        <f ca="1">IF(OFFSET(BE71,1,0,1,1)&lt;&gt;0,RZ[[#This Row],[Koeficient odhadu HR '[-'] (P1)]]*$BN71*SUMIFS(RZ[Úroveň 8 s koef. (P2)],RZ[0],AX71,RZ[Úroveň 2 (P0)],AY71,RZ[Úroveň 3 (P0)],AZ71,RZ[Úroveň 4 (P0)],BA71,RZ[Úroveň 5 (P0)],BB71,RZ[Úroveň 6 (P0)],BC71,RZ[Úroveň 7 (P0)],BD71),RZ[[#This Row],[Koeficient odhadu HR '[-'] (P1)]]*$BN71*$IG71)</f>
        <v>0</v>
      </c>
      <c r="CQ71" s="132">
        <f ca="1">IF(OFFSET(BE71,1,0,1,1)&lt;&gt;0,$BN71*SUMIFS(RZ[Úroveň 8 bez koef. (P2)],RZ[0],AX71,RZ[Úroveň 2 (P0)],AY71,RZ[Úroveň 3 (P0)],AZ71,RZ[Úroveň 4 (P0)],BA71,RZ[Úroveň 5 (P0)],BB71,RZ[Úroveň 6 (P0)],BC71,RZ[Úroveň 7 (P0)],BD71),$BN71*$IG71)</f>
        <v>0</v>
      </c>
      <c r="CR71" s="138">
        <f ca="1">RZ[[#This Row],[Úroveň 8 s koef. (P2a)]]*RZ[[#This Row],[Počet MJHR (P0)]]</f>
        <v>0</v>
      </c>
      <c r="CS71" s="138">
        <f ca="1">RZ[Úroveň 8 bez koef. (P2a)]*RZ[[#This Row],[Počet MJHR (P0)]]</f>
        <v>0</v>
      </c>
      <c r="CT71" s="138">
        <f ca="1">IF(OFFSET(BF71,1,0,1,1)&lt;&gt;0,RZ[[#This Row],[Koeficient odhadu HR '[-'] (P1)]]*$BO71*SUMIFS(RZ[Úroveň 9 s koef. (P2)],RZ[0],AX71,RZ[Úroveň 2 (P0)],AY71,RZ[Úroveň 3 (P0)],AZ71,RZ[Úroveň 4 (P0)],BA71,RZ[Úroveň 5 (P0)],BB71,RZ[Úroveň 6 (P0)],BC71,RZ[Úroveň 7 (P0)],BD71,RZ[Úroveň 8 (P0)],BE71),RZ[[#This Row],[Koeficient odhadu HR '[-'] (P1)]]*$BO71*$IG71)</f>
        <v>0</v>
      </c>
      <c r="CU71" s="138">
        <f ca="1">IF(OFFSET(BF71,1,0,1,1)&lt;&gt;0,$BO71*SUMIFS(RZ[Úroveň 9 bez koef. (P2)],RZ[0],AX71,RZ[Úroveň 2 (P0)],AY71,RZ[Úroveň 3 (P0)],AZ71,RZ[Úroveň 4 (P0)],BA71,RZ[Úroveň 5 (P0)],BB71,RZ[Úroveň 6 (P0)],BC71,RZ[Úroveň 7 (P0)],BD71,RZ[Úroveň 8 (P0)],BE71),$BO71*$IG71)</f>
        <v>0</v>
      </c>
      <c r="CV71" s="132">
        <f ca="1">RZ[[#This Row],[Úroveň 9 s koef. (P2a)]]*RZ[[#This Row],[Počet MJHR (P0)]]</f>
        <v>0</v>
      </c>
      <c r="CW71" s="132">
        <f ca="1">RZ[Úroveň 9 bez koef. (P2a)]*RZ[[#This Row],[Počet MJHR (P0)]]</f>
        <v>0</v>
      </c>
      <c r="CX71" s="132">
        <f ca="1">IF(OFFSET(BG71,1,0,1,1)&lt;&gt;0,RZ[[#This Row],[Koeficient odhadu HR '[-'] (P1)]]*$BP71*SUMIFS(RZ[Úroveň 10 s koef. (P2)],RZ[0],AX71,RZ[Úroveň 2 (P0)],AY71,RZ[Úroveň 3 (P0)],AZ71,RZ[Úroveň 4 (P0)],BA71,RZ[Úroveň 5 (P0)],BB71,RZ[Úroveň 6 (P0)],BC71,RZ[Úroveň 7 (P0)],BD71,RZ[Úroveň 8 (P0)],BE71,RZ[Úroveň 9 (P0)],BF71),RZ[[#This Row],[Koeficient odhadu HR '[-'] (P1)]]*$BP71*$IG71)</f>
        <v>0</v>
      </c>
      <c r="CY71" s="132">
        <f ca="1">IF(OFFSET(BG71,1,0,1,1)&lt;&gt;0,$BP71*SUMIFS(RZ[Úroveň 10 bez koef. (P2)],RZ[0],AX71,RZ[Úroveň 2 (P0)],AY71,RZ[Úroveň 3 (P0)],AZ71,RZ[Úroveň 4 (P0)],BA71,RZ[Úroveň 5 (P0)],BB71,RZ[Úroveň 6 (P0)],BC71,RZ[Úroveň 7 (P0)],BD71,RZ[Úroveň 8 (P0)],BE71,RZ[Úroveň 9 (P0)],BF71),$BP71*$IG71)</f>
        <v>0</v>
      </c>
      <c r="CZ71" s="138">
        <f>RZ[[#This Row],[Úroveň 10 s koef. (P2a)]]*RZ[[#This Row],[Počet MJHR (P0)]]</f>
        <v>0</v>
      </c>
      <c r="DA71" s="138">
        <f>RZ[Úroveň 10 bez koef. (P2a)]*RZ[[#This Row],[Počet MJHR (P0)]]</f>
        <v>0</v>
      </c>
      <c r="DB71" s="138">
        <f>RZ[[#This Row],[Koeficient odhadu HR '[-'] (P1)]]*$BQ71*IG71</f>
        <v>0</v>
      </c>
      <c r="DC71" s="231">
        <f t="shared" si="405"/>
        <v>0</v>
      </c>
      <c r="DD71" s="241">
        <f t="shared" ca="1" si="406"/>
        <v>18.2</v>
      </c>
      <c r="DE71" s="229">
        <f t="shared" ca="1" si="407"/>
        <v>18.2</v>
      </c>
      <c r="DF71" s="912">
        <f t="shared" si="408"/>
        <v>0</v>
      </c>
      <c r="DG71" s="913">
        <f t="shared" si="409"/>
        <v>0</v>
      </c>
      <c r="DH71" s="913">
        <f t="shared" si="410"/>
        <v>8</v>
      </c>
      <c r="DI71" s="913">
        <f t="shared" si="411"/>
        <v>0</v>
      </c>
      <c r="DJ71" s="913">
        <f t="shared" si="412"/>
        <v>0</v>
      </c>
      <c r="DK71" s="913">
        <f t="shared" si="413"/>
        <v>0</v>
      </c>
      <c r="DL71" s="913">
        <f t="shared" si="414"/>
        <v>0</v>
      </c>
      <c r="DM71" s="913">
        <f t="shared" si="415"/>
        <v>0</v>
      </c>
      <c r="DN71" s="913">
        <f t="shared" si="416"/>
        <v>0</v>
      </c>
      <c r="DO71" s="913">
        <f t="shared" si="417"/>
        <v>0</v>
      </c>
      <c r="DP71" s="914">
        <f ca="1">SUMIFS(RZ[Úroveň 1 (P4)],RZ[0],AX71)</f>
        <v>1</v>
      </c>
      <c r="DQ71" s="914">
        <f ca="1">SUMIFS(RZ[Úroveň 2 (P4)],RZ[0],AX71,RZ[Úroveň 2 (P0)],AY71)</f>
        <v>2</v>
      </c>
      <c r="DR71" s="914">
        <f ca="1">SUMIFS(RZ[Úroveň 3 (P4)],RZ[0],AX71,RZ[Úroveň 2 (P0)],AY71,RZ[Úroveň 3 (P0)],AZ71)</f>
        <v>8</v>
      </c>
      <c r="DS71" s="914">
        <f ca="1">SUMIFS(RZ[Úroveň 4 (P4)],RZ[0],AX71,RZ[Úroveň 2 (P0)],AY71,RZ[Úroveň 3 (P0)],AZ71,RZ[Úroveň 4 (P0)],BA71)</f>
        <v>0</v>
      </c>
      <c r="DT71" s="914">
        <f ca="1">SUMIFS(RZ[Úroveň 5 (P4)],RZ[0],AX71,RZ[Úroveň 2 (P0)],AY71,RZ[Úroveň 3 (P0)],AZ71,RZ[Úroveň 4 (P0)],BA71,RZ[Úroveň 5 (P0)],BB71)</f>
        <v>0</v>
      </c>
      <c r="DU71" s="914">
        <f ca="1">SUMIFS(RZ[Úroveň 6 (P4)],RZ[0],AX71,RZ[Úroveň 2 (P0)],AY71,RZ[Úroveň 3 (P0)],AZ71,RZ[Úroveň 4 (P0)],BA71,RZ[Úroveň 5 (P0)],BB71,RZ[Úroveň 6 (P0)],BC71)</f>
        <v>0</v>
      </c>
      <c r="DV71" s="914">
        <f ca="1">SUMIFS(RZ[Úroveň 7 (P4)],RZ[0],AX71,RZ[Úroveň 2 (P0)],AY71,RZ[Úroveň 3 (P0)],AZ71,RZ[Úroveň 4 (P0)],BA71,RZ[Úroveň 5 (P0)],BB71,RZ[Úroveň 6 (P0)],BC71,RZ[Úroveň 7 (P0)],BD71)</f>
        <v>0</v>
      </c>
      <c r="DW71" s="914">
        <f ca="1">SUMIFS(RZ[Úroveň 8 (P4)],RZ[0],AX71,RZ[Úroveň 2 (P0)],AY71,RZ[Úroveň 3 (P0)],AZ71,RZ[Úroveň 4 (P0)],BA71,RZ[Úroveň 5 (P0)],BB71,RZ[Úroveň 6 (P0)],BC71,RZ[Úroveň 7 (P0)],BD71,RZ[Úroveň 8 (P0)],BE71)</f>
        <v>0</v>
      </c>
      <c r="DX71" s="914">
        <f ca="1">SUMIFS(RZ[Úroveň 9 (P4)],RZ[0],AX71,RZ[Úroveň 2 (P0)],AY71,RZ[Úroveň 3 (P0)],AZ71,RZ[Úroveň 4 (P0)],BA71,RZ[Úroveň 5 (P0)],BB71,RZ[Úroveň 6 (P0)],BC71,RZ[Úroveň 7 (P0)],BD71,RZ[Úroveň 8 (P0)],BE71,RZ[Úroveň 9 (P0)],BF71)</f>
        <v>0</v>
      </c>
      <c r="DY71" s="914">
        <f ca="1">SUMIFS(RZ[Úroveň 10 (P4)],RZ[0],AX71,RZ[Úroveň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DZ71" s="915">
        <f t="shared" ca="1" si="418"/>
        <v>16</v>
      </c>
      <c r="EA71" s="916">
        <f ca="1">RZ[[#This Row],[Jednotková hmotnost bez koef. '[kg/MJHR'] (P0)]]*RZ[[#This Row],[Počet MJHR v rozpadu (P0)]]</f>
        <v>291.2</v>
      </c>
      <c r="EB71" s="917">
        <f ca="1">IF(OFFSET(AY71,1,0,1,1)&lt;&gt;0,RZ[[#This Row],[Koeficient odhadu CR '[-'] (P1)]]*$BH71*SUMIFS(RZ[Úroveň 2 s koef. (P3)],RZ[0],AX71),RZ[[#This Row],[Koeficient odhadu CR '[-'] (P1)]]*$BH71*$IQ71)</f>
        <v>0</v>
      </c>
      <c r="EC71" s="191">
        <f ca="1">IF(OFFSET(AY71,1,0,1,1)&lt;&gt;0,$BH71*SUMIFS(RZ[Úroveň 2 bez koef. (P3)],RZ[0],AX71),$BH71*$IQ71)</f>
        <v>0</v>
      </c>
      <c r="ED71" s="140">
        <f ca="1">RZ[[#This Row],[Úroveň 2 s koef. (P3a)]]*RZ[[#This Row],[Počet MJCR (P0) pro "kg"]]</f>
        <v>0</v>
      </c>
      <c r="EE71" s="140">
        <f ca="1">RZ[Úroveň 2 bez koef. (P3a)]*RZ[[#This Row],[Počet MJCR (P0) pro "kg"]]</f>
        <v>0</v>
      </c>
      <c r="EF71" s="140">
        <f ca="1">IF(OFFSET(AZ71,1,0,1,1)&lt;&gt;0,RZ[[#This Row],[Koeficient odhadu CR '[-'] (P1)]]*$BI71*SUMIFS(RZ[Úroveň 3 s koef. (P3)],RZ[0],AX71,RZ[Úroveň 2 (P0)],AY71),RZ[[#This Row],[Koeficient odhadu CR '[-'] (P1)]]*$BI71*$IQ71)</f>
        <v>0</v>
      </c>
      <c r="EG71" s="140">
        <f ca="1">IF(OFFSET(AZ71,1,0,1,1)&lt;&gt;0,$BI71*SUMIFS(RZ[Úroveň 3 bez koef. (P3)],RZ[0],AX71,RZ[Úroveň 2 (P0)],AY71),$BI71*$IQ71)</f>
        <v>0</v>
      </c>
      <c r="EH71" s="135">
        <f ca="1">RZ[[#This Row],[Úroveň 3 s koef. (P3a)]]*RZ[[#This Row],[Počet MJCR (P0) pro "kg"]]</f>
        <v>220000.00000000003</v>
      </c>
      <c r="EI71" s="135">
        <f ca="1">RZ[Úroveň 3 bez koef. (P3a)]*RZ[[#This Row],[Počet MJCR (P0) pro "kg"]]</f>
        <v>200000</v>
      </c>
      <c r="EJ71" s="135">
        <f ca="1">IF(OFFSET(BA71,1,0,1,1)&lt;&gt;0,RZ[[#This Row],[Koeficient odhadu CR '[-'] (P1)]]*$BJ71*SUMIFS(RZ[Úroveň 4 s koef. (P3)],RZ[0],AX71,RZ[Úroveň 2 (P0)],AY71,RZ[Úroveň 3 (P0)],AZ71),RZ[[#This Row],[Koeficient odhadu CR '[-'] (P1)]]*$BJ71*$IQ71)</f>
        <v>27500.000000000004</v>
      </c>
      <c r="EK71" s="135">
        <f ca="1">IF(OFFSET(BA71,1,0,1,1)&lt;&gt;0,$BJ71*SUMIFS(RZ[Úroveň 4 bez koef. (P3)],RZ[0],AX71,RZ[Úroveň 2 (P0)],AY71,RZ[Úroveň 3 (P0)],AZ71),$BJ71*$IQ71)</f>
        <v>25000</v>
      </c>
      <c r="EL71" s="140">
        <f ca="1">RZ[[#This Row],[Úroveň 4 s koef. (P3a)]]*RZ[[#This Row],[Počet MJCR (P0) pro "kg"]]</f>
        <v>0</v>
      </c>
      <c r="EM71" s="140">
        <f ca="1">RZ[Úroveň 4 bez koef. (P3a)]*RZ[[#This Row],[Počet MJCR (P0) pro "kg"]]</f>
        <v>0</v>
      </c>
      <c r="EN71" s="140">
        <f ca="1">IF(OFFSET(BB71,1,0,1,1)&lt;&gt;0,RZ[[#This Row],[Koeficient odhadu CR '[-'] (P1)]]*$BK71*SUMIFS(RZ[Úroveň 5 s koef. (P3)],RZ[0],AX71,RZ[Úroveň 2 (P0)],AY71,RZ[Úroveň 3 (P0)],AZ71,RZ[Úroveň 4 (P0)],BA71),RZ[[#This Row],[Koeficient odhadu CR '[-'] (P1)]]*$BK71*$IQ71)</f>
        <v>0</v>
      </c>
      <c r="EO71" s="140">
        <f ca="1">IF(OFFSET(BB71,1,0,1,1)&lt;&gt;0,$BK71*SUMIFS(RZ[Úroveň 5 bez koef. (P3)],RZ[0],AX71,RZ[Úroveň 2 (P0)],AY71,RZ[Úroveň 3 (P0)],AZ71,RZ[Úroveň 4 (P0)],BA71),$BK71*$IQ71)</f>
        <v>0</v>
      </c>
      <c r="EP71" s="135">
        <f ca="1">RZ[[#This Row],[Úroveň 5 s koef. (P3a)]]*RZ[[#This Row],[Počet MJCR (P0) pro "kg"]]</f>
        <v>0</v>
      </c>
      <c r="EQ71" s="135">
        <f ca="1">RZ[Úroveň 5 bez koef. (P3a)]*RZ[[#This Row],[Počet MJCR (P0) pro "kg"]]</f>
        <v>0</v>
      </c>
      <c r="ER71" s="135">
        <f ca="1">IF(OFFSET(BC71,1,0,1,1)&lt;&gt;0,RZ[[#This Row],[Koeficient odhadu CR '[-'] (P1)]]*$BL71*SUMIFS(RZ[Úroveň 6 s koef. (P3)],RZ[0],AX71,RZ[Úroveň 2 (P0)],AY71,RZ[Úroveň 3 (P0)],AZ71,RZ[Úroveň 4 (P0)],BA71,RZ[Úroveň 5 (P0)],BB71),RZ[[#This Row],[Koeficient odhadu CR '[-'] (P1)]]*$BL71*$IQ71)</f>
        <v>0</v>
      </c>
      <c r="ES71" s="135">
        <f ca="1">IF(OFFSET(BC71,1,0,1,1)&lt;&gt;0,$BL71*SUMIFS(RZ[Úroveň 6 bez koef. (P3)],RZ[0],AX71,RZ[Úroveň 2 (P0)],AY71,RZ[Úroveň 3 (P0)],AZ71,RZ[Úroveň 4 (P0)],BA71,RZ[Úroveň 5 (P0)],BB71),$BL71*$IQ71)</f>
        <v>0</v>
      </c>
      <c r="ET71" s="140">
        <f ca="1">RZ[[#This Row],[Úroveň 6 s koef. (P3a)]]*RZ[[#This Row],[Počet MJCR (P0) pro "kg"]]</f>
        <v>0</v>
      </c>
      <c r="EU71" s="140">
        <f ca="1">RZ[Úroveň 6 bez koef. (P3a)]*RZ[[#This Row],[Počet MJCR (P0) pro "kg"]]</f>
        <v>0</v>
      </c>
      <c r="EV71" s="140">
        <f ca="1">IF(OFFSET(BD71,1,0,1,1)&lt;&gt;0,RZ[[#This Row],[Koeficient odhadu CR '[-'] (P1)]]*$BM71*SUMIFS(RZ[Úroveň 7 s koef. (P3)],RZ[0],AX71,RZ[Úroveň 2 (P0)],AY71,RZ[Úroveň 3 (P0)],AZ71,RZ[Úroveň 4 (P0)],BA71,RZ[Úroveň 5 (P0)],BB71,RZ[Úroveň 6 (P0)],BC71),RZ[[#This Row],[Koeficient odhadu CR '[-'] (P1)]]*$BM71*$IQ71)</f>
        <v>0</v>
      </c>
      <c r="EW71" s="140">
        <f ca="1">IF(OFFSET(BD71,1,0,1,1)&lt;&gt;0,$BM71*SUMIFS(RZ[Úroveň 7 bez koef. (P3)],RZ[0],AX71,RZ[Úroveň 2 (P0)],AY71,RZ[Úroveň 3 (P0)],AZ71,RZ[Úroveň 4 (P0)],BA71,RZ[Úroveň 5 (P0)],BB71,RZ[Úroveň 6 (P0)],BC71),$BM71*$IQ71)</f>
        <v>0</v>
      </c>
      <c r="EX71" s="135">
        <f ca="1">RZ[[#This Row],[Úroveň 7 s koef. (P3a)]]*RZ[[#This Row],[Počet MJCR (P0) pro "kg"]]</f>
        <v>0</v>
      </c>
      <c r="EY71" s="135">
        <f ca="1">RZ[Úroveň 7 bez koef. (P3a)]*RZ[[#This Row],[Počet MJCR (P0) pro "kg"]]</f>
        <v>0</v>
      </c>
      <c r="EZ71" s="135">
        <f ca="1">IF(OFFSET(BE71,1,0,1,1)&lt;&gt;0,RZ[[#This Row],[Koeficient odhadu CR '[-'] (P1)]]*$BN71*SUMIFS(RZ[Úroveň 8 s koef. (P3)],RZ[0],AX71,RZ[Úroveň 2 (P0)],AY71,RZ[Úroveň 3 (P0)],AZ71,RZ[Úroveň 4 (P0)],BA71,RZ[Úroveň 5 (P0)],BB71,RZ[Úroveň 6 (P0)],BC71,RZ[Úroveň 7 (P0)],BD71),RZ[[#This Row],[Koeficient odhadu CR '[-'] (P1)]]*$BN71*$IQ71)</f>
        <v>0</v>
      </c>
      <c r="FA71" s="135">
        <f ca="1">IF(OFFSET(BE71,1,0,1,1)&lt;&gt;0,$BN71*SUMIFS(RZ[Úroveň 8 bez koef. (P3)],RZ[0],AX71,RZ[Úroveň 2 (P0)],AY71,RZ[Úroveň 3 (P0)],AZ71,RZ[Úroveň 4 (P0)],BA71,RZ[Úroveň 5 (P0)],BB71,RZ[Úroveň 6 (P0)],BC71,RZ[Úroveň 7 (P0)],BD71),$BN71*$IQ71)</f>
        <v>0</v>
      </c>
      <c r="FB71" s="140">
        <f ca="1">RZ[[#This Row],[Úroveň 8 s koef. (P3a)]]*RZ[[#This Row],[Počet MJCR (P0) pro "kg"]]</f>
        <v>0</v>
      </c>
      <c r="FC71" s="140">
        <f ca="1">RZ[Úroveň 8 bez koef. (P3a)]*RZ[[#This Row],[Počet MJCR (P0) pro "kg"]]</f>
        <v>0</v>
      </c>
      <c r="FD71" s="140">
        <f ca="1">IF(OFFSET(BF71,1,0,1,1)&lt;&gt;0,RZ[[#This Row],[Koeficient odhadu CR '[-'] (P1)]]*$BO71*SUMIFS(RZ[Úroveň 9 s koef. (P3)],RZ[0],AX71,RZ[Úroveň 2 (P0)],AY71,RZ[Úroveň 3 (P0)],AZ71,RZ[Úroveň 4 (P0)],BA71,RZ[Úroveň 5 (P0)],BB71,RZ[Úroveň 6 (P0)],BC71,RZ[Úroveň 7 (P0)],BD71,RZ[Úroveň 8 (P0)],BE71),RZ[[#This Row],[Koeficient odhadu CR '[-'] (P1)]]*$BO71*$IQ71)</f>
        <v>0</v>
      </c>
      <c r="FE71" s="140">
        <f ca="1">IF(OFFSET(BF71,1,0,1,1)&lt;&gt;0,$BO71*SUMIFS(RZ[Úroveň 9 bez koef. (P3)],RZ[0],AX71,RZ[Úroveň 2 (P0)],AY71,RZ[Úroveň 3 (P0)],AZ71,RZ[Úroveň 4 (P0)],BA71,RZ[Úroveň 5 (P0)],BB71,RZ[Úroveň 6 (P0)],BC71,RZ[Úroveň 7 (P0)],BD71,RZ[Úroveň 8 (P0)],BE71),$BO71*$IQ71)</f>
        <v>0</v>
      </c>
      <c r="FF71" s="135">
        <f ca="1">RZ[[#This Row],[Úroveň 9 s koef. (P3a)]]*RZ[[#This Row],[Počet MJCR (P0) pro "kg"]]</f>
        <v>0</v>
      </c>
      <c r="FG71" s="135">
        <f ca="1">RZ[Úroveň 9 bez koef. (P3a)]*RZ[[#This Row],[Počet MJCR (P0) pro "kg"]]</f>
        <v>0</v>
      </c>
      <c r="FH71" s="135">
        <f ca="1">IF(OFFSET(BG71,1,0,1,1)&lt;&gt;0,RZ[[#This Row],[Koeficient odhadu CR '[-'] (P1)]]*$BP71*SUMIFS(RZ[Úroveň 10 s koef. (P3)],RZ[0],AX71,RZ[Úroveň 2 (P0)],AY71,RZ[Úroveň 3 (P0)],AZ71,RZ[Úroveň 4 (P0)],BA71,RZ[Úroveň 5 (P0)],BB71,RZ[Úroveň 6 (P0)],BC71,RZ[Úroveň 7 (P0)],BD71,RZ[Úroveň 8 (P0)],BE71,RZ[Úroveň 9 (P0)],BF71),RZ[[#This Row],[Koeficient odhadu CR '[-'] (P1)]]*$BP71*$IQ71)</f>
        <v>0</v>
      </c>
      <c r="FI71" s="135">
        <f ca="1">IF(OFFSET(BG71,1,0,1,1)&lt;&gt;0,$BP71*SUMIFS(RZ[Úroveň 10 bez koef. (P3)],RZ[0],AX71,RZ[Úroveň 2 (P0)],AY71,RZ[Úroveň 3 (P0)],AZ71,RZ[Úroveň 4 (P0)],BA71,RZ[Úroveň 5 (P0)],BB71,RZ[Úroveň 6 (P0)],BC71,RZ[Úroveň 7 (P0)],BD71,RZ[Úroveň 8 (P0)],BE71,RZ[Úroveň 9 (P0)],BF71),$BP71*$IQ71)</f>
        <v>0</v>
      </c>
      <c r="FJ71" s="140">
        <f ca="1">RZ[[#This Row],[Úroveň 10 s koef. (P3a)]]*RZ[[#This Row],[Počet MJCR (P0) pro "kg"]]</f>
        <v>0</v>
      </c>
      <c r="FK71" s="140">
        <f ca="1">RZ[Úroveň 10 bez koef. (P3a)]*RZ[[#This Row],[Počet MJCR (P0) pro "kg"]]</f>
        <v>0</v>
      </c>
      <c r="FL71" s="140">
        <f ca="1">RZ[[#This Row],[Koeficient odhadu CR '[-'] (P1)]]*$BQ71*IQ71</f>
        <v>0</v>
      </c>
      <c r="FM71" s="236">
        <f t="shared" ca="1" si="419"/>
        <v>0</v>
      </c>
      <c r="FN71" s="194">
        <f t="shared" ca="1" si="420"/>
        <v>27500.000000000004</v>
      </c>
      <c r="FO71" s="238">
        <f t="shared" ca="1" si="421"/>
        <v>25000</v>
      </c>
      <c r="FP71" s="135">
        <f t="shared" ca="1" si="422"/>
        <v>0</v>
      </c>
      <c r="FQ71" s="135">
        <f t="shared" ca="1" si="423"/>
        <v>0</v>
      </c>
      <c r="FR71" s="135">
        <f t="shared" ca="1" si="424"/>
        <v>8</v>
      </c>
      <c r="FS71" s="135">
        <f t="shared" ca="1" si="425"/>
        <v>0</v>
      </c>
      <c r="FT71" s="135">
        <f t="shared" ca="1" si="426"/>
        <v>0</v>
      </c>
      <c r="FU71" s="135">
        <f t="shared" ca="1" si="427"/>
        <v>0</v>
      </c>
      <c r="FV71" s="135">
        <f t="shared" ca="1" si="428"/>
        <v>0</v>
      </c>
      <c r="FW71" s="135">
        <f t="shared" ca="1" si="429"/>
        <v>0</v>
      </c>
      <c r="FX71" s="135">
        <f t="shared" ca="1" si="430"/>
        <v>0</v>
      </c>
      <c r="FY71" s="135">
        <f t="shared" ca="1" si="431"/>
        <v>0</v>
      </c>
      <c r="FZ71" s="140">
        <f ca="1">SUMIFS(RZ[Úroveň 1 (P6)],RZ[0],AX71)</f>
        <v>1</v>
      </c>
      <c r="GA71" s="140">
        <f ca="1">SUMIFS(RZ[Úroveň 2 (P6)],RZ[0],AX71,RZ[Úroveň 2 (P0)],AY71)</f>
        <v>2</v>
      </c>
      <c r="GB71" s="140">
        <f ca="1">SUMIFS(RZ[Úroveň 3 (P6)],RZ[0],AX71,RZ[Úroveň 2 (P0)],AY71,RZ[Úroveň 3 (P0)],AZ71)</f>
        <v>8</v>
      </c>
      <c r="GC71" s="140">
        <f ca="1">SUMIFS(RZ[Úroveň 4 (P6)],RZ[0],AX71,RZ[Úroveň 2 (P0)],AY71,RZ[Úroveň 3 (P0)],AZ71,RZ[Úroveň 4 (P0)],BA71)</f>
        <v>0</v>
      </c>
      <c r="GD71" s="140">
        <f ca="1">SUMIFS(RZ[Úroveň 5 (P6)],RZ[0],AX71,RZ[Úroveň 2 (P0)],AY71,RZ[Úroveň 3 (P0)],AZ71,RZ[Úroveň 4 (P0)],BA71,RZ[Úroveň 5 (P0)],BB71)</f>
        <v>0</v>
      </c>
      <c r="GE71" s="140">
        <f ca="1">SUMIFS(RZ[Úroveň 6 (P6)],RZ[0],AX71,RZ[Úroveň 2 (P0)],AY71,RZ[Úroveň 3 (P0)],AZ71,RZ[Úroveň 4 (P0)],BA71,RZ[Úroveň 5 (P0)],BB71,RZ[Úroveň 6 (P0)],BC71)</f>
        <v>0</v>
      </c>
      <c r="GF71" s="140">
        <f ca="1">SUMIFS(RZ[Úroveň 7 (P6)],RZ[0],AX71,RZ[Úroveň 2 (P0)],AY71,RZ[Úroveň 3 (P0)],AZ71,RZ[Úroveň 4 (P0)],BA71,RZ[Úroveň 5 (P0)],BB71,RZ[Úroveň 6 (P0)],BC71,RZ[Úroveň 7 (P0)],BD71)</f>
        <v>0</v>
      </c>
      <c r="GG71" s="140">
        <f ca="1">SUMIFS(RZ[Úroveň 8 (P6)],RZ[0],AX71,RZ[Úroveň 2 (P0)],AY71,RZ[Úroveň 3 (P0)],AZ71,RZ[Úroveň 4 (P0)],BA71,RZ[Úroveň 5 (P0)],BB71,RZ[Úroveň 6 (P0)],BC71,RZ[Úroveň 7 (P0)],BD71,RZ[Úroveň 8 (P0)],BE71)</f>
        <v>0</v>
      </c>
      <c r="GH71" s="140">
        <f ca="1">SUMIFS(RZ[Úroveň 9 (P6)],RZ[0],AX71,RZ[Úroveň 2 (P0)],AY71,RZ[Úroveň 3 (P0)],AZ71,RZ[Úroveň 4 (P0)],BA71,RZ[Úroveň 5 (P0)],BB71,RZ[Úroveň 6 (P0)],BC71,RZ[Úroveň 7 (P0)],BD71,RZ[Úroveň 8 (P0)],BE71,RZ[Úroveň 9 (P0)],BF71)</f>
        <v>0</v>
      </c>
      <c r="GI71" s="140">
        <f ca="1">SUMIFS(RZ[Úroveň 10 (P6)],RZ[0],AX71,RZ[Úroveň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GJ71" s="918">
        <f t="shared" ca="1" si="432"/>
        <v>16</v>
      </c>
      <c r="GK71" s="808">
        <f t="shared" si="433"/>
        <v>0</v>
      </c>
      <c r="GL71" s="808">
        <f t="shared" si="434"/>
        <v>0</v>
      </c>
      <c r="GM71" s="808">
        <f t="shared" si="435"/>
        <v>1.1000000000000001</v>
      </c>
      <c r="GN71" s="808">
        <f t="shared" si="436"/>
        <v>0</v>
      </c>
      <c r="GO71" s="808">
        <f t="shared" si="437"/>
        <v>0</v>
      </c>
      <c r="GP71" s="808">
        <f t="shared" si="438"/>
        <v>0</v>
      </c>
      <c r="GQ71" s="808">
        <f t="shared" si="439"/>
        <v>0</v>
      </c>
      <c r="GR71" s="808">
        <f t="shared" si="440"/>
        <v>0</v>
      </c>
      <c r="GS71" s="808">
        <f t="shared" si="441"/>
        <v>0</v>
      </c>
      <c r="GT71" s="808">
        <f t="shared" si="442"/>
        <v>0</v>
      </c>
      <c r="GU71" s="809">
        <f ca="1">SUMIFS(RZ[Sloupec1],RZ[0],AX71)</f>
        <v>1</v>
      </c>
      <c r="GV71" s="809">
        <f ca="1">SUMIFS(RZ[Sloupec2],RZ[0],AX71,RZ[Úroveň 2 (P0)],AY71)</f>
        <v>1</v>
      </c>
      <c r="GW71" s="809">
        <f ca="1">SUMIFS(RZ[Sloupec3],RZ[0],AX71,RZ[Úroveň 2 (P0)],AY71,RZ[Úroveň 3 (P0)],AZ71)</f>
        <v>1.1000000000000001</v>
      </c>
      <c r="GX71" s="809">
        <f ca="1">SUMIFS(RZ[Sloupec4],RZ[0],AX71,RZ[Úroveň 2 (P0)],AY71,RZ[Úroveň 3 (P0)],AZ71,RZ[Úroveň 4 (P0)],BA71)</f>
        <v>0</v>
      </c>
      <c r="GY71" s="809">
        <f ca="1">SUMIFS(RZ[Sloupec5],RZ[0],AX71,RZ[Úroveň 2 (P0)],AY71,RZ[Úroveň 3 (P0)],AZ71,RZ[Úroveň 4 (P0)],BA71,RZ[Úroveň 5 (P0)],BB71)</f>
        <v>0</v>
      </c>
      <c r="GZ71" s="809">
        <f ca="1">SUMIFS(RZ[Sloupec6],RZ[0],AX71,RZ[Úroveň 2 (P0)],AY71,RZ[Úroveň 3 (P0)],AZ71,RZ[Úroveň 4 (P0)],BA71,RZ[Úroveň 5 (P0)],BB71,RZ[Úroveň 6 (P0)],BC71)</f>
        <v>0</v>
      </c>
      <c r="HA71" s="809">
        <f ca="1">SUMIFS(RZ[Sloupec62],RZ[0],AX71,RZ[Úroveň 2 (P0)],AY71,RZ[Úroveň 3 (P0)],AZ71,RZ[Úroveň 4 (P0)],BA71,RZ[Úroveň 5 (P0)],BB71,RZ[Úroveň 6 (P0)],BC71,RZ[Úroveň 7 (P0)],BD71)</f>
        <v>0</v>
      </c>
      <c r="HB71" s="809">
        <f ca="1">SUMIFS(RZ[Sloupec63],RZ[0],AX71,RZ[Úroveň 2 (P0)],AY71,RZ[Úroveň 3 (P0)],AZ71,RZ[Úroveň 4 (P0)],BA71,RZ[Úroveň 5 (P0)],BB71,RZ[Úroveň 6 (P0)],BC71,RZ[Úroveň 7 (P0)],BD71,RZ[Úroveň 8 (P0)],BE71)</f>
        <v>0</v>
      </c>
      <c r="HC71" s="809">
        <f ca="1">SUMIFS(RZ[Sloupec64],RZ[0],AX71,RZ[Úroveň 2 (P0)],AY71,RZ[Úroveň 3 (P0)],AZ71,RZ[Úroveň 4 (P0)],BA71,RZ[Úroveň 5 (P0)],BB71,RZ[Úroveň 6 (P0)],BC71,RZ[Úroveň 7 (P0)],BD71,RZ[Úroveň 8 (P0)],BE71,RZ[Úroveň 9 (P0)],BF71)</f>
        <v>0</v>
      </c>
      <c r="HD71" s="809">
        <f ca="1">SUMIFS(RZ[Sloupec65],RZ[0],AX71,RZ[Úroveň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HE71" s="919">
        <f t="shared" ca="1" si="443"/>
        <v>1.1000000000000001</v>
      </c>
      <c r="HF71" s="920" t="str">
        <f t="shared" si="444"/>
        <v/>
      </c>
      <c r="HG71" s="94" t="str">
        <f t="shared" si="445"/>
        <v/>
      </c>
      <c r="HH71" s="95" t="str">
        <f t="shared" si="446"/>
        <v/>
      </c>
      <c r="HI71" s="95" t="str">
        <f t="shared" si="447"/>
        <v>Ložisko 22322</v>
      </c>
      <c r="HJ71" s="96" t="str">
        <f t="shared" si="448"/>
        <v/>
      </c>
      <c r="HK71" s="96" t="str">
        <f t="shared" si="449"/>
        <v/>
      </c>
      <c r="HL71" s="96" t="str">
        <f t="shared" si="450"/>
        <v/>
      </c>
      <c r="HM71" s="96" t="str">
        <f t="shared" si="451"/>
        <v/>
      </c>
      <c r="HN71" s="96" t="str">
        <f t="shared" si="452"/>
        <v/>
      </c>
      <c r="HO71" s="96" t="str">
        <f t="shared" si="453"/>
        <v/>
      </c>
      <c r="HP71" s="96" t="str">
        <f t="shared" si="454"/>
        <v/>
      </c>
      <c r="HQ71" s="145" t="str">
        <f t="shared" si="455"/>
        <v>STLO</v>
      </c>
      <c r="HR71" s="921" t="str">
        <f t="shared" si="456"/>
        <v/>
      </c>
      <c r="HS71" s="173">
        <f t="shared" si="457"/>
        <v>0</v>
      </c>
      <c r="HT71" s="100">
        <f t="shared" si="458"/>
        <v>0</v>
      </c>
      <c r="HU71" s="100">
        <f t="shared" si="459"/>
        <v>0</v>
      </c>
      <c r="HV71" s="908" t="str">
        <f t="shared" si="460"/>
        <v>Zajíc</v>
      </c>
      <c r="HW71" s="922">
        <f t="shared" si="461"/>
        <v>42950.608634259261</v>
      </c>
      <c r="HX71" s="224">
        <f t="shared" si="462"/>
        <v>0</v>
      </c>
      <c r="HY71" s="263" t="str">
        <f t="shared" si="463"/>
        <v>S</v>
      </c>
      <c r="HZ71" s="263" t="str">
        <f t="shared" si="464"/>
        <v>N</v>
      </c>
      <c r="IA71" s="150">
        <f t="shared" si="465"/>
        <v>1</v>
      </c>
      <c r="IB71" s="319">
        <f t="shared" si="466"/>
        <v>25000</v>
      </c>
      <c r="IC71" s="923">
        <f t="shared" si="467"/>
        <v>1.1000000000000001</v>
      </c>
      <c r="ID71" s="924" t="str">
        <f t="shared" ca="1" si="468"/>
        <v>OK</v>
      </c>
      <c r="IE71" s="201" t="str">
        <f t="shared" si="469"/>
        <v>ks</v>
      </c>
      <c r="IF71" s="145">
        <f t="shared" si="470"/>
        <v>8</v>
      </c>
      <c r="IG71" s="216">
        <f t="shared" si="471"/>
        <v>18.2</v>
      </c>
      <c r="IH71" s="217">
        <f t="shared" si="472"/>
        <v>1</v>
      </c>
      <c r="II71" s="224" t="str">
        <f ca="1">IF(RZ[[#This Row],[Rozhodný sloupec indikativní ceny]]=1,"kg",IF($IW71=$JL$15,IF(JX71=0,JO71,JX71),IF($IW71=$KE$15,IF(KQ71=0,KH71,KQ71),IF($IW71=$KX$15,IF(LJ71=0,LA71,LJ71),IF($IW71=$LQ$15,IF(MC71=0,LT71,MC71),IF($IW71=$MJ$15,IF(NQ71=0,NH71,NQ71),0))))))</f>
        <v>ks</v>
      </c>
      <c r="IJ71" s="224">
        <f ca="1">IF((BH71+OFFSET(BH71,1,1,1,1))=2,RZ[[#This Row],[Počet MJHR (P0)]],IF((BI71+OFFSET(BI71,1,1,1,1))=2,RZ[[#This Row],[Počet MJHR (P0)]],IF((BJ71+OFFSET(BJ71,1,1,1,1))=2,RZ[[#This Row],[Počet MJHR (P0)]],IF((BK71+OFFSET(BK71,1,1,1,1))=2,RZ[[#This Row],[Počet MJHR (P0)]],IF((BL71+OFFSET(BL71,1,1,1,1))=2,RZ[[#This Row],[Počet MJHR (P0)]],IF((BM71+OFFSET(BM71,1,1,1,1))=2,RZ[[#This Row],[Počet MJHR (P0)]],IF((BN71+OFFSET(BN71,1,1,1,1))=2,RZ[[#This Row],[Počet MJHR (P0)]],IF((BO71+OFFSET(BO71,1,1,1,1))=2,RZ[[#This Row],[Počet MJHR (P0)]],IF((BP71+OFFSET(BP71,1,1,1,1))=2,RZ[[#This Row],[Počet MJHR (P0)]],IF((BQ71+OFFSET(BQ71,1,1,1,1))=2,RZ[[#This Row],[Počet MJHR (P0)]],IF(RZ[[#This Row],[Měrná jednotka CR (MJCR) (P0)]]=RZ[[#This Row],[Měrná jednotka HR '[MJHR'] (P0)]],RZ[[#This Row],[Počet MJHR (P0)]],IF($IW71=$JL$15,JY71,IF($IW71=$KE$15,KR71,IF($IW71=$KX$15,LK71,IF($IW71=$LQ$15,MD71,IF($IW71=$MJ$15,NR71,0))))))))))))))))</f>
        <v>8</v>
      </c>
      <c r="IK7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71" s="145">
        <f ca="1">IF(AND(RZ[[#This Row],[Jednotková cena bez DPH '[cena/MJCR'] (P0)]]=0,RZ[[#This Row],[Indikativní jednotková cena '[CZK/kg'] (P1)]]&lt;&gt;0),1,0)</f>
        <v>0</v>
      </c>
      <c r="IM71" s="217">
        <f ca="1">VLOOKUP(RZ[[#This Row],[Kód položek]],INDIKAT_CENA,2,FALSE)</f>
        <v>0</v>
      </c>
      <c r="IN71" s="222">
        <f ca="1">IF(RZ[[#This Row],[Rozhodný sloupec indikativní ceny]]=1,RZ[[#This Row],[Indikativní jednotková cena '[CZK/kg'] (P1)]],RZ[[#This Row],[Jednotková cena bez DPH '[cena/MJCR'] (P0)]])</f>
        <v>25000</v>
      </c>
      <c r="IO71" s="222">
        <f t="shared" si="473"/>
        <v>1.1000000000000001</v>
      </c>
      <c r="IP71" s="224">
        <f ca="1">IF(RZ[[#This Row],[Rozhodný sloupec indikativní ceny]]=1,1,IF($IW71=$JL$15,KA71,IF($IW71=$KE$15,KT71,IF($IW71=$KX$15,LM71,IF($IW71=$LQ$15,MF71,IF($IW71=$MJ$15,NT71,0))))))</f>
        <v>1</v>
      </c>
      <c r="IQ71" s="225">
        <f ca="1">IF(RZ[[#This Row],[Jednotková cena bez DPH '[cena/MJCR'] (P1)]]="",0,IF(IP71=0,0,(RZ[[#This Row],[Jednotková cena bez DPH '[cena/MJCR'] (P1)]]*VLOOKUP(IP71,$BR$7:$BT$10,3))))</f>
        <v>25000</v>
      </c>
      <c r="IR71" s="737"/>
      <c r="IS71" s="627">
        <f>IF(HY71=0,"",VLOOKUP(RZ[[#This Row],[Stav Projekce (P0)]],Vstupy!$E$11:'Vstupy'!$E$11:$H$17,4,FALSE))</f>
        <v>100</v>
      </c>
      <c r="IT71" s="925" t="str">
        <f>IF(RZ[[#This Row],[Stav Projekce (P0)]]=0,"",RZ[[#This Row],[Stav Projekce (P0)]])</f>
        <v>S</v>
      </c>
      <c r="IU71" s="925" t="str">
        <f>IF(RZ[[#This Row],[Stav Nákup (P0)]]=0,"",RZ[[#This Row],[Stav Nákup (P0)]])</f>
        <v>N</v>
      </c>
      <c r="IV71" s="926" t="str">
        <f t="shared" si="474"/>
        <v>Zajíc</v>
      </c>
      <c r="IW71" s="641">
        <v>1</v>
      </c>
      <c r="IX71" s="630"/>
      <c r="IY71" s="264"/>
      <c r="IZ71" s="648"/>
      <c r="JA71" s="100"/>
      <c r="JB71" s="100" t="s">
        <v>801</v>
      </c>
      <c r="JC71" s="100"/>
      <c r="JD71" s="100"/>
      <c r="JE71" s="100"/>
      <c r="JF71" s="100"/>
      <c r="JG71" s="100"/>
      <c r="JH71" s="100"/>
      <c r="JI71" s="100"/>
      <c r="JJ71" s="145" t="s">
        <v>797</v>
      </c>
      <c r="JK71" s="529"/>
      <c r="JL71" s="286"/>
      <c r="JM71" s="100"/>
      <c r="JN71" s="100"/>
      <c r="JO71" s="145" t="s">
        <v>35</v>
      </c>
      <c r="JP71" s="117">
        <v>8</v>
      </c>
      <c r="JQ71" s="117">
        <v>18.2</v>
      </c>
      <c r="JR71" s="148">
        <v>1</v>
      </c>
      <c r="JS71" s="145" t="s">
        <v>602</v>
      </c>
      <c r="JT71" s="631"/>
      <c r="JU71" s="148" t="s">
        <v>853</v>
      </c>
      <c r="JV71" s="154">
        <v>42950.608634259261</v>
      </c>
      <c r="JW71" s="145"/>
      <c r="JX71" s="210" t="s">
        <v>35</v>
      </c>
      <c r="JY71" s="117"/>
      <c r="JZ71" s="662">
        <v>25000</v>
      </c>
      <c r="KA71" s="145">
        <v>1</v>
      </c>
      <c r="KB71" s="148">
        <v>1.1000000000000001</v>
      </c>
      <c r="KC71" s="148" t="s">
        <v>611</v>
      </c>
      <c r="KD71" s="644"/>
      <c r="KE71" s="286"/>
      <c r="KF71" s="100"/>
      <c r="KG71" s="100"/>
      <c r="KH71" s="210"/>
      <c r="KI71" s="117"/>
      <c r="KJ71" s="117"/>
      <c r="KK71" s="148"/>
      <c r="KL71" s="145"/>
      <c r="KM71" s="632"/>
      <c r="KN71" s="148"/>
      <c r="KO71" s="154"/>
      <c r="KP71" s="154"/>
      <c r="KQ71" s="210"/>
      <c r="KR71" s="117"/>
      <c r="KS71" s="211"/>
      <c r="KT71" s="145"/>
      <c r="KU71" s="148"/>
      <c r="KV71" s="148"/>
      <c r="KW71" s="265"/>
      <c r="KX71" s="286"/>
      <c r="KY71" s="100"/>
      <c r="KZ71" s="100"/>
      <c r="LA71" s="210"/>
      <c r="LB71" s="117"/>
      <c r="LC71" s="117"/>
      <c r="LD71" s="148"/>
      <c r="LE71" s="145"/>
      <c r="LF71" s="632"/>
      <c r="LG71" s="148"/>
      <c r="LH71" s="154"/>
      <c r="LI71" s="154"/>
      <c r="LJ71" s="154"/>
      <c r="LK71" s="117"/>
      <c r="LL71" s="211"/>
      <c r="LM71" s="210"/>
      <c r="LN71" s="148"/>
      <c r="LO71" s="148"/>
      <c r="LP71" s="265"/>
      <c r="LQ71" s="286"/>
      <c r="LR71" s="100"/>
      <c r="LS71" s="100"/>
      <c r="LT71" s="210"/>
      <c r="LU71" s="117"/>
      <c r="LV71" s="117"/>
      <c r="LW71" s="148"/>
      <c r="LX71" s="145"/>
      <c r="LY71" s="632"/>
      <c r="LZ71" s="148"/>
      <c r="MA71" s="154"/>
      <c r="MB71" s="154"/>
      <c r="MC71" s="145"/>
      <c r="MD71" s="117"/>
      <c r="ME71" s="211"/>
      <c r="MF71" s="210"/>
      <c r="MG71" s="148"/>
      <c r="MH71" s="148"/>
      <c r="MI71" s="265"/>
      <c r="MJ71" s="647"/>
      <c r="MK71" s="264"/>
      <c r="ML71" s="153"/>
      <c r="MM71" s="153"/>
      <c r="MN71" s="153"/>
      <c r="MO71" s="153"/>
      <c r="MP71" s="153"/>
      <c r="MQ71" s="153"/>
      <c r="MR71" s="153"/>
      <c r="MS71" s="99"/>
      <c r="MT71" s="99"/>
      <c r="MU71" s="99"/>
      <c r="MV71" s="99"/>
      <c r="MW71" s="99"/>
      <c r="MX71" s="99"/>
      <c r="MY71" s="153"/>
      <c r="MZ71" s="153"/>
      <c r="NA71" s="153"/>
      <c r="NB71" s="153"/>
      <c r="NC71" s="153"/>
      <c r="ND71" s="153"/>
      <c r="NE71" s="148"/>
      <c r="NF71" s="153"/>
      <c r="NG71" s="153"/>
      <c r="NH71" s="330" t="str">
        <f t="shared" si="475"/>
        <v>ks</v>
      </c>
      <c r="NI71" s="797">
        <f>RZ[[#This Row],[Počet ks (K)]]</f>
        <v>0</v>
      </c>
      <c r="NJ71" s="798">
        <f>RZ[[#This Row],[Hmotnost '[kg/ks'] (K)]]</f>
        <v>0</v>
      </c>
      <c r="NK71" s="148"/>
      <c r="NL71" s="145"/>
      <c r="NM71" s="632"/>
      <c r="NN71" s="148"/>
      <c r="NO71" s="154"/>
      <c r="NP71" s="153"/>
      <c r="NQ71" s="153"/>
      <c r="NR71" s="210"/>
      <c r="NS71" s="148"/>
      <c r="NT71" s="210"/>
      <c r="NU71" s="148"/>
      <c r="NV71" s="148"/>
      <c r="NW71" s="175"/>
    </row>
    <row r="72" spans="2:387" ht="15.95" customHeight="1" thickBot="1" x14ac:dyDescent="0.4">
      <c r="B72" s="118" t="str">
        <f t="shared" si="359"/>
        <v/>
      </c>
      <c r="C7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2" s="262" t="str">
        <f t="shared" si="360"/>
        <v xml:space="preserve">    Spojovací materiál</v>
      </c>
      <c r="E72" s="120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Row],[Kód položek (P2)]]))))))))))</f>
        <v>STSM</v>
      </c>
      <c r="F72" s="791" t="str">
        <f t="shared" si="361"/>
        <v>N/A</v>
      </c>
      <c r="G72" s="792" t="str">
        <f t="shared" si="362"/>
        <v/>
      </c>
      <c r="H72" s="262" t="str">
        <f t="shared" si="363"/>
        <v/>
      </c>
      <c r="I72" s="123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HR '[MJHR'] (P0)]]))))))))))</f>
        <v>ks</v>
      </c>
      <c r="J72" s="123">
        <f t="shared" si="364"/>
        <v>1</v>
      </c>
      <c r="K72" s="793">
        <f>RZ[[#This Row],[Koeficient odhadu HR '[-'] (P1)]]</f>
        <v>1</v>
      </c>
      <c r="L72" s="124">
        <f ca="1">RZ[[#This Row],[Jednotková hmotnost s koef. '[kg/MJHR'] (P0)]]</f>
        <v>20.692</v>
      </c>
      <c r="M72" s="794">
        <f t="shared" ca="1" si="365"/>
        <v>0</v>
      </c>
      <c r="N72" s="125">
        <f t="shared" ca="1" si="366"/>
        <v>20.692</v>
      </c>
      <c r="O72" s="125">
        <f t="shared" ca="1" si="367"/>
        <v>0</v>
      </c>
      <c r="P72" s="126" t="str">
        <f t="shared" si="368"/>
        <v/>
      </c>
      <c r="Q72" s="795">
        <f ca="1">RZ[[#This Row],[Počet MJHR v rozpadu (P0)]]</f>
        <v>2</v>
      </c>
      <c r="R72" s="439" t="str">
        <f t="shared" si="369"/>
        <v/>
      </c>
      <c r="S72" s="129" t="str">
        <f t="shared" si="370"/>
        <v/>
      </c>
      <c r="T72" s="126" t="str">
        <f t="shared" si="371"/>
        <v/>
      </c>
      <c r="U72" s="126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CR (MJCR) (P0)]]))))))))))</f>
        <v>kg</v>
      </c>
      <c r="V72" s="575">
        <f t="shared" ca="1" si="372"/>
        <v>20.692</v>
      </c>
      <c r="W72" s="322">
        <f>RZ[[#This Row],[Koeficient odhadu CR '[-'] (P1)]]</f>
        <v>1</v>
      </c>
      <c r="X72" s="440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Row],[Jednotková cena bez DPH '[cena/MJCR'] (P1)]]*RZ[[#This Row],[Koeficient odhadu CR '[-']]]))))))))))</f>
        <v>110</v>
      </c>
      <c r="Y72" s="440">
        <f t="shared" ca="1" si="373"/>
        <v>0</v>
      </c>
      <c r="Z72" s="142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VLOOKUP(IP72,$BR$7:$BS$11,2,FALSE)))))))))))</f>
        <v>CZK</v>
      </c>
      <c r="AA72" s="909">
        <f t="shared" ca="1" si="374"/>
        <v>41.384</v>
      </c>
      <c r="AB72" s="910">
        <f ca="1">RZ[[#This Row],[Kumulovaný koeficient v rozpadu (P0)]]</f>
        <v>1</v>
      </c>
      <c r="AC72" s="261"/>
      <c r="AD72" s="796">
        <f ca="1">RZ[[#This Row],[Jednotková cena bez DPH '[cena/MJCR'] s koef. (P0)]]/RZ[[#This Row],[Koeficient odhadu CR '[-']]]*RZ[[#This Row],[Kumulovaný koeficient odhadu CR  '[-']]]</f>
        <v>110</v>
      </c>
      <c r="AE72" s="796">
        <f t="shared" ca="1" si="375"/>
        <v>4552.24</v>
      </c>
      <c r="AF72" s="796">
        <f ca="1">-IF(ISNUMBER(AA72),RZ[[#This Row],[Celková cena bez DPH (1)]]-RZ[[#This Row],[Jednotková cena bez DPH '[cena/MJCR'] bez koef. (P0)]]*AA72,0)</f>
        <v>0</v>
      </c>
      <c r="AG7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2" s="261"/>
      <c r="AI72" s="796">
        <f t="shared" ca="1" si="376"/>
        <v>4.0740740740740744</v>
      </c>
      <c r="AJ72" s="796">
        <f t="shared" ca="1" si="377"/>
        <v>168.60148148148147</v>
      </c>
      <c r="AK72" s="796">
        <f t="shared" ca="1" si="378"/>
        <v>0</v>
      </c>
      <c r="AL72" s="753">
        <f ca="1">RZ[[#This Row],[Kilogramová cena bez DPH '[cena/kg'] (1)]]/$AK$13</f>
        <v>4.0740740740740744</v>
      </c>
      <c r="AM72" s="261"/>
      <c r="AN72" s="796">
        <f t="shared" ca="1" si="379"/>
        <v>5.3140096618357493</v>
      </c>
      <c r="AO72" s="796">
        <f t="shared" ca="1" si="380"/>
        <v>219.91497584541062</v>
      </c>
      <c r="AP72" s="796">
        <f t="shared" ca="1" si="381"/>
        <v>0</v>
      </c>
      <c r="AQ72" s="753">
        <f ca="1">RZ[[#This Row],[Kilogramová cena bez DPH '[cena/kg'] (1)]]/$AP$13</f>
        <v>5.3140096618357493</v>
      </c>
      <c r="AR72" s="261"/>
      <c r="AS72" s="796">
        <f t="shared" ca="1" si="382"/>
        <v>3.0087527352297592</v>
      </c>
      <c r="AT72" s="796">
        <f t="shared" ca="1" si="383"/>
        <v>124.51422319474834</v>
      </c>
      <c r="AU72" s="789">
        <f t="shared" ca="1" si="384"/>
        <v>0</v>
      </c>
      <c r="AV72" s="767">
        <f ca="1">RZ[[#This Row],[Kilogramová cena bez DPH '[cena/kg'] (1)]]/$AU$13</f>
        <v>3.0087527352297592</v>
      </c>
      <c r="AW72" s="165"/>
      <c r="AX72" s="911">
        <f t="shared" ca="1" si="385"/>
        <v>2</v>
      </c>
      <c r="AY72" s="111">
        <f t="shared" ca="1" si="386"/>
        <v>2</v>
      </c>
      <c r="AZ72" s="111">
        <f t="shared" ca="1" si="387"/>
        <v>17</v>
      </c>
      <c r="BA72" s="111">
        <f t="shared" ca="1" si="388"/>
        <v>0</v>
      </c>
      <c r="BB72" s="111">
        <f t="shared" ca="1" si="389"/>
        <v>0</v>
      </c>
      <c r="BC72" s="111">
        <f t="shared" ca="1" si="390"/>
        <v>0</v>
      </c>
      <c r="BD72" s="111">
        <f t="shared" ca="1" si="391"/>
        <v>0</v>
      </c>
      <c r="BE72" s="111">
        <f t="shared" ca="1" si="392"/>
        <v>0</v>
      </c>
      <c r="BF72" s="111">
        <f t="shared" ca="1" si="393"/>
        <v>0</v>
      </c>
      <c r="BG72" s="112">
        <f t="shared" ca="1" si="394"/>
        <v>0</v>
      </c>
      <c r="BH72" s="911">
        <f t="shared" si="395"/>
        <v>0</v>
      </c>
      <c r="BI72" s="111">
        <f t="shared" si="396"/>
        <v>0</v>
      </c>
      <c r="BJ72" s="111">
        <f t="shared" si="397"/>
        <v>1</v>
      </c>
      <c r="BK72" s="111">
        <f t="shared" si="398"/>
        <v>0</v>
      </c>
      <c r="BL72" s="111">
        <f t="shared" si="399"/>
        <v>0</v>
      </c>
      <c r="BM72" s="111">
        <f t="shared" si="400"/>
        <v>0</v>
      </c>
      <c r="BN72" s="111">
        <f t="shared" si="401"/>
        <v>0</v>
      </c>
      <c r="BO72" s="111">
        <f t="shared" si="402"/>
        <v>0</v>
      </c>
      <c r="BP72" s="111">
        <f t="shared" si="403"/>
        <v>0</v>
      </c>
      <c r="BQ72" s="112">
        <f t="shared" si="404"/>
        <v>0</v>
      </c>
      <c r="BR72" s="132">
        <f ca="1">IF(OFFSET(AY72,1,0,1,1)&lt;&gt;0,RZ[[#This Row],[Koeficient odhadu HR '[-'] (P1)]]*$BH72*SUMIFS(RZ[Úroveň 2 s koef. (P2)],RZ[0],AX72),RZ[[#This Row],[Koeficient odhadu HR '[-'] (P1)]]*$BH72*$IG72)</f>
        <v>0</v>
      </c>
      <c r="BS72" s="186">
        <f ca="1">IF(OFFSET(AY72,1,0,1,1)&lt;&gt;0,$BH72*SUMIFS(RZ[Úroveň 2 bez koef. (P2)],RZ[0],AX72),$BH72*$IG72)</f>
        <v>0</v>
      </c>
      <c r="BT72" s="138">
        <f ca="1">RZ[[#This Row],[Úroveň 2 s koef. (P2a)]]*RZ[[#This Row],[Počet MJHR (P0)]]</f>
        <v>0</v>
      </c>
      <c r="BU72" s="138">
        <f ca="1">RZ[[#This Row],[Úroveň 2 bez koef. (P2a)]]*RZ[[#This Row],[Počet MJHR (P0)]]</f>
        <v>0</v>
      </c>
      <c r="BV72" s="138">
        <f ca="1">IF(OFFSET(AZ72,1,0,1,1)&lt;&gt;0,RZ[[#This Row],[Koeficient odhadu HR '[-'] (P1)]]*$BI72*SUMIFS(RZ[Úroveň 3 s koef. (P2)],RZ[0],AX72,RZ[Úroveň 2 (P0)],AY72),RZ[[#This Row],[Koeficient odhadu HR '[-'] (P1)]]*$BI72*$IG72)</f>
        <v>0</v>
      </c>
      <c r="BW72" s="138">
        <f ca="1">IF(OFFSET(AZ72,1,0,1,1)&lt;&gt;0,$BI72*SUMIFS(RZ[Úroveň 3 bez koef. (P2)],RZ[0],AX72,RZ[Úroveň 2 (P0)],AY72),$BI72*$IG72)</f>
        <v>0</v>
      </c>
      <c r="BX72" s="132">
        <f ca="1">RZ[[#This Row],[Úroveň 3 s koef. (P2a)]]*RZ[[#This Row],[Počet MJHR (P0)]]</f>
        <v>20.692</v>
      </c>
      <c r="BY72" s="132">
        <f ca="1">RZ[Úroveň 3 bez koef. (P2a)]*RZ[[#This Row],[Počet MJHR (P0)]]</f>
        <v>20.692</v>
      </c>
      <c r="BZ72" s="132">
        <f ca="1">IF(OFFSET(BA72,1,0,1,1)&lt;&gt;0,RZ[[#This Row],[Koeficient odhadu HR '[-'] (P1)]]*$BJ72*SUMIFS(RZ[Úroveň 4 s koef. (P2)],RZ[0],AX72,RZ[Úroveň 2 (P0)],AY72,RZ[Úroveň 3 (P0)],AZ72),RZ[[#This Row],[Koeficient odhadu HR '[-'] (P1)]]*$BJ72*$IG72)</f>
        <v>20.692</v>
      </c>
      <c r="CA72" s="132">
        <f ca="1">IF(OFFSET(BA72,1,0,1,1)&lt;&gt;0,$BJ72*SUMIFS(RZ[Úroveň 4 bez koef. (P2)],RZ[0],AX72,RZ[Úroveň 2 (P0)],AY72,RZ[Úroveň 3 (P0)],AZ72),$BJ72*$IG72)</f>
        <v>20.692</v>
      </c>
      <c r="CB72" s="138">
        <f ca="1">RZ[[#This Row],[Úroveň 4 s koef. (P2a)]]*RZ[[#This Row],[Počet MJHR (P0)]]</f>
        <v>0</v>
      </c>
      <c r="CC72" s="138">
        <f ca="1">RZ[Úroveň 4 bez koef. (P2a)]*RZ[[#This Row],[Počet MJHR (P0)]]</f>
        <v>0</v>
      </c>
      <c r="CD72" s="138">
        <f ca="1">IF(OFFSET(BB72,1,0,1,1)&lt;&gt;0,RZ[[#This Row],[Koeficient odhadu HR '[-'] (P1)]]*$BK72*SUMIFS(RZ[Úroveň 5 s koef. (P2)],RZ[0],AX72,RZ[Úroveň 2 (P0)],AY72,RZ[Úroveň 3 (P0)],AZ72,RZ[Úroveň 4 (P0)],BA72),RZ[[#This Row],[Koeficient odhadu HR '[-'] (P1)]]*$BK72*$IG72)</f>
        <v>0</v>
      </c>
      <c r="CE72" s="138">
        <f ca="1">IF(OFFSET(BB72,1,0,1,1)&lt;&gt;0,$BK72*SUMIFS(RZ[Úroveň 5 bez koef. (P2)],RZ[0],AX72,RZ[Úroveň 2 (P0)],AY72,RZ[Úroveň 3 (P0)],AZ72,RZ[Úroveň 4 (P0)],BA72),$BK72*$IG72)</f>
        <v>0</v>
      </c>
      <c r="CF72" s="132">
        <f ca="1">RZ[[#This Row],[Úroveň 5 s koef. (P2a)]]*RZ[[#This Row],[Počet MJHR (P0)]]</f>
        <v>0</v>
      </c>
      <c r="CG72" s="132">
        <f ca="1">RZ[Úroveň 5 bez koef. (P2a)]*RZ[[#This Row],[Počet MJHR (P0)]]</f>
        <v>0</v>
      </c>
      <c r="CH72" s="132">
        <f ca="1">IF(OFFSET(BC72,1,0,1,1)&lt;&gt;0,RZ[[#This Row],[Koeficient odhadu HR '[-'] (P1)]]*$BL72*SUMIFS(RZ[Úroveň 6 s koef. (P2)],RZ[0],AX72,RZ[Úroveň 2 (P0)],AY72,RZ[Úroveň 3 (P0)],AZ72,RZ[Úroveň 4 (P0)],BA72,RZ[Úroveň 5 (P0)],BB72),RZ[[#This Row],[Koeficient odhadu HR '[-'] (P1)]]*$BL72*$IG72)</f>
        <v>0</v>
      </c>
      <c r="CI72" s="132">
        <f ca="1">IF(OFFSET(BC72,1,0,1,1)&lt;&gt;0,$BL72*SUMIFS(RZ[Úroveň 6 bez koef. (P2)],RZ[0],AX72,RZ[Úroveň 2 (P0)],AY72,RZ[Úroveň 3 (P0)],AZ72,RZ[Úroveň 4 (P0)],BA72,RZ[Úroveň 5 (P0)],BB72),$BL72*$IG72)</f>
        <v>0</v>
      </c>
      <c r="CJ72" s="138">
        <f ca="1">RZ[[#This Row],[Úroveň 6 s koef. (P2a)]]*RZ[[#This Row],[Počet MJHR (P0)]]</f>
        <v>0</v>
      </c>
      <c r="CK72" s="138">
        <f ca="1">RZ[Úroveň 6 bez koef. (P2a)]*RZ[[#This Row],[Počet MJHR (P0)]]</f>
        <v>0</v>
      </c>
      <c r="CL72" s="138">
        <f ca="1">IF(OFFSET(BD72,1,0,1,1)&lt;&gt;0,RZ[[#This Row],[Koeficient odhadu HR '[-'] (P1)]]*$BM72*SUMIFS(RZ[Úroveň 7 s koef. (P2)],RZ[0],AX72,RZ[Úroveň 2 (P0)],AY72,RZ[Úroveň 3 (P0)],AZ72,RZ[Úroveň 4 (P0)],BA72,RZ[Úroveň 5 (P0)],BB72,RZ[Úroveň 6 (P0)],BC72),RZ[[#This Row],[Koeficient odhadu HR '[-'] (P1)]]*$BM72*$IG72)</f>
        <v>0</v>
      </c>
      <c r="CM72" s="138">
        <f ca="1">IF(OFFSET(BD72,1,0,1,1)&lt;&gt;0,$BM72*SUMIFS(RZ[Úroveň 7 bez koef. (P2)],RZ[0],AX72,RZ[Úroveň 2 (P0)],AY72,RZ[Úroveň 3 (P0)],AZ72,RZ[Úroveň 4 (P0)],BA72,RZ[Úroveň 5 (P0)],BB72,RZ[Úroveň 6 (P0)],BC72),$BM72*$IG72)</f>
        <v>0</v>
      </c>
      <c r="CN72" s="132">
        <f ca="1">RZ[[#This Row],[Úroveň 7 s koef. (P2a)]]*RZ[[#This Row],[Počet MJHR (P0)]]</f>
        <v>0</v>
      </c>
      <c r="CO72" s="132">
        <f ca="1">RZ[Úroveň 7 bez koef. (P2a)]*RZ[[#This Row],[Počet MJHR (P0)]]</f>
        <v>0</v>
      </c>
      <c r="CP72" s="132">
        <f ca="1">IF(OFFSET(BE72,1,0,1,1)&lt;&gt;0,RZ[[#This Row],[Koeficient odhadu HR '[-'] (P1)]]*$BN72*SUMIFS(RZ[Úroveň 8 s koef. (P2)],RZ[0],AX72,RZ[Úroveň 2 (P0)],AY72,RZ[Úroveň 3 (P0)],AZ72,RZ[Úroveň 4 (P0)],BA72,RZ[Úroveň 5 (P0)],BB72,RZ[Úroveň 6 (P0)],BC72,RZ[Úroveň 7 (P0)],BD72),RZ[[#This Row],[Koeficient odhadu HR '[-'] (P1)]]*$BN72*$IG72)</f>
        <v>0</v>
      </c>
      <c r="CQ72" s="132">
        <f ca="1">IF(OFFSET(BE72,1,0,1,1)&lt;&gt;0,$BN72*SUMIFS(RZ[Úroveň 8 bez koef. (P2)],RZ[0],AX72,RZ[Úroveň 2 (P0)],AY72,RZ[Úroveň 3 (P0)],AZ72,RZ[Úroveň 4 (P0)],BA72,RZ[Úroveň 5 (P0)],BB72,RZ[Úroveň 6 (P0)],BC72,RZ[Úroveň 7 (P0)],BD72),$BN72*$IG72)</f>
        <v>0</v>
      </c>
      <c r="CR72" s="138">
        <f ca="1">RZ[[#This Row],[Úroveň 8 s koef. (P2a)]]*RZ[[#This Row],[Počet MJHR (P0)]]</f>
        <v>0</v>
      </c>
      <c r="CS72" s="138">
        <f ca="1">RZ[Úroveň 8 bez koef. (P2a)]*RZ[[#This Row],[Počet MJHR (P0)]]</f>
        <v>0</v>
      </c>
      <c r="CT72" s="138">
        <f ca="1">IF(OFFSET(BF72,1,0,1,1)&lt;&gt;0,RZ[[#This Row],[Koeficient odhadu HR '[-'] (P1)]]*$BO72*SUMIFS(RZ[Úroveň 9 s koef. (P2)],RZ[0],AX72,RZ[Úroveň 2 (P0)],AY72,RZ[Úroveň 3 (P0)],AZ72,RZ[Úroveň 4 (P0)],BA72,RZ[Úroveň 5 (P0)],BB72,RZ[Úroveň 6 (P0)],BC72,RZ[Úroveň 7 (P0)],BD72,RZ[Úroveň 8 (P0)],BE72),RZ[[#This Row],[Koeficient odhadu HR '[-'] (P1)]]*$BO72*$IG72)</f>
        <v>0</v>
      </c>
      <c r="CU72" s="138">
        <f ca="1">IF(OFFSET(BF72,1,0,1,1)&lt;&gt;0,$BO72*SUMIFS(RZ[Úroveň 9 bez koef. (P2)],RZ[0],AX72,RZ[Úroveň 2 (P0)],AY72,RZ[Úroveň 3 (P0)],AZ72,RZ[Úroveň 4 (P0)],BA72,RZ[Úroveň 5 (P0)],BB72,RZ[Úroveň 6 (P0)],BC72,RZ[Úroveň 7 (P0)],BD72,RZ[Úroveň 8 (P0)],BE72),$BO72*$IG72)</f>
        <v>0</v>
      </c>
      <c r="CV72" s="132">
        <f ca="1">RZ[[#This Row],[Úroveň 9 s koef. (P2a)]]*RZ[[#This Row],[Počet MJHR (P0)]]</f>
        <v>0</v>
      </c>
      <c r="CW72" s="132">
        <f ca="1">RZ[Úroveň 9 bez koef. (P2a)]*RZ[[#This Row],[Počet MJHR (P0)]]</f>
        <v>0</v>
      </c>
      <c r="CX72" s="132">
        <f ca="1">IF(OFFSET(BG72,1,0,1,1)&lt;&gt;0,RZ[[#This Row],[Koeficient odhadu HR '[-'] (P1)]]*$BP72*SUMIFS(RZ[Úroveň 10 s koef. (P2)],RZ[0],AX72,RZ[Úroveň 2 (P0)],AY72,RZ[Úroveň 3 (P0)],AZ72,RZ[Úroveň 4 (P0)],BA72,RZ[Úroveň 5 (P0)],BB72,RZ[Úroveň 6 (P0)],BC72,RZ[Úroveň 7 (P0)],BD72,RZ[Úroveň 8 (P0)],BE72,RZ[Úroveň 9 (P0)],BF72),RZ[[#This Row],[Koeficient odhadu HR '[-'] (P1)]]*$BP72*$IG72)</f>
        <v>0</v>
      </c>
      <c r="CY72" s="132">
        <f ca="1">IF(OFFSET(BG72,1,0,1,1)&lt;&gt;0,$BP72*SUMIFS(RZ[Úroveň 10 bez koef. (P2)],RZ[0],AX72,RZ[Úroveň 2 (P0)],AY72,RZ[Úroveň 3 (P0)],AZ72,RZ[Úroveň 4 (P0)],BA72,RZ[Úroveň 5 (P0)],BB72,RZ[Úroveň 6 (P0)],BC72,RZ[Úroveň 7 (P0)],BD72,RZ[Úroveň 8 (P0)],BE72,RZ[Úroveň 9 (P0)],BF72),$BP72*$IG72)</f>
        <v>0</v>
      </c>
      <c r="CZ72" s="138">
        <f>RZ[[#This Row],[Úroveň 10 s koef. (P2a)]]*RZ[[#This Row],[Počet MJHR (P0)]]</f>
        <v>0</v>
      </c>
      <c r="DA72" s="138">
        <f>RZ[Úroveň 10 bez koef. (P2a)]*RZ[[#This Row],[Počet MJHR (P0)]]</f>
        <v>0</v>
      </c>
      <c r="DB72" s="138">
        <f>RZ[[#This Row],[Koeficient odhadu HR '[-'] (P1)]]*$BQ72*IG72</f>
        <v>0</v>
      </c>
      <c r="DC72" s="231">
        <f t="shared" si="405"/>
        <v>0</v>
      </c>
      <c r="DD72" s="241">
        <f t="shared" ca="1" si="406"/>
        <v>20.692</v>
      </c>
      <c r="DE72" s="229">
        <f t="shared" ca="1" si="407"/>
        <v>20.692</v>
      </c>
      <c r="DF72" s="912">
        <f t="shared" si="408"/>
        <v>0</v>
      </c>
      <c r="DG72" s="913">
        <f t="shared" si="409"/>
        <v>0</v>
      </c>
      <c r="DH72" s="913">
        <f t="shared" si="410"/>
        <v>1</v>
      </c>
      <c r="DI72" s="913">
        <f t="shared" si="411"/>
        <v>0</v>
      </c>
      <c r="DJ72" s="913">
        <f t="shared" si="412"/>
        <v>0</v>
      </c>
      <c r="DK72" s="913">
        <f t="shared" si="413"/>
        <v>0</v>
      </c>
      <c r="DL72" s="913">
        <f t="shared" si="414"/>
        <v>0</v>
      </c>
      <c r="DM72" s="913">
        <f t="shared" si="415"/>
        <v>0</v>
      </c>
      <c r="DN72" s="913">
        <f t="shared" si="416"/>
        <v>0</v>
      </c>
      <c r="DO72" s="913">
        <f t="shared" si="417"/>
        <v>0</v>
      </c>
      <c r="DP72" s="914">
        <f ca="1">SUMIFS(RZ[Úroveň 1 (P4)],RZ[0],AX72)</f>
        <v>1</v>
      </c>
      <c r="DQ72" s="914">
        <f ca="1">SUMIFS(RZ[Úroveň 2 (P4)],RZ[0],AX72,RZ[Úroveň 2 (P0)],AY72)</f>
        <v>2</v>
      </c>
      <c r="DR72" s="914">
        <f ca="1">SUMIFS(RZ[Úroveň 3 (P4)],RZ[0],AX72,RZ[Úroveň 2 (P0)],AY72,RZ[Úroveň 3 (P0)],AZ72)</f>
        <v>1</v>
      </c>
      <c r="DS72" s="914">
        <f ca="1">SUMIFS(RZ[Úroveň 4 (P4)],RZ[0],AX72,RZ[Úroveň 2 (P0)],AY72,RZ[Úroveň 3 (P0)],AZ72,RZ[Úroveň 4 (P0)],BA72)</f>
        <v>0</v>
      </c>
      <c r="DT72" s="914">
        <f ca="1">SUMIFS(RZ[Úroveň 5 (P4)],RZ[0],AX72,RZ[Úroveň 2 (P0)],AY72,RZ[Úroveň 3 (P0)],AZ72,RZ[Úroveň 4 (P0)],BA72,RZ[Úroveň 5 (P0)],BB72)</f>
        <v>0</v>
      </c>
      <c r="DU72" s="914">
        <f ca="1">SUMIFS(RZ[Úroveň 6 (P4)],RZ[0],AX72,RZ[Úroveň 2 (P0)],AY72,RZ[Úroveň 3 (P0)],AZ72,RZ[Úroveň 4 (P0)],BA72,RZ[Úroveň 5 (P0)],BB72,RZ[Úroveň 6 (P0)],BC72)</f>
        <v>0</v>
      </c>
      <c r="DV72" s="914">
        <f ca="1">SUMIFS(RZ[Úroveň 7 (P4)],RZ[0],AX72,RZ[Úroveň 2 (P0)],AY72,RZ[Úroveň 3 (P0)],AZ72,RZ[Úroveň 4 (P0)],BA72,RZ[Úroveň 5 (P0)],BB72,RZ[Úroveň 6 (P0)],BC72,RZ[Úroveň 7 (P0)],BD72)</f>
        <v>0</v>
      </c>
      <c r="DW72" s="914">
        <f ca="1">SUMIFS(RZ[Úroveň 8 (P4)],RZ[0],AX72,RZ[Úroveň 2 (P0)],AY72,RZ[Úroveň 3 (P0)],AZ72,RZ[Úroveň 4 (P0)],BA72,RZ[Úroveň 5 (P0)],BB72,RZ[Úroveň 6 (P0)],BC72,RZ[Úroveň 7 (P0)],BD72,RZ[Úroveň 8 (P0)],BE72)</f>
        <v>0</v>
      </c>
      <c r="DX72" s="914">
        <f ca="1">SUMIFS(RZ[Úroveň 9 (P4)],RZ[0],AX72,RZ[Úroveň 2 (P0)],AY72,RZ[Úroveň 3 (P0)],AZ72,RZ[Úroveň 4 (P0)],BA72,RZ[Úroveň 5 (P0)],BB72,RZ[Úroveň 6 (P0)],BC72,RZ[Úroveň 7 (P0)],BD72,RZ[Úroveň 8 (P0)],BE72,RZ[Úroveň 9 (P0)],BF72)</f>
        <v>0</v>
      </c>
      <c r="DY72" s="914">
        <f ca="1">SUMIFS(RZ[Úroveň 10 (P4)],RZ[0],AX72,RZ[Úroveň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DZ72" s="915">
        <f t="shared" ca="1" si="418"/>
        <v>2</v>
      </c>
      <c r="EA72" s="916">
        <f ca="1">RZ[[#This Row],[Jednotková hmotnost bez koef. '[kg/MJHR'] (P0)]]*RZ[[#This Row],[Počet MJHR v rozpadu (P0)]]</f>
        <v>41.384</v>
      </c>
      <c r="EB72" s="917">
        <f ca="1">IF(OFFSET(AY72,1,0,1,1)&lt;&gt;0,RZ[[#This Row],[Koeficient odhadu CR '[-'] (P1)]]*$BH72*SUMIFS(RZ[Úroveň 2 s koef. (P3)],RZ[0],AX72),RZ[[#This Row],[Koeficient odhadu CR '[-'] (P1)]]*$BH72*$IQ72)</f>
        <v>0</v>
      </c>
      <c r="EC72" s="191">
        <f ca="1">IF(OFFSET(AY72,1,0,1,1)&lt;&gt;0,$BH72*SUMIFS(RZ[Úroveň 2 bez koef. (P3)],RZ[0],AX72),$BH72*$IQ72)</f>
        <v>0</v>
      </c>
      <c r="ED72" s="140">
        <f ca="1">RZ[[#This Row],[Úroveň 2 s koef. (P3a)]]*RZ[[#This Row],[Počet MJCR (P0) pro "kg"]]</f>
        <v>0</v>
      </c>
      <c r="EE72" s="140">
        <f ca="1">RZ[Úroveň 2 bez koef. (P3a)]*RZ[[#This Row],[Počet MJCR (P0) pro "kg"]]</f>
        <v>0</v>
      </c>
      <c r="EF72" s="140">
        <f ca="1">IF(OFFSET(AZ72,1,0,1,1)&lt;&gt;0,RZ[[#This Row],[Koeficient odhadu CR '[-'] (P1)]]*$BI72*SUMIFS(RZ[Úroveň 3 s koef. (P3)],RZ[0],AX72,RZ[Úroveň 2 (P0)],AY72),RZ[[#This Row],[Koeficient odhadu CR '[-'] (P1)]]*$BI72*$IQ72)</f>
        <v>0</v>
      </c>
      <c r="EG72" s="140">
        <f ca="1">IF(OFFSET(AZ72,1,0,1,1)&lt;&gt;0,$BI72*SUMIFS(RZ[Úroveň 3 bez koef. (P3)],RZ[0],AX72,RZ[Úroveň 2 (P0)],AY72),$BI72*$IQ72)</f>
        <v>0</v>
      </c>
      <c r="EH72" s="135">
        <f ca="1">RZ[[#This Row],[Úroveň 3 s koef. (P3a)]]*RZ[[#This Row],[Počet MJCR (P0) pro "kg"]]</f>
        <v>2276.12</v>
      </c>
      <c r="EI72" s="135">
        <f ca="1">RZ[Úroveň 3 bez koef. (P3a)]*RZ[[#This Row],[Počet MJCR (P0) pro "kg"]]</f>
        <v>2276.12</v>
      </c>
      <c r="EJ72" s="135">
        <f ca="1">IF(OFFSET(BA72,1,0,1,1)&lt;&gt;0,RZ[[#This Row],[Koeficient odhadu CR '[-'] (P1)]]*$BJ72*SUMIFS(RZ[Úroveň 4 s koef. (P3)],RZ[0],AX72,RZ[Úroveň 2 (P0)],AY72,RZ[Úroveň 3 (P0)],AZ72),RZ[[#This Row],[Koeficient odhadu CR '[-'] (P1)]]*$BJ72*$IQ72)</f>
        <v>110</v>
      </c>
      <c r="EK72" s="135">
        <f ca="1">IF(OFFSET(BA72,1,0,1,1)&lt;&gt;0,$BJ72*SUMIFS(RZ[Úroveň 4 bez koef. (P3)],RZ[0],AX72,RZ[Úroveň 2 (P0)],AY72,RZ[Úroveň 3 (P0)],AZ72),$BJ72*$IQ72)</f>
        <v>110</v>
      </c>
      <c r="EL72" s="140">
        <f ca="1">RZ[[#This Row],[Úroveň 4 s koef. (P3a)]]*RZ[[#This Row],[Počet MJCR (P0) pro "kg"]]</f>
        <v>0</v>
      </c>
      <c r="EM72" s="140">
        <f ca="1">RZ[Úroveň 4 bez koef. (P3a)]*RZ[[#This Row],[Počet MJCR (P0) pro "kg"]]</f>
        <v>0</v>
      </c>
      <c r="EN72" s="140">
        <f ca="1">IF(OFFSET(BB72,1,0,1,1)&lt;&gt;0,RZ[[#This Row],[Koeficient odhadu CR '[-'] (P1)]]*$BK72*SUMIFS(RZ[Úroveň 5 s koef. (P3)],RZ[0],AX72,RZ[Úroveň 2 (P0)],AY72,RZ[Úroveň 3 (P0)],AZ72,RZ[Úroveň 4 (P0)],BA72),RZ[[#This Row],[Koeficient odhadu CR '[-'] (P1)]]*$BK72*$IQ72)</f>
        <v>0</v>
      </c>
      <c r="EO72" s="140">
        <f ca="1">IF(OFFSET(BB72,1,0,1,1)&lt;&gt;0,$BK72*SUMIFS(RZ[Úroveň 5 bez koef. (P3)],RZ[0],AX72,RZ[Úroveň 2 (P0)],AY72,RZ[Úroveň 3 (P0)],AZ72,RZ[Úroveň 4 (P0)],BA72),$BK72*$IQ72)</f>
        <v>0</v>
      </c>
      <c r="EP72" s="135">
        <f ca="1">RZ[[#This Row],[Úroveň 5 s koef. (P3a)]]*RZ[[#This Row],[Počet MJCR (P0) pro "kg"]]</f>
        <v>0</v>
      </c>
      <c r="EQ72" s="135">
        <f ca="1">RZ[Úroveň 5 bez koef. (P3a)]*RZ[[#This Row],[Počet MJCR (P0) pro "kg"]]</f>
        <v>0</v>
      </c>
      <c r="ER72" s="135">
        <f ca="1">IF(OFFSET(BC72,1,0,1,1)&lt;&gt;0,RZ[[#This Row],[Koeficient odhadu CR '[-'] (P1)]]*$BL72*SUMIFS(RZ[Úroveň 6 s koef. (P3)],RZ[0],AX72,RZ[Úroveň 2 (P0)],AY72,RZ[Úroveň 3 (P0)],AZ72,RZ[Úroveň 4 (P0)],BA72,RZ[Úroveň 5 (P0)],BB72),RZ[[#This Row],[Koeficient odhadu CR '[-'] (P1)]]*$BL72*$IQ72)</f>
        <v>0</v>
      </c>
      <c r="ES72" s="135">
        <f ca="1">IF(OFFSET(BC72,1,0,1,1)&lt;&gt;0,$BL72*SUMIFS(RZ[Úroveň 6 bez koef. (P3)],RZ[0],AX72,RZ[Úroveň 2 (P0)],AY72,RZ[Úroveň 3 (P0)],AZ72,RZ[Úroveň 4 (P0)],BA72,RZ[Úroveň 5 (P0)],BB72),$BL72*$IQ72)</f>
        <v>0</v>
      </c>
      <c r="ET72" s="140">
        <f ca="1">RZ[[#This Row],[Úroveň 6 s koef. (P3a)]]*RZ[[#This Row],[Počet MJCR (P0) pro "kg"]]</f>
        <v>0</v>
      </c>
      <c r="EU72" s="140">
        <f ca="1">RZ[Úroveň 6 bez koef. (P3a)]*RZ[[#This Row],[Počet MJCR (P0) pro "kg"]]</f>
        <v>0</v>
      </c>
      <c r="EV72" s="140">
        <f ca="1">IF(OFFSET(BD72,1,0,1,1)&lt;&gt;0,RZ[[#This Row],[Koeficient odhadu CR '[-'] (P1)]]*$BM72*SUMIFS(RZ[Úroveň 7 s koef. (P3)],RZ[0],AX72,RZ[Úroveň 2 (P0)],AY72,RZ[Úroveň 3 (P0)],AZ72,RZ[Úroveň 4 (P0)],BA72,RZ[Úroveň 5 (P0)],BB72,RZ[Úroveň 6 (P0)],BC72),RZ[[#This Row],[Koeficient odhadu CR '[-'] (P1)]]*$BM72*$IQ72)</f>
        <v>0</v>
      </c>
      <c r="EW72" s="140">
        <f ca="1">IF(OFFSET(BD72,1,0,1,1)&lt;&gt;0,$BM72*SUMIFS(RZ[Úroveň 7 bez koef. (P3)],RZ[0],AX72,RZ[Úroveň 2 (P0)],AY72,RZ[Úroveň 3 (P0)],AZ72,RZ[Úroveň 4 (P0)],BA72,RZ[Úroveň 5 (P0)],BB72,RZ[Úroveň 6 (P0)],BC72),$BM72*$IQ72)</f>
        <v>0</v>
      </c>
      <c r="EX72" s="135">
        <f ca="1">RZ[[#This Row],[Úroveň 7 s koef. (P3a)]]*RZ[[#This Row],[Počet MJCR (P0) pro "kg"]]</f>
        <v>0</v>
      </c>
      <c r="EY72" s="135">
        <f ca="1">RZ[Úroveň 7 bez koef. (P3a)]*RZ[[#This Row],[Počet MJCR (P0) pro "kg"]]</f>
        <v>0</v>
      </c>
      <c r="EZ72" s="135">
        <f ca="1">IF(OFFSET(BE72,1,0,1,1)&lt;&gt;0,RZ[[#This Row],[Koeficient odhadu CR '[-'] (P1)]]*$BN72*SUMIFS(RZ[Úroveň 8 s koef. (P3)],RZ[0],AX72,RZ[Úroveň 2 (P0)],AY72,RZ[Úroveň 3 (P0)],AZ72,RZ[Úroveň 4 (P0)],BA72,RZ[Úroveň 5 (P0)],BB72,RZ[Úroveň 6 (P0)],BC72,RZ[Úroveň 7 (P0)],BD72),RZ[[#This Row],[Koeficient odhadu CR '[-'] (P1)]]*$BN72*$IQ72)</f>
        <v>0</v>
      </c>
      <c r="FA72" s="135">
        <f ca="1">IF(OFFSET(BE72,1,0,1,1)&lt;&gt;0,$BN72*SUMIFS(RZ[Úroveň 8 bez koef. (P3)],RZ[0],AX72,RZ[Úroveň 2 (P0)],AY72,RZ[Úroveň 3 (P0)],AZ72,RZ[Úroveň 4 (P0)],BA72,RZ[Úroveň 5 (P0)],BB72,RZ[Úroveň 6 (P0)],BC72,RZ[Úroveň 7 (P0)],BD72),$BN72*$IQ72)</f>
        <v>0</v>
      </c>
      <c r="FB72" s="140">
        <f ca="1">RZ[[#This Row],[Úroveň 8 s koef. (P3a)]]*RZ[[#This Row],[Počet MJCR (P0) pro "kg"]]</f>
        <v>0</v>
      </c>
      <c r="FC72" s="140">
        <f ca="1">RZ[Úroveň 8 bez koef. (P3a)]*RZ[[#This Row],[Počet MJCR (P0) pro "kg"]]</f>
        <v>0</v>
      </c>
      <c r="FD72" s="140">
        <f ca="1">IF(OFFSET(BF72,1,0,1,1)&lt;&gt;0,RZ[[#This Row],[Koeficient odhadu CR '[-'] (P1)]]*$BO72*SUMIFS(RZ[Úroveň 9 s koef. (P3)],RZ[0],AX72,RZ[Úroveň 2 (P0)],AY72,RZ[Úroveň 3 (P0)],AZ72,RZ[Úroveň 4 (P0)],BA72,RZ[Úroveň 5 (P0)],BB72,RZ[Úroveň 6 (P0)],BC72,RZ[Úroveň 7 (P0)],BD72,RZ[Úroveň 8 (P0)],BE72),RZ[[#This Row],[Koeficient odhadu CR '[-'] (P1)]]*$BO72*$IQ72)</f>
        <v>0</v>
      </c>
      <c r="FE72" s="140">
        <f ca="1">IF(OFFSET(BF72,1,0,1,1)&lt;&gt;0,$BO72*SUMIFS(RZ[Úroveň 9 bez koef. (P3)],RZ[0],AX72,RZ[Úroveň 2 (P0)],AY72,RZ[Úroveň 3 (P0)],AZ72,RZ[Úroveň 4 (P0)],BA72,RZ[Úroveň 5 (P0)],BB72,RZ[Úroveň 6 (P0)],BC72,RZ[Úroveň 7 (P0)],BD72,RZ[Úroveň 8 (P0)],BE72),$BO72*$IQ72)</f>
        <v>0</v>
      </c>
      <c r="FF72" s="135">
        <f ca="1">RZ[[#This Row],[Úroveň 9 s koef. (P3a)]]*RZ[[#This Row],[Počet MJCR (P0) pro "kg"]]</f>
        <v>0</v>
      </c>
      <c r="FG72" s="135">
        <f ca="1">RZ[Úroveň 9 bez koef. (P3a)]*RZ[[#This Row],[Počet MJCR (P0) pro "kg"]]</f>
        <v>0</v>
      </c>
      <c r="FH72" s="135">
        <f ca="1">IF(OFFSET(BG72,1,0,1,1)&lt;&gt;0,RZ[[#This Row],[Koeficient odhadu CR '[-'] (P1)]]*$BP72*SUMIFS(RZ[Úroveň 10 s koef. (P3)],RZ[0],AX72,RZ[Úroveň 2 (P0)],AY72,RZ[Úroveň 3 (P0)],AZ72,RZ[Úroveň 4 (P0)],BA72,RZ[Úroveň 5 (P0)],BB72,RZ[Úroveň 6 (P0)],BC72,RZ[Úroveň 7 (P0)],BD72,RZ[Úroveň 8 (P0)],BE72,RZ[Úroveň 9 (P0)],BF72),RZ[[#This Row],[Koeficient odhadu CR '[-'] (P1)]]*$BP72*$IQ72)</f>
        <v>0</v>
      </c>
      <c r="FI72" s="135">
        <f ca="1">IF(OFFSET(BG72,1,0,1,1)&lt;&gt;0,$BP72*SUMIFS(RZ[Úroveň 10 bez koef. (P3)],RZ[0],AX72,RZ[Úroveň 2 (P0)],AY72,RZ[Úroveň 3 (P0)],AZ72,RZ[Úroveň 4 (P0)],BA72,RZ[Úroveň 5 (P0)],BB72,RZ[Úroveň 6 (P0)],BC72,RZ[Úroveň 7 (P0)],BD72,RZ[Úroveň 8 (P0)],BE72,RZ[Úroveň 9 (P0)],BF72),$BP72*$IQ72)</f>
        <v>0</v>
      </c>
      <c r="FJ72" s="140">
        <f ca="1">RZ[[#This Row],[Úroveň 10 s koef. (P3a)]]*RZ[[#This Row],[Počet MJCR (P0) pro "kg"]]</f>
        <v>0</v>
      </c>
      <c r="FK72" s="140">
        <f ca="1">RZ[Úroveň 10 bez koef. (P3a)]*RZ[[#This Row],[Počet MJCR (P0) pro "kg"]]</f>
        <v>0</v>
      </c>
      <c r="FL72" s="140">
        <f ca="1">RZ[[#This Row],[Koeficient odhadu CR '[-'] (P1)]]*$BQ72*IQ72</f>
        <v>0</v>
      </c>
      <c r="FM72" s="236">
        <f t="shared" ca="1" si="419"/>
        <v>0</v>
      </c>
      <c r="FN72" s="194">
        <f t="shared" ca="1" si="420"/>
        <v>110</v>
      </c>
      <c r="FO72" s="238">
        <f t="shared" ca="1" si="421"/>
        <v>110</v>
      </c>
      <c r="FP72" s="135">
        <f t="shared" ca="1" si="422"/>
        <v>0</v>
      </c>
      <c r="FQ72" s="135">
        <f t="shared" ca="1" si="423"/>
        <v>0</v>
      </c>
      <c r="FR72" s="135">
        <f t="shared" ca="1" si="424"/>
        <v>20.692</v>
      </c>
      <c r="FS72" s="135">
        <f t="shared" ca="1" si="425"/>
        <v>0</v>
      </c>
      <c r="FT72" s="135">
        <f t="shared" ca="1" si="426"/>
        <v>0</v>
      </c>
      <c r="FU72" s="135">
        <f t="shared" ca="1" si="427"/>
        <v>0</v>
      </c>
      <c r="FV72" s="135">
        <f t="shared" ca="1" si="428"/>
        <v>0</v>
      </c>
      <c r="FW72" s="135">
        <f t="shared" ca="1" si="429"/>
        <v>0</v>
      </c>
      <c r="FX72" s="135">
        <f t="shared" ca="1" si="430"/>
        <v>0</v>
      </c>
      <c r="FY72" s="135">
        <f t="shared" ca="1" si="431"/>
        <v>0</v>
      </c>
      <c r="FZ72" s="140">
        <f ca="1">SUMIFS(RZ[Úroveň 1 (P6)],RZ[0],AX72)</f>
        <v>1</v>
      </c>
      <c r="GA72" s="140">
        <f ca="1">SUMIFS(RZ[Úroveň 2 (P6)],RZ[0],AX72,RZ[Úroveň 2 (P0)],AY72)</f>
        <v>2</v>
      </c>
      <c r="GB72" s="140">
        <f ca="1">SUMIFS(RZ[Úroveň 3 (P6)],RZ[0],AX72,RZ[Úroveň 2 (P0)],AY72,RZ[Úroveň 3 (P0)],AZ72)</f>
        <v>20.692</v>
      </c>
      <c r="GC72" s="140">
        <f ca="1">SUMIFS(RZ[Úroveň 4 (P6)],RZ[0],AX72,RZ[Úroveň 2 (P0)],AY72,RZ[Úroveň 3 (P0)],AZ72,RZ[Úroveň 4 (P0)],BA72)</f>
        <v>0</v>
      </c>
      <c r="GD72" s="140">
        <f ca="1">SUMIFS(RZ[Úroveň 5 (P6)],RZ[0],AX72,RZ[Úroveň 2 (P0)],AY72,RZ[Úroveň 3 (P0)],AZ72,RZ[Úroveň 4 (P0)],BA72,RZ[Úroveň 5 (P0)],BB72)</f>
        <v>0</v>
      </c>
      <c r="GE72" s="140">
        <f ca="1">SUMIFS(RZ[Úroveň 6 (P6)],RZ[0],AX72,RZ[Úroveň 2 (P0)],AY72,RZ[Úroveň 3 (P0)],AZ72,RZ[Úroveň 4 (P0)],BA72,RZ[Úroveň 5 (P0)],BB72,RZ[Úroveň 6 (P0)],BC72)</f>
        <v>0</v>
      </c>
      <c r="GF72" s="140">
        <f ca="1">SUMIFS(RZ[Úroveň 7 (P6)],RZ[0],AX72,RZ[Úroveň 2 (P0)],AY72,RZ[Úroveň 3 (P0)],AZ72,RZ[Úroveň 4 (P0)],BA72,RZ[Úroveň 5 (P0)],BB72,RZ[Úroveň 6 (P0)],BC72,RZ[Úroveň 7 (P0)],BD72)</f>
        <v>0</v>
      </c>
      <c r="GG72" s="140">
        <f ca="1">SUMIFS(RZ[Úroveň 8 (P6)],RZ[0],AX72,RZ[Úroveň 2 (P0)],AY72,RZ[Úroveň 3 (P0)],AZ72,RZ[Úroveň 4 (P0)],BA72,RZ[Úroveň 5 (P0)],BB72,RZ[Úroveň 6 (P0)],BC72,RZ[Úroveň 7 (P0)],BD72,RZ[Úroveň 8 (P0)],BE72)</f>
        <v>0</v>
      </c>
      <c r="GH72" s="140">
        <f ca="1">SUMIFS(RZ[Úroveň 9 (P6)],RZ[0],AX72,RZ[Úroveň 2 (P0)],AY72,RZ[Úroveň 3 (P0)],AZ72,RZ[Úroveň 4 (P0)],BA72,RZ[Úroveň 5 (P0)],BB72,RZ[Úroveň 6 (P0)],BC72,RZ[Úroveň 7 (P0)],BD72,RZ[Úroveň 8 (P0)],BE72,RZ[Úroveň 9 (P0)],BF72)</f>
        <v>0</v>
      </c>
      <c r="GI72" s="140">
        <f ca="1">SUMIFS(RZ[Úroveň 10 (P6)],RZ[0],AX72,RZ[Úroveň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GJ72" s="918">
        <f t="shared" ca="1" si="432"/>
        <v>41.384</v>
      </c>
      <c r="GK72" s="808">
        <f t="shared" si="433"/>
        <v>0</v>
      </c>
      <c r="GL72" s="808">
        <f t="shared" si="434"/>
        <v>0</v>
      </c>
      <c r="GM72" s="808">
        <f t="shared" si="435"/>
        <v>1</v>
      </c>
      <c r="GN72" s="808">
        <f t="shared" si="436"/>
        <v>0</v>
      </c>
      <c r="GO72" s="808">
        <f t="shared" si="437"/>
        <v>0</v>
      </c>
      <c r="GP72" s="808">
        <f t="shared" si="438"/>
        <v>0</v>
      </c>
      <c r="GQ72" s="808">
        <f t="shared" si="439"/>
        <v>0</v>
      </c>
      <c r="GR72" s="808">
        <f t="shared" si="440"/>
        <v>0</v>
      </c>
      <c r="GS72" s="808">
        <f t="shared" si="441"/>
        <v>0</v>
      </c>
      <c r="GT72" s="808">
        <f t="shared" si="442"/>
        <v>0</v>
      </c>
      <c r="GU72" s="809">
        <f ca="1">SUMIFS(RZ[Sloupec1],RZ[0],AX72)</f>
        <v>1</v>
      </c>
      <c r="GV72" s="809">
        <f ca="1">SUMIFS(RZ[Sloupec2],RZ[0],AX72,RZ[Úroveň 2 (P0)],AY72)</f>
        <v>1</v>
      </c>
      <c r="GW72" s="809">
        <f ca="1">SUMIFS(RZ[Sloupec3],RZ[0],AX72,RZ[Úroveň 2 (P0)],AY72,RZ[Úroveň 3 (P0)],AZ72)</f>
        <v>1</v>
      </c>
      <c r="GX72" s="809">
        <f ca="1">SUMIFS(RZ[Sloupec4],RZ[0],AX72,RZ[Úroveň 2 (P0)],AY72,RZ[Úroveň 3 (P0)],AZ72,RZ[Úroveň 4 (P0)],BA72)</f>
        <v>0</v>
      </c>
      <c r="GY72" s="809">
        <f ca="1">SUMIFS(RZ[Sloupec5],RZ[0],AX72,RZ[Úroveň 2 (P0)],AY72,RZ[Úroveň 3 (P0)],AZ72,RZ[Úroveň 4 (P0)],BA72,RZ[Úroveň 5 (P0)],BB72)</f>
        <v>0</v>
      </c>
      <c r="GZ72" s="809">
        <f ca="1">SUMIFS(RZ[Sloupec6],RZ[0],AX72,RZ[Úroveň 2 (P0)],AY72,RZ[Úroveň 3 (P0)],AZ72,RZ[Úroveň 4 (P0)],BA72,RZ[Úroveň 5 (P0)],BB72,RZ[Úroveň 6 (P0)],BC72)</f>
        <v>0</v>
      </c>
      <c r="HA72" s="809">
        <f ca="1">SUMIFS(RZ[Sloupec62],RZ[0],AX72,RZ[Úroveň 2 (P0)],AY72,RZ[Úroveň 3 (P0)],AZ72,RZ[Úroveň 4 (P0)],BA72,RZ[Úroveň 5 (P0)],BB72,RZ[Úroveň 6 (P0)],BC72,RZ[Úroveň 7 (P0)],BD72)</f>
        <v>0</v>
      </c>
      <c r="HB72" s="809">
        <f ca="1">SUMIFS(RZ[Sloupec63],RZ[0],AX72,RZ[Úroveň 2 (P0)],AY72,RZ[Úroveň 3 (P0)],AZ72,RZ[Úroveň 4 (P0)],BA72,RZ[Úroveň 5 (P0)],BB72,RZ[Úroveň 6 (P0)],BC72,RZ[Úroveň 7 (P0)],BD72,RZ[Úroveň 8 (P0)],BE72)</f>
        <v>0</v>
      </c>
      <c r="HC72" s="809">
        <f ca="1">SUMIFS(RZ[Sloupec64],RZ[0],AX72,RZ[Úroveň 2 (P0)],AY72,RZ[Úroveň 3 (P0)],AZ72,RZ[Úroveň 4 (P0)],BA72,RZ[Úroveň 5 (P0)],BB72,RZ[Úroveň 6 (P0)],BC72,RZ[Úroveň 7 (P0)],BD72,RZ[Úroveň 8 (P0)],BE72,RZ[Úroveň 9 (P0)],BF72)</f>
        <v>0</v>
      </c>
      <c r="HD72" s="809">
        <f ca="1">SUMIFS(RZ[Sloupec65],RZ[0],AX72,RZ[Úroveň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HE72" s="919">
        <f t="shared" ca="1" si="443"/>
        <v>1</v>
      </c>
      <c r="HF72" s="920" t="str">
        <f t="shared" si="444"/>
        <v/>
      </c>
      <c r="HG72" s="94" t="str">
        <f t="shared" si="445"/>
        <v/>
      </c>
      <c r="HH72" s="95" t="str">
        <f t="shared" si="446"/>
        <v/>
      </c>
      <c r="HI72" s="95" t="str">
        <f t="shared" si="447"/>
        <v>Spojovací materiál</v>
      </c>
      <c r="HJ72" s="96" t="str">
        <f t="shared" si="448"/>
        <v/>
      </c>
      <c r="HK72" s="96" t="str">
        <f t="shared" si="449"/>
        <v/>
      </c>
      <c r="HL72" s="96" t="str">
        <f t="shared" si="450"/>
        <v/>
      </c>
      <c r="HM72" s="96" t="str">
        <f t="shared" si="451"/>
        <v/>
      </c>
      <c r="HN72" s="96" t="str">
        <f t="shared" si="452"/>
        <v/>
      </c>
      <c r="HO72" s="96" t="str">
        <f t="shared" si="453"/>
        <v/>
      </c>
      <c r="HP72" s="96" t="str">
        <f t="shared" si="454"/>
        <v/>
      </c>
      <c r="HQ72" s="145" t="str">
        <f t="shared" si="455"/>
        <v>STSM</v>
      </c>
      <c r="HR72" s="921" t="str">
        <f t="shared" si="456"/>
        <v/>
      </c>
      <c r="HS72" s="173">
        <f t="shared" si="457"/>
        <v>0</v>
      </c>
      <c r="HT72" s="100">
        <f t="shared" si="458"/>
        <v>0</v>
      </c>
      <c r="HU72" s="100">
        <f t="shared" si="459"/>
        <v>0</v>
      </c>
      <c r="HV72" s="908">
        <f t="shared" si="460"/>
        <v>0</v>
      </c>
      <c r="HW72" s="922">
        <f t="shared" si="461"/>
        <v>0</v>
      </c>
      <c r="HX72" s="224">
        <f t="shared" si="462"/>
        <v>0</v>
      </c>
      <c r="HY72" s="263" t="str">
        <f t="shared" si="463"/>
        <v>S</v>
      </c>
      <c r="HZ72" s="263">
        <f t="shared" si="464"/>
        <v>0</v>
      </c>
      <c r="IA72" s="150">
        <f t="shared" si="465"/>
        <v>1</v>
      </c>
      <c r="IB72" s="319">
        <f t="shared" si="466"/>
        <v>0</v>
      </c>
      <c r="IC72" s="923">
        <f t="shared" si="467"/>
        <v>0</v>
      </c>
      <c r="ID72" s="924" t="str">
        <f t="shared" ca="1" si="468"/>
        <v>OK</v>
      </c>
      <c r="IE72" s="201" t="str">
        <f t="shared" si="469"/>
        <v>ks</v>
      </c>
      <c r="IF72" s="145">
        <f t="shared" si="470"/>
        <v>1</v>
      </c>
      <c r="IG72" s="216">
        <f t="shared" si="471"/>
        <v>20.692</v>
      </c>
      <c r="IH72" s="217">
        <f t="shared" si="472"/>
        <v>1</v>
      </c>
      <c r="II72" s="224" t="str">
        <f ca="1">IF(RZ[[#This Row],[Rozhodný sloupec indikativní ceny]]=1,"kg",IF($IW72=$JL$15,IF(JX72=0,JO72,JX72),IF($IW72=$KE$15,IF(KQ72=0,KH72,KQ72),IF($IW72=$KX$15,IF(LJ72=0,LA72,LJ72),IF($IW72=$LQ$15,IF(MC72=0,LT72,MC72),IF($IW72=$MJ$15,IF(NQ72=0,NH72,NQ72),0))))))</f>
        <v>kg</v>
      </c>
      <c r="IJ72" s="224">
        <f ca="1">IF((BH72+OFFSET(BH72,1,1,1,1))=2,RZ[[#This Row],[Počet MJHR (P0)]],IF((BI72+OFFSET(BI72,1,1,1,1))=2,RZ[[#This Row],[Počet MJHR (P0)]],IF((BJ72+OFFSET(BJ72,1,1,1,1))=2,RZ[[#This Row],[Počet MJHR (P0)]],IF((BK72+OFFSET(BK72,1,1,1,1))=2,RZ[[#This Row],[Počet MJHR (P0)]],IF((BL72+OFFSET(BL72,1,1,1,1))=2,RZ[[#This Row],[Počet MJHR (P0)]],IF((BM72+OFFSET(BM72,1,1,1,1))=2,RZ[[#This Row],[Počet MJHR (P0)]],IF((BN72+OFFSET(BN72,1,1,1,1))=2,RZ[[#This Row],[Počet MJHR (P0)]],IF((BO72+OFFSET(BO72,1,1,1,1))=2,RZ[[#This Row],[Počet MJHR (P0)]],IF((BP72+OFFSET(BP72,1,1,1,1))=2,RZ[[#This Row],[Počet MJHR (P0)]],IF((BQ72+OFFSET(BQ72,1,1,1,1))=2,RZ[[#This Row],[Počet MJHR (P0)]],IF(RZ[[#This Row],[Měrná jednotka CR (MJCR) (P0)]]=RZ[[#This Row],[Měrná jednotka HR '[MJHR'] (P0)]],RZ[[#This Row],[Počet MJHR (P0)]],IF($IW72=$JL$15,JY72,IF($IW72=$KE$15,KR72,IF($IW72=$KX$15,LK72,IF($IW72=$LQ$15,MD72,IF($IW72=$MJ$15,NR72,0))))))))))))))))</f>
        <v>0</v>
      </c>
      <c r="IK7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72" s="145">
        <f ca="1">IF(AND(RZ[[#This Row],[Jednotková cena bez DPH '[cena/MJCR'] (P0)]]=0,RZ[[#This Row],[Indikativní jednotková cena '[CZK/kg'] (P1)]]&lt;&gt;0),1,0)</f>
        <v>1</v>
      </c>
      <c r="IM72" s="217">
        <f ca="1">VLOOKUP(RZ[[#This Row],[Kód položek]],INDIKAT_CENA,2,FALSE)</f>
        <v>110</v>
      </c>
      <c r="IN72" s="222">
        <f ca="1">IF(RZ[[#This Row],[Rozhodný sloupec indikativní ceny]]=1,RZ[[#This Row],[Indikativní jednotková cena '[CZK/kg'] (P1)]],RZ[[#This Row],[Jednotková cena bez DPH '[cena/MJCR'] (P0)]])</f>
        <v>110</v>
      </c>
      <c r="IO72" s="222">
        <f t="shared" si="473"/>
        <v>1</v>
      </c>
      <c r="IP72" s="224">
        <f ca="1">IF(RZ[[#This Row],[Rozhodný sloupec indikativní ceny]]=1,1,IF($IW72=$JL$15,KA72,IF($IW72=$KE$15,KT72,IF($IW72=$KX$15,LM72,IF($IW72=$LQ$15,MF72,IF($IW72=$MJ$15,NT72,0))))))</f>
        <v>1</v>
      </c>
      <c r="IQ72" s="225">
        <f ca="1">IF(RZ[[#This Row],[Jednotková cena bez DPH '[cena/MJCR'] (P1)]]="",0,IF(IP72=0,0,(RZ[[#This Row],[Jednotková cena bez DPH '[cena/MJCR'] (P1)]]*VLOOKUP(IP72,$BR$7:$BT$10,3))))</f>
        <v>110</v>
      </c>
      <c r="IR72" s="737"/>
      <c r="IS72" s="627">
        <f>IF(HY72=0,"",VLOOKUP(RZ[[#This Row],[Stav Projekce (P0)]],Vstupy!$E$11:'Vstupy'!$E$11:$H$17,4,FALSE))</f>
        <v>100</v>
      </c>
      <c r="IT72" s="925" t="str">
        <f>IF(RZ[[#This Row],[Stav Projekce (P0)]]=0,"",RZ[[#This Row],[Stav Projekce (P0)]])</f>
        <v>S</v>
      </c>
      <c r="IU72" s="925" t="str">
        <f>IF(RZ[[#This Row],[Stav Nákup (P0)]]=0,"",RZ[[#This Row],[Stav Nákup (P0)]])</f>
        <v/>
      </c>
      <c r="IV72" s="926" t="str">
        <f t="shared" si="474"/>
        <v/>
      </c>
      <c r="IW72" s="641">
        <v>1</v>
      </c>
      <c r="IX72" s="630"/>
      <c r="IY72" s="264"/>
      <c r="IZ72" s="648"/>
      <c r="JA72" s="100"/>
      <c r="JB72" s="100" t="s">
        <v>36</v>
      </c>
      <c r="JC72" s="100"/>
      <c r="JD72" s="100"/>
      <c r="JE72" s="100"/>
      <c r="JF72" s="100"/>
      <c r="JG72" s="100"/>
      <c r="JH72" s="100"/>
      <c r="JI72" s="100"/>
      <c r="JJ72" s="145" t="s">
        <v>766</v>
      </c>
      <c r="JK72" s="529"/>
      <c r="JL72" s="286"/>
      <c r="JM72" s="100"/>
      <c r="JN72" s="100"/>
      <c r="JO72" s="145" t="s">
        <v>35</v>
      </c>
      <c r="JP72" s="117">
        <v>1</v>
      </c>
      <c r="JQ72" s="117">
        <v>20.692</v>
      </c>
      <c r="JR72" s="148">
        <v>1</v>
      </c>
      <c r="JS72" s="145" t="s">
        <v>602</v>
      </c>
      <c r="JT72" s="631"/>
      <c r="JU72" s="148"/>
      <c r="JV72" s="154"/>
      <c r="JW72" s="145"/>
      <c r="JX72" s="210"/>
      <c r="JY72" s="117"/>
      <c r="JZ72" s="662"/>
      <c r="KA72" s="145"/>
      <c r="KB72" s="148"/>
      <c r="KC72" s="148"/>
      <c r="KD72" s="644"/>
      <c r="KE72" s="286"/>
      <c r="KF72" s="100"/>
      <c r="KG72" s="100"/>
      <c r="KH72" s="210"/>
      <c r="KI72" s="117"/>
      <c r="KJ72" s="117"/>
      <c r="KK72" s="148"/>
      <c r="KL72" s="145"/>
      <c r="KM72" s="632"/>
      <c r="KN72" s="148"/>
      <c r="KO72" s="154"/>
      <c r="KP72" s="154"/>
      <c r="KQ72" s="210"/>
      <c r="KR72" s="117"/>
      <c r="KS72" s="211"/>
      <c r="KT72" s="145"/>
      <c r="KU72" s="148"/>
      <c r="KV72" s="148"/>
      <c r="KW72" s="265"/>
      <c r="KX72" s="286"/>
      <c r="KY72" s="100"/>
      <c r="KZ72" s="100"/>
      <c r="LA72" s="210"/>
      <c r="LB72" s="117"/>
      <c r="LC72" s="117"/>
      <c r="LD72" s="148"/>
      <c r="LE72" s="145"/>
      <c r="LF72" s="632"/>
      <c r="LG72" s="148"/>
      <c r="LH72" s="154"/>
      <c r="LI72" s="154"/>
      <c r="LJ72" s="154"/>
      <c r="LK72" s="117"/>
      <c r="LL72" s="211"/>
      <c r="LM72" s="210"/>
      <c r="LN72" s="148"/>
      <c r="LO72" s="148"/>
      <c r="LP72" s="265"/>
      <c r="LQ72" s="286"/>
      <c r="LR72" s="100"/>
      <c r="LS72" s="100"/>
      <c r="LT72" s="210"/>
      <c r="LU72" s="117"/>
      <c r="LV72" s="117"/>
      <c r="LW72" s="148"/>
      <c r="LX72" s="145"/>
      <c r="LY72" s="632"/>
      <c r="LZ72" s="148"/>
      <c r="MA72" s="154"/>
      <c r="MB72" s="154"/>
      <c r="MC72" s="145"/>
      <c r="MD72" s="117"/>
      <c r="ME72" s="211"/>
      <c r="MF72" s="210"/>
      <c r="MG72" s="148"/>
      <c r="MH72" s="148"/>
      <c r="MI72" s="265"/>
      <c r="MJ72" s="647"/>
      <c r="MK72" s="264"/>
      <c r="ML72" s="153"/>
      <c r="MM72" s="153"/>
      <c r="MN72" s="153"/>
      <c r="MO72" s="153"/>
      <c r="MP72" s="153"/>
      <c r="MQ72" s="153"/>
      <c r="MR72" s="153"/>
      <c r="MS72" s="99"/>
      <c r="MT72" s="99"/>
      <c r="MU72" s="99"/>
      <c r="MV72" s="99"/>
      <c r="MW72" s="99"/>
      <c r="MX72" s="99"/>
      <c r="MY72" s="153"/>
      <c r="MZ72" s="153"/>
      <c r="NA72" s="153"/>
      <c r="NB72" s="153"/>
      <c r="NC72" s="153"/>
      <c r="ND72" s="153"/>
      <c r="NE72" s="148"/>
      <c r="NF72" s="153"/>
      <c r="NG72" s="153"/>
      <c r="NH72" s="330" t="str">
        <f t="shared" si="475"/>
        <v>ks</v>
      </c>
      <c r="NI72" s="797">
        <f>RZ[[#This Row],[Počet ks (K)]]</f>
        <v>0</v>
      </c>
      <c r="NJ72" s="798">
        <f>RZ[[#This Row],[Hmotnost '[kg/ks'] (K)]]</f>
        <v>0</v>
      </c>
      <c r="NK72" s="148"/>
      <c r="NL72" s="145"/>
      <c r="NM72" s="632"/>
      <c r="NN72" s="148"/>
      <c r="NO72" s="154"/>
      <c r="NP72" s="153"/>
      <c r="NQ72" s="153"/>
      <c r="NR72" s="210"/>
      <c r="NS72" s="148"/>
      <c r="NT72" s="210"/>
      <c r="NU72" s="148"/>
      <c r="NV72" s="148"/>
      <c r="NW72" s="175"/>
    </row>
    <row r="73" spans="2:387" ht="15.95" customHeight="1" x14ac:dyDescent="0.35">
      <c r="B73" s="118" t="str">
        <f t="shared" si="1"/>
        <v/>
      </c>
      <c r="C7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73" s="262" t="str">
        <f t="shared" si="2"/>
        <v xml:space="preserve">  Podpěrné kladky střední</v>
      </c>
      <c r="E73" s="12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Row],[Kód položek (P2)]]))))))))))</f>
        <v>-</v>
      </c>
      <c r="F73" s="122" t="str">
        <f t="shared" si="3"/>
        <v>N/A</v>
      </c>
      <c r="G73" s="121" t="str">
        <f t="shared" si="4"/>
        <v/>
      </c>
      <c r="H73" s="122" t="str">
        <f t="shared" si="5"/>
        <v/>
      </c>
      <c r="I73" s="123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HR '[MJHR'] (P0)]]))))))))))</f>
        <v>sest</v>
      </c>
      <c r="J73" s="123">
        <f t="shared" si="6"/>
        <v>1</v>
      </c>
      <c r="K73" s="151">
        <f>RZ[[#This Row],[Koeficient odhadu HR '[-'] (P1)]]</f>
        <v>1</v>
      </c>
      <c r="L73" s="124">
        <f ca="1">RZ[[#This Row],[Jednotková hmotnost s koef. '[kg/MJHR'] (P0)]]</f>
        <v>6892.1319999999996</v>
      </c>
      <c r="M73" s="124">
        <f t="shared" ca="1" si="7"/>
        <v>0</v>
      </c>
      <c r="N73" s="125">
        <f t="shared" ca="1" si="8"/>
        <v>6892.1319999999996</v>
      </c>
      <c r="O73" s="125">
        <f t="shared" ca="1" si="9"/>
        <v>0</v>
      </c>
      <c r="P73" s="328" t="str">
        <f t="shared" si="10"/>
        <v/>
      </c>
      <c r="Q73" s="743">
        <f ca="1">RZ[[#This Row],[Počet MJHR v rozpadu (P0)]]</f>
        <v>1</v>
      </c>
      <c r="R73" s="439" t="str">
        <f t="shared" si="11"/>
        <v/>
      </c>
      <c r="S73" s="129" t="str">
        <f t="shared" si="12"/>
        <v/>
      </c>
      <c r="T73" s="130" t="str">
        <f t="shared" si="13"/>
        <v/>
      </c>
      <c r="U73" s="126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CR (MJCR) (P0)]]))))))))))</f>
        <v>sest</v>
      </c>
      <c r="V73" s="575">
        <f t="shared" ca="1" si="14"/>
        <v>1</v>
      </c>
      <c r="W73" s="322">
        <f>RZ[[#This Row],[Koeficient odhadu CR '[-'] (P1)]]</f>
        <v>1</v>
      </c>
      <c r="X73" s="44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Row],[Jednotková cena bez DPH '[cena/MJCR'] (P1)]]*RZ[[#This Row],[Koeficient odhadu CR '[-']]]))))))))))</f>
        <v>-</v>
      </c>
      <c r="Y73" s="440">
        <f t="shared" ca="1" si="108"/>
        <v>0</v>
      </c>
      <c r="Z73" s="142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VLOOKUP(IP73,$BR$7:$BS$11,2,FALSE)))))))))))</f>
        <v>-</v>
      </c>
      <c r="AA73" s="811">
        <f t="shared" ca="1" si="16"/>
        <v>1</v>
      </c>
      <c r="AB73" s="814">
        <f ca="1">RZ[[#This Row],[Kumulovaný koeficient v rozpadu (P0)]]</f>
        <v>1</v>
      </c>
      <c r="AC73" s="260"/>
      <c r="AD73" s="510">
        <f ca="1">RZ[[#This Row],[Jednotková cena bez DPH '[cena/MJCR'] s koef. (P0)]]/RZ[[#This Row],[Koeficient odhadu CR '[-']]]*RZ[[#This Row],[Kumulovaný koeficient odhadu CR  '[-']]]</f>
        <v>1136665.0200000003</v>
      </c>
      <c r="AE73" s="511">
        <f t="shared" ca="1" si="17"/>
        <v>1136665.0200000003</v>
      </c>
      <c r="AF73" s="512">
        <f ca="1">-IF(ISNUMBER(AA73),RZ[[#This Row],[Celková cena bez DPH (1)]]-RZ[[#This Row],[Jednotková cena bez DPH '[cena/MJCR'] bez koef. (P0)]]*AA73,0)</f>
        <v>-20000.000000000233</v>
      </c>
      <c r="AG7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164.92211988975259</v>
      </c>
      <c r="AH73" s="261"/>
      <c r="AI73" s="510">
        <f t="shared" ca="1" si="18"/>
        <v>42098.704444444455</v>
      </c>
      <c r="AJ73" s="511">
        <f t="shared" ca="1" si="19"/>
        <v>42098.704444444455</v>
      </c>
      <c r="AK73" s="512">
        <f t="shared" ca="1" si="20"/>
        <v>-740.7407407407494</v>
      </c>
      <c r="AL73" s="753">
        <f ca="1">RZ[[#This Row],[Kilogramová cena bez DPH '[cena/kg'] (1)]]/$AK$13</f>
        <v>6.1082266625834292</v>
      </c>
      <c r="AM73" s="261"/>
      <c r="AN73" s="510">
        <f t="shared" ca="1" si="21"/>
        <v>54911.353623188421</v>
      </c>
      <c r="AO73" s="511">
        <f t="shared" ca="1" si="22"/>
        <v>54911.353623188421</v>
      </c>
      <c r="AP73" s="512">
        <f t="shared" ca="1" si="23"/>
        <v>-966.18357487923834</v>
      </c>
      <c r="AQ73" s="753">
        <f ca="1">RZ[[#This Row],[Kilogramová cena bez DPH '[cena/kg'] (1)]]/$AP$13</f>
        <v>7.9672521685870823</v>
      </c>
      <c r="AR73" s="261"/>
      <c r="AS73" s="510">
        <f t="shared" ca="1" si="24"/>
        <v>31090.399890590816</v>
      </c>
      <c r="AT73" s="511">
        <f t="shared" ca="1" si="25"/>
        <v>31090.399890590816</v>
      </c>
      <c r="AU73" s="511">
        <f t="shared" ca="1" si="26"/>
        <v>-547.04595185996254</v>
      </c>
      <c r="AV73" s="767">
        <f ca="1">RZ[[#This Row],[Kilogramová cena bez DPH '[cena/kg'] (1)]]/$AU$13</f>
        <v>4.5109989028925765</v>
      </c>
      <c r="AW73" s="165"/>
      <c r="AX73" s="110">
        <f t="shared" ca="1" si="27"/>
        <v>2</v>
      </c>
      <c r="AY73" s="55">
        <f t="shared" ca="1" si="28"/>
        <v>3</v>
      </c>
      <c r="AZ73" s="111">
        <f t="shared" ca="1" si="29"/>
        <v>0</v>
      </c>
      <c r="BA73" s="111">
        <f t="shared" ca="1" si="30"/>
        <v>0</v>
      </c>
      <c r="BB73" s="111">
        <f t="shared" ca="1" si="31"/>
        <v>0</v>
      </c>
      <c r="BC73" s="111">
        <f t="shared" ca="1" si="32"/>
        <v>0</v>
      </c>
      <c r="BD73" s="111">
        <f t="shared" ca="1" si="33"/>
        <v>0</v>
      </c>
      <c r="BE73" s="111">
        <f t="shared" ca="1" si="109"/>
        <v>0</v>
      </c>
      <c r="BF73" s="111">
        <f t="shared" ca="1" si="34"/>
        <v>0</v>
      </c>
      <c r="BG73" s="112">
        <f t="shared" ca="1" si="35"/>
        <v>0</v>
      </c>
      <c r="BH73" s="110">
        <f t="shared" si="110"/>
        <v>0</v>
      </c>
      <c r="BI73" s="55">
        <f t="shared" si="111"/>
        <v>1</v>
      </c>
      <c r="BJ73" s="55">
        <f t="shared" si="112"/>
        <v>0</v>
      </c>
      <c r="BK73" s="111">
        <f t="shared" si="113"/>
        <v>0</v>
      </c>
      <c r="BL73" s="111">
        <f t="shared" si="114"/>
        <v>0</v>
      </c>
      <c r="BM73" s="111">
        <f t="shared" si="115"/>
        <v>0</v>
      </c>
      <c r="BN73" s="111">
        <f t="shared" si="116"/>
        <v>0</v>
      </c>
      <c r="BO73" s="111">
        <f t="shared" si="117"/>
        <v>0</v>
      </c>
      <c r="BP73" s="111">
        <f t="shared" si="118"/>
        <v>0</v>
      </c>
      <c r="BQ73" s="112">
        <f t="shared" si="119"/>
        <v>0</v>
      </c>
      <c r="BR73" s="186">
        <f ca="1">IF(OFFSET(AY73,1,0,1,1)&lt;&gt;0,RZ[[#This Row],[Koeficient odhadu HR '[-'] (P1)]]*$BH73*SUMIFS(RZ[Úroveň 2 s koef. (P2)],RZ[0],AX73),RZ[[#This Row],[Koeficient odhadu HR '[-'] (P1)]]*$BH73*$IG73)</f>
        <v>0</v>
      </c>
      <c r="BS73" s="186">
        <f ca="1">IF(OFFSET(AY73,1,0,1,1)&lt;&gt;0,$BH73*SUMIFS(RZ[Úroveň 2 bez koef. (P2)],RZ[0],AX73),$BH73*$IG73)</f>
        <v>0</v>
      </c>
      <c r="BT73" s="138">
        <f ca="1">RZ[[#This Row],[Úroveň 2 s koef. (P2a)]]*RZ[[#This Row],[Počet MJHR (P0)]]</f>
        <v>6892.1319999999996</v>
      </c>
      <c r="BU73" s="138">
        <f ca="1">RZ[[#This Row],[Úroveň 2 bez koef. (P2a)]]*RZ[[#This Row],[Počet MJHR (P0)]]</f>
        <v>6892.1319999999996</v>
      </c>
      <c r="BV73" s="138">
        <f ca="1">IF(OFFSET(AZ73,1,0,1,1)&lt;&gt;0,RZ[[#This Row],[Koeficient odhadu HR '[-'] (P1)]]*$BI73*SUMIFS(RZ[Úroveň 3 s koef. (P2)],RZ[0],AX73,RZ[Úroveň 2 (P0)],AY73),RZ[[#This Row],[Koeficient odhadu HR '[-'] (P1)]]*$BI73*$IG73)</f>
        <v>6892.1319999999996</v>
      </c>
      <c r="BW73" s="138">
        <f ca="1">IF(OFFSET(AZ73,1,0,1,1)&lt;&gt;0,$BI73*SUMIFS(RZ[Úroveň 3 bez koef. (P2)],RZ[0],AX73,RZ[Úroveň 2 (P0)],AY73),$BI73*$IG73)</f>
        <v>6892.1319999999996</v>
      </c>
      <c r="BX73" s="132">
        <f ca="1">RZ[[#This Row],[Úroveň 3 s koef. (P2a)]]*RZ[[#This Row],[Počet MJHR (P0)]]</f>
        <v>0</v>
      </c>
      <c r="BY73" s="132">
        <f ca="1">RZ[Úroveň 3 bez koef. (P2a)]*RZ[[#This Row],[Počet MJHR (P0)]]</f>
        <v>0</v>
      </c>
      <c r="BZ73" s="132">
        <f ca="1">IF(OFFSET(BA73,1,0,1,1)&lt;&gt;0,RZ[[#This Row],[Koeficient odhadu HR '[-'] (P1)]]*$BJ73*SUMIFS(RZ[Úroveň 4 s koef. (P2)],RZ[0],AX73,RZ[Úroveň 2 (P0)],AY73,RZ[Úroveň 3 (P0)],AZ73),RZ[[#This Row],[Koeficient odhadu HR '[-'] (P1)]]*$BJ73*$IG73)</f>
        <v>0</v>
      </c>
      <c r="CA73" s="132">
        <f ca="1">IF(OFFSET(BA73,1,0,1,1)&lt;&gt;0,$BJ73*SUMIFS(RZ[Úroveň 4 bez koef. (P2)],RZ[0],AX73,RZ[Úroveň 2 (P0)],AY73,RZ[Úroveň 3 (P0)],AZ73),$BJ73*$IG73)</f>
        <v>0</v>
      </c>
      <c r="CB73" s="138">
        <f ca="1">RZ[[#This Row],[Úroveň 4 s koef. (P2a)]]*RZ[[#This Row],[Počet MJHR (P0)]]</f>
        <v>0</v>
      </c>
      <c r="CC73" s="138">
        <f ca="1">RZ[Úroveň 4 bez koef. (P2a)]*RZ[[#This Row],[Počet MJHR (P0)]]</f>
        <v>0</v>
      </c>
      <c r="CD73" s="138">
        <f ca="1">IF(OFFSET(BB73,1,0,1,1)&lt;&gt;0,RZ[[#This Row],[Koeficient odhadu HR '[-'] (P1)]]*$BK73*SUMIFS(RZ[Úroveň 5 s koef. (P2)],RZ[0],AX73,RZ[Úroveň 2 (P0)],AY73,RZ[Úroveň 3 (P0)],AZ73,RZ[Úroveň 4 (P0)],BA73),RZ[[#This Row],[Koeficient odhadu HR '[-'] (P1)]]*$BK73*$IG73)</f>
        <v>0</v>
      </c>
      <c r="CE73" s="138">
        <f ca="1">IF(OFFSET(BB73,1,0,1,1)&lt;&gt;0,$BK73*SUMIFS(RZ[Úroveň 5 bez koef. (P2)],RZ[0],AX73,RZ[Úroveň 2 (P0)],AY73,RZ[Úroveň 3 (P0)],AZ73,RZ[Úroveň 4 (P0)],BA73),$BK73*$IG73)</f>
        <v>0</v>
      </c>
      <c r="CF73" s="132">
        <f ca="1">RZ[[#This Row],[Úroveň 5 s koef. (P2a)]]*RZ[[#This Row],[Počet MJHR (P0)]]</f>
        <v>0</v>
      </c>
      <c r="CG73" s="132">
        <f ca="1">RZ[Úroveň 5 bez koef. (P2a)]*RZ[[#This Row],[Počet MJHR (P0)]]</f>
        <v>0</v>
      </c>
      <c r="CH73" s="132">
        <f ca="1">IF(OFFSET(BC73,1,0,1,1)&lt;&gt;0,RZ[[#This Row],[Koeficient odhadu HR '[-'] (P1)]]*$BL73*SUMIFS(RZ[Úroveň 6 s koef. (P2)],RZ[0],AX73,RZ[Úroveň 2 (P0)],AY73,RZ[Úroveň 3 (P0)],AZ73,RZ[Úroveň 4 (P0)],BA73,RZ[Úroveň 5 (P0)],BB73),RZ[[#This Row],[Koeficient odhadu HR '[-'] (P1)]]*$BL73*$IG73)</f>
        <v>0</v>
      </c>
      <c r="CI73" s="132">
        <f ca="1">IF(OFFSET(BC73,1,0,1,1)&lt;&gt;0,$BL73*SUMIFS(RZ[Úroveň 6 bez koef. (P2)],RZ[0],AX73,RZ[Úroveň 2 (P0)],AY73,RZ[Úroveň 3 (P0)],AZ73,RZ[Úroveň 4 (P0)],BA73,RZ[Úroveň 5 (P0)],BB73),$BL73*$IG73)</f>
        <v>0</v>
      </c>
      <c r="CJ73" s="138">
        <f ca="1">RZ[[#This Row],[Úroveň 6 s koef. (P2a)]]*RZ[[#This Row],[Počet MJHR (P0)]]</f>
        <v>0</v>
      </c>
      <c r="CK73" s="138">
        <f ca="1">RZ[Úroveň 6 bez koef. (P2a)]*RZ[[#This Row],[Počet MJHR (P0)]]</f>
        <v>0</v>
      </c>
      <c r="CL73" s="138">
        <f ca="1">IF(OFFSET(BD73,1,0,1,1)&lt;&gt;0,RZ[[#This Row],[Koeficient odhadu HR '[-'] (P1)]]*$BM73*SUMIFS(RZ[Úroveň 7 s koef. (P2)],RZ[0],AX73,RZ[Úroveň 2 (P0)],AY73,RZ[Úroveň 3 (P0)],AZ73,RZ[Úroveň 4 (P0)],BA73,RZ[Úroveň 5 (P0)],BB73,RZ[Úroveň 6 (P0)],BC73),RZ[[#This Row],[Koeficient odhadu HR '[-'] (P1)]]*$BM73*$IG73)</f>
        <v>0</v>
      </c>
      <c r="CM73" s="138">
        <f ca="1">IF(OFFSET(BD73,1,0,1,1)&lt;&gt;0,$BM73*SUMIFS(RZ[Úroveň 7 bez koef. (P2)],RZ[0],AX73,RZ[Úroveň 2 (P0)],AY73,RZ[Úroveň 3 (P0)],AZ73,RZ[Úroveň 4 (P0)],BA73,RZ[Úroveň 5 (P0)],BB73,RZ[Úroveň 6 (P0)],BC73),$BM73*$IG73)</f>
        <v>0</v>
      </c>
      <c r="CN73" s="132">
        <f ca="1">RZ[[#This Row],[Úroveň 7 s koef. (P2a)]]*RZ[[#This Row],[Počet MJHR (P0)]]</f>
        <v>0</v>
      </c>
      <c r="CO73" s="132">
        <f ca="1">RZ[Úroveň 7 bez koef. (P2a)]*RZ[[#This Row],[Počet MJHR (P0)]]</f>
        <v>0</v>
      </c>
      <c r="CP73" s="132">
        <f ca="1">IF(OFFSET(BE73,1,0,1,1)&lt;&gt;0,RZ[[#This Row],[Koeficient odhadu HR '[-'] (P1)]]*$BN73*SUMIFS(RZ[Úroveň 8 s koef. (P2)],RZ[0],AX73,RZ[Úroveň 2 (P0)],AY73,RZ[Úroveň 3 (P0)],AZ73,RZ[Úroveň 4 (P0)],BA73,RZ[Úroveň 5 (P0)],BB73,RZ[Úroveň 6 (P0)],BC73,RZ[Úroveň 7 (P0)],BD73),RZ[[#This Row],[Koeficient odhadu HR '[-'] (P1)]]*$BN73*$IG73)</f>
        <v>0</v>
      </c>
      <c r="CQ73" s="132">
        <f ca="1">IF(OFFSET(BE73,1,0,1,1)&lt;&gt;0,$BN73*SUMIFS(RZ[Úroveň 8 bez koef. (P2)],RZ[0],AX73,RZ[Úroveň 2 (P0)],AY73,RZ[Úroveň 3 (P0)],AZ73,RZ[Úroveň 4 (P0)],BA73,RZ[Úroveň 5 (P0)],BB73,RZ[Úroveň 6 (P0)],BC73,RZ[Úroveň 7 (P0)],BD73),$BN73*$IG73)</f>
        <v>0</v>
      </c>
      <c r="CR73" s="138">
        <f ca="1">RZ[[#This Row],[Úroveň 8 s koef. (P2a)]]*RZ[[#This Row],[Počet MJHR (P0)]]</f>
        <v>0</v>
      </c>
      <c r="CS73" s="138">
        <f ca="1">RZ[Úroveň 8 bez koef. (P2a)]*RZ[[#This Row],[Počet MJHR (P0)]]</f>
        <v>0</v>
      </c>
      <c r="CT73" s="138">
        <f ca="1">IF(OFFSET(BF73,1,0,1,1)&lt;&gt;0,RZ[[#This Row],[Koeficient odhadu HR '[-'] (P1)]]*$BO73*SUMIFS(RZ[Úroveň 9 s koef. (P2)],RZ[0],AX73,RZ[Úroveň 2 (P0)],AY73,RZ[Úroveň 3 (P0)],AZ73,RZ[Úroveň 4 (P0)],BA73,RZ[Úroveň 5 (P0)],BB73,RZ[Úroveň 6 (P0)],BC73,RZ[Úroveň 7 (P0)],BD73,RZ[Úroveň 8 (P0)],BE73),RZ[[#This Row],[Koeficient odhadu HR '[-'] (P1)]]*$BO73*$IG73)</f>
        <v>0</v>
      </c>
      <c r="CU73" s="138">
        <f ca="1">IF(OFFSET(BF73,1,0,1,1)&lt;&gt;0,$BO73*SUMIFS(RZ[Úroveň 9 bez koef. (P2)],RZ[0],AX73,RZ[Úroveň 2 (P0)],AY73,RZ[Úroveň 3 (P0)],AZ73,RZ[Úroveň 4 (P0)],BA73,RZ[Úroveň 5 (P0)],BB73,RZ[Úroveň 6 (P0)],BC73,RZ[Úroveň 7 (P0)],BD73,RZ[Úroveň 8 (P0)],BE73),$BO73*$IG73)</f>
        <v>0</v>
      </c>
      <c r="CV73" s="132">
        <f ca="1">RZ[[#This Row],[Úroveň 9 s koef. (P2a)]]*RZ[[#This Row],[Počet MJHR (P0)]]</f>
        <v>0</v>
      </c>
      <c r="CW73" s="132">
        <f ca="1">RZ[Úroveň 9 bez koef. (P2a)]*RZ[[#This Row],[Počet MJHR (P0)]]</f>
        <v>0</v>
      </c>
      <c r="CX73" s="132">
        <f ca="1">IF(OFFSET(BG73,1,0,1,1)&lt;&gt;0,RZ[[#This Row],[Koeficient odhadu HR '[-'] (P1)]]*$BP73*SUMIFS(RZ[Úroveň 10 s koef. (P2)],RZ[0],AX73,RZ[Úroveň 2 (P0)],AY73,RZ[Úroveň 3 (P0)],AZ73,RZ[Úroveň 4 (P0)],BA73,RZ[Úroveň 5 (P0)],BB73,RZ[Úroveň 6 (P0)],BC73,RZ[Úroveň 7 (P0)],BD73,RZ[Úroveň 8 (P0)],BE73,RZ[Úroveň 9 (P0)],BF73),RZ[[#This Row],[Koeficient odhadu HR '[-'] (P1)]]*$BP73*$IG73)</f>
        <v>0</v>
      </c>
      <c r="CY73" s="132">
        <f ca="1">IF(OFFSET(BG73,1,0,1,1)&lt;&gt;0,$BP73*SUMIFS(RZ[Úroveň 10 bez koef. (P2)],RZ[0],AX73,RZ[Úroveň 2 (P0)],AY73,RZ[Úroveň 3 (P0)],AZ73,RZ[Úroveň 4 (P0)],BA73,RZ[Úroveň 5 (P0)],BB73,RZ[Úroveň 6 (P0)],BC73,RZ[Úroveň 7 (P0)],BD73,RZ[Úroveň 8 (P0)],BE73,RZ[Úroveň 9 (P0)],BF73),$BP73*$IG73)</f>
        <v>0</v>
      </c>
      <c r="CZ73" s="138">
        <f>RZ[[#This Row],[Úroveň 10 s koef. (P2a)]]*RZ[[#This Row],[Počet MJHR (P0)]]</f>
        <v>0</v>
      </c>
      <c r="DA73" s="138">
        <f>RZ[Úroveň 10 bez koef. (P2a)]*RZ[[#This Row],[Počet MJHR (P0)]]</f>
        <v>0</v>
      </c>
      <c r="DB73" s="138">
        <f>RZ[[#This Row],[Koeficient odhadu HR '[-'] (P1)]]*$BQ73*IG73</f>
        <v>0</v>
      </c>
      <c r="DC73" s="231">
        <f t="shared" si="37"/>
        <v>0</v>
      </c>
      <c r="DD73" s="241">
        <f t="shared" ca="1" si="120"/>
        <v>6892.1319999999996</v>
      </c>
      <c r="DE73" s="229">
        <f t="shared" ca="1" si="121"/>
        <v>6892.1319999999996</v>
      </c>
      <c r="DF73" s="521">
        <f t="shared" si="40"/>
        <v>0</v>
      </c>
      <c r="DG73" s="522">
        <f t="shared" si="41"/>
        <v>1</v>
      </c>
      <c r="DH73" s="522">
        <f t="shared" si="42"/>
        <v>0</v>
      </c>
      <c r="DI73" s="523">
        <f t="shared" si="43"/>
        <v>0</v>
      </c>
      <c r="DJ73" s="524">
        <f t="shared" si="44"/>
        <v>0</v>
      </c>
      <c r="DK73" s="524">
        <f t="shared" si="45"/>
        <v>0</v>
      </c>
      <c r="DL73" s="524">
        <f t="shared" si="46"/>
        <v>0</v>
      </c>
      <c r="DM73" s="524">
        <f t="shared" si="47"/>
        <v>0</v>
      </c>
      <c r="DN73" s="524">
        <f t="shared" si="48"/>
        <v>0</v>
      </c>
      <c r="DO73" s="523">
        <f t="shared" si="49"/>
        <v>0</v>
      </c>
      <c r="DP73" s="525">
        <f ca="1">SUMIFS(RZ[Úroveň 1 (P4)],RZ[0],AX73)</f>
        <v>1</v>
      </c>
      <c r="DQ73" s="525">
        <f ca="1">SUMIFS(RZ[Úroveň 2 (P4)],RZ[0],AX73,RZ[Úroveň 2 (P0)],AY73)</f>
        <v>1</v>
      </c>
      <c r="DR73" s="525">
        <f ca="1">SUMIFS(RZ[Úroveň 3 (P4)],RZ[0],AX73,RZ[Úroveň 2 (P0)],AY73,RZ[Úroveň 3 (P0)],AZ73)</f>
        <v>0</v>
      </c>
      <c r="DS73" s="525">
        <f ca="1">SUMIFS(RZ[Úroveň 4 (P4)],RZ[0],AX73,RZ[Úroveň 2 (P0)],AY73,RZ[Úroveň 3 (P0)],AZ73,RZ[Úroveň 4 (P0)],BA73)</f>
        <v>0</v>
      </c>
      <c r="DT73" s="526">
        <f ca="1">SUMIFS(RZ[Úroveň 5 (P4)],RZ[0],AX73,RZ[Úroveň 2 (P0)],AY73,RZ[Úroveň 3 (P0)],AZ73,RZ[Úroveň 4 (P0)],BA73,RZ[Úroveň 5 (P0)],BB73)</f>
        <v>0</v>
      </c>
      <c r="DU73" s="526">
        <f ca="1">SUMIFS(RZ[Úroveň 6 (P4)],RZ[0],AX73,RZ[Úroveň 2 (P0)],AY73,RZ[Úroveň 3 (P0)],AZ73,RZ[Úroveň 4 (P0)],BA73,RZ[Úroveň 5 (P0)],BB73,RZ[Úroveň 6 (P0)],BC73)</f>
        <v>0</v>
      </c>
      <c r="DV73" s="526">
        <f ca="1">SUMIFS(RZ[Úroveň 7 (P4)],RZ[0],AX73,RZ[Úroveň 2 (P0)],AY73,RZ[Úroveň 3 (P0)],AZ73,RZ[Úroveň 4 (P0)],BA73,RZ[Úroveň 5 (P0)],BB73,RZ[Úroveň 6 (P0)],BC73,RZ[Úroveň 7 (P0)],BD73)</f>
        <v>0</v>
      </c>
      <c r="DW73" s="526">
        <f ca="1">SUMIFS(RZ[Úroveň 8 (P4)],RZ[0],AX73,RZ[Úroveň 2 (P0)],AY73,RZ[Úroveň 3 (P0)],AZ73,RZ[Úroveň 4 (P0)],BA73,RZ[Úroveň 5 (P0)],BB73,RZ[Úroveň 6 (P0)],BC73,RZ[Úroveň 7 (P0)],BD73,RZ[Úroveň 8 (P0)],BE73)</f>
        <v>0</v>
      </c>
      <c r="DX73" s="526">
        <f ca="1">SUMIFS(RZ[Úroveň 9 (P4)],RZ[0],AX73,RZ[Úroveň 2 (P0)],AY73,RZ[Úroveň 3 (P0)],AZ73,RZ[Úroveň 4 (P0)],BA73,RZ[Úroveň 5 (P0)],BB73,RZ[Úroveň 6 (P0)],BC73,RZ[Úroveň 7 (P0)],BD73,RZ[Úroveň 8 (P0)],BE73,RZ[Úroveň 9 (P0)],BF73)</f>
        <v>0</v>
      </c>
      <c r="DY73" s="526">
        <f ca="1">SUMIFS(RZ[Úroveň 10 (P4)],RZ[0],AX73,RZ[Úroveň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DZ73" s="527">
        <f t="shared" ca="1" si="122"/>
        <v>1</v>
      </c>
      <c r="EA73" s="528">
        <f ca="1">RZ[[#This Row],[Jednotková hmotnost bez koef. '[kg/MJHR'] (P0)]]*RZ[[#This Row],[Počet MJHR v rozpadu (P0)]]</f>
        <v>6892.1319999999996</v>
      </c>
      <c r="EB73" s="191">
        <f ca="1">IF(OFFSET(AY73,1,0,1,1)&lt;&gt;0,RZ[[#This Row],[Koeficient odhadu CR '[-'] (P1)]]*$BH73*SUMIFS(RZ[Úroveň 2 s koef. (P3)],RZ[0],AX73),RZ[[#This Row],[Koeficient odhadu CR '[-'] (P1)]]*$BH73*$IQ73)</f>
        <v>0</v>
      </c>
      <c r="EC73" s="191">
        <f ca="1">IF(OFFSET(AY73,1,0,1,1)&lt;&gt;0,$BH73*SUMIFS(RZ[Úroveň 2 bez koef. (P3)],RZ[0],AX73),$BH73*$IQ73)</f>
        <v>0</v>
      </c>
      <c r="ED73" s="140">
        <f ca="1">RZ[[#This Row],[Úroveň 2 s koef. (P3a)]]*RZ[[#This Row],[Počet MJCR (P0) pro "kg"]]</f>
        <v>1136665.0200000003</v>
      </c>
      <c r="EE73" s="140">
        <f ca="1">RZ[Úroveň 2 bez koef. (P3a)]*RZ[[#This Row],[Počet MJCR (P0) pro "kg"]]</f>
        <v>1116665.02</v>
      </c>
      <c r="EF73" s="140">
        <f ca="1">IF(OFFSET(AZ73,1,0,1,1)&lt;&gt;0,RZ[[#This Row],[Koeficient odhadu CR '[-'] (P1)]]*$BI73*SUMIFS(RZ[Úroveň 3 s koef. (P3)],RZ[0],AX73,RZ[Úroveň 2 (P0)],AY73),RZ[[#This Row],[Koeficient odhadu CR '[-'] (P1)]]*$BI73*$IQ73)</f>
        <v>1136665.0200000003</v>
      </c>
      <c r="EG73" s="140">
        <f ca="1">IF(OFFSET(AZ73,1,0,1,1)&lt;&gt;0,$BI73*SUMIFS(RZ[Úroveň 3 bez koef. (P3)],RZ[0],AX73,RZ[Úroveň 2 (P0)],AY73),$BI73*$IQ73)</f>
        <v>1116665.02</v>
      </c>
      <c r="EH73" s="135">
        <f ca="1">RZ[[#This Row],[Úroveň 3 s koef. (P3a)]]*RZ[[#This Row],[Počet MJCR (P0) pro "kg"]]</f>
        <v>0</v>
      </c>
      <c r="EI73" s="135">
        <f ca="1">RZ[Úroveň 3 bez koef. (P3a)]*RZ[[#This Row],[Počet MJCR (P0) pro "kg"]]</f>
        <v>0</v>
      </c>
      <c r="EJ73" s="135">
        <f ca="1">IF(OFFSET(BA73,1,0,1,1)&lt;&gt;0,RZ[[#This Row],[Koeficient odhadu CR '[-'] (P1)]]*$BJ73*SUMIFS(RZ[Úroveň 4 s koef. (P3)],RZ[0],AX73,RZ[Úroveň 2 (P0)],AY73,RZ[Úroveň 3 (P0)],AZ73),RZ[[#This Row],[Koeficient odhadu CR '[-'] (P1)]]*$BJ73*$IQ73)</f>
        <v>0</v>
      </c>
      <c r="EK73" s="135">
        <f ca="1">IF(OFFSET(BA73,1,0,1,1)&lt;&gt;0,$BJ73*SUMIFS(RZ[Úroveň 4 bez koef. (P3)],RZ[0],AX73,RZ[Úroveň 2 (P0)],AY73,RZ[Úroveň 3 (P0)],AZ73),$BJ73*$IQ73)</f>
        <v>0</v>
      </c>
      <c r="EL73" s="140">
        <f ca="1">RZ[[#This Row],[Úroveň 4 s koef. (P3a)]]*RZ[[#This Row],[Počet MJCR (P0) pro "kg"]]</f>
        <v>0</v>
      </c>
      <c r="EM73" s="140">
        <f ca="1">RZ[Úroveň 4 bez koef. (P3a)]*RZ[[#This Row],[Počet MJCR (P0) pro "kg"]]</f>
        <v>0</v>
      </c>
      <c r="EN73" s="140">
        <f ca="1">IF(OFFSET(BB73,1,0,1,1)&lt;&gt;0,RZ[[#This Row],[Koeficient odhadu CR '[-'] (P1)]]*$BK73*SUMIFS(RZ[Úroveň 5 s koef. (P3)],RZ[0],AX73,RZ[Úroveň 2 (P0)],AY73,RZ[Úroveň 3 (P0)],AZ73,RZ[Úroveň 4 (P0)],BA73),RZ[[#This Row],[Koeficient odhadu CR '[-'] (P1)]]*$BK73*$IQ73)</f>
        <v>0</v>
      </c>
      <c r="EO73" s="140">
        <f ca="1">IF(OFFSET(BB73,1,0,1,1)&lt;&gt;0,$BK73*SUMIFS(RZ[Úroveň 5 bez koef. (P3)],RZ[0],AX73,RZ[Úroveň 2 (P0)],AY73,RZ[Úroveň 3 (P0)],AZ73,RZ[Úroveň 4 (P0)],BA73),$BK73*$IQ73)</f>
        <v>0</v>
      </c>
      <c r="EP73" s="135">
        <f ca="1">RZ[[#This Row],[Úroveň 5 s koef. (P3a)]]*RZ[[#This Row],[Počet MJCR (P0) pro "kg"]]</f>
        <v>0</v>
      </c>
      <c r="EQ73" s="135">
        <f ca="1">RZ[Úroveň 5 bez koef. (P3a)]*RZ[[#This Row],[Počet MJCR (P0) pro "kg"]]</f>
        <v>0</v>
      </c>
      <c r="ER73" s="135">
        <f ca="1">IF(OFFSET(BC73,1,0,1,1)&lt;&gt;0,RZ[[#This Row],[Koeficient odhadu CR '[-'] (P1)]]*$BL73*SUMIFS(RZ[Úroveň 6 s koef. (P3)],RZ[0],AX73,RZ[Úroveň 2 (P0)],AY73,RZ[Úroveň 3 (P0)],AZ73,RZ[Úroveň 4 (P0)],BA73,RZ[Úroveň 5 (P0)],BB73),RZ[[#This Row],[Koeficient odhadu CR '[-'] (P1)]]*$BL73*$IQ73)</f>
        <v>0</v>
      </c>
      <c r="ES73" s="135">
        <f ca="1">IF(OFFSET(BC73,1,0,1,1)&lt;&gt;0,$BL73*SUMIFS(RZ[Úroveň 6 bez koef. (P3)],RZ[0],AX73,RZ[Úroveň 2 (P0)],AY73,RZ[Úroveň 3 (P0)],AZ73,RZ[Úroveň 4 (P0)],BA73,RZ[Úroveň 5 (P0)],BB73),$BL73*$IQ73)</f>
        <v>0</v>
      </c>
      <c r="ET73" s="140">
        <f ca="1">RZ[[#This Row],[Úroveň 6 s koef. (P3a)]]*RZ[[#This Row],[Počet MJCR (P0) pro "kg"]]</f>
        <v>0</v>
      </c>
      <c r="EU73" s="140">
        <f ca="1">RZ[Úroveň 6 bez koef. (P3a)]*RZ[[#This Row],[Počet MJCR (P0) pro "kg"]]</f>
        <v>0</v>
      </c>
      <c r="EV73" s="140">
        <f ca="1">IF(OFFSET(BD73,1,0,1,1)&lt;&gt;0,RZ[[#This Row],[Koeficient odhadu CR '[-'] (P1)]]*$BM73*SUMIFS(RZ[Úroveň 7 s koef. (P3)],RZ[0],AX73,RZ[Úroveň 2 (P0)],AY73,RZ[Úroveň 3 (P0)],AZ73,RZ[Úroveň 4 (P0)],BA73,RZ[Úroveň 5 (P0)],BB73,RZ[Úroveň 6 (P0)],BC73),RZ[[#This Row],[Koeficient odhadu CR '[-'] (P1)]]*$BM73*$IQ73)</f>
        <v>0</v>
      </c>
      <c r="EW73" s="140">
        <f ca="1">IF(OFFSET(BD73,1,0,1,1)&lt;&gt;0,$BM73*SUMIFS(RZ[Úroveň 7 bez koef. (P3)],RZ[0],AX73,RZ[Úroveň 2 (P0)],AY73,RZ[Úroveň 3 (P0)],AZ73,RZ[Úroveň 4 (P0)],BA73,RZ[Úroveň 5 (P0)],BB73,RZ[Úroveň 6 (P0)],BC73),$BM73*$IQ73)</f>
        <v>0</v>
      </c>
      <c r="EX73" s="135">
        <f ca="1">RZ[[#This Row],[Úroveň 7 s koef. (P3a)]]*RZ[[#This Row],[Počet MJCR (P0) pro "kg"]]</f>
        <v>0</v>
      </c>
      <c r="EY73" s="135">
        <f ca="1">RZ[Úroveň 7 bez koef. (P3a)]*RZ[[#This Row],[Počet MJCR (P0) pro "kg"]]</f>
        <v>0</v>
      </c>
      <c r="EZ73" s="135">
        <f ca="1">IF(OFFSET(BE73,1,0,1,1)&lt;&gt;0,RZ[[#This Row],[Koeficient odhadu CR '[-'] (P1)]]*$BN73*SUMIFS(RZ[Úroveň 8 s koef. (P3)],RZ[0],AX73,RZ[Úroveň 2 (P0)],AY73,RZ[Úroveň 3 (P0)],AZ73,RZ[Úroveň 4 (P0)],BA73,RZ[Úroveň 5 (P0)],BB73,RZ[Úroveň 6 (P0)],BC73,RZ[Úroveň 7 (P0)],BD73),RZ[[#This Row],[Koeficient odhadu CR '[-'] (P1)]]*$BN73*$IQ73)</f>
        <v>0</v>
      </c>
      <c r="FA73" s="135">
        <f ca="1">IF(OFFSET(BE73,1,0,1,1)&lt;&gt;0,$BN73*SUMIFS(RZ[Úroveň 8 bez koef. (P3)],RZ[0],AX73,RZ[Úroveň 2 (P0)],AY73,RZ[Úroveň 3 (P0)],AZ73,RZ[Úroveň 4 (P0)],BA73,RZ[Úroveň 5 (P0)],BB73,RZ[Úroveň 6 (P0)],BC73,RZ[Úroveň 7 (P0)],BD73),$BN73*$IQ73)</f>
        <v>0</v>
      </c>
      <c r="FB73" s="140">
        <f ca="1">RZ[[#This Row],[Úroveň 8 s koef. (P3a)]]*RZ[[#This Row],[Počet MJCR (P0) pro "kg"]]</f>
        <v>0</v>
      </c>
      <c r="FC73" s="140">
        <f ca="1">RZ[Úroveň 8 bez koef. (P3a)]*RZ[[#This Row],[Počet MJCR (P0) pro "kg"]]</f>
        <v>0</v>
      </c>
      <c r="FD73" s="140">
        <f ca="1">IF(OFFSET(BF73,1,0,1,1)&lt;&gt;0,RZ[[#This Row],[Koeficient odhadu CR '[-'] (P1)]]*$BO73*SUMIFS(RZ[Úroveň 9 s koef. (P3)],RZ[0],AX73,RZ[Úroveň 2 (P0)],AY73,RZ[Úroveň 3 (P0)],AZ73,RZ[Úroveň 4 (P0)],BA73,RZ[Úroveň 5 (P0)],BB73,RZ[Úroveň 6 (P0)],BC73,RZ[Úroveň 7 (P0)],BD73,RZ[Úroveň 8 (P0)],BE73),RZ[[#This Row],[Koeficient odhadu CR '[-'] (P1)]]*$BO73*$IQ73)</f>
        <v>0</v>
      </c>
      <c r="FE73" s="140">
        <f ca="1">IF(OFFSET(BF73,1,0,1,1)&lt;&gt;0,$BO73*SUMIFS(RZ[Úroveň 9 bez koef. (P3)],RZ[0],AX73,RZ[Úroveň 2 (P0)],AY73,RZ[Úroveň 3 (P0)],AZ73,RZ[Úroveň 4 (P0)],BA73,RZ[Úroveň 5 (P0)],BB73,RZ[Úroveň 6 (P0)],BC73,RZ[Úroveň 7 (P0)],BD73,RZ[Úroveň 8 (P0)],BE73),$BO73*$IQ73)</f>
        <v>0</v>
      </c>
      <c r="FF73" s="135">
        <f ca="1">RZ[[#This Row],[Úroveň 9 s koef. (P3a)]]*RZ[[#This Row],[Počet MJCR (P0) pro "kg"]]</f>
        <v>0</v>
      </c>
      <c r="FG73" s="135">
        <f ca="1">RZ[Úroveň 9 bez koef. (P3a)]*RZ[[#This Row],[Počet MJCR (P0) pro "kg"]]</f>
        <v>0</v>
      </c>
      <c r="FH73" s="135">
        <f ca="1">IF(OFFSET(BG73,1,0,1,1)&lt;&gt;0,RZ[[#This Row],[Koeficient odhadu CR '[-'] (P1)]]*$BP73*SUMIFS(RZ[Úroveň 10 s koef. (P3)],RZ[0],AX73,RZ[Úroveň 2 (P0)],AY73,RZ[Úroveň 3 (P0)],AZ73,RZ[Úroveň 4 (P0)],BA73,RZ[Úroveň 5 (P0)],BB73,RZ[Úroveň 6 (P0)],BC73,RZ[Úroveň 7 (P0)],BD73,RZ[Úroveň 8 (P0)],BE73,RZ[Úroveň 9 (P0)],BF73),RZ[[#This Row],[Koeficient odhadu CR '[-'] (P1)]]*$BP73*$IQ73)</f>
        <v>0</v>
      </c>
      <c r="FI73" s="135">
        <f ca="1">IF(OFFSET(BG73,1,0,1,1)&lt;&gt;0,$BP73*SUMIFS(RZ[Úroveň 10 bez koef. (P3)],RZ[0],AX73,RZ[Úroveň 2 (P0)],AY73,RZ[Úroveň 3 (P0)],AZ73,RZ[Úroveň 4 (P0)],BA73,RZ[Úroveň 5 (P0)],BB73,RZ[Úroveň 6 (P0)],BC73,RZ[Úroveň 7 (P0)],BD73,RZ[Úroveň 8 (P0)],BE73,RZ[Úroveň 9 (P0)],BF73),$BP73*$IQ73)</f>
        <v>0</v>
      </c>
      <c r="FJ73" s="140">
        <f ca="1">RZ[[#This Row],[Úroveň 10 s koef. (P3a)]]*RZ[[#This Row],[Počet MJCR (P0) pro "kg"]]</f>
        <v>0</v>
      </c>
      <c r="FK73" s="140">
        <f ca="1">RZ[Úroveň 10 bez koef. (P3a)]*RZ[[#This Row],[Počet MJCR (P0) pro "kg"]]</f>
        <v>0</v>
      </c>
      <c r="FL73" s="140">
        <f ca="1">RZ[[#This Row],[Koeficient odhadu CR '[-'] (P1)]]*$BQ73*IQ73</f>
        <v>0</v>
      </c>
      <c r="FM73" s="236">
        <f t="shared" ca="1" si="51"/>
        <v>0</v>
      </c>
      <c r="FN73" s="194">
        <f t="shared" ca="1" si="123"/>
        <v>1136665.0200000003</v>
      </c>
      <c r="FO73" s="238">
        <f t="shared" ca="1" si="124"/>
        <v>1116665.02</v>
      </c>
      <c r="FP73" s="191">
        <f t="shared" ca="1" si="54"/>
        <v>0</v>
      </c>
      <c r="FQ73" s="135">
        <f t="shared" ca="1" si="55"/>
        <v>1</v>
      </c>
      <c r="FR73" s="135">
        <f t="shared" ca="1" si="56"/>
        <v>0</v>
      </c>
      <c r="FS73" s="135">
        <f t="shared" ca="1" si="57"/>
        <v>0</v>
      </c>
      <c r="FT73" s="135">
        <f t="shared" ca="1" si="58"/>
        <v>0</v>
      </c>
      <c r="FU73" s="135">
        <f t="shared" ca="1" si="59"/>
        <v>0</v>
      </c>
      <c r="FV73" s="135">
        <f t="shared" ca="1" si="60"/>
        <v>0</v>
      </c>
      <c r="FW73" s="135">
        <f t="shared" ca="1" si="61"/>
        <v>0</v>
      </c>
      <c r="FX73" s="135">
        <f t="shared" ca="1" si="62"/>
        <v>0</v>
      </c>
      <c r="FY73" s="135">
        <f t="shared" ca="1" si="63"/>
        <v>0</v>
      </c>
      <c r="FZ73" s="140">
        <f ca="1">SUMIFS(RZ[Úroveň 1 (P6)],RZ[0],AX73)</f>
        <v>1</v>
      </c>
      <c r="GA73" s="140">
        <f ca="1">SUMIFS(RZ[Úroveň 2 (P6)],RZ[0],AX73,RZ[Úroveň 2 (P0)],AY73)</f>
        <v>1</v>
      </c>
      <c r="GB73" s="140">
        <f ca="1">SUMIFS(RZ[Úroveň 3 (P6)],RZ[0],AX73,RZ[Úroveň 2 (P0)],AY73,RZ[Úroveň 3 (P0)],AZ73)</f>
        <v>0</v>
      </c>
      <c r="GC73" s="140">
        <f ca="1">SUMIFS(RZ[Úroveň 4 (P6)],RZ[0],AX73,RZ[Úroveň 2 (P0)],AY73,RZ[Úroveň 3 (P0)],AZ73,RZ[Úroveň 4 (P0)],BA73)</f>
        <v>0</v>
      </c>
      <c r="GD73" s="140">
        <f ca="1">SUMIFS(RZ[Úroveň 5 (P6)],RZ[0],AX73,RZ[Úroveň 2 (P0)],AY73,RZ[Úroveň 3 (P0)],AZ73,RZ[Úroveň 4 (P0)],BA73,RZ[Úroveň 5 (P0)],BB73)</f>
        <v>0</v>
      </c>
      <c r="GE73" s="140">
        <f ca="1">SUMIFS(RZ[Úroveň 6 (P6)],RZ[0],AX73,RZ[Úroveň 2 (P0)],AY73,RZ[Úroveň 3 (P0)],AZ73,RZ[Úroveň 4 (P0)],BA73,RZ[Úroveň 5 (P0)],BB73,RZ[Úroveň 6 (P0)],BC73)</f>
        <v>0</v>
      </c>
      <c r="GF73" s="140">
        <f ca="1">SUMIFS(RZ[Úroveň 7 (P6)],RZ[0],AX73,RZ[Úroveň 2 (P0)],AY73,RZ[Úroveň 3 (P0)],AZ73,RZ[Úroveň 4 (P0)],BA73,RZ[Úroveň 5 (P0)],BB73,RZ[Úroveň 6 (P0)],BC73,RZ[Úroveň 7 (P0)],BD73)</f>
        <v>0</v>
      </c>
      <c r="GG73" s="140">
        <f ca="1">SUMIFS(RZ[Úroveň 8 (P6)],RZ[0],AX73,RZ[Úroveň 2 (P0)],AY73,RZ[Úroveň 3 (P0)],AZ73,RZ[Úroveň 4 (P0)],BA73,RZ[Úroveň 5 (P0)],BB73,RZ[Úroveň 6 (P0)],BC73,RZ[Úroveň 7 (P0)],BD73,RZ[Úroveň 8 (P0)],BE73)</f>
        <v>0</v>
      </c>
      <c r="GH73" s="140">
        <f ca="1">SUMIFS(RZ[Úroveň 9 (P6)],RZ[0],AX73,RZ[Úroveň 2 (P0)],AY73,RZ[Úroveň 3 (P0)],AZ73,RZ[Úroveň 4 (P0)],BA73,RZ[Úroveň 5 (P0)],BB73,RZ[Úroveň 6 (P0)],BC73,RZ[Úroveň 7 (P0)],BD73,RZ[Úroveň 8 (P0)],BE73,RZ[Úroveň 9 (P0)],BF73)</f>
        <v>0</v>
      </c>
      <c r="GI73" s="140">
        <f ca="1">SUMIFS(RZ[Úroveň 10 (P6)],RZ[0],AX73,RZ[Úroveň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GJ73" s="194">
        <f t="shared" ca="1" si="125"/>
        <v>1</v>
      </c>
      <c r="GK73" s="807">
        <f t="shared" si="65"/>
        <v>0</v>
      </c>
      <c r="GL73" s="808">
        <f t="shared" si="66"/>
        <v>1</v>
      </c>
      <c r="GM73" s="808">
        <f t="shared" si="67"/>
        <v>0</v>
      </c>
      <c r="GN73" s="808">
        <f t="shared" si="68"/>
        <v>0</v>
      </c>
      <c r="GO73" s="808">
        <f t="shared" si="69"/>
        <v>0</v>
      </c>
      <c r="GP73" s="808">
        <f t="shared" si="70"/>
        <v>0</v>
      </c>
      <c r="GQ73" s="808">
        <f t="shared" si="71"/>
        <v>0</v>
      </c>
      <c r="GR73" s="808">
        <f t="shared" si="72"/>
        <v>0</v>
      </c>
      <c r="GS73" s="808">
        <f t="shared" si="73"/>
        <v>0</v>
      </c>
      <c r="GT73" s="808">
        <f t="shared" si="74"/>
        <v>0</v>
      </c>
      <c r="GU73" s="809">
        <f ca="1">SUMIFS(RZ[Sloupec1],RZ[0],AX73)</f>
        <v>1</v>
      </c>
      <c r="GV73" s="809">
        <f ca="1">SUMIFS(RZ[Sloupec2],RZ[0],AX73,RZ[Úroveň 2 (P0)],AY73)</f>
        <v>1</v>
      </c>
      <c r="GW73" s="809">
        <f ca="1">SUMIFS(RZ[Sloupec3],RZ[0],AX73,RZ[Úroveň 2 (P0)],AY73,RZ[Úroveň 3 (P0)],AZ73)</f>
        <v>0</v>
      </c>
      <c r="GX73" s="809">
        <f ca="1">SUMIFS(RZ[Sloupec4],RZ[0],AX73,RZ[Úroveň 2 (P0)],AY73,RZ[Úroveň 3 (P0)],AZ73,RZ[Úroveň 4 (P0)],BA73)</f>
        <v>0</v>
      </c>
      <c r="GY73" s="809">
        <f ca="1">SUMIFS(RZ[Sloupec5],RZ[0],AX73,RZ[Úroveň 2 (P0)],AY73,RZ[Úroveň 3 (P0)],AZ73,RZ[Úroveň 4 (P0)],BA73,RZ[Úroveň 5 (P0)],BB73)</f>
        <v>0</v>
      </c>
      <c r="GZ73" s="809">
        <f ca="1">SUMIFS(RZ[Sloupec6],RZ[0],AX73,RZ[Úroveň 2 (P0)],AY73,RZ[Úroveň 3 (P0)],AZ73,RZ[Úroveň 4 (P0)],BA73,RZ[Úroveň 5 (P0)],BB73,RZ[Úroveň 6 (P0)],BC73)</f>
        <v>0</v>
      </c>
      <c r="HA73" s="809">
        <f ca="1">SUMIFS(RZ[Sloupec62],RZ[0],AX73,RZ[Úroveň 2 (P0)],AY73,RZ[Úroveň 3 (P0)],AZ73,RZ[Úroveň 4 (P0)],BA73,RZ[Úroveň 5 (P0)],BB73,RZ[Úroveň 6 (P0)],BC73,RZ[Úroveň 7 (P0)],BD73)</f>
        <v>0</v>
      </c>
      <c r="HB73" s="809">
        <f ca="1">SUMIFS(RZ[Sloupec63],RZ[0],AX73,RZ[Úroveň 2 (P0)],AY73,RZ[Úroveň 3 (P0)],AZ73,RZ[Úroveň 4 (P0)],BA73,RZ[Úroveň 5 (P0)],BB73,RZ[Úroveň 6 (P0)],BC73,RZ[Úroveň 7 (P0)],BD73,RZ[Úroveň 8 (P0)],BE73)</f>
        <v>0</v>
      </c>
      <c r="HC73" s="809">
        <f ca="1">SUMIFS(RZ[Sloupec64],RZ[0],AX73,RZ[Úroveň 2 (P0)],AY73,RZ[Úroveň 3 (P0)],AZ73,RZ[Úroveň 4 (P0)],BA73,RZ[Úroveň 5 (P0)],BB73,RZ[Úroveň 6 (P0)],BC73,RZ[Úroveň 7 (P0)],BD73,RZ[Úroveň 8 (P0)],BE73,RZ[Úroveň 9 (P0)],BF73)</f>
        <v>0</v>
      </c>
      <c r="HD73" s="809">
        <f ca="1">SUMIFS(RZ[Sloupec65],RZ[0],AX73,RZ[Úroveň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HE73" s="803">
        <f t="shared" ca="1" si="75"/>
        <v>1</v>
      </c>
      <c r="HF73" s="48" t="str">
        <f t="shared" si="76"/>
        <v/>
      </c>
      <c r="HG73" s="94" t="str">
        <f t="shared" si="77"/>
        <v/>
      </c>
      <c r="HH73" s="95" t="str">
        <f t="shared" si="78"/>
        <v>Podpěrné kladky střední</v>
      </c>
      <c r="HI73" s="95" t="str">
        <f t="shared" si="79"/>
        <v/>
      </c>
      <c r="HJ73" s="96" t="str">
        <f t="shared" si="80"/>
        <v/>
      </c>
      <c r="HK73" s="96" t="str">
        <f t="shared" si="81"/>
        <v/>
      </c>
      <c r="HL73" s="96" t="str">
        <f t="shared" si="82"/>
        <v/>
      </c>
      <c r="HM73" s="96" t="str">
        <f t="shared" si="83"/>
        <v/>
      </c>
      <c r="HN73" s="96" t="str">
        <f t="shared" si="84"/>
        <v/>
      </c>
      <c r="HO73" s="96" t="str">
        <f t="shared" si="85"/>
        <v/>
      </c>
      <c r="HP73" s="96" t="str">
        <f t="shared" si="86"/>
        <v/>
      </c>
      <c r="HQ73" s="145" t="str">
        <f t="shared" si="87"/>
        <v>-</v>
      </c>
      <c r="HR73" s="175" t="str">
        <f t="shared" si="88"/>
        <v/>
      </c>
      <c r="HS73" s="173">
        <f t="shared" si="89"/>
        <v>0</v>
      </c>
      <c r="HT73" s="99">
        <f t="shared" si="90"/>
        <v>0</v>
      </c>
      <c r="HU73" s="99">
        <f t="shared" si="91"/>
        <v>0</v>
      </c>
      <c r="HV73" s="209">
        <f t="shared" si="92"/>
        <v>0</v>
      </c>
      <c r="HW73" s="47">
        <f t="shared" si="93"/>
        <v>0</v>
      </c>
      <c r="HX73" s="46">
        <f t="shared" si="94"/>
        <v>0</v>
      </c>
      <c r="HY73" s="149" t="str">
        <f t="shared" si="95"/>
        <v>S</v>
      </c>
      <c r="HZ73" s="263">
        <f t="shared" si="96"/>
        <v>0</v>
      </c>
      <c r="IA73" s="150">
        <f t="shared" si="97"/>
        <v>1</v>
      </c>
      <c r="IB73" s="319">
        <f t="shared" si="98"/>
        <v>0</v>
      </c>
      <c r="IC73" s="220">
        <f t="shared" si="99"/>
        <v>0</v>
      </c>
      <c r="ID73" s="200" t="str">
        <f t="shared" ca="1" si="100"/>
        <v>--</v>
      </c>
      <c r="IE73" s="201">
        <f t="shared" si="101"/>
        <v>0</v>
      </c>
      <c r="IF73" s="145">
        <f t="shared" si="102"/>
        <v>1</v>
      </c>
      <c r="IG73" s="216">
        <f t="shared" si="103"/>
        <v>0</v>
      </c>
      <c r="IH73" s="217">
        <f t="shared" si="126"/>
        <v>1</v>
      </c>
      <c r="II73" s="224">
        <f ca="1">IF(RZ[[#This Row],[Rozhodný sloupec indikativní ceny]]=1,"kg",IF($IW73=$JL$15,IF(JX73=0,JO73,JX73),IF($IW73=$KE$15,IF(KQ73=0,KH73,KQ73),IF($IW73=$KX$15,IF(LJ73=0,LA73,LJ73),IF($IW73=$LQ$15,IF(MC73=0,LT73,MC73),IF($IW73=$MJ$15,IF(NQ73=0,NH73,NQ73),0))))))</f>
        <v>0</v>
      </c>
      <c r="IJ73" s="224">
        <f ca="1">IF((BH73+OFFSET(BH73,1,1,1,1))=2,RZ[[#This Row],[Počet MJHR (P0)]],IF((BI73+OFFSET(BI73,1,1,1,1))=2,RZ[[#This Row],[Počet MJHR (P0)]],IF((BJ73+OFFSET(BJ73,1,1,1,1))=2,RZ[[#This Row],[Počet MJHR (P0)]],IF((BK73+OFFSET(BK73,1,1,1,1))=2,RZ[[#This Row],[Počet MJHR (P0)]],IF((BL73+OFFSET(BL73,1,1,1,1))=2,RZ[[#This Row],[Počet MJHR (P0)]],IF((BM73+OFFSET(BM73,1,1,1,1))=2,RZ[[#This Row],[Počet MJHR (P0)]],IF((BN73+OFFSET(BN73,1,1,1,1))=2,RZ[[#This Row],[Počet MJHR (P0)]],IF((BO73+OFFSET(BO73,1,1,1,1))=2,RZ[[#This Row],[Počet MJHR (P0)]],IF((BP73+OFFSET(BP73,1,1,1,1))=2,RZ[[#This Row],[Počet MJHR (P0)]],IF((BQ73+OFFSET(BQ73,1,1,1,1))=2,RZ[[#This Row],[Počet MJHR (P0)]],IF(RZ[[#This Row],[Měrná jednotka CR (MJCR) (P0)]]=RZ[[#This Row],[Měrná jednotka HR '[MJHR'] (P0)]],RZ[[#This Row],[Počet MJHR (P0)]],IF($IW73=$JL$15,JY73,IF($IW73=$KE$15,KR73,IF($IW73=$KX$15,LK73,IF($IW73=$LQ$15,MD73,IF($IW73=$MJ$15,NR73,0))))))))))))))))</f>
        <v>1</v>
      </c>
      <c r="IK7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73" s="330">
        <f ca="1">IF(AND(RZ[[#This Row],[Jednotková cena bez DPH '[cena/MJCR'] (P0)]]=0,RZ[[#This Row],[Indikativní jednotková cena '[CZK/kg'] (P1)]]&lt;&gt;0),1,0)</f>
        <v>0</v>
      </c>
      <c r="IM73" s="217">
        <f ca="1">VLOOKUP(RZ[[#This Row],[Kód položek]],INDIKAT_CENA,2,FALSE)</f>
        <v>0</v>
      </c>
      <c r="IN73" s="222">
        <f ca="1">IF(RZ[[#This Row],[Rozhodný sloupec indikativní ceny]]=1,RZ[[#This Row],[Indikativní jednotková cena '[CZK/kg'] (P1)]],RZ[[#This Row],[Jednotková cena bez DPH '[cena/MJCR'] (P0)]])</f>
        <v>0</v>
      </c>
      <c r="IO73" s="222">
        <f t="shared" si="127"/>
        <v>1</v>
      </c>
      <c r="IP73" s="223">
        <f ca="1">IF(RZ[[#This Row],[Rozhodný sloupec indikativní ceny]]=1,1,IF($IW73=$JL$15,KA73,IF($IW73=$KE$15,KT73,IF($IW73=$KX$15,LM73,IF($IW73=$LQ$15,MF73,IF($IW73=$MJ$15,NT73,0))))))</f>
        <v>0</v>
      </c>
      <c r="IQ73" s="225">
        <f ca="1">IF(RZ[[#This Row],[Jednotková cena bez DPH '[cena/MJCR'] (P1)]]="",0,IF(IP73=0,0,(RZ[[#This Row],[Jednotková cena bez DPH '[cena/MJCR'] (P1)]]*VLOOKUP(IP73,$BR$7:$BT$10,3))))</f>
        <v>0</v>
      </c>
      <c r="IR73" s="737"/>
      <c r="IS73" s="627">
        <f>IF(HY73=0,"",VLOOKUP(RZ[[#This Row],[Stav Projekce (P0)]],Vstupy!$E$11:'Vstupy'!$E$11:$H$17,4,FALSE))</f>
        <v>100</v>
      </c>
      <c r="IT73" s="628" t="str">
        <f>IF(RZ[[#This Row],[Stav Projekce (P0)]]=0,"",RZ[[#This Row],[Stav Projekce (P0)]])</f>
        <v>S</v>
      </c>
      <c r="IU73" s="628" t="str">
        <f>IF(RZ[[#This Row],[Stav Nákup (P0)]]=0,"",RZ[[#This Row],[Stav Nákup (P0)]])</f>
        <v/>
      </c>
      <c r="IV73" s="636" t="str">
        <f t="shared" si="128"/>
        <v/>
      </c>
      <c r="IW73" s="641">
        <v>1</v>
      </c>
      <c r="IX73" s="630"/>
      <c r="IY73" s="264"/>
      <c r="IZ73" s="648"/>
      <c r="JA73" s="100" t="s">
        <v>739</v>
      </c>
      <c r="JB73" s="100"/>
      <c r="JC73" s="100"/>
      <c r="JD73" s="100"/>
      <c r="JE73" s="100"/>
      <c r="JF73" s="100"/>
      <c r="JG73" s="100"/>
      <c r="JH73" s="100"/>
      <c r="JI73" s="100"/>
      <c r="JJ73" s="145" t="s">
        <v>231</v>
      </c>
      <c r="JK73" s="529"/>
      <c r="JL73" s="286"/>
      <c r="JM73" s="100"/>
      <c r="JN73" s="100"/>
      <c r="JO73" s="145"/>
      <c r="JP73" s="117">
        <v>1</v>
      </c>
      <c r="JQ73" s="117"/>
      <c r="JR73" s="148">
        <v>1</v>
      </c>
      <c r="JS73" s="145" t="s">
        <v>602</v>
      </c>
      <c r="JT73" s="631"/>
      <c r="JU73" s="148"/>
      <c r="JV73" s="154"/>
      <c r="JW73" s="145"/>
      <c r="JX73" s="210"/>
      <c r="JY73" s="117"/>
      <c r="JZ73" s="662"/>
      <c r="KA73" s="145"/>
      <c r="KB73" s="148"/>
      <c r="KC73" s="148"/>
      <c r="KD73" s="644"/>
      <c r="KE73" s="286"/>
      <c r="KF73" s="100"/>
      <c r="KG73" s="100"/>
      <c r="KH73" s="210"/>
      <c r="KI73" s="117"/>
      <c r="KJ73" s="117"/>
      <c r="KK73" s="148"/>
      <c r="KL73" s="145"/>
      <c r="KM73" s="632"/>
      <c r="KN73" s="148"/>
      <c r="KO73" s="154"/>
      <c r="KP73" s="154"/>
      <c r="KQ73" s="210"/>
      <c r="KR73" s="117"/>
      <c r="KS73" s="211"/>
      <c r="KT73" s="145"/>
      <c r="KU73" s="148"/>
      <c r="KV73" s="148"/>
      <c r="KW73" s="265"/>
      <c r="KX73" s="286"/>
      <c r="KY73" s="100"/>
      <c r="KZ73" s="100"/>
      <c r="LA73" s="210"/>
      <c r="LB73" s="117"/>
      <c r="LC73" s="117"/>
      <c r="LD73" s="148"/>
      <c r="LE73" s="145"/>
      <c r="LF73" s="632"/>
      <c r="LG73" s="148"/>
      <c r="LH73" s="154"/>
      <c r="LI73" s="154"/>
      <c r="LJ73" s="154"/>
      <c r="LK73" s="117"/>
      <c r="LL73" s="211"/>
      <c r="LM73" s="210"/>
      <c r="LN73" s="148"/>
      <c r="LO73" s="148"/>
      <c r="LP73" s="265"/>
      <c r="LQ73" s="286"/>
      <c r="LR73" s="100"/>
      <c r="LS73" s="100"/>
      <c r="LT73" s="210"/>
      <c r="LU73" s="117"/>
      <c r="LV73" s="117"/>
      <c r="LW73" s="148"/>
      <c r="LX73" s="145"/>
      <c r="LY73" s="632"/>
      <c r="LZ73" s="148"/>
      <c r="MA73" s="154"/>
      <c r="MB73" s="154"/>
      <c r="MC73" s="145"/>
      <c r="MD73" s="117"/>
      <c r="ME73" s="211"/>
      <c r="MF73" s="210"/>
      <c r="MG73" s="148"/>
      <c r="MH73" s="148"/>
      <c r="MI73" s="265"/>
      <c r="MJ73" s="647"/>
      <c r="MK73" s="264"/>
      <c r="ML73" s="153"/>
      <c r="MM73" s="153"/>
      <c r="MN73" s="153"/>
      <c r="MO73" s="153"/>
      <c r="MP73" s="153"/>
      <c r="MQ73" s="153"/>
      <c r="MR73" s="153"/>
      <c r="MS73" s="99"/>
      <c r="MT73" s="99"/>
      <c r="MU73" s="99"/>
      <c r="MV73" s="99"/>
      <c r="MW73" s="99"/>
      <c r="MX73" s="99"/>
      <c r="MY73" s="153"/>
      <c r="MZ73" s="153"/>
      <c r="NA73" s="153"/>
      <c r="NB73" s="153"/>
      <c r="NC73" s="153"/>
      <c r="ND73" s="153"/>
      <c r="NE73" s="148"/>
      <c r="NF73" s="153"/>
      <c r="NG73" s="153"/>
      <c r="NH73" s="145" t="str">
        <f t="shared" si="358"/>
        <v>ks</v>
      </c>
      <c r="NI73" s="779">
        <f>RZ[[#This Row],[Počet ks (K)]]</f>
        <v>0</v>
      </c>
      <c r="NJ73" s="210">
        <f>RZ[[#This Row],[Hmotnost '[kg/ks'] (K)]]</f>
        <v>0</v>
      </c>
      <c r="NK73" s="148"/>
      <c r="NL73" s="145"/>
      <c r="NM73" s="632"/>
      <c r="NN73" s="148"/>
      <c r="NO73" s="154"/>
      <c r="NP73" s="153"/>
      <c r="NQ73" s="153"/>
      <c r="NR73" s="210"/>
      <c r="NS73" s="148"/>
      <c r="NT73" s="210"/>
      <c r="NU73" s="148"/>
      <c r="NV73" s="148"/>
      <c r="NW73" s="175"/>
    </row>
    <row r="74" spans="2:387" ht="15.95" customHeight="1" x14ac:dyDescent="0.35">
      <c r="B74" s="118" t="str">
        <f t="shared" ref="B74:B91" si="476">IF(HF74=0,"",HF74)</f>
        <v/>
      </c>
      <c r="C7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4" s="262" t="str">
        <f t="shared" ref="D74:D91" si="477">IF(HG74&lt;&gt;"",HG74,IF(HH74&lt;&gt;"","  "&amp;HH74,IF(HI74&lt;&gt;"","  "&amp;"  "&amp;HI74,IF(HJ74&lt;&gt;"","  "&amp;"  "&amp;"  "&amp;HJ74,IF(HK74&lt;&gt;"","  "&amp;"  "&amp;"  "&amp;"  "&amp;HK74,IF(HL74&lt;&gt;"","  "&amp;"  "&amp;"  "&amp;"  "&amp;"  "&amp;HL74,IF(HM74&lt;&gt;"","  "&amp;"  "&amp;"  "&amp;"  "&amp;"  "&amp;"  "&amp;HM74,IF(HN74&lt;&gt;"","  "&amp;"  "&amp;"  "&amp;"  "&amp;"  "&amp;"  "&amp;"  "&amp;HN74,IF(HO74&lt;&gt;"","  "&amp;"  "&amp;"  "&amp;"  "&amp;"  "&amp;"  "&amp;"  "&amp;"  "&amp;HO74,IF(HP74&lt;&gt;"","  "&amp;"  "&amp;"  "&amp;"  "&amp;"  "&amp;"  "&amp;"  "&amp;"  "&amp;"  "&amp;HP74,0))))))))))</f>
        <v xml:space="preserve">    Kladka - průměr 160 mm</v>
      </c>
      <c r="E74" s="120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Row],[Kód položek (P2)]]))))))))))</f>
        <v>OKS1</v>
      </c>
      <c r="F74" s="791" t="str">
        <f t="shared" ref="F74:F91" si="478">IF(HS74=0,"N/A",HS74)</f>
        <v>N/A</v>
      </c>
      <c r="G74" s="792" t="str">
        <f t="shared" ref="G74:G91" si="479">IF(HT74=0,"",HT74)</f>
        <v/>
      </c>
      <c r="H74" s="262" t="str">
        <f t="shared" ref="H74:H91" si="480">IF(HU74=0,"",HU74)</f>
        <v/>
      </c>
      <c r="I74" s="123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HR '[MJHR'] (P0)]]))))))))))</f>
        <v>ks</v>
      </c>
      <c r="J74" s="123">
        <f t="shared" ref="J74:J91" si="481">IF(IF74=0,"",IF74)</f>
        <v>4</v>
      </c>
      <c r="K74" s="793">
        <f>RZ[[#This Row],[Koeficient odhadu HR '[-'] (P1)]]</f>
        <v>1</v>
      </c>
      <c r="L74" s="124">
        <f ca="1">RZ[[#This Row],[Jednotková hmotnost s koef. '[kg/MJHR'] (P0)]]</f>
        <v>300</v>
      </c>
      <c r="M74" s="794">
        <f t="shared" ref="M74:M91" ca="1" si="482">IF(ISNUMBER(K74),L74/K74*(K74-1),0)</f>
        <v>0</v>
      </c>
      <c r="N74" s="125">
        <f t="shared" ref="N74:N91" ca="1" si="483">IF(ISNUMBER(J74),J74*L74,0)</f>
        <v>1200</v>
      </c>
      <c r="O74" s="125">
        <f t="shared" ref="O74:O91" ca="1" si="484">IF(ISNUMBER(J74),J74*M74,0)</f>
        <v>0</v>
      </c>
      <c r="P74" s="126" t="str">
        <f t="shared" ref="P74:P91" si="485">IF(HR74=0,"",HR74)</f>
        <v/>
      </c>
      <c r="Q74" s="795">
        <f ca="1">RZ[[#This Row],[Počet MJHR v rozpadu (P0)]]</f>
        <v>4</v>
      </c>
      <c r="R74" s="439" t="str">
        <f t="shared" ref="R74:R91" si="486">IF(HV74&lt;&gt;0,HV74,"")</f>
        <v/>
      </c>
      <c r="S74" s="129" t="str">
        <f t="shared" ref="S74:S91" si="487">IF(HW74&lt;&gt;0,HW74,"")</f>
        <v/>
      </c>
      <c r="T74" s="126" t="str">
        <f t="shared" ref="T74:T91" si="488">IF(HX74=0,"",HX74)</f>
        <v/>
      </c>
      <c r="U74" s="126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CR (MJCR) (P0)]]))))))))))</f>
        <v>kg</v>
      </c>
      <c r="V74" s="575">
        <f t="shared" ref="V74:V91" ca="1" si="489">IF(IK74=0,"",IK74)</f>
        <v>1200</v>
      </c>
      <c r="W74" s="322">
        <f>RZ[[#This Row],[Koeficient odhadu CR '[-'] (P1)]]</f>
        <v>1</v>
      </c>
      <c r="X74" s="440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Row],[Jednotková cena bez DPH '[cena/MJCR'] (P1)]]*RZ[[#This Row],[Koeficient odhadu CR '[-']]]))))))))))</f>
        <v>140</v>
      </c>
      <c r="Y74" s="440">
        <f t="shared" ref="Y74:Y91" ca="1" si="490">IF(ISNUMBER(X74),-X74/W74*(W74-1),0)</f>
        <v>0</v>
      </c>
      <c r="Z74" s="142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VLOOKUP(IP74,$BR$7:$BS$11,2,FALSE)))))))))))</f>
        <v>CZK</v>
      </c>
      <c r="AA74" s="909">
        <f t="shared" ref="AA74:AA91" ca="1" si="491">GJ74</f>
        <v>1200</v>
      </c>
      <c r="AB74" s="910">
        <f ca="1">RZ[[#This Row],[Kumulovaný koeficient v rozpadu (P0)]]</f>
        <v>1</v>
      </c>
      <c r="AC74" s="261"/>
      <c r="AD74" s="796">
        <f ca="1">RZ[[#This Row],[Jednotková cena bez DPH '[cena/MJCR'] s koef. (P0)]]/RZ[[#This Row],[Koeficient odhadu CR '[-']]]*RZ[[#This Row],[Kumulovaný koeficient odhadu CR  '[-']]]</f>
        <v>140</v>
      </c>
      <c r="AE74" s="796">
        <f t="shared" ref="AE74:AE91" ca="1" si="492">IF(ISNUMBER(AA74),AA74*AD74,0)*IF(V74="",0,1)</f>
        <v>168000</v>
      </c>
      <c r="AF74" s="796">
        <f ca="1">-IF(ISNUMBER(AA74),RZ[[#This Row],[Celková cena bez DPH (1)]]-RZ[[#This Row],[Jednotková cena bez DPH '[cena/MJCR'] bez koef. (P0)]]*AA74,0)</f>
        <v>0</v>
      </c>
      <c r="AG7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4" s="261"/>
      <c r="AI74" s="796">
        <f t="shared" ref="AI74:AI91" ca="1" si="493">AD74/VLOOKUP($AJ$13,KURZY,3,FALSE)</f>
        <v>5.1851851851851851</v>
      </c>
      <c r="AJ74" s="796">
        <f t="shared" ref="AJ74:AJ91" ca="1" si="494">AE74/VLOOKUP($AJ$13,KURZY,3,FALSE)*IF(V74="",0,1)</f>
        <v>6222.2222222222226</v>
      </c>
      <c r="AK74" s="796">
        <f t="shared" ref="AK74:AK91" ca="1" si="495">AF74/VLOOKUP($AJ$13,KURZY,3,FALSE)</f>
        <v>0</v>
      </c>
      <c r="AL74" s="753">
        <f ca="1">RZ[[#This Row],[Kilogramová cena bez DPH '[cena/kg'] (1)]]/$AK$13</f>
        <v>5.1851851851851851</v>
      </c>
      <c r="AM74" s="261"/>
      <c r="AN74" s="796">
        <f t="shared" ref="AN74:AN91" ca="1" si="496">AD74/VLOOKUP($AO$13,KURZY,3,FALSE)</f>
        <v>6.7632850241545892</v>
      </c>
      <c r="AO74" s="796">
        <f t="shared" ref="AO74:AO91" ca="1" si="497">AE74/VLOOKUP($AO$13,KURZY,3,FALSE)*IF(V74="",0,1)</f>
        <v>8115.9420289855079</v>
      </c>
      <c r="AP74" s="796">
        <f t="shared" ref="AP74:AP91" ca="1" si="498">AF74/VLOOKUP($AO$13,KURZY,3,FALSE)</f>
        <v>0</v>
      </c>
      <c r="AQ74" s="753">
        <f ca="1">RZ[[#This Row],[Kilogramová cena bez DPH '[cena/kg'] (1)]]/$AP$13</f>
        <v>6.7632850241545892</v>
      </c>
      <c r="AR74" s="261"/>
      <c r="AS74" s="796">
        <f t="shared" ref="AS74:AS91" ca="1" si="499">AD74/VLOOKUP($AT$13,KURZY,3,FALSE)</f>
        <v>3.8293216630196936</v>
      </c>
      <c r="AT74" s="796">
        <f t="shared" ref="AT74:AT91" ca="1" si="500">AE74/VLOOKUP($AT$13,KURZY,3,FALSE)*IF(V74="",0,1)</f>
        <v>4595.1859956236322</v>
      </c>
      <c r="AU74" s="789">
        <f t="shared" ref="AU74:AU91" ca="1" si="501">AF74/VLOOKUP($AT$13,KURZY,3,FALSE)</f>
        <v>0</v>
      </c>
      <c r="AV74" s="767">
        <f ca="1">RZ[[#This Row],[Kilogramová cena bez DPH '[cena/kg'] (1)]]/$AU$13</f>
        <v>3.8293216630196936</v>
      </c>
      <c r="AW74" s="165"/>
      <c r="AX74" s="911">
        <f t="shared" ref="AX74:AX91" ca="1" si="502">IF($BH74=0,IF(AY74&gt;0,OFFSET(AX74,-1,0,1,1),0),OFFSET(AX74,-1,0,1,1)+1)</f>
        <v>2</v>
      </c>
      <c r="AY74" s="111">
        <f t="shared" ref="AY74:AY91" ca="1" si="503">IF($BI74=0,IF(AZ74&gt;0,OFFSET(AY74,-1,0,1,1),0),OFFSET(AY74,-1,0,1,1)+1)</f>
        <v>3</v>
      </c>
      <c r="AZ74" s="111">
        <f t="shared" ref="AZ74:AZ91" ca="1" si="504">IF($BJ74=0,IF(BA74&gt;0,OFFSET(AZ74,-1,0,1,1),0),OFFSET(AZ74,-1,0,1,1)+1)</f>
        <v>1</v>
      </c>
      <c r="BA74" s="111">
        <f t="shared" ref="BA74:BA91" ca="1" si="505">IF($BK74=0,IF(BB74&gt;0,OFFSET(BA74,-1,0,1,1),0),OFFSET(BA74,-1,0,1,1)+1)</f>
        <v>0</v>
      </c>
      <c r="BB74" s="111">
        <f t="shared" ref="BB74:BB91" ca="1" si="506">IF($BL74=0,IF(BC74&gt;0,OFFSET(BB74,-1,0,1,1),0),OFFSET(BB74,-1,0,1,1)+1)</f>
        <v>0</v>
      </c>
      <c r="BC74" s="111">
        <f t="shared" ref="BC74:BC91" ca="1" si="507">IF($BM74=0,IF(BD74&gt;0,OFFSET(BC74,-1,0,1,1),0),OFFSET(BC74,-1,0,1,1)+1)</f>
        <v>0</v>
      </c>
      <c r="BD74" s="111">
        <f t="shared" ref="BD74:BD91" ca="1" si="508">IF($BN74=0,IF(BE74&gt;0,OFFSET(BD74,-1,0,1,1),0),OFFSET(BD74,-1,0,1,1)+1)</f>
        <v>0</v>
      </c>
      <c r="BE74" s="111">
        <f t="shared" ref="BE74:BE91" ca="1" si="509">IF($BO74=0,IF(BF74&gt;0,OFFSET(BE74,-1,0,1,1),0),OFFSET(BE74,-1,0,1,1)+1)</f>
        <v>0</v>
      </c>
      <c r="BF74" s="111">
        <f t="shared" ref="BF74:BF91" ca="1" si="510">IF($BP74=0,IF(BG74&gt;0,OFFSET(BF74,-1,0,1,1),0),OFFSET(BF74,-1,0,1,1)+1)</f>
        <v>0</v>
      </c>
      <c r="BG74" s="112">
        <f t="shared" ref="BG74:BG91" ca="1" si="511">IF($BQ74=0,0,OFFSET($BG74,-1,0,1,1)+1)</f>
        <v>0</v>
      </c>
      <c r="BH74" s="911">
        <f t="shared" ref="BH74:BH91" si="512">IF(HG74="",0,1)</f>
        <v>0</v>
      </c>
      <c r="BI74" s="111">
        <f t="shared" ref="BI74:BI91" si="513">IF(HH74="",0,1)</f>
        <v>0</v>
      </c>
      <c r="BJ74" s="111">
        <f t="shared" ref="BJ74:BJ91" si="514">IF(HI74="",0,1)</f>
        <v>1</v>
      </c>
      <c r="BK74" s="111">
        <f t="shared" ref="BK74:BK91" si="515">IF(HJ74="",0,1)</f>
        <v>0</v>
      </c>
      <c r="BL74" s="111">
        <f t="shared" ref="BL74:BL91" si="516">IF(HK74="",0,1)</f>
        <v>0</v>
      </c>
      <c r="BM74" s="111">
        <f t="shared" ref="BM74:BM91" si="517">IF(HL74="",0,1)</f>
        <v>0</v>
      </c>
      <c r="BN74" s="111">
        <f t="shared" ref="BN74:BN91" si="518">IF(HM74="",0,1)</f>
        <v>0</v>
      </c>
      <c r="BO74" s="111">
        <f t="shared" ref="BO74:BO91" si="519">IF(HN74="",0,1)</f>
        <v>0</v>
      </c>
      <c r="BP74" s="111">
        <f t="shared" ref="BP74:BP91" si="520">IF(HO74="",0,1)</f>
        <v>0</v>
      </c>
      <c r="BQ74" s="112">
        <f t="shared" ref="BQ74:BQ91" si="521">IF(HP74="",0,1)</f>
        <v>0</v>
      </c>
      <c r="BR74" s="132">
        <f ca="1">IF(OFFSET(AY74,1,0,1,1)&lt;&gt;0,RZ[[#This Row],[Koeficient odhadu HR '[-'] (P1)]]*$BH74*SUMIFS(RZ[Úroveň 2 s koef. (P2)],RZ[0],AX74),RZ[[#This Row],[Koeficient odhadu HR '[-'] (P1)]]*$BH74*$IG74)</f>
        <v>0</v>
      </c>
      <c r="BS74" s="186">
        <f ca="1">IF(OFFSET(AY74,1,0,1,1)&lt;&gt;0,$BH74*SUMIFS(RZ[Úroveň 2 bez koef. (P2)],RZ[0],AX74),$BH74*$IG74)</f>
        <v>0</v>
      </c>
      <c r="BT74" s="138">
        <f ca="1">RZ[[#This Row],[Úroveň 2 s koef. (P2a)]]*RZ[[#This Row],[Počet MJHR (P0)]]</f>
        <v>0</v>
      </c>
      <c r="BU74" s="138">
        <f ca="1">RZ[[#This Row],[Úroveň 2 bez koef. (P2a)]]*RZ[[#This Row],[Počet MJHR (P0)]]</f>
        <v>0</v>
      </c>
      <c r="BV74" s="138">
        <f ca="1">IF(OFFSET(AZ74,1,0,1,1)&lt;&gt;0,RZ[[#This Row],[Koeficient odhadu HR '[-'] (P1)]]*$BI74*SUMIFS(RZ[Úroveň 3 s koef. (P2)],RZ[0],AX74,RZ[Úroveň 2 (P0)],AY74),RZ[[#This Row],[Koeficient odhadu HR '[-'] (P1)]]*$BI74*$IG74)</f>
        <v>0</v>
      </c>
      <c r="BW74" s="138">
        <f ca="1">IF(OFFSET(AZ74,1,0,1,1)&lt;&gt;0,$BI74*SUMIFS(RZ[Úroveň 3 bez koef. (P2)],RZ[0],AX74,RZ[Úroveň 2 (P0)],AY74),$BI74*$IG74)</f>
        <v>0</v>
      </c>
      <c r="BX74" s="132">
        <f ca="1">RZ[[#This Row],[Úroveň 3 s koef. (P2a)]]*RZ[[#This Row],[Počet MJHR (P0)]]</f>
        <v>1200</v>
      </c>
      <c r="BY74" s="132">
        <f ca="1">RZ[Úroveň 3 bez koef. (P2a)]*RZ[[#This Row],[Počet MJHR (P0)]]</f>
        <v>1200</v>
      </c>
      <c r="BZ74" s="132">
        <f ca="1">IF(OFFSET(BA74,1,0,1,1)&lt;&gt;0,RZ[[#This Row],[Koeficient odhadu HR '[-'] (P1)]]*$BJ74*SUMIFS(RZ[Úroveň 4 s koef. (P2)],RZ[0],AX74,RZ[Úroveň 2 (P0)],AY74,RZ[Úroveň 3 (P0)],AZ74),RZ[[#This Row],[Koeficient odhadu HR '[-'] (P1)]]*$BJ74*$IG74)</f>
        <v>300</v>
      </c>
      <c r="CA74" s="132">
        <f ca="1">IF(OFFSET(BA74,1,0,1,1)&lt;&gt;0,$BJ74*SUMIFS(RZ[Úroveň 4 bez koef. (P2)],RZ[0],AX74,RZ[Úroveň 2 (P0)],AY74,RZ[Úroveň 3 (P0)],AZ74),$BJ74*$IG74)</f>
        <v>300</v>
      </c>
      <c r="CB74" s="138">
        <f ca="1">RZ[[#This Row],[Úroveň 4 s koef. (P2a)]]*RZ[[#This Row],[Počet MJHR (P0)]]</f>
        <v>0</v>
      </c>
      <c r="CC74" s="138">
        <f ca="1">RZ[Úroveň 4 bez koef. (P2a)]*RZ[[#This Row],[Počet MJHR (P0)]]</f>
        <v>0</v>
      </c>
      <c r="CD74" s="138">
        <f ca="1">IF(OFFSET(BB74,1,0,1,1)&lt;&gt;0,RZ[[#This Row],[Koeficient odhadu HR '[-'] (P1)]]*$BK74*SUMIFS(RZ[Úroveň 5 s koef. (P2)],RZ[0],AX74,RZ[Úroveň 2 (P0)],AY74,RZ[Úroveň 3 (P0)],AZ74,RZ[Úroveň 4 (P0)],BA74),RZ[[#This Row],[Koeficient odhadu HR '[-'] (P1)]]*$BK74*$IG74)</f>
        <v>0</v>
      </c>
      <c r="CE74" s="138">
        <f ca="1">IF(OFFSET(BB74,1,0,1,1)&lt;&gt;0,$BK74*SUMIFS(RZ[Úroveň 5 bez koef. (P2)],RZ[0],AX74,RZ[Úroveň 2 (P0)],AY74,RZ[Úroveň 3 (P0)],AZ74,RZ[Úroveň 4 (P0)],BA74),$BK74*$IG74)</f>
        <v>0</v>
      </c>
      <c r="CF74" s="132">
        <f ca="1">RZ[[#This Row],[Úroveň 5 s koef. (P2a)]]*RZ[[#This Row],[Počet MJHR (P0)]]</f>
        <v>0</v>
      </c>
      <c r="CG74" s="132">
        <f ca="1">RZ[Úroveň 5 bez koef. (P2a)]*RZ[[#This Row],[Počet MJHR (P0)]]</f>
        <v>0</v>
      </c>
      <c r="CH74" s="132">
        <f ca="1">IF(OFFSET(BC74,1,0,1,1)&lt;&gt;0,RZ[[#This Row],[Koeficient odhadu HR '[-'] (P1)]]*$BL74*SUMIFS(RZ[Úroveň 6 s koef. (P2)],RZ[0],AX74,RZ[Úroveň 2 (P0)],AY74,RZ[Úroveň 3 (P0)],AZ74,RZ[Úroveň 4 (P0)],BA74,RZ[Úroveň 5 (P0)],BB74),RZ[[#This Row],[Koeficient odhadu HR '[-'] (P1)]]*$BL74*$IG74)</f>
        <v>0</v>
      </c>
      <c r="CI74" s="132">
        <f ca="1">IF(OFFSET(BC74,1,0,1,1)&lt;&gt;0,$BL74*SUMIFS(RZ[Úroveň 6 bez koef. (P2)],RZ[0],AX74,RZ[Úroveň 2 (P0)],AY74,RZ[Úroveň 3 (P0)],AZ74,RZ[Úroveň 4 (P0)],BA74,RZ[Úroveň 5 (P0)],BB74),$BL74*$IG74)</f>
        <v>0</v>
      </c>
      <c r="CJ74" s="138">
        <f ca="1">RZ[[#This Row],[Úroveň 6 s koef. (P2a)]]*RZ[[#This Row],[Počet MJHR (P0)]]</f>
        <v>0</v>
      </c>
      <c r="CK74" s="138">
        <f ca="1">RZ[Úroveň 6 bez koef. (P2a)]*RZ[[#This Row],[Počet MJHR (P0)]]</f>
        <v>0</v>
      </c>
      <c r="CL74" s="138">
        <f ca="1">IF(OFFSET(BD74,1,0,1,1)&lt;&gt;0,RZ[[#This Row],[Koeficient odhadu HR '[-'] (P1)]]*$BM74*SUMIFS(RZ[Úroveň 7 s koef. (P2)],RZ[0],AX74,RZ[Úroveň 2 (P0)],AY74,RZ[Úroveň 3 (P0)],AZ74,RZ[Úroveň 4 (P0)],BA74,RZ[Úroveň 5 (P0)],BB74,RZ[Úroveň 6 (P0)],BC74),RZ[[#This Row],[Koeficient odhadu HR '[-'] (P1)]]*$BM74*$IG74)</f>
        <v>0</v>
      </c>
      <c r="CM74" s="138">
        <f ca="1">IF(OFFSET(BD74,1,0,1,1)&lt;&gt;0,$BM74*SUMIFS(RZ[Úroveň 7 bez koef. (P2)],RZ[0],AX74,RZ[Úroveň 2 (P0)],AY74,RZ[Úroveň 3 (P0)],AZ74,RZ[Úroveň 4 (P0)],BA74,RZ[Úroveň 5 (P0)],BB74,RZ[Úroveň 6 (P0)],BC74),$BM74*$IG74)</f>
        <v>0</v>
      </c>
      <c r="CN74" s="132">
        <f ca="1">RZ[[#This Row],[Úroveň 7 s koef. (P2a)]]*RZ[[#This Row],[Počet MJHR (P0)]]</f>
        <v>0</v>
      </c>
      <c r="CO74" s="132">
        <f ca="1">RZ[Úroveň 7 bez koef. (P2a)]*RZ[[#This Row],[Počet MJHR (P0)]]</f>
        <v>0</v>
      </c>
      <c r="CP74" s="132">
        <f ca="1">IF(OFFSET(BE74,1,0,1,1)&lt;&gt;0,RZ[[#This Row],[Koeficient odhadu HR '[-'] (P1)]]*$BN74*SUMIFS(RZ[Úroveň 8 s koef. (P2)],RZ[0],AX74,RZ[Úroveň 2 (P0)],AY74,RZ[Úroveň 3 (P0)],AZ74,RZ[Úroveň 4 (P0)],BA74,RZ[Úroveň 5 (P0)],BB74,RZ[Úroveň 6 (P0)],BC74,RZ[Úroveň 7 (P0)],BD74),RZ[[#This Row],[Koeficient odhadu HR '[-'] (P1)]]*$BN74*$IG74)</f>
        <v>0</v>
      </c>
      <c r="CQ74" s="132">
        <f ca="1">IF(OFFSET(BE74,1,0,1,1)&lt;&gt;0,$BN74*SUMIFS(RZ[Úroveň 8 bez koef. (P2)],RZ[0],AX74,RZ[Úroveň 2 (P0)],AY74,RZ[Úroveň 3 (P0)],AZ74,RZ[Úroveň 4 (P0)],BA74,RZ[Úroveň 5 (P0)],BB74,RZ[Úroveň 6 (P0)],BC74,RZ[Úroveň 7 (P0)],BD74),$BN74*$IG74)</f>
        <v>0</v>
      </c>
      <c r="CR74" s="138">
        <f ca="1">RZ[[#This Row],[Úroveň 8 s koef. (P2a)]]*RZ[[#This Row],[Počet MJHR (P0)]]</f>
        <v>0</v>
      </c>
      <c r="CS74" s="138">
        <f ca="1">RZ[Úroveň 8 bez koef. (P2a)]*RZ[[#This Row],[Počet MJHR (P0)]]</f>
        <v>0</v>
      </c>
      <c r="CT74" s="138">
        <f ca="1">IF(OFFSET(BF74,1,0,1,1)&lt;&gt;0,RZ[[#This Row],[Koeficient odhadu HR '[-'] (P1)]]*$BO74*SUMIFS(RZ[Úroveň 9 s koef. (P2)],RZ[0],AX74,RZ[Úroveň 2 (P0)],AY74,RZ[Úroveň 3 (P0)],AZ74,RZ[Úroveň 4 (P0)],BA74,RZ[Úroveň 5 (P0)],BB74,RZ[Úroveň 6 (P0)],BC74,RZ[Úroveň 7 (P0)],BD74,RZ[Úroveň 8 (P0)],BE74),RZ[[#This Row],[Koeficient odhadu HR '[-'] (P1)]]*$BO74*$IG74)</f>
        <v>0</v>
      </c>
      <c r="CU74" s="138">
        <f ca="1">IF(OFFSET(BF74,1,0,1,1)&lt;&gt;0,$BO74*SUMIFS(RZ[Úroveň 9 bez koef. (P2)],RZ[0],AX74,RZ[Úroveň 2 (P0)],AY74,RZ[Úroveň 3 (P0)],AZ74,RZ[Úroveň 4 (P0)],BA74,RZ[Úroveň 5 (P0)],BB74,RZ[Úroveň 6 (P0)],BC74,RZ[Úroveň 7 (P0)],BD74,RZ[Úroveň 8 (P0)],BE74),$BO74*$IG74)</f>
        <v>0</v>
      </c>
      <c r="CV74" s="132">
        <f ca="1">RZ[[#This Row],[Úroveň 9 s koef. (P2a)]]*RZ[[#This Row],[Počet MJHR (P0)]]</f>
        <v>0</v>
      </c>
      <c r="CW74" s="132">
        <f ca="1">RZ[Úroveň 9 bez koef. (P2a)]*RZ[[#This Row],[Počet MJHR (P0)]]</f>
        <v>0</v>
      </c>
      <c r="CX74" s="132">
        <f ca="1">IF(OFFSET(BG74,1,0,1,1)&lt;&gt;0,RZ[[#This Row],[Koeficient odhadu HR '[-'] (P1)]]*$BP74*SUMIFS(RZ[Úroveň 10 s koef. (P2)],RZ[0],AX74,RZ[Úroveň 2 (P0)],AY74,RZ[Úroveň 3 (P0)],AZ74,RZ[Úroveň 4 (P0)],BA74,RZ[Úroveň 5 (P0)],BB74,RZ[Úroveň 6 (P0)],BC74,RZ[Úroveň 7 (P0)],BD74,RZ[Úroveň 8 (P0)],BE74,RZ[Úroveň 9 (P0)],BF74),RZ[[#This Row],[Koeficient odhadu HR '[-'] (P1)]]*$BP74*$IG74)</f>
        <v>0</v>
      </c>
      <c r="CY74" s="132">
        <f ca="1">IF(OFFSET(BG74,1,0,1,1)&lt;&gt;0,$BP74*SUMIFS(RZ[Úroveň 10 bez koef. (P2)],RZ[0],AX74,RZ[Úroveň 2 (P0)],AY74,RZ[Úroveň 3 (P0)],AZ74,RZ[Úroveň 4 (P0)],BA74,RZ[Úroveň 5 (P0)],BB74,RZ[Úroveň 6 (P0)],BC74,RZ[Úroveň 7 (P0)],BD74,RZ[Úroveň 8 (P0)],BE74,RZ[Úroveň 9 (P0)],BF74),$BP74*$IG74)</f>
        <v>0</v>
      </c>
      <c r="CZ74" s="138">
        <f>RZ[[#This Row],[Úroveň 10 s koef. (P2a)]]*RZ[[#This Row],[Počet MJHR (P0)]]</f>
        <v>0</v>
      </c>
      <c r="DA74" s="138">
        <f>RZ[Úroveň 10 bez koef. (P2a)]*RZ[[#This Row],[Počet MJHR (P0)]]</f>
        <v>0</v>
      </c>
      <c r="DB74" s="138">
        <f>RZ[[#This Row],[Koeficient odhadu HR '[-'] (P1)]]*$BQ74*IG74</f>
        <v>0</v>
      </c>
      <c r="DC74" s="231">
        <f t="shared" ref="DC74:DC91" si="522">$BQ74*IG74</f>
        <v>0</v>
      </c>
      <c r="DD74" s="241">
        <f t="shared" ref="DD74:DD91" ca="1" si="523">IF(BH74=1,BR74,IF(BI74=1,BV74,IF(BJ74=1,BZ74,IF(BK74=1,CD74,IF(BL74=1,CH74,IF(BM74=1,CL74,IF(BN74=1,CP74,IF(BO74=1,CT74,IF(BP74=1,CX74,DB74)))))))))</f>
        <v>300</v>
      </c>
      <c r="DE74" s="229">
        <f t="shared" ref="DE74:DE91" ca="1" si="524">IF(BH74=1,BS74,IF(BI74=1,BW74,IF(BJ74=1,CA74,IF(BK74=1,CE74,IF(BL74=1,CI74,IF(BM74=1,CM74,IF(BN74=1,CQ74,IF(BO74=1,CU74,IF(BP74=1,CY74,DC74)))))))))</f>
        <v>300</v>
      </c>
      <c r="DF74" s="912">
        <f t="shared" ref="DF74:DF91" si="525">BH74*$IF74</f>
        <v>0</v>
      </c>
      <c r="DG74" s="913">
        <f t="shared" ref="DG74:DG91" si="526">BI74*$IF74</f>
        <v>0</v>
      </c>
      <c r="DH74" s="913">
        <f t="shared" ref="DH74:DH91" si="527">BJ74*$IF74</f>
        <v>4</v>
      </c>
      <c r="DI74" s="913">
        <f t="shared" ref="DI74:DI91" si="528">BK74*$IF74</f>
        <v>0</v>
      </c>
      <c r="DJ74" s="913">
        <f t="shared" ref="DJ74:DJ91" si="529">BL74*$IF74</f>
        <v>0</v>
      </c>
      <c r="DK74" s="913">
        <f t="shared" ref="DK74:DK91" si="530">BM74*$IF74</f>
        <v>0</v>
      </c>
      <c r="DL74" s="913">
        <f t="shared" ref="DL74:DL91" si="531">BN74*$IF74</f>
        <v>0</v>
      </c>
      <c r="DM74" s="913">
        <f t="shared" ref="DM74:DM91" si="532">BO74*$IF74</f>
        <v>0</v>
      </c>
      <c r="DN74" s="913">
        <f t="shared" ref="DN74:DN91" si="533">BP74*$IF74</f>
        <v>0</v>
      </c>
      <c r="DO74" s="913">
        <f t="shared" ref="DO74:DO91" si="534">BQ74*$IF74</f>
        <v>0</v>
      </c>
      <c r="DP74" s="914">
        <f ca="1">SUMIFS(RZ[Úroveň 1 (P4)],RZ[0],AX74)</f>
        <v>1</v>
      </c>
      <c r="DQ74" s="914">
        <f ca="1">SUMIFS(RZ[Úroveň 2 (P4)],RZ[0],AX74,RZ[Úroveň 2 (P0)],AY74)</f>
        <v>1</v>
      </c>
      <c r="DR74" s="914">
        <f ca="1">SUMIFS(RZ[Úroveň 3 (P4)],RZ[0],AX74,RZ[Úroveň 2 (P0)],AY74,RZ[Úroveň 3 (P0)],AZ74)</f>
        <v>4</v>
      </c>
      <c r="DS74" s="914">
        <f ca="1">SUMIFS(RZ[Úroveň 4 (P4)],RZ[0],AX74,RZ[Úroveň 2 (P0)],AY74,RZ[Úroveň 3 (P0)],AZ74,RZ[Úroveň 4 (P0)],BA74)</f>
        <v>0</v>
      </c>
      <c r="DT74" s="914">
        <f ca="1">SUMIFS(RZ[Úroveň 5 (P4)],RZ[0],AX74,RZ[Úroveň 2 (P0)],AY74,RZ[Úroveň 3 (P0)],AZ74,RZ[Úroveň 4 (P0)],BA74,RZ[Úroveň 5 (P0)],BB74)</f>
        <v>0</v>
      </c>
      <c r="DU74" s="914">
        <f ca="1">SUMIFS(RZ[Úroveň 6 (P4)],RZ[0],AX74,RZ[Úroveň 2 (P0)],AY74,RZ[Úroveň 3 (P0)],AZ74,RZ[Úroveň 4 (P0)],BA74,RZ[Úroveň 5 (P0)],BB74,RZ[Úroveň 6 (P0)],BC74)</f>
        <v>0</v>
      </c>
      <c r="DV74" s="914">
        <f ca="1">SUMIFS(RZ[Úroveň 7 (P4)],RZ[0],AX74,RZ[Úroveň 2 (P0)],AY74,RZ[Úroveň 3 (P0)],AZ74,RZ[Úroveň 4 (P0)],BA74,RZ[Úroveň 5 (P0)],BB74,RZ[Úroveň 6 (P0)],BC74,RZ[Úroveň 7 (P0)],BD74)</f>
        <v>0</v>
      </c>
      <c r="DW74" s="914">
        <f ca="1">SUMIFS(RZ[Úroveň 8 (P4)],RZ[0],AX74,RZ[Úroveň 2 (P0)],AY74,RZ[Úroveň 3 (P0)],AZ74,RZ[Úroveň 4 (P0)],BA74,RZ[Úroveň 5 (P0)],BB74,RZ[Úroveň 6 (P0)],BC74,RZ[Úroveň 7 (P0)],BD74,RZ[Úroveň 8 (P0)],BE74)</f>
        <v>0</v>
      </c>
      <c r="DX74" s="914">
        <f ca="1">SUMIFS(RZ[Úroveň 9 (P4)],RZ[0],AX74,RZ[Úroveň 2 (P0)],AY74,RZ[Úroveň 3 (P0)],AZ74,RZ[Úroveň 4 (P0)],BA74,RZ[Úroveň 5 (P0)],BB74,RZ[Úroveň 6 (P0)],BC74,RZ[Úroveň 7 (P0)],BD74,RZ[Úroveň 8 (P0)],BE74,RZ[Úroveň 9 (P0)],BF74)</f>
        <v>0</v>
      </c>
      <c r="DY74" s="914">
        <f ca="1">SUMIFS(RZ[Úroveň 10 (P4)],RZ[0],AX74,RZ[Úroveň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DZ74" s="915">
        <f t="shared" ref="DZ74:DZ91" ca="1" si="535">IF(DP74&lt;&gt;0,DP74,1)*IF(DQ74&lt;&gt;0,DQ74,1)*IF(DR74&lt;&gt;0,DR74,1)*IF(DS74&lt;&gt;0,DS74,1)*IF(DT74&lt;&gt;0,DT74,1)*IF(DU74&lt;&gt;0,DU74,1)*IF(DV74&lt;&gt;0,DV74,1)*IF(DW74&lt;&gt;0,DW74,1)*IF(DX74&lt;&gt;0,DX74,1)*IF(DY74&lt;&gt;0,DY74,1)</f>
        <v>4</v>
      </c>
      <c r="EA74" s="916">
        <f ca="1">RZ[[#This Row],[Jednotková hmotnost bez koef. '[kg/MJHR'] (P0)]]*RZ[[#This Row],[Počet MJHR v rozpadu (P0)]]</f>
        <v>1200</v>
      </c>
      <c r="EB74" s="917">
        <f ca="1">IF(OFFSET(AY74,1,0,1,1)&lt;&gt;0,RZ[[#This Row],[Koeficient odhadu CR '[-'] (P1)]]*$BH74*SUMIFS(RZ[Úroveň 2 s koef. (P3)],RZ[0],AX74),RZ[[#This Row],[Koeficient odhadu CR '[-'] (P1)]]*$BH74*$IQ74)</f>
        <v>0</v>
      </c>
      <c r="EC74" s="191">
        <f ca="1">IF(OFFSET(AY74,1,0,1,1)&lt;&gt;0,$BH74*SUMIFS(RZ[Úroveň 2 bez koef. (P3)],RZ[0],AX74),$BH74*$IQ74)</f>
        <v>0</v>
      </c>
      <c r="ED74" s="140">
        <f ca="1">RZ[[#This Row],[Úroveň 2 s koef. (P3a)]]*RZ[[#This Row],[Počet MJCR (P0) pro "kg"]]</f>
        <v>0</v>
      </c>
      <c r="EE74" s="140">
        <f ca="1">RZ[Úroveň 2 bez koef. (P3a)]*RZ[[#This Row],[Počet MJCR (P0) pro "kg"]]</f>
        <v>0</v>
      </c>
      <c r="EF74" s="140">
        <f ca="1">IF(OFFSET(AZ74,1,0,1,1)&lt;&gt;0,RZ[[#This Row],[Koeficient odhadu CR '[-'] (P1)]]*$BI74*SUMIFS(RZ[Úroveň 3 s koef. (P3)],RZ[0],AX74,RZ[Úroveň 2 (P0)],AY74),RZ[[#This Row],[Koeficient odhadu CR '[-'] (P1)]]*$BI74*$IQ74)</f>
        <v>0</v>
      </c>
      <c r="EG74" s="140">
        <f ca="1">IF(OFFSET(AZ74,1,0,1,1)&lt;&gt;0,$BI74*SUMIFS(RZ[Úroveň 3 bez koef. (P3)],RZ[0],AX74,RZ[Úroveň 2 (P0)],AY74),$BI74*$IQ74)</f>
        <v>0</v>
      </c>
      <c r="EH74" s="135">
        <f ca="1">RZ[[#This Row],[Úroveň 3 s koef. (P3a)]]*RZ[[#This Row],[Počet MJCR (P0) pro "kg"]]</f>
        <v>168000</v>
      </c>
      <c r="EI74" s="135">
        <f ca="1">RZ[Úroveň 3 bez koef. (P3a)]*RZ[[#This Row],[Počet MJCR (P0) pro "kg"]]</f>
        <v>168000</v>
      </c>
      <c r="EJ74" s="135">
        <f ca="1">IF(OFFSET(BA74,1,0,1,1)&lt;&gt;0,RZ[[#This Row],[Koeficient odhadu CR '[-'] (P1)]]*$BJ74*SUMIFS(RZ[Úroveň 4 s koef. (P3)],RZ[0],AX74,RZ[Úroveň 2 (P0)],AY74,RZ[Úroveň 3 (P0)],AZ74),RZ[[#This Row],[Koeficient odhadu CR '[-'] (P1)]]*$BJ74*$IQ74)</f>
        <v>140</v>
      </c>
      <c r="EK74" s="135">
        <f ca="1">IF(OFFSET(BA74,1,0,1,1)&lt;&gt;0,$BJ74*SUMIFS(RZ[Úroveň 4 bez koef. (P3)],RZ[0],AX74,RZ[Úroveň 2 (P0)],AY74,RZ[Úroveň 3 (P0)],AZ74),$BJ74*$IQ74)</f>
        <v>140</v>
      </c>
      <c r="EL74" s="140">
        <f ca="1">RZ[[#This Row],[Úroveň 4 s koef. (P3a)]]*RZ[[#This Row],[Počet MJCR (P0) pro "kg"]]</f>
        <v>0</v>
      </c>
      <c r="EM74" s="140">
        <f ca="1">RZ[Úroveň 4 bez koef. (P3a)]*RZ[[#This Row],[Počet MJCR (P0) pro "kg"]]</f>
        <v>0</v>
      </c>
      <c r="EN74" s="140">
        <f ca="1">IF(OFFSET(BB74,1,0,1,1)&lt;&gt;0,RZ[[#This Row],[Koeficient odhadu CR '[-'] (P1)]]*$BK74*SUMIFS(RZ[Úroveň 5 s koef. (P3)],RZ[0],AX74,RZ[Úroveň 2 (P0)],AY74,RZ[Úroveň 3 (P0)],AZ74,RZ[Úroveň 4 (P0)],BA74),RZ[[#This Row],[Koeficient odhadu CR '[-'] (P1)]]*$BK74*$IQ74)</f>
        <v>0</v>
      </c>
      <c r="EO74" s="140">
        <f ca="1">IF(OFFSET(BB74,1,0,1,1)&lt;&gt;0,$BK74*SUMIFS(RZ[Úroveň 5 bez koef. (P3)],RZ[0],AX74,RZ[Úroveň 2 (P0)],AY74,RZ[Úroveň 3 (P0)],AZ74,RZ[Úroveň 4 (P0)],BA74),$BK74*$IQ74)</f>
        <v>0</v>
      </c>
      <c r="EP74" s="135">
        <f ca="1">RZ[[#This Row],[Úroveň 5 s koef. (P3a)]]*RZ[[#This Row],[Počet MJCR (P0) pro "kg"]]</f>
        <v>0</v>
      </c>
      <c r="EQ74" s="135">
        <f ca="1">RZ[Úroveň 5 bez koef. (P3a)]*RZ[[#This Row],[Počet MJCR (P0) pro "kg"]]</f>
        <v>0</v>
      </c>
      <c r="ER74" s="135">
        <f ca="1">IF(OFFSET(BC74,1,0,1,1)&lt;&gt;0,RZ[[#This Row],[Koeficient odhadu CR '[-'] (P1)]]*$BL74*SUMIFS(RZ[Úroveň 6 s koef. (P3)],RZ[0],AX74,RZ[Úroveň 2 (P0)],AY74,RZ[Úroveň 3 (P0)],AZ74,RZ[Úroveň 4 (P0)],BA74,RZ[Úroveň 5 (P0)],BB74),RZ[[#This Row],[Koeficient odhadu CR '[-'] (P1)]]*$BL74*$IQ74)</f>
        <v>0</v>
      </c>
      <c r="ES74" s="135">
        <f ca="1">IF(OFFSET(BC74,1,0,1,1)&lt;&gt;0,$BL74*SUMIFS(RZ[Úroveň 6 bez koef. (P3)],RZ[0],AX74,RZ[Úroveň 2 (P0)],AY74,RZ[Úroveň 3 (P0)],AZ74,RZ[Úroveň 4 (P0)],BA74,RZ[Úroveň 5 (P0)],BB74),$BL74*$IQ74)</f>
        <v>0</v>
      </c>
      <c r="ET74" s="140">
        <f ca="1">RZ[[#This Row],[Úroveň 6 s koef. (P3a)]]*RZ[[#This Row],[Počet MJCR (P0) pro "kg"]]</f>
        <v>0</v>
      </c>
      <c r="EU74" s="140">
        <f ca="1">RZ[Úroveň 6 bez koef. (P3a)]*RZ[[#This Row],[Počet MJCR (P0) pro "kg"]]</f>
        <v>0</v>
      </c>
      <c r="EV74" s="140">
        <f ca="1">IF(OFFSET(BD74,1,0,1,1)&lt;&gt;0,RZ[[#This Row],[Koeficient odhadu CR '[-'] (P1)]]*$BM74*SUMIFS(RZ[Úroveň 7 s koef. (P3)],RZ[0],AX74,RZ[Úroveň 2 (P0)],AY74,RZ[Úroveň 3 (P0)],AZ74,RZ[Úroveň 4 (P0)],BA74,RZ[Úroveň 5 (P0)],BB74,RZ[Úroveň 6 (P0)],BC74),RZ[[#This Row],[Koeficient odhadu CR '[-'] (P1)]]*$BM74*$IQ74)</f>
        <v>0</v>
      </c>
      <c r="EW74" s="140">
        <f ca="1">IF(OFFSET(BD74,1,0,1,1)&lt;&gt;0,$BM74*SUMIFS(RZ[Úroveň 7 bez koef. (P3)],RZ[0],AX74,RZ[Úroveň 2 (P0)],AY74,RZ[Úroveň 3 (P0)],AZ74,RZ[Úroveň 4 (P0)],BA74,RZ[Úroveň 5 (P0)],BB74,RZ[Úroveň 6 (P0)],BC74),$BM74*$IQ74)</f>
        <v>0</v>
      </c>
      <c r="EX74" s="135">
        <f ca="1">RZ[[#This Row],[Úroveň 7 s koef. (P3a)]]*RZ[[#This Row],[Počet MJCR (P0) pro "kg"]]</f>
        <v>0</v>
      </c>
      <c r="EY74" s="135">
        <f ca="1">RZ[Úroveň 7 bez koef. (P3a)]*RZ[[#This Row],[Počet MJCR (P0) pro "kg"]]</f>
        <v>0</v>
      </c>
      <c r="EZ74" s="135">
        <f ca="1">IF(OFFSET(BE74,1,0,1,1)&lt;&gt;0,RZ[[#This Row],[Koeficient odhadu CR '[-'] (P1)]]*$BN74*SUMIFS(RZ[Úroveň 8 s koef. (P3)],RZ[0],AX74,RZ[Úroveň 2 (P0)],AY74,RZ[Úroveň 3 (P0)],AZ74,RZ[Úroveň 4 (P0)],BA74,RZ[Úroveň 5 (P0)],BB74,RZ[Úroveň 6 (P0)],BC74,RZ[Úroveň 7 (P0)],BD74),RZ[[#This Row],[Koeficient odhadu CR '[-'] (P1)]]*$BN74*$IQ74)</f>
        <v>0</v>
      </c>
      <c r="FA74" s="135">
        <f ca="1">IF(OFFSET(BE74,1,0,1,1)&lt;&gt;0,$BN74*SUMIFS(RZ[Úroveň 8 bez koef. (P3)],RZ[0],AX74,RZ[Úroveň 2 (P0)],AY74,RZ[Úroveň 3 (P0)],AZ74,RZ[Úroveň 4 (P0)],BA74,RZ[Úroveň 5 (P0)],BB74,RZ[Úroveň 6 (P0)],BC74,RZ[Úroveň 7 (P0)],BD74),$BN74*$IQ74)</f>
        <v>0</v>
      </c>
      <c r="FB74" s="140">
        <f ca="1">RZ[[#This Row],[Úroveň 8 s koef. (P3a)]]*RZ[[#This Row],[Počet MJCR (P0) pro "kg"]]</f>
        <v>0</v>
      </c>
      <c r="FC74" s="140">
        <f ca="1">RZ[Úroveň 8 bez koef. (P3a)]*RZ[[#This Row],[Počet MJCR (P0) pro "kg"]]</f>
        <v>0</v>
      </c>
      <c r="FD74" s="140">
        <f ca="1">IF(OFFSET(BF74,1,0,1,1)&lt;&gt;0,RZ[[#This Row],[Koeficient odhadu CR '[-'] (P1)]]*$BO74*SUMIFS(RZ[Úroveň 9 s koef. (P3)],RZ[0],AX74,RZ[Úroveň 2 (P0)],AY74,RZ[Úroveň 3 (P0)],AZ74,RZ[Úroveň 4 (P0)],BA74,RZ[Úroveň 5 (P0)],BB74,RZ[Úroveň 6 (P0)],BC74,RZ[Úroveň 7 (P0)],BD74,RZ[Úroveň 8 (P0)],BE74),RZ[[#This Row],[Koeficient odhadu CR '[-'] (P1)]]*$BO74*$IQ74)</f>
        <v>0</v>
      </c>
      <c r="FE74" s="140">
        <f ca="1">IF(OFFSET(BF74,1,0,1,1)&lt;&gt;0,$BO74*SUMIFS(RZ[Úroveň 9 bez koef. (P3)],RZ[0],AX74,RZ[Úroveň 2 (P0)],AY74,RZ[Úroveň 3 (P0)],AZ74,RZ[Úroveň 4 (P0)],BA74,RZ[Úroveň 5 (P0)],BB74,RZ[Úroveň 6 (P0)],BC74,RZ[Úroveň 7 (P0)],BD74,RZ[Úroveň 8 (P0)],BE74),$BO74*$IQ74)</f>
        <v>0</v>
      </c>
      <c r="FF74" s="135">
        <f ca="1">RZ[[#This Row],[Úroveň 9 s koef. (P3a)]]*RZ[[#This Row],[Počet MJCR (P0) pro "kg"]]</f>
        <v>0</v>
      </c>
      <c r="FG74" s="135">
        <f ca="1">RZ[Úroveň 9 bez koef. (P3a)]*RZ[[#This Row],[Počet MJCR (P0) pro "kg"]]</f>
        <v>0</v>
      </c>
      <c r="FH74" s="135">
        <f ca="1">IF(OFFSET(BG74,1,0,1,1)&lt;&gt;0,RZ[[#This Row],[Koeficient odhadu CR '[-'] (P1)]]*$BP74*SUMIFS(RZ[Úroveň 10 s koef. (P3)],RZ[0],AX74,RZ[Úroveň 2 (P0)],AY74,RZ[Úroveň 3 (P0)],AZ74,RZ[Úroveň 4 (P0)],BA74,RZ[Úroveň 5 (P0)],BB74,RZ[Úroveň 6 (P0)],BC74,RZ[Úroveň 7 (P0)],BD74,RZ[Úroveň 8 (P0)],BE74,RZ[Úroveň 9 (P0)],BF74),RZ[[#This Row],[Koeficient odhadu CR '[-'] (P1)]]*$BP74*$IQ74)</f>
        <v>0</v>
      </c>
      <c r="FI74" s="135">
        <f ca="1">IF(OFFSET(BG74,1,0,1,1)&lt;&gt;0,$BP74*SUMIFS(RZ[Úroveň 10 bez koef. (P3)],RZ[0],AX74,RZ[Úroveň 2 (P0)],AY74,RZ[Úroveň 3 (P0)],AZ74,RZ[Úroveň 4 (P0)],BA74,RZ[Úroveň 5 (P0)],BB74,RZ[Úroveň 6 (P0)],BC74,RZ[Úroveň 7 (P0)],BD74,RZ[Úroveň 8 (P0)],BE74,RZ[Úroveň 9 (P0)],BF74),$BP74*$IQ74)</f>
        <v>0</v>
      </c>
      <c r="FJ74" s="140">
        <f ca="1">RZ[[#This Row],[Úroveň 10 s koef. (P3a)]]*RZ[[#This Row],[Počet MJCR (P0) pro "kg"]]</f>
        <v>0</v>
      </c>
      <c r="FK74" s="140">
        <f ca="1">RZ[Úroveň 10 bez koef. (P3a)]*RZ[[#This Row],[Počet MJCR (P0) pro "kg"]]</f>
        <v>0</v>
      </c>
      <c r="FL74" s="140">
        <f ca="1">RZ[[#This Row],[Koeficient odhadu CR '[-'] (P1)]]*$BQ74*IQ74</f>
        <v>0</v>
      </c>
      <c r="FM74" s="236">
        <f t="shared" ref="FM74:FM91" ca="1" si="536">$BQ74*IQ74</f>
        <v>0</v>
      </c>
      <c r="FN74" s="194">
        <f t="shared" ref="FN74:FN91" ca="1" si="537">IF(BH74=1,EB74,IF(BI74=1,EF74,IF(BJ74=1,EJ74,IF(BK74=1,EN74,IF(BL74=1,ER74,IF(BM74=1,EV74,IF(BN74=1,EZ74,IF(BO74=1,FD74,IF(BP74=1,FH74,FL74)))))))))</f>
        <v>140</v>
      </c>
      <c r="FO74" s="238">
        <f t="shared" ref="FO74:FO91" ca="1" si="538">IF(BH74=1,EC74,IF(BI74=1,EG74,IF(BJ74=1,EK74,IF(BK74=1,EO74,IF(BL74=1,ES74,IF(BM74=1,EW74,IF(BN74=1,FA74,IF(BO74=1,FE74,IF(BP74=1,FI74,FM74)))))))))</f>
        <v>140</v>
      </c>
      <c r="FP74" s="135">
        <f t="shared" ref="FP74:FP91" ca="1" si="539">BH74*$IK74</f>
        <v>0</v>
      </c>
      <c r="FQ74" s="135">
        <f t="shared" ref="FQ74:FQ91" ca="1" si="540">BI74*$IK74</f>
        <v>0</v>
      </c>
      <c r="FR74" s="135">
        <f t="shared" ref="FR74:FR91" ca="1" si="541">BJ74*$IK74</f>
        <v>1200</v>
      </c>
      <c r="FS74" s="135">
        <f t="shared" ref="FS74:FS91" ca="1" si="542">BK74*$IK74</f>
        <v>0</v>
      </c>
      <c r="FT74" s="135">
        <f t="shared" ref="FT74:FT91" ca="1" si="543">BL74*$IK74</f>
        <v>0</v>
      </c>
      <c r="FU74" s="135">
        <f t="shared" ref="FU74:FU91" ca="1" si="544">BM74*$IK74</f>
        <v>0</v>
      </c>
      <c r="FV74" s="135">
        <f t="shared" ref="FV74:FV91" ca="1" si="545">BN74*$IK74</f>
        <v>0</v>
      </c>
      <c r="FW74" s="135">
        <f t="shared" ref="FW74:FW91" ca="1" si="546">BO74*$IK74</f>
        <v>0</v>
      </c>
      <c r="FX74" s="135">
        <f t="shared" ref="FX74:FX91" ca="1" si="547">BP74*$IK74</f>
        <v>0</v>
      </c>
      <c r="FY74" s="135">
        <f t="shared" ref="FY74:FY91" ca="1" si="548">BQ74*$IK74</f>
        <v>0</v>
      </c>
      <c r="FZ74" s="140">
        <f ca="1">SUMIFS(RZ[Úroveň 1 (P6)],RZ[0],AX74)</f>
        <v>1</v>
      </c>
      <c r="GA74" s="140">
        <f ca="1">SUMIFS(RZ[Úroveň 2 (P6)],RZ[0],AX74,RZ[Úroveň 2 (P0)],AY74)</f>
        <v>1</v>
      </c>
      <c r="GB74" s="140">
        <f ca="1">SUMIFS(RZ[Úroveň 3 (P6)],RZ[0],AX74,RZ[Úroveň 2 (P0)],AY74,RZ[Úroveň 3 (P0)],AZ74)</f>
        <v>1200</v>
      </c>
      <c r="GC74" s="140">
        <f ca="1">SUMIFS(RZ[Úroveň 4 (P6)],RZ[0],AX74,RZ[Úroveň 2 (P0)],AY74,RZ[Úroveň 3 (P0)],AZ74,RZ[Úroveň 4 (P0)],BA74)</f>
        <v>0</v>
      </c>
      <c r="GD74" s="140">
        <f ca="1">SUMIFS(RZ[Úroveň 5 (P6)],RZ[0],AX74,RZ[Úroveň 2 (P0)],AY74,RZ[Úroveň 3 (P0)],AZ74,RZ[Úroveň 4 (P0)],BA74,RZ[Úroveň 5 (P0)],BB74)</f>
        <v>0</v>
      </c>
      <c r="GE74" s="140">
        <f ca="1">SUMIFS(RZ[Úroveň 6 (P6)],RZ[0],AX74,RZ[Úroveň 2 (P0)],AY74,RZ[Úroveň 3 (P0)],AZ74,RZ[Úroveň 4 (P0)],BA74,RZ[Úroveň 5 (P0)],BB74,RZ[Úroveň 6 (P0)],BC74)</f>
        <v>0</v>
      </c>
      <c r="GF74" s="140">
        <f ca="1">SUMIFS(RZ[Úroveň 7 (P6)],RZ[0],AX74,RZ[Úroveň 2 (P0)],AY74,RZ[Úroveň 3 (P0)],AZ74,RZ[Úroveň 4 (P0)],BA74,RZ[Úroveň 5 (P0)],BB74,RZ[Úroveň 6 (P0)],BC74,RZ[Úroveň 7 (P0)],BD74)</f>
        <v>0</v>
      </c>
      <c r="GG74" s="140">
        <f ca="1">SUMIFS(RZ[Úroveň 8 (P6)],RZ[0],AX74,RZ[Úroveň 2 (P0)],AY74,RZ[Úroveň 3 (P0)],AZ74,RZ[Úroveň 4 (P0)],BA74,RZ[Úroveň 5 (P0)],BB74,RZ[Úroveň 6 (P0)],BC74,RZ[Úroveň 7 (P0)],BD74,RZ[Úroveň 8 (P0)],BE74)</f>
        <v>0</v>
      </c>
      <c r="GH74" s="140">
        <f ca="1">SUMIFS(RZ[Úroveň 9 (P6)],RZ[0],AX74,RZ[Úroveň 2 (P0)],AY74,RZ[Úroveň 3 (P0)],AZ74,RZ[Úroveň 4 (P0)],BA74,RZ[Úroveň 5 (P0)],BB74,RZ[Úroveň 6 (P0)],BC74,RZ[Úroveň 7 (P0)],BD74,RZ[Úroveň 8 (P0)],BE74,RZ[Úroveň 9 (P0)],BF74)</f>
        <v>0</v>
      </c>
      <c r="GI74" s="140">
        <f ca="1">SUMIFS(RZ[Úroveň 10 (P6)],RZ[0],AX74,RZ[Úroveň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GJ74" s="918">
        <f t="shared" ref="GJ74:GJ91" ca="1" si="549">IF(FZ74&lt;&gt;0,FZ74,1)*IF(GA74&lt;&gt;0,GA74,1)*IF(GB74&lt;&gt;0,GB74,1)*IF(GC74&lt;&gt;0,GC74,1)*IF(GD74&lt;&gt;0,GD74,1)*IF(GE74&lt;&gt;0,GE74,1)*IF(GF74&lt;&gt;0,GF74,1)*IF(GG74&lt;&gt;0,GG74,1)*IF(GH74&lt;&gt;0,GH74,1)*IF(GI74&lt;&gt;0,GI74,1)</f>
        <v>1200</v>
      </c>
      <c r="GK74" s="808">
        <f t="shared" ref="GK74:GK91" si="550">BH74*$IO74</f>
        <v>0</v>
      </c>
      <c r="GL74" s="808">
        <f t="shared" ref="GL74:GL91" si="551">BI74*$IO74</f>
        <v>0</v>
      </c>
      <c r="GM74" s="808">
        <f t="shared" ref="GM74:GM91" si="552">BJ74*$IO74</f>
        <v>1</v>
      </c>
      <c r="GN74" s="808">
        <f t="shared" ref="GN74:GN91" si="553">BK74*$IO74</f>
        <v>0</v>
      </c>
      <c r="GO74" s="808">
        <f t="shared" ref="GO74:GO91" si="554">BL74*$IO74</f>
        <v>0</v>
      </c>
      <c r="GP74" s="808">
        <f t="shared" ref="GP74:GP91" si="555">BM74*$IO74</f>
        <v>0</v>
      </c>
      <c r="GQ74" s="808">
        <f t="shared" ref="GQ74:GQ91" si="556">BN74*$IO74</f>
        <v>0</v>
      </c>
      <c r="GR74" s="808">
        <f t="shared" ref="GR74:GR91" si="557">BO74*$IO74</f>
        <v>0</v>
      </c>
      <c r="GS74" s="808">
        <f t="shared" ref="GS74:GS91" si="558">BP74*$IO74</f>
        <v>0</v>
      </c>
      <c r="GT74" s="808">
        <f t="shared" ref="GT74:GT91" si="559">BQ74*$IO74</f>
        <v>0</v>
      </c>
      <c r="GU74" s="809">
        <f ca="1">SUMIFS(RZ[Sloupec1],RZ[0],AX74)</f>
        <v>1</v>
      </c>
      <c r="GV74" s="809">
        <f ca="1">SUMIFS(RZ[Sloupec2],RZ[0],AX74,RZ[Úroveň 2 (P0)],AY74)</f>
        <v>1</v>
      </c>
      <c r="GW74" s="809">
        <f ca="1">SUMIFS(RZ[Sloupec3],RZ[0],AX74,RZ[Úroveň 2 (P0)],AY74,RZ[Úroveň 3 (P0)],AZ74)</f>
        <v>1</v>
      </c>
      <c r="GX74" s="809">
        <f ca="1">SUMIFS(RZ[Sloupec4],RZ[0],AX74,RZ[Úroveň 2 (P0)],AY74,RZ[Úroveň 3 (P0)],AZ74,RZ[Úroveň 4 (P0)],BA74)</f>
        <v>0</v>
      </c>
      <c r="GY74" s="809">
        <f ca="1">SUMIFS(RZ[Sloupec5],RZ[0],AX74,RZ[Úroveň 2 (P0)],AY74,RZ[Úroveň 3 (P0)],AZ74,RZ[Úroveň 4 (P0)],BA74,RZ[Úroveň 5 (P0)],BB74)</f>
        <v>0</v>
      </c>
      <c r="GZ74" s="809">
        <f ca="1">SUMIFS(RZ[Sloupec6],RZ[0],AX74,RZ[Úroveň 2 (P0)],AY74,RZ[Úroveň 3 (P0)],AZ74,RZ[Úroveň 4 (P0)],BA74,RZ[Úroveň 5 (P0)],BB74,RZ[Úroveň 6 (P0)],BC74)</f>
        <v>0</v>
      </c>
      <c r="HA74" s="809">
        <f ca="1">SUMIFS(RZ[Sloupec62],RZ[0],AX74,RZ[Úroveň 2 (P0)],AY74,RZ[Úroveň 3 (P0)],AZ74,RZ[Úroveň 4 (P0)],BA74,RZ[Úroveň 5 (P0)],BB74,RZ[Úroveň 6 (P0)],BC74,RZ[Úroveň 7 (P0)],BD74)</f>
        <v>0</v>
      </c>
      <c r="HB74" s="809">
        <f ca="1">SUMIFS(RZ[Sloupec63],RZ[0],AX74,RZ[Úroveň 2 (P0)],AY74,RZ[Úroveň 3 (P0)],AZ74,RZ[Úroveň 4 (P0)],BA74,RZ[Úroveň 5 (P0)],BB74,RZ[Úroveň 6 (P0)],BC74,RZ[Úroveň 7 (P0)],BD74,RZ[Úroveň 8 (P0)],BE74)</f>
        <v>0</v>
      </c>
      <c r="HC74" s="809">
        <f ca="1">SUMIFS(RZ[Sloupec64],RZ[0],AX74,RZ[Úroveň 2 (P0)],AY74,RZ[Úroveň 3 (P0)],AZ74,RZ[Úroveň 4 (P0)],BA74,RZ[Úroveň 5 (P0)],BB74,RZ[Úroveň 6 (P0)],BC74,RZ[Úroveň 7 (P0)],BD74,RZ[Úroveň 8 (P0)],BE74,RZ[Úroveň 9 (P0)],BF74)</f>
        <v>0</v>
      </c>
      <c r="HD74" s="809">
        <f ca="1">SUMIFS(RZ[Sloupec65],RZ[0],AX74,RZ[Úroveň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HE74" s="919">
        <f t="shared" ref="HE74:HE91" ca="1" si="560">IF(GU74&lt;&gt;0,GU74,1)*IF(GV74&lt;&gt;0,GV74,1)*IF(GW74&lt;&gt;0,GW74,1)*IF(GX74&lt;&gt;0,GX74,1)*IF(GY74&lt;&gt;0,GY74,1)*IF(GZ74&lt;&gt;0,GZ74,1)*IF(HA74&lt;&gt;0,HA74,1)*IF(HB74&lt;&gt;0,HB74,1)*IF(HC74&lt;&gt;0,HC74,1)*IF(HD74&lt;&gt;0,HD74,1)</f>
        <v>1</v>
      </c>
      <c r="HF74" s="920" t="str">
        <f t="shared" ref="HF74:HF91" si="561">IF($IW74=$MJ$15,IF(MK74="","",MK74),IF(IY74="","",IY74))</f>
        <v/>
      </c>
      <c r="HG74" s="94" t="str">
        <f t="shared" ref="HG74:HG91" si="562">IF($IW74=$MJ$15,IF($MJ74=1,$MS74,""),IF(IZ74="","",IZ74))</f>
        <v/>
      </c>
      <c r="HH74" s="95" t="str">
        <f t="shared" ref="HH74:HH91" si="563">IF($IW74=$MJ$15,IF($MJ74=2,$MS74,""),IF(JA74="","",JA74))</f>
        <v/>
      </c>
      <c r="HI74" s="95" t="str">
        <f t="shared" ref="HI74:HI91" si="564">IF($IW74=$MJ$15,IF($MJ74=3,$MS74,""),IF(JB74="","",JB74))</f>
        <v>Kladka - průměr 160 mm</v>
      </c>
      <c r="HJ74" s="96" t="str">
        <f t="shared" ref="HJ74:HJ91" si="565">IF($IW74=$MJ$15,IF($MJ74=4,$MS74,""),IF(JC74="","",JC74))</f>
        <v/>
      </c>
      <c r="HK74" s="96" t="str">
        <f t="shared" ref="HK74:HK91" si="566">IF($IW74=$MJ$15,IF($MJ74=5,$MS74,""),IF(JD74="","",JD74))</f>
        <v/>
      </c>
      <c r="HL74" s="96" t="str">
        <f t="shared" ref="HL74:HL91" si="567">IF($IW74=$MJ$15,IF($MJ74=6,$MS74,""),IF(JE74="","",JE74))</f>
        <v/>
      </c>
      <c r="HM74" s="96" t="str">
        <f t="shared" ref="HM74:HM91" si="568">IF($IW74=$MJ$15,IF($MJ74=7,$MS74,""),IF(JF74="","",JF74))</f>
        <v/>
      </c>
      <c r="HN74" s="96" t="str">
        <f t="shared" ref="HN74:HN91" si="569">IF($IW74=$MJ$15,IF($MJ74=8,$MS74,""),IF(JG74="","",JG74))</f>
        <v/>
      </c>
      <c r="HO74" s="96" t="str">
        <f t="shared" ref="HO74:HO91" si="570">IF($IW74=$MJ$15,IF($MJ74=9,$MS74,""),IF(JH74="","",JH74))</f>
        <v/>
      </c>
      <c r="HP74" s="96" t="str">
        <f t="shared" ref="HP74:HP91" si="571">IF($IW74=$MJ$15,IF($MJ74=10,$MS74,""),IF(JI74="","",JI74))</f>
        <v/>
      </c>
      <c r="HQ74" s="145" t="str">
        <f t="shared" ref="HQ74:HQ91" si="572">IF($IW74=$MJ$15,IF(ML74="","N/A",ML74),IF(JJ74="","N/A",JJ74))</f>
        <v>OKS1</v>
      </c>
      <c r="HR74" s="921" t="str">
        <f t="shared" ref="HR74:HR91" si="573">IF($IW74=$MJ$15,IF(MM74="","",MM74),IF(JK74="","",JK74))</f>
        <v/>
      </c>
      <c r="HS74" s="173">
        <f t="shared" ref="HS74:HS91" si="574">IF($IW74=$JL$15,JL74,IF($IW74=$KE$15,KE74,IF($IW74=$KX$15,KX74,IF($IW74=$LQ$15,LQ74,IF($IW74=$MJ$15,NE74,0)))))</f>
        <v>0</v>
      </c>
      <c r="HT74" s="100">
        <f t="shared" ref="HT74:HT91" si="575">IF($IW74=$JL$15,JM74,IF($IW74=$KE$15,KF74,IF($IW74=$KX$15,KY74,IF($IW74=$LQ$15,LR74,IF($IW74=$MJ$15,NF74,0)))))</f>
        <v>0</v>
      </c>
      <c r="HU74" s="100">
        <f t="shared" ref="HU74:HU91" si="576">IF($IW74=$JL$15,JN74,IF($IW74=$KE$15,KG74,IF($IW74=$KX$15,KZ74,IF($IW74=$LQ$15,LS74,IF($IW74=$MJ$15,NG74,0)))))</f>
        <v>0</v>
      </c>
      <c r="HV74" s="908">
        <f t="shared" ref="HV74:HV91" si="577">IF($IW74=$JL$15,JU74,IF($IW74=$KE$15,KN74,IF($IW74=$KX$15,LG74,IF($IW74=$LQ$15,LZ74,IF($IW74=$MJ$15,NN74,0)))))</f>
        <v>0</v>
      </c>
      <c r="HW74" s="922">
        <f t="shared" ref="HW74:HW91" si="578">IF($IW74=$JL$15,JV74,IF($IW74=$KE$15,KO74,IF($IW74=$KX$15,LH74,IF($IW74=$LQ$15,MA74,IF($IW74=$MJ$15,NO74,0)))))</f>
        <v>0</v>
      </c>
      <c r="HX74" s="224">
        <f t="shared" ref="HX74:HX91" si="579">IF($IW74=$JL$15,JW74,IF($IW74=$KE$15,KP74,IF($IW74=$KX$15,LI74,IF($IW74=$LQ$15,MB74,IF($IW74=$MJ$15,NP74,0)))))</f>
        <v>0</v>
      </c>
      <c r="HY74" s="263" t="str">
        <f t="shared" ref="HY74:HY91" si="580">IF($IW74=$JL$15,JS74,IF($IW74=$KE$15,KL74,IF($IW74=$KX$15,LE74,IF($IW74=$LQ$15,LX74,IF($IW74=$MJ$15,NL74,0)))))</f>
        <v>S</v>
      </c>
      <c r="HZ74" s="263">
        <f t="shared" ref="HZ74:HZ91" si="581">IF($IW74=$JL$15,KC74,IF($IW74=$KE$15,KV74,IF($IW74=$KX$15,LO74,IF($IW74=$LQ$15,MH74,IF($IW74=$MJ$15,NV74,0)))))</f>
        <v>0</v>
      </c>
      <c r="IA74" s="150">
        <f t="shared" ref="IA74:IA91" si="582">IF($IW74=$JL$15,JR74,IF($IW74=$KE$15,KK74,IF($IW74=$KX$15,LD74,IF($IW74=$LQ$15,LW74,IF($IW74=$MJ$15,NK74,0)))))</f>
        <v>1</v>
      </c>
      <c r="IB74" s="319">
        <f t="shared" ref="IB74:IB91" si="583">IF($IW74=$JL$15,JZ74,IF($IW74=$KE$15,KS74,IF($IW74=$KX$15,LL74,IF($IW74=$LQ$15,ME74,IF($IW74=$MJ$15,NS74,0)))))</f>
        <v>0</v>
      </c>
      <c r="IC74" s="923">
        <f t="shared" ref="IC74:IC91" si="584">IF($IW74=$JL$15,KB74,IF($IW74=$KE$15,KU74,IF($IW74=$KX$15,LN74,IF($IW74=$LQ$15,MG74,IF($IW74=$MJ$15,NU74,0)))))</f>
        <v>0</v>
      </c>
      <c r="ID74" s="924" t="str">
        <f t="shared" ref="ID74:ID91" ca="1" si="585">IF((BH74+OFFSET(BH74,1,1,1,1))=2,"--",IF((BI74+OFFSET(BI74,1,1,1,1))=2,"--",IF((BJ74+OFFSET(BJ74,1,1,1,1))=2,"--",IF((BK74+OFFSET(BK74,1,1,1,1))=2,"--",IF((BL74+OFFSET(BL74,1,1,1,1))=2,"--",IF((BM74+OFFSET(BM74,1,1,1,1))=2,"--",IF((BN74+OFFSET(BN74,1,1,1,1))=2,"--",IF((BO74+OFFSET(BO74,1,1,1,1))=2,"--",IF((BP74+OFFSET(BP74,1,1,1,1))=2,"--",IF((BQ74+OFFSET(BQ74,1,1,1,1))=2,"--","OK"))))))))))</f>
        <v>OK</v>
      </c>
      <c r="IE74" s="201" t="str">
        <f t="shared" ref="IE74:IE91" si="586">IF($IW74=$JL$15,JO74,IF($IW74=$KE$15,KH74,IF($IW74=$KX$15,LA74,IF($IW74=$LQ$15,LT74,IF($IW74=$MJ$15,NH74,0)))))</f>
        <v>ks</v>
      </c>
      <c r="IF74" s="145">
        <f t="shared" ref="IF74:IF91" si="587">IF($IW74=$JL$15,JP74,IF($IW74=$KE$15,KI74,IF($IW74=$KX$15,LB74,IF($IW74=$LQ$15,LU74,IF($IW74=$MJ$15,NI74,0)))))</f>
        <v>4</v>
      </c>
      <c r="IG74" s="216">
        <f t="shared" ref="IG74:IG91" si="588">IF($IW74=$JL$15,JQ74,IF($IW74=$KE$15,KJ74,IF($IW74=$KX$15,LC74,IF($IW74=$LQ$15,LV74,IF($IW74=$MJ$15,NJ74,0)))))</f>
        <v>300</v>
      </c>
      <c r="IH74" s="217">
        <f t="shared" ref="IH74:IH91" si="589">IF(IA74=0,1,IA74)</f>
        <v>1</v>
      </c>
      <c r="II74" s="224" t="str">
        <f ca="1">IF(RZ[[#This Row],[Rozhodný sloupec indikativní ceny]]=1,"kg",IF($IW74=$JL$15,IF(JX74=0,JO74,JX74),IF($IW74=$KE$15,IF(KQ74=0,KH74,KQ74),IF($IW74=$KX$15,IF(LJ74=0,LA74,LJ74),IF($IW74=$LQ$15,IF(MC74=0,LT74,MC74),IF($IW74=$MJ$15,IF(NQ74=0,NH74,NQ74),0))))))</f>
        <v>kg</v>
      </c>
      <c r="IJ74" s="224">
        <f ca="1">IF((BH74+OFFSET(BH74,1,1,1,1))=2,RZ[[#This Row],[Počet MJHR (P0)]],IF((BI74+OFFSET(BI74,1,1,1,1))=2,RZ[[#This Row],[Počet MJHR (P0)]],IF((BJ74+OFFSET(BJ74,1,1,1,1))=2,RZ[[#This Row],[Počet MJHR (P0)]],IF((BK74+OFFSET(BK74,1,1,1,1))=2,RZ[[#This Row],[Počet MJHR (P0)]],IF((BL74+OFFSET(BL74,1,1,1,1))=2,RZ[[#This Row],[Počet MJHR (P0)]],IF((BM74+OFFSET(BM74,1,1,1,1))=2,RZ[[#This Row],[Počet MJHR (P0)]],IF((BN74+OFFSET(BN74,1,1,1,1))=2,RZ[[#This Row],[Počet MJHR (P0)]],IF((BO74+OFFSET(BO74,1,1,1,1))=2,RZ[[#This Row],[Počet MJHR (P0)]],IF((BP74+OFFSET(BP74,1,1,1,1))=2,RZ[[#This Row],[Počet MJHR (P0)]],IF((BQ74+OFFSET(BQ74,1,1,1,1))=2,RZ[[#This Row],[Počet MJHR (P0)]],IF(RZ[[#This Row],[Měrná jednotka CR (MJCR) (P0)]]=RZ[[#This Row],[Měrná jednotka HR '[MJHR'] (P0)]],RZ[[#This Row],[Počet MJHR (P0)]],IF($IW74=$JL$15,JY74,IF($IW74=$KE$15,KR74,IF($IW74=$KX$15,LK74,IF($IW74=$LQ$15,MD74,IF($IW74=$MJ$15,NR74,0))))))))))))))))</f>
        <v>0</v>
      </c>
      <c r="IK7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1200</v>
      </c>
      <c r="IL74" s="145">
        <f ca="1">IF(AND(RZ[[#This Row],[Jednotková cena bez DPH '[cena/MJCR'] (P0)]]=0,RZ[[#This Row],[Indikativní jednotková cena '[CZK/kg'] (P1)]]&lt;&gt;0),1,0)</f>
        <v>1</v>
      </c>
      <c r="IM74" s="217">
        <f ca="1">VLOOKUP(RZ[[#This Row],[Kód položek]],INDIKAT_CENA,2,FALSE)</f>
        <v>140</v>
      </c>
      <c r="IN74" s="222">
        <f ca="1">IF(RZ[[#This Row],[Rozhodný sloupec indikativní ceny]]=1,RZ[[#This Row],[Indikativní jednotková cena '[CZK/kg'] (P1)]],RZ[[#This Row],[Jednotková cena bez DPH '[cena/MJCR'] (P0)]])</f>
        <v>140</v>
      </c>
      <c r="IO74" s="222">
        <f t="shared" ref="IO74:IO91" si="590">IF(IC74=0,1,IC74)</f>
        <v>1</v>
      </c>
      <c r="IP74" s="224">
        <f ca="1">IF(RZ[[#This Row],[Rozhodný sloupec indikativní ceny]]=1,1,IF($IW74=$JL$15,KA74,IF($IW74=$KE$15,KT74,IF($IW74=$KX$15,LM74,IF($IW74=$LQ$15,MF74,IF($IW74=$MJ$15,NT74,0))))))</f>
        <v>1</v>
      </c>
      <c r="IQ74" s="225">
        <f ca="1">IF(RZ[[#This Row],[Jednotková cena bez DPH '[cena/MJCR'] (P1)]]="",0,IF(IP74=0,0,(RZ[[#This Row],[Jednotková cena bez DPH '[cena/MJCR'] (P1)]]*VLOOKUP(IP74,$BR$7:$BT$10,3))))</f>
        <v>140</v>
      </c>
      <c r="IR74" s="737"/>
      <c r="IS74" s="627">
        <f>IF(HY74=0,"",VLOOKUP(RZ[[#This Row],[Stav Projekce (P0)]],Vstupy!$E$11:'Vstupy'!$E$11:$H$17,4,FALSE))</f>
        <v>100</v>
      </c>
      <c r="IT74" s="925" t="str">
        <f>IF(RZ[[#This Row],[Stav Projekce (P0)]]=0,"",RZ[[#This Row],[Stav Projekce (P0)]])</f>
        <v>S</v>
      </c>
      <c r="IU74" s="925" t="str">
        <f>IF(RZ[[#This Row],[Stav Nákup (P0)]]=0,"",RZ[[#This Row],[Stav Nákup (P0)]])</f>
        <v/>
      </c>
      <c r="IV74" s="926" t="str">
        <f t="shared" ref="IV74:IV91" si="591">IF(HV74=0,"",HV74)</f>
        <v/>
      </c>
      <c r="IW74" s="641">
        <v>1</v>
      </c>
      <c r="IX74" s="630"/>
      <c r="IY74" s="264"/>
      <c r="IZ74" s="648"/>
      <c r="JA74" s="100"/>
      <c r="JB74" s="100" t="s">
        <v>771</v>
      </c>
      <c r="JC74" s="100"/>
      <c r="JD74" s="100"/>
      <c r="JE74" s="100"/>
      <c r="JF74" s="100"/>
      <c r="JG74" s="100"/>
      <c r="JH74" s="100"/>
      <c r="JI74" s="100"/>
      <c r="JJ74" s="145" t="s">
        <v>764</v>
      </c>
      <c r="JK74" s="529"/>
      <c r="JL74" s="286"/>
      <c r="JM74" s="100"/>
      <c r="JN74" s="100"/>
      <c r="JO74" s="145" t="s">
        <v>35</v>
      </c>
      <c r="JP74" s="117">
        <v>4</v>
      </c>
      <c r="JQ74" s="117">
        <v>300</v>
      </c>
      <c r="JR74" s="148">
        <v>1</v>
      </c>
      <c r="JS74" s="145" t="s">
        <v>602</v>
      </c>
      <c r="JT74" s="631"/>
      <c r="JU74" s="148"/>
      <c r="JV74" s="154"/>
      <c r="JW74" s="145"/>
      <c r="JX74" s="210"/>
      <c r="JY74" s="117"/>
      <c r="JZ74" s="662"/>
      <c r="KA74" s="145"/>
      <c r="KB74" s="148"/>
      <c r="KC74" s="148"/>
      <c r="KD74" s="644"/>
      <c r="KE74" s="286"/>
      <c r="KF74" s="100"/>
      <c r="KG74" s="100"/>
      <c r="KH74" s="210"/>
      <c r="KI74" s="117"/>
      <c r="KJ74" s="117"/>
      <c r="KK74" s="148"/>
      <c r="KL74" s="145"/>
      <c r="KM74" s="632"/>
      <c r="KN74" s="148"/>
      <c r="KO74" s="154"/>
      <c r="KP74" s="154"/>
      <c r="KQ74" s="210"/>
      <c r="KR74" s="117"/>
      <c r="KS74" s="211"/>
      <c r="KT74" s="145"/>
      <c r="KU74" s="148"/>
      <c r="KV74" s="148"/>
      <c r="KW74" s="265"/>
      <c r="KX74" s="286"/>
      <c r="KY74" s="100"/>
      <c r="KZ74" s="100"/>
      <c r="LA74" s="210"/>
      <c r="LB74" s="117"/>
      <c r="LC74" s="117"/>
      <c r="LD74" s="148"/>
      <c r="LE74" s="145"/>
      <c r="LF74" s="632"/>
      <c r="LG74" s="148"/>
      <c r="LH74" s="154"/>
      <c r="LI74" s="154"/>
      <c r="LJ74" s="154"/>
      <c r="LK74" s="117"/>
      <c r="LL74" s="211"/>
      <c r="LM74" s="210"/>
      <c r="LN74" s="148"/>
      <c r="LO74" s="148"/>
      <c r="LP74" s="265"/>
      <c r="LQ74" s="286"/>
      <c r="LR74" s="100"/>
      <c r="LS74" s="100"/>
      <c r="LT74" s="210"/>
      <c r="LU74" s="117"/>
      <c r="LV74" s="117"/>
      <c r="LW74" s="148"/>
      <c r="LX74" s="145"/>
      <c r="LY74" s="632"/>
      <c r="LZ74" s="148"/>
      <c r="MA74" s="154"/>
      <c r="MB74" s="154"/>
      <c r="MC74" s="145"/>
      <c r="MD74" s="117"/>
      <c r="ME74" s="211"/>
      <c r="MF74" s="210"/>
      <c r="MG74" s="148"/>
      <c r="MH74" s="148"/>
      <c r="MI74" s="265"/>
      <c r="MJ74" s="647"/>
      <c r="MK74" s="264"/>
      <c r="ML74" s="153"/>
      <c r="MM74" s="153"/>
      <c r="MN74" s="153"/>
      <c r="MO74" s="153"/>
      <c r="MP74" s="153"/>
      <c r="MQ74" s="153"/>
      <c r="MR74" s="153"/>
      <c r="MS74" s="99"/>
      <c r="MT74" s="99"/>
      <c r="MU74" s="99"/>
      <c r="MV74" s="99"/>
      <c r="MW74" s="99"/>
      <c r="MX74" s="99"/>
      <c r="MY74" s="153"/>
      <c r="MZ74" s="153"/>
      <c r="NA74" s="153"/>
      <c r="NB74" s="153"/>
      <c r="NC74" s="153"/>
      <c r="ND74" s="153"/>
      <c r="NE74" s="148"/>
      <c r="NF74" s="153"/>
      <c r="NG74" s="153"/>
      <c r="NH74" s="330" t="str">
        <f t="shared" ref="NH74:NH91" si="592">"ks"</f>
        <v>ks</v>
      </c>
      <c r="NI74" s="797">
        <f>RZ[[#This Row],[Počet ks (K)]]</f>
        <v>0</v>
      </c>
      <c r="NJ74" s="798">
        <f>RZ[[#This Row],[Hmotnost '[kg/ks'] (K)]]</f>
        <v>0</v>
      </c>
      <c r="NK74" s="148"/>
      <c r="NL74" s="145"/>
      <c r="NM74" s="632"/>
      <c r="NN74" s="148"/>
      <c r="NO74" s="154"/>
      <c r="NP74" s="153"/>
      <c r="NQ74" s="153"/>
      <c r="NR74" s="210"/>
      <c r="NS74" s="148"/>
      <c r="NT74" s="210"/>
      <c r="NU74" s="148"/>
      <c r="NV74" s="148"/>
      <c r="NW74" s="175"/>
    </row>
    <row r="75" spans="2:387" ht="15.95" customHeight="1" x14ac:dyDescent="0.35">
      <c r="B75" s="118" t="str">
        <f t="shared" si="476"/>
        <v/>
      </c>
      <c r="C7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5" s="262" t="str">
        <f t="shared" si="477"/>
        <v xml:space="preserve">    Rám</v>
      </c>
      <c r="E75" s="120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Row],[Kód položek (P2)]]))))))))))</f>
        <v>OKS1</v>
      </c>
      <c r="F75" s="791" t="str">
        <f t="shared" si="478"/>
        <v>N/A</v>
      </c>
      <c r="G75" s="792" t="str">
        <f t="shared" si="479"/>
        <v/>
      </c>
      <c r="H75" s="262" t="str">
        <f t="shared" si="480"/>
        <v/>
      </c>
      <c r="I75" s="123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HR '[MJHR'] (P0)]]))))))))))</f>
        <v>ks</v>
      </c>
      <c r="J75" s="123">
        <f t="shared" si="481"/>
        <v>1</v>
      </c>
      <c r="K75" s="793">
        <f>RZ[[#This Row],[Koeficient odhadu HR '[-'] (P1)]]</f>
        <v>1</v>
      </c>
      <c r="L75" s="124">
        <f ca="1">RZ[[#This Row],[Jednotková hmotnost s koef. '[kg/MJHR'] (P0)]]</f>
        <v>3599</v>
      </c>
      <c r="M75" s="794">
        <f t="shared" ca="1" si="482"/>
        <v>0</v>
      </c>
      <c r="N75" s="125">
        <f t="shared" ca="1" si="483"/>
        <v>3599</v>
      </c>
      <c r="O75" s="125">
        <f t="shared" ca="1" si="484"/>
        <v>0</v>
      </c>
      <c r="P75" s="126" t="str">
        <f t="shared" si="485"/>
        <v/>
      </c>
      <c r="Q75" s="795">
        <f ca="1">RZ[[#This Row],[Počet MJHR v rozpadu (P0)]]</f>
        <v>1</v>
      </c>
      <c r="R75" s="439" t="str">
        <f t="shared" si="486"/>
        <v/>
      </c>
      <c r="S75" s="129" t="str">
        <f t="shared" si="487"/>
        <v/>
      </c>
      <c r="T75" s="126" t="str">
        <f t="shared" si="488"/>
        <v/>
      </c>
      <c r="U75" s="126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CR (MJCR) (P0)]]))))))))))</f>
        <v>kg</v>
      </c>
      <c r="V75" s="575">
        <f t="shared" ca="1" si="489"/>
        <v>3599</v>
      </c>
      <c r="W75" s="322">
        <f>RZ[[#This Row],[Koeficient odhadu CR '[-'] (P1)]]</f>
        <v>1</v>
      </c>
      <c r="X75" s="440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Row],[Jednotková cena bez DPH '[cena/MJCR'] (P1)]]*RZ[[#This Row],[Koeficient odhadu CR '[-']]]))))))))))</f>
        <v>140</v>
      </c>
      <c r="Y75" s="440">
        <f t="shared" ca="1" si="490"/>
        <v>0</v>
      </c>
      <c r="Z75" s="142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VLOOKUP(IP75,$BR$7:$BS$11,2,FALSE)))))))))))</f>
        <v>CZK</v>
      </c>
      <c r="AA75" s="909">
        <f t="shared" ca="1" si="491"/>
        <v>3599</v>
      </c>
      <c r="AB75" s="910">
        <f ca="1">RZ[[#This Row],[Kumulovaný koeficient v rozpadu (P0)]]</f>
        <v>1</v>
      </c>
      <c r="AC75" s="261"/>
      <c r="AD75" s="796">
        <f ca="1">RZ[[#This Row],[Jednotková cena bez DPH '[cena/MJCR'] s koef. (P0)]]/RZ[[#This Row],[Koeficient odhadu CR '[-']]]*RZ[[#This Row],[Kumulovaný koeficient odhadu CR  '[-']]]</f>
        <v>140</v>
      </c>
      <c r="AE75" s="796">
        <f t="shared" ca="1" si="492"/>
        <v>503860</v>
      </c>
      <c r="AF75" s="796">
        <f ca="1">-IF(ISNUMBER(AA75),RZ[[#This Row],[Celková cena bez DPH (1)]]-RZ[[#This Row],[Jednotková cena bez DPH '[cena/MJCR'] bez koef. (P0)]]*AA75,0)</f>
        <v>0</v>
      </c>
      <c r="AG7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5" s="261"/>
      <c r="AI75" s="796">
        <f t="shared" ca="1" si="493"/>
        <v>5.1851851851851851</v>
      </c>
      <c r="AJ75" s="796">
        <f t="shared" ca="1" si="494"/>
        <v>18661.481481481482</v>
      </c>
      <c r="AK75" s="796">
        <f t="shared" ca="1" si="495"/>
        <v>0</v>
      </c>
      <c r="AL75" s="753">
        <f ca="1">RZ[[#This Row],[Kilogramová cena bez DPH '[cena/kg'] (1)]]/$AK$13</f>
        <v>5.1851851851851851</v>
      </c>
      <c r="AM75" s="261"/>
      <c r="AN75" s="796">
        <f t="shared" ca="1" si="496"/>
        <v>6.7632850241545892</v>
      </c>
      <c r="AO75" s="796">
        <f t="shared" ca="1" si="497"/>
        <v>24341.062801932367</v>
      </c>
      <c r="AP75" s="796">
        <f t="shared" ca="1" si="498"/>
        <v>0</v>
      </c>
      <c r="AQ75" s="753">
        <f ca="1">RZ[[#This Row],[Kilogramová cena bez DPH '[cena/kg'] (1)]]/$AP$13</f>
        <v>6.7632850241545892</v>
      </c>
      <c r="AR75" s="261"/>
      <c r="AS75" s="796">
        <f t="shared" ca="1" si="499"/>
        <v>3.8293216630196936</v>
      </c>
      <c r="AT75" s="796">
        <f t="shared" ca="1" si="500"/>
        <v>13781.728665207876</v>
      </c>
      <c r="AU75" s="789">
        <f t="shared" ca="1" si="501"/>
        <v>0</v>
      </c>
      <c r="AV75" s="767">
        <f ca="1">RZ[[#This Row],[Kilogramová cena bez DPH '[cena/kg'] (1)]]/$AU$13</f>
        <v>3.8293216630196936</v>
      </c>
      <c r="AW75" s="165"/>
      <c r="AX75" s="911">
        <f t="shared" ca="1" si="502"/>
        <v>2</v>
      </c>
      <c r="AY75" s="111">
        <f t="shared" ca="1" si="503"/>
        <v>3</v>
      </c>
      <c r="AZ75" s="111">
        <f t="shared" ca="1" si="504"/>
        <v>2</v>
      </c>
      <c r="BA75" s="111">
        <f t="shared" ca="1" si="505"/>
        <v>0</v>
      </c>
      <c r="BB75" s="111">
        <f t="shared" ca="1" si="506"/>
        <v>0</v>
      </c>
      <c r="BC75" s="111">
        <f t="shared" ca="1" si="507"/>
        <v>0</v>
      </c>
      <c r="BD75" s="111">
        <f t="shared" ca="1" si="508"/>
        <v>0</v>
      </c>
      <c r="BE75" s="111">
        <f t="shared" ca="1" si="509"/>
        <v>0</v>
      </c>
      <c r="BF75" s="111">
        <f t="shared" ca="1" si="510"/>
        <v>0</v>
      </c>
      <c r="BG75" s="112">
        <f t="shared" ca="1" si="511"/>
        <v>0</v>
      </c>
      <c r="BH75" s="911">
        <f t="shared" si="512"/>
        <v>0</v>
      </c>
      <c r="BI75" s="111">
        <f t="shared" si="513"/>
        <v>0</v>
      </c>
      <c r="BJ75" s="111">
        <f t="shared" si="514"/>
        <v>1</v>
      </c>
      <c r="BK75" s="111">
        <f t="shared" si="515"/>
        <v>0</v>
      </c>
      <c r="BL75" s="111">
        <f t="shared" si="516"/>
        <v>0</v>
      </c>
      <c r="BM75" s="111">
        <f t="shared" si="517"/>
        <v>0</v>
      </c>
      <c r="BN75" s="111">
        <f t="shared" si="518"/>
        <v>0</v>
      </c>
      <c r="BO75" s="111">
        <f t="shared" si="519"/>
        <v>0</v>
      </c>
      <c r="BP75" s="111">
        <f t="shared" si="520"/>
        <v>0</v>
      </c>
      <c r="BQ75" s="112">
        <f t="shared" si="521"/>
        <v>0</v>
      </c>
      <c r="BR75" s="132">
        <f ca="1">IF(OFFSET(AY75,1,0,1,1)&lt;&gt;0,RZ[[#This Row],[Koeficient odhadu HR '[-'] (P1)]]*$BH75*SUMIFS(RZ[Úroveň 2 s koef. (P2)],RZ[0],AX75),RZ[[#This Row],[Koeficient odhadu HR '[-'] (P1)]]*$BH75*$IG75)</f>
        <v>0</v>
      </c>
      <c r="BS75" s="186">
        <f ca="1">IF(OFFSET(AY75,1,0,1,1)&lt;&gt;0,$BH75*SUMIFS(RZ[Úroveň 2 bez koef. (P2)],RZ[0],AX75),$BH75*$IG75)</f>
        <v>0</v>
      </c>
      <c r="BT75" s="138">
        <f ca="1">RZ[[#This Row],[Úroveň 2 s koef. (P2a)]]*RZ[[#This Row],[Počet MJHR (P0)]]</f>
        <v>0</v>
      </c>
      <c r="BU75" s="138">
        <f ca="1">RZ[[#This Row],[Úroveň 2 bez koef. (P2a)]]*RZ[[#This Row],[Počet MJHR (P0)]]</f>
        <v>0</v>
      </c>
      <c r="BV75" s="138">
        <f ca="1">IF(OFFSET(AZ75,1,0,1,1)&lt;&gt;0,RZ[[#This Row],[Koeficient odhadu HR '[-'] (P1)]]*$BI75*SUMIFS(RZ[Úroveň 3 s koef. (P2)],RZ[0],AX75,RZ[Úroveň 2 (P0)],AY75),RZ[[#This Row],[Koeficient odhadu HR '[-'] (P1)]]*$BI75*$IG75)</f>
        <v>0</v>
      </c>
      <c r="BW75" s="138">
        <f ca="1">IF(OFFSET(AZ75,1,0,1,1)&lt;&gt;0,$BI75*SUMIFS(RZ[Úroveň 3 bez koef. (P2)],RZ[0],AX75,RZ[Úroveň 2 (P0)],AY75),$BI75*$IG75)</f>
        <v>0</v>
      </c>
      <c r="BX75" s="132">
        <f ca="1">RZ[[#This Row],[Úroveň 3 s koef. (P2a)]]*RZ[[#This Row],[Počet MJHR (P0)]]</f>
        <v>3599</v>
      </c>
      <c r="BY75" s="132">
        <f ca="1">RZ[Úroveň 3 bez koef. (P2a)]*RZ[[#This Row],[Počet MJHR (P0)]]</f>
        <v>3599</v>
      </c>
      <c r="BZ75" s="132">
        <f ca="1">IF(OFFSET(BA75,1,0,1,1)&lt;&gt;0,RZ[[#This Row],[Koeficient odhadu HR '[-'] (P1)]]*$BJ75*SUMIFS(RZ[Úroveň 4 s koef. (P2)],RZ[0],AX75,RZ[Úroveň 2 (P0)],AY75,RZ[Úroveň 3 (P0)],AZ75),RZ[[#This Row],[Koeficient odhadu HR '[-'] (P1)]]*$BJ75*$IG75)</f>
        <v>3599</v>
      </c>
      <c r="CA75" s="132">
        <f ca="1">IF(OFFSET(BA75,1,0,1,1)&lt;&gt;0,$BJ75*SUMIFS(RZ[Úroveň 4 bez koef. (P2)],RZ[0],AX75,RZ[Úroveň 2 (P0)],AY75,RZ[Úroveň 3 (P0)],AZ75),$BJ75*$IG75)</f>
        <v>3599</v>
      </c>
      <c r="CB75" s="138">
        <f ca="1">RZ[[#This Row],[Úroveň 4 s koef. (P2a)]]*RZ[[#This Row],[Počet MJHR (P0)]]</f>
        <v>0</v>
      </c>
      <c r="CC75" s="138">
        <f ca="1">RZ[Úroveň 4 bez koef. (P2a)]*RZ[[#This Row],[Počet MJHR (P0)]]</f>
        <v>0</v>
      </c>
      <c r="CD75" s="138">
        <f ca="1">IF(OFFSET(BB75,1,0,1,1)&lt;&gt;0,RZ[[#This Row],[Koeficient odhadu HR '[-'] (P1)]]*$BK75*SUMIFS(RZ[Úroveň 5 s koef. (P2)],RZ[0],AX75,RZ[Úroveň 2 (P0)],AY75,RZ[Úroveň 3 (P0)],AZ75,RZ[Úroveň 4 (P0)],BA75),RZ[[#This Row],[Koeficient odhadu HR '[-'] (P1)]]*$BK75*$IG75)</f>
        <v>0</v>
      </c>
      <c r="CE75" s="138">
        <f ca="1">IF(OFFSET(BB75,1,0,1,1)&lt;&gt;0,$BK75*SUMIFS(RZ[Úroveň 5 bez koef. (P2)],RZ[0],AX75,RZ[Úroveň 2 (P0)],AY75,RZ[Úroveň 3 (P0)],AZ75,RZ[Úroveň 4 (P0)],BA75),$BK75*$IG75)</f>
        <v>0</v>
      </c>
      <c r="CF75" s="132">
        <f ca="1">RZ[[#This Row],[Úroveň 5 s koef. (P2a)]]*RZ[[#This Row],[Počet MJHR (P0)]]</f>
        <v>0</v>
      </c>
      <c r="CG75" s="132">
        <f ca="1">RZ[Úroveň 5 bez koef. (P2a)]*RZ[[#This Row],[Počet MJHR (P0)]]</f>
        <v>0</v>
      </c>
      <c r="CH75" s="132">
        <f ca="1">IF(OFFSET(BC75,1,0,1,1)&lt;&gt;0,RZ[[#This Row],[Koeficient odhadu HR '[-'] (P1)]]*$BL75*SUMIFS(RZ[Úroveň 6 s koef. (P2)],RZ[0],AX75,RZ[Úroveň 2 (P0)],AY75,RZ[Úroveň 3 (P0)],AZ75,RZ[Úroveň 4 (P0)],BA75,RZ[Úroveň 5 (P0)],BB75),RZ[[#This Row],[Koeficient odhadu HR '[-'] (P1)]]*$BL75*$IG75)</f>
        <v>0</v>
      </c>
      <c r="CI75" s="132">
        <f ca="1">IF(OFFSET(BC75,1,0,1,1)&lt;&gt;0,$BL75*SUMIFS(RZ[Úroveň 6 bez koef. (P2)],RZ[0],AX75,RZ[Úroveň 2 (P0)],AY75,RZ[Úroveň 3 (P0)],AZ75,RZ[Úroveň 4 (P0)],BA75,RZ[Úroveň 5 (P0)],BB75),$BL75*$IG75)</f>
        <v>0</v>
      </c>
      <c r="CJ75" s="138">
        <f ca="1">RZ[[#This Row],[Úroveň 6 s koef. (P2a)]]*RZ[[#This Row],[Počet MJHR (P0)]]</f>
        <v>0</v>
      </c>
      <c r="CK75" s="138">
        <f ca="1">RZ[Úroveň 6 bez koef. (P2a)]*RZ[[#This Row],[Počet MJHR (P0)]]</f>
        <v>0</v>
      </c>
      <c r="CL75" s="138">
        <f ca="1">IF(OFFSET(BD75,1,0,1,1)&lt;&gt;0,RZ[[#This Row],[Koeficient odhadu HR '[-'] (P1)]]*$BM75*SUMIFS(RZ[Úroveň 7 s koef. (P2)],RZ[0],AX75,RZ[Úroveň 2 (P0)],AY75,RZ[Úroveň 3 (P0)],AZ75,RZ[Úroveň 4 (P0)],BA75,RZ[Úroveň 5 (P0)],BB75,RZ[Úroveň 6 (P0)],BC75),RZ[[#This Row],[Koeficient odhadu HR '[-'] (P1)]]*$BM75*$IG75)</f>
        <v>0</v>
      </c>
      <c r="CM75" s="138">
        <f ca="1">IF(OFFSET(BD75,1,0,1,1)&lt;&gt;0,$BM75*SUMIFS(RZ[Úroveň 7 bez koef. (P2)],RZ[0],AX75,RZ[Úroveň 2 (P0)],AY75,RZ[Úroveň 3 (P0)],AZ75,RZ[Úroveň 4 (P0)],BA75,RZ[Úroveň 5 (P0)],BB75,RZ[Úroveň 6 (P0)],BC75),$BM75*$IG75)</f>
        <v>0</v>
      </c>
      <c r="CN75" s="132">
        <f ca="1">RZ[[#This Row],[Úroveň 7 s koef. (P2a)]]*RZ[[#This Row],[Počet MJHR (P0)]]</f>
        <v>0</v>
      </c>
      <c r="CO75" s="132">
        <f ca="1">RZ[Úroveň 7 bez koef. (P2a)]*RZ[[#This Row],[Počet MJHR (P0)]]</f>
        <v>0</v>
      </c>
      <c r="CP75" s="132">
        <f ca="1">IF(OFFSET(BE75,1,0,1,1)&lt;&gt;0,RZ[[#This Row],[Koeficient odhadu HR '[-'] (P1)]]*$BN75*SUMIFS(RZ[Úroveň 8 s koef. (P2)],RZ[0],AX75,RZ[Úroveň 2 (P0)],AY75,RZ[Úroveň 3 (P0)],AZ75,RZ[Úroveň 4 (P0)],BA75,RZ[Úroveň 5 (P0)],BB75,RZ[Úroveň 6 (P0)],BC75,RZ[Úroveň 7 (P0)],BD75),RZ[[#This Row],[Koeficient odhadu HR '[-'] (P1)]]*$BN75*$IG75)</f>
        <v>0</v>
      </c>
      <c r="CQ75" s="132">
        <f ca="1">IF(OFFSET(BE75,1,0,1,1)&lt;&gt;0,$BN75*SUMIFS(RZ[Úroveň 8 bez koef. (P2)],RZ[0],AX75,RZ[Úroveň 2 (P0)],AY75,RZ[Úroveň 3 (P0)],AZ75,RZ[Úroveň 4 (P0)],BA75,RZ[Úroveň 5 (P0)],BB75,RZ[Úroveň 6 (P0)],BC75,RZ[Úroveň 7 (P0)],BD75),$BN75*$IG75)</f>
        <v>0</v>
      </c>
      <c r="CR75" s="138">
        <f ca="1">RZ[[#This Row],[Úroveň 8 s koef. (P2a)]]*RZ[[#This Row],[Počet MJHR (P0)]]</f>
        <v>0</v>
      </c>
      <c r="CS75" s="138">
        <f ca="1">RZ[Úroveň 8 bez koef. (P2a)]*RZ[[#This Row],[Počet MJHR (P0)]]</f>
        <v>0</v>
      </c>
      <c r="CT75" s="138">
        <f ca="1">IF(OFFSET(BF75,1,0,1,1)&lt;&gt;0,RZ[[#This Row],[Koeficient odhadu HR '[-'] (P1)]]*$BO75*SUMIFS(RZ[Úroveň 9 s koef. (P2)],RZ[0],AX75,RZ[Úroveň 2 (P0)],AY75,RZ[Úroveň 3 (P0)],AZ75,RZ[Úroveň 4 (P0)],BA75,RZ[Úroveň 5 (P0)],BB75,RZ[Úroveň 6 (P0)],BC75,RZ[Úroveň 7 (P0)],BD75,RZ[Úroveň 8 (P0)],BE75),RZ[[#This Row],[Koeficient odhadu HR '[-'] (P1)]]*$BO75*$IG75)</f>
        <v>0</v>
      </c>
      <c r="CU75" s="138">
        <f ca="1">IF(OFFSET(BF75,1,0,1,1)&lt;&gt;0,$BO75*SUMIFS(RZ[Úroveň 9 bez koef. (P2)],RZ[0],AX75,RZ[Úroveň 2 (P0)],AY75,RZ[Úroveň 3 (P0)],AZ75,RZ[Úroveň 4 (P0)],BA75,RZ[Úroveň 5 (P0)],BB75,RZ[Úroveň 6 (P0)],BC75,RZ[Úroveň 7 (P0)],BD75,RZ[Úroveň 8 (P0)],BE75),$BO75*$IG75)</f>
        <v>0</v>
      </c>
      <c r="CV75" s="132">
        <f ca="1">RZ[[#This Row],[Úroveň 9 s koef. (P2a)]]*RZ[[#This Row],[Počet MJHR (P0)]]</f>
        <v>0</v>
      </c>
      <c r="CW75" s="132">
        <f ca="1">RZ[Úroveň 9 bez koef. (P2a)]*RZ[[#This Row],[Počet MJHR (P0)]]</f>
        <v>0</v>
      </c>
      <c r="CX75" s="132">
        <f ca="1">IF(OFFSET(BG75,1,0,1,1)&lt;&gt;0,RZ[[#This Row],[Koeficient odhadu HR '[-'] (P1)]]*$BP75*SUMIFS(RZ[Úroveň 10 s koef. (P2)],RZ[0],AX75,RZ[Úroveň 2 (P0)],AY75,RZ[Úroveň 3 (P0)],AZ75,RZ[Úroveň 4 (P0)],BA75,RZ[Úroveň 5 (P0)],BB75,RZ[Úroveň 6 (P0)],BC75,RZ[Úroveň 7 (P0)],BD75,RZ[Úroveň 8 (P0)],BE75,RZ[Úroveň 9 (P0)],BF75),RZ[[#This Row],[Koeficient odhadu HR '[-'] (P1)]]*$BP75*$IG75)</f>
        <v>0</v>
      </c>
      <c r="CY75" s="132">
        <f ca="1">IF(OFFSET(BG75,1,0,1,1)&lt;&gt;0,$BP75*SUMIFS(RZ[Úroveň 10 bez koef. (P2)],RZ[0],AX75,RZ[Úroveň 2 (P0)],AY75,RZ[Úroveň 3 (P0)],AZ75,RZ[Úroveň 4 (P0)],BA75,RZ[Úroveň 5 (P0)],BB75,RZ[Úroveň 6 (P0)],BC75,RZ[Úroveň 7 (P0)],BD75,RZ[Úroveň 8 (P0)],BE75,RZ[Úroveň 9 (P0)],BF75),$BP75*$IG75)</f>
        <v>0</v>
      </c>
      <c r="CZ75" s="138">
        <f>RZ[[#This Row],[Úroveň 10 s koef. (P2a)]]*RZ[[#This Row],[Počet MJHR (P0)]]</f>
        <v>0</v>
      </c>
      <c r="DA75" s="138">
        <f>RZ[Úroveň 10 bez koef. (P2a)]*RZ[[#This Row],[Počet MJHR (P0)]]</f>
        <v>0</v>
      </c>
      <c r="DB75" s="138">
        <f>RZ[[#This Row],[Koeficient odhadu HR '[-'] (P1)]]*$BQ75*IG75</f>
        <v>0</v>
      </c>
      <c r="DC75" s="231">
        <f t="shared" si="522"/>
        <v>0</v>
      </c>
      <c r="DD75" s="241">
        <f t="shared" ca="1" si="523"/>
        <v>3599</v>
      </c>
      <c r="DE75" s="229">
        <f t="shared" ca="1" si="524"/>
        <v>3599</v>
      </c>
      <c r="DF75" s="912">
        <f t="shared" si="525"/>
        <v>0</v>
      </c>
      <c r="DG75" s="913">
        <f t="shared" si="526"/>
        <v>0</v>
      </c>
      <c r="DH75" s="913">
        <f t="shared" si="527"/>
        <v>1</v>
      </c>
      <c r="DI75" s="913">
        <f t="shared" si="528"/>
        <v>0</v>
      </c>
      <c r="DJ75" s="913">
        <f t="shared" si="529"/>
        <v>0</v>
      </c>
      <c r="DK75" s="913">
        <f t="shared" si="530"/>
        <v>0</v>
      </c>
      <c r="DL75" s="913">
        <f t="shared" si="531"/>
        <v>0</v>
      </c>
      <c r="DM75" s="913">
        <f t="shared" si="532"/>
        <v>0</v>
      </c>
      <c r="DN75" s="913">
        <f t="shared" si="533"/>
        <v>0</v>
      </c>
      <c r="DO75" s="913">
        <f t="shared" si="534"/>
        <v>0</v>
      </c>
      <c r="DP75" s="914">
        <f ca="1">SUMIFS(RZ[Úroveň 1 (P4)],RZ[0],AX75)</f>
        <v>1</v>
      </c>
      <c r="DQ75" s="914">
        <f ca="1">SUMIFS(RZ[Úroveň 2 (P4)],RZ[0],AX75,RZ[Úroveň 2 (P0)],AY75)</f>
        <v>1</v>
      </c>
      <c r="DR75" s="914">
        <f ca="1">SUMIFS(RZ[Úroveň 3 (P4)],RZ[0],AX75,RZ[Úroveň 2 (P0)],AY75,RZ[Úroveň 3 (P0)],AZ75)</f>
        <v>1</v>
      </c>
      <c r="DS75" s="914">
        <f ca="1">SUMIFS(RZ[Úroveň 4 (P4)],RZ[0],AX75,RZ[Úroveň 2 (P0)],AY75,RZ[Úroveň 3 (P0)],AZ75,RZ[Úroveň 4 (P0)],BA75)</f>
        <v>0</v>
      </c>
      <c r="DT75" s="914">
        <f ca="1">SUMIFS(RZ[Úroveň 5 (P4)],RZ[0],AX75,RZ[Úroveň 2 (P0)],AY75,RZ[Úroveň 3 (P0)],AZ75,RZ[Úroveň 4 (P0)],BA75,RZ[Úroveň 5 (P0)],BB75)</f>
        <v>0</v>
      </c>
      <c r="DU75" s="914">
        <f ca="1">SUMIFS(RZ[Úroveň 6 (P4)],RZ[0],AX75,RZ[Úroveň 2 (P0)],AY75,RZ[Úroveň 3 (P0)],AZ75,RZ[Úroveň 4 (P0)],BA75,RZ[Úroveň 5 (P0)],BB75,RZ[Úroveň 6 (P0)],BC75)</f>
        <v>0</v>
      </c>
      <c r="DV75" s="914">
        <f ca="1">SUMIFS(RZ[Úroveň 7 (P4)],RZ[0],AX75,RZ[Úroveň 2 (P0)],AY75,RZ[Úroveň 3 (P0)],AZ75,RZ[Úroveň 4 (P0)],BA75,RZ[Úroveň 5 (P0)],BB75,RZ[Úroveň 6 (P0)],BC75,RZ[Úroveň 7 (P0)],BD75)</f>
        <v>0</v>
      </c>
      <c r="DW75" s="914">
        <f ca="1">SUMIFS(RZ[Úroveň 8 (P4)],RZ[0],AX75,RZ[Úroveň 2 (P0)],AY75,RZ[Úroveň 3 (P0)],AZ75,RZ[Úroveň 4 (P0)],BA75,RZ[Úroveň 5 (P0)],BB75,RZ[Úroveň 6 (P0)],BC75,RZ[Úroveň 7 (P0)],BD75,RZ[Úroveň 8 (P0)],BE75)</f>
        <v>0</v>
      </c>
      <c r="DX75" s="914">
        <f ca="1">SUMIFS(RZ[Úroveň 9 (P4)],RZ[0],AX75,RZ[Úroveň 2 (P0)],AY75,RZ[Úroveň 3 (P0)],AZ75,RZ[Úroveň 4 (P0)],BA75,RZ[Úroveň 5 (P0)],BB75,RZ[Úroveň 6 (P0)],BC75,RZ[Úroveň 7 (P0)],BD75,RZ[Úroveň 8 (P0)],BE75,RZ[Úroveň 9 (P0)],BF75)</f>
        <v>0</v>
      </c>
      <c r="DY75" s="914">
        <f ca="1">SUMIFS(RZ[Úroveň 10 (P4)],RZ[0],AX75,RZ[Úroveň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DZ75" s="915">
        <f t="shared" ca="1" si="535"/>
        <v>1</v>
      </c>
      <c r="EA75" s="916">
        <f ca="1">RZ[[#This Row],[Jednotková hmotnost bez koef. '[kg/MJHR'] (P0)]]*RZ[[#This Row],[Počet MJHR v rozpadu (P0)]]</f>
        <v>3599</v>
      </c>
      <c r="EB75" s="917">
        <f ca="1">IF(OFFSET(AY75,1,0,1,1)&lt;&gt;0,RZ[[#This Row],[Koeficient odhadu CR '[-'] (P1)]]*$BH75*SUMIFS(RZ[Úroveň 2 s koef. (P3)],RZ[0],AX75),RZ[[#This Row],[Koeficient odhadu CR '[-'] (P1)]]*$BH75*$IQ75)</f>
        <v>0</v>
      </c>
      <c r="EC75" s="191">
        <f ca="1">IF(OFFSET(AY75,1,0,1,1)&lt;&gt;0,$BH75*SUMIFS(RZ[Úroveň 2 bez koef. (P3)],RZ[0],AX75),$BH75*$IQ75)</f>
        <v>0</v>
      </c>
      <c r="ED75" s="140">
        <f ca="1">RZ[[#This Row],[Úroveň 2 s koef. (P3a)]]*RZ[[#This Row],[Počet MJCR (P0) pro "kg"]]</f>
        <v>0</v>
      </c>
      <c r="EE75" s="140">
        <f ca="1">RZ[Úroveň 2 bez koef. (P3a)]*RZ[[#This Row],[Počet MJCR (P0) pro "kg"]]</f>
        <v>0</v>
      </c>
      <c r="EF75" s="140">
        <f ca="1">IF(OFFSET(AZ75,1,0,1,1)&lt;&gt;0,RZ[[#This Row],[Koeficient odhadu CR '[-'] (P1)]]*$BI75*SUMIFS(RZ[Úroveň 3 s koef. (P3)],RZ[0],AX75,RZ[Úroveň 2 (P0)],AY75),RZ[[#This Row],[Koeficient odhadu CR '[-'] (P1)]]*$BI75*$IQ75)</f>
        <v>0</v>
      </c>
      <c r="EG75" s="140">
        <f ca="1">IF(OFFSET(AZ75,1,0,1,1)&lt;&gt;0,$BI75*SUMIFS(RZ[Úroveň 3 bez koef. (P3)],RZ[0],AX75,RZ[Úroveň 2 (P0)],AY75),$BI75*$IQ75)</f>
        <v>0</v>
      </c>
      <c r="EH75" s="135">
        <f ca="1">RZ[[#This Row],[Úroveň 3 s koef. (P3a)]]*RZ[[#This Row],[Počet MJCR (P0) pro "kg"]]</f>
        <v>503860</v>
      </c>
      <c r="EI75" s="135">
        <f ca="1">RZ[Úroveň 3 bez koef. (P3a)]*RZ[[#This Row],[Počet MJCR (P0) pro "kg"]]</f>
        <v>503860</v>
      </c>
      <c r="EJ75" s="135">
        <f ca="1">IF(OFFSET(BA75,1,0,1,1)&lt;&gt;0,RZ[[#This Row],[Koeficient odhadu CR '[-'] (P1)]]*$BJ75*SUMIFS(RZ[Úroveň 4 s koef. (P3)],RZ[0],AX75,RZ[Úroveň 2 (P0)],AY75,RZ[Úroveň 3 (P0)],AZ75),RZ[[#This Row],[Koeficient odhadu CR '[-'] (P1)]]*$BJ75*$IQ75)</f>
        <v>140</v>
      </c>
      <c r="EK75" s="135">
        <f ca="1">IF(OFFSET(BA75,1,0,1,1)&lt;&gt;0,$BJ75*SUMIFS(RZ[Úroveň 4 bez koef. (P3)],RZ[0],AX75,RZ[Úroveň 2 (P0)],AY75,RZ[Úroveň 3 (P0)],AZ75),$BJ75*$IQ75)</f>
        <v>140</v>
      </c>
      <c r="EL75" s="140">
        <f ca="1">RZ[[#This Row],[Úroveň 4 s koef. (P3a)]]*RZ[[#This Row],[Počet MJCR (P0) pro "kg"]]</f>
        <v>0</v>
      </c>
      <c r="EM75" s="140">
        <f ca="1">RZ[Úroveň 4 bez koef. (P3a)]*RZ[[#This Row],[Počet MJCR (P0) pro "kg"]]</f>
        <v>0</v>
      </c>
      <c r="EN75" s="140">
        <f ca="1">IF(OFFSET(BB75,1,0,1,1)&lt;&gt;0,RZ[[#This Row],[Koeficient odhadu CR '[-'] (P1)]]*$BK75*SUMIFS(RZ[Úroveň 5 s koef. (P3)],RZ[0],AX75,RZ[Úroveň 2 (P0)],AY75,RZ[Úroveň 3 (P0)],AZ75,RZ[Úroveň 4 (P0)],BA75),RZ[[#This Row],[Koeficient odhadu CR '[-'] (P1)]]*$BK75*$IQ75)</f>
        <v>0</v>
      </c>
      <c r="EO75" s="140">
        <f ca="1">IF(OFFSET(BB75,1,0,1,1)&lt;&gt;0,$BK75*SUMIFS(RZ[Úroveň 5 bez koef. (P3)],RZ[0],AX75,RZ[Úroveň 2 (P0)],AY75,RZ[Úroveň 3 (P0)],AZ75,RZ[Úroveň 4 (P0)],BA75),$BK75*$IQ75)</f>
        <v>0</v>
      </c>
      <c r="EP75" s="135">
        <f ca="1">RZ[[#This Row],[Úroveň 5 s koef. (P3a)]]*RZ[[#This Row],[Počet MJCR (P0) pro "kg"]]</f>
        <v>0</v>
      </c>
      <c r="EQ75" s="135">
        <f ca="1">RZ[Úroveň 5 bez koef. (P3a)]*RZ[[#This Row],[Počet MJCR (P0) pro "kg"]]</f>
        <v>0</v>
      </c>
      <c r="ER75" s="135">
        <f ca="1">IF(OFFSET(BC75,1,0,1,1)&lt;&gt;0,RZ[[#This Row],[Koeficient odhadu CR '[-'] (P1)]]*$BL75*SUMIFS(RZ[Úroveň 6 s koef. (P3)],RZ[0],AX75,RZ[Úroveň 2 (P0)],AY75,RZ[Úroveň 3 (P0)],AZ75,RZ[Úroveň 4 (P0)],BA75,RZ[Úroveň 5 (P0)],BB75),RZ[[#This Row],[Koeficient odhadu CR '[-'] (P1)]]*$BL75*$IQ75)</f>
        <v>0</v>
      </c>
      <c r="ES75" s="135">
        <f ca="1">IF(OFFSET(BC75,1,0,1,1)&lt;&gt;0,$BL75*SUMIFS(RZ[Úroveň 6 bez koef. (P3)],RZ[0],AX75,RZ[Úroveň 2 (P0)],AY75,RZ[Úroveň 3 (P0)],AZ75,RZ[Úroveň 4 (P0)],BA75,RZ[Úroveň 5 (P0)],BB75),$BL75*$IQ75)</f>
        <v>0</v>
      </c>
      <c r="ET75" s="140">
        <f ca="1">RZ[[#This Row],[Úroveň 6 s koef. (P3a)]]*RZ[[#This Row],[Počet MJCR (P0) pro "kg"]]</f>
        <v>0</v>
      </c>
      <c r="EU75" s="140">
        <f ca="1">RZ[Úroveň 6 bez koef. (P3a)]*RZ[[#This Row],[Počet MJCR (P0) pro "kg"]]</f>
        <v>0</v>
      </c>
      <c r="EV75" s="140">
        <f ca="1">IF(OFFSET(BD75,1,0,1,1)&lt;&gt;0,RZ[[#This Row],[Koeficient odhadu CR '[-'] (P1)]]*$BM75*SUMIFS(RZ[Úroveň 7 s koef. (P3)],RZ[0],AX75,RZ[Úroveň 2 (P0)],AY75,RZ[Úroveň 3 (P0)],AZ75,RZ[Úroveň 4 (P0)],BA75,RZ[Úroveň 5 (P0)],BB75,RZ[Úroveň 6 (P0)],BC75),RZ[[#This Row],[Koeficient odhadu CR '[-'] (P1)]]*$BM75*$IQ75)</f>
        <v>0</v>
      </c>
      <c r="EW75" s="140">
        <f ca="1">IF(OFFSET(BD75,1,0,1,1)&lt;&gt;0,$BM75*SUMIFS(RZ[Úroveň 7 bez koef. (P3)],RZ[0],AX75,RZ[Úroveň 2 (P0)],AY75,RZ[Úroveň 3 (P0)],AZ75,RZ[Úroveň 4 (P0)],BA75,RZ[Úroveň 5 (P0)],BB75,RZ[Úroveň 6 (P0)],BC75),$BM75*$IQ75)</f>
        <v>0</v>
      </c>
      <c r="EX75" s="135">
        <f ca="1">RZ[[#This Row],[Úroveň 7 s koef. (P3a)]]*RZ[[#This Row],[Počet MJCR (P0) pro "kg"]]</f>
        <v>0</v>
      </c>
      <c r="EY75" s="135">
        <f ca="1">RZ[Úroveň 7 bez koef. (P3a)]*RZ[[#This Row],[Počet MJCR (P0) pro "kg"]]</f>
        <v>0</v>
      </c>
      <c r="EZ75" s="135">
        <f ca="1">IF(OFFSET(BE75,1,0,1,1)&lt;&gt;0,RZ[[#This Row],[Koeficient odhadu CR '[-'] (P1)]]*$BN75*SUMIFS(RZ[Úroveň 8 s koef. (P3)],RZ[0],AX75,RZ[Úroveň 2 (P0)],AY75,RZ[Úroveň 3 (P0)],AZ75,RZ[Úroveň 4 (P0)],BA75,RZ[Úroveň 5 (P0)],BB75,RZ[Úroveň 6 (P0)],BC75,RZ[Úroveň 7 (P0)],BD75),RZ[[#This Row],[Koeficient odhadu CR '[-'] (P1)]]*$BN75*$IQ75)</f>
        <v>0</v>
      </c>
      <c r="FA75" s="135">
        <f ca="1">IF(OFFSET(BE75,1,0,1,1)&lt;&gt;0,$BN75*SUMIFS(RZ[Úroveň 8 bez koef. (P3)],RZ[0],AX75,RZ[Úroveň 2 (P0)],AY75,RZ[Úroveň 3 (P0)],AZ75,RZ[Úroveň 4 (P0)],BA75,RZ[Úroveň 5 (P0)],BB75,RZ[Úroveň 6 (P0)],BC75,RZ[Úroveň 7 (P0)],BD75),$BN75*$IQ75)</f>
        <v>0</v>
      </c>
      <c r="FB75" s="140">
        <f ca="1">RZ[[#This Row],[Úroveň 8 s koef. (P3a)]]*RZ[[#This Row],[Počet MJCR (P0) pro "kg"]]</f>
        <v>0</v>
      </c>
      <c r="FC75" s="140">
        <f ca="1">RZ[Úroveň 8 bez koef. (P3a)]*RZ[[#This Row],[Počet MJCR (P0) pro "kg"]]</f>
        <v>0</v>
      </c>
      <c r="FD75" s="140">
        <f ca="1">IF(OFFSET(BF75,1,0,1,1)&lt;&gt;0,RZ[[#This Row],[Koeficient odhadu CR '[-'] (P1)]]*$BO75*SUMIFS(RZ[Úroveň 9 s koef. (P3)],RZ[0],AX75,RZ[Úroveň 2 (P0)],AY75,RZ[Úroveň 3 (P0)],AZ75,RZ[Úroveň 4 (P0)],BA75,RZ[Úroveň 5 (P0)],BB75,RZ[Úroveň 6 (P0)],BC75,RZ[Úroveň 7 (P0)],BD75,RZ[Úroveň 8 (P0)],BE75),RZ[[#This Row],[Koeficient odhadu CR '[-'] (P1)]]*$BO75*$IQ75)</f>
        <v>0</v>
      </c>
      <c r="FE75" s="140">
        <f ca="1">IF(OFFSET(BF75,1,0,1,1)&lt;&gt;0,$BO75*SUMIFS(RZ[Úroveň 9 bez koef. (P3)],RZ[0],AX75,RZ[Úroveň 2 (P0)],AY75,RZ[Úroveň 3 (P0)],AZ75,RZ[Úroveň 4 (P0)],BA75,RZ[Úroveň 5 (P0)],BB75,RZ[Úroveň 6 (P0)],BC75,RZ[Úroveň 7 (P0)],BD75,RZ[Úroveň 8 (P0)],BE75),$BO75*$IQ75)</f>
        <v>0</v>
      </c>
      <c r="FF75" s="135">
        <f ca="1">RZ[[#This Row],[Úroveň 9 s koef. (P3a)]]*RZ[[#This Row],[Počet MJCR (P0) pro "kg"]]</f>
        <v>0</v>
      </c>
      <c r="FG75" s="135">
        <f ca="1">RZ[Úroveň 9 bez koef. (P3a)]*RZ[[#This Row],[Počet MJCR (P0) pro "kg"]]</f>
        <v>0</v>
      </c>
      <c r="FH75" s="135">
        <f ca="1">IF(OFFSET(BG75,1,0,1,1)&lt;&gt;0,RZ[[#This Row],[Koeficient odhadu CR '[-'] (P1)]]*$BP75*SUMIFS(RZ[Úroveň 10 s koef. (P3)],RZ[0],AX75,RZ[Úroveň 2 (P0)],AY75,RZ[Úroveň 3 (P0)],AZ75,RZ[Úroveň 4 (P0)],BA75,RZ[Úroveň 5 (P0)],BB75,RZ[Úroveň 6 (P0)],BC75,RZ[Úroveň 7 (P0)],BD75,RZ[Úroveň 8 (P0)],BE75,RZ[Úroveň 9 (P0)],BF75),RZ[[#This Row],[Koeficient odhadu CR '[-'] (P1)]]*$BP75*$IQ75)</f>
        <v>0</v>
      </c>
      <c r="FI75" s="135">
        <f ca="1">IF(OFFSET(BG75,1,0,1,1)&lt;&gt;0,$BP75*SUMIFS(RZ[Úroveň 10 bez koef. (P3)],RZ[0],AX75,RZ[Úroveň 2 (P0)],AY75,RZ[Úroveň 3 (P0)],AZ75,RZ[Úroveň 4 (P0)],BA75,RZ[Úroveň 5 (P0)],BB75,RZ[Úroveň 6 (P0)],BC75,RZ[Úroveň 7 (P0)],BD75,RZ[Úroveň 8 (P0)],BE75,RZ[Úroveň 9 (P0)],BF75),$BP75*$IQ75)</f>
        <v>0</v>
      </c>
      <c r="FJ75" s="140">
        <f ca="1">RZ[[#This Row],[Úroveň 10 s koef. (P3a)]]*RZ[[#This Row],[Počet MJCR (P0) pro "kg"]]</f>
        <v>0</v>
      </c>
      <c r="FK75" s="140">
        <f ca="1">RZ[Úroveň 10 bez koef. (P3a)]*RZ[[#This Row],[Počet MJCR (P0) pro "kg"]]</f>
        <v>0</v>
      </c>
      <c r="FL75" s="140">
        <f ca="1">RZ[[#This Row],[Koeficient odhadu CR '[-'] (P1)]]*$BQ75*IQ75</f>
        <v>0</v>
      </c>
      <c r="FM75" s="236">
        <f t="shared" ca="1" si="536"/>
        <v>0</v>
      </c>
      <c r="FN75" s="194">
        <f t="shared" ca="1" si="537"/>
        <v>140</v>
      </c>
      <c r="FO75" s="238">
        <f t="shared" ca="1" si="538"/>
        <v>140</v>
      </c>
      <c r="FP75" s="135">
        <f t="shared" ca="1" si="539"/>
        <v>0</v>
      </c>
      <c r="FQ75" s="135">
        <f t="shared" ca="1" si="540"/>
        <v>0</v>
      </c>
      <c r="FR75" s="135">
        <f t="shared" ca="1" si="541"/>
        <v>3599</v>
      </c>
      <c r="FS75" s="135">
        <f t="shared" ca="1" si="542"/>
        <v>0</v>
      </c>
      <c r="FT75" s="135">
        <f t="shared" ca="1" si="543"/>
        <v>0</v>
      </c>
      <c r="FU75" s="135">
        <f t="shared" ca="1" si="544"/>
        <v>0</v>
      </c>
      <c r="FV75" s="135">
        <f t="shared" ca="1" si="545"/>
        <v>0</v>
      </c>
      <c r="FW75" s="135">
        <f t="shared" ca="1" si="546"/>
        <v>0</v>
      </c>
      <c r="FX75" s="135">
        <f t="shared" ca="1" si="547"/>
        <v>0</v>
      </c>
      <c r="FY75" s="135">
        <f t="shared" ca="1" si="548"/>
        <v>0</v>
      </c>
      <c r="FZ75" s="140">
        <f ca="1">SUMIFS(RZ[Úroveň 1 (P6)],RZ[0],AX75)</f>
        <v>1</v>
      </c>
      <c r="GA75" s="140">
        <f ca="1">SUMIFS(RZ[Úroveň 2 (P6)],RZ[0],AX75,RZ[Úroveň 2 (P0)],AY75)</f>
        <v>1</v>
      </c>
      <c r="GB75" s="140">
        <f ca="1">SUMIFS(RZ[Úroveň 3 (P6)],RZ[0],AX75,RZ[Úroveň 2 (P0)],AY75,RZ[Úroveň 3 (P0)],AZ75)</f>
        <v>3599</v>
      </c>
      <c r="GC75" s="140">
        <f ca="1">SUMIFS(RZ[Úroveň 4 (P6)],RZ[0],AX75,RZ[Úroveň 2 (P0)],AY75,RZ[Úroveň 3 (P0)],AZ75,RZ[Úroveň 4 (P0)],BA75)</f>
        <v>0</v>
      </c>
      <c r="GD75" s="140">
        <f ca="1">SUMIFS(RZ[Úroveň 5 (P6)],RZ[0],AX75,RZ[Úroveň 2 (P0)],AY75,RZ[Úroveň 3 (P0)],AZ75,RZ[Úroveň 4 (P0)],BA75,RZ[Úroveň 5 (P0)],BB75)</f>
        <v>0</v>
      </c>
      <c r="GE75" s="140">
        <f ca="1">SUMIFS(RZ[Úroveň 6 (P6)],RZ[0],AX75,RZ[Úroveň 2 (P0)],AY75,RZ[Úroveň 3 (P0)],AZ75,RZ[Úroveň 4 (P0)],BA75,RZ[Úroveň 5 (P0)],BB75,RZ[Úroveň 6 (P0)],BC75)</f>
        <v>0</v>
      </c>
      <c r="GF75" s="140">
        <f ca="1">SUMIFS(RZ[Úroveň 7 (P6)],RZ[0],AX75,RZ[Úroveň 2 (P0)],AY75,RZ[Úroveň 3 (P0)],AZ75,RZ[Úroveň 4 (P0)],BA75,RZ[Úroveň 5 (P0)],BB75,RZ[Úroveň 6 (P0)],BC75,RZ[Úroveň 7 (P0)],BD75)</f>
        <v>0</v>
      </c>
      <c r="GG75" s="140">
        <f ca="1">SUMIFS(RZ[Úroveň 8 (P6)],RZ[0],AX75,RZ[Úroveň 2 (P0)],AY75,RZ[Úroveň 3 (P0)],AZ75,RZ[Úroveň 4 (P0)],BA75,RZ[Úroveň 5 (P0)],BB75,RZ[Úroveň 6 (P0)],BC75,RZ[Úroveň 7 (P0)],BD75,RZ[Úroveň 8 (P0)],BE75)</f>
        <v>0</v>
      </c>
      <c r="GH75" s="140">
        <f ca="1">SUMIFS(RZ[Úroveň 9 (P6)],RZ[0],AX75,RZ[Úroveň 2 (P0)],AY75,RZ[Úroveň 3 (P0)],AZ75,RZ[Úroveň 4 (P0)],BA75,RZ[Úroveň 5 (P0)],BB75,RZ[Úroveň 6 (P0)],BC75,RZ[Úroveň 7 (P0)],BD75,RZ[Úroveň 8 (P0)],BE75,RZ[Úroveň 9 (P0)],BF75)</f>
        <v>0</v>
      </c>
      <c r="GI75" s="140">
        <f ca="1">SUMIFS(RZ[Úroveň 10 (P6)],RZ[0],AX75,RZ[Úroveň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GJ75" s="918">
        <f t="shared" ca="1" si="549"/>
        <v>3599</v>
      </c>
      <c r="GK75" s="808">
        <f t="shared" si="550"/>
        <v>0</v>
      </c>
      <c r="GL75" s="808">
        <f t="shared" si="551"/>
        <v>0</v>
      </c>
      <c r="GM75" s="808">
        <f t="shared" si="552"/>
        <v>1</v>
      </c>
      <c r="GN75" s="808">
        <f t="shared" si="553"/>
        <v>0</v>
      </c>
      <c r="GO75" s="808">
        <f t="shared" si="554"/>
        <v>0</v>
      </c>
      <c r="GP75" s="808">
        <f t="shared" si="555"/>
        <v>0</v>
      </c>
      <c r="GQ75" s="808">
        <f t="shared" si="556"/>
        <v>0</v>
      </c>
      <c r="GR75" s="808">
        <f t="shared" si="557"/>
        <v>0</v>
      </c>
      <c r="GS75" s="808">
        <f t="shared" si="558"/>
        <v>0</v>
      </c>
      <c r="GT75" s="808">
        <f t="shared" si="559"/>
        <v>0</v>
      </c>
      <c r="GU75" s="809">
        <f ca="1">SUMIFS(RZ[Sloupec1],RZ[0],AX75)</f>
        <v>1</v>
      </c>
      <c r="GV75" s="809">
        <f ca="1">SUMIFS(RZ[Sloupec2],RZ[0],AX75,RZ[Úroveň 2 (P0)],AY75)</f>
        <v>1</v>
      </c>
      <c r="GW75" s="809">
        <f ca="1">SUMIFS(RZ[Sloupec3],RZ[0],AX75,RZ[Úroveň 2 (P0)],AY75,RZ[Úroveň 3 (P0)],AZ75)</f>
        <v>1</v>
      </c>
      <c r="GX75" s="809">
        <f ca="1">SUMIFS(RZ[Sloupec4],RZ[0],AX75,RZ[Úroveň 2 (P0)],AY75,RZ[Úroveň 3 (P0)],AZ75,RZ[Úroveň 4 (P0)],BA75)</f>
        <v>0</v>
      </c>
      <c r="GY75" s="809">
        <f ca="1">SUMIFS(RZ[Sloupec5],RZ[0],AX75,RZ[Úroveň 2 (P0)],AY75,RZ[Úroveň 3 (P0)],AZ75,RZ[Úroveň 4 (P0)],BA75,RZ[Úroveň 5 (P0)],BB75)</f>
        <v>0</v>
      </c>
      <c r="GZ75" s="809">
        <f ca="1">SUMIFS(RZ[Sloupec6],RZ[0],AX75,RZ[Úroveň 2 (P0)],AY75,RZ[Úroveň 3 (P0)],AZ75,RZ[Úroveň 4 (P0)],BA75,RZ[Úroveň 5 (P0)],BB75,RZ[Úroveň 6 (P0)],BC75)</f>
        <v>0</v>
      </c>
      <c r="HA75" s="809">
        <f ca="1">SUMIFS(RZ[Sloupec62],RZ[0],AX75,RZ[Úroveň 2 (P0)],AY75,RZ[Úroveň 3 (P0)],AZ75,RZ[Úroveň 4 (P0)],BA75,RZ[Úroveň 5 (P0)],BB75,RZ[Úroveň 6 (P0)],BC75,RZ[Úroveň 7 (P0)],BD75)</f>
        <v>0</v>
      </c>
      <c r="HB75" s="809">
        <f ca="1">SUMIFS(RZ[Sloupec63],RZ[0],AX75,RZ[Úroveň 2 (P0)],AY75,RZ[Úroveň 3 (P0)],AZ75,RZ[Úroveň 4 (P0)],BA75,RZ[Úroveň 5 (P0)],BB75,RZ[Úroveň 6 (P0)],BC75,RZ[Úroveň 7 (P0)],BD75,RZ[Úroveň 8 (P0)],BE75)</f>
        <v>0</v>
      </c>
      <c r="HC75" s="809">
        <f ca="1">SUMIFS(RZ[Sloupec64],RZ[0],AX75,RZ[Úroveň 2 (P0)],AY75,RZ[Úroveň 3 (P0)],AZ75,RZ[Úroveň 4 (P0)],BA75,RZ[Úroveň 5 (P0)],BB75,RZ[Úroveň 6 (P0)],BC75,RZ[Úroveň 7 (P0)],BD75,RZ[Úroveň 8 (P0)],BE75,RZ[Úroveň 9 (P0)],BF75)</f>
        <v>0</v>
      </c>
      <c r="HD75" s="809">
        <f ca="1">SUMIFS(RZ[Sloupec65],RZ[0],AX75,RZ[Úroveň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HE75" s="919">
        <f t="shared" ca="1" si="560"/>
        <v>1</v>
      </c>
      <c r="HF75" s="920" t="str">
        <f t="shared" si="561"/>
        <v/>
      </c>
      <c r="HG75" s="94" t="str">
        <f t="shared" si="562"/>
        <v/>
      </c>
      <c r="HH75" s="95" t="str">
        <f t="shared" si="563"/>
        <v/>
      </c>
      <c r="HI75" s="95" t="str">
        <f t="shared" si="564"/>
        <v>Rám</v>
      </c>
      <c r="HJ75" s="96" t="str">
        <f t="shared" si="565"/>
        <v/>
      </c>
      <c r="HK75" s="96" t="str">
        <f t="shared" si="566"/>
        <v/>
      </c>
      <c r="HL75" s="96" t="str">
        <f t="shared" si="567"/>
        <v/>
      </c>
      <c r="HM75" s="96" t="str">
        <f t="shared" si="568"/>
        <v/>
      </c>
      <c r="HN75" s="96" t="str">
        <f t="shared" si="569"/>
        <v/>
      </c>
      <c r="HO75" s="96" t="str">
        <f t="shared" si="570"/>
        <v/>
      </c>
      <c r="HP75" s="96" t="str">
        <f t="shared" si="571"/>
        <v/>
      </c>
      <c r="HQ75" s="145" t="str">
        <f t="shared" si="572"/>
        <v>OKS1</v>
      </c>
      <c r="HR75" s="921" t="str">
        <f t="shared" si="573"/>
        <v/>
      </c>
      <c r="HS75" s="173">
        <f t="shared" si="574"/>
        <v>0</v>
      </c>
      <c r="HT75" s="100">
        <f t="shared" si="575"/>
        <v>0</v>
      </c>
      <c r="HU75" s="100">
        <f t="shared" si="576"/>
        <v>0</v>
      </c>
      <c r="HV75" s="908">
        <f t="shared" si="577"/>
        <v>0</v>
      </c>
      <c r="HW75" s="922">
        <f t="shared" si="578"/>
        <v>0</v>
      </c>
      <c r="HX75" s="224">
        <f t="shared" si="579"/>
        <v>0</v>
      </c>
      <c r="HY75" s="263" t="str">
        <f t="shared" si="580"/>
        <v>S</v>
      </c>
      <c r="HZ75" s="263">
        <f t="shared" si="581"/>
        <v>0</v>
      </c>
      <c r="IA75" s="150">
        <f t="shared" si="582"/>
        <v>1</v>
      </c>
      <c r="IB75" s="319">
        <f t="shared" si="583"/>
        <v>0</v>
      </c>
      <c r="IC75" s="923">
        <f t="shared" si="584"/>
        <v>0</v>
      </c>
      <c r="ID75" s="924" t="str">
        <f t="shared" ca="1" si="585"/>
        <v>OK</v>
      </c>
      <c r="IE75" s="201" t="str">
        <f t="shared" si="586"/>
        <v>ks</v>
      </c>
      <c r="IF75" s="145">
        <f t="shared" si="587"/>
        <v>1</v>
      </c>
      <c r="IG75" s="216">
        <f t="shared" si="588"/>
        <v>3599</v>
      </c>
      <c r="IH75" s="217">
        <f t="shared" si="589"/>
        <v>1</v>
      </c>
      <c r="II75" s="224" t="str">
        <f ca="1">IF(RZ[[#This Row],[Rozhodný sloupec indikativní ceny]]=1,"kg",IF($IW75=$JL$15,IF(JX75=0,JO75,JX75),IF($IW75=$KE$15,IF(KQ75=0,KH75,KQ75),IF($IW75=$KX$15,IF(LJ75=0,LA75,LJ75),IF($IW75=$LQ$15,IF(MC75=0,LT75,MC75),IF($IW75=$MJ$15,IF(NQ75=0,NH75,NQ75),0))))))</f>
        <v>kg</v>
      </c>
      <c r="IJ75" s="224">
        <f ca="1">IF((BH75+OFFSET(BH75,1,1,1,1))=2,RZ[[#This Row],[Počet MJHR (P0)]],IF((BI75+OFFSET(BI75,1,1,1,1))=2,RZ[[#This Row],[Počet MJHR (P0)]],IF((BJ75+OFFSET(BJ75,1,1,1,1))=2,RZ[[#This Row],[Počet MJHR (P0)]],IF((BK75+OFFSET(BK75,1,1,1,1))=2,RZ[[#This Row],[Počet MJHR (P0)]],IF((BL75+OFFSET(BL75,1,1,1,1))=2,RZ[[#This Row],[Počet MJHR (P0)]],IF((BM75+OFFSET(BM75,1,1,1,1))=2,RZ[[#This Row],[Počet MJHR (P0)]],IF((BN75+OFFSET(BN75,1,1,1,1))=2,RZ[[#This Row],[Počet MJHR (P0)]],IF((BO75+OFFSET(BO75,1,1,1,1))=2,RZ[[#This Row],[Počet MJHR (P0)]],IF((BP75+OFFSET(BP75,1,1,1,1))=2,RZ[[#This Row],[Počet MJHR (P0)]],IF((BQ75+OFFSET(BQ75,1,1,1,1))=2,RZ[[#This Row],[Počet MJHR (P0)]],IF(RZ[[#This Row],[Měrná jednotka CR (MJCR) (P0)]]=RZ[[#This Row],[Měrná jednotka HR '[MJHR'] (P0)]],RZ[[#This Row],[Počet MJHR (P0)]],IF($IW75=$JL$15,JY75,IF($IW75=$KE$15,KR75,IF($IW75=$KX$15,LK75,IF($IW75=$LQ$15,MD75,IF($IW75=$MJ$15,NR75,0))))))))))))))))</f>
        <v>0</v>
      </c>
      <c r="IK7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</v>
      </c>
      <c r="IL75" s="145">
        <f ca="1">IF(AND(RZ[[#This Row],[Jednotková cena bez DPH '[cena/MJCR'] (P0)]]=0,RZ[[#This Row],[Indikativní jednotková cena '[CZK/kg'] (P1)]]&lt;&gt;0),1,0)</f>
        <v>1</v>
      </c>
      <c r="IM75" s="217">
        <f ca="1">VLOOKUP(RZ[[#This Row],[Kód položek]],INDIKAT_CENA,2,FALSE)</f>
        <v>140</v>
      </c>
      <c r="IN75" s="222">
        <f ca="1">IF(RZ[[#This Row],[Rozhodný sloupec indikativní ceny]]=1,RZ[[#This Row],[Indikativní jednotková cena '[CZK/kg'] (P1)]],RZ[[#This Row],[Jednotková cena bez DPH '[cena/MJCR'] (P0)]])</f>
        <v>140</v>
      </c>
      <c r="IO75" s="222">
        <f t="shared" si="590"/>
        <v>1</v>
      </c>
      <c r="IP75" s="224">
        <f ca="1">IF(RZ[[#This Row],[Rozhodný sloupec indikativní ceny]]=1,1,IF($IW75=$JL$15,KA75,IF($IW75=$KE$15,KT75,IF($IW75=$KX$15,LM75,IF($IW75=$LQ$15,MF75,IF($IW75=$MJ$15,NT75,0))))))</f>
        <v>1</v>
      </c>
      <c r="IQ75" s="225">
        <f ca="1">IF(RZ[[#This Row],[Jednotková cena bez DPH '[cena/MJCR'] (P1)]]="",0,IF(IP75=0,0,(RZ[[#This Row],[Jednotková cena bez DPH '[cena/MJCR'] (P1)]]*VLOOKUP(IP75,$BR$7:$BT$10,3))))</f>
        <v>140</v>
      </c>
      <c r="IR75" s="737"/>
      <c r="IS75" s="627">
        <f>IF(HY75=0,"",VLOOKUP(RZ[[#This Row],[Stav Projekce (P0)]],Vstupy!$E$11:'Vstupy'!$E$11:$H$17,4,FALSE))</f>
        <v>100</v>
      </c>
      <c r="IT75" s="925" t="str">
        <f>IF(RZ[[#This Row],[Stav Projekce (P0)]]=0,"",RZ[[#This Row],[Stav Projekce (P0)]])</f>
        <v>S</v>
      </c>
      <c r="IU75" s="925" t="str">
        <f>IF(RZ[[#This Row],[Stav Nákup (P0)]]=0,"",RZ[[#This Row],[Stav Nákup (P0)]])</f>
        <v/>
      </c>
      <c r="IV75" s="926" t="str">
        <f t="shared" si="591"/>
        <v/>
      </c>
      <c r="IW75" s="641">
        <v>1</v>
      </c>
      <c r="IX75" s="630"/>
      <c r="IY75" s="264"/>
      <c r="IZ75" s="648"/>
      <c r="JA75" s="100"/>
      <c r="JB75" s="100" t="s">
        <v>743</v>
      </c>
      <c r="JC75" s="100"/>
      <c r="JD75" s="100"/>
      <c r="JE75" s="100"/>
      <c r="JF75" s="100"/>
      <c r="JG75" s="100"/>
      <c r="JH75" s="100"/>
      <c r="JI75" s="100"/>
      <c r="JJ75" s="145" t="s">
        <v>764</v>
      </c>
      <c r="JK75" s="529"/>
      <c r="JL75" s="286"/>
      <c r="JM75" s="100"/>
      <c r="JN75" s="100"/>
      <c r="JO75" s="145" t="s">
        <v>35</v>
      </c>
      <c r="JP75" s="117">
        <v>1</v>
      </c>
      <c r="JQ75" s="117">
        <v>3599</v>
      </c>
      <c r="JR75" s="148">
        <v>1</v>
      </c>
      <c r="JS75" s="145" t="s">
        <v>602</v>
      </c>
      <c r="JT75" s="631"/>
      <c r="JU75" s="148"/>
      <c r="JV75" s="154"/>
      <c r="JW75" s="145"/>
      <c r="JX75" s="210"/>
      <c r="JY75" s="117"/>
      <c r="JZ75" s="662"/>
      <c r="KA75" s="145"/>
      <c r="KB75" s="148"/>
      <c r="KC75" s="148"/>
      <c r="KD75" s="644"/>
      <c r="KE75" s="286"/>
      <c r="KF75" s="100"/>
      <c r="KG75" s="100"/>
      <c r="KH75" s="210"/>
      <c r="KI75" s="117"/>
      <c r="KJ75" s="117"/>
      <c r="KK75" s="148"/>
      <c r="KL75" s="145"/>
      <c r="KM75" s="632"/>
      <c r="KN75" s="148"/>
      <c r="KO75" s="154"/>
      <c r="KP75" s="154"/>
      <c r="KQ75" s="210"/>
      <c r="KR75" s="117"/>
      <c r="KS75" s="211"/>
      <c r="KT75" s="145"/>
      <c r="KU75" s="148"/>
      <c r="KV75" s="148"/>
      <c r="KW75" s="265"/>
      <c r="KX75" s="286"/>
      <c r="KY75" s="100"/>
      <c r="KZ75" s="100"/>
      <c r="LA75" s="210"/>
      <c r="LB75" s="117"/>
      <c r="LC75" s="117"/>
      <c r="LD75" s="148"/>
      <c r="LE75" s="145"/>
      <c r="LF75" s="632"/>
      <c r="LG75" s="148"/>
      <c r="LH75" s="154"/>
      <c r="LI75" s="154"/>
      <c r="LJ75" s="154"/>
      <c r="LK75" s="117"/>
      <c r="LL75" s="211"/>
      <c r="LM75" s="210"/>
      <c r="LN75" s="148"/>
      <c r="LO75" s="148"/>
      <c r="LP75" s="265"/>
      <c r="LQ75" s="286"/>
      <c r="LR75" s="100"/>
      <c r="LS75" s="100"/>
      <c r="LT75" s="210"/>
      <c r="LU75" s="117"/>
      <c r="LV75" s="117"/>
      <c r="LW75" s="148"/>
      <c r="LX75" s="145"/>
      <c r="LY75" s="632"/>
      <c r="LZ75" s="148"/>
      <c r="MA75" s="154"/>
      <c r="MB75" s="154"/>
      <c r="MC75" s="145"/>
      <c r="MD75" s="117"/>
      <c r="ME75" s="211"/>
      <c r="MF75" s="210"/>
      <c r="MG75" s="148"/>
      <c r="MH75" s="148"/>
      <c r="MI75" s="265"/>
      <c r="MJ75" s="647"/>
      <c r="MK75" s="264"/>
      <c r="ML75" s="153"/>
      <c r="MM75" s="153"/>
      <c r="MN75" s="153"/>
      <c r="MO75" s="153"/>
      <c r="MP75" s="153"/>
      <c r="MQ75" s="153"/>
      <c r="MR75" s="153"/>
      <c r="MS75" s="99"/>
      <c r="MT75" s="99"/>
      <c r="MU75" s="99"/>
      <c r="MV75" s="99"/>
      <c r="MW75" s="99"/>
      <c r="MX75" s="99"/>
      <c r="MY75" s="153"/>
      <c r="MZ75" s="153"/>
      <c r="NA75" s="153"/>
      <c r="NB75" s="153"/>
      <c r="NC75" s="153"/>
      <c r="ND75" s="153"/>
      <c r="NE75" s="148"/>
      <c r="NF75" s="153"/>
      <c r="NG75" s="153"/>
      <c r="NH75" s="330" t="str">
        <f t="shared" si="592"/>
        <v>ks</v>
      </c>
      <c r="NI75" s="797">
        <f>RZ[[#This Row],[Počet ks (K)]]</f>
        <v>0</v>
      </c>
      <c r="NJ75" s="798">
        <f>RZ[[#This Row],[Hmotnost '[kg/ks'] (K)]]</f>
        <v>0</v>
      </c>
      <c r="NK75" s="148"/>
      <c r="NL75" s="145"/>
      <c r="NM75" s="632"/>
      <c r="NN75" s="148"/>
      <c r="NO75" s="154"/>
      <c r="NP75" s="153"/>
      <c r="NQ75" s="153"/>
      <c r="NR75" s="210"/>
      <c r="NS75" s="148"/>
      <c r="NT75" s="210"/>
      <c r="NU75" s="148"/>
      <c r="NV75" s="148"/>
      <c r="NW75" s="175"/>
    </row>
    <row r="76" spans="2:387" ht="15.95" customHeight="1" x14ac:dyDescent="0.35">
      <c r="B76" s="118" t="str">
        <f t="shared" si="476"/>
        <v/>
      </c>
      <c r="C7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6" s="262" t="str">
        <f t="shared" si="477"/>
        <v xml:space="preserve">    Nosník</v>
      </c>
      <c r="E76" s="120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Row],[Kód položek (P2)]]))))))))))</f>
        <v>OKS1</v>
      </c>
      <c r="F76" s="791" t="str">
        <f t="shared" si="478"/>
        <v>N/A</v>
      </c>
      <c r="G76" s="792" t="str">
        <f t="shared" si="479"/>
        <v/>
      </c>
      <c r="H76" s="262" t="str">
        <f t="shared" si="480"/>
        <v/>
      </c>
      <c r="I76" s="123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HR '[MJHR'] (P0)]]))))))))))</f>
        <v>ks</v>
      </c>
      <c r="J76" s="123">
        <f t="shared" si="481"/>
        <v>2</v>
      </c>
      <c r="K76" s="793">
        <f>RZ[[#This Row],[Koeficient odhadu HR '[-'] (P1)]]</f>
        <v>1</v>
      </c>
      <c r="L76" s="124">
        <f ca="1">RZ[[#This Row],[Jednotková hmotnost s koef. '[kg/MJHR'] (P0)]]</f>
        <v>510</v>
      </c>
      <c r="M76" s="794">
        <f t="shared" ca="1" si="482"/>
        <v>0</v>
      </c>
      <c r="N76" s="125">
        <f t="shared" ca="1" si="483"/>
        <v>1020</v>
      </c>
      <c r="O76" s="125">
        <f t="shared" ca="1" si="484"/>
        <v>0</v>
      </c>
      <c r="P76" s="126" t="str">
        <f t="shared" si="485"/>
        <v/>
      </c>
      <c r="Q76" s="795">
        <f ca="1">RZ[[#This Row],[Počet MJHR v rozpadu (P0)]]</f>
        <v>2</v>
      </c>
      <c r="R76" s="439" t="str">
        <f t="shared" si="486"/>
        <v/>
      </c>
      <c r="S76" s="129" t="str">
        <f t="shared" si="487"/>
        <v/>
      </c>
      <c r="T76" s="126" t="str">
        <f t="shared" si="488"/>
        <v/>
      </c>
      <c r="U76" s="126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CR (MJCR) (P0)]]))))))))))</f>
        <v>kg</v>
      </c>
      <c r="V76" s="575">
        <f t="shared" ca="1" si="489"/>
        <v>1020</v>
      </c>
      <c r="W76" s="322">
        <f>RZ[[#This Row],[Koeficient odhadu CR '[-'] (P1)]]</f>
        <v>1</v>
      </c>
      <c r="X76" s="440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Row],[Jednotková cena bez DPH '[cena/MJCR'] (P1)]]*RZ[[#This Row],[Koeficient odhadu CR '[-']]]))))))))))</f>
        <v>140</v>
      </c>
      <c r="Y76" s="440">
        <f t="shared" ca="1" si="490"/>
        <v>0</v>
      </c>
      <c r="Z76" s="142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VLOOKUP(IP76,$BR$7:$BS$11,2,FALSE)))))))))))</f>
        <v>CZK</v>
      </c>
      <c r="AA76" s="909">
        <f t="shared" ca="1" si="491"/>
        <v>1020</v>
      </c>
      <c r="AB76" s="910">
        <f ca="1">RZ[[#This Row],[Kumulovaný koeficient v rozpadu (P0)]]</f>
        <v>1</v>
      </c>
      <c r="AC76" s="261"/>
      <c r="AD76" s="796">
        <f ca="1">RZ[[#This Row],[Jednotková cena bez DPH '[cena/MJCR'] s koef. (P0)]]/RZ[[#This Row],[Koeficient odhadu CR '[-']]]*RZ[[#This Row],[Kumulovaný koeficient odhadu CR  '[-']]]</f>
        <v>140</v>
      </c>
      <c r="AE76" s="796">
        <f t="shared" ca="1" si="492"/>
        <v>142800</v>
      </c>
      <c r="AF76" s="796">
        <f ca="1">-IF(ISNUMBER(AA76),RZ[[#This Row],[Celková cena bez DPH (1)]]-RZ[[#This Row],[Jednotková cena bez DPH '[cena/MJCR'] bez koef. (P0)]]*AA76,0)</f>
        <v>0</v>
      </c>
      <c r="AG7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6" s="261"/>
      <c r="AI76" s="796">
        <f t="shared" ca="1" si="493"/>
        <v>5.1851851851851851</v>
      </c>
      <c r="AJ76" s="796">
        <f t="shared" ca="1" si="494"/>
        <v>5288.8888888888887</v>
      </c>
      <c r="AK76" s="796">
        <f t="shared" ca="1" si="495"/>
        <v>0</v>
      </c>
      <c r="AL76" s="753">
        <f ca="1">RZ[[#This Row],[Kilogramová cena bez DPH '[cena/kg'] (1)]]/$AK$13</f>
        <v>5.1851851851851851</v>
      </c>
      <c r="AM76" s="261"/>
      <c r="AN76" s="796">
        <f t="shared" ca="1" si="496"/>
        <v>6.7632850241545892</v>
      </c>
      <c r="AO76" s="796">
        <f t="shared" ca="1" si="497"/>
        <v>6898.550724637681</v>
      </c>
      <c r="AP76" s="796">
        <f t="shared" ca="1" si="498"/>
        <v>0</v>
      </c>
      <c r="AQ76" s="753">
        <f ca="1">RZ[[#This Row],[Kilogramová cena bez DPH '[cena/kg'] (1)]]/$AP$13</f>
        <v>6.7632850241545892</v>
      </c>
      <c r="AR76" s="261"/>
      <c r="AS76" s="796">
        <f t="shared" ca="1" si="499"/>
        <v>3.8293216630196936</v>
      </c>
      <c r="AT76" s="796">
        <f t="shared" ca="1" si="500"/>
        <v>3905.9080962800872</v>
      </c>
      <c r="AU76" s="789">
        <f t="shared" ca="1" si="501"/>
        <v>0</v>
      </c>
      <c r="AV76" s="767">
        <f ca="1">RZ[[#This Row],[Kilogramová cena bez DPH '[cena/kg'] (1)]]/$AU$13</f>
        <v>3.8293216630196936</v>
      </c>
      <c r="AW76" s="165"/>
      <c r="AX76" s="911">
        <f t="shared" ca="1" si="502"/>
        <v>2</v>
      </c>
      <c r="AY76" s="111">
        <f t="shared" ca="1" si="503"/>
        <v>3</v>
      </c>
      <c r="AZ76" s="111">
        <f t="shared" ca="1" si="504"/>
        <v>3</v>
      </c>
      <c r="BA76" s="111">
        <f t="shared" ca="1" si="505"/>
        <v>0</v>
      </c>
      <c r="BB76" s="111">
        <f t="shared" ca="1" si="506"/>
        <v>0</v>
      </c>
      <c r="BC76" s="111">
        <f t="shared" ca="1" si="507"/>
        <v>0</v>
      </c>
      <c r="BD76" s="111">
        <f t="shared" ca="1" si="508"/>
        <v>0</v>
      </c>
      <c r="BE76" s="111">
        <f t="shared" ca="1" si="509"/>
        <v>0</v>
      </c>
      <c r="BF76" s="111">
        <f t="shared" ca="1" si="510"/>
        <v>0</v>
      </c>
      <c r="BG76" s="112">
        <f t="shared" ca="1" si="511"/>
        <v>0</v>
      </c>
      <c r="BH76" s="911">
        <f t="shared" si="512"/>
        <v>0</v>
      </c>
      <c r="BI76" s="111">
        <f t="shared" si="513"/>
        <v>0</v>
      </c>
      <c r="BJ76" s="111">
        <f t="shared" si="514"/>
        <v>1</v>
      </c>
      <c r="BK76" s="111">
        <f t="shared" si="515"/>
        <v>0</v>
      </c>
      <c r="BL76" s="111">
        <f t="shared" si="516"/>
        <v>0</v>
      </c>
      <c r="BM76" s="111">
        <f t="shared" si="517"/>
        <v>0</v>
      </c>
      <c r="BN76" s="111">
        <f t="shared" si="518"/>
        <v>0</v>
      </c>
      <c r="BO76" s="111">
        <f t="shared" si="519"/>
        <v>0</v>
      </c>
      <c r="BP76" s="111">
        <f t="shared" si="520"/>
        <v>0</v>
      </c>
      <c r="BQ76" s="112">
        <f t="shared" si="521"/>
        <v>0</v>
      </c>
      <c r="BR76" s="132">
        <f ca="1">IF(OFFSET(AY76,1,0,1,1)&lt;&gt;0,RZ[[#This Row],[Koeficient odhadu HR '[-'] (P1)]]*$BH76*SUMIFS(RZ[Úroveň 2 s koef. (P2)],RZ[0],AX76),RZ[[#This Row],[Koeficient odhadu HR '[-'] (P1)]]*$BH76*$IG76)</f>
        <v>0</v>
      </c>
      <c r="BS76" s="186">
        <f ca="1">IF(OFFSET(AY76,1,0,1,1)&lt;&gt;0,$BH76*SUMIFS(RZ[Úroveň 2 bez koef. (P2)],RZ[0],AX76),$BH76*$IG76)</f>
        <v>0</v>
      </c>
      <c r="BT76" s="138">
        <f ca="1">RZ[[#This Row],[Úroveň 2 s koef. (P2a)]]*RZ[[#This Row],[Počet MJHR (P0)]]</f>
        <v>0</v>
      </c>
      <c r="BU76" s="138">
        <f ca="1">RZ[[#This Row],[Úroveň 2 bez koef. (P2a)]]*RZ[[#This Row],[Počet MJHR (P0)]]</f>
        <v>0</v>
      </c>
      <c r="BV76" s="138">
        <f ca="1">IF(OFFSET(AZ76,1,0,1,1)&lt;&gt;0,RZ[[#This Row],[Koeficient odhadu HR '[-'] (P1)]]*$BI76*SUMIFS(RZ[Úroveň 3 s koef. (P2)],RZ[0],AX76,RZ[Úroveň 2 (P0)],AY76),RZ[[#This Row],[Koeficient odhadu HR '[-'] (P1)]]*$BI76*$IG76)</f>
        <v>0</v>
      </c>
      <c r="BW76" s="138">
        <f ca="1">IF(OFFSET(AZ76,1,0,1,1)&lt;&gt;0,$BI76*SUMIFS(RZ[Úroveň 3 bez koef. (P2)],RZ[0],AX76,RZ[Úroveň 2 (P0)],AY76),$BI76*$IG76)</f>
        <v>0</v>
      </c>
      <c r="BX76" s="132">
        <f ca="1">RZ[[#This Row],[Úroveň 3 s koef. (P2a)]]*RZ[[#This Row],[Počet MJHR (P0)]]</f>
        <v>1020</v>
      </c>
      <c r="BY76" s="132">
        <f ca="1">RZ[Úroveň 3 bez koef. (P2a)]*RZ[[#This Row],[Počet MJHR (P0)]]</f>
        <v>1020</v>
      </c>
      <c r="BZ76" s="132">
        <f ca="1">IF(OFFSET(BA76,1,0,1,1)&lt;&gt;0,RZ[[#This Row],[Koeficient odhadu HR '[-'] (P1)]]*$BJ76*SUMIFS(RZ[Úroveň 4 s koef. (P2)],RZ[0],AX76,RZ[Úroveň 2 (P0)],AY76,RZ[Úroveň 3 (P0)],AZ76),RZ[[#This Row],[Koeficient odhadu HR '[-'] (P1)]]*$BJ76*$IG76)</f>
        <v>510</v>
      </c>
      <c r="CA76" s="132">
        <f ca="1">IF(OFFSET(BA76,1,0,1,1)&lt;&gt;0,$BJ76*SUMIFS(RZ[Úroveň 4 bez koef. (P2)],RZ[0],AX76,RZ[Úroveň 2 (P0)],AY76,RZ[Úroveň 3 (P0)],AZ76),$BJ76*$IG76)</f>
        <v>510</v>
      </c>
      <c r="CB76" s="138">
        <f ca="1">RZ[[#This Row],[Úroveň 4 s koef. (P2a)]]*RZ[[#This Row],[Počet MJHR (P0)]]</f>
        <v>0</v>
      </c>
      <c r="CC76" s="138">
        <f ca="1">RZ[Úroveň 4 bez koef. (P2a)]*RZ[[#This Row],[Počet MJHR (P0)]]</f>
        <v>0</v>
      </c>
      <c r="CD76" s="138">
        <f ca="1">IF(OFFSET(BB76,1,0,1,1)&lt;&gt;0,RZ[[#This Row],[Koeficient odhadu HR '[-'] (P1)]]*$BK76*SUMIFS(RZ[Úroveň 5 s koef. (P2)],RZ[0],AX76,RZ[Úroveň 2 (P0)],AY76,RZ[Úroveň 3 (P0)],AZ76,RZ[Úroveň 4 (P0)],BA76),RZ[[#This Row],[Koeficient odhadu HR '[-'] (P1)]]*$BK76*$IG76)</f>
        <v>0</v>
      </c>
      <c r="CE76" s="138">
        <f ca="1">IF(OFFSET(BB76,1,0,1,1)&lt;&gt;0,$BK76*SUMIFS(RZ[Úroveň 5 bez koef. (P2)],RZ[0],AX76,RZ[Úroveň 2 (P0)],AY76,RZ[Úroveň 3 (P0)],AZ76,RZ[Úroveň 4 (P0)],BA76),$BK76*$IG76)</f>
        <v>0</v>
      </c>
      <c r="CF76" s="132">
        <f ca="1">RZ[[#This Row],[Úroveň 5 s koef. (P2a)]]*RZ[[#This Row],[Počet MJHR (P0)]]</f>
        <v>0</v>
      </c>
      <c r="CG76" s="132">
        <f ca="1">RZ[Úroveň 5 bez koef. (P2a)]*RZ[[#This Row],[Počet MJHR (P0)]]</f>
        <v>0</v>
      </c>
      <c r="CH76" s="132">
        <f ca="1">IF(OFFSET(BC76,1,0,1,1)&lt;&gt;0,RZ[[#This Row],[Koeficient odhadu HR '[-'] (P1)]]*$BL76*SUMIFS(RZ[Úroveň 6 s koef. (P2)],RZ[0],AX76,RZ[Úroveň 2 (P0)],AY76,RZ[Úroveň 3 (P0)],AZ76,RZ[Úroveň 4 (P0)],BA76,RZ[Úroveň 5 (P0)],BB76),RZ[[#This Row],[Koeficient odhadu HR '[-'] (P1)]]*$BL76*$IG76)</f>
        <v>0</v>
      </c>
      <c r="CI76" s="132">
        <f ca="1">IF(OFFSET(BC76,1,0,1,1)&lt;&gt;0,$BL76*SUMIFS(RZ[Úroveň 6 bez koef. (P2)],RZ[0],AX76,RZ[Úroveň 2 (P0)],AY76,RZ[Úroveň 3 (P0)],AZ76,RZ[Úroveň 4 (P0)],BA76,RZ[Úroveň 5 (P0)],BB76),$BL76*$IG76)</f>
        <v>0</v>
      </c>
      <c r="CJ76" s="138">
        <f ca="1">RZ[[#This Row],[Úroveň 6 s koef. (P2a)]]*RZ[[#This Row],[Počet MJHR (P0)]]</f>
        <v>0</v>
      </c>
      <c r="CK76" s="138">
        <f ca="1">RZ[Úroveň 6 bez koef. (P2a)]*RZ[[#This Row],[Počet MJHR (P0)]]</f>
        <v>0</v>
      </c>
      <c r="CL76" s="138">
        <f ca="1">IF(OFFSET(BD76,1,0,1,1)&lt;&gt;0,RZ[[#This Row],[Koeficient odhadu HR '[-'] (P1)]]*$BM76*SUMIFS(RZ[Úroveň 7 s koef. (P2)],RZ[0],AX76,RZ[Úroveň 2 (P0)],AY76,RZ[Úroveň 3 (P0)],AZ76,RZ[Úroveň 4 (P0)],BA76,RZ[Úroveň 5 (P0)],BB76,RZ[Úroveň 6 (P0)],BC76),RZ[[#This Row],[Koeficient odhadu HR '[-'] (P1)]]*$BM76*$IG76)</f>
        <v>0</v>
      </c>
      <c r="CM76" s="138">
        <f ca="1">IF(OFFSET(BD76,1,0,1,1)&lt;&gt;0,$BM76*SUMIFS(RZ[Úroveň 7 bez koef. (P2)],RZ[0],AX76,RZ[Úroveň 2 (P0)],AY76,RZ[Úroveň 3 (P0)],AZ76,RZ[Úroveň 4 (P0)],BA76,RZ[Úroveň 5 (P0)],BB76,RZ[Úroveň 6 (P0)],BC76),$BM76*$IG76)</f>
        <v>0</v>
      </c>
      <c r="CN76" s="132">
        <f ca="1">RZ[[#This Row],[Úroveň 7 s koef. (P2a)]]*RZ[[#This Row],[Počet MJHR (P0)]]</f>
        <v>0</v>
      </c>
      <c r="CO76" s="132">
        <f ca="1">RZ[Úroveň 7 bez koef. (P2a)]*RZ[[#This Row],[Počet MJHR (P0)]]</f>
        <v>0</v>
      </c>
      <c r="CP76" s="132">
        <f ca="1">IF(OFFSET(BE76,1,0,1,1)&lt;&gt;0,RZ[[#This Row],[Koeficient odhadu HR '[-'] (P1)]]*$BN76*SUMIFS(RZ[Úroveň 8 s koef. (P2)],RZ[0],AX76,RZ[Úroveň 2 (P0)],AY76,RZ[Úroveň 3 (P0)],AZ76,RZ[Úroveň 4 (P0)],BA76,RZ[Úroveň 5 (P0)],BB76,RZ[Úroveň 6 (P0)],BC76,RZ[Úroveň 7 (P0)],BD76),RZ[[#This Row],[Koeficient odhadu HR '[-'] (P1)]]*$BN76*$IG76)</f>
        <v>0</v>
      </c>
      <c r="CQ76" s="132">
        <f ca="1">IF(OFFSET(BE76,1,0,1,1)&lt;&gt;0,$BN76*SUMIFS(RZ[Úroveň 8 bez koef. (P2)],RZ[0],AX76,RZ[Úroveň 2 (P0)],AY76,RZ[Úroveň 3 (P0)],AZ76,RZ[Úroveň 4 (P0)],BA76,RZ[Úroveň 5 (P0)],BB76,RZ[Úroveň 6 (P0)],BC76,RZ[Úroveň 7 (P0)],BD76),$BN76*$IG76)</f>
        <v>0</v>
      </c>
      <c r="CR76" s="138">
        <f ca="1">RZ[[#This Row],[Úroveň 8 s koef. (P2a)]]*RZ[[#This Row],[Počet MJHR (P0)]]</f>
        <v>0</v>
      </c>
      <c r="CS76" s="138">
        <f ca="1">RZ[Úroveň 8 bez koef. (P2a)]*RZ[[#This Row],[Počet MJHR (P0)]]</f>
        <v>0</v>
      </c>
      <c r="CT76" s="138">
        <f ca="1">IF(OFFSET(BF76,1,0,1,1)&lt;&gt;0,RZ[[#This Row],[Koeficient odhadu HR '[-'] (P1)]]*$BO76*SUMIFS(RZ[Úroveň 9 s koef. (P2)],RZ[0],AX76,RZ[Úroveň 2 (P0)],AY76,RZ[Úroveň 3 (P0)],AZ76,RZ[Úroveň 4 (P0)],BA76,RZ[Úroveň 5 (P0)],BB76,RZ[Úroveň 6 (P0)],BC76,RZ[Úroveň 7 (P0)],BD76,RZ[Úroveň 8 (P0)],BE76),RZ[[#This Row],[Koeficient odhadu HR '[-'] (P1)]]*$BO76*$IG76)</f>
        <v>0</v>
      </c>
      <c r="CU76" s="138">
        <f ca="1">IF(OFFSET(BF76,1,0,1,1)&lt;&gt;0,$BO76*SUMIFS(RZ[Úroveň 9 bez koef. (P2)],RZ[0],AX76,RZ[Úroveň 2 (P0)],AY76,RZ[Úroveň 3 (P0)],AZ76,RZ[Úroveň 4 (P0)],BA76,RZ[Úroveň 5 (P0)],BB76,RZ[Úroveň 6 (P0)],BC76,RZ[Úroveň 7 (P0)],BD76,RZ[Úroveň 8 (P0)],BE76),$BO76*$IG76)</f>
        <v>0</v>
      </c>
      <c r="CV76" s="132">
        <f ca="1">RZ[[#This Row],[Úroveň 9 s koef. (P2a)]]*RZ[[#This Row],[Počet MJHR (P0)]]</f>
        <v>0</v>
      </c>
      <c r="CW76" s="132">
        <f ca="1">RZ[Úroveň 9 bez koef. (P2a)]*RZ[[#This Row],[Počet MJHR (P0)]]</f>
        <v>0</v>
      </c>
      <c r="CX76" s="132">
        <f ca="1">IF(OFFSET(BG76,1,0,1,1)&lt;&gt;0,RZ[[#This Row],[Koeficient odhadu HR '[-'] (P1)]]*$BP76*SUMIFS(RZ[Úroveň 10 s koef. (P2)],RZ[0],AX76,RZ[Úroveň 2 (P0)],AY76,RZ[Úroveň 3 (P0)],AZ76,RZ[Úroveň 4 (P0)],BA76,RZ[Úroveň 5 (P0)],BB76,RZ[Úroveň 6 (P0)],BC76,RZ[Úroveň 7 (P0)],BD76,RZ[Úroveň 8 (P0)],BE76,RZ[Úroveň 9 (P0)],BF76),RZ[[#This Row],[Koeficient odhadu HR '[-'] (P1)]]*$BP76*$IG76)</f>
        <v>0</v>
      </c>
      <c r="CY76" s="132">
        <f ca="1">IF(OFFSET(BG76,1,0,1,1)&lt;&gt;0,$BP76*SUMIFS(RZ[Úroveň 10 bez koef. (P2)],RZ[0],AX76,RZ[Úroveň 2 (P0)],AY76,RZ[Úroveň 3 (P0)],AZ76,RZ[Úroveň 4 (P0)],BA76,RZ[Úroveň 5 (P0)],BB76,RZ[Úroveň 6 (P0)],BC76,RZ[Úroveň 7 (P0)],BD76,RZ[Úroveň 8 (P0)],BE76,RZ[Úroveň 9 (P0)],BF76),$BP76*$IG76)</f>
        <v>0</v>
      </c>
      <c r="CZ76" s="138">
        <f>RZ[[#This Row],[Úroveň 10 s koef. (P2a)]]*RZ[[#This Row],[Počet MJHR (P0)]]</f>
        <v>0</v>
      </c>
      <c r="DA76" s="138">
        <f>RZ[Úroveň 10 bez koef. (P2a)]*RZ[[#This Row],[Počet MJHR (P0)]]</f>
        <v>0</v>
      </c>
      <c r="DB76" s="138">
        <f>RZ[[#This Row],[Koeficient odhadu HR '[-'] (P1)]]*$BQ76*IG76</f>
        <v>0</v>
      </c>
      <c r="DC76" s="231">
        <f t="shared" si="522"/>
        <v>0</v>
      </c>
      <c r="DD76" s="241">
        <f t="shared" ca="1" si="523"/>
        <v>510</v>
      </c>
      <c r="DE76" s="229">
        <f t="shared" ca="1" si="524"/>
        <v>510</v>
      </c>
      <c r="DF76" s="912">
        <f t="shared" si="525"/>
        <v>0</v>
      </c>
      <c r="DG76" s="913">
        <f t="shared" si="526"/>
        <v>0</v>
      </c>
      <c r="DH76" s="913">
        <f t="shared" si="527"/>
        <v>2</v>
      </c>
      <c r="DI76" s="913">
        <f t="shared" si="528"/>
        <v>0</v>
      </c>
      <c r="DJ76" s="913">
        <f t="shared" si="529"/>
        <v>0</v>
      </c>
      <c r="DK76" s="913">
        <f t="shared" si="530"/>
        <v>0</v>
      </c>
      <c r="DL76" s="913">
        <f t="shared" si="531"/>
        <v>0</v>
      </c>
      <c r="DM76" s="913">
        <f t="shared" si="532"/>
        <v>0</v>
      </c>
      <c r="DN76" s="913">
        <f t="shared" si="533"/>
        <v>0</v>
      </c>
      <c r="DO76" s="913">
        <f t="shared" si="534"/>
        <v>0</v>
      </c>
      <c r="DP76" s="914">
        <f ca="1">SUMIFS(RZ[Úroveň 1 (P4)],RZ[0],AX76)</f>
        <v>1</v>
      </c>
      <c r="DQ76" s="914">
        <f ca="1">SUMIFS(RZ[Úroveň 2 (P4)],RZ[0],AX76,RZ[Úroveň 2 (P0)],AY76)</f>
        <v>1</v>
      </c>
      <c r="DR76" s="914">
        <f ca="1">SUMIFS(RZ[Úroveň 3 (P4)],RZ[0],AX76,RZ[Úroveň 2 (P0)],AY76,RZ[Úroveň 3 (P0)],AZ76)</f>
        <v>2</v>
      </c>
      <c r="DS76" s="914">
        <f ca="1">SUMIFS(RZ[Úroveň 4 (P4)],RZ[0],AX76,RZ[Úroveň 2 (P0)],AY76,RZ[Úroveň 3 (P0)],AZ76,RZ[Úroveň 4 (P0)],BA76)</f>
        <v>0</v>
      </c>
      <c r="DT76" s="914">
        <f ca="1">SUMIFS(RZ[Úroveň 5 (P4)],RZ[0],AX76,RZ[Úroveň 2 (P0)],AY76,RZ[Úroveň 3 (P0)],AZ76,RZ[Úroveň 4 (P0)],BA76,RZ[Úroveň 5 (P0)],BB76)</f>
        <v>0</v>
      </c>
      <c r="DU76" s="914">
        <f ca="1">SUMIFS(RZ[Úroveň 6 (P4)],RZ[0],AX76,RZ[Úroveň 2 (P0)],AY76,RZ[Úroveň 3 (P0)],AZ76,RZ[Úroveň 4 (P0)],BA76,RZ[Úroveň 5 (P0)],BB76,RZ[Úroveň 6 (P0)],BC76)</f>
        <v>0</v>
      </c>
      <c r="DV76" s="914">
        <f ca="1">SUMIFS(RZ[Úroveň 7 (P4)],RZ[0],AX76,RZ[Úroveň 2 (P0)],AY76,RZ[Úroveň 3 (P0)],AZ76,RZ[Úroveň 4 (P0)],BA76,RZ[Úroveň 5 (P0)],BB76,RZ[Úroveň 6 (P0)],BC76,RZ[Úroveň 7 (P0)],BD76)</f>
        <v>0</v>
      </c>
      <c r="DW76" s="914">
        <f ca="1">SUMIFS(RZ[Úroveň 8 (P4)],RZ[0],AX76,RZ[Úroveň 2 (P0)],AY76,RZ[Úroveň 3 (P0)],AZ76,RZ[Úroveň 4 (P0)],BA76,RZ[Úroveň 5 (P0)],BB76,RZ[Úroveň 6 (P0)],BC76,RZ[Úroveň 7 (P0)],BD76,RZ[Úroveň 8 (P0)],BE76)</f>
        <v>0</v>
      </c>
      <c r="DX76" s="914">
        <f ca="1">SUMIFS(RZ[Úroveň 9 (P4)],RZ[0],AX76,RZ[Úroveň 2 (P0)],AY76,RZ[Úroveň 3 (P0)],AZ76,RZ[Úroveň 4 (P0)],BA76,RZ[Úroveň 5 (P0)],BB76,RZ[Úroveň 6 (P0)],BC76,RZ[Úroveň 7 (P0)],BD76,RZ[Úroveň 8 (P0)],BE76,RZ[Úroveň 9 (P0)],BF76)</f>
        <v>0</v>
      </c>
      <c r="DY76" s="914">
        <f ca="1">SUMIFS(RZ[Úroveň 10 (P4)],RZ[0],AX76,RZ[Úroveň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DZ76" s="915">
        <f t="shared" ca="1" si="535"/>
        <v>2</v>
      </c>
      <c r="EA76" s="916">
        <f ca="1">RZ[[#This Row],[Jednotková hmotnost bez koef. '[kg/MJHR'] (P0)]]*RZ[[#This Row],[Počet MJHR v rozpadu (P0)]]</f>
        <v>1020</v>
      </c>
      <c r="EB76" s="917">
        <f ca="1">IF(OFFSET(AY76,1,0,1,1)&lt;&gt;0,RZ[[#This Row],[Koeficient odhadu CR '[-'] (P1)]]*$BH76*SUMIFS(RZ[Úroveň 2 s koef. (P3)],RZ[0],AX76),RZ[[#This Row],[Koeficient odhadu CR '[-'] (P1)]]*$BH76*$IQ76)</f>
        <v>0</v>
      </c>
      <c r="EC76" s="191">
        <f ca="1">IF(OFFSET(AY76,1,0,1,1)&lt;&gt;0,$BH76*SUMIFS(RZ[Úroveň 2 bez koef. (P3)],RZ[0],AX76),$BH76*$IQ76)</f>
        <v>0</v>
      </c>
      <c r="ED76" s="140">
        <f ca="1">RZ[[#This Row],[Úroveň 2 s koef. (P3a)]]*RZ[[#This Row],[Počet MJCR (P0) pro "kg"]]</f>
        <v>0</v>
      </c>
      <c r="EE76" s="140">
        <f ca="1">RZ[Úroveň 2 bez koef. (P3a)]*RZ[[#This Row],[Počet MJCR (P0) pro "kg"]]</f>
        <v>0</v>
      </c>
      <c r="EF76" s="140">
        <f ca="1">IF(OFFSET(AZ76,1,0,1,1)&lt;&gt;0,RZ[[#This Row],[Koeficient odhadu CR '[-'] (P1)]]*$BI76*SUMIFS(RZ[Úroveň 3 s koef. (P3)],RZ[0],AX76,RZ[Úroveň 2 (P0)],AY76),RZ[[#This Row],[Koeficient odhadu CR '[-'] (P1)]]*$BI76*$IQ76)</f>
        <v>0</v>
      </c>
      <c r="EG76" s="140">
        <f ca="1">IF(OFFSET(AZ76,1,0,1,1)&lt;&gt;0,$BI76*SUMIFS(RZ[Úroveň 3 bez koef. (P3)],RZ[0],AX76,RZ[Úroveň 2 (P0)],AY76),$BI76*$IQ76)</f>
        <v>0</v>
      </c>
      <c r="EH76" s="135">
        <f ca="1">RZ[[#This Row],[Úroveň 3 s koef. (P3a)]]*RZ[[#This Row],[Počet MJCR (P0) pro "kg"]]</f>
        <v>142800</v>
      </c>
      <c r="EI76" s="135">
        <f ca="1">RZ[Úroveň 3 bez koef. (P3a)]*RZ[[#This Row],[Počet MJCR (P0) pro "kg"]]</f>
        <v>142800</v>
      </c>
      <c r="EJ76" s="135">
        <f ca="1">IF(OFFSET(BA76,1,0,1,1)&lt;&gt;0,RZ[[#This Row],[Koeficient odhadu CR '[-'] (P1)]]*$BJ76*SUMIFS(RZ[Úroveň 4 s koef. (P3)],RZ[0],AX76,RZ[Úroveň 2 (P0)],AY76,RZ[Úroveň 3 (P0)],AZ76),RZ[[#This Row],[Koeficient odhadu CR '[-'] (P1)]]*$BJ76*$IQ76)</f>
        <v>140</v>
      </c>
      <c r="EK76" s="135">
        <f ca="1">IF(OFFSET(BA76,1,0,1,1)&lt;&gt;0,$BJ76*SUMIFS(RZ[Úroveň 4 bez koef. (P3)],RZ[0],AX76,RZ[Úroveň 2 (P0)],AY76,RZ[Úroveň 3 (P0)],AZ76),$BJ76*$IQ76)</f>
        <v>140</v>
      </c>
      <c r="EL76" s="140">
        <f ca="1">RZ[[#This Row],[Úroveň 4 s koef. (P3a)]]*RZ[[#This Row],[Počet MJCR (P0) pro "kg"]]</f>
        <v>0</v>
      </c>
      <c r="EM76" s="140">
        <f ca="1">RZ[Úroveň 4 bez koef. (P3a)]*RZ[[#This Row],[Počet MJCR (P0) pro "kg"]]</f>
        <v>0</v>
      </c>
      <c r="EN76" s="140">
        <f ca="1">IF(OFFSET(BB76,1,0,1,1)&lt;&gt;0,RZ[[#This Row],[Koeficient odhadu CR '[-'] (P1)]]*$BK76*SUMIFS(RZ[Úroveň 5 s koef. (P3)],RZ[0],AX76,RZ[Úroveň 2 (P0)],AY76,RZ[Úroveň 3 (P0)],AZ76,RZ[Úroveň 4 (P0)],BA76),RZ[[#This Row],[Koeficient odhadu CR '[-'] (P1)]]*$BK76*$IQ76)</f>
        <v>0</v>
      </c>
      <c r="EO76" s="140">
        <f ca="1">IF(OFFSET(BB76,1,0,1,1)&lt;&gt;0,$BK76*SUMIFS(RZ[Úroveň 5 bez koef. (P3)],RZ[0],AX76,RZ[Úroveň 2 (P0)],AY76,RZ[Úroveň 3 (P0)],AZ76,RZ[Úroveň 4 (P0)],BA76),$BK76*$IQ76)</f>
        <v>0</v>
      </c>
      <c r="EP76" s="135">
        <f ca="1">RZ[[#This Row],[Úroveň 5 s koef. (P3a)]]*RZ[[#This Row],[Počet MJCR (P0) pro "kg"]]</f>
        <v>0</v>
      </c>
      <c r="EQ76" s="135">
        <f ca="1">RZ[Úroveň 5 bez koef. (P3a)]*RZ[[#This Row],[Počet MJCR (P0) pro "kg"]]</f>
        <v>0</v>
      </c>
      <c r="ER76" s="135">
        <f ca="1">IF(OFFSET(BC76,1,0,1,1)&lt;&gt;0,RZ[[#This Row],[Koeficient odhadu CR '[-'] (P1)]]*$BL76*SUMIFS(RZ[Úroveň 6 s koef. (P3)],RZ[0],AX76,RZ[Úroveň 2 (P0)],AY76,RZ[Úroveň 3 (P0)],AZ76,RZ[Úroveň 4 (P0)],BA76,RZ[Úroveň 5 (P0)],BB76),RZ[[#This Row],[Koeficient odhadu CR '[-'] (P1)]]*$BL76*$IQ76)</f>
        <v>0</v>
      </c>
      <c r="ES76" s="135">
        <f ca="1">IF(OFFSET(BC76,1,0,1,1)&lt;&gt;0,$BL76*SUMIFS(RZ[Úroveň 6 bez koef. (P3)],RZ[0],AX76,RZ[Úroveň 2 (P0)],AY76,RZ[Úroveň 3 (P0)],AZ76,RZ[Úroveň 4 (P0)],BA76,RZ[Úroveň 5 (P0)],BB76),$BL76*$IQ76)</f>
        <v>0</v>
      </c>
      <c r="ET76" s="140">
        <f ca="1">RZ[[#This Row],[Úroveň 6 s koef. (P3a)]]*RZ[[#This Row],[Počet MJCR (P0) pro "kg"]]</f>
        <v>0</v>
      </c>
      <c r="EU76" s="140">
        <f ca="1">RZ[Úroveň 6 bez koef. (P3a)]*RZ[[#This Row],[Počet MJCR (P0) pro "kg"]]</f>
        <v>0</v>
      </c>
      <c r="EV76" s="140">
        <f ca="1">IF(OFFSET(BD76,1,0,1,1)&lt;&gt;0,RZ[[#This Row],[Koeficient odhadu CR '[-'] (P1)]]*$BM76*SUMIFS(RZ[Úroveň 7 s koef. (P3)],RZ[0],AX76,RZ[Úroveň 2 (P0)],AY76,RZ[Úroveň 3 (P0)],AZ76,RZ[Úroveň 4 (P0)],BA76,RZ[Úroveň 5 (P0)],BB76,RZ[Úroveň 6 (P0)],BC76),RZ[[#This Row],[Koeficient odhadu CR '[-'] (P1)]]*$BM76*$IQ76)</f>
        <v>0</v>
      </c>
      <c r="EW76" s="140">
        <f ca="1">IF(OFFSET(BD76,1,0,1,1)&lt;&gt;0,$BM76*SUMIFS(RZ[Úroveň 7 bez koef. (P3)],RZ[0],AX76,RZ[Úroveň 2 (P0)],AY76,RZ[Úroveň 3 (P0)],AZ76,RZ[Úroveň 4 (P0)],BA76,RZ[Úroveň 5 (P0)],BB76,RZ[Úroveň 6 (P0)],BC76),$BM76*$IQ76)</f>
        <v>0</v>
      </c>
      <c r="EX76" s="135">
        <f ca="1">RZ[[#This Row],[Úroveň 7 s koef. (P3a)]]*RZ[[#This Row],[Počet MJCR (P0) pro "kg"]]</f>
        <v>0</v>
      </c>
      <c r="EY76" s="135">
        <f ca="1">RZ[Úroveň 7 bez koef. (P3a)]*RZ[[#This Row],[Počet MJCR (P0) pro "kg"]]</f>
        <v>0</v>
      </c>
      <c r="EZ76" s="135">
        <f ca="1">IF(OFFSET(BE76,1,0,1,1)&lt;&gt;0,RZ[[#This Row],[Koeficient odhadu CR '[-'] (P1)]]*$BN76*SUMIFS(RZ[Úroveň 8 s koef. (P3)],RZ[0],AX76,RZ[Úroveň 2 (P0)],AY76,RZ[Úroveň 3 (P0)],AZ76,RZ[Úroveň 4 (P0)],BA76,RZ[Úroveň 5 (P0)],BB76,RZ[Úroveň 6 (P0)],BC76,RZ[Úroveň 7 (P0)],BD76),RZ[[#This Row],[Koeficient odhadu CR '[-'] (P1)]]*$BN76*$IQ76)</f>
        <v>0</v>
      </c>
      <c r="FA76" s="135">
        <f ca="1">IF(OFFSET(BE76,1,0,1,1)&lt;&gt;0,$BN76*SUMIFS(RZ[Úroveň 8 bez koef. (P3)],RZ[0],AX76,RZ[Úroveň 2 (P0)],AY76,RZ[Úroveň 3 (P0)],AZ76,RZ[Úroveň 4 (P0)],BA76,RZ[Úroveň 5 (P0)],BB76,RZ[Úroveň 6 (P0)],BC76,RZ[Úroveň 7 (P0)],BD76),$BN76*$IQ76)</f>
        <v>0</v>
      </c>
      <c r="FB76" s="140">
        <f ca="1">RZ[[#This Row],[Úroveň 8 s koef. (P3a)]]*RZ[[#This Row],[Počet MJCR (P0) pro "kg"]]</f>
        <v>0</v>
      </c>
      <c r="FC76" s="140">
        <f ca="1">RZ[Úroveň 8 bez koef. (P3a)]*RZ[[#This Row],[Počet MJCR (P0) pro "kg"]]</f>
        <v>0</v>
      </c>
      <c r="FD76" s="140">
        <f ca="1">IF(OFFSET(BF76,1,0,1,1)&lt;&gt;0,RZ[[#This Row],[Koeficient odhadu CR '[-'] (P1)]]*$BO76*SUMIFS(RZ[Úroveň 9 s koef. (P3)],RZ[0],AX76,RZ[Úroveň 2 (P0)],AY76,RZ[Úroveň 3 (P0)],AZ76,RZ[Úroveň 4 (P0)],BA76,RZ[Úroveň 5 (P0)],BB76,RZ[Úroveň 6 (P0)],BC76,RZ[Úroveň 7 (P0)],BD76,RZ[Úroveň 8 (P0)],BE76),RZ[[#This Row],[Koeficient odhadu CR '[-'] (P1)]]*$BO76*$IQ76)</f>
        <v>0</v>
      </c>
      <c r="FE76" s="140">
        <f ca="1">IF(OFFSET(BF76,1,0,1,1)&lt;&gt;0,$BO76*SUMIFS(RZ[Úroveň 9 bez koef. (P3)],RZ[0],AX76,RZ[Úroveň 2 (P0)],AY76,RZ[Úroveň 3 (P0)],AZ76,RZ[Úroveň 4 (P0)],BA76,RZ[Úroveň 5 (P0)],BB76,RZ[Úroveň 6 (P0)],BC76,RZ[Úroveň 7 (P0)],BD76,RZ[Úroveň 8 (P0)],BE76),$BO76*$IQ76)</f>
        <v>0</v>
      </c>
      <c r="FF76" s="135">
        <f ca="1">RZ[[#This Row],[Úroveň 9 s koef. (P3a)]]*RZ[[#This Row],[Počet MJCR (P0) pro "kg"]]</f>
        <v>0</v>
      </c>
      <c r="FG76" s="135">
        <f ca="1">RZ[Úroveň 9 bez koef. (P3a)]*RZ[[#This Row],[Počet MJCR (P0) pro "kg"]]</f>
        <v>0</v>
      </c>
      <c r="FH76" s="135">
        <f ca="1">IF(OFFSET(BG76,1,0,1,1)&lt;&gt;0,RZ[[#This Row],[Koeficient odhadu CR '[-'] (P1)]]*$BP76*SUMIFS(RZ[Úroveň 10 s koef. (P3)],RZ[0],AX76,RZ[Úroveň 2 (P0)],AY76,RZ[Úroveň 3 (P0)],AZ76,RZ[Úroveň 4 (P0)],BA76,RZ[Úroveň 5 (P0)],BB76,RZ[Úroveň 6 (P0)],BC76,RZ[Úroveň 7 (P0)],BD76,RZ[Úroveň 8 (P0)],BE76,RZ[Úroveň 9 (P0)],BF76),RZ[[#This Row],[Koeficient odhadu CR '[-'] (P1)]]*$BP76*$IQ76)</f>
        <v>0</v>
      </c>
      <c r="FI76" s="135">
        <f ca="1">IF(OFFSET(BG76,1,0,1,1)&lt;&gt;0,$BP76*SUMIFS(RZ[Úroveň 10 bez koef. (P3)],RZ[0],AX76,RZ[Úroveň 2 (P0)],AY76,RZ[Úroveň 3 (P0)],AZ76,RZ[Úroveň 4 (P0)],BA76,RZ[Úroveň 5 (P0)],BB76,RZ[Úroveň 6 (P0)],BC76,RZ[Úroveň 7 (P0)],BD76,RZ[Úroveň 8 (P0)],BE76,RZ[Úroveň 9 (P0)],BF76),$BP76*$IQ76)</f>
        <v>0</v>
      </c>
      <c r="FJ76" s="140">
        <f ca="1">RZ[[#This Row],[Úroveň 10 s koef. (P3a)]]*RZ[[#This Row],[Počet MJCR (P0) pro "kg"]]</f>
        <v>0</v>
      </c>
      <c r="FK76" s="140">
        <f ca="1">RZ[Úroveň 10 bez koef. (P3a)]*RZ[[#This Row],[Počet MJCR (P0) pro "kg"]]</f>
        <v>0</v>
      </c>
      <c r="FL76" s="140">
        <f ca="1">RZ[[#This Row],[Koeficient odhadu CR '[-'] (P1)]]*$BQ76*IQ76</f>
        <v>0</v>
      </c>
      <c r="FM76" s="236">
        <f t="shared" ca="1" si="536"/>
        <v>0</v>
      </c>
      <c r="FN76" s="194">
        <f t="shared" ca="1" si="537"/>
        <v>140</v>
      </c>
      <c r="FO76" s="238">
        <f t="shared" ca="1" si="538"/>
        <v>140</v>
      </c>
      <c r="FP76" s="135">
        <f t="shared" ca="1" si="539"/>
        <v>0</v>
      </c>
      <c r="FQ76" s="135">
        <f t="shared" ca="1" si="540"/>
        <v>0</v>
      </c>
      <c r="FR76" s="135">
        <f t="shared" ca="1" si="541"/>
        <v>1020</v>
      </c>
      <c r="FS76" s="135">
        <f t="shared" ca="1" si="542"/>
        <v>0</v>
      </c>
      <c r="FT76" s="135">
        <f t="shared" ca="1" si="543"/>
        <v>0</v>
      </c>
      <c r="FU76" s="135">
        <f t="shared" ca="1" si="544"/>
        <v>0</v>
      </c>
      <c r="FV76" s="135">
        <f t="shared" ca="1" si="545"/>
        <v>0</v>
      </c>
      <c r="FW76" s="135">
        <f t="shared" ca="1" si="546"/>
        <v>0</v>
      </c>
      <c r="FX76" s="135">
        <f t="shared" ca="1" si="547"/>
        <v>0</v>
      </c>
      <c r="FY76" s="135">
        <f t="shared" ca="1" si="548"/>
        <v>0</v>
      </c>
      <c r="FZ76" s="140">
        <f ca="1">SUMIFS(RZ[Úroveň 1 (P6)],RZ[0],AX76)</f>
        <v>1</v>
      </c>
      <c r="GA76" s="140">
        <f ca="1">SUMIFS(RZ[Úroveň 2 (P6)],RZ[0],AX76,RZ[Úroveň 2 (P0)],AY76)</f>
        <v>1</v>
      </c>
      <c r="GB76" s="140">
        <f ca="1">SUMIFS(RZ[Úroveň 3 (P6)],RZ[0],AX76,RZ[Úroveň 2 (P0)],AY76,RZ[Úroveň 3 (P0)],AZ76)</f>
        <v>1020</v>
      </c>
      <c r="GC76" s="140">
        <f ca="1">SUMIFS(RZ[Úroveň 4 (P6)],RZ[0],AX76,RZ[Úroveň 2 (P0)],AY76,RZ[Úroveň 3 (P0)],AZ76,RZ[Úroveň 4 (P0)],BA76)</f>
        <v>0</v>
      </c>
      <c r="GD76" s="140">
        <f ca="1">SUMIFS(RZ[Úroveň 5 (P6)],RZ[0],AX76,RZ[Úroveň 2 (P0)],AY76,RZ[Úroveň 3 (P0)],AZ76,RZ[Úroveň 4 (P0)],BA76,RZ[Úroveň 5 (P0)],BB76)</f>
        <v>0</v>
      </c>
      <c r="GE76" s="140">
        <f ca="1">SUMIFS(RZ[Úroveň 6 (P6)],RZ[0],AX76,RZ[Úroveň 2 (P0)],AY76,RZ[Úroveň 3 (P0)],AZ76,RZ[Úroveň 4 (P0)],BA76,RZ[Úroveň 5 (P0)],BB76,RZ[Úroveň 6 (P0)],BC76)</f>
        <v>0</v>
      </c>
      <c r="GF76" s="140">
        <f ca="1">SUMIFS(RZ[Úroveň 7 (P6)],RZ[0],AX76,RZ[Úroveň 2 (P0)],AY76,RZ[Úroveň 3 (P0)],AZ76,RZ[Úroveň 4 (P0)],BA76,RZ[Úroveň 5 (P0)],BB76,RZ[Úroveň 6 (P0)],BC76,RZ[Úroveň 7 (P0)],BD76)</f>
        <v>0</v>
      </c>
      <c r="GG76" s="140">
        <f ca="1">SUMIFS(RZ[Úroveň 8 (P6)],RZ[0],AX76,RZ[Úroveň 2 (P0)],AY76,RZ[Úroveň 3 (P0)],AZ76,RZ[Úroveň 4 (P0)],BA76,RZ[Úroveň 5 (P0)],BB76,RZ[Úroveň 6 (P0)],BC76,RZ[Úroveň 7 (P0)],BD76,RZ[Úroveň 8 (P0)],BE76)</f>
        <v>0</v>
      </c>
      <c r="GH76" s="140">
        <f ca="1">SUMIFS(RZ[Úroveň 9 (P6)],RZ[0],AX76,RZ[Úroveň 2 (P0)],AY76,RZ[Úroveň 3 (P0)],AZ76,RZ[Úroveň 4 (P0)],BA76,RZ[Úroveň 5 (P0)],BB76,RZ[Úroveň 6 (P0)],BC76,RZ[Úroveň 7 (P0)],BD76,RZ[Úroveň 8 (P0)],BE76,RZ[Úroveň 9 (P0)],BF76)</f>
        <v>0</v>
      </c>
      <c r="GI76" s="140">
        <f ca="1">SUMIFS(RZ[Úroveň 10 (P6)],RZ[0],AX76,RZ[Úroveň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GJ76" s="918">
        <f t="shared" ca="1" si="549"/>
        <v>1020</v>
      </c>
      <c r="GK76" s="808">
        <f t="shared" si="550"/>
        <v>0</v>
      </c>
      <c r="GL76" s="808">
        <f t="shared" si="551"/>
        <v>0</v>
      </c>
      <c r="GM76" s="808">
        <f t="shared" si="552"/>
        <v>1</v>
      </c>
      <c r="GN76" s="808">
        <f t="shared" si="553"/>
        <v>0</v>
      </c>
      <c r="GO76" s="808">
        <f t="shared" si="554"/>
        <v>0</v>
      </c>
      <c r="GP76" s="808">
        <f t="shared" si="555"/>
        <v>0</v>
      </c>
      <c r="GQ76" s="808">
        <f t="shared" si="556"/>
        <v>0</v>
      </c>
      <c r="GR76" s="808">
        <f t="shared" si="557"/>
        <v>0</v>
      </c>
      <c r="GS76" s="808">
        <f t="shared" si="558"/>
        <v>0</v>
      </c>
      <c r="GT76" s="808">
        <f t="shared" si="559"/>
        <v>0</v>
      </c>
      <c r="GU76" s="809">
        <f ca="1">SUMIFS(RZ[Sloupec1],RZ[0],AX76)</f>
        <v>1</v>
      </c>
      <c r="GV76" s="809">
        <f ca="1">SUMIFS(RZ[Sloupec2],RZ[0],AX76,RZ[Úroveň 2 (P0)],AY76)</f>
        <v>1</v>
      </c>
      <c r="GW76" s="809">
        <f ca="1">SUMIFS(RZ[Sloupec3],RZ[0],AX76,RZ[Úroveň 2 (P0)],AY76,RZ[Úroveň 3 (P0)],AZ76)</f>
        <v>1</v>
      </c>
      <c r="GX76" s="809">
        <f ca="1">SUMIFS(RZ[Sloupec4],RZ[0],AX76,RZ[Úroveň 2 (P0)],AY76,RZ[Úroveň 3 (P0)],AZ76,RZ[Úroveň 4 (P0)],BA76)</f>
        <v>0</v>
      </c>
      <c r="GY76" s="809">
        <f ca="1">SUMIFS(RZ[Sloupec5],RZ[0],AX76,RZ[Úroveň 2 (P0)],AY76,RZ[Úroveň 3 (P0)],AZ76,RZ[Úroveň 4 (P0)],BA76,RZ[Úroveň 5 (P0)],BB76)</f>
        <v>0</v>
      </c>
      <c r="GZ76" s="809">
        <f ca="1">SUMIFS(RZ[Sloupec6],RZ[0],AX76,RZ[Úroveň 2 (P0)],AY76,RZ[Úroveň 3 (P0)],AZ76,RZ[Úroveň 4 (P0)],BA76,RZ[Úroveň 5 (P0)],BB76,RZ[Úroveň 6 (P0)],BC76)</f>
        <v>0</v>
      </c>
      <c r="HA76" s="809">
        <f ca="1">SUMIFS(RZ[Sloupec62],RZ[0],AX76,RZ[Úroveň 2 (P0)],AY76,RZ[Úroveň 3 (P0)],AZ76,RZ[Úroveň 4 (P0)],BA76,RZ[Úroveň 5 (P0)],BB76,RZ[Úroveň 6 (P0)],BC76,RZ[Úroveň 7 (P0)],BD76)</f>
        <v>0</v>
      </c>
      <c r="HB76" s="809">
        <f ca="1">SUMIFS(RZ[Sloupec63],RZ[0],AX76,RZ[Úroveň 2 (P0)],AY76,RZ[Úroveň 3 (P0)],AZ76,RZ[Úroveň 4 (P0)],BA76,RZ[Úroveň 5 (P0)],BB76,RZ[Úroveň 6 (P0)],BC76,RZ[Úroveň 7 (P0)],BD76,RZ[Úroveň 8 (P0)],BE76)</f>
        <v>0</v>
      </c>
      <c r="HC76" s="809">
        <f ca="1">SUMIFS(RZ[Sloupec64],RZ[0],AX76,RZ[Úroveň 2 (P0)],AY76,RZ[Úroveň 3 (P0)],AZ76,RZ[Úroveň 4 (P0)],BA76,RZ[Úroveň 5 (P0)],BB76,RZ[Úroveň 6 (P0)],BC76,RZ[Úroveň 7 (P0)],BD76,RZ[Úroveň 8 (P0)],BE76,RZ[Úroveň 9 (P0)],BF76)</f>
        <v>0</v>
      </c>
      <c r="HD76" s="809">
        <f ca="1">SUMIFS(RZ[Sloupec65],RZ[0],AX76,RZ[Úroveň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HE76" s="919">
        <f t="shared" ca="1" si="560"/>
        <v>1</v>
      </c>
      <c r="HF76" s="920" t="str">
        <f t="shared" si="561"/>
        <v/>
      </c>
      <c r="HG76" s="94" t="str">
        <f t="shared" si="562"/>
        <v/>
      </c>
      <c r="HH76" s="95" t="str">
        <f t="shared" si="563"/>
        <v/>
      </c>
      <c r="HI76" s="95" t="str">
        <f t="shared" si="564"/>
        <v>Nosník</v>
      </c>
      <c r="HJ76" s="96" t="str">
        <f t="shared" si="565"/>
        <v/>
      </c>
      <c r="HK76" s="96" t="str">
        <f t="shared" si="566"/>
        <v/>
      </c>
      <c r="HL76" s="96" t="str">
        <f t="shared" si="567"/>
        <v/>
      </c>
      <c r="HM76" s="96" t="str">
        <f t="shared" si="568"/>
        <v/>
      </c>
      <c r="HN76" s="96" t="str">
        <f t="shared" si="569"/>
        <v/>
      </c>
      <c r="HO76" s="96" t="str">
        <f t="shared" si="570"/>
        <v/>
      </c>
      <c r="HP76" s="96" t="str">
        <f t="shared" si="571"/>
        <v/>
      </c>
      <c r="HQ76" s="145" t="str">
        <f t="shared" si="572"/>
        <v>OKS1</v>
      </c>
      <c r="HR76" s="921" t="str">
        <f t="shared" si="573"/>
        <v/>
      </c>
      <c r="HS76" s="173">
        <f t="shared" si="574"/>
        <v>0</v>
      </c>
      <c r="HT76" s="100">
        <f t="shared" si="575"/>
        <v>0</v>
      </c>
      <c r="HU76" s="100">
        <f t="shared" si="576"/>
        <v>0</v>
      </c>
      <c r="HV76" s="908">
        <f t="shared" si="577"/>
        <v>0</v>
      </c>
      <c r="HW76" s="922">
        <f t="shared" si="578"/>
        <v>0</v>
      </c>
      <c r="HX76" s="224">
        <f t="shared" si="579"/>
        <v>0</v>
      </c>
      <c r="HY76" s="263" t="str">
        <f t="shared" si="580"/>
        <v>S</v>
      </c>
      <c r="HZ76" s="263">
        <f t="shared" si="581"/>
        <v>0</v>
      </c>
      <c r="IA76" s="150">
        <f t="shared" si="582"/>
        <v>1</v>
      </c>
      <c r="IB76" s="319">
        <f t="shared" si="583"/>
        <v>0</v>
      </c>
      <c r="IC76" s="923">
        <f t="shared" si="584"/>
        <v>0</v>
      </c>
      <c r="ID76" s="924" t="str">
        <f t="shared" ca="1" si="585"/>
        <v>OK</v>
      </c>
      <c r="IE76" s="201" t="str">
        <f t="shared" si="586"/>
        <v>ks</v>
      </c>
      <c r="IF76" s="145">
        <f t="shared" si="587"/>
        <v>2</v>
      </c>
      <c r="IG76" s="216">
        <f t="shared" si="588"/>
        <v>510</v>
      </c>
      <c r="IH76" s="217">
        <f t="shared" si="589"/>
        <v>1</v>
      </c>
      <c r="II76" s="224" t="str">
        <f ca="1">IF(RZ[[#This Row],[Rozhodný sloupec indikativní ceny]]=1,"kg",IF($IW76=$JL$15,IF(JX76=0,JO76,JX76),IF($IW76=$KE$15,IF(KQ76=0,KH76,KQ76),IF($IW76=$KX$15,IF(LJ76=0,LA76,LJ76),IF($IW76=$LQ$15,IF(MC76=0,LT76,MC76),IF($IW76=$MJ$15,IF(NQ76=0,NH76,NQ76),0))))))</f>
        <v>kg</v>
      </c>
      <c r="IJ76" s="224">
        <f ca="1">IF((BH76+OFFSET(BH76,1,1,1,1))=2,RZ[[#This Row],[Počet MJHR (P0)]],IF((BI76+OFFSET(BI76,1,1,1,1))=2,RZ[[#This Row],[Počet MJHR (P0)]],IF((BJ76+OFFSET(BJ76,1,1,1,1))=2,RZ[[#This Row],[Počet MJHR (P0)]],IF((BK76+OFFSET(BK76,1,1,1,1))=2,RZ[[#This Row],[Počet MJHR (P0)]],IF((BL76+OFFSET(BL76,1,1,1,1))=2,RZ[[#This Row],[Počet MJHR (P0)]],IF((BM76+OFFSET(BM76,1,1,1,1))=2,RZ[[#This Row],[Počet MJHR (P0)]],IF((BN76+OFFSET(BN76,1,1,1,1))=2,RZ[[#This Row],[Počet MJHR (P0)]],IF((BO76+OFFSET(BO76,1,1,1,1))=2,RZ[[#This Row],[Počet MJHR (P0)]],IF((BP76+OFFSET(BP76,1,1,1,1))=2,RZ[[#This Row],[Počet MJHR (P0)]],IF((BQ76+OFFSET(BQ76,1,1,1,1))=2,RZ[[#This Row],[Počet MJHR (P0)]],IF(RZ[[#This Row],[Měrná jednotka CR (MJCR) (P0)]]=RZ[[#This Row],[Měrná jednotka HR '[MJHR'] (P0)]],RZ[[#This Row],[Počet MJHR (P0)]],IF($IW76=$JL$15,JY76,IF($IW76=$KE$15,KR76,IF($IW76=$KX$15,LK76,IF($IW76=$LQ$15,MD76,IF($IW76=$MJ$15,NR76,0))))))))))))))))</f>
        <v>0</v>
      </c>
      <c r="IK7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76" s="145">
        <f ca="1">IF(AND(RZ[[#This Row],[Jednotková cena bez DPH '[cena/MJCR'] (P0)]]=0,RZ[[#This Row],[Indikativní jednotková cena '[CZK/kg'] (P1)]]&lt;&gt;0),1,0)</f>
        <v>1</v>
      </c>
      <c r="IM76" s="217">
        <f ca="1">VLOOKUP(RZ[[#This Row],[Kód položek]],INDIKAT_CENA,2,FALSE)</f>
        <v>140</v>
      </c>
      <c r="IN76" s="222">
        <f ca="1">IF(RZ[[#This Row],[Rozhodný sloupec indikativní ceny]]=1,RZ[[#This Row],[Indikativní jednotková cena '[CZK/kg'] (P1)]],RZ[[#This Row],[Jednotková cena bez DPH '[cena/MJCR'] (P0)]])</f>
        <v>140</v>
      </c>
      <c r="IO76" s="222">
        <f t="shared" si="590"/>
        <v>1</v>
      </c>
      <c r="IP76" s="224">
        <f ca="1">IF(RZ[[#This Row],[Rozhodný sloupec indikativní ceny]]=1,1,IF($IW76=$JL$15,KA76,IF($IW76=$KE$15,KT76,IF($IW76=$KX$15,LM76,IF($IW76=$LQ$15,MF76,IF($IW76=$MJ$15,NT76,0))))))</f>
        <v>1</v>
      </c>
      <c r="IQ76" s="225">
        <f ca="1">IF(RZ[[#This Row],[Jednotková cena bez DPH '[cena/MJCR'] (P1)]]="",0,IF(IP76=0,0,(RZ[[#This Row],[Jednotková cena bez DPH '[cena/MJCR'] (P1)]]*VLOOKUP(IP76,$BR$7:$BT$10,3))))</f>
        <v>140</v>
      </c>
      <c r="IR76" s="737"/>
      <c r="IS76" s="627">
        <f>IF(HY76=0,"",VLOOKUP(RZ[[#This Row],[Stav Projekce (P0)]],Vstupy!$E$11:'Vstupy'!$E$11:$H$17,4,FALSE))</f>
        <v>100</v>
      </c>
      <c r="IT76" s="925" t="str">
        <f>IF(RZ[[#This Row],[Stav Projekce (P0)]]=0,"",RZ[[#This Row],[Stav Projekce (P0)]])</f>
        <v>S</v>
      </c>
      <c r="IU76" s="925" t="str">
        <f>IF(RZ[[#This Row],[Stav Nákup (P0)]]=0,"",RZ[[#This Row],[Stav Nákup (P0)]])</f>
        <v/>
      </c>
      <c r="IV76" s="926" t="str">
        <f t="shared" si="591"/>
        <v/>
      </c>
      <c r="IW76" s="641">
        <v>1</v>
      </c>
      <c r="IX76" s="630"/>
      <c r="IY76" s="264"/>
      <c r="IZ76" s="648"/>
      <c r="JA76" s="100"/>
      <c r="JB76" s="100" t="s">
        <v>786</v>
      </c>
      <c r="JC76" s="100"/>
      <c r="JD76" s="100"/>
      <c r="JE76" s="100"/>
      <c r="JF76" s="100"/>
      <c r="JG76" s="100"/>
      <c r="JH76" s="100"/>
      <c r="JI76" s="100"/>
      <c r="JJ76" s="145" t="s">
        <v>764</v>
      </c>
      <c r="JK76" s="529"/>
      <c r="JL76" s="286"/>
      <c r="JM76" s="100"/>
      <c r="JN76" s="100"/>
      <c r="JO76" s="145" t="s">
        <v>35</v>
      </c>
      <c r="JP76" s="117">
        <v>2</v>
      </c>
      <c r="JQ76" s="117">
        <v>510</v>
      </c>
      <c r="JR76" s="148">
        <v>1</v>
      </c>
      <c r="JS76" s="145" t="s">
        <v>602</v>
      </c>
      <c r="JT76" s="631"/>
      <c r="JU76" s="148"/>
      <c r="JV76" s="154"/>
      <c r="JW76" s="145"/>
      <c r="JX76" s="210"/>
      <c r="JY76" s="117"/>
      <c r="JZ76" s="662"/>
      <c r="KA76" s="145"/>
      <c r="KB76" s="148"/>
      <c r="KC76" s="148"/>
      <c r="KD76" s="644"/>
      <c r="KE76" s="286"/>
      <c r="KF76" s="100"/>
      <c r="KG76" s="100"/>
      <c r="KH76" s="210"/>
      <c r="KI76" s="117"/>
      <c r="KJ76" s="117"/>
      <c r="KK76" s="148"/>
      <c r="KL76" s="145"/>
      <c r="KM76" s="632"/>
      <c r="KN76" s="148"/>
      <c r="KO76" s="154"/>
      <c r="KP76" s="154"/>
      <c r="KQ76" s="210"/>
      <c r="KR76" s="117"/>
      <c r="KS76" s="211"/>
      <c r="KT76" s="145"/>
      <c r="KU76" s="148"/>
      <c r="KV76" s="148"/>
      <c r="KW76" s="265"/>
      <c r="KX76" s="286"/>
      <c r="KY76" s="100"/>
      <c r="KZ76" s="100"/>
      <c r="LA76" s="210"/>
      <c r="LB76" s="117"/>
      <c r="LC76" s="117"/>
      <c r="LD76" s="148"/>
      <c r="LE76" s="145"/>
      <c r="LF76" s="632"/>
      <c r="LG76" s="148"/>
      <c r="LH76" s="154"/>
      <c r="LI76" s="154"/>
      <c r="LJ76" s="154"/>
      <c r="LK76" s="117"/>
      <c r="LL76" s="211"/>
      <c r="LM76" s="210"/>
      <c r="LN76" s="148"/>
      <c r="LO76" s="148"/>
      <c r="LP76" s="265"/>
      <c r="LQ76" s="286"/>
      <c r="LR76" s="100"/>
      <c r="LS76" s="100"/>
      <c r="LT76" s="210"/>
      <c r="LU76" s="117"/>
      <c r="LV76" s="117"/>
      <c r="LW76" s="148"/>
      <c r="LX76" s="145"/>
      <c r="LY76" s="632"/>
      <c r="LZ76" s="148"/>
      <c r="MA76" s="154"/>
      <c r="MB76" s="154"/>
      <c r="MC76" s="145"/>
      <c r="MD76" s="117"/>
      <c r="ME76" s="211"/>
      <c r="MF76" s="210"/>
      <c r="MG76" s="148"/>
      <c r="MH76" s="148"/>
      <c r="MI76" s="265"/>
      <c r="MJ76" s="647"/>
      <c r="MK76" s="264"/>
      <c r="ML76" s="153"/>
      <c r="MM76" s="153"/>
      <c r="MN76" s="153"/>
      <c r="MO76" s="153"/>
      <c r="MP76" s="153"/>
      <c r="MQ76" s="153"/>
      <c r="MR76" s="153"/>
      <c r="MS76" s="99"/>
      <c r="MT76" s="99"/>
      <c r="MU76" s="99"/>
      <c r="MV76" s="99"/>
      <c r="MW76" s="99"/>
      <c r="MX76" s="99"/>
      <c r="MY76" s="153"/>
      <c r="MZ76" s="153"/>
      <c r="NA76" s="153"/>
      <c r="NB76" s="153"/>
      <c r="NC76" s="153"/>
      <c r="ND76" s="153"/>
      <c r="NE76" s="148"/>
      <c r="NF76" s="153"/>
      <c r="NG76" s="153"/>
      <c r="NH76" s="330" t="str">
        <f t="shared" si="592"/>
        <v>ks</v>
      </c>
      <c r="NI76" s="797">
        <f>RZ[[#This Row],[Počet ks (K)]]</f>
        <v>0</v>
      </c>
      <c r="NJ76" s="798">
        <f>RZ[[#This Row],[Hmotnost '[kg/ks'] (K)]]</f>
        <v>0</v>
      </c>
      <c r="NK76" s="148"/>
      <c r="NL76" s="145"/>
      <c r="NM76" s="632"/>
      <c r="NN76" s="148"/>
      <c r="NO76" s="154"/>
      <c r="NP76" s="153"/>
      <c r="NQ76" s="153"/>
      <c r="NR76" s="210"/>
      <c r="NS76" s="148"/>
      <c r="NT76" s="210"/>
      <c r="NU76" s="148"/>
      <c r="NV76" s="148"/>
      <c r="NW76" s="175"/>
    </row>
    <row r="77" spans="2:387" ht="15.95" customHeight="1" x14ac:dyDescent="0.35">
      <c r="B77" s="118" t="str">
        <f t="shared" si="476"/>
        <v/>
      </c>
      <c r="C7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7" s="262" t="str">
        <f t="shared" si="477"/>
        <v xml:space="preserve">    Víko</v>
      </c>
      <c r="E77" s="120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Row],[Kód položek (P2)]]))))))))))</f>
        <v>STO2</v>
      </c>
      <c r="F77" s="791" t="str">
        <f t="shared" si="478"/>
        <v>N/A</v>
      </c>
      <c r="G77" s="792" t="str">
        <f t="shared" si="479"/>
        <v/>
      </c>
      <c r="H77" s="262" t="str">
        <f t="shared" si="480"/>
        <v/>
      </c>
      <c r="I77" s="123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HR '[MJHR'] (P0)]]))))))))))</f>
        <v>ks</v>
      </c>
      <c r="J77" s="123">
        <f t="shared" si="481"/>
        <v>4</v>
      </c>
      <c r="K77" s="793">
        <f>RZ[[#This Row],[Koeficient odhadu HR '[-'] (P1)]]</f>
        <v>1</v>
      </c>
      <c r="L77" s="124">
        <f ca="1">RZ[[#This Row],[Jednotková hmotnost s koef. '[kg/MJHR'] (P0)]]</f>
        <v>6.6</v>
      </c>
      <c r="M77" s="794">
        <f t="shared" ca="1" si="482"/>
        <v>0</v>
      </c>
      <c r="N77" s="125">
        <f t="shared" ca="1" si="483"/>
        <v>26.4</v>
      </c>
      <c r="O77" s="125">
        <f t="shared" ca="1" si="484"/>
        <v>0</v>
      </c>
      <c r="P77" s="126" t="str">
        <f t="shared" si="485"/>
        <v/>
      </c>
      <c r="Q77" s="795">
        <f ca="1">RZ[[#This Row],[Počet MJHR v rozpadu (P0)]]</f>
        <v>4</v>
      </c>
      <c r="R77" s="439" t="str">
        <f t="shared" si="486"/>
        <v/>
      </c>
      <c r="S77" s="129" t="str">
        <f t="shared" si="487"/>
        <v/>
      </c>
      <c r="T77" s="126" t="str">
        <f t="shared" si="488"/>
        <v/>
      </c>
      <c r="U77" s="126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CR (MJCR) (P0)]]))))))))))</f>
        <v>kg</v>
      </c>
      <c r="V77" s="575">
        <f t="shared" ca="1" si="489"/>
        <v>26.4</v>
      </c>
      <c r="W77" s="322">
        <f>RZ[[#This Row],[Koeficient odhadu CR '[-'] (P1)]]</f>
        <v>1</v>
      </c>
      <c r="X77" s="440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Row],[Jednotková cena bez DPH '[cena/MJCR'] (P1)]]*RZ[[#This Row],[Koeficient odhadu CR '[-']]]))))))))))</f>
        <v>115</v>
      </c>
      <c r="Y77" s="440">
        <f t="shared" ca="1" si="490"/>
        <v>0</v>
      </c>
      <c r="Z77" s="142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VLOOKUP(IP77,$BR$7:$BS$11,2,FALSE)))))))))))</f>
        <v>CZK</v>
      </c>
      <c r="AA77" s="909">
        <f t="shared" ca="1" si="491"/>
        <v>26.4</v>
      </c>
      <c r="AB77" s="910">
        <f ca="1">RZ[[#This Row],[Kumulovaný koeficient v rozpadu (P0)]]</f>
        <v>1</v>
      </c>
      <c r="AC77" s="261"/>
      <c r="AD77" s="796">
        <f ca="1">RZ[[#This Row],[Jednotková cena bez DPH '[cena/MJCR'] s koef. (P0)]]/RZ[[#This Row],[Koeficient odhadu CR '[-']]]*RZ[[#This Row],[Kumulovaný koeficient odhadu CR  '[-']]]</f>
        <v>115</v>
      </c>
      <c r="AE77" s="796">
        <f t="shared" ca="1" si="492"/>
        <v>3036</v>
      </c>
      <c r="AF77" s="796">
        <f ca="1">-IF(ISNUMBER(AA77),RZ[[#This Row],[Celková cena bez DPH (1)]]-RZ[[#This Row],[Jednotková cena bez DPH '[cena/MJCR'] bez koef. (P0)]]*AA77,0)</f>
        <v>0</v>
      </c>
      <c r="AG7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7" s="261"/>
      <c r="AI77" s="796">
        <f t="shared" ca="1" si="493"/>
        <v>4.2592592592592595</v>
      </c>
      <c r="AJ77" s="796">
        <f t="shared" ca="1" si="494"/>
        <v>112.44444444444444</v>
      </c>
      <c r="AK77" s="796">
        <f t="shared" ca="1" si="495"/>
        <v>0</v>
      </c>
      <c r="AL77" s="753">
        <f ca="1">RZ[[#This Row],[Kilogramová cena bez DPH '[cena/kg'] (1)]]/$AK$13</f>
        <v>4.2592592592592595</v>
      </c>
      <c r="AM77" s="261"/>
      <c r="AN77" s="796">
        <f t="shared" ca="1" si="496"/>
        <v>5.5555555555555554</v>
      </c>
      <c r="AO77" s="796">
        <f t="shared" ca="1" si="497"/>
        <v>146.66666666666669</v>
      </c>
      <c r="AP77" s="796">
        <f t="shared" ca="1" si="498"/>
        <v>0</v>
      </c>
      <c r="AQ77" s="753">
        <f ca="1">RZ[[#This Row],[Kilogramová cena bez DPH '[cena/kg'] (1)]]/$AP$13</f>
        <v>5.5555555555555554</v>
      </c>
      <c r="AR77" s="261"/>
      <c r="AS77" s="796">
        <f t="shared" ca="1" si="499"/>
        <v>3.1455142231947484</v>
      </c>
      <c r="AT77" s="796">
        <f t="shared" ca="1" si="500"/>
        <v>83.041575492341352</v>
      </c>
      <c r="AU77" s="789">
        <f t="shared" ca="1" si="501"/>
        <v>0</v>
      </c>
      <c r="AV77" s="767">
        <f ca="1">RZ[[#This Row],[Kilogramová cena bez DPH '[cena/kg'] (1)]]/$AU$13</f>
        <v>3.1455142231947484</v>
      </c>
      <c r="AW77" s="165"/>
      <c r="AX77" s="911">
        <f t="shared" ca="1" si="502"/>
        <v>2</v>
      </c>
      <c r="AY77" s="111">
        <f t="shared" ca="1" si="503"/>
        <v>3</v>
      </c>
      <c r="AZ77" s="111">
        <f t="shared" ca="1" si="504"/>
        <v>4</v>
      </c>
      <c r="BA77" s="111">
        <f t="shared" ca="1" si="505"/>
        <v>0</v>
      </c>
      <c r="BB77" s="111">
        <f t="shared" ca="1" si="506"/>
        <v>0</v>
      </c>
      <c r="BC77" s="111">
        <f t="shared" ca="1" si="507"/>
        <v>0</v>
      </c>
      <c r="BD77" s="111">
        <f t="shared" ca="1" si="508"/>
        <v>0</v>
      </c>
      <c r="BE77" s="111">
        <f t="shared" ca="1" si="509"/>
        <v>0</v>
      </c>
      <c r="BF77" s="111">
        <f t="shared" ca="1" si="510"/>
        <v>0</v>
      </c>
      <c r="BG77" s="112">
        <f t="shared" ca="1" si="511"/>
        <v>0</v>
      </c>
      <c r="BH77" s="911">
        <f t="shared" si="512"/>
        <v>0</v>
      </c>
      <c r="BI77" s="111">
        <f t="shared" si="513"/>
        <v>0</v>
      </c>
      <c r="BJ77" s="111">
        <f t="shared" si="514"/>
        <v>1</v>
      </c>
      <c r="BK77" s="111">
        <f t="shared" si="515"/>
        <v>0</v>
      </c>
      <c r="BL77" s="111">
        <f t="shared" si="516"/>
        <v>0</v>
      </c>
      <c r="BM77" s="111">
        <f t="shared" si="517"/>
        <v>0</v>
      </c>
      <c r="BN77" s="111">
        <f t="shared" si="518"/>
        <v>0</v>
      </c>
      <c r="BO77" s="111">
        <f t="shared" si="519"/>
        <v>0</v>
      </c>
      <c r="BP77" s="111">
        <f t="shared" si="520"/>
        <v>0</v>
      </c>
      <c r="BQ77" s="112">
        <f t="shared" si="521"/>
        <v>0</v>
      </c>
      <c r="BR77" s="132">
        <f ca="1">IF(OFFSET(AY77,1,0,1,1)&lt;&gt;0,RZ[[#This Row],[Koeficient odhadu HR '[-'] (P1)]]*$BH77*SUMIFS(RZ[Úroveň 2 s koef. (P2)],RZ[0],AX77),RZ[[#This Row],[Koeficient odhadu HR '[-'] (P1)]]*$BH77*$IG77)</f>
        <v>0</v>
      </c>
      <c r="BS77" s="186">
        <f ca="1">IF(OFFSET(AY77,1,0,1,1)&lt;&gt;0,$BH77*SUMIFS(RZ[Úroveň 2 bez koef. (P2)],RZ[0],AX77),$BH77*$IG77)</f>
        <v>0</v>
      </c>
      <c r="BT77" s="138">
        <f ca="1">RZ[[#This Row],[Úroveň 2 s koef. (P2a)]]*RZ[[#This Row],[Počet MJHR (P0)]]</f>
        <v>0</v>
      </c>
      <c r="BU77" s="138">
        <f ca="1">RZ[[#This Row],[Úroveň 2 bez koef. (P2a)]]*RZ[[#This Row],[Počet MJHR (P0)]]</f>
        <v>0</v>
      </c>
      <c r="BV77" s="138">
        <f ca="1">IF(OFFSET(AZ77,1,0,1,1)&lt;&gt;0,RZ[[#This Row],[Koeficient odhadu HR '[-'] (P1)]]*$BI77*SUMIFS(RZ[Úroveň 3 s koef. (P2)],RZ[0],AX77,RZ[Úroveň 2 (P0)],AY77),RZ[[#This Row],[Koeficient odhadu HR '[-'] (P1)]]*$BI77*$IG77)</f>
        <v>0</v>
      </c>
      <c r="BW77" s="138">
        <f ca="1">IF(OFFSET(AZ77,1,0,1,1)&lt;&gt;0,$BI77*SUMIFS(RZ[Úroveň 3 bez koef. (P2)],RZ[0],AX77,RZ[Úroveň 2 (P0)],AY77),$BI77*$IG77)</f>
        <v>0</v>
      </c>
      <c r="BX77" s="132">
        <f ca="1">RZ[[#This Row],[Úroveň 3 s koef. (P2a)]]*RZ[[#This Row],[Počet MJHR (P0)]]</f>
        <v>26.4</v>
      </c>
      <c r="BY77" s="132">
        <f ca="1">RZ[Úroveň 3 bez koef. (P2a)]*RZ[[#This Row],[Počet MJHR (P0)]]</f>
        <v>26.4</v>
      </c>
      <c r="BZ77" s="132">
        <f ca="1">IF(OFFSET(BA77,1,0,1,1)&lt;&gt;0,RZ[[#This Row],[Koeficient odhadu HR '[-'] (P1)]]*$BJ77*SUMIFS(RZ[Úroveň 4 s koef. (P2)],RZ[0],AX77,RZ[Úroveň 2 (P0)],AY77,RZ[Úroveň 3 (P0)],AZ77),RZ[[#This Row],[Koeficient odhadu HR '[-'] (P1)]]*$BJ77*$IG77)</f>
        <v>6.6</v>
      </c>
      <c r="CA77" s="132">
        <f ca="1">IF(OFFSET(BA77,1,0,1,1)&lt;&gt;0,$BJ77*SUMIFS(RZ[Úroveň 4 bez koef. (P2)],RZ[0],AX77,RZ[Úroveň 2 (P0)],AY77,RZ[Úroveň 3 (P0)],AZ77),$BJ77*$IG77)</f>
        <v>6.6</v>
      </c>
      <c r="CB77" s="138">
        <f ca="1">RZ[[#This Row],[Úroveň 4 s koef. (P2a)]]*RZ[[#This Row],[Počet MJHR (P0)]]</f>
        <v>0</v>
      </c>
      <c r="CC77" s="138">
        <f ca="1">RZ[Úroveň 4 bez koef. (P2a)]*RZ[[#This Row],[Počet MJHR (P0)]]</f>
        <v>0</v>
      </c>
      <c r="CD77" s="138">
        <f ca="1">IF(OFFSET(BB77,1,0,1,1)&lt;&gt;0,RZ[[#This Row],[Koeficient odhadu HR '[-'] (P1)]]*$BK77*SUMIFS(RZ[Úroveň 5 s koef. (P2)],RZ[0],AX77,RZ[Úroveň 2 (P0)],AY77,RZ[Úroveň 3 (P0)],AZ77,RZ[Úroveň 4 (P0)],BA77),RZ[[#This Row],[Koeficient odhadu HR '[-'] (P1)]]*$BK77*$IG77)</f>
        <v>0</v>
      </c>
      <c r="CE77" s="138">
        <f ca="1">IF(OFFSET(BB77,1,0,1,1)&lt;&gt;0,$BK77*SUMIFS(RZ[Úroveň 5 bez koef. (P2)],RZ[0],AX77,RZ[Úroveň 2 (P0)],AY77,RZ[Úroveň 3 (P0)],AZ77,RZ[Úroveň 4 (P0)],BA77),$BK77*$IG77)</f>
        <v>0</v>
      </c>
      <c r="CF77" s="132">
        <f ca="1">RZ[[#This Row],[Úroveň 5 s koef. (P2a)]]*RZ[[#This Row],[Počet MJHR (P0)]]</f>
        <v>0</v>
      </c>
      <c r="CG77" s="132">
        <f ca="1">RZ[Úroveň 5 bez koef. (P2a)]*RZ[[#This Row],[Počet MJHR (P0)]]</f>
        <v>0</v>
      </c>
      <c r="CH77" s="132">
        <f ca="1">IF(OFFSET(BC77,1,0,1,1)&lt;&gt;0,RZ[[#This Row],[Koeficient odhadu HR '[-'] (P1)]]*$BL77*SUMIFS(RZ[Úroveň 6 s koef. (P2)],RZ[0],AX77,RZ[Úroveň 2 (P0)],AY77,RZ[Úroveň 3 (P0)],AZ77,RZ[Úroveň 4 (P0)],BA77,RZ[Úroveň 5 (P0)],BB77),RZ[[#This Row],[Koeficient odhadu HR '[-'] (P1)]]*$BL77*$IG77)</f>
        <v>0</v>
      </c>
      <c r="CI77" s="132">
        <f ca="1">IF(OFFSET(BC77,1,0,1,1)&lt;&gt;0,$BL77*SUMIFS(RZ[Úroveň 6 bez koef. (P2)],RZ[0],AX77,RZ[Úroveň 2 (P0)],AY77,RZ[Úroveň 3 (P0)],AZ77,RZ[Úroveň 4 (P0)],BA77,RZ[Úroveň 5 (P0)],BB77),$BL77*$IG77)</f>
        <v>0</v>
      </c>
      <c r="CJ77" s="138">
        <f ca="1">RZ[[#This Row],[Úroveň 6 s koef. (P2a)]]*RZ[[#This Row],[Počet MJHR (P0)]]</f>
        <v>0</v>
      </c>
      <c r="CK77" s="138">
        <f ca="1">RZ[Úroveň 6 bez koef. (P2a)]*RZ[[#This Row],[Počet MJHR (P0)]]</f>
        <v>0</v>
      </c>
      <c r="CL77" s="138">
        <f ca="1">IF(OFFSET(BD77,1,0,1,1)&lt;&gt;0,RZ[[#This Row],[Koeficient odhadu HR '[-'] (P1)]]*$BM77*SUMIFS(RZ[Úroveň 7 s koef. (P2)],RZ[0],AX77,RZ[Úroveň 2 (P0)],AY77,RZ[Úroveň 3 (P0)],AZ77,RZ[Úroveň 4 (P0)],BA77,RZ[Úroveň 5 (P0)],BB77,RZ[Úroveň 6 (P0)],BC77),RZ[[#This Row],[Koeficient odhadu HR '[-'] (P1)]]*$BM77*$IG77)</f>
        <v>0</v>
      </c>
      <c r="CM77" s="138">
        <f ca="1">IF(OFFSET(BD77,1,0,1,1)&lt;&gt;0,$BM77*SUMIFS(RZ[Úroveň 7 bez koef. (P2)],RZ[0],AX77,RZ[Úroveň 2 (P0)],AY77,RZ[Úroveň 3 (P0)],AZ77,RZ[Úroveň 4 (P0)],BA77,RZ[Úroveň 5 (P0)],BB77,RZ[Úroveň 6 (P0)],BC77),$BM77*$IG77)</f>
        <v>0</v>
      </c>
      <c r="CN77" s="132">
        <f ca="1">RZ[[#This Row],[Úroveň 7 s koef. (P2a)]]*RZ[[#This Row],[Počet MJHR (P0)]]</f>
        <v>0</v>
      </c>
      <c r="CO77" s="132">
        <f ca="1">RZ[Úroveň 7 bez koef. (P2a)]*RZ[[#This Row],[Počet MJHR (P0)]]</f>
        <v>0</v>
      </c>
      <c r="CP77" s="132">
        <f ca="1">IF(OFFSET(BE77,1,0,1,1)&lt;&gt;0,RZ[[#This Row],[Koeficient odhadu HR '[-'] (P1)]]*$BN77*SUMIFS(RZ[Úroveň 8 s koef. (P2)],RZ[0],AX77,RZ[Úroveň 2 (P0)],AY77,RZ[Úroveň 3 (P0)],AZ77,RZ[Úroveň 4 (P0)],BA77,RZ[Úroveň 5 (P0)],BB77,RZ[Úroveň 6 (P0)],BC77,RZ[Úroveň 7 (P0)],BD77),RZ[[#This Row],[Koeficient odhadu HR '[-'] (P1)]]*$BN77*$IG77)</f>
        <v>0</v>
      </c>
      <c r="CQ77" s="132">
        <f ca="1">IF(OFFSET(BE77,1,0,1,1)&lt;&gt;0,$BN77*SUMIFS(RZ[Úroveň 8 bez koef. (P2)],RZ[0],AX77,RZ[Úroveň 2 (P0)],AY77,RZ[Úroveň 3 (P0)],AZ77,RZ[Úroveň 4 (P0)],BA77,RZ[Úroveň 5 (P0)],BB77,RZ[Úroveň 6 (P0)],BC77,RZ[Úroveň 7 (P0)],BD77),$BN77*$IG77)</f>
        <v>0</v>
      </c>
      <c r="CR77" s="138">
        <f ca="1">RZ[[#This Row],[Úroveň 8 s koef. (P2a)]]*RZ[[#This Row],[Počet MJHR (P0)]]</f>
        <v>0</v>
      </c>
      <c r="CS77" s="138">
        <f ca="1">RZ[Úroveň 8 bez koef. (P2a)]*RZ[[#This Row],[Počet MJHR (P0)]]</f>
        <v>0</v>
      </c>
      <c r="CT77" s="138">
        <f ca="1">IF(OFFSET(BF77,1,0,1,1)&lt;&gt;0,RZ[[#This Row],[Koeficient odhadu HR '[-'] (P1)]]*$BO77*SUMIFS(RZ[Úroveň 9 s koef. (P2)],RZ[0],AX77,RZ[Úroveň 2 (P0)],AY77,RZ[Úroveň 3 (P0)],AZ77,RZ[Úroveň 4 (P0)],BA77,RZ[Úroveň 5 (P0)],BB77,RZ[Úroveň 6 (P0)],BC77,RZ[Úroveň 7 (P0)],BD77,RZ[Úroveň 8 (P0)],BE77),RZ[[#This Row],[Koeficient odhadu HR '[-'] (P1)]]*$BO77*$IG77)</f>
        <v>0</v>
      </c>
      <c r="CU77" s="138">
        <f ca="1">IF(OFFSET(BF77,1,0,1,1)&lt;&gt;0,$BO77*SUMIFS(RZ[Úroveň 9 bez koef. (P2)],RZ[0],AX77,RZ[Úroveň 2 (P0)],AY77,RZ[Úroveň 3 (P0)],AZ77,RZ[Úroveň 4 (P0)],BA77,RZ[Úroveň 5 (P0)],BB77,RZ[Úroveň 6 (P0)],BC77,RZ[Úroveň 7 (P0)],BD77,RZ[Úroveň 8 (P0)],BE77),$BO77*$IG77)</f>
        <v>0</v>
      </c>
      <c r="CV77" s="132">
        <f ca="1">RZ[[#This Row],[Úroveň 9 s koef. (P2a)]]*RZ[[#This Row],[Počet MJHR (P0)]]</f>
        <v>0</v>
      </c>
      <c r="CW77" s="132">
        <f ca="1">RZ[Úroveň 9 bez koef. (P2a)]*RZ[[#This Row],[Počet MJHR (P0)]]</f>
        <v>0</v>
      </c>
      <c r="CX77" s="132">
        <f ca="1">IF(OFFSET(BG77,1,0,1,1)&lt;&gt;0,RZ[[#This Row],[Koeficient odhadu HR '[-'] (P1)]]*$BP77*SUMIFS(RZ[Úroveň 10 s koef. (P2)],RZ[0],AX77,RZ[Úroveň 2 (P0)],AY77,RZ[Úroveň 3 (P0)],AZ77,RZ[Úroveň 4 (P0)],BA77,RZ[Úroveň 5 (P0)],BB77,RZ[Úroveň 6 (P0)],BC77,RZ[Úroveň 7 (P0)],BD77,RZ[Úroveň 8 (P0)],BE77,RZ[Úroveň 9 (P0)],BF77),RZ[[#This Row],[Koeficient odhadu HR '[-'] (P1)]]*$BP77*$IG77)</f>
        <v>0</v>
      </c>
      <c r="CY77" s="132">
        <f ca="1">IF(OFFSET(BG77,1,0,1,1)&lt;&gt;0,$BP77*SUMIFS(RZ[Úroveň 10 bez koef. (P2)],RZ[0],AX77,RZ[Úroveň 2 (P0)],AY77,RZ[Úroveň 3 (P0)],AZ77,RZ[Úroveň 4 (P0)],BA77,RZ[Úroveň 5 (P0)],BB77,RZ[Úroveň 6 (P0)],BC77,RZ[Úroveň 7 (P0)],BD77,RZ[Úroveň 8 (P0)],BE77,RZ[Úroveň 9 (P0)],BF77),$BP77*$IG77)</f>
        <v>0</v>
      </c>
      <c r="CZ77" s="138">
        <f>RZ[[#This Row],[Úroveň 10 s koef. (P2a)]]*RZ[[#This Row],[Počet MJHR (P0)]]</f>
        <v>0</v>
      </c>
      <c r="DA77" s="138">
        <f>RZ[Úroveň 10 bez koef. (P2a)]*RZ[[#This Row],[Počet MJHR (P0)]]</f>
        <v>0</v>
      </c>
      <c r="DB77" s="138">
        <f>RZ[[#This Row],[Koeficient odhadu HR '[-'] (P1)]]*$BQ77*IG77</f>
        <v>0</v>
      </c>
      <c r="DC77" s="231">
        <f t="shared" si="522"/>
        <v>0</v>
      </c>
      <c r="DD77" s="241">
        <f t="shared" ca="1" si="523"/>
        <v>6.6</v>
      </c>
      <c r="DE77" s="229">
        <f t="shared" ca="1" si="524"/>
        <v>6.6</v>
      </c>
      <c r="DF77" s="912">
        <f t="shared" si="525"/>
        <v>0</v>
      </c>
      <c r="DG77" s="913">
        <f t="shared" si="526"/>
        <v>0</v>
      </c>
      <c r="DH77" s="913">
        <f t="shared" si="527"/>
        <v>4</v>
      </c>
      <c r="DI77" s="913">
        <f t="shared" si="528"/>
        <v>0</v>
      </c>
      <c r="DJ77" s="913">
        <f t="shared" si="529"/>
        <v>0</v>
      </c>
      <c r="DK77" s="913">
        <f t="shared" si="530"/>
        <v>0</v>
      </c>
      <c r="DL77" s="913">
        <f t="shared" si="531"/>
        <v>0</v>
      </c>
      <c r="DM77" s="913">
        <f t="shared" si="532"/>
        <v>0</v>
      </c>
      <c r="DN77" s="913">
        <f t="shared" si="533"/>
        <v>0</v>
      </c>
      <c r="DO77" s="913">
        <f t="shared" si="534"/>
        <v>0</v>
      </c>
      <c r="DP77" s="914">
        <f ca="1">SUMIFS(RZ[Úroveň 1 (P4)],RZ[0],AX77)</f>
        <v>1</v>
      </c>
      <c r="DQ77" s="914">
        <f ca="1">SUMIFS(RZ[Úroveň 2 (P4)],RZ[0],AX77,RZ[Úroveň 2 (P0)],AY77)</f>
        <v>1</v>
      </c>
      <c r="DR77" s="914">
        <f ca="1">SUMIFS(RZ[Úroveň 3 (P4)],RZ[0],AX77,RZ[Úroveň 2 (P0)],AY77,RZ[Úroveň 3 (P0)],AZ77)</f>
        <v>4</v>
      </c>
      <c r="DS77" s="914">
        <f ca="1">SUMIFS(RZ[Úroveň 4 (P4)],RZ[0],AX77,RZ[Úroveň 2 (P0)],AY77,RZ[Úroveň 3 (P0)],AZ77,RZ[Úroveň 4 (P0)],BA77)</f>
        <v>0</v>
      </c>
      <c r="DT77" s="914">
        <f ca="1">SUMIFS(RZ[Úroveň 5 (P4)],RZ[0],AX77,RZ[Úroveň 2 (P0)],AY77,RZ[Úroveň 3 (P0)],AZ77,RZ[Úroveň 4 (P0)],BA77,RZ[Úroveň 5 (P0)],BB77)</f>
        <v>0</v>
      </c>
      <c r="DU77" s="914">
        <f ca="1">SUMIFS(RZ[Úroveň 6 (P4)],RZ[0],AX77,RZ[Úroveň 2 (P0)],AY77,RZ[Úroveň 3 (P0)],AZ77,RZ[Úroveň 4 (P0)],BA77,RZ[Úroveň 5 (P0)],BB77,RZ[Úroveň 6 (P0)],BC77)</f>
        <v>0</v>
      </c>
      <c r="DV77" s="914">
        <f ca="1">SUMIFS(RZ[Úroveň 7 (P4)],RZ[0],AX77,RZ[Úroveň 2 (P0)],AY77,RZ[Úroveň 3 (P0)],AZ77,RZ[Úroveň 4 (P0)],BA77,RZ[Úroveň 5 (P0)],BB77,RZ[Úroveň 6 (P0)],BC77,RZ[Úroveň 7 (P0)],BD77)</f>
        <v>0</v>
      </c>
      <c r="DW77" s="914">
        <f ca="1">SUMIFS(RZ[Úroveň 8 (P4)],RZ[0],AX77,RZ[Úroveň 2 (P0)],AY77,RZ[Úroveň 3 (P0)],AZ77,RZ[Úroveň 4 (P0)],BA77,RZ[Úroveň 5 (P0)],BB77,RZ[Úroveň 6 (P0)],BC77,RZ[Úroveň 7 (P0)],BD77,RZ[Úroveň 8 (P0)],BE77)</f>
        <v>0</v>
      </c>
      <c r="DX77" s="914">
        <f ca="1">SUMIFS(RZ[Úroveň 9 (P4)],RZ[0],AX77,RZ[Úroveň 2 (P0)],AY77,RZ[Úroveň 3 (P0)],AZ77,RZ[Úroveň 4 (P0)],BA77,RZ[Úroveň 5 (P0)],BB77,RZ[Úroveň 6 (P0)],BC77,RZ[Úroveň 7 (P0)],BD77,RZ[Úroveň 8 (P0)],BE77,RZ[Úroveň 9 (P0)],BF77)</f>
        <v>0</v>
      </c>
      <c r="DY77" s="914">
        <f ca="1">SUMIFS(RZ[Úroveň 10 (P4)],RZ[0],AX77,RZ[Úroveň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DZ77" s="915">
        <f t="shared" ca="1" si="535"/>
        <v>4</v>
      </c>
      <c r="EA77" s="916">
        <f ca="1">RZ[[#This Row],[Jednotková hmotnost bez koef. '[kg/MJHR'] (P0)]]*RZ[[#This Row],[Počet MJHR v rozpadu (P0)]]</f>
        <v>26.4</v>
      </c>
      <c r="EB77" s="917">
        <f ca="1">IF(OFFSET(AY77,1,0,1,1)&lt;&gt;0,RZ[[#This Row],[Koeficient odhadu CR '[-'] (P1)]]*$BH77*SUMIFS(RZ[Úroveň 2 s koef. (P3)],RZ[0],AX77),RZ[[#This Row],[Koeficient odhadu CR '[-'] (P1)]]*$BH77*$IQ77)</f>
        <v>0</v>
      </c>
      <c r="EC77" s="191">
        <f ca="1">IF(OFFSET(AY77,1,0,1,1)&lt;&gt;0,$BH77*SUMIFS(RZ[Úroveň 2 bez koef. (P3)],RZ[0],AX77),$BH77*$IQ77)</f>
        <v>0</v>
      </c>
      <c r="ED77" s="140">
        <f ca="1">RZ[[#This Row],[Úroveň 2 s koef. (P3a)]]*RZ[[#This Row],[Počet MJCR (P0) pro "kg"]]</f>
        <v>0</v>
      </c>
      <c r="EE77" s="140">
        <f ca="1">RZ[Úroveň 2 bez koef. (P3a)]*RZ[[#This Row],[Počet MJCR (P0) pro "kg"]]</f>
        <v>0</v>
      </c>
      <c r="EF77" s="140">
        <f ca="1">IF(OFFSET(AZ77,1,0,1,1)&lt;&gt;0,RZ[[#This Row],[Koeficient odhadu CR '[-'] (P1)]]*$BI77*SUMIFS(RZ[Úroveň 3 s koef. (P3)],RZ[0],AX77,RZ[Úroveň 2 (P0)],AY77),RZ[[#This Row],[Koeficient odhadu CR '[-'] (P1)]]*$BI77*$IQ77)</f>
        <v>0</v>
      </c>
      <c r="EG77" s="140">
        <f ca="1">IF(OFFSET(AZ77,1,0,1,1)&lt;&gt;0,$BI77*SUMIFS(RZ[Úroveň 3 bez koef. (P3)],RZ[0],AX77,RZ[Úroveň 2 (P0)],AY77),$BI77*$IQ77)</f>
        <v>0</v>
      </c>
      <c r="EH77" s="135">
        <f ca="1">RZ[[#This Row],[Úroveň 3 s koef. (P3a)]]*RZ[[#This Row],[Počet MJCR (P0) pro "kg"]]</f>
        <v>3036</v>
      </c>
      <c r="EI77" s="135">
        <f ca="1">RZ[Úroveň 3 bez koef. (P3a)]*RZ[[#This Row],[Počet MJCR (P0) pro "kg"]]</f>
        <v>3036</v>
      </c>
      <c r="EJ77" s="135">
        <f ca="1">IF(OFFSET(BA77,1,0,1,1)&lt;&gt;0,RZ[[#This Row],[Koeficient odhadu CR '[-'] (P1)]]*$BJ77*SUMIFS(RZ[Úroveň 4 s koef. (P3)],RZ[0],AX77,RZ[Úroveň 2 (P0)],AY77,RZ[Úroveň 3 (P0)],AZ77),RZ[[#This Row],[Koeficient odhadu CR '[-'] (P1)]]*$BJ77*$IQ77)</f>
        <v>115</v>
      </c>
      <c r="EK77" s="135">
        <f ca="1">IF(OFFSET(BA77,1,0,1,1)&lt;&gt;0,$BJ77*SUMIFS(RZ[Úroveň 4 bez koef. (P3)],RZ[0],AX77,RZ[Úroveň 2 (P0)],AY77,RZ[Úroveň 3 (P0)],AZ77),$BJ77*$IQ77)</f>
        <v>115</v>
      </c>
      <c r="EL77" s="140">
        <f ca="1">RZ[[#This Row],[Úroveň 4 s koef. (P3a)]]*RZ[[#This Row],[Počet MJCR (P0) pro "kg"]]</f>
        <v>0</v>
      </c>
      <c r="EM77" s="140">
        <f ca="1">RZ[Úroveň 4 bez koef. (P3a)]*RZ[[#This Row],[Počet MJCR (P0) pro "kg"]]</f>
        <v>0</v>
      </c>
      <c r="EN77" s="140">
        <f ca="1">IF(OFFSET(BB77,1,0,1,1)&lt;&gt;0,RZ[[#This Row],[Koeficient odhadu CR '[-'] (P1)]]*$BK77*SUMIFS(RZ[Úroveň 5 s koef. (P3)],RZ[0],AX77,RZ[Úroveň 2 (P0)],AY77,RZ[Úroveň 3 (P0)],AZ77,RZ[Úroveň 4 (P0)],BA77),RZ[[#This Row],[Koeficient odhadu CR '[-'] (P1)]]*$BK77*$IQ77)</f>
        <v>0</v>
      </c>
      <c r="EO77" s="140">
        <f ca="1">IF(OFFSET(BB77,1,0,1,1)&lt;&gt;0,$BK77*SUMIFS(RZ[Úroveň 5 bez koef. (P3)],RZ[0],AX77,RZ[Úroveň 2 (P0)],AY77,RZ[Úroveň 3 (P0)],AZ77,RZ[Úroveň 4 (P0)],BA77),$BK77*$IQ77)</f>
        <v>0</v>
      </c>
      <c r="EP77" s="135">
        <f ca="1">RZ[[#This Row],[Úroveň 5 s koef. (P3a)]]*RZ[[#This Row],[Počet MJCR (P0) pro "kg"]]</f>
        <v>0</v>
      </c>
      <c r="EQ77" s="135">
        <f ca="1">RZ[Úroveň 5 bez koef. (P3a)]*RZ[[#This Row],[Počet MJCR (P0) pro "kg"]]</f>
        <v>0</v>
      </c>
      <c r="ER77" s="135">
        <f ca="1">IF(OFFSET(BC77,1,0,1,1)&lt;&gt;0,RZ[[#This Row],[Koeficient odhadu CR '[-'] (P1)]]*$BL77*SUMIFS(RZ[Úroveň 6 s koef. (P3)],RZ[0],AX77,RZ[Úroveň 2 (P0)],AY77,RZ[Úroveň 3 (P0)],AZ77,RZ[Úroveň 4 (P0)],BA77,RZ[Úroveň 5 (P0)],BB77),RZ[[#This Row],[Koeficient odhadu CR '[-'] (P1)]]*$BL77*$IQ77)</f>
        <v>0</v>
      </c>
      <c r="ES77" s="135">
        <f ca="1">IF(OFFSET(BC77,1,0,1,1)&lt;&gt;0,$BL77*SUMIFS(RZ[Úroveň 6 bez koef. (P3)],RZ[0],AX77,RZ[Úroveň 2 (P0)],AY77,RZ[Úroveň 3 (P0)],AZ77,RZ[Úroveň 4 (P0)],BA77,RZ[Úroveň 5 (P0)],BB77),$BL77*$IQ77)</f>
        <v>0</v>
      </c>
      <c r="ET77" s="140">
        <f ca="1">RZ[[#This Row],[Úroveň 6 s koef. (P3a)]]*RZ[[#This Row],[Počet MJCR (P0) pro "kg"]]</f>
        <v>0</v>
      </c>
      <c r="EU77" s="140">
        <f ca="1">RZ[Úroveň 6 bez koef. (P3a)]*RZ[[#This Row],[Počet MJCR (P0) pro "kg"]]</f>
        <v>0</v>
      </c>
      <c r="EV77" s="140">
        <f ca="1">IF(OFFSET(BD77,1,0,1,1)&lt;&gt;0,RZ[[#This Row],[Koeficient odhadu CR '[-'] (P1)]]*$BM77*SUMIFS(RZ[Úroveň 7 s koef. (P3)],RZ[0],AX77,RZ[Úroveň 2 (P0)],AY77,RZ[Úroveň 3 (P0)],AZ77,RZ[Úroveň 4 (P0)],BA77,RZ[Úroveň 5 (P0)],BB77,RZ[Úroveň 6 (P0)],BC77),RZ[[#This Row],[Koeficient odhadu CR '[-'] (P1)]]*$BM77*$IQ77)</f>
        <v>0</v>
      </c>
      <c r="EW77" s="140">
        <f ca="1">IF(OFFSET(BD77,1,0,1,1)&lt;&gt;0,$BM77*SUMIFS(RZ[Úroveň 7 bez koef. (P3)],RZ[0],AX77,RZ[Úroveň 2 (P0)],AY77,RZ[Úroveň 3 (P0)],AZ77,RZ[Úroveň 4 (P0)],BA77,RZ[Úroveň 5 (P0)],BB77,RZ[Úroveň 6 (P0)],BC77),$BM77*$IQ77)</f>
        <v>0</v>
      </c>
      <c r="EX77" s="135">
        <f ca="1">RZ[[#This Row],[Úroveň 7 s koef. (P3a)]]*RZ[[#This Row],[Počet MJCR (P0) pro "kg"]]</f>
        <v>0</v>
      </c>
      <c r="EY77" s="135">
        <f ca="1">RZ[Úroveň 7 bez koef. (P3a)]*RZ[[#This Row],[Počet MJCR (P0) pro "kg"]]</f>
        <v>0</v>
      </c>
      <c r="EZ77" s="135">
        <f ca="1">IF(OFFSET(BE77,1,0,1,1)&lt;&gt;0,RZ[[#This Row],[Koeficient odhadu CR '[-'] (P1)]]*$BN77*SUMIFS(RZ[Úroveň 8 s koef. (P3)],RZ[0],AX77,RZ[Úroveň 2 (P0)],AY77,RZ[Úroveň 3 (P0)],AZ77,RZ[Úroveň 4 (P0)],BA77,RZ[Úroveň 5 (P0)],BB77,RZ[Úroveň 6 (P0)],BC77,RZ[Úroveň 7 (P0)],BD77),RZ[[#This Row],[Koeficient odhadu CR '[-'] (P1)]]*$BN77*$IQ77)</f>
        <v>0</v>
      </c>
      <c r="FA77" s="135">
        <f ca="1">IF(OFFSET(BE77,1,0,1,1)&lt;&gt;0,$BN77*SUMIFS(RZ[Úroveň 8 bez koef. (P3)],RZ[0],AX77,RZ[Úroveň 2 (P0)],AY77,RZ[Úroveň 3 (P0)],AZ77,RZ[Úroveň 4 (P0)],BA77,RZ[Úroveň 5 (P0)],BB77,RZ[Úroveň 6 (P0)],BC77,RZ[Úroveň 7 (P0)],BD77),$BN77*$IQ77)</f>
        <v>0</v>
      </c>
      <c r="FB77" s="140">
        <f ca="1">RZ[[#This Row],[Úroveň 8 s koef. (P3a)]]*RZ[[#This Row],[Počet MJCR (P0) pro "kg"]]</f>
        <v>0</v>
      </c>
      <c r="FC77" s="140">
        <f ca="1">RZ[Úroveň 8 bez koef. (P3a)]*RZ[[#This Row],[Počet MJCR (P0) pro "kg"]]</f>
        <v>0</v>
      </c>
      <c r="FD77" s="140">
        <f ca="1">IF(OFFSET(BF77,1,0,1,1)&lt;&gt;0,RZ[[#This Row],[Koeficient odhadu CR '[-'] (P1)]]*$BO77*SUMIFS(RZ[Úroveň 9 s koef. (P3)],RZ[0],AX77,RZ[Úroveň 2 (P0)],AY77,RZ[Úroveň 3 (P0)],AZ77,RZ[Úroveň 4 (P0)],BA77,RZ[Úroveň 5 (P0)],BB77,RZ[Úroveň 6 (P0)],BC77,RZ[Úroveň 7 (P0)],BD77,RZ[Úroveň 8 (P0)],BE77),RZ[[#This Row],[Koeficient odhadu CR '[-'] (P1)]]*$BO77*$IQ77)</f>
        <v>0</v>
      </c>
      <c r="FE77" s="140">
        <f ca="1">IF(OFFSET(BF77,1,0,1,1)&lt;&gt;0,$BO77*SUMIFS(RZ[Úroveň 9 bez koef. (P3)],RZ[0],AX77,RZ[Úroveň 2 (P0)],AY77,RZ[Úroveň 3 (P0)],AZ77,RZ[Úroveň 4 (P0)],BA77,RZ[Úroveň 5 (P0)],BB77,RZ[Úroveň 6 (P0)],BC77,RZ[Úroveň 7 (P0)],BD77,RZ[Úroveň 8 (P0)],BE77),$BO77*$IQ77)</f>
        <v>0</v>
      </c>
      <c r="FF77" s="135">
        <f ca="1">RZ[[#This Row],[Úroveň 9 s koef. (P3a)]]*RZ[[#This Row],[Počet MJCR (P0) pro "kg"]]</f>
        <v>0</v>
      </c>
      <c r="FG77" s="135">
        <f ca="1">RZ[Úroveň 9 bez koef. (P3a)]*RZ[[#This Row],[Počet MJCR (P0) pro "kg"]]</f>
        <v>0</v>
      </c>
      <c r="FH77" s="135">
        <f ca="1">IF(OFFSET(BG77,1,0,1,1)&lt;&gt;0,RZ[[#This Row],[Koeficient odhadu CR '[-'] (P1)]]*$BP77*SUMIFS(RZ[Úroveň 10 s koef. (P3)],RZ[0],AX77,RZ[Úroveň 2 (P0)],AY77,RZ[Úroveň 3 (P0)],AZ77,RZ[Úroveň 4 (P0)],BA77,RZ[Úroveň 5 (P0)],BB77,RZ[Úroveň 6 (P0)],BC77,RZ[Úroveň 7 (P0)],BD77,RZ[Úroveň 8 (P0)],BE77,RZ[Úroveň 9 (P0)],BF77),RZ[[#This Row],[Koeficient odhadu CR '[-'] (P1)]]*$BP77*$IQ77)</f>
        <v>0</v>
      </c>
      <c r="FI77" s="135">
        <f ca="1">IF(OFFSET(BG77,1,0,1,1)&lt;&gt;0,$BP77*SUMIFS(RZ[Úroveň 10 bez koef. (P3)],RZ[0],AX77,RZ[Úroveň 2 (P0)],AY77,RZ[Úroveň 3 (P0)],AZ77,RZ[Úroveň 4 (P0)],BA77,RZ[Úroveň 5 (P0)],BB77,RZ[Úroveň 6 (P0)],BC77,RZ[Úroveň 7 (P0)],BD77,RZ[Úroveň 8 (P0)],BE77,RZ[Úroveň 9 (P0)],BF77),$BP77*$IQ77)</f>
        <v>0</v>
      </c>
      <c r="FJ77" s="140">
        <f ca="1">RZ[[#This Row],[Úroveň 10 s koef. (P3a)]]*RZ[[#This Row],[Počet MJCR (P0) pro "kg"]]</f>
        <v>0</v>
      </c>
      <c r="FK77" s="140">
        <f ca="1">RZ[Úroveň 10 bez koef. (P3a)]*RZ[[#This Row],[Počet MJCR (P0) pro "kg"]]</f>
        <v>0</v>
      </c>
      <c r="FL77" s="140">
        <f ca="1">RZ[[#This Row],[Koeficient odhadu CR '[-'] (P1)]]*$BQ77*IQ77</f>
        <v>0</v>
      </c>
      <c r="FM77" s="236">
        <f t="shared" ca="1" si="536"/>
        <v>0</v>
      </c>
      <c r="FN77" s="194">
        <f t="shared" ca="1" si="537"/>
        <v>115</v>
      </c>
      <c r="FO77" s="238">
        <f t="shared" ca="1" si="538"/>
        <v>115</v>
      </c>
      <c r="FP77" s="135">
        <f t="shared" ca="1" si="539"/>
        <v>0</v>
      </c>
      <c r="FQ77" s="135">
        <f t="shared" ca="1" si="540"/>
        <v>0</v>
      </c>
      <c r="FR77" s="135">
        <f t="shared" ca="1" si="541"/>
        <v>26.4</v>
      </c>
      <c r="FS77" s="135">
        <f t="shared" ca="1" si="542"/>
        <v>0</v>
      </c>
      <c r="FT77" s="135">
        <f t="shared" ca="1" si="543"/>
        <v>0</v>
      </c>
      <c r="FU77" s="135">
        <f t="shared" ca="1" si="544"/>
        <v>0</v>
      </c>
      <c r="FV77" s="135">
        <f t="shared" ca="1" si="545"/>
        <v>0</v>
      </c>
      <c r="FW77" s="135">
        <f t="shared" ca="1" si="546"/>
        <v>0</v>
      </c>
      <c r="FX77" s="135">
        <f t="shared" ca="1" si="547"/>
        <v>0</v>
      </c>
      <c r="FY77" s="135">
        <f t="shared" ca="1" si="548"/>
        <v>0</v>
      </c>
      <c r="FZ77" s="140">
        <f ca="1">SUMIFS(RZ[Úroveň 1 (P6)],RZ[0],AX77)</f>
        <v>1</v>
      </c>
      <c r="GA77" s="140">
        <f ca="1">SUMIFS(RZ[Úroveň 2 (P6)],RZ[0],AX77,RZ[Úroveň 2 (P0)],AY77)</f>
        <v>1</v>
      </c>
      <c r="GB77" s="140">
        <f ca="1">SUMIFS(RZ[Úroveň 3 (P6)],RZ[0],AX77,RZ[Úroveň 2 (P0)],AY77,RZ[Úroveň 3 (P0)],AZ77)</f>
        <v>26.4</v>
      </c>
      <c r="GC77" s="140">
        <f ca="1">SUMIFS(RZ[Úroveň 4 (P6)],RZ[0],AX77,RZ[Úroveň 2 (P0)],AY77,RZ[Úroveň 3 (P0)],AZ77,RZ[Úroveň 4 (P0)],BA77)</f>
        <v>0</v>
      </c>
      <c r="GD77" s="140">
        <f ca="1">SUMIFS(RZ[Úroveň 5 (P6)],RZ[0],AX77,RZ[Úroveň 2 (P0)],AY77,RZ[Úroveň 3 (P0)],AZ77,RZ[Úroveň 4 (P0)],BA77,RZ[Úroveň 5 (P0)],BB77)</f>
        <v>0</v>
      </c>
      <c r="GE77" s="140">
        <f ca="1">SUMIFS(RZ[Úroveň 6 (P6)],RZ[0],AX77,RZ[Úroveň 2 (P0)],AY77,RZ[Úroveň 3 (P0)],AZ77,RZ[Úroveň 4 (P0)],BA77,RZ[Úroveň 5 (P0)],BB77,RZ[Úroveň 6 (P0)],BC77)</f>
        <v>0</v>
      </c>
      <c r="GF77" s="140">
        <f ca="1">SUMIFS(RZ[Úroveň 7 (P6)],RZ[0],AX77,RZ[Úroveň 2 (P0)],AY77,RZ[Úroveň 3 (P0)],AZ77,RZ[Úroveň 4 (P0)],BA77,RZ[Úroveň 5 (P0)],BB77,RZ[Úroveň 6 (P0)],BC77,RZ[Úroveň 7 (P0)],BD77)</f>
        <v>0</v>
      </c>
      <c r="GG77" s="140">
        <f ca="1">SUMIFS(RZ[Úroveň 8 (P6)],RZ[0],AX77,RZ[Úroveň 2 (P0)],AY77,RZ[Úroveň 3 (P0)],AZ77,RZ[Úroveň 4 (P0)],BA77,RZ[Úroveň 5 (P0)],BB77,RZ[Úroveň 6 (P0)],BC77,RZ[Úroveň 7 (P0)],BD77,RZ[Úroveň 8 (P0)],BE77)</f>
        <v>0</v>
      </c>
      <c r="GH77" s="140">
        <f ca="1">SUMIFS(RZ[Úroveň 9 (P6)],RZ[0],AX77,RZ[Úroveň 2 (P0)],AY77,RZ[Úroveň 3 (P0)],AZ77,RZ[Úroveň 4 (P0)],BA77,RZ[Úroveň 5 (P0)],BB77,RZ[Úroveň 6 (P0)],BC77,RZ[Úroveň 7 (P0)],BD77,RZ[Úroveň 8 (P0)],BE77,RZ[Úroveň 9 (P0)],BF77)</f>
        <v>0</v>
      </c>
      <c r="GI77" s="140">
        <f ca="1">SUMIFS(RZ[Úroveň 10 (P6)],RZ[0],AX77,RZ[Úroveň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GJ77" s="918">
        <f t="shared" ca="1" si="549"/>
        <v>26.4</v>
      </c>
      <c r="GK77" s="808">
        <f t="shared" si="550"/>
        <v>0</v>
      </c>
      <c r="GL77" s="808">
        <f t="shared" si="551"/>
        <v>0</v>
      </c>
      <c r="GM77" s="808">
        <f t="shared" si="552"/>
        <v>1</v>
      </c>
      <c r="GN77" s="808">
        <f t="shared" si="553"/>
        <v>0</v>
      </c>
      <c r="GO77" s="808">
        <f t="shared" si="554"/>
        <v>0</v>
      </c>
      <c r="GP77" s="808">
        <f t="shared" si="555"/>
        <v>0</v>
      </c>
      <c r="GQ77" s="808">
        <f t="shared" si="556"/>
        <v>0</v>
      </c>
      <c r="GR77" s="808">
        <f t="shared" si="557"/>
        <v>0</v>
      </c>
      <c r="GS77" s="808">
        <f t="shared" si="558"/>
        <v>0</v>
      </c>
      <c r="GT77" s="808">
        <f t="shared" si="559"/>
        <v>0</v>
      </c>
      <c r="GU77" s="809">
        <f ca="1">SUMIFS(RZ[Sloupec1],RZ[0],AX77)</f>
        <v>1</v>
      </c>
      <c r="GV77" s="809">
        <f ca="1">SUMIFS(RZ[Sloupec2],RZ[0],AX77,RZ[Úroveň 2 (P0)],AY77)</f>
        <v>1</v>
      </c>
      <c r="GW77" s="809">
        <f ca="1">SUMIFS(RZ[Sloupec3],RZ[0],AX77,RZ[Úroveň 2 (P0)],AY77,RZ[Úroveň 3 (P0)],AZ77)</f>
        <v>1</v>
      </c>
      <c r="GX77" s="809">
        <f ca="1">SUMIFS(RZ[Sloupec4],RZ[0],AX77,RZ[Úroveň 2 (P0)],AY77,RZ[Úroveň 3 (P0)],AZ77,RZ[Úroveň 4 (P0)],BA77)</f>
        <v>0</v>
      </c>
      <c r="GY77" s="809">
        <f ca="1">SUMIFS(RZ[Sloupec5],RZ[0],AX77,RZ[Úroveň 2 (P0)],AY77,RZ[Úroveň 3 (P0)],AZ77,RZ[Úroveň 4 (P0)],BA77,RZ[Úroveň 5 (P0)],BB77)</f>
        <v>0</v>
      </c>
      <c r="GZ77" s="809">
        <f ca="1">SUMIFS(RZ[Sloupec6],RZ[0],AX77,RZ[Úroveň 2 (P0)],AY77,RZ[Úroveň 3 (P0)],AZ77,RZ[Úroveň 4 (P0)],BA77,RZ[Úroveň 5 (P0)],BB77,RZ[Úroveň 6 (P0)],BC77)</f>
        <v>0</v>
      </c>
      <c r="HA77" s="809">
        <f ca="1">SUMIFS(RZ[Sloupec62],RZ[0],AX77,RZ[Úroveň 2 (P0)],AY77,RZ[Úroveň 3 (P0)],AZ77,RZ[Úroveň 4 (P0)],BA77,RZ[Úroveň 5 (P0)],BB77,RZ[Úroveň 6 (P0)],BC77,RZ[Úroveň 7 (P0)],BD77)</f>
        <v>0</v>
      </c>
      <c r="HB77" s="809">
        <f ca="1">SUMIFS(RZ[Sloupec63],RZ[0],AX77,RZ[Úroveň 2 (P0)],AY77,RZ[Úroveň 3 (P0)],AZ77,RZ[Úroveň 4 (P0)],BA77,RZ[Úroveň 5 (P0)],BB77,RZ[Úroveň 6 (P0)],BC77,RZ[Úroveň 7 (P0)],BD77,RZ[Úroveň 8 (P0)],BE77)</f>
        <v>0</v>
      </c>
      <c r="HC77" s="809">
        <f ca="1">SUMIFS(RZ[Sloupec64],RZ[0],AX77,RZ[Úroveň 2 (P0)],AY77,RZ[Úroveň 3 (P0)],AZ77,RZ[Úroveň 4 (P0)],BA77,RZ[Úroveň 5 (P0)],BB77,RZ[Úroveň 6 (P0)],BC77,RZ[Úroveň 7 (P0)],BD77,RZ[Úroveň 8 (P0)],BE77,RZ[Úroveň 9 (P0)],BF77)</f>
        <v>0</v>
      </c>
      <c r="HD77" s="809">
        <f ca="1">SUMIFS(RZ[Sloupec65],RZ[0],AX77,RZ[Úroveň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HE77" s="919">
        <f t="shared" ca="1" si="560"/>
        <v>1</v>
      </c>
      <c r="HF77" s="920" t="str">
        <f t="shared" si="561"/>
        <v/>
      </c>
      <c r="HG77" s="94" t="str">
        <f t="shared" si="562"/>
        <v/>
      </c>
      <c r="HH77" s="95" t="str">
        <f t="shared" si="563"/>
        <v/>
      </c>
      <c r="HI77" s="95" t="str">
        <f t="shared" si="564"/>
        <v>Víko</v>
      </c>
      <c r="HJ77" s="96" t="str">
        <f t="shared" si="565"/>
        <v/>
      </c>
      <c r="HK77" s="96" t="str">
        <f t="shared" si="566"/>
        <v/>
      </c>
      <c r="HL77" s="96" t="str">
        <f t="shared" si="567"/>
        <v/>
      </c>
      <c r="HM77" s="96" t="str">
        <f t="shared" si="568"/>
        <v/>
      </c>
      <c r="HN77" s="96" t="str">
        <f t="shared" si="569"/>
        <v/>
      </c>
      <c r="HO77" s="96" t="str">
        <f t="shared" si="570"/>
        <v/>
      </c>
      <c r="HP77" s="96" t="str">
        <f t="shared" si="571"/>
        <v/>
      </c>
      <c r="HQ77" s="145" t="str">
        <f t="shared" si="572"/>
        <v>STO2</v>
      </c>
      <c r="HR77" s="921" t="str">
        <f t="shared" si="573"/>
        <v/>
      </c>
      <c r="HS77" s="173">
        <f t="shared" si="574"/>
        <v>0</v>
      </c>
      <c r="HT77" s="100">
        <f t="shared" si="575"/>
        <v>0</v>
      </c>
      <c r="HU77" s="100">
        <f t="shared" si="576"/>
        <v>0</v>
      </c>
      <c r="HV77" s="908">
        <f t="shared" si="577"/>
        <v>0</v>
      </c>
      <c r="HW77" s="922">
        <f t="shared" si="578"/>
        <v>0</v>
      </c>
      <c r="HX77" s="224">
        <f t="shared" si="579"/>
        <v>0</v>
      </c>
      <c r="HY77" s="263" t="str">
        <f t="shared" si="580"/>
        <v>S</v>
      </c>
      <c r="HZ77" s="263">
        <f t="shared" si="581"/>
        <v>0</v>
      </c>
      <c r="IA77" s="150">
        <f t="shared" si="582"/>
        <v>1</v>
      </c>
      <c r="IB77" s="319">
        <f t="shared" si="583"/>
        <v>0</v>
      </c>
      <c r="IC77" s="923">
        <f t="shared" si="584"/>
        <v>0</v>
      </c>
      <c r="ID77" s="924" t="str">
        <f t="shared" ca="1" si="585"/>
        <v>OK</v>
      </c>
      <c r="IE77" s="201" t="str">
        <f t="shared" si="586"/>
        <v>ks</v>
      </c>
      <c r="IF77" s="145">
        <f t="shared" si="587"/>
        <v>4</v>
      </c>
      <c r="IG77" s="216">
        <f t="shared" si="588"/>
        <v>6.6</v>
      </c>
      <c r="IH77" s="217">
        <f t="shared" si="589"/>
        <v>1</v>
      </c>
      <c r="II77" s="224" t="str">
        <f ca="1">IF(RZ[[#This Row],[Rozhodný sloupec indikativní ceny]]=1,"kg",IF($IW77=$JL$15,IF(JX77=0,JO77,JX77),IF($IW77=$KE$15,IF(KQ77=0,KH77,KQ77),IF($IW77=$KX$15,IF(LJ77=0,LA77,LJ77),IF($IW77=$LQ$15,IF(MC77=0,LT77,MC77),IF($IW77=$MJ$15,IF(NQ77=0,NH77,NQ77),0))))))</f>
        <v>kg</v>
      </c>
      <c r="IJ77" s="224">
        <f ca="1">IF((BH77+OFFSET(BH77,1,1,1,1))=2,RZ[[#This Row],[Počet MJHR (P0)]],IF((BI77+OFFSET(BI77,1,1,1,1))=2,RZ[[#This Row],[Počet MJHR (P0)]],IF((BJ77+OFFSET(BJ77,1,1,1,1))=2,RZ[[#This Row],[Počet MJHR (P0)]],IF((BK77+OFFSET(BK77,1,1,1,1))=2,RZ[[#This Row],[Počet MJHR (P0)]],IF((BL77+OFFSET(BL77,1,1,1,1))=2,RZ[[#This Row],[Počet MJHR (P0)]],IF((BM77+OFFSET(BM77,1,1,1,1))=2,RZ[[#This Row],[Počet MJHR (P0)]],IF((BN77+OFFSET(BN77,1,1,1,1))=2,RZ[[#This Row],[Počet MJHR (P0)]],IF((BO77+OFFSET(BO77,1,1,1,1))=2,RZ[[#This Row],[Počet MJHR (P0)]],IF((BP77+OFFSET(BP77,1,1,1,1))=2,RZ[[#This Row],[Počet MJHR (P0)]],IF((BQ77+OFFSET(BQ77,1,1,1,1))=2,RZ[[#This Row],[Počet MJHR (P0)]],IF(RZ[[#This Row],[Měrná jednotka CR (MJCR) (P0)]]=RZ[[#This Row],[Měrná jednotka HR '[MJHR'] (P0)]],RZ[[#This Row],[Počet MJHR (P0)]],IF($IW77=$JL$15,JY77,IF($IW77=$KE$15,KR77,IF($IW77=$KX$15,LK77,IF($IW77=$LQ$15,MD77,IF($IW77=$MJ$15,NR77,0))))))))))))))))</f>
        <v>0</v>
      </c>
      <c r="IK7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7" s="145">
        <f ca="1">IF(AND(RZ[[#This Row],[Jednotková cena bez DPH '[cena/MJCR'] (P0)]]=0,RZ[[#This Row],[Indikativní jednotková cena '[CZK/kg'] (P1)]]&lt;&gt;0),1,0)</f>
        <v>1</v>
      </c>
      <c r="IM77" s="217">
        <f ca="1">VLOOKUP(RZ[[#This Row],[Kód položek]],INDIKAT_CENA,2,FALSE)</f>
        <v>115</v>
      </c>
      <c r="IN77" s="222">
        <f ca="1">IF(RZ[[#This Row],[Rozhodný sloupec indikativní ceny]]=1,RZ[[#This Row],[Indikativní jednotková cena '[CZK/kg'] (P1)]],RZ[[#This Row],[Jednotková cena bez DPH '[cena/MJCR'] (P0)]])</f>
        <v>115</v>
      </c>
      <c r="IO77" s="222">
        <f t="shared" si="590"/>
        <v>1</v>
      </c>
      <c r="IP77" s="224">
        <f ca="1">IF(RZ[[#This Row],[Rozhodný sloupec indikativní ceny]]=1,1,IF($IW77=$JL$15,KA77,IF($IW77=$KE$15,KT77,IF($IW77=$KX$15,LM77,IF($IW77=$LQ$15,MF77,IF($IW77=$MJ$15,NT77,0))))))</f>
        <v>1</v>
      </c>
      <c r="IQ77" s="225">
        <f ca="1">IF(RZ[[#This Row],[Jednotková cena bez DPH '[cena/MJCR'] (P1)]]="",0,IF(IP77=0,0,(RZ[[#This Row],[Jednotková cena bez DPH '[cena/MJCR'] (P1)]]*VLOOKUP(IP77,$BR$7:$BT$10,3))))</f>
        <v>115</v>
      </c>
      <c r="IR77" s="737"/>
      <c r="IS77" s="627">
        <f>IF(HY77=0,"",VLOOKUP(RZ[[#This Row],[Stav Projekce (P0)]],Vstupy!$E$11:'Vstupy'!$E$11:$H$17,4,FALSE))</f>
        <v>100</v>
      </c>
      <c r="IT77" s="925" t="str">
        <f>IF(RZ[[#This Row],[Stav Projekce (P0)]]=0,"",RZ[[#This Row],[Stav Projekce (P0)]])</f>
        <v>S</v>
      </c>
      <c r="IU77" s="925" t="str">
        <f>IF(RZ[[#This Row],[Stav Nákup (P0)]]=0,"",RZ[[#This Row],[Stav Nákup (P0)]])</f>
        <v/>
      </c>
      <c r="IV77" s="926" t="str">
        <f t="shared" si="591"/>
        <v/>
      </c>
      <c r="IW77" s="641">
        <v>1</v>
      </c>
      <c r="IX77" s="630"/>
      <c r="IY77" s="264"/>
      <c r="IZ77" s="648"/>
      <c r="JA77" s="100"/>
      <c r="JB77" s="100" t="s">
        <v>787</v>
      </c>
      <c r="JC77" s="100"/>
      <c r="JD77" s="100"/>
      <c r="JE77" s="100"/>
      <c r="JF77" s="100"/>
      <c r="JG77" s="100"/>
      <c r="JH77" s="100"/>
      <c r="JI77" s="100"/>
      <c r="JJ77" s="145" t="s">
        <v>773</v>
      </c>
      <c r="JK77" s="529"/>
      <c r="JL77" s="286"/>
      <c r="JM77" s="100"/>
      <c r="JN77" s="100"/>
      <c r="JO77" s="145" t="s">
        <v>35</v>
      </c>
      <c r="JP77" s="117">
        <v>4</v>
      </c>
      <c r="JQ77" s="117">
        <v>6.6</v>
      </c>
      <c r="JR77" s="148">
        <v>1</v>
      </c>
      <c r="JS77" s="145" t="s">
        <v>602</v>
      </c>
      <c r="JT77" s="631"/>
      <c r="JU77" s="148"/>
      <c r="JV77" s="154"/>
      <c r="JW77" s="145"/>
      <c r="JX77" s="210"/>
      <c r="JY77" s="117"/>
      <c r="JZ77" s="662"/>
      <c r="KA77" s="145"/>
      <c r="KB77" s="148"/>
      <c r="KC77" s="148"/>
      <c r="KD77" s="644"/>
      <c r="KE77" s="286"/>
      <c r="KF77" s="100"/>
      <c r="KG77" s="100"/>
      <c r="KH77" s="210"/>
      <c r="KI77" s="117"/>
      <c r="KJ77" s="117"/>
      <c r="KK77" s="148"/>
      <c r="KL77" s="145"/>
      <c r="KM77" s="632"/>
      <c r="KN77" s="148"/>
      <c r="KO77" s="154"/>
      <c r="KP77" s="154"/>
      <c r="KQ77" s="210"/>
      <c r="KR77" s="117"/>
      <c r="KS77" s="211"/>
      <c r="KT77" s="145"/>
      <c r="KU77" s="148"/>
      <c r="KV77" s="148"/>
      <c r="KW77" s="265"/>
      <c r="KX77" s="286"/>
      <c r="KY77" s="100"/>
      <c r="KZ77" s="100"/>
      <c r="LA77" s="210"/>
      <c r="LB77" s="117"/>
      <c r="LC77" s="117"/>
      <c r="LD77" s="148"/>
      <c r="LE77" s="145"/>
      <c r="LF77" s="632"/>
      <c r="LG77" s="148"/>
      <c r="LH77" s="154"/>
      <c r="LI77" s="154"/>
      <c r="LJ77" s="154"/>
      <c r="LK77" s="117"/>
      <c r="LL77" s="211"/>
      <c r="LM77" s="210"/>
      <c r="LN77" s="148"/>
      <c r="LO77" s="148"/>
      <c r="LP77" s="265"/>
      <c r="LQ77" s="286"/>
      <c r="LR77" s="100"/>
      <c r="LS77" s="100"/>
      <c r="LT77" s="210"/>
      <c r="LU77" s="117"/>
      <c r="LV77" s="117"/>
      <c r="LW77" s="148"/>
      <c r="LX77" s="145"/>
      <c r="LY77" s="632"/>
      <c r="LZ77" s="148"/>
      <c r="MA77" s="154"/>
      <c r="MB77" s="154"/>
      <c r="MC77" s="145"/>
      <c r="MD77" s="117"/>
      <c r="ME77" s="211"/>
      <c r="MF77" s="210"/>
      <c r="MG77" s="148"/>
      <c r="MH77" s="148"/>
      <c r="MI77" s="265"/>
      <c r="MJ77" s="647"/>
      <c r="MK77" s="264"/>
      <c r="ML77" s="153"/>
      <c r="MM77" s="153"/>
      <c r="MN77" s="153"/>
      <c r="MO77" s="153"/>
      <c r="MP77" s="153"/>
      <c r="MQ77" s="153"/>
      <c r="MR77" s="153"/>
      <c r="MS77" s="99"/>
      <c r="MT77" s="99"/>
      <c r="MU77" s="99"/>
      <c r="MV77" s="99"/>
      <c r="MW77" s="99"/>
      <c r="MX77" s="99"/>
      <c r="MY77" s="153"/>
      <c r="MZ77" s="153"/>
      <c r="NA77" s="153"/>
      <c r="NB77" s="153"/>
      <c r="NC77" s="153"/>
      <c r="ND77" s="153"/>
      <c r="NE77" s="148"/>
      <c r="NF77" s="153"/>
      <c r="NG77" s="153"/>
      <c r="NH77" s="330" t="str">
        <f t="shared" si="592"/>
        <v>ks</v>
      </c>
      <c r="NI77" s="797">
        <f>RZ[[#This Row],[Počet ks (K)]]</f>
        <v>0</v>
      </c>
      <c r="NJ77" s="798">
        <f>RZ[[#This Row],[Hmotnost '[kg/ks'] (K)]]</f>
        <v>0</v>
      </c>
      <c r="NK77" s="148"/>
      <c r="NL77" s="145"/>
      <c r="NM77" s="632"/>
      <c r="NN77" s="148"/>
      <c r="NO77" s="154"/>
      <c r="NP77" s="153"/>
      <c r="NQ77" s="153"/>
      <c r="NR77" s="210"/>
      <c r="NS77" s="148"/>
      <c r="NT77" s="210"/>
      <c r="NU77" s="148"/>
      <c r="NV77" s="148"/>
      <c r="NW77" s="175"/>
    </row>
    <row r="78" spans="2:387" ht="15.95" customHeight="1" x14ac:dyDescent="0.35">
      <c r="B78" s="118" t="str">
        <f t="shared" si="476"/>
        <v/>
      </c>
      <c r="C7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8" s="262" t="str">
        <f t="shared" si="477"/>
        <v xml:space="preserve">    Víko</v>
      </c>
      <c r="E78" s="120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Row],[Kód položek (P2)]]))))))))))</f>
        <v>STO2</v>
      </c>
      <c r="F78" s="791" t="str">
        <f t="shared" si="478"/>
        <v>N/A</v>
      </c>
      <c r="G78" s="792" t="str">
        <f t="shared" si="479"/>
        <v/>
      </c>
      <c r="H78" s="262" t="str">
        <f t="shared" si="480"/>
        <v/>
      </c>
      <c r="I78" s="123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HR '[MJHR'] (P0)]]))))))))))</f>
        <v>ks</v>
      </c>
      <c r="J78" s="123">
        <f t="shared" si="481"/>
        <v>4</v>
      </c>
      <c r="K78" s="793">
        <f>RZ[[#This Row],[Koeficient odhadu HR '[-'] (P1)]]</f>
        <v>1</v>
      </c>
      <c r="L78" s="124">
        <f ca="1">RZ[[#This Row],[Jednotková hmotnost s koef. '[kg/MJHR'] (P0)]]</f>
        <v>6.6</v>
      </c>
      <c r="M78" s="794">
        <f t="shared" ca="1" si="482"/>
        <v>0</v>
      </c>
      <c r="N78" s="125">
        <f t="shared" ca="1" si="483"/>
        <v>26.4</v>
      </c>
      <c r="O78" s="125">
        <f t="shared" ca="1" si="484"/>
        <v>0</v>
      </c>
      <c r="P78" s="126" t="str">
        <f t="shared" si="485"/>
        <v/>
      </c>
      <c r="Q78" s="795">
        <f ca="1">RZ[[#This Row],[Počet MJHR v rozpadu (P0)]]</f>
        <v>4</v>
      </c>
      <c r="R78" s="439" t="str">
        <f t="shared" si="486"/>
        <v/>
      </c>
      <c r="S78" s="129" t="str">
        <f t="shared" si="487"/>
        <v/>
      </c>
      <c r="T78" s="126" t="str">
        <f t="shared" si="488"/>
        <v/>
      </c>
      <c r="U78" s="126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CR (MJCR) (P0)]]))))))))))</f>
        <v>kg</v>
      </c>
      <c r="V78" s="575">
        <f t="shared" ca="1" si="489"/>
        <v>26.4</v>
      </c>
      <c r="W78" s="322">
        <f>RZ[[#This Row],[Koeficient odhadu CR '[-'] (P1)]]</f>
        <v>1</v>
      </c>
      <c r="X78" s="440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Row],[Jednotková cena bez DPH '[cena/MJCR'] (P1)]]*RZ[[#This Row],[Koeficient odhadu CR '[-']]]))))))))))</f>
        <v>115</v>
      </c>
      <c r="Y78" s="440">
        <f t="shared" ca="1" si="490"/>
        <v>0</v>
      </c>
      <c r="Z78" s="142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VLOOKUP(IP78,$BR$7:$BS$11,2,FALSE)))))))))))</f>
        <v>CZK</v>
      </c>
      <c r="AA78" s="909">
        <f t="shared" ca="1" si="491"/>
        <v>26.4</v>
      </c>
      <c r="AB78" s="910">
        <f ca="1">RZ[[#This Row],[Kumulovaný koeficient v rozpadu (P0)]]</f>
        <v>1</v>
      </c>
      <c r="AC78" s="261"/>
      <c r="AD78" s="796">
        <f ca="1">RZ[[#This Row],[Jednotková cena bez DPH '[cena/MJCR'] s koef. (P0)]]/RZ[[#This Row],[Koeficient odhadu CR '[-']]]*RZ[[#This Row],[Kumulovaný koeficient odhadu CR  '[-']]]</f>
        <v>115</v>
      </c>
      <c r="AE78" s="796">
        <f t="shared" ca="1" si="492"/>
        <v>3036</v>
      </c>
      <c r="AF78" s="796">
        <f ca="1">-IF(ISNUMBER(AA78),RZ[[#This Row],[Celková cena bez DPH (1)]]-RZ[[#This Row],[Jednotková cena bez DPH '[cena/MJCR'] bez koef. (P0)]]*AA78,0)</f>
        <v>0</v>
      </c>
      <c r="AG7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8" s="261"/>
      <c r="AI78" s="796">
        <f t="shared" ca="1" si="493"/>
        <v>4.2592592592592595</v>
      </c>
      <c r="AJ78" s="796">
        <f t="shared" ca="1" si="494"/>
        <v>112.44444444444444</v>
      </c>
      <c r="AK78" s="796">
        <f t="shared" ca="1" si="495"/>
        <v>0</v>
      </c>
      <c r="AL78" s="753">
        <f ca="1">RZ[[#This Row],[Kilogramová cena bez DPH '[cena/kg'] (1)]]/$AK$13</f>
        <v>4.2592592592592595</v>
      </c>
      <c r="AM78" s="261"/>
      <c r="AN78" s="796">
        <f t="shared" ca="1" si="496"/>
        <v>5.5555555555555554</v>
      </c>
      <c r="AO78" s="796">
        <f t="shared" ca="1" si="497"/>
        <v>146.66666666666669</v>
      </c>
      <c r="AP78" s="796">
        <f t="shared" ca="1" si="498"/>
        <v>0</v>
      </c>
      <c r="AQ78" s="753">
        <f ca="1">RZ[[#This Row],[Kilogramová cena bez DPH '[cena/kg'] (1)]]/$AP$13</f>
        <v>5.5555555555555554</v>
      </c>
      <c r="AR78" s="261"/>
      <c r="AS78" s="796">
        <f t="shared" ca="1" si="499"/>
        <v>3.1455142231947484</v>
      </c>
      <c r="AT78" s="796">
        <f t="shared" ca="1" si="500"/>
        <v>83.041575492341352</v>
      </c>
      <c r="AU78" s="789">
        <f t="shared" ca="1" si="501"/>
        <v>0</v>
      </c>
      <c r="AV78" s="767">
        <f ca="1">RZ[[#This Row],[Kilogramová cena bez DPH '[cena/kg'] (1)]]/$AU$13</f>
        <v>3.1455142231947484</v>
      </c>
      <c r="AW78" s="165"/>
      <c r="AX78" s="911">
        <f t="shared" ca="1" si="502"/>
        <v>2</v>
      </c>
      <c r="AY78" s="111">
        <f t="shared" ca="1" si="503"/>
        <v>3</v>
      </c>
      <c r="AZ78" s="111">
        <f t="shared" ca="1" si="504"/>
        <v>5</v>
      </c>
      <c r="BA78" s="111">
        <f t="shared" ca="1" si="505"/>
        <v>0</v>
      </c>
      <c r="BB78" s="111">
        <f t="shared" ca="1" si="506"/>
        <v>0</v>
      </c>
      <c r="BC78" s="111">
        <f t="shared" ca="1" si="507"/>
        <v>0</v>
      </c>
      <c r="BD78" s="111">
        <f t="shared" ca="1" si="508"/>
        <v>0</v>
      </c>
      <c r="BE78" s="111">
        <f t="shared" ca="1" si="509"/>
        <v>0</v>
      </c>
      <c r="BF78" s="111">
        <f t="shared" ca="1" si="510"/>
        <v>0</v>
      </c>
      <c r="BG78" s="112">
        <f t="shared" ca="1" si="511"/>
        <v>0</v>
      </c>
      <c r="BH78" s="911">
        <f t="shared" si="512"/>
        <v>0</v>
      </c>
      <c r="BI78" s="111">
        <f t="shared" si="513"/>
        <v>0</v>
      </c>
      <c r="BJ78" s="111">
        <f t="shared" si="514"/>
        <v>1</v>
      </c>
      <c r="BK78" s="111">
        <f t="shared" si="515"/>
        <v>0</v>
      </c>
      <c r="BL78" s="111">
        <f t="shared" si="516"/>
        <v>0</v>
      </c>
      <c r="BM78" s="111">
        <f t="shared" si="517"/>
        <v>0</v>
      </c>
      <c r="BN78" s="111">
        <f t="shared" si="518"/>
        <v>0</v>
      </c>
      <c r="BO78" s="111">
        <f t="shared" si="519"/>
        <v>0</v>
      </c>
      <c r="BP78" s="111">
        <f t="shared" si="520"/>
        <v>0</v>
      </c>
      <c r="BQ78" s="112">
        <f t="shared" si="521"/>
        <v>0</v>
      </c>
      <c r="BR78" s="132">
        <f ca="1">IF(OFFSET(AY78,1,0,1,1)&lt;&gt;0,RZ[[#This Row],[Koeficient odhadu HR '[-'] (P1)]]*$BH78*SUMIFS(RZ[Úroveň 2 s koef. (P2)],RZ[0],AX78),RZ[[#This Row],[Koeficient odhadu HR '[-'] (P1)]]*$BH78*$IG78)</f>
        <v>0</v>
      </c>
      <c r="BS78" s="186">
        <f ca="1">IF(OFFSET(AY78,1,0,1,1)&lt;&gt;0,$BH78*SUMIFS(RZ[Úroveň 2 bez koef. (P2)],RZ[0],AX78),$BH78*$IG78)</f>
        <v>0</v>
      </c>
      <c r="BT78" s="138">
        <f ca="1">RZ[[#This Row],[Úroveň 2 s koef. (P2a)]]*RZ[[#This Row],[Počet MJHR (P0)]]</f>
        <v>0</v>
      </c>
      <c r="BU78" s="138">
        <f ca="1">RZ[[#This Row],[Úroveň 2 bez koef. (P2a)]]*RZ[[#This Row],[Počet MJHR (P0)]]</f>
        <v>0</v>
      </c>
      <c r="BV78" s="138">
        <f ca="1">IF(OFFSET(AZ78,1,0,1,1)&lt;&gt;0,RZ[[#This Row],[Koeficient odhadu HR '[-'] (P1)]]*$BI78*SUMIFS(RZ[Úroveň 3 s koef. (P2)],RZ[0],AX78,RZ[Úroveň 2 (P0)],AY78),RZ[[#This Row],[Koeficient odhadu HR '[-'] (P1)]]*$BI78*$IG78)</f>
        <v>0</v>
      </c>
      <c r="BW78" s="138">
        <f ca="1">IF(OFFSET(AZ78,1,0,1,1)&lt;&gt;0,$BI78*SUMIFS(RZ[Úroveň 3 bez koef. (P2)],RZ[0],AX78,RZ[Úroveň 2 (P0)],AY78),$BI78*$IG78)</f>
        <v>0</v>
      </c>
      <c r="BX78" s="132">
        <f ca="1">RZ[[#This Row],[Úroveň 3 s koef. (P2a)]]*RZ[[#This Row],[Počet MJHR (P0)]]</f>
        <v>26.4</v>
      </c>
      <c r="BY78" s="132">
        <f ca="1">RZ[Úroveň 3 bez koef. (P2a)]*RZ[[#This Row],[Počet MJHR (P0)]]</f>
        <v>26.4</v>
      </c>
      <c r="BZ78" s="132">
        <f ca="1">IF(OFFSET(BA78,1,0,1,1)&lt;&gt;0,RZ[[#This Row],[Koeficient odhadu HR '[-'] (P1)]]*$BJ78*SUMIFS(RZ[Úroveň 4 s koef. (P2)],RZ[0],AX78,RZ[Úroveň 2 (P0)],AY78,RZ[Úroveň 3 (P0)],AZ78),RZ[[#This Row],[Koeficient odhadu HR '[-'] (P1)]]*$BJ78*$IG78)</f>
        <v>6.6</v>
      </c>
      <c r="CA78" s="132">
        <f ca="1">IF(OFFSET(BA78,1,0,1,1)&lt;&gt;0,$BJ78*SUMIFS(RZ[Úroveň 4 bez koef. (P2)],RZ[0],AX78,RZ[Úroveň 2 (P0)],AY78,RZ[Úroveň 3 (P0)],AZ78),$BJ78*$IG78)</f>
        <v>6.6</v>
      </c>
      <c r="CB78" s="138">
        <f ca="1">RZ[[#This Row],[Úroveň 4 s koef. (P2a)]]*RZ[[#This Row],[Počet MJHR (P0)]]</f>
        <v>0</v>
      </c>
      <c r="CC78" s="138">
        <f ca="1">RZ[Úroveň 4 bez koef. (P2a)]*RZ[[#This Row],[Počet MJHR (P0)]]</f>
        <v>0</v>
      </c>
      <c r="CD78" s="138">
        <f ca="1">IF(OFFSET(BB78,1,0,1,1)&lt;&gt;0,RZ[[#This Row],[Koeficient odhadu HR '[-'] (P1)]]*$BK78*SUMIFS(RZ[Úroveň 5 s koef. (P2)],RZ[0],AX78,RZ[Úroveň 2 (P0)],AY78,RZ[Úroveň 3 (P0)],AZ78,RZ[Úroveň 4 (P0)],BA78),RZ[[#This Row],[Koeficient odhadu HR '[-'] (P1)]]*$BK78*$IG78)</f>
        <v>0</v>
      </c>
      <c r="CE78" s="138">
        <f ca="1">IF(OFFSET(BB78,1,0,1,1)&lt;&gt;0,$BK78*SUMIFS(RZ[Úroveň 5 bez koef. (P2)],RZ[0],AX78,RZ[Úroveň 2 (P0)],AY78,RZ[Úroveň 3 (P0)],AZ78,RZ[Úroveň 4 (P0)],BA78),$BK78*$IG78)</f>
        <v>0</v>
      </c>
      <c r="CF78" s="132">
        <f ca="1">RZ[[#This Row],[Úroveň 5 s koef. (P2a)]]*RZ[[#This Row],[Počet MJHR (P0)]]</f>
        <v>0</v>
      </c>
      <c r="CG78" s="132">
        <f ca="1">RZ[Úroveň 5 bez koef. (P2a)]*RZ[[#This Row],[Počet MJHR (P0)]]</f>
        <v>0</v>
      </c>
      <c r="CH78" s="132">
        <f ca="1">IF(OFFSET(BC78,1,0,1,1)&lt;&gt;0,RZ[[#This Row],[Koeficient odhadu HR '[-'] (P1)]]*$BL78*SUMIFS(RZ[Úroveň 6 s koef. (P2)],RZ[0],AX78,RZ[Úroveň 2 (P0)],AY78,RZ[Úroveň 3 (P0)],AZ78,RZ[Úroveň 4 (P0)],BA78,RZ[Úroveň 5 (P0)],BB78),RZ[[#This Row],[Koeficient odhadu HR '[-'] (P1)]]*$BL78*$IG78)</f>
        <v>0</v>
      </c>
      <c r="CI78" s="132">
        <f ca="1">IF(OFFSET(BC78,1,0,1,1)&lt;&gt;0,$BL78*SUMIFS(RZ[Úroveň 6 bez koef. (P2)],RZ[0],AX78,RZ[Úroveň 2 (P0)],AY78,RZ[Úroveň 3 (P0)],AZ78,RZ[Úroveň 4 (P0)],BA78,RZ[Úroveň 5 (P0)],BB78),$BL78*$IG78)</f>
        <v>0</v>
      </c>
      <c r="CJ78" s="138">
        <f ca="1">RZ[[#This Row],[Úroveň 6 s koef. (P2a)]]*RZ[[#This Row],[Počet MJHR (P0)]]</f>
        <v>0</v>
      </c>
      <c r="CK78" s="138">
        <f ca="1">RZ[Úroveň 6 bez koef. (P2a)]*RZ[[#This Row],[Počet MJHR (P0)]]</f>
        <v>0</v>
      </c>
      <c r="CL78" s="138">
        <f ca="1">IF(OFFSET(BD78,1,0,1,1)&lt;&gt;0,RZ[[#This Row],[Koeficient odhadu HR '[-'] (P1)]]*$BM78*SUMIFS(RZ[Úroveň 7 s koef. (P2)],RZ[0],AX78,RZ[Úroveň 2 (P0)],AY78,RZ[Úroveň 3 (P0)],AZ78,RZ[Úroveň 4 (P0)],BA78,RZ[Úroveň 5 (P0)],BB78,RZ[Úroveň 6 (P0)],BC78),RZ[[#This Row],[Koeficient odhadu HR '[-'] (P1)]]*$BM78*$IG78)</f>
        <v>0</v>
      </c>
      <c r="CM78" s="138">
        <f ca="1">IF(OFFSET(BD78,1,0,1,1)&lt;&gt;0,$BM78*SUMIFS(RZ[Úroveň 7 bez koef. (P2)],RZ[0],AX78,RZ[Úroveň 2 (P0)],AY78,RZ[Úroveň 3 (P0)],AZ78,RZ[Úroveň 4 (P0)],BA78,RZ[Úroveň 5 (P0)],BB78,RZ[Úroveň 6 (P0)],BC78),$BM78*$IG78)</f>
        <v>0</v>
      </c>
      <c r="CN78" s="132">
        <f ca="1">RZ[[#This Row],[Úroveň 7 s koef. (P2a)]]*RZ[[#This Row],[Počet MJHR (P0)]]</f>
        <v>0</v>
      </c>
      <c r="CO78" s="132">
        <f ca="1">RZ[Úroveň 7 bez koef. (P2a)]*RZ[[#This Row],[Počet MJHR (P0)]]</f>
        <v>0</v>
      </c>
      <c r="CP78" s="132">
        <f ca="1">IF(OFFSET(BE78,1,0,1,1)&lt;&gt;0,RZ[[#This Row],[Koeficient odhadu HR '[-'] (P1)]]*$BN78*SUMIFS(RZ[Úroveň 8 s koef. (P2)],RZ[0],AX78,RZ[Úroveň 2 (P0)],AY78,RZ[Úroveň 3 (P0)],AZ78,RZ[Úroveň 4 (P0)],BA78,RZ[Úroveň 5 (P0)],BB78,RZ[Úroveň 6 (P0)],BC78,RZ[Úroveň 7 (P0)],BD78),RZ[[#This Row],[Koeficient odhadu HR '[-'] (P1)]]*$BN78*$IG78)</f>
        <v>0</v>
      </c>
      <c r="CQ78" s="132">
        <f ca="1">IF(OFFSET(BE78,1,0,1,1)&lt;&gt;0,$BN78*SUMIFS(RZ[Úroveň 8 bez koef. (P2)],RZ[0],AX78,RZ[Úroveň 2 (P0)],AY78,RZ[Úroveň 3 (P0)],AZ78,RZ[Úroveň 4 (P0)],BA78,RZ[Úroveň 5 (P0)],BB78,RZ[Úroveň 6 (P0)],BC78,RZ[Úroveň 7 (P0)],BD78),$BN78*$IG78)</f>
        <v>0</v>
      </c>
      <c r="CR78" s="138">
        <f ca="1">RZ[[#This Row],[Úroveň 8 s koef. (P2a)]]*RZ[[#This Row],[Počet MJHR (P0)]]</f>
        <v>0</v>
      </c>
      <c r="CS78" s="138">
        <f ca="1">RZ[Úroveň 8 bez koef. (P2a)]*RZ[[#This Row],[Počet MJHR (P0)]]</f>
        <v>0</v>
      </c>
      <c r="CT78" s="138">
        <f ca="1">IF(OFFSET(BF78,1,0,1,1)&lt;&gt;0,RZ[[#This Row],[Koeficient odhadu HR '[-'] (P1)]]*$BO78*SUMIFS(RZ[Úroveň 9 s koef. (P2)],RZ[0],AX78,RZ[Úroveň 2 (P0)],AY78,RZ[Úroveň 3 (P0)],AZ78,RZ[Úroveň 4 (P0)],BA78,RZ[Úroveň 5 (P0)],BB78,RZ[Úroveň 6 (P0)],BC78,RZ[Úroveň 7 (P0)],BD78,RZ[Úroveň 8 (P0)],BE78),RZ[[#This Row],[Koeficient odhadu HR '[-'] (P1)]]*$BO78*$IG78)</f>
        <v>0</v>
      </c>
      <c r="CU78" s="138">
        <f ca="1">IF(OFFSET(BF78,1,0,1,1)&lt;&gt;0,$BO78*SUMIFS(RZ[Úroveň 9 bez koef. (P2)],RZ[0],AX78,RZ[Úroveň 2 (P0)],AY78,RZ[Úroveň 3 (P0)],AZ78,RZ[Úroveň 4 (P0)],BA78,RZ[Úroveň 5 (P0)],BB78,RZ[Úroveň 6 (P0)],BC78,RZ[Úroveň 7 (P0)],BD78,RZ[Úroveň 8 (P0)],BE78),$BO78*$IG78)</f>
        <v>0</v>
      </c>
      <c r="CV78" s="132">
        <f ca="1">RZ[[#This Row],[Úroveň 9 s koef. (P2a)]]*RZ[[#This Row],[Počet MJHR (P0)]]</f>
        <v>0</v>
      </c>
      <c r="CW78" s="132">
        <f ca="1">RZ[Úroveň 9 bez koef. (P2a)]*RZ[[#This Row],[Počet MJHR (P0)]]</f>
        <v>0</v>
      </c>
      <c r="CX78" s="132">
        <f ca="1">IF(OFFSET(BG78,1,0,1,1)&lt;&gt;0,RZ[[#This Row],[Koeficient odhadu HR '[-'] (P1)]]*$BP78*SUMIFS(RZ[Úroveň 10 s koef. (P2)],RZ[0],AX78,RZ[Úroveň 2 (P0)],AY78,RZ[Úroveň 3 (P0)],AZ78,RZ[Úroveň 4 (P0)],BA78,RZ[Úroveň 5 (P0)],BB78,RZ[Úroveň 6 (P0)],BC78,RZ[Úroveň 7 (P0)],BD78,RZ[Úroveň 8 (P0)],BE78,RZ[Úroveň 9 (P0)],BF78),RZ[[#This Row],[Koeficient odhadu HR '[-'] (P1)]]*$BP78*$IG78)</f>
        <v>0</v>
      </c>
      <c r="CY78" s="132">
        <f ca="1">IF(OFFSET(BG78,1,0,1,1)&lt;&gt;0,$BP78*SUMIFS(RZ[Úroveň 10 bez koef. (P2)],RZ[0],AX78,RZ[Úroveň 2 (P0)],AY78,RZ[Úroveň 3 (P0)],AZ78,RZ[Úroveň 4 (P0)],BA78,RZ[Úroveň 5 (P0)],BB78,RZ[Úroveň 6 (P0)],BC78,RZ[Úroveň 7 (P0)],BD78,RZ[Úroveň 8 (P0)],BE78,RZ[Úroveň 9 (P0)],BF78),$BP78*$IG78)</f>
        <v>0</v>
      </c>
      <c r="CZ78" s="138">
        <f>RZ[[#This Row],[Úroveň 10 s koef. (P2a)]]*RZ[[#This Row],[Počet MJHR (P0)]]</f>
        <v>0</v>
      </c>
      <c r="DA78" s="138">
        <f>RZ[Úroveň 10 bez koef. (P2a)]*RZ[[#This Row],[Počet MJHR (P0)]]</f>
        <v>0</v>
      </c>
      <c r="DB78" s="138">
        <f>RZ[[#This Row],[Koeficient odhadu HR '[-'] (P1)]]*$BQ78*IG78</f>
        <v>0</v>
      </c>
      <c r="DC78" s="231">
        <f t="shared" si="522"/>
        <v>0</v>
      </c>
      <c r="DD78" s="241">
        <f t="shared" ca="1" si="523"/>
        <v>6.6</v>
      </c>
      <c r="DE78" s="229">
        <f t="shared" ca="1" si="524"/>
        <v>6.6</v>
      </c>
      <c r="DF78" s="912">
        <f t="shared" si="525"/>
        <v>0</v>
      </c>
      <c r="DG78" s="913">
        <f t="shared" si="526"/>
        <v>0</v>
      </c>
      <c r="DH78" s="913">
        <f t="shared" si="527"/>
        <v>4</v>
      </c>
      <c r="DI78" s="913">
        <f t="shared" si="528"/>
        <v>0</v>
      </c>
      <c r="DJ78" s="913">
        <f t="shared" si="529"/>
        <v>0</v>
      </c>
      <c r="DK78" s="913">
        <f t="shared" si="530"/>
        <v>0</v>
      </c>
      <c r="DL78" s="913">
        <f t="shared" si="531"/>
        <v>0</v>
      </c>
      <c r="DM78" s="913">
        <f t="shared" si="532"/>
        <v>0</v>
      </c>
      <c r="DN78" s="913">
        <f t="shared" si="533"/>
        <v>0</v>
      </c>
      <c r="DO78" s="913">
        <f t="shared" si="534"/>
        <v>0</v>
      </c>
      <c r="DP78" s="914">
        <f ca="1">SUMIFS(RZ[Úroveň 1 (P4)],RZ[0],AX78)</f>
        <v>1</v>
      </c>
      <c r="DQ78" s="914">
        <f ca="1">SUMIFS(RZ[Úroveň 2 (P4)],RZ[0],AX78,RZ[Úroveň 2 (P0)],AY78)</f>
        <v>1</v>
      </c>
      <c r="DR78" s="914">
        <f ca="1">SUMIFS(RZ[Úroveň 3 (P4)],RZ[0],AX78,RZ[Úroveň 2 (P0)],AY78,RZ[Úroveň 3 (P0)],AZ78)</f>
        <v>4</v>
      </c>
      <c r="DS78" s="914">
        <f ca="1">SUMIFS(RZ[Úroveň 4 (P4)],RZ[0],AX78,RZ[Úroveň 2 (P0)],AY78,RZ[Úroveň 3 (P0)],AZ78,RZ[Úroveň 4 (P0)],BA78)</f>
        <v>0</v>
      </c>
      <c r="DT78" s="914">
        <f ca="1">SUMIFS(RZ[Úroveň 5 (P4)],RZ[0],AX78,RZ[Úroveň 2 (P0)],AY78,RZ[Úroveň 3 (P0)],AZ78,RZ[Úroveň 4 (P0)],BA78,RZ[Úroveň 5 (P0)],BB78)</f>
        <v>0</v>
      </c>
      <c r="DU78" s="914">
        <f ca="1">SUMIFS(RZ[Úroveň 6 (P4)],RZ[0],AX78,RZ[Úroveň 2 (P0)],AY78,RZ[Úroveň 3 (P0)],AZ78,RZ[Úroveň 4 (P0)],BA78,RZ[Úroveň 5 (P0)],BB78,RZ[Úroveň 6 (P0)],BC78)</f>
        <v>0</v>
      </c>
      <c r="DV78" s="914">
        <f ca="1">SUMIFS(RZ[Úroveň 7 (P4)],RZ[0],AX78,RZ[Úroveň 2 (P0)],AY78,RZ[Úroveň 3 (P0)],AZ78,RZ[Úroveň 4 (P0)],BA78,RZ[Úroveň 5 (P0)],BB78,RZ[Úroveň 6 (P0)],BC78,RZ[Úroveň 7 (P0)],BD78)</f>
        <v>0</v>
      </c>
      <c r="DW78" s="914">
        <f ca="1">SUMIFS(RZ[Úroveň 8 (P4)],RZ[0],AX78,RZ[Úroveň 2 (P0)],AY78,RZ[Úroveň 3 (P0)],AZ78,RZ[Úroveň 4 (P0)],BA78,RZ[Úroveň 5 (P0)],BB78,RZ[Úroveň 6 (P0)],BC78,RZ[Úroveň 7 (P0)],BD78,RZ[Úroveň 8 (P0)],BE78)</f>
        <v>0</v>
      </c>
      <c r="DX78" s="914">
        <f ca="1">SUMIFS(RZ[Úroveň 9 (P4)],RZ[0],AX78,RZ[Úroveň 2 (P0)],AY78,RZ[Úroveň 3 (P0)],AZ78,RZ[Úroveň 4 (P0)],BA78,RZ[Úroveň 5 (P0)],BB78,RZ[Úroveň 6 (P0)],BC78,RZ[Úroveň 7 (P0)],BD78,RZ[Úroveň 8 (P0)],BE78,RZ[Úroveň 9 (P0)],BF78)</f>
        <v>0</v>
      </c>
      <c r="DY78" s="914">
        <f ca="1">SUMIFS(RZ[Úroveň 10 (P4)],RZ[0],AX78,RZ[Úroveň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DZ78" s="915">
        <f t="shared" ca="1" si="535"/>
        <v>4</v>
      </c>
      <c r="EA78" s="916">
        <f ca="1">RZ[[#This Row],[Jednotková hmotnost bez koef. '[kg/MJHR'] (P0)]]*RZ[[#This Row],[Počet MJHR v rozpadu (P0)]]</f>
        <v>26.4</v>
      </c>
      <c r="EB78" s="917">
        <f ca="1">IF(OFFSET(AY78,1,0,1,1)&lt;&gt;0,RZ[[#This Row],[Koeficient odhadu CR '[-'] (P1)]]*$BH78*SUMIFS(RZ[Úroveň 2 s koef. (P3)],RZ[0],AX78),RZ[[#This Row],[Koeficient odhadu CR '[-'] (P1)]]*$BH78*$IQ78)</f>
        <v>0</v>
      </c>
      <c r="EC78" s="191">
        <f ca="1">IF(OFFSET(AY78,1,0,1,1)&lt;&gt;0,$BH78*SUMIFS(RZ[Úroveň 2 bez koef. (P3)],RZ[0],AX78),$BH78*$IQ78)</f>
        <v>0</v>
      </c>
      <c r="ED78" s="140">
        <f ca="1">RZ[[#This Row],[Úroveň 2 s koef. (P3a)]]*RZ[[#This Row],[Počet MJCR (P0) pro "kg"]]</f>
        <v>0</v>
      </c>
      <c r="EE78" s="140">
        <f ca="1">RZ[Úroveň 2 bez koef. (P3a)]*RZ[[#This Row],[Počet MJCR (P0) pro "kg"]]</f>
        <v>0</v>
      </c>
      <c r="EF78" s="140">
        <f ca="1">IF(OFFSET(AZ78,1,0,1,1)&lt;&gt;0,RZ[[#This Row],[Koeficient odhadu CR '[-'] (P1)]]*$BI78*SUMIFS(RZ[Úroveň 3 s koef. (P3)],RZ[0],AX78,RZ[Úroveň 2 (P0)],AY78),RZ[[#This Row],[Koeficient odhadu CR '[-'] (P1)]]*$BI78*$IQ78)</f>
        <v>0</v>
      </c>
      <c r="EG78" s="140">
        <f ca="1">IF(OFFSET(AZ78,1,0,1,1)&lt;&gt;0,$BI78*SUMIFS(RZ[Úroveň 3 bez koef. (P3)],RZ[0],AX78,RZ[Úroveň 2 (P0)],AY78),$BI78*$IQ78)</f>
        <v>0</v>
      </c>
      <c r="EH78" s="135">
        <f ca="1">RZ[[#This Row],[Úroveň 3 s koef. (P3a)]]*RZ[[#This Row],[Počet MJCR (P0) pro "kg"]]</f>
        <v>3036</v>
      </c>
      <c r="EI78" s="135">
        <f ca="1">RZ[Úroveň 3 bez koef. (P3a)]*RZ[[#This Row],[Počet MJCR (P0) pro "kg"]]</f>
        <v>3036</v>
      </c>
      <c r="EJ78" s="135">
        <f ca="1">IF(OFFSET(BA78,1,0,1,1)&lt;&gt;0,RZ[[#This Row],[Koeficient odhadu CR '[-'] (P1)]]*$BJ78*SUMIFS(RZ[Úroveň 4 s koef. (P3)],RZ[0],AX78,RZ[Úroveň 2 (P0)],AY78,RZ[Úroveň 3 (P0)],AZ78),RZ[[#This Row],[Koeficient odhadu CR '[-'] (P1)]]*$BJ78*$IQ78)</f>
        <v>115</v>
      </c>
      <c r="EK78" s="135">
        <f ca="1">IF(OFFSET(BA78,1,0,1,1)&lt;&gt;0,$BJ78*SUMIFS(RZ[Úroveň 4 bez koef. (P3)],RZ[0],AX78,RZ[Úroveň 2 (P0)],AY78,RZ[Úroveň 3 (P0)],AZ78),$BJ78*$IQ78)</f>
        <v>115</v>
      </c>
      <c r="EL78" s="140">
        <f ca="1">RZ[[#This Row],[Úroveň 4 s koef. (P3a)]]*RZ[[#This Row],[Počet MJCR (P0) pro "kg"]]</f>
        <v>0</v>
      </c>
      <c r="EM78" s="140">
        <f ca="1">RZ[Úroveň 4 bez koef. (P3a)]*RZ[[#This Row],[Počet MJCR (P0) pro "kg"]]</f>
        <v>0</v>
      </c>
      <c r="EN78" s="140">
        <f ca="1">IF(OFFSET(BB78,1,0,1,1)&lt;&gt;0,RZ[[#This Row],[Koeficient odhadu CR '[-'] (P1)]]*$BK78*SUMIFS(RZ[Úroveň 5 s koef. (P3)],RZ[0],AX78,RZ[Úroveň 2 (P0)],AY78,RZ[Úroveň 3 (P0)],AZ78,RZ[Úroveň 4 (P0)],BA78),RZ[[#This Row],[Koeficient odhadu CR '[-'] (P1)]]*$BK78*$IQ78)</f>
        <v>0</v>
      </c>
      <c r="EO78" s="140">
        <f ca="1">IF(OFFSET(BB78,1,0,1,1)&lt;&gt;0,$BK78*SUMIFS(RZ[Úroveň 5 bez koef. (P3)],RZ[0],AX78,RZ[Úroveň 2 (P0)],AY78,RZ[Úroveň 3 (P0)],AZ78,RZ[Úroveň 4 (P0)],BA78),$BK78*$IQ78)</f>
        <v>0</v>
      </c>
      <c r="EP78" s="135">
        <f ca="1">RZ[[#This Row],[Úroveň 5 s koef. (P3a)]]*RZ[[#This Row],[Počet MJCR (P0) pro "kg"]]</f>
        <v>0</v>
      </c>
      <c r="EQ78" s="135">
        <f ca="1">RZ[Úroveň 5 bez koef. (P3a)]*RZ[[#This Row],[Počet MJCR (P0) pro "kg"]]</f>
        <v>0</v>
      </c>
      <c r="ER78" s="135">
        <f ca="1">IF(OFFSET(BC78,1,0,1,1)&lt;&gt;0,RZ[[#This Row],[Koeficient odhadu CR '[-'] (P1)]]*$BL78*SUMIFS(RZ[Úroveň 6 s koef. (P3)],RZ[0],AX78,RZ[Úroveň 2 (P0)],AY78,RZ[Úroveň 3 (P0)],AZ78,RZ[Úroveň 4 (P0)],BA78,RZ[Úroveň 5 (P0)],BB78),RZ[[#This Row],[Koeficient odhadu CR '[-'] (P1)]]*$BL78*$IQ78)</f>
        <v>0</v>
      </c>
      <c r="ES78" s="135">
        <f ca="1">IF(OFFSET(BC78,1,0,1,1)&lt;&gt;0,$BL78*SUMIFS(RZ[Úroveň 6 bez koef. (P3)],RZ[0],AX78,RZ[Úroveň 2 (P0)],AY78,RZ[Úroveň 3 (P0)],AZ78,RZ[Úroveň 4 (P0)],BA78,RZ[Úroveň 5 (P0)],BB78),$BL78*$IQ78)</f>
        <v>0</v>
      </c>
      <c r="ET78" s="140">
        <f ca="1">RZ[[#This Row],[Úroveň 6 s koef. (P3a)]]*RZ[[#This Row],[Počet MJCR (P0) pro "kg"]]</f>
        <v>0</v>
      </c>
      <c r="EU78" s="140">
        <f ca="1">RZ[Úroveň 6 bez koef. (P3a)]*RZ[[#This Row],[Počet MJCR (P0) pro "kg"]]</f>
        <v>0</v>
      </c>
      <c r="EV78" s="140">
        <f ca="1">IF(OFFSET(BD78,1,0,1,1)&lt;&gt;0,RZ[[#This Row],[Koeficient odhadu CR '[-'] (P1)]]*$BM78*SUMIFS(RZ[Úroveň 7 s koef. (P3)],RZ[0],AX78,RZ[Úroveň 2 (P0)],AY78,RZ[Úroveň 3 (P0)],AZ78,RZ[Úroveň 4 (P0)],BA78,RZ[Úroveň 5 (P0)],BB78,RZ[Úroveň 6 (P0)],BC78),RZ[[#This Row],[Koeficient odhadu CR '[-'] (P1)]]*$BM78*$IQ78)</f>
        <v>0</v>
      </c>
      <c r="EW78" s="140">
        <f ca="1">IF(OFFSET(BD78,1,0,1,1)&lt;&gt;0,$BM78*SUMIFS(RZ[Úroveň 7 bez koef. (P3)],RZ[0],AX78,RZ[Úroveň 2 (P0)],AY78,RZ[Úroveň 3 (P0)],AZ78,RZ[Úroveň 4 (P0)],BA78,RZ[Úroveň 5 (P0)],BB78,RZ[Úroveň 6 (P0)],BC78),$BM78*$IQ78)</f>
        <v>0</v>
      </c>
      <c r="EX78" s="135">
        <f ca="1">RZ[[#This Row],[Úroveň 7 s koef. (P3a)]]*RZ[[#This Row],[Počet MJCR (P0) pro "kg"]]</f>
        <v>0</v>
      </c>
      <c r="EY78" s="135">
        <f ca="1">RZ[Úroveň 7 bez koef. (P3a)]*RZ[[#This Row],[Počet MJCR (P0) pro "kg"]]</f>
        <v>0</v>
      </c>
      <c r="EZ78" s="135">
        <f ca="1">IF(OFFSET(BE78,1,0,1,1)&lt;&gt;0,RZ[[#This Row],[Koeficient odhadu CR '[-'] (P1)]]*$BN78*SUMIFS(RZ[Úroveň 8 s koef. (P3)],RZ[0],AX78,RZ[Úroveň 2 (P0)],AY78,RZ[Úroveň 3 (P0)],AZ78,RZ[Úroveň 4 (P0)],BA78,RZ[Úroveň 5 (P0)],BB78,RZ[Úroveň 6 (P0)],BC78,RZ[Úroveň 7 (P0)],BD78),RZ[[#This Row],[Koeficient odhadu CR '[-'] (P1)]]*$BN78*$IQ78)</f>
        <v>0</v>
      </c>
      <c r="FA78" s="135">
        <f ca="1">IF(OFFSET(BE78,1,0,1,1)&lt;&gt;0,$BN78*SUMIFS(RZ[Úroveň 8 bez koef. (P3)],RZ[0],AX78,RZ[Úroveň 2 (P0)],AY78,RZ[Úroveň 3 (P0)],AZ78,RZ[Úroveň 4 (P0)],BA78,RZ[Úroveň 5 (P0)],BB78,RZ[Úroveň 6 (P0)],BC78,RZ[Úroveň 7 (P0)],BD78),$BN78*$IQ78)</f>
        <v>0</v>
      </c>
      <c r="FB78" s="140">
        <f ca="1">RZ[[#This Row],[Úroveň 8 s koef. (P3a)]]*RZ[[#This Row],[Počet MJCR (P0) pro "kg"]]</f>
        <v>0</v>
      </c>
      <c r="FC78" s="140">
        <f ca="1">RZ[Úroveň 8 bez koef. (P3a)]*RZ[[#This Row],[Počet MJCR (P0) pro "kg"]]</f>
        <v>0</v>
      </c>
      <c r="FD78" s="140">
        <f ca="1">IF(OFFSET(BF78,1,0,1,1)&lt;&gt;0,RZ[[#This Row],[Koeficient odhadu CR '[-'] (P1)]]*$BO78*SUMIFS(RZ[Úroveň 9 s koef. (P3)],RZ[0],AX78,RZ[Úroveň 2 (P0)],AY78,RZ[Úroveň 3 (P0)],AZ78,RZ[Úroveň 4 (P0)],BA78,RZ[Úroveň 5 (P0)],BB78,RZ[Úroveň 6 (P0)],BC78,RZ[Úroveň 7 (P0)],BD78,RZ[Úroveň 8 (P0)],BE78),RZ[[#This Row],[Koeficient odhadu CR '[-'] (P1)]]*$BO78*$IQ78)</f>
        <v>0</v>
      </c>
      <c r="FE78" s="140">
        <f ca="1">IF(OFFSET(BF78,1,0,1,1)&lt;&gt;0,$BO78*SUMIFS(RZ[Úroveň 9 bez koef. (P3)],RZ[0],AX78,RZ[Úroveň 2 (P0)],AY78,RZ[Úroveň 3 (P0)],AZ78,RZ[Úroveň 4 (P0)],BA78,RZ[Úroveň 5 (P0)],BB78,RZ[Úroveň 6 (P0)],BC78,RZ[Úroveň 7 (P0)],BD78,RZ[Úroveň 8 (P0)],BE78),$BO78*$IQ78)</f>
        <v>0</v>
      </c>
      <c r="FF78" s="135">
        <f ca="1">RZ[[#This Row],[Úroveň 9 s koef. (P3a)]]*RZ[[#This Row],[Počet MJCR (P0) pro "kg"]]</f>
        <v>0</v>
      </c>
      <c r="FG78" s="135">
        <f ca="1">RZ[Úroveň 9 bez koef. (P3a)]*RZ[[#This Row],[Počet MJCR (P0) pro "kg"]]</f>
        <v>0</v>
      </c>
      <c r="FH78" s="135">
        <f ca="1">IF(OFFSET(BG78,1,0,1,1)&lt;&gt;0,RZ[[#This Row],[Koeficient odhadu CR '[-'] (P1)]]*$BP78*SUMIFS(RZ[Úroveň 10 s koef. (P3)],RZ[0],AX78,RZ[Úroveň 2 (P0)],AY78,RZ[Úroveň 3 (P0)],AZ78,RZ[Úroveň 4 (P0)],BA78,RZ[Úroveň 5 (P0)],BB78,RZ[Úroveň 6 (P0)],BC78,RZ[Úroveň 7 (P0)],BD78,RZ[Úroveň 8 (P0)],BE78,RZ[Úroveň 9 (P0)],BF78),RZ[[#This Row],[Koeficient odhadu CR '[-'] (P1)]]*$BP78*$IQ78)</f>
        <v>0</v>
      </c>
      <c r="FI78" s="135">
        <f ca="1">IF(OFFSET(BG78,1,0,1,1)&lt;&gt;0,$BP78*SUMIFS(RZ[Úroveň 10 bez koef. (P3)],RZ[0],AX78,RZ[Úroveň 2 (P0)],AY78,RZ[Úroveň 3 (P0)],AZ78,RZ[Úroveň 4 (P0)],BA78,RZ[Úroveň 5 (P0)],BB78,RZ[Úroveň 6 (P0)],BC78,RZ[Úroveň 7 (P0)],BD78,RZ[Úroveň 8 (P0)],BE78,RZ[Úroveň 9 (P0)],BF78),$BP78*$IQ78)</f>
        <v>0</v>
      </c>
      <c r="FJ78" s="140">
        <f ca="1">RZ[[#This Row],[Úroveň 10 s koef. (P3a)]]*RZ[[#This Row],[Počet MJCR (P0) pro "kg"]]</f>
        <v>0</v>
      </c>
      <c r="FK78" s="140">
        <f ca="1">RZ[Úroveň 10 bez koef. (P3a)]*RZ[[#This Row],[Počet MJCR (P0) pro "kg"]]</f>
        <v>0</v>
      </c>
      <c r="FL78" s="140">
        <f ca="1">RZ[[#This Row],[Koeficient odhadu CR '[-'] (P1)]]*$BQ78*IQ78</f>
        <v>0</v>
      </c>
      <c r="FM78" s="236">
        <f t="shared" ca="1" si="536"/>
        <v>0</v>
      </c>
      <c r="FN78" s="194">
        <f t="shared" ca="1" si="537"/>
        <v>115</v>
      </c>
      <c r="FO78" s="238">
        <f t="shared" ca="1" si="538"/>
        <v>115</v>
      </c>
      <c r="FP78" s="135">
        <f t="shared" ca="1" si="539"/>
        <v>0</v>
      </c>
      <c r="FQ78" s="135">
        <f t="shared" ca="1" si="540"/>
        <v>0</v>
      </c>
      <c r="FR78" s="135">
        <f t="shared" ca="1" si="541"/>
        <v>26.4</v>
      </c>
      <c r="FS78" s="135">
        <f t="shared" ca="1" si="542"/>
        <v>0</v>
      </c>
      <c r="FT78" s="135">
        <f t="shared" ca="1" si="543"/>
        <v>0</v>
      </c>
      <c r="FU78" s="135">
        <f t="shared" ca="1" si="544"/>
        <v>0</v>
      </c>
      <c r="FV78" s="135">
        <f t="shared" ca="1" si="545"/>
        <v>0</v>
      </c>
      <c r="FW78" s="135">
        <f t="shared" ca="1" si="546"/>
        <v>0</v>
      </c>
      <c r="FX78" s="135">
        <f t="shared" ca="1" si="547"/>
        <v>0</v>
      </c>
      <c r="FY78" s="135">
        <f t="shared" ca="1" si="548"/>
        <v>0</v>
      </c>
      <c r="FZ78" s="140">
        <f ca="1">SUMIFS(RZ[Úroveň 1 (P6)],RZ[0],AX78)</f>
        <v>1</v>
      </c>
      <c r="GA78" s="140">
        <f ca="1">SUMIFS(RZ[Úroveň 2 (P6)],RZ[0],AX78,RZ[Úroveň 2 (P0)],AY78)</f>
        <v>1</v>
      </c>
      <c r="GB78" s="140">
        <f ca="1">SUMIFS(RZ[Úroveň 3 (P6)],RZ[0],AX78,RZ[Úroveň 2 (P0)],AY78,RZ[Úroveň 3 (P0)],AZ78)</f>
        <v>26.4</v>
      </c>
      <c r="GC78" s="140">
        <f ca="1">SUMIFS(RZ[Úroveň 4 (P6)],RZ[0],AX78,RZ[Úroveň 2 (P0)],AY78,RZ[Úroveň 3 (P0)],AZ78,RZ[Úroveň 4 (P0)],BA78)</f>
        <v>0</v>
      </c>
      <c r="GD78" s="140">
        <f ca="1">SUMIFS(RZ[Úroveň 5 (P6)],RZ[0],AX78,RZ[Úroveň 2 (P0)],AY78,RZ[Úroveň 3 (P0)],AZ78,RZ[Úroveň 4 (P0)],BA78,RZ[Úroveň 5 (P0)],BB78)</f>
        <v>0</v>
      </c>
      <c r="GE78" s="140">
        <f ca="1">SUMIFS(RZ[Úroveň 6 (P6)],RZ[0],AX78,RZ[Úroveň 2 (P0)],AY78,RZ[Úroveň 3 (P0)],AZ78,RZ[Úroveň 4 (P0)],BA78,RZ[Úroveň 5 (P0)],BB78,RZ[Úroveň 6 (P0)],BC78)</f>
        <v>0</v>
      </c>
      <c r="GF78" s="140">
        <f ca="1">SUMIFS(RZ[Úroveň 7 (P6)],RZ[0],AX78,RZ[Úroveň 2 (P0)],AY78,RZ[Úroveň 3 (P0)],AZ78,RZ[Úroveň 4 (P0)],BA78,RZ[Úroveň 5 (P0)],BB78,RZ[Úroveň 6 (P0)],BC78,RZ[Úroveň 7 (P0)],BD78)</f>
        <v>0</v>
      </c>
      <c r="GG78" s="140">
        <f ca="1">SUMIFS(RZ[Úroveň 8 (P6)],RZ[0],AX78,RZ[Úroveň 2 (P0)],AY78,RZ[Úroveň 3 (P0)],AZ78,RZ[Úroveň 4 (P0)],BA78,RZ[Úroveň 5 (P0)],BB78,RZ[Úroveň 6 (P0)],BC78,RZ[Úroveň 7 (P0)],BD78,RZ[Úroveň 8 (P0)],BE78)</f>
        <v>0</v>
      </c>
      <c r="GH78" s="140">
        <f ca="1">SUMIFS(RZ[Úroveň 9 (P6)],RZ[0],AX78,RZ[Úroveň 2 (P0)],AY78,RZ[Úroveň 3 (P0)],AZ78,RZ[Úroveň 4 (P0)],BA78,RZ[Úroveň 5 (P0)],BB78,RZ[Úroveň 6 (P0)],BC78,RZ[Úroveň 7 (P0)],BD78,RZ[Úroveň 8 (P0)],BE78,RZ[Úroveň 9 (P0)],BF78)</f>
        <v>0</v>
      </c>
      <c r="GI78" s="140">
        <f ca="1">SUMIFS(RZ[Úroveň 10 (P6)],RZ[0],AX78,RZ[Úroveň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GJ78" s="918">
        <f t="shared" ca="1" si="549"/>
        <v>26.4</v>
      </c>
      <c r="GK78" s="808">
        <f t="shared" si="550"/>
        <v>0</v>
      </c>
      <c r="GL78" s="808">
        <f t="shared" si="551"/>
        <v>0</v>
      </c>
      <c r="GM78" s="808">
        <f t="shared" si="552"/>
        <v>1</v>
      </c>
      <c r="GN78" s="808">
        <f t="shared" si="553"/>
        <v>0</v>
      </c>
      <c r="GO78" s="808">
        <f t="shared" si="554"/>
        <v>0</v>
      </c>
      <c r="GP78" s="808">
        <f t="shared" si="555"/>
        <v>0</v>
      </c>
      <c r="GQ78" s="808">
        <f t="shared" si="556"/>
        <v>0</v>
      </c>
      <c r="GR78" s="808">
        <f t="shared" si="557"/>
        <v>0</v>
      </c>
      <c r="GS78" s="808">
        <f t="shared" si="558"/>
        <v>0</v>
      </c>
      <c r="GT78" s="808">
        <f t="shared" si="559"/>
        <v>0</v>
      </c>
      <c r="GU78" s="809">
        <f ca="1">SUMIFS(RZ[Sloupec1],RZ[0],AX78)</f>
        <v>1</v>
      </c>
      <c r="GV78" s="809">
        <f ca="1">SUMIFS(RZ[Sloupec2],RZ[0],AX78,RZ[Úroveň 2 (P0)],AY78)</f>
        <v>1</v>
      </c>
      <c r="GW78" s="809">
        <f ca="1">SUMIFS(RZ[Sloupec3],RZ[0],AX78,RZ[Úroveň 2 (P0)],AY78,RZ[Úroveň 3 (P0)],AZ78)</f>
        <v>1</v>
      </c>
      <c r="GX78" s="809">
        <f ca="1">SUMIFS(RZ[Sloupec4],RZ[0],AX78,RZ[Úroveň 2 (P0)],AY78,RZ[Úroveň 3 (P0)],AZ78,RZ[Úroveň 4 (P0)],BA78)</f>
        <v>0</v>
      </c>
      <c r="GY78" s="809">
        <f ca="1">SUMIFS(RZ[Sloupec5],RZ[0],AX78,RZ[Úroveň 2 (P0)],AY78,RZ[Úroveň 3 (P0)],AZ78,RZ[Úroveň 4 (P0)],BA78,RZ[Úroveň 5 (P0)],BB78)</f>
        <v>0</v>
      </c>
      <c r="GZ78" s="809">
        <f ca="1">SUMIFS(RZ[Sloupec6],RZ[0],AX78,RZ[Úroveň 2 (P0)],AY78,RZ[Úroveň 3 (P0)],AZ78,RZ[Úroveň 4 (P0)],BA78,RZ[Úroveň 5 (P0)],BB78,RZ[Úroveň 6 (P0)],BC78)</f>
        <v>0</v>
      </c>
      <c r="HA78" s="809">
        <f ca="1">SUMIFS(RZ[Sloupec62],RZ[0],AX78,RZ[Úroveň 2 (P0)],AY78,RZ[Úroveň 3 (P0)],AZ78,RZ[Úroveň 4 (P0)],BA78,RZ[Úroveň 5 (P0)],BB78,RZ[Úroveň 6 (P0)],BC78,RZ[Úroveň 7 (P0)],BD78)</f>
        <v>0</v>
      </c>
      <c r="HB78" s="809">
        <f ca="1">SUMIFS(RZ[Sloupec63],RZ[0],AX78,RZ[Úroveň 2 (P0)],AY78,RZ[Úroveň 3 (P0)],AZ78,RZ[Úroveň 4 (P0)],BA78,RZ[Úroveň 5 (P0)],BB78,RZ[Úroveň 6 (P0)],BC78,RZ[Úroveň 7 (P0)],BD78,RZ[Úroveň 8 (P0)],BE78)</f>
        <v>0</v>
      </c>
      <c r="HC78" s="809">
        <f ca="1">SUMIFS(RZ[Sloupec64],RZ[0],AX78,RZ[Úroveň 2 (P0)],AY78,RZ[Úroveň 3 (P0)],AZ78,RZ[Úroveň 4 (P0)],BA78,RZ[Úroveň 5 (P0)],BB78,RZ[Úroveň 6 (P0)],BC78,RZ[Úroveň 7 (P0)],BD78,RZ[Úroveň 8 (P0)],BE78,RZ[Úroveň 9 (P0)],BF78)</f>
        <v>0</v>
      </c>
      <c r="HD78" s="809">
        <f ca="1">SUMIFS(RZ[Sloupec65],RZ[0],AX78,RZ[Úroveň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HE78" s="919">
        <f t="shared" ca="1" si="560"/>
        <v>1</v>
      </c>
      <c r="HF78" s="920" t="str">
        <f t="shared" si="561"/>
        <v/>
      </c>
      <c r="HG78" s="94" t="str">
        <f t="shared" si="562"/>
        <v/>
      </c>
      <c r="HH78" s="95" t="str">
        <f t="shared" si="563"/>
        <v/>
      </c>
      <c r="HI78" s="95" t="str">
        <f t="shared" si="564"/>
        <v>Víko</v>
      </c>
      <c r="HJ78" s="96" t="str">
        <f t="shared" si="565"/>
        <v/>
      </c>
      <c r="HK78" s="96" t="str">
        <f t="shared" si="566"/>
        <v/>
      </c>
      <c r="HL78" s="96" t="str">
        <f t="shared" si="567"/>
        <v/>
      </c>
      <c r="HM78" s="96" t="str">
        <f t="shared" si="568"/>
        <v/>
      </c>
      <c r="HN78" s="96" t="str">
        <f t="shared" si="569"/>
        <v/>
      </c>
      <c r="HO78" s="96" t="str">
        <f t="shared" si="570"/>
        <v/>
      </c>
      <c r="HP78" s="96" t="str">
        <f t="shared" si="571"/>
        <v/>
      </c>
      <c r="HQ78" s="145" t="str">
        <f t="shared" si="572"/>
        <v>STO2</v>
      </c>
      <c r="HR78" s="921" t="str">
        <f t="shared" si="573"/>
        <v/>
      </c>
      <c r="HS78" s="173">
        <f t="shared" si="574"/>
        <v>0</v>
      </c>
      <c r="HT78" s="100">
        <f t="shared" si="575"/>
        <v>0</v>
      </c>
      <c r="HU78" s="100">
        <f t="shared" si="576"/>
        <v>0</v>
      </c>
      <c r="HV78" s="908">
        <f t="shared" si="577"/>
        <v>0</v>
      </c>
      <c r="HW78" s="922">
        <f t="shared" si="578"/>
        <v>0</v>
      </c>
      <c r="HX78" s="224">
        <f t="shared" si="579"/>
        <v>0</v>
      </c>
      <c r="HY78" s="263" t="str">
        <f t="shared" si="580"/>
        <v>S</v>
      </c>
      <c r="HZ78" s="263">
        <f t="shared" si="581"/>
        <v>0</v>
      </c>
      <c r="IA78" s="150">
        <f t="shared" si="582"/>
        <v>1</v>
      </c>
      <c r="IB78" s="319">
        <f t="shared" si="583"/>
        <v>0</v>
      </c>
      <c r="IC78" s="923">
        <f t="shared" si="584"/>
        <v>0</v>
      </c>
      <c r="ID78" s="924" t="str">
        <f t="shared" ca="1" si="585"/>
        <v>OK</v>
      </c>
      <c r="IE78" s="201" t="str">
        <f t="shared" si="586"/>
        <v>ks</v>
      </c>
      <c r="IF78" s="145">
        <f t="shared" si="587"/>
        <v>4</v>
      </c>
      <c r="IG78" s="216">
        <f t="shared" si="588"/>
        <v>6.6</v>
      </c>
      <c r="IH78" s="217">
        <f t="shared" si="589"/>
        <v>1</v>
      </c>
      <c r="II78" s="224" t="str">
        <f ca="1">IF(RZ[[#This Row],[Rozhodný sloupec indikativní ceny]]=1,"kg",IF($IW78=$JL$15,IF(JX78=0,JO78,JX78),IF($IW78=$KE$15,IF(KQ78=0,KH78,KQ78),IF($IW78=$KX$15,IF(LJ78=0,LA78,LJ78),IF($IW78=$LQ$15,IF(MC78=0,LT78,MC78),IF($IW78=$MJ$15,IF(NQ78=0,NH78,NQ78),0))))))</f>
        <v>kg</v>
      </c>
      <c r="IJ78" s="224">
        <f ca="1">IF((BH78+OFFSET(BH78,1,1,1,1))=2,RZ[[#This Row],[Počet MJHR (P0)]],IF((BI78+OFFSET(BI78,1,1,1,1))=2,RZ[[#This Row],[Počet MJHR (P0)]],IF((BJ78+OFFSET(BJ78,1,1,1,1))=2,RZ[[#This Row],[Počet MJHR (P0)]],IF((BK78+OFFSET(BK78,1,1,1,1))=2,RZ[[#This Row],[Počet MJHR (P0)]],IF((BL78+OFFSET(BL78,1,1,1,1))=2,RZ[[#This Row],[Počet MJHR (P0)]],IF((BM78+OFFSET(BM78,1,1,1,1))=2,RZ[[#This Row],[Počet MJHR (P0)]],IF((BN78+OFFSET(BN78,1,1,1,1))=2,RZ[[#This Row],[Počet MJHR (P0)]],IF((BO78+OFFSET(BO78,1,1,1,1))=2,RZ[[#This Row],[Počet MJHR (P0)]],IF((BP78+OFFSET(BP78,1,1,1,1))=2,RZ[[#This Row],[Počet MJHR (P0)]],IF((BQ78+OFFSET(BQ78,1,1,1,1))=2,RZ[[#This Row],[Počet MJHR (P0)]],IF(RZ[[#This Row],[Měrná jednotka CR (MJCR) (P0)]]=RZ[[#This Row],[Měrná jednotka HR '[MJHR'] (P0)]],RZ[[#This Row],[Počet MJHR (P0)]],IF($IW78=$JL$15,JY78,IF($IW78=$KE$15,KR78,IF($IW78=$KX$15,LK78,IF($IW78=$LQ$15,MD78,IF($IW78=$MJ$15,NR78,0))))))))))))))))</f>
        <v>0</v>
      </c>
      <c r="IK7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8" s="145">
        <f ca="1">IF(AND(RZ[[#This Row],[Jednotková cena bez DPH '[cena/MJCR'] (P0)]]=0,RZ[[#This Row],[Indikativní jednotková cena '[CZK/kg'] (P1)]]&lt;&gt;0),1,0)</f>
        <v>1</v>
      </c>
      <c r="IM78" s="217">
        <f ca="1">VLOOKUP(RZ[[#This Row],[Kód položek]],INDIKAT_CENA,2,FALSE)</f>
        <v>115</v>
      </c>
      <c r="IN78" s="222">
        <f ca="1">IF(RZ[[#This Row],[Rozhodný sloupec indikativní ceny]]=1,RZ[[#This Row],[Indikativní jednotková cena '[CZK/kg'] (P1)]],RZ[[#This Row],[Jednotková cena bez DPH '[cena/MJCR'] (P0)]])</f>
        <v>115</v>
      </c>
      <c r="IO78" s="222">
        <f t="shared" si="590"/>
        <v>1</v>
      </c>
      <c r="IP78" s="224">
        <f ca="1">IF(RZ[[#This Row],[Rozhodný sloupec indikativní ceny]]=1,1,IF($IW78=$JL$15,KA78,IF($IW78=$KE$15,KT78,IF($IW78=$KX$15,LM78,IF($IW78=$LQ$15,MF78,IF($IW78=$MJ$15,NT78,0))))))</f>
        <v>1</v>
      </c>
      <c r="IQ78" s="225">
        <f ca="1">IF(RZ[[#This Row],[Jednotková cena bez DPH '[cena/MJCR'] (P1)]]="",0,IF(IP78=0,0,(RZ[[#This Row],[Jednotková cena bez DPH '[cena/MJCR'] (P1)]]*VLOOKUP(IP78,$BR$7:$BT$10,3))))</f>
        <v>115</v>
      </c>
      <c r="IR78" s="737"/>
      <c r="IS78" s="627">
        <f>IF(HY78=0,"",VLOOKUP(RZ[[#This Row],[Stav Projekce (P0)]],Vstupy!$E$11:'Vstupy'!$E$11:$H$17,4,FALSE))</f>
        <v>100</v>
      </c>
      <c r="IT78" s="925" t="str">
        <f>IF(RZ[[#This Row],[Stav Projekce (P0)]]=0,"",RZ[[#This Row],[Stav Projekce (P0)]])</f>
        <v>S</v>
      </c>
      <c r="IU78" s="925" t="str">
        <f>IF(RZ[[#This Row],[Stav Nákup (P0)]]=0,"",RZ[[#This Row],[Stav Nákup (P0)]])</f>
        <v/>
      </c>
      <c r="IV78" s="926" t="str">
        <f t="shared" si="591"/>
        <v/>
      </c>
      <c r="IW78" s="641">
        <v>1</v>
      </c>
      <c r="IX78" s="630"/>
      <c r="IY78" s="264"/>
      <c r="IZ78" s="648"/>
      <c r="JA78" s="100"/>
      <c r="JB78" s="100" t="s">
        <v>787</v>
      </c>
      <c r="JC78" s="100"/>
      <c r="JD78" s="100"/>
      <c r="JE78" s="100"/>
      <c r="JF78" s="100"/>
      <c r="JG78" s="100"/>
      <c r="JH78" s="100"/>
      <c r="JI78" s="100"/>
      <c r="JJ78" s="145" t="s">
        <v>773</v>
      </c>
      <c r="JK78" s="529"/>
      <c r="JL78" s="286"/>
      <c r="JM78" s="100"/>
      <c r="JN78" s="100"/>
      <c r="JO78" s="145" t="s">
        <v>35</v>
      </c>
      <c r="JP78" s="117">
        <v>4</v>
      </c>
      <c r="JQ78" s="117">
        <v>6.6</v>
      </c>
      <c r="JR78" s="148">
        <v>1</v>
      </c>
      <c r="JS78" s="145" t="s">
        <v>602</v>
      </c>
      <c r="JT78" s="631"/>
      <c r="JU78" s="148"/>
      <c r="JV78" s="154"/>
      <c r="JW78" s="145"/>
      <c r="JX78" s="210"/>
      <c r="JY78" s="117"/>
      <c r="JZ78" s="662"/>
      <c r="KA78" s="145"/>
      <c r="KB78" s="148"/>
      <c r="KC78" s="148"/>
      <c r="KD78" s="644"/>
      <c r="KE78" s="286"/>
      <c r="KF78" s="100"/>
      <c r="KG78" s="100"/>
      <c r="KH78" s="210"/>
      <c r="KI78" s="117"/>
      <c r="KJ78" s="117"/>
      <c r="KK78" s="148"/>
      <c r="KL78" s="145"/>
      <c r="KM78" s="632"/>
      <c r="KN78" s="148"/>
      <c r="KO78" s="154"/>
      <c r="KP78" s="154"/>
      <c r="KQ78" s="210"/>
      <c r="KR78" s="117"/>
      <c r="KS78" s="211"/>
      <c r="KT78" s="145"/>
      <c r="KU78" s="148"/>
      <c r="KV78" s="148"/>
      <c r="KW78" s="265"/>
      <c r="KX78" s="286"/>
      <c r="KY78" s="100"/>
      <c r="KZ78" s="100"/>
      <c r="LA78" s="210"/>
      <c r="LB78" s="117"/>
      <c r="LC78" s="117"/>
      <c r="LD78" s="148"/>
      <c r="LE78" s="145"/>
      <c r="LF78" s="632"/>
      <c r="LG78" s="148"/>
      <c r="LH78" s="154"/>
      <c r="LI78" s="154"/>
      <c r="LJ78" s="154"/>
      <c r="LK78" s="117"/>
      <c r="LL78" s="211"/>
      <c r="LM78" s="210"/>
      <c r="LN78" s="148"/>
      <c r="LO78" s="148"/>
      <c r="LP78" s="265"/>
      <c r="LQ78" s="286"/>
      <c r="LR78" s="100"/>
      <c r="LS78" s="100"/>
      <c r="LT78" s="210"/>
      <c r="LU78" s="117"/>
      <c r="LV78" s="117"/>
      <c r="LW78" s="148"/>
      <c r="LX78" s="145"/>
      <c r="LY78" s="632"/>
      <c r="LZ78" s="148"/>
      <c r="MA78" s="154"/>
      <c r="MB78" s="154"/>
      <c r="MC78" s="145"/>
      <c r="MD78" s="117"/>
      <c r="ME78" s="211"/>
      <c r="MF78" s="210"/>
      <c r="MG78" s="148"/>
      <c r="MH78" s="148"/>
      <c r="MI78" s="265"/>
      <c r="MJ78" s="647"/>
      <c r="MK78" s="264"/>
      <c r="ML78" s="153"/>
      <c r="MM78" s="153"/>
      <c r="MN78" s="153"/>
      <c r="MO78" s="153"/>
      <c r="MP78" s="153"/>
      <c r="MQ78" s="153"/>
      <c r="MR78" s="153"/>
      <c r="MS78" s="99"/>
      <c r="MT78" s="99"/>
      <c r="MU78" s="99"/>
      <c r="MV78" s="99"/>
      <c r="MW78" s="99"/>
      <c r="MX78" s="99"/>
      <c r="MY78" s="153"/>
      <c r="MZ78" s="153"/>
      <c r="NA78" s="153"/>
      <c r="NB78" s="153"/>
      <c r="NC78" s="153"/>
      <c r="ND78" s="153"/>
      <c r="NE78" s="148"/>
      <c r="NF78" s="153"/>
      <c r="NG78" s="153"/>
      <c r="NH78" s="330" t="str">
        <f t="shared" si="592"/>
        <v>ks</v>
      </c>
      <c r="NI78" s="797">
        <f>RZ[[#This Row],[Počet ks (K)]]</f>
        <v>0</v>
      </c>
      <c r="NJ78" s="798">
        <f>RZ[[#This Row],[Hmotnost '[kg/ks'] (K)]]</f>
        <v>0</v>
      </c>
      <c r="NK78" s="148"/>
      <c r="NL78" s="145"/>
      <c r="NM78" s="632"/>
      <c r="NN78" s="148"/>
      <c r="NO78" s="154"/>
      <c r="NP78" s="153"/>
      <c r="NQ78" s="153"/>
      <c r="NR78" s="210"/>
      <c r="NS78" s="148"/>
      <c r="NT78" s="210"/>
      <c r="NU78" s="148"/>
      <c r="NV78" s="148"/>
      <c r="NW78" s="175"/>
    </row>
    <row r="79" spans="2:387" ht="15.95" customHeight="1" x14ac:dyDescent="0.35">
      <c r="B79" s="118" t="str">
        <f t="shared" si="476"/>
        <v/>
      </c>
      <c r="C7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9" s="262" t="str">
        <f t="shared" si="477"/>
        <v xml:space="preserve">    Osa - průměr 200 mm</v>
      </c>
      <c r="E79" s="120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Row],[Kód položek (P2)]]))))))))))</f>
        <v>STO2</v>
      </c>
      <c r="F79" s="791" t="str">
        <f t="shared" si="478"/>
        <v>N/A</v>
      </c>
      <c r="G79" s="792" t="str">
        <f t="shared" si="479"/>
        <v/>
      </c>
      <c r="H79" s="262" t="str">
        <f t="shared" si="480"/>
        <v/>
      </c>
      <c r="I79" s="123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HR '[MJHR'] (P0)]]))))))))))</f>
        <v>ks</v>
      </c>
      <c r="J79" s="123">
        <f t="shared" si="481"/>
        <v>2</v>
      </c>
      <c r="K79" s="793">
        <f>RZ[[#This Row],[Koeficient odhadu HR '[-'] (P1)]]</f>
        <v>1</v>
      </c>
      <c r="L79" s="124">
        <f ca="1">RZ[[#This Row],[Jednotková hmotnost s koef. '[kg/MJHR'] (P0)]]</f>
        <v>140</v>
      </c>
      <c r="M79" s="794">
        <f t="shared" ca="1" si="482"/>
        <v>0</v>
      </c>
      <c r="N79" s="125">
        <f t="shared" ca="1" si="483"/>
        <v>280</v>
      </c>
      <c r="O79" s="125">
        <f t="shared" ca="1" si="484"/>
        <v>0</v>
      </c>
      <c r="P79" s="126" t="str">
        <f t="shared" si="485"/>
        <v/>
      </c>
      <c r="Q79" s="795">
        <f ca="1">RZ[[#This Row],[Počet MJHR v rozpadu (P0)]]</f>
        <v>2</v>
      </c>
      <c r="R79" s="439" t="str">
        <f t="shared" si="486"/>
        <v/>
      </c>
      <c r="S79" s="129" t="str">
        <f t="shared" si="487"/>
        <v/>
      </c>
      <c r="T79" s="126" t="str">
        <f t="shared" si="488"/>
        <v/>
      </c>
      <c r="U79" s="126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CR (MJCR) (P0)]]))))))))))</f>
        <v>kg</v>
      </c>
      <c r="V79" s="575">
        <f t="shared" ca="1" si="489"/>
        <v>280</v>
      </c>
      <c r="W79" s="322">
        <f>RZ[[#This Row],[Koeficient odhadu CR '[-'] (P1)]]</f>
        <v>1</v>
      </c>
      <c r="X79" s="440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Row],[Jednotková cena bez DPH '[cena/MJCR'] (P1)]]*RZ[[#This Row],[Koeficient odhadu CR '[-']]]))))))))))</f>
        <v>115</v>
      </c>
      <c r="Y79" s="440">
        <f t="shared" ca="1" si="490"/>
        <v>0</v>
      </c>
      <c r="Z79" s="142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VLOOKUP(IP79,$BR$7:$BS$11,2,FALSE)))))))))))</f>
        <v>CZK</v>
      </c>
      <c r="AA79" s="909">
        <f t="shared" ca="1" si="491"/>
        <v>280</v>
      </c>
      <c r="AB79" s="910">
        <f ca="1">RZ[[#This Row],[Kumulovaný koeficient v rozpadu (P0)]]</f>
        <v>1</v>
      </c>
      <c r="AC79" s="261"/>
      <c r="AD79" s="796">
        <f ca="1">RZ[[#This Row],[Jednotková cena bez DPH '[cena/MJCR'] s koef. (P0)]]/RZ[[#This Row],[Koeficient odhadu CR '[-']]]*RZ[[#This Row],[Kumulovaný koeficient odhadu CR  '[-']]]</f>
        <v>115</v>
      </c>
      <c r="AE79" s="796">
        <f t="shared" ca="1" si="492"/>
        <v>32200</v>
      </c>
      <c r="AF79" s="796">
        <f ca="1">-IF(ISNUMBER(AA79),RZ[[#This Row],[Celková cena bez DPH (1)]]-RZ[[#This Row],[Jednotková cena bez DPH '[cena/MJCR'] bez koef. (P0)]]*AA79,0)</f>
        <v>0</v>
      </c>
      <c r="AG7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9" s="261"/>
      <c r="AI79" s="796">
        <f t="shared" ca="1" si="493"/>
        <v>4.2592592592592595</v>
      </c>
      <c r="AJ79" s="796">
        <f t="shared" ca="1" si="494"/>
        <v>1192.5925925925926</v>
      </c>
      <c r="AK79" s="796">
        <f t="shared" ca="1" si="495"/>
        <v>0</v>
      </c>
      <c r="AL79" s="753">
        <f ca="1">RZ[[#This Row],[Kilogramová cena bez DPH '[cena/kg'] (1)]]/$AK$13</f>
        <v>4.2592592592592595</v>
      </c>
      <c r="AM79" s="261"/>
      <c r="AN79" s="796">
        <f t="shared" ca="1" si="496"/>
        <v>5.5555555555555554</v>
      </c>
      <c r="AO79" s="796">
        <f t="shared" ca="1" si="497"/>
        <v>1555.5555555555557</v>
      </c>
      <c r="AP79" s="796">
        <f t="shared" ca="1" si="498"/>
        <v>0</v>
      </c>
      <c r="AQ79" s="753">
        <f ca="1">RZ[[#This Row],[Kilogramová cena bez DPH '[cena/kg'] (1)]]/$AP$13</f>
        <v>5.5555555555555554</v>
      </c>
      <c r="AR79" s="261"/>
      <c r="AS79" s="796">
        <f t="shared" ca="1" si="499"/>
        <v>3.1455142231947484</v>
      </c>
      <c r="AT79" s="796">
        <f t="shared" ca="1" si="500"/>
        <v>880.74398249452952</v>
      </c>
      <c r="AU79" s="789">
        <f t="shared" ca="1" si="501"/>
        <v>0</v>
      </c>
      <c r="AV79" s="767">
        <f ca="1">RZ[[#This Row],[Kilogramová cena bez DPH '[cena/kg'] (1)]]/$AU$13</f>
        <v>3.1455142231947484</v>
      </c>
      <c r="AW79" s="165"/>
      <c r="AX79" s="911">
        <f t="shared" ca="1" si="502"/>
        <v>2</v>
      </c>
      <c r="AY79" s="111">
        <f t="shared" ca="1" si="503"/>
        <v>3</v>
      </c>
      <c r="AZ79" s="111">
        <f t="shared" ca="1" si="504"/>
        <v>6</v>
      </c>
      <c r="BA79" s="111">
        <f t="shared" ca="1" si="505"/>
        <v>0</v>
      </c>
      <c r="BB79" s="111">
        <f t="shared" ca="1" si="506"/>
        <v>0</v>
      </c>
      <c r="BC79" s="111">
        <f t="shared" ca="1" si="507"/>
        <v>0</v>
      </c>
      <c r="BD79" s="111">
        <f t="shared" ca="1" si="508"/>
        <v>0</v>
      </c>
      <c r="BE79" s="111">
        <f t="shared" ca="1" si="509"/>
        <v>0</v>
      </c>
      <c r="BF79" s="111">
        <f t="shared" ca="1" si="510"/>
        <v>0</v>
      </c>
      <c r="BG79" s="112">
        <f t="shared" ca="1" si="511"/>
        <v>0</v>
      </c>
      <c r="BH79" s="911">
        <f t="shared" si="512"/>
        <v>0</v>
      </c>
      <c r="BI79" s="111">
        <f t="shared" si="513"/>
        <v>0</v>
      </c>
      <c r="BJ79" s="111">
        <f t="shared" si="514"/>
        <v>1</v>
      </c>
      <c r="BK79" s="111">
        <f t="shared" si="515"/>
        <v>0</v>
      </c>
      <c r="BL79" s="111">
        <f t="shared" si="516"/>
        <v>0</v>
      </c>
      <c r="BM79" s="111">
        <f t="shared" si="517"/>
        <v>0</v>
      </c>
      <c r="BN79" s="111">
        <f t="shared" si="518"/>
        <v>0</v>
      </c>
      <c r="BO79" s="111">
        <f t="shared" si="519"/>
        <v>0</v>
      </c>
      <c r="BP79" s="111">
        <f t="shared" si="520"/>
        <v>0</v>
      </c>
      <c r="BQ79" s="112">
        <f t="shared" si="521"/>
        <v>0</v>
      </c>
      <c r="BR79" s="132">
        <f ca="1">IF(OFFSET(AY79,1,0,1,1)&lt;&gt;0,RZ[[#This Row],[Koeficient odhadu HR '[-'] (P1)]]*$BH79*SUMIFS(RZ[Úroveň 2 s koef. (P2)],RZ[0],AX79),RZ[[#This Row],[Koeficient odhadu HR '[-'] (P1)]]*$BH79*$IG79)</f>
        <v>0</v>
      </c>
      <c r="BS79" s="186">
        <f ca="1">IF(OFFSET(AY79,1,0,1,1)&lt;&gt;0,$BH79*SUMIFS(RZ[Úroveň 2 bez koef. (P2)],RZ[0],AX79),$BH79*$IG79)</f>
        <v>0</v>
      </c>
      <c r="BT79" s="138">
        <f ca="1">RZ[[#This Row],[Úroveň 2 s koef. (P2a)]]*RZ[[#This Row],[Počet MJHR (P0)]]</f>
        <v>0</v>
      </c>
      <c r="BU79" s="138">
        <f ca="1">RZ[[#This Row],[Úroveň 2 bez koef. (P2a)]]*RZ[[#This Row],[Počet MJHR (P0)]]</f>
        <v>0</v>
      </c>
      <c r="BV79" s="138">
        <f ca="1">IF(OFFSET(AZ79,1,0,1,1)&lt;&gt;0,RZ[[#This Row],[Koeficient odhadu HR '[-'] (P1)]]*$BI79*SUMIFS(RZ[Úroveň 3 s koef. (P2)],RZ[0],AX79,RZ[Úroveň 2 (P0)],AY79),RZ[[#This Row],[Koeficient odhadu HR '[-'] (P1)]]*$BI79*$IG79)</f>
        <v>0</v>
      </c>
      <c r="BW79" s="138">
        <f ca="1">IF(OFFSET(AZ79,1,0,1,1)&lt;&gt;0,$BI79*SUMIFS(RZ[Úroveň 3 bez koef. (P2)],RZ[0],AX79,RZ[Úroveň 2 (P0)],AY79),$BI79*$IG79)</f>
        <v>0</v>
      </c>
      <c r="BX79" s="132">
        <f ca="1">RZ[[#This Row],[Úroveň 3 s koef. (P2a)]]*RZ[[#This Row],[Počet MJHR (P0)]]</f>
        <v>280</v>
      </c>
      <c r="BY79" s="132">
        <f ca="1">RZ[Úroveň 3 bez koef. (P2a)]*RZ[[#This Row],[Počet MJHR (P0)]]</f>
        <v>280</v>
      </c>
      <c r="BZ79" s="132">
        <f ca="1">IF(OFFSET(BA79,1,0,1,1)&lt;&gt;0,RZ[[#This Row],[Koeficient odhadu HR '[-'] (P1)]]*$BJ79*SUMIFS(RZ[Úroveň 4 s koef. (P2)],RZ[0],AX79,RZ[Úroveň 2 (P0)],AY79,RZ[Úroveň 3 (P0)],AZ79),RZ[[#This Row],[Koeficient odhadu HR '[-'] (P1)]]*$BJ79*$IG79)</f>
        <v>140</v>
      </c>
      <c r="CA79" s="132">
        <f ca="1">IF(OFFSET(BA79,1,0,1,1)&lt;&gt;0,$BJ79*SUMIFS(RZ[Úroveň 4 bez koef. (P2)],RZ[0],AX79,RZ[Úroveň 2 (P0)],AY79,RZ[Úroveň 3 (P0)],AZ79),$BJ79*$IG79)</f>
        <v>140</v>
      </c>
      <c r="CB79" s="138">
        <f ca="1">RZ[[#This Row],[Úroveň 4 s koef. (P2a)]]*RZ[[#This Row],[Počet MJHR (P0)]]</f>
        <v>0</v>
      </c>
      <c r="CC79" s="138">
        <f ca="1">RZ[Úroveň 4 bez koef. (P2a)]*RZ[[#This Row],[Počet MJHR (P0)]]</f>
        <v>0</v>
      </c>
      <c r="CD79" s="138">
        <f ca="1">IF(OFFSET(BB79,1,0,1,1)&lt;&gt;0,RZ[[#This Row],[Koeficient odhadu HR '[-'] (P1)]]*$BK79*SUMIFS(RZ[Úroveň 5 s koef. (P2)],RZ[0],AX79,RZ[Úroveň 2 (P0)],AY79,RZ[Úroveň 3 (P0)],AZ79,RZ[Úroveň 4 (P0)],BA79),RZ[[#This Row],[Koeficient odhadu HR '[-'] (P1)]]*$BK79*$IG79)</f>
        <v>0</v>
      </c>
      <c r="CE79" s="138">
        <f ca="1">IF(OFFSET(BB79,1,0,1,1)&lt;&gt;0,$BK79*SUMIFS(RZ[Úroveň 5 bez koef. (P2)],RZ[0],AX79,RZ[Úroveň 2 (P0)],AY79,RZ[Úroveň 3 (P0)],AZ79,RZ[Úroveň 4 (P0)],BA79),$BK79*$IG79)</f>
        <v>0</v>
      </c>
      <c r="CF79" s="132">
        <f ca="1">RZ[[#This Row],[Úroveň 5 s koef. (P2a)]]*RZ[[#This Row],[Počet MJHR (P0)]]</f>
        <v>0</v>
      </c>
      <c r="CG79" s="132">
        <f ca="1">RZ[Úroveň 5 bez koef. (P2a)]*RZ[[#This Row],[Počet MJHR (P0)]]</f>
        <v>0</v>
      </c>
      <c r="CH79" s="132">
        <f ca="1">IF(OFFSET(BC79,1,0,1,1)&lt;&gt;0,RZ[[#This Row],[Koeficient odhadu HR '[-'] (P1)]]*$BL79*SUMIFS(RZ[Úroveň 6 s koef. (P2)],RZ[0],AX79,RZ[Úroveň 2 (P0)],AY79,RZ[Úroveň 3 (P0)],AZ79,RZ[Úroveň 4 (P0)],BA79,RZ[Úroveň 5 (P0)],BB79),RZ[[#This Row],[Koeficient odhadu HR '[-'] (P1)]]*$BL79*$IG79)</f>
        <v>0</v>
      </c>
      <c r="CI79" s="132">
        <f ca="1">IF(OFFSET(BC79,1,0,1,1)&lt;&gt;0,$BL79*SUMIFS(RZ[Úroveň 6 bez koef. (P2)],RZ[0],AX79,RZ[Úroveň 2 (P0)],AY79,RZ[Úroveň 3 (P0)],AZ79,RZ[Úroveň 4 (P0)],BA79,RZ[Úroveň 5 (P0)],BB79),$BL79*$IG79)</f>
        <v>0</v>
      </c>
      <c r="CJ79" s="138">
        <f ca="1">RZ[[#This Row],[Úroveň 6 s koef. (P2a)]]*RZ[[#This Row],[Počet MJHR (P0)]]</f>
        <v>0</v>
      </c>
      <c r="CK79" s="138">
        <f ca="1">RZ[Úroveň 6 bez koef. (P2a)]*RZ[[#This Row],[Počet MJHR (P0)]]</f>
        <v>0</v>
      </c>
      <c r="CL79" s="138">
        <f ca="1">IF(OFFSET(BD79,1,0,1,1)&lt;&gt;0,RZ[[#This Row],[Koeficient odhadu HR '[-'] (P1)]]*$BM79*SUMIFS(RZ[Úroveň 7 s koef. (P2)],RZ[0],AX79,RZ[Úroveň 2 (P0)],AY79,RZ[Úroveň 3 (P0)],AZ79,RZ[Úroveň 4 (P0)],BA79,RZ[Úroveň 5 (P0)],BB79,RZ[Úroveň 6 (P0)],BC79),RZ[[#This Row],[Koeficient odhadu HR '[-'] (P1)]]*$BM79*$IG79)</f>
        <v>0</v>
      </c>
      <c r="CM79" s="138">
        <f ca="1">IF(OFFSET(BD79,1,0,1,1)&lt;&gt;0,$BM79*SUMIFS(RZ[Úroveň 7 bez koef. (P2)],RZ[0],AX79,RZ[Úroveň 2 (P0)],AY79,RZ[Úroveň 3 (P0)],AZ79,RZ[Úroveň 4 (P0)],BA79,RZ[Úroveň 5 (P0)],BB79,RZ[Úroveň 6 (P0)],BC79),$BM79*$IG79)</f>
        <v>0</v>
      </c>
      <c r="CN79" s="132">
        <f ca="1">RZ[[#This Row],[Úroveň 7 s koef. (P2a)]]*RZ[[#This Row],[Počet MJHR (P0)]]</f>
        <v>0</v>
      </c>
      <c r="CO79" s="132">
        <f ca="1">RZ[Úroveň 7 bez koef. (P2a)]*RZ[[#This Row],[Počet MJHR (P0)]]</f>
        <v>0</v>
      </c>
      <c r="CP79" s="132">
        <f ca="1">IF(OFFSET(BE79,1,0,1,1)&lt;&gt;0,RZ[[#This Row],[Koeficient odhadu HR '[-'] (P1)]]*$BN79*SUMIFS(RZ[Úroveň 8 s koef. (P2)],RZ[0],AX79,RZ[Úroveň 2 (P0)],AY79,RZ[Úroveň 3 (P0)],AZ79,RZ[Úroveň 4 (P0)],BA79,RZ[Úroveň 5 (P0)],BB79,RZ[Úroveň 6 (P0)],BC79,RZ[Úroveň 7 (P0)],BD79),RZ[[#This Row],[Koeficient odhadu HR '[-'] (P1)]]*$BN79*$IG79)</f>
        <v>0</v>
      </c>
      <c r="CQ79" s="132">
        <f ca="1">IF(OFFSET(BE79,1,0,1,1)&lt;&gt;0,$BN79*SUMIFS(RZ[Úroveň 8 bez koef. (P2)],RZ[0],AX79,RZ[Úroveň 2 (P0)],AY79,RZ[Úroveň 3 (P0)],AZ79,RZ[Úroveň 4 (P0)],BA79,RZ[Úroveň 5 (P0)],BB79,RZ[Úroveň 6 (P0)],BC79,RZ[Úroveň 7 (P0)],BD79),$BN79*$IG79)</f>
        <v>0</v>
      </c>
      <c r="CR79" s="138">
        <f ca="1">RZ[[#This Row],[Úroveň 8 s koef. (P2a)]]*RZ[[#This Row],[Počet MJHR (P0)]]</f>
        <v>0</v>
      </c>
      <c r="CS79" s="138">
        <f ca="1">RZ[Úroveň 8 bez koef. (P2a)]*RZ[[#This Row],[Počet MJHR (P0)]]</f>
        <v>0</v>
      </c>
      <c r="CT79" s="138">
        <f ca="1">IF(OFFSET(BF79,1,0,1,1)&lt;&gt;0,RZ[[#This Row],[Koeficient odhadu HR '[-'] (P1)]]*$BO79*SUMIFS(RZ[Úroveň 9 s koef. (P2)],RZ[0],AX79,RZ[Úroveň 2 (P0)],AY79,RZ[Úroveň 3 (P0)],AZ79,RZ[Úroveň 4 (P0)],BA79,RZ[Úroveň 5 (P0)],BB79,RZ[Úroveň 6 (P0)],BC79,RZ[Úroveň 7 (P0)],BD79,RZ[Úroveň 8 (P0)],BE79),RZ[[#This Row],[Koeficient odhadu HR '[-'] (P1)]]*$BO79*$IG79)</f>
        <v>0</v>
      </c>
      <c r="CU79" s="138">
        <f ca="1">IF(OFFSET(BF79,1,0,1,1)&lt;&gt;0,$BO79*SUMIFS(RZ[Úroveň 9 bez koef. (P2)],RZ[0],AX79,RZ[Úroveň 2 (P0)],AY79,RZ[Úroveň 3 (P0)],AZ79,RZ[Úroveň 4 (P0)],BA79,RZ[Úroveň 5 (P0)],BB79,RZ[Úroveň 6 (P0)],BC79,RZ[Úroveň 7 (P0)],BD79,RZ[Úroveň 8 (P0)],BE79),$BO79*$IG79)</f>
        <v>0</v>
      </c>
      <c r="CV79" s="132">
        <f ca="1">RZ[[#This Row],[Úroveň 9 s koef. (P2a)]]*RZ[[#This Row],[Počet MJHR (P0)]]</f>
        <v>0</v>
      </c>
      <c r="CW79" s="132">
        <f ca="1">RZ[Úroveň 9 bez koef. (P2a)]*RZ[[#This Row],[Počet MJHR (P0)]]</f>
        <v>0</v>
      </c>
      <c r="CX79" s="132">
        <f ca="1">IF(OFFSET(BG79,1,0,1,1)&lt;&gt;0,RZ[[#This Row],[Koeficient odhadu HR '[-'] (P1)]]*$BP79*SUMIFS(RZ[Úroveň 10 s koef. (P2)],RZ[0],AX79,RZ[Úroveň 2 (P0)],AY79,RZ[Úroveň 3 (P0)],AZ79,RZ[Úroveň 4 (P0)],BA79,RZ[Úroveň 5 (P0)],BB79,RZ[Úroveň 6 (P0)],BC79,RZ[Úroveň 7 (P0)],BD79,RZ[Úroveň 8 (P0)],BE79,RZ[Úroveň 9 (P0)],BF79),RZ[[#This Row],[Koeficient odhadu HR '[-'] (P1)]]*$BP79*$IG79)</f>
        <v>0</v>
      </c>
      <c r="CY79" s="132">
        <f ca="1">IF(OFFSET(BG79,1,0,1,1)&lt;&gt;0,$BP79*SUMIFS(RZ[Úroveň 10 bez koef. (P2)],RZ[0],AX79,RZ[Úroveň 2 (P0)],AY79,RZ[Úroveň 3 (P0)],AZ79,RZ[Úroveň 4 (P0)],BA79,RZ[Úroveň 5 (P0)],BB79,RZ[Úroveň 6 (P0)],BC79,RZ[Úroveň 7 (P0)],BD79,RZ[Úroveň 8 (P0)],BE79,RZ[Úroveň 9 (P0)],BF79),$BP79*$IG79)</f>
        <v>0</v>
      </c>
      <c r="CZ79" s="138">
        <f>RZ[[#This Row],[Úroveň 10 s koef. (P2a)]]*RZ[[#This Row],[Počet MJHR (P0)]]</f>
        <v>0</v>
      </c>
      <c r="DA79" s="138">
        <f>RZ[Úroveň 10 bez koef. (P2a)]*RZ[[#This Row],[Počet MJHR (P0)]]</f>
        <v>0</v>
      </c>
      <c r="DB79" s="138">
        <f>RZ[[#This Row],[Koeficient odhadu HR '[-'] (P1)]]*$BQ79*IG79</f>
        <v>0</v>
      </c>
      <c r="DC79" s="231">
        <f t="shared" si="522"/>
        <v>0</v>
      </c>
      <c r="DD79" s="241">
        <f t="shared" ca="1" si="523"/>
        <v>140</v>
      </c>
      <c r="DE79" s="229">
        <f t="shared" ca="1" si="524"/>
        <v>140</v>
      </c>
      <c r="DF79" s="912">
        <f t="shared" si="525"/>
        <v>0</v>
      </c>
      <c r="DG79" s="913">
        <f t="shared" si="526"/>
        <v>0</v>
      </c>
      <c r="DH79" s="913">
        <f t="shared" si="527"/>
        <v>2</v>
      </c>
      <c r="DI79" s="913">
        <f t="shared" si="528"/>
        <v>0</v>
      </c>
      <c r="DJ79" s="913">
        <f t="shared" si="529"/>
        <v>0</v>
      </c>
      <c r="DK79" s="913">
        <f t="shared" si="530"/>
        <v>0</v>
      </c>
      <c r="DL79" s="913">
        <f t="shared" si="531"/>
        <v>0</v>
      </c>
      <c r="DM79" s="913">
        <f t="shared" si="532"/>
        <v>0</v>
      </c>
      <c r="DN79" s="913">
        <f t="shared" si="533"/>
        <v>0</v>
      </c>
      <c r="DO79" s="913">
        <f t="shared" si="534"/>
        <v>0</v>
      </c>
      <c r="DP79" s="914">
        <f ca="1">SUMIFS(RZ[Úroveň 1 (P4)],RZ[0],AX79)</f>
        <v>1</v>
      </c>
      <c r="DQ79" s="914">
        <f ca="1">SUMIFS(RZ[Úroveň 2 (P4)],RZ[0],AX79,RZ[Úroveň 2 (P0)],AY79)</f>
        <v>1</v>
      </c>
      <c r="DR79" s="914">
        <f ca="1">SUMIFS(RZ[Úroveň 3 (P4)],RZ[0],AX79,RZ[Úroveň 2 (P0)],AY79,RZ[Úroveň 3 (P0)],AZ79)</f>
        <v>2</v>
      </c>
      <c r="DS79" s="914">
        <f ca="1">SUMIFS(RZ[Úroveň 4 (P4)],RZ[0],AX79,RZ[Úroveň 2 (P0)],AY79,RZ[Úroveň 3 (P0)],AZ79,RZ[Úroveň 4 (P0)],BA79)</f>
        <v>0</v>
      </c>
      <c r="DT79" s="914">
        <f ca="1">SUMIFS(RZ[Úroveň 5 (P4)],RZ[0],AX79,RZ[Úroveň 2 (P0)],AY79,RZ[Úroveň 3 (P0)],AZ79,RZ[Úroveň 4 (P0)],BA79,RZ[Úroveň 5 (P0)],BB79)</f>
        <v>0</v>
      </c>
      <c r="DU79" s="914">
        <f ca="1">SUMIFS(RZ[Úroveň 6 (P4)],RZ[0],AX79,RZ[Úroveň 2 (P0)],AY79,RZ[Úroveň 3 (P0)],AZ79,RZ[Úroveň 4 (P0)],BA79,RZ[Úroveň 5 (P0)],BB79,RZ[Úroveň 6 (P0)],BC79)</f>
        <v>0</v>
      </c>
      <c r="DV79" s="914">
        <f ca="1">SUMIFS(RZ[Úroveň 7 (P4)],RZ[0],AX79,RZ[Úroveň 2 (P0)],AY79,RZ[Úroveň 3 (P0)],AZ79,RZ[Úroveň 4 (P0)],BA79,RZ[Úroveň 5 (P0)],BB79,RZ[Úroveň 6 (P0)],BC79,RZ[Úroveň 7 (P0)],BD79)</f>
        <v>0</v>
      </c>
      <c r="DW79" s="914">
        <f ca="1">SUMIFS(RZ[Úroveň 8 (P4)],RZ[0],AX79,RZ[Úroveň 2 (P0)],AY79,RZ[Úroveň 3 (P0)],AZ79,RZ[Úroveň 4 (P0)],BA79,RZ[Úroveň 5 (P0)],BB79,RZ[Úroveň 6 (P0)],BC79,RZ[Úroveň 7 (P0)],BD79,RZ[Úroveň 8 (P0)],BE79)</f>
        <v>0</v>
      </c>
      <c r="DX79" s="914">
        <f ca="1">SUMIFS(RZ[Úroveň 9 (P4)],RZ[0],AX79,RZ[Úroveň 2 (P0)],AY79,RZ[Úroveň 3 (P0)],AZ79,RZ[Úroveň 4 (P0)],BA79,RZ[Úroveň 5 (P0)],BB79,RZ[Úroveň 6 (P0)],BC79,RZ[Úroveň 7 (P0)],BD79,RZ[Úroveň 8 (P0)],BE79,RZ[Úroveň 9 (P0)],BF79)</f>
        <v>0</v>
      </c>
      <c r="DY79" s="914">
        <f ca="1">SUMIFS(RZ[Úroveň 10 (P4)],RZ[0],AX79,RZ[Úroveň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DZ79" s="915">
        <f t="shared" ca="1" si="535"/>
        <v>2</v>
      </c>
      <c r="EA79" s="916">
        <f ca="1">RZ[[#This Row],[Jednotková hmotnost bez koef. '[kg/MJHR'] (P0)]]*RZ[[#This Row],[Počet MJHR v rozpadu (P0)]]</f>
        <v>280</v>
      </c>
      <c r="EB79" s="917">
        <f ca="1">IF(OFFSET(AY79,1,0,1,1)&lt;&gt;0,RZ[[#This Row],[Koeficient odhadu CR '[-'] (P1)]]*$BH79*SUMIFS(RZ[Úroveň 2 s koef. (P3)],RZ[0],AX79),RZ[[#This Row],[Koeficient odhadu CR '[-'] (P1)]]*$BH79*$IQ79)</f>
        <v>0</v>
      </c>
      <c r="EC79" s="191">
        <f ca="1">IF(OFFSET(AY79,1,0,1,1)&lt;&gt;0,$BH79*SUMIFS(RZ[Úroveň 2 bez koef. (P3)],RZ[0],AX79),$BH79*$IQ79)</f>
        <v>0</v>
      </c>
      <c r="ED79" s="140">
        <f ca="1">RZ[[#This Row],[Úroveň 2 s koef. (P3a)]]*RZ[[#This Row],[Počet MJCR (P0) pro "kg"]]</f>
        <v>0</v>
      </c>
      <c r="EE79" s="140">
        <f ca="1">RZ[Úroveň 2 bez koef. (P3a)]*RZ[[#This Row],[Počet MJCR (P0) pro "kg"]]</f>
        <v>0</v>
      </c>
      <c r="EF79" s="140">
        <f ca="1">IF(OFFSET(AZ79,1,0,1,1)&lt;&gt;0,RZ[[#This Row],[Koeficient odhadu CR '[-'] (P1)]]*$BI79*SUMIFS(RZ[Úroveň 3 s koef. (P3)],RZ[0],AX79,RZ[Úroveň 2 (P0)],AY79),RZ[[#This Row],[Koeficient odhadu CR '[-'] (P1)]]*$BI79*$IQ79)</f>
        <v>0</v>
      </c>
      <c r="EG79" s="140">
        <f ca="1">IF(OFFSET(AZ79,1,0,1,1)&lt;&gt;0,$BI79*SUMIFS(RZ[Úroveň 3 bez koef. (P3)],RZ[0],AX79,RZ[Úroveň 2 (P0)],AY79),$BI79*$IQ79)</f>
        <v>0</v>
      </c>
      <c r="EH79" s="135">
        <f ca="1">RZ[[#This Row],[Úroveň 3 s koef. (P3a)]]*RZ[[#This Row],[Počet MJCR (P0) pro "kg"]]</f>
        <v>32200</v>
      </c>
      <c r="EI79" s="135">
        <f ca="1">RZ[Úroveň 3 bez koef. (P3a)]*RZ[[#This Row],[Počet MJCR (P0) pro "kg"]]</f>
        <v>32200</v>
      </c>
      <c r="EJ79" s="135">
        <f ca="1">IF(OFFSET(BA79,1,0,1,1)&lt;&gt;0,RZ[[#This Row],[Koeficient odhadu CR '[-'] (P1)]]*$BJ79*SUMIFS(RZ[Úroveň 4 s koef. (P3)],RZ[0],AX79,RZ[Úroveň 2 (P0)],AY79,RZ[Úroveň 3 (P0)],AZ79),RZ[[#This Row],[Koeficient odhadu CR '[-'] (P1)]]*$BJ79*$IQ79)</f>
        <v>115</v>
      </c>
      <c r="EK79" s="135">
        <f ca="1">IF(OFFSET(BA79,1,0,1,1)&lt;&gt;0,$BJ79*SUMIFS(RZ[Úroveň 4 bez koef. (P3)],RZ[0],AX79,RZ[Úroveň 2 (P0)],AY79,RZ[Úroveň 3 (P0)],AZ79),$BJ79*$IQ79)</f>
        <v>115</v>
      </c>
      <c r="EL79" s="140">
        <f ca="1">RZ[[#This Row],[Úroveň 4 s koef. (P3a)]]*RZ[[#This Row],[Počet MJCR (P0) pro "kg"]]</f>
        <v>0</v>
      </c>
      <c r="EM79" s="140">
        <f ca="1">RZ[Úroveň 4 bez koef. (P3a)]*RZ[[#This Row],[Počet MJCR (P0) pro "kg"]]</f>
        <v>0</v>
      </c>
      <c r="EN79" s="140">
        <f ca="1">IF(OFFSET(BB79,1,0,1,1)&lt;&gt;0,RZ[[#This Row],[Koeficient odhadu CR '[-'] (P1)]]*$BK79*SUMIFS(RZ[Úroveň 5 s koef. (P3)],RZ[0],AX79,RZ[Úroveň 2 (P0)],AY79,RZ[Úroveň 3 (P0)],AZ79,RZ[Úroveň 4 (P0)],BA79),RZ[[#This Row],[Koeficient odhadu CR '[-'] (P1)]]*$BK79*$IQ79)</f>
        <v>0</v>
      </c>
      <c r="EO79" s="140">
        <f ca="1">IF(OFFSET(BB79,1,0,1,1)&lt;&gt;0,$BK79*SUMIFS(RZ[Úroveň 5 bez koef. (P3)],RZ[0],AX79,RZ[Úroveň 2 (P0)],AY79,RZ[Úroveň 3 (P0)],AZ79,RZ[Úroveň 4 (P0)],BA79),$BK79*$IQ79)</f>
        <v>0</v>
      </c>
      <c r="EP79" s="135">
        <f ca="1">RZ[[#This Row],[Úroveň 5 s koef. (P3a)]]*RZ[[#This Row],[Počet MJCR (P0) pro "kg"]]</f>
        <v>0</v>
      </c>
      <c r="EQ79" s="135">
        <f ca="1">RZ[Úroveň 5 bez koef. (P3a)]*RZ[[#This Row],[Počet MJCR (P0) pro "kg"]]</f>
        <v>0</v>
      </c>
      <c r="ER79" s="135">
        <f ca="1">IF(OFFSET(BC79,1,0,1,1)&lt;&gt;0,RZ[[#This Row],[Koeficient odhadu CR '[-'] (P1)]]*$BL79*SUMIFS(RZ[Úroveň 6 s koef. (P3)],RZ[0],AX79,RZ[Úroveň 2 (P0)],AY79,RZ[Úroveň 3 (P0)],AZ79,RZ[Úroveň 4 (P0)],BA79,RZ[Úroveň 5 (P0)],BB79),RZ[[#This Row],[Koeficient odhadu CR '[-'] (P1)]]*$BL79*$IQ79)</f>
        <v>0</v>
      </c>
      <c r="ES79" s="135">
        <f ca="1">IF(OFFSET(BC79,1,0,1,1)&lt;&gt;0,$BL79*SUMIFS(RZ[Úroveň 6 bez koef. (P3)],RZ[0],AX79,RZ[Úroveň 2 (P0)],AY79,RZ[Úroveň 3 (P0)],AZ79,RZ[Úroveň 4 (P0)],BA79,RZ[Úroveň 5 (P0)],BB79),$BL79*$IQ79)</f>
        <v>0</v>
      </c>
      <c r="ET79" s="140">
        <f ca="1">RZ[[#This Row],[Úroveň 6 s koef. (P3a)]]*RZ[[#This Row],[Počet MJCR (P0) pro "kg"]]</f>
        <v>0</v>
      </c>
      <c r="EU79" s="140">
        <f ca="1">RZ[Úroveň 6 bez koef. (P3a)]*RZ[[#This Row],[Počet MJCR (P0) pro "kg"]]</f>
        <v>0</v>
      </c>
      <c r="EV79" s="140">
        <f ca="1">IF(OFFSET(BD79,1,0,1,1)&lt;&gt;0,RZ[[#This Row],[Koeficient odhadu CR '[-'] (P1)]]*$BM79*SUMIFS(RZ[Úroveň 7 s koef. (P3)],RZ[0],AX79,RZ[Úroveň 2 (P0)],AY79,RZ[Úroveň 3 (P0)],AZ79,RZ[Úroveň 4 (P0)],BA79,RZ[Úroveň 5 (P0)],BB79,RZ[Úroveň 6 (P0)],BC79),RZ[[#This Row],[Koeficient odhadu CR '[-'] (P1)]]*$BM79*$IQ79)</f>
        <v>0</v>
      </c>
      <c r="EW79" s="140">
        <f ca="1">IF(OFFSET(BD79,1,0,1,1)&lt;&gt;0,$BM79*SUMIFS(RZ[Úroveň 7 bez koef. (P3)],RZ[0],AX79,RZ[Úroveň 2 (P0)],AY79,RZ[Úroveň 3 (P0)],AZ79,RZ[Úroveň 4 (P0)],BA79,RZ[Úroveň 5 (P0)],BB79,RZ[Úroveň 6 (P0)],BC79),$BM79*$IQ79)</f>
        <v>0</v>
      </c>
      <c r="EX79" s="135">
        <f ca="1">RZ[[#This Row],[Úroveň 7 s koef. (P3a)]]*RZ[[#This Row],[Počet MJCR (P0) pro "kg"]]</f>
        <v>0</v>
      </c>
      <c r="EY79" s="135">
        <f ca="1">RZ[Úroveň 7 bez koef. (P3a)]*RZ[[#This Row],[Počet MJCR (P0) pro "kg"]]</f>
        <v>0</v>
      </c>
      <c r="EZ79" s="135">
        <f ca="1">IF(OFFSET(BE79,1,0,1,1)&lt;&gt;0,RZ[[#This Row],[Koeficient odhadu CR '[-'] (P1)]]*$BN79*SUMIFS(RZ[Úroveň 8 s koef. (P3)],RZ[0],AX79,RZ[Úroveň 2 (P0)],AY79,RZ[Úroveň 3 (P0)],AZ79,RZ[Úroveň 4 (P0)],BA79,RZ[Úroveň 5 (P0)],BB79,RZ[Úroveň 6 (P0)],BC79,RZ[Úroveň 7 (P0)],BD79),RZ[[#This Row],[Koeficient odhadu CR '[-'] (P1)]]*$BN79*$IQ79)</f>
        <v>0</v>
      </c>
      <c r="FA79" s="135">
        <f ca="1">IF(OFFSET(BE79,1,0,1,1)&lt;&gt;0,$BN79*SUMIFS(RZ[Úroveň 8 bez koef. (P3)],RZ[0],AX79,RZ[Úroveň 2 (P0)],AY79,RZ[Úroveň 3 (P0)],AZ79,RZ[Úroveň 4 (P0)],BA79,RZ[Úroveň 5 (P0)],BB79,RZ[Úroveň 6 (P0)],BC79,RZ[Úroveň 7 (P0)],BD79),$BN79*$IQ79)</f>
        <v>0</v>
      </c>
      <c r="FB79" s="140">
        <f ca="1">RZ[[#This Row],[Úroveň 8 s koef. (P3a)]]*RZ[[#This Row],[Počet MJCR (P0) pro "kg"]]</f>
        <v>0</v>
      </c>
      <c r="FC79" s="140">
        <f ca="1">RZ[Úroveň 8 bez koef. (P3a)]*RZ[[#This Row],[Počet MJCR (P0) pro "kg"]]</f>
        <v>0</v>
      </c>
      <c r="FD79" s="140">
        <f ca="1">IF(OFFSET(BF79,1,0,1,1)&lt;&gt;0,RZ[[#This Row],[Koeficient odhadu CR '[-'] (P1)]]*$BO79*SUMIFS(RZ[Úroveň 9 s koef. (P3)],RZ[0],AX79,RZ[Úroveň 2 (P0)],AY79,RZ[Úroveň 3 (P0)],AZ79,RZ[Úroveň 4 (P0)],BA79,RZ[Úroveň 5 (P0)],BB79,RZ[Úroveň 6 (P0)],BC79,RZ[Úroveň 7 (P0)],BD79,RZ[Úroveň 8 (P0)],BE79),RZ[[#This Row],[Koeficient odhadu CR '[-'] (P1)]]*$BO79*$IQ79)</f>
        <v>0</v>
      </c>
      <c r="FE79" s="140">
        <f ca="1">IF(OFFSET(BF79,1,0,1,1)&lt;&gt;0,$BO79*SUMIFS(RZ[Úroveň 9 bez koef. (P3)],RZ[0],AX79,RZ[Úroveň 2 (P0)],AY79,RZ[Úroveň 3 (P0)],AZ79,RZ[Úroveň 4 (P0)],BA79,RZ[Úroveň 5 (P0)],BB79,RZ[Úroveň 6 (P0)],BC79,RZ[Úroveň 7 (P0)],BD79,RZ[Úroveň 8 (P0)],BE79),$BO79*$IQ79)</f>
        <v>0</v>
      </c>
      <c r="FF79" s="135">
        <f ca="1">RZ[[#This Row],[Úroveň 9 s koef. (P3a)]]*RZ[[#This Row],[Počet MJCR (P0) pro "kg"]]</f>
        <v>0</v>
      </c>
      <c r="FG79" s="135">
        <f ca="1">RZ[Úroveň 9 bez koef. (P3a)]*RZ[[#This Row],[Počet MJCR (P0) pro "kg"]]</f>
        <v>0</v>
      </c>
      <c r="FH79" s="135">
        <f ca="1">IF(OFFSET(BG79,1,0,1,1)&lt;&gt;0,RZ[[#This Row],[Koeficient odhadu CR '[-'] (P1)]]*$BP79*SUMIFS(RZ[Úroveň 10 s koef. (P3)],RZ[0],AX79,RZ[Úroveň 2 (P0)],AY79,RZ[Úroveň 3 (P0)],AZ79,RZ[Úroveň 4 (P0)],BA79,RZ[Úroveň 5 (P0)],BB79,RZ[Úroveň 6 (P0)],BC79,RZ[Úroveň 7 (P0)],BD79,RZ[Úroveň 8 (P0)],BE79,RZ[Úroveň 9 (P0)],BF79),RZ[[#This Row],[Koeficient odhadu CR '[-'] (P1)]]*$BP79*$IQ79)</f>
        <v>0</v>
      </c>
      <c r="FI79" s="135">
        <f ca="1">IF(OFFSET(BG79,1,0,1,1)&lt;&gt;0,$BP79*SUMIFS(RZ[Úroveň 10 bez koef. (P3)],RZ[0],AX79,RZ[Úroveň 2 (P0)],AY79,RZ[Úroveň 3 (P0)],AZ79,RZ[Úroveň 4 (P0)],BA79,RZ[Úroveň 5 (P0)],BB79,RZ[Úroveň 6 (P0)],BC79,RZ[Úroveň 7 (P0)],BD79,RZ[Úroveň 8 (P0)],BE79,RZ[Úroveň 9 (P0)],BF79),$BP79*$IQ79)</f>
        <v>0</v>
      </c>
      <c r="FJ79" s="140">
        <f ca="1">RZ[[#This Row],[Úroveň 10 s koef. (P3a)]]*RZ[[#This Row],[Počet MJCR (P0) pro "kg"]]</f>
        <v>0</v>
      </c>
      <c r="FK79" s="140">
        <f ca="1">RZ[Úroveň 10 bez koef. (P3a)]*RZ[[#This Row],[Počet MJCR (P0) pro "kg"]]</f>
        <v>0</v>
      </c>
      <c r="FL79" s="140">
        <f ca="1">RZ[[#This Row],[Koeficient odhadu CR '[-'] (P1)]]*$BQ79*IQ79</f>
        <v>0</v>
      </c>
      <c r="FM79" s="236">
        <f t="shared" ca="1" si="536"/>
        <v>0</v>
      </c>
      <c r="FN79" s="194">
        <f t="shared" ca="1" si="537"/>
        <v>115</v>
      </c>
      <c r="FO79" s="238">
        <f t="shared" ca="1" si="538"/>
        <v>115</v>
      </c>
      <c r="FP79" s="135">
        <f t="shared" ca="1" si="539"/>
        <v>0</v>
      </c>
      <c r="FQ79" s="135">
        <f t="shared" ca="1" si="540"/>
        <v>0</v>
      </c>
      <c r="FR79" s="135">
        <f t="shared" ca="1" si="541"/>
        <v>280</v>
      </c>
      <c r="FS79" s="135">
        <f t="shared" ca="1" si="542"/>
        <v>0</v>
      </c>
      <c r="FT79" s="135">
        <f t="shared" ca="1" si="543"/>
        <v>0</v>
      </c>
      <c r="FU79" s="135">
        <f t="shared" ca="1" si="544"/>
        <v>0</v>
      </c>
      <c r="FV79" s="135">
        <f t="shared" ca="1" si="545"/>
        <v>0</v>
      </c>
      <c r="FW79" s="135">
        <f t="shared" ca="1" si="546"/>
        <v>0</v>
      </c>
      <c r="FX79" s="135">
        <f t="shared" ca="1" si="547"/>
        <v>0</v>
      </c>
      <c r="FY79" s="135">
        <f t="shared" ca="1" si="548"/>
        <v>0</v>
      </c>
      <c r="FZ79" s="140">
        <f ca="1">SUMIFS(RZ[Úroveň 1 (P6)],RZ[0],AX79)</f>
        <v>1</v>
      </c>
      <c r="GA79" s="140">
        <f ca="1">SUMIFS(RZ[Úroveň 2 (P6)],RZ[0],AX79,RZ[Úroveň 2 (P0)],AY79)</f>
        <v>1</v>
      </c>
      <c r="GB79" s="140">
        <f ca="1">SUMIFS(RZ[Úroveň 3 (P6)],RZ[0],AX79,RZ[Úroveň 2 (P0)],AY79,RZ[Úroveň 3 (P0)],AZ79)</f>
        <v>280</v>
      </c>
      <c r="GC79" s="140">
        <f ca="1">SUMIFS(RZ[Úroveň 4 (P6)],RZ[0],AX79,RZ[Úroveň 2 (P0)],AY79,RZ[Úroveň 3 (P0)],AZ79,RZ[Úroveň 4 (P0)],BA79)</f>
        <v>0</v>
      </c>
      <c r="GD79" s="140">
        <f ca="1">SUMIFS(RZ[Úroveň 5 (P6)],RZ[0],AX79,RZ[Úroveň 2 (P0)],AY79,RZ[Úroveň 3 (P0)],AZ79,RZ[Úroveň 4 (P0)],BA79,RZ[Úroveň 5 (P0)],BB79)</f>
        <v>0</v>
      </c>
      <c r="GE79" s="140">
        <f ca="1">SUMIFS(RZ[Úroveň 6 (P6)],RZ[0],AX79,RZ[Úroveň 2 (P0)],AY79,RZ[Úroveň 3 (P0)],AZ79,RZ[Úroveň 4 (P0)],BA79,RZ[Úroveň 5 (P0)],BB79,RZ[Úroveň 6 (P0)],BC79)</f>
        <v>0</v>
      </c>
      <c r="GF79" s="140">
        <f ca="1">SUMIFS(RZ[Úroveň 7 (P6)],RZ[0],AX79,RZ[Úroveň 2 (P0)],AY79,RZ[Úroveň 3 (P0)],AZ79,RZ[Úroveň 4 (P0)],BA79,RZ[Úroveň 5 (P0)],BB79,RZ[Úroveň 6 (P0)],BC79,RZ[Úroveň 7 (P0)],BD79)</f>
        <v>0</v>
      </c>
      <c r="GG79" s="140">
        <f ca="1">SUMIFS(RZ[Úroveň 8 (P6)],RZ[0],AX79,RZ[Úroveň 2 (P0)],AY79,RZ[Úroveň 3 (P0)],AZ79,RZ[Úroveň 4 (P0)],BA79,RZ[Úroveň 5 (P0)],BB79,RZ[Úroveň 6 (P0)],BC79,RZ[Úroveň 7 (P0)],BD79,RZ[Úroveň 8 (P0)],BE79)</f>
        <v>0</v>
      </c>
      <c r="GH79" s="140">
        <f ca="1">SUMIFS(RZ[Úroveň 9 (P6)],RZ[0],AX79,RZ[Úroveň 2 (P0)],AY79,RZ[Úroveň 3 (P0)],AZ79,RZ[Úroveň 4 (P0)],BA79,RZ[Úroveň 5 (P0)],BB79,RZ[Úroveň 6 (P0)],BC79,RZ[Úroveň 7 (P0)],BD79,RZ[Úroveň 8 (P0)],BE79,RZ[Úroveň 9 (P0)],BF79)</f>
        <v>0</v>
      </c>
      <c r="GI79" s="140">
        <f ca="1">SUMIFS(RZ[Úroveň 10 (P6)],RZ[0],AX79,RZ[Úroveň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GJ79" s="918">
        <f t="shared" ca="1" si="549"/>
        <v>280</v>
      </c>
      <c r="GK79" s="808">
        <f t="shared" si="550"/>
        <v>0</v>
      </c>
      <c r="GL79" s="808">
        <f t="shared" si="551"/>
        <v>0</v>
      </c>
      <c r="GM79" s="808">
        <f t="shared" si="552"/>
        <v>1</v>
      </c>
      <c r="GN79" s="808">
        <f t="shared" si="553"/>
        <v>0</v>
      </c>
      <c r="GO79" s="808">
        <f t="shared" si="554"/>
        <v>0</v>
      </c>
      <c r="GP79" s="808">
        <f t="shared" si="555"/>
        <v>0</v>
      </c>
      <c r="GQ79" s="808">
        <f t="shared" si="556"/>
        <v>0</v>
      </c>
      <c r="GR79" s="808">
        <f t="shared" si="557"/>
        <v>0</v>
      </c>
      <c r="GS79" s="808">
        <f t="shared" si="558"/>
        <v>0</v>
      </c>
      <c r="GT79" s="808">
        <f t="shared" si="559"/>
        <v>0</v>
      </c>
      <c r="GU79" s="809">
        <f ca="1">SUMIFS(RZ[Sloupec1],RZ[0],AX79)</f>
        <v>1</v>
      </c>
      <c r="GV79" s="809">
        <f ca="1">SUMIFS(RZ[Sloupec2],RZ[0],AX79,RZ[Úroveň 2 (P0)],AY79)</f>
        <v>1</v>
      </c>
      <c r="GW79" s="809">
        <f ca="1">SUMIFS(RZ[Sloupec3],RZ[0],AX79,RZ[Úroveň 2 (P0)],AY79,RZ[Úroveň 3 (P0)],AZ79)</f>
        <v>1</v>
      </c>
      <c r="GX79" s="809">
        <f ca="1">SUMIFS(RZ[Sloupec4],RZ[0],AX79,RZ[Úroveň 2 (P0)],AY79,RZ[Úroveň 3 (P0)],AZ79,RZ[Úroveň 4 (P0)],BA79)</f>
        <v>0</v>
      </c>
      <c r="GY79" s="809">
        <f ca="1">SUMIFS(RZ[Sloupec5],RZ[0],AX79,RZ[Úroveň 2 (P0)],AY79,RZ[Úroveň 3 (P0)],AZ79,RZ[Úroveň 4 (P0)],BA79,RZ[Úroveň 5 (P0)],BB79)</f>
        <v>0</v>
      </c>
      <c r="GZ79" s="809">
        <f ca="1">SUMIFS(RZ[Sloupec6],RZ[0],AX79,RZ[Úroveň 2 (P0)],AY79,RZ[Úroveň 3 (P0)],AZ79,RZ[Úroveň 4 (P0)],BA79,RZ[Úroveň 5 (P0)],BB79,RZ[Úroveň 6 (P0)],BC79)</f>
        <v>0</v>
      </c>
      <c r="HA79" s="809">
        <f ca="1">SUMIFS(RZ[Sloupec62],RZ[0],AX79,RZ[Úroveň 2 (P0)],AY79,RZ[Úroveň 3 (P0)],AZ79,RZ[Úroveň 4 (P0)],BA79,RZ[Úroveň 5 (P0)],BB79,RZ[Úroveň 6 (P0)],BC79,RZ[Úroveň 7 (P0)],BD79)</f>
        <v>0</v>
      </c>
      <c r="HB79" s="809">
        <f ca="1">SUMIFS(RZ[Sloupec63],RZ[0],AX79,RZ[Úroveň 2 (P0)],AY79,RZ[Úroveň 3 (P0)],AZ79,RZ[Úroveň 4 (P0)],BA79,RZ[Úroveň 5 (P0)],BB79,RZ[Úroveň 6 (P0)],BC79,RZ[Úroveň 7 (P0)],BD79,RZ[Úroveň 8 (P0)],BE79)</f>
        <v>0</v>
      </c>
      <c r="HC79" s="809">
        <f ca="1">SUMIFS(RZ[Sloupec64],RZ[0],AX79,RZ[Úroveň 2 (P0)],AY79,RZ[Úroveň 3 (P0)],AZ79,RZ[Úroveň 4 (P0)],BA79,RZ[Úroveň 5 (P0)],BB79,RZ[Úroveň 6 (P0)],BC79,RZ[Úroveň 7 (P0)],BD79,RZ[Úroveň 8 (P0)],BE79,RZ[Úroveň 9 (P0)],BF79)</f>
        <v>0</v>
      </c>
      <c r="HD79" s="809">
        <f ca="1">SUMIFS(RZ[Sloupec65],RZ[0],AX79,RZ[Úroveň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HE79" s="919">
        <f t="shared" ca="1" si="560"/>
        <v>1</v>
      </c>
      <c r="HF79" s="920" t="str">
        <f t="shared" si="561"/>
        <v/>
      </c>
      <c r="HG79" s="94" t="str">
        <f t="shared" si="562"/>
        <v/>
      </c>
      <c r="HH79" s="95" t="str">
        <f t="shared" si="563"/>
        <v/>
      </c>
      <c r="HI79" s="95" t="str">
        <f t="shared" si="564"/>
        <v>Osa - průměr 200 mm</v>
      </c>
      <c r="HJ79" s="96" t="str">
        <f t="shared" si="565"/>
        <v/>
      </c>
      <c r="HK79" s="96" t="str">
        <f t="shared" si="566"/>
        <v/>
      </c>
      <c r="HL79" s="96" t="str">
        <f t="shared" si="567"/>
        <v/>
      </c>
      <c r="HM79" s="96" t="str">
        <f t="shared" si="568"/>
        <v/>
      </c>
      <c r="HN79" s="96" t="str">
        <f t="shared" si="569"/>
        <v/>
      </c>
      <c r="HO79" s="96" t="str">
        <f t="shared" si="570"/>
        <v/>
      </c>
      <c r="HP79" s="96" t="str">
        <f t="shared" si="571"/>
        <v/>
      </c>
      <c r="HQ79" s="145" t="str">
        <f t="shared" si="572"/>
        <v>STO2</v>
      </c>
      <c r="HR79" s="921" t="str">
        <f t="shared" si="573"/>
        <v/>
      </c>
      <c r="HS79" s="173">
        <f t="shared" si="574"/>
        <v>0</v>
      </c>
      <c r="HT79" s="100">
        <f t="shared" si="575"/>
        <v>0</v>
      </c>
      <c r="HU79" s="100">
        <f t="shared" si="576"/>
        <v>0</v>
      </c>
      <c r="HV79" s="908">
        <f t="shared" si="577"/>
        <v>0</v>
      </c>
      <c r="HW79" s="922">
        <f t="shared" si="578"/>
        <v>0</v>
      </c>
      <c r="HX79" s="224">
        <f t="shared" si="579"/>
        <v>0</v>
      </c>
      <c r="HY79" s="263" t="str">
        <f t="shared" si="580"/>
        <v>S</v>
      </c>
      <c r="HZ79" s="263">
        <f t="shared" si="581"/>
        <v>0</v>
      </c>
      <c r="IA79" s="150">
        <f t="shared" si="582"/>
        <v>1</v>
      </c>
      <c r="IB79" s="319">
        <f t="shared" si="583"/>
        <v>0</v>
      </c>
      <c r="IC79" s="923">
        <f t="shared" si="584"/>
        <v>0</v>
      </c>
      <c r="ID79" s="924" t="str">
        <f t="shared" ca="1" si="585"/>
        <v>OK</v>
      </c>
      <c r="IE79" s="201" t="str">
        <f t="shared" si="586"/>
        <v>ks</v>
      </c>
      <c r="IF79" s="145">
        <f t="shared" si="587"/>
        <v>2</v>
      </c>
      <c r="IG79" s="216">
        <f t="shared" si="588"/>
        <v>140</v>
      </c>
      <c r="IH79" s="217">
        <f t="shared" si="589"/>
        <v>1</v>
      </c>
      <c r="II79" s="224" t="str">
        <f ca="1">IF(RZ[[#This Row],[Rozhodný sloupec indikativní ceny]]=1,"kg",IF($IW79=$JL$15,IF(JX79=0,JO79,JX79),IF($IW79=$KE$15,IF(KQ79=0,KH79,KQ79),IF($IW79=$KX$15,IF(LJ79=0,LA79,LJ79),IF($IW79=$LQ$15,IF(MC79=0,LT79,MC79),IF($IW79=$MJ$15,IF(NQ79=0,NH79,NQ79),0))))))</f>
        <v>kg</v>
      </c>
      <c r="IJ79" s="224">
        <f ca="1">IF((BH79+OFFSET(BH79,1,1,1,1))=2,RZ[[#This Row],[Počet MJHR (P0)]],IF((BI79+OFFSET(BI79,1,1,1,1))=2,RZ[[#This Row],[Počet MJHR (P0)]],IF((BJ79+OFFSET(BJ79,1,1,1,1))=2,RZ[[#This Row],[Počet MJHR (P0)]],IF((BK79+OFFSET(BK79,1,1,1,1))=2,RZ[[#This Row],[Počet MJHR (P0)]],IF((BL79+OFFSET(BL79,1,1,1,1))=2,RZ[[#This Row],[Počet MJHR (P0)]],IF((BM79+OFFSET(BM79,1,1,1,1))=2,RZ[[#This Row],[Počet MJHR (P0)]],IF((BN79+OFFSET(BN79,1,1,1,1))=2,RZ[[#This Row],[Počet MJHR (P0)]],IF((BO79+OFFSET(BO79,1,1,1,1))=2,RZ[[#This Row],[Počet MJHR (P0)]],IF((BP79+OFFSET(BP79,1,1,1,1))=2,RZ[[#This Row],[Počet MJHR (P0)]],IF((BQ79+OFFSET(BQ79,1,1,1,1))=2,RZ[[#This Row],[Počet MJHR (P0)]],IF(RZ[[#This Row],[Měrná jednotka CR (MJCR) (P0)]]=RZ[[#This Row],[Měrná jednotka HR '[MJHR'] (P0)]],RZ[[#This Row],[Počet MJHR (P0)]],IF($IW79=$JL$15,JY79,IF($IW79=$KE$15,KR79,IF($IW79=$KX$15,LK79,IF($IW79=$LQ$15,MD79,IF($IW79=$MJ$15,NR79,0))))))))))))))))</f>
        <v>0</v>
      </c>
      <c r="IK7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79" s="145">
        <f ca="1">IF(AND(RZ[[#This Row],[Jednotková cena bez DPH '[cena/MJCR'] (P0)]]=0,RZ[[#This Row],[Indikativní jednotková cena '[CZK/kg'] (P1)]]&lt;&gt;0),1,0)</f>
        <v>1</v>
      </c>
      <c r="IM79" s="217">
        <f ca="1">VLOOKUP(RZ[[#This Row],[Kód položek]],INDIKAT_CENA,2,FALSE)</f>
        <v>115</v>
      </c>
      <c r="IN79" s="222">
        <f ca="1">IF(RZ[[#This Row],[Rozhodný sloupec indikativní ceny]]=1,RZ[[#This Row],[Indikativní jednotková cena '[CZK/kg'] (P1)]],RZ[[#This Row],[Jednotková cena bez DPH '[cena/MJCR'] (P0)]])</f>
        <v>115</v>
      </c>
      <c r="IO79" s="222">
        <f t="shared" si="590"/>
        <v>1</v>
      </c>
      <c r="IP79" s="224">
        <f ca="1">IF(RZ[[#This Row],[Rozhodný sloupec indikativní ceny]]=1,1,IF($IW79=$JL$15,KA79,IF($IW79=$KE$15,KT79,IF($IW79=$KX$15,LM79,IF($IW79=$LQ$15,MF79,IF($IW79=$MJ$15,NT79,0))))))</f>
        <v>1</v>
      </c>
      <c r="IQ79" s="225">
        <f ca="1">IF(RZ[[#This Row],[Jednotková cena bez DPH '[cena/MJCR'] (P1)]]="",0,IF(IP79=0,0,(RZ[[#This Row],[Jednotková cena bez DPH '[cena/MJCR'] (P1)]]*VLOOKUP(IP79,$BR$7:$BT$10,3))))</f>
        <v>115</v>
      </c>
      <c r="IR79" s="737"/>
      <c r="IS79" s="627">
        <f>IF(HY79=0,"",VLOOKUP(RZ[[#This Row],[Stav Projekce (P0)]],Vstupy!$E$11:'Vstupy'!$E$11:$H$17,4,FALSE))</f>
        <v>100</v>
      </c>
      <c r="IT79" s="925" t="str">
        <f>IF(RZ[[#This Row],[Stav Projekce (P0)]]=0,"",RZ[[#This Row],[Stav Projekce (P0)]])</f>
        <v>S</v>
      </c>
      <c r="IU79" s="925" t="str">
        <f>IF(RZ[[#This Row],[Stav Nákup (P0)]]=0,"",RZ[[#This Row],[Stav Nákup (P0)]])</f>
        <v/>
      </c>
      <c r="IV79" s="926" t="str">
        <f t="shared" si="591"/>
        <v/>
      </c>
      <c r="IW79" s="641">
        <v>1</v>
      </c>
      <c r="IX79" s="630"/>
      <c r="IY79" s="264"/>
      <c r="IZ79" s="648"/>
      <c r="JA79" s="100"/>
      <c r="JB79" s="100" t="s">
        <v>788</v>
      </c>
      <c r="JC79" s="100"/>
      <c r="JD79" s="100"/>
      <c r="JE79" s="100"/>
      <c r="JF79" s="100"/>
      <c r="JG79" s="100"/>
      <c r="JH79" s="100"/>
      <c r="JI79" s="100"/>
      <c r="JJ79" s="145" t="s">
        <v>773</v>
      </c>
      <c r="JK79" s="529"/>
      <c r="JL79" s="286"/>
      <c r="JM79" s="100"/>
      <c r="JN79" s="100"/>
      <c r="JO79" s="145" t="s">
        <v>35</v>
      </c>
      <c r="JP79" s="117">
        <v>2</v>
      </c>
      <c r="JQ79" s="117">
        <v>140</v>
      </c>
      <c r="JR79" s="148">
        <v>1</v>
      </c>
      <c r="JS79" s="145" t="s">
        <v>602</v>
      </c>
      <c r="JT79" s="631"/>
      <c r="JU79" s="148"/>
      <c r="JV79" s="154"/>
      <c r="JW79" s="145"/>
      <c r="JX79" s="210"/>
      <c r="JY79" s="117"/>
      <c r="JZ79" s="662"/>
      <c r="KA79" s="145"/>
      <c r="KB79" s="148"/>
      <c r="KC79" s="148"/>
      <c r="KD79" s="644"/>
      <c r="KE79" s="286"/>
      <c r="KF79" s="100"/>
      <c r="KG79" s="100"/>
      <c r="KH79" s="210"/>
      <c r="KI79" s="117"/>
      <c r="KJ79" s="117"/>
      <c r="KK79" s="148"/>
      <c r="KL79" s="145"/>
      <c r="KM79" s="632"/>
      <c r="KN79" s="148"/>
      <c r="KO79" s="154"/>
      <c r="KP79" s="154"/>
      <c r="KQ79" s="210"/>
      <c r="KR79" s="117"/>
      <c r="KS79" s="211"/>
      <c r="KT79" s="145"/>
      <c r="KU79" s="148"/>
      <c r="KV79" s="148"/>
      <c r="KW79" s="265"/>
      <c r="KX79" s="286"/>
      <c r="KY79" s="100"/>
      <c r="KZ79" s="100"/>
      <c r="LA79" s="210"/>
      <c r="LB79" s="117"/>
      <c r="LC79" s="117"/>
      <c r="LD79" s="148"/>
      <c r="LE79" s="145"/>
      <c r="LF79" s="632"/>
      <c r="LG79" s="148"/>
      <c r="LH79" s="154"/>
      <c r="LI79" s="154"/>
      <c r="LJ79" s="154"/>
      <c r="LK79" s="117"/>
      <c r="LL79" s="211"/>
      <c r="LM79" s="210"/>
      <c r="LN79" s="148"/>
      <c r="LO79" s="148"/>
      <c r="LP79" s="265"/>
      <c r="LQ79" s="286"/>
      <c r="LR79" s="100"/>
      <c r="LS79" s="100"/>
      <c r="LT79" s="210"/>
      <c r="LU79" s="117"/>
      <c r="LV79" s="117"/>
      <c r="LW79" s="148"/>
      <c r="LX79" s="145"/>
      <c r="LY79" s="632"/>
      <c r="LZ79" s="148"/>
      <c r="MA79" s="154"/>
      <c r="MB79" s="154"/>
      <c r="MC79" s="145"/>
      <c r="MD79" s="117"/>
      <c r="ME79" s="211"/>
      <c r="MF79" s="210"/>
      <c r="MG79" s="148"/>
      <c r="MH79" s="148"/>
      <c r="MI79" s="265"/>
      <c r="MJ79" s="647"/>
      <c r="MK79" s="264"/>
      <c r="ML79" s="153"/>
      <c r="MM79" s="153"/>
      <c r="MN79" s="153"/>
      <c r="MO79" s="153"/>
      <c r="MP79" s="153"/>
      <c r="MQ79" s="153"/>
      <c r="MR79" s="153"/>
      <c r="MS79" s="99"/>
      <c r="MT79" s="99"/>
      <c r="MU79" s="99"/>
      <c r="MV79" s="99"/>
      <c r="MW79" s="99"/>
      <c r="MX79" s="99"/>
      <c r="MY79" s="153"/>
      <c r="MZ79" s="153"/>
      <c r="NA79" s="153"/>
      <c r="NB79" s="153"/>
      <c r="NC79" s="153"/>
      <c r="ND79" s="153"/>
      <c r="NE79" s="148"/>
      <c r="NF79" s="153"/>
      <c r="NG79" s="153"/>
      <c r="NH79" s="330" t="str">
        <f t="shared" si="592"/>
        <v>ks</v>
      </c>
      <c r="NI79" s="797">
        <f>RZ[[#This Row],[Počet ks (K)]]</f>
        <v>0</v>
      </c>
      <c r="NJ79" s="798">
        <f>RZ[[#This Row],[Hmotnost '[kg/ks'] (K)]]</f>
        <v>0</v>
      </c>
      <c r="NK79" s="148"/>
      <c r="NL79" s="145"/>
      <c r="NM79" s="632"/>
      <c r="NN79" s="148"/>
      <c r="NO79" s="154"/>
      <c r="NP79" s="153"/>
      <c r="NQ79" s="153"/>
      <c r="NR79" s="210"/>
      <c r="NS79" s="148"/>
      <c r="NT79" s="210"/>
      <c r="NU79" s="148"/>
      <c r="NV79" s="148"/>
      <c r="NW79" s="175"/>
    </row>
    <row r="80" spans="2:387" ht="15.95" customHeight="1" x14ac:dyDescent="0.35">
      <c r="B80" s="118" t="str">
        <f t="shared" si="476"/>
        <v/>
      </c>
      <c r="C8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0" s="262" t="str">
        <f t="shared" si="477"/>
        <v xml:space="preserve">    Přídržka</v>
      </c>
      <c r="E80" s="120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Row],[Kód položek (P2)]]))))))))))</f>
        <v>STO3</v>
      </c>
      <c r="F80" s="791" t="str">
        <f t="shared" si="478"/>
        <v>N/A</v>
      </c>
      <c r="G80" s="792" t="str">
        <f t="shared" si="479"/>
        <v/>
      </c>
      <c r="H80" s="262" t="str">
        <f t="shared" si="480"/>
        <v/>
      </c>
      <c r="I80" s="123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HR '[MJHR'] (P0)]]))))))))))</f>
        <v>ks</v>
      </c>
      <c r="J80" s="123">
        <f t="shared" si="481"/>
        <v>2</v>
      </c>
      <c r="K80" s="793">
        <f>RZ[[#This Row],[Koeficient odhadu HR '[-'] (P1)]]</f>
        <v>1</v>
      </c>
      <c r="L80" s="124">
        <f ca="1">RZ[[#This Row],[Jednotková hmotnost s koef. '[kg/MJHR'] (P0)]]</f>
        <v>1.9</v>
      </c>
      <c r="M80" s="794">
        <f t="shared" ca="1" si="482"/>
        <v>0</v>
      </c>
      <c r="N80" s="125">
        <f t="shared" ca="1" si="483"/>
        <v>3.8</v>
      </c>
      <c r="O80" s="125">
        <f t="shared" ca="1" si="484"/>
        <v>0</v>
      </c>
      <c r="P80" s="126" t="str">
        <f t="shared" si="485"/>
        <v/>
      </c>
      <c r="Q80" s="795">
        <f ca="1">RZ[[#This Row],[Počet MJHR v rozpadu (P0)]]</f>
        <v>2</v>
      </c>
      <c r="R80" s="439" t="str">
        <f t="shared" si="486"/>
        <v/>
      </c>
      <c r="S80" s="129" t="str">
        <f t="shared" si="487"/>
        <v/>
      </c>
      <c r="T80" s="126" t="str">
        <f t="shared" si="488"/>
        <v/>
      </c>
      <c r="U80" s="126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CR (MJCR) (P0)]]))))))))))</f>
        <v>kg</v>
      </c>
      <c r="V80" s="575">
        <f t="shared" ca="1" si="489"/>
        <v>3.8</v>
      </c>
      <c r="W80" s="322">
        <f>RZ[[#This Row],[Koeficient odhadu CR '[-'] (P1)]]</f>
        <v>1</v>
      </c>
      <c r="X80" s="440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Row],[Jednotková cena bez DPH '[cena/MJCR'] (P1)]]*RZ[[#This Row],[Koeficient odhadu CR '[-']]]))))))))))</f>
        <v>85</v>
      </c>
      <c r="Y80" s="440">
        <f t="shared" ca="1" si="490"/>
        <v>0</v>
      </c>
      <c r="Z80" s="142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VLOOKUP(IP80,$BR$7:$BS$11,2,FALSE)))))))))))</f>
        <v>CZK</v>
      </c>
      <c r="AA80" s="909">
        <f t="shared" ca="1" si="491"/>
        <v>3.8</v>
      </c>
      <c r="AB80" s="910">
        <f ca="1">RZ[[#This Row],[Kumulovaný koeficient v rozpadu (P0)]]</f>
        <v>1</v>
      </c>
      <c r="AC80" s="261"/>
      <c r="AD80" s="796">
        <f ca="1">RZ[[#This Row],[Jednotková cena bez DPH '[cena/MJCR'] s koef. (P0)]]/RZ[[#This Row],[Koeficient odhadu CR '[-']]]*RZ[[#This Row],[Kumulovaný koeficient odhadu CR  '[-']]]</f>
        <v>85</v>
      </c>
      <c r="AE80" s="796">
        <f t="shared" ca="1" si="492"/>
        <v>323</v>
      </c>
      <c r="AF80" s="796">
        <f ca="1">-IF(ISNUMBER(AA80),RZ[[#This Row],[Celková cena bez DPH (1)]]-RZ[[#This Row],[Jednotková cena bez DPH '[cena/MJCR'] bez koef. (P0)]]*AA80,0)</f>
        <v>0</v>
      </c>
      <c r="AG8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0" s="261"/>
      <c r="AI80" s="796">
        <f t="shared" ca="1" si="493"/>
        <v>3.1481481481481484</v>
      </c>
      <c r="AJ80" s="796">
        <f t="shared" ca="1" si="494"/>
        <v>11.962962962962964</v>
      </c>
      <c r="AK80" s="796">
        <f t="shared" ca="1" si="495"/>
        <v>0</v>
      </c>
      <c r="AL80" s="753">
        <f ca="1">RZ[[#This Row],[Kilogramová cena bez DPH '[cena/kg'] (1)]]/$AK$13</f>
        <v>3.1481481481481484</v>
      </c>
      <c r="AM80" s="261"/>
      <c r="AN80" s="796">
        <f t="shared" ca="1" si="496"/>
        <v>4.1062801932367154</v>
      </c>
      <c r="AO80" s="796">
        <f t="shared" ca="1" si="497"/>
        <v>15.603864734299517</v>
      </c>
      <c r="AP80" s="796">
        <f t="shared" ca="1" si="498"/>
        <v>0</v>
      </c>
      <c r="AQ80" s="753">
        <f ca="1">RZ[[#This Row],[Kilogramová cena bez DPH '[cena/kg'] (1)]]/$AP$13</f>
        <v>4.1062801932367154</v>
      </c>
      <c r="AR80" s="261"/>
      <c r="AS80" s="796">
        <f t="shared" ca="1" si="499"/>
        <v>2.324945295404814</v>
      </c>
      <c r="AT80" s="796">
        <f t="shared" ca="1" si="500"/>
        <v>8.8347921225382926</v>
      </c>
      <c r="AU80" s="789">
        <f t="shared" ca="1" si="501"/>
        <v>0</v>
      </c>
      <c r="AV80" s="767">
        <f ca="1">RZ[[#This Row],[Kilogramová cena bez DPH '[cena/kg'] (1)]]/$AU$13</f>
        <v>2.324945295404814</v>
      </c>
      <c r="AW80" s="165"/>
      <c r="AX80" s="911">
        <f t="shared" ca="1" si="502"/>
        <v>2</v>
      </c>
      <c r="AY80" s="111">
        <f t="shared" ca="1" si="503"/>
        <v>3</v>
      </c>
      <c r="AZ80" s="111">
        <f t="shared" ca="1" si="504"/>
        <v>7</v>
      </c>
      <c r="BA80" s="111">
        <f t="shared" ca="1" si="505"/>
        <v>0</v>
      </c>
      <c r="BB80" s="111">
        <f t="shared" ca="1" si="506"/>
        <v>0</v>
      </c>
      <c r="BC80" s="111">
        <f t="shared" ca="1" si="507"/>
        <v>0</v>
      </c>
      <c r="BD80" s="111">
        <f t="shared" ca="1" si="508"/>
        <v>0</v>
      </c>
      <c r="BE80" s="111">
        <f t="shared" ca="1" si="509"/>
        <v>0</v>
      </c>
      <c r="BF80" s="111">
        <f t="shared" ca="1" si="510"/>
        <v>0</v>
      </c>
      <c r="BG80" s="112">
        <f t="shared" ca="1" si="511"/>
        <v>0</v>
      </c>
      <c r="BH80" s="911">
        <f t="shared" si="512"/>
        <v>0</v>
      </c>
      <c r="BI80" s="111">
        <f t="shared" si="513"/>
        <v>0</v>
      </c>
      <c r="BJ80" s="111">
        <f t="shared" si="514"/>
        <v>1</v>
      </c>
      <c r="BK80" s="111">
        <f t="shared" si="515"/>
        <v>0</v>
      </c>
      <c r="BL80" s="111">
        <f t="shared" si="516"/>
        <v>0</v>
      </c>
      <c r="BM80" s="111">
        <f t="shared" si="517"/>
        <v>0</v>
      </c>
      <c r="BN80" s="111">
        <f t="shared" si="518"/>
        <v>0</v>
      </c>
      <c r="BO80" s="111">
        <f t="shared" si="519"/>
        <v>0</v>
      </c>
      <c r="BP80" s="111">
        <f t="shared" si="520"/>
        <v>0</v>
      </c>
      <c r="BQ80" s="112">
        <f t="shared" si="521"/>
        <v>0</v>
      </c>
      <c r="BR80" s="132">
        <f ca="1">IF(OFFSET(AY80,1,0,1,1)&lt;&gt;0,RZ[[#This Row],[Koeficient odhadu HR '[-'] (P1)]]*$BH80*SUMIFS(RZ[Úroveň 2 s koef. (P2)],RZ[0],AX80),RZ[[#This Row],[Koeficient odhadu HR '[-'] (P1)]]*$BH80*$IG80)</f>
        <v>0</v>
      </c>
      <c r="BS80" s="186">
        <f ca="1">IF(OFFSET(AY80,1,0,1,1)&lt;&gt;0,$BH80*SUMIFS(RZ[Úroveň 2 bez koef. (P2)],RZ[0],AX80),$BH80*$IG80)</f>
        <v>0</v>
      </c>
      <c r="BT80" s="138">
        <f ca="1">RZ[[#This Row],[Úroveň 2 s koef. (P2a)]]*RZ[[#This Row],[Počet MJHR (P0)]]</f>
        <v>0</v>
      </c>
      <c r="BU80" s="138">
        <f ca="1">RZ[[#This Row],[Úroveň 2 bez koef. (P2a)]]*RZ[[#This Row],[Počet MJHR (P0)]]</f>
        <v>0</v>
      </c>
      <c r="BV80" s="138">
        <f ca="1">IF(OFFSET(AZ80,1,0,1,1)&lt;&gt;0,RZ[[#This Row],[Koeficient odhadu HR '[-'] (P1)]]*$BI80*SUMIFS(RZ[Úroveň 3 s koef. (P2)],RZ[0],AX80,RZ[Úroveň 2 (P0)],AY80),RZ[[#This Row],[Koeficient odhadu HR '[-'] (P1)]]*$BI80*$IG80)</f>
        <v>0</v>
      </c>
      <c r="BW80" s="138">
        <f ca="1">IF(OFFSET(AZ80,1,0,1,1)&lt;&gt;0,$BI80*SUMIFS(RZ[Úroveň 3 bez koef. (P2)],RZ[0],AX80,RZ[Úroveň 2 (P0)],AY80),$BI80*$IG80)</f>
        <v>0</v>
      </c>
      <c r="BX80" s="132">
        <f ca="1">RZ[[#This Row],[Úroveň 3 s koef. (P2a)]]*RZ[[#This Row],[Počet MJHR (P0)]]</f>
        <v>3.8</v>
      </c>
      <c r="BY80" s="132">
        <f ca="1">RZ[Úroveň 3 bez koef. (P2a)]*RZ[[#This Row],[Počet MJHR (P0)]]</f>
        <v>3.8</v>
      </c>
      <c r="BZ80" s="132">
        <f ca="1">IF(OFFSET(BA80,1,0,1,1)&lt;&gt;0,RZ[[#This Row],[Koeficient odhadu HR '[-'] (P1)]]*$BJ80*SUMIFS(RZ[Úroveň 4 s koef. (P2)],RZ[0],AX80,RZ[Úroveň 2 (P0)],AY80,RZ[Úroveň 3 (P0)],AZ80),RZ[[#This Row],[Koeficient odhadu HR '[-'] (P1)]]*$BJ80*$IG80)</f>
        <v>1.9</v>
      </c>
      <c r="CA80" s="132">
        <f ca="1">IF(OFFSET(BA80,1,0,1,1)&lt;&gt;0,$BJ80*SUMIFS(RZ[Úroveň 4 bez koef. (P2)],RZ[0],AX80,RZ[Úroveň 2 (P0)],AY80,RZ[Úroveň 3 (P0)],AZ80),$BJ80*$IG80)</f>
        <v>1.9</v>
      </c>
      <c r="CB80" s="138">
        <f ca="1">RZ[[#This Row],[Úroveň 4 s koef. (P2a)]]*RZ[[#This Row],[Počet MJHR (P0)]]</f>
        <v>0</v>
      </c>
      <c r="CC80" s="138">
        <f ca="1">RZ[Úroveň 4 bez koef. (P2a)]*RZ[[#This Row],[Počet MJHR (P0)]]</f>
        <v>0</v>
      </c>
      <c r="CD80" s="138">
        <f ca="1">IF(OFFSET(BB80,1,0,1,1)&lt;&gt;0,RZ[[#This Row],[Koeficient odhadu HR '[-'] (P1)]]*$BK80*SUMIFS(RZ[Úroveň 5 s koef. (P2)],RZ[0],AX80,RZ[Úroveň 2 (P0)],AY80,RZ[Úroveň 3 (P0)],AZ80,RZ[Úroveň 4 (P0)],BA80),RZ[[#This Row],[Koeficient odhadu HR '[-'] (P1)]]*$BK80*$IG80)</f>
        <v>0</v>
      </c>
      <c r="CE80" s="138">
        <f ca="1">IF(OFFSET(BB80,1,0,1,1)&lt;&gt;0,$BK80*SUMIFS(RZ[Úroveň 5 bez koef. (P2)],RZ[0],AX80,RZ[Úroveň 2 (P0)],AY80,RZ[Úroveň 3 (P0)],AZ80,RZ[Úroveň 4 (P0)],BA80),$BK80*$IG80)</f>
        <v>0</v>
      </c>
      <c r="CF80" s="132">
        <f ca="1">RZ[[#This Row],[Úroveň 5 s koef. (P2a)]]*RZ[[#This Row],[Počet MJHR (P0)]]</f>
        <v>0</v>
      </c>
      <c r="CG80" s="132">
        <f ca="1">RZ[Úroveň 5 bez koef. (P2a)]*RZ[[#This Row],[Počet MJHR (P0)]]</f>
        <v>0</v>
      </c>
      <c r="CH80" s="132">
        <f ca="1">IF(OFFSET(BC80,1,0,1,1)&lt;&gt;0,RZ[[#This Row],[Koeficient odhadu HR '[-'] (P1)]]*$BL80*SUMIFS(RZ[Úroveň 6 s koef. (P2)],RZ[0],AX80,RZ[Úroveň 2 (P0)],AY80,RZ[Úroveň 3 (P0)],AZ80,RZ[Úroveň 4 (P0)],BA80,RZ[Úroveň 5 (P0)],BB80),RZ[[#This Row],[Koeficient odhadu HR '[-'] (P1)]]*$BL80*$IG80)</f>
        <v>0</v>
      </c>
      <c r="CI80" s="132">
        <f ca="1">IF(OFFSET(BC80,1,0,1,1)&lt;&gt;0,$BL80*SUMIFS(RZ[Úroveň 6 bez koef. (P2)],RZ[0],AX80,RZ[Úroveň 2 (P0)],AY80,RZ[Úroveň 3 (P0)],AZ80,RZ[Úroveň 4 (P0)],BA80,RZ[Úroveň 5 (P0)],BB80),$BL80*$IG80)</f>
        <v>0</v>
      </c>
      <c r="CJ80" s="138">
        <f ca="1">RZ[[#This Row],[Úroveň 6 s koef. (P2a)]]*RZ[[#This Row],[Počet MJHR (P0)]]</f>
        <v>0</v>
      </c>
      <c r="CK80" s="138">
        <f ca="1">RZ[Úroveň 6 bez koef. (P2a)]*RZ[[#This Row],[Počet MJHR (P0)]]</f>
        <v>0</v>
      </c>
      <c r="CL80" s="138">
        <f ca="1">IF(OFFSET(BD80,1,0,1,1)&lt;&gt;0,RZ[[#This Row],[Koeficient odhadu HR '[-'] (P1)]]*$BM80*SUMIFS(RZ[Úroveň 7 s koef. (P2)],RZ[0],AX80,RZ[Úroveň 2 (P0)],AY80,RZ[Úroveň 3 (P0)],AZ80,RZ[Úroveň 4 (P0)],BA80,RZ[Úroveň 5 (P0)],BB80,RZ[Úroveň 6 (P0)],BC80),RZ[[#This Row],[Koeficient odhadu HR '[-'] (P1)]]*$BM80*$IG80)</f>
        <v>0</v>
      </c>
      <c r="CM80" s="138">
        <f ca="1">IF(OFFSET(BD80,1,0,1,1)&lt;&gt;0,$BM80*SUMIFS(RZ[Úroveň 7 bez koef. (P2)],RZ[0],AX80,RZ[Úroveň 2 (P0)],AY80,RZ[Úroveň 3 (P0)],AZ80,RZ[Úroveň 4 (P0)],BA80,RZ[Úroveň 5 (P0)],BB80,RZ[Úroveň 6 (P0)],BC80),$BM80*$IG80)</f>
        <v>0</v>
      </c>
      <c r="CN80" s="132">
        <f ca="1">RZ[[#This Row],[Úroveň 7 s koef. (P2a)]]*RZ[[#This Row],[Počet MJHR (P0)]]</f>
        <v>0</v>
      </c>
      <c r="CO80" s="132">
        <f ca="1">RZ[Úroveň 7 bez koef. (P2a)]*RZ[[#This Row],[Počet MJHR (P0)]]</f>
        <v>0</v>
      </c>
      <c r="CP80" s="132">
        <f ca="1">IF(OFFSET(BE80,1,0,1,1)&lt;&gt;0,RZ[[#This Row],[Koeficient odhadu HR '[-'] (P1)]]*$BN80*SUMIFS(RZ[Úroveň 8 s koef. (P2)],RZ[0],AX80,RZ[Úroveň 2 (P0)],AY80,RZ[Úroveň 3 (P0)],AZ80,RZ[Úroveň 4 (P0)],BA80,RZ[Úroveň 5 (P0)],BB80,RZ[Úroveň 6 (P0)],BC80,RZ[Úroveň 7 (P0)],BD80),RZ[[#This Row],[Koeficient odhadu HR '[-'] (P1)]]*$BN80*$IG80)</f>
        <v>0</v>
      </c>
      <c r="CQ80" s="132">
        <f ca="1">IF(OFFSET(BE80,1,0,1,1)&lt;&gt;0,$BN80*SUMIFS(RZ[Úroveň 8 bez koef. (P2)],RZ[0],AX80,RZ[Úroveň 2 (P0)],AY80,RZ[Úroveň 3 (P0)],AZ80,RZ[Úroveň 4 (P0)],BA80,RZ[Úroveň 5 (P0)],BB80,RZ[Úroveň 6 (P0)],BC80,RZ[Úroveň 7 (P0)],BD80),$BN80*$IG80)</f>
        <v>0</v>
      </c>
      <c r="CR80" s="138">
        <f ca="1">RZ[[#This Row],[Úroveň 8 s koef. (P2a)]]*RZ[[#This Row],[Počet MJHR (P0)]]</f>
        <v>0</v>
      </c>
      <c r="CS80" s="138">
        <f ca="1">RZ[Úroveň 8 bez koef. (P2a)]*RZ[[#This Row],[Počet MJHR (P0)]]</f>
        <v>0</v>
      </c>
      <c r="CT80" s="138">
        <f ca="1">IF(OFFSET(BF80,1,0,1,1)&lt;&gt;0,RZ[[#This Row],[Koeficient odhadu HR '[-'] (P1)]]*$BO80*SUMIFS(RZ[Úroveň 9 s koef. (P2)],RZ[0],AX80,RZ[Úroveň 2 (P0)],AY80,RZ[Úroveň 3 (P0)],AZ80,RZ[Úroveň 4 (P0)],BA80,RZ[Úroveň 5 (P0)],BB80,RZ[Úroveň 6 (P0)],BC80,RZ[Úroveň 7 (P0)],BD80,RZ[Úroveň 8 (P0)],BE80),RZ[[#This Row],[Koeficient odhadu HR '[-'] (P1)]]*$BO80*$IG80)</f>
        <v>0</v>
      </c>
      <c r="CU80" s="138">
        <f ca="1">IF(OFFSET(BF80,1,0,1,1)&lt;&gt;0,$BO80*SUMIFS(RZ[Úroveň 9 bez koef. (P2)],RZ[0],AX80,RZ[Úroveň 2 (P0)],AY80,RZ[Úroveň 3 (P0)],AZ80,RZ[Úroveň 4 (P0)],BA80,RZ[Úroveň 5 (P0)],BB80,RZ[Úroveň 6 (P0)],BC80,RZ[Úroveň 7 (P0)],BD80,RZ[Úroveň 8 (P0)],BE80),$BO80*$IG80)</f>
        <v>0</v>
      </c>
      <c r="CV80" s="132">
        <f ca="1">RZ[[#This Row],[Úroveň 9 s koef. (P2a)]]*RZ[[#This Row],[Počet MJHR (P0)]]</f>
        <v>0</v>
      </c>
      <c r="CW80" s="132">
        <f ca="1">RZ[Úroveň 9 bez koef. (P2a)]*RZ[[#This Row],[Počet MJHR (P0)]]</f>
        <v>0</v>
      </c>
      <c r="CX80" s="132">
        <f ca="1">IF(OFFSET(BG80,1,0,1,1)&lt;&gt;0,RZ[[#This Row],[Koeficient odhadu HR '[-'] (P1)]]*$BP80*SUMIFS(RZ[Úroveň 10 s koef. (P2)],RZ[0],AX80,RZ[Úroveň 2 (P0)],AY80,RZ[Úroveň 3 (P0)],AZ80,RZ[Úroveň 4 (P0)],BA80,RZ[Úroveň 5 (P0)],BB80,RZ[Úroveň 6 (P0)],BC80,RZ[Úroveň 7 (P0)],BD80,RZ[Úroveň 8 (P0)],BE80,RZ[Úroveň 9 (P0)],BF80),RZ[[#This Row],[Koeficient odhadu HR '[-'] (P1)]]*$BP80*$IG80)</f>
        <v>0</v>
      </c>
      <c r="CY80" s="132">
        <f ca="1">IF(OFFSET(BG80,1,0,1,1)&lt;&gt;0,$BP80*SUMIFS(RZ[Úroveň 10 bez koef. (P2)],RZ[0],AX80,RZ[Úroveň 2 (P0)],AY80,RZ[Úroveň 3 (P0)],AZ80,RZ[Úroveň 4 (P0)],BA80,RZ[Úroveň 5 (P0)],BB80,RZ[Úroveň 6 (P0)],BC80,RZ[Úroveň 7 (P0)],BD80,RZ[Úroveň 8 (P0)],BE80,RZ[Úroveň 9 (P0)],BF80),$BP80*$IG80)</f>
        <v>0</v>
      </c>
      <c r="CZ80" s="138">
        <f>RZ[[#This Row],[Úroveň 10 s koef. (P2a)]]*RZ[[#This Row],[Počet MJHR (P0)]]</f>
        <v>0</v>
      </c>
      <c r="DA80" s="138">
        <f>RZ[Úroveň 10 bez koef. (P2a)]*RZ[[#This Row],[Počet MJHR (P0)]]</f>
        <v>0</v>
      </c>
      <c r="DB80" s="138">
        <f>RZ[[#This Row],[Koeficient odhadu HR '[-'] (P1)]]*$BQ80*IG80</f>
        <v>0</v>
      </c>
      <c r="DC80" s="231">
        <f t="shared" si="522"/>
        <v>0</v>
      </c>
      <c r="DD80" s="241">
        <f t="shared" ca="1" si="523"/>
        <v>1.9</v>
      </c>
      <c r="DE80" s="229">
        <f t="shared" ca="1" si="524"/>
        <v>1.9</v>
      </c>
      <c r="DF80" s="912">
        <f t="shared" si="525"/>
        <v>0</v>
      </c>
      <c r="DG80" s="913">
        <f t="shared" si="526"/>
        <v>0</v>
      </c>
      <c r="DH80" s="913">
        <f t="shared" si="527"/>
        <v>2</v>
      </c>
      <c r="DI80" s="913">
        <f t="shared" si="528"/>
        <v>0</v>
      </c>
      <c r="DJ80" s="913">
        <f t="shared" si="529"/>
        <v>0</v>
      </c>
      <c r="DK80" s="913">
        <f t="shared" si="530"/>
        <v>0</v>
      </c>
      <c r="DL80" s="913">
        <f t="shared" si="531"/>
        <v>0</v>
      </c>
      <c r="DM80" s="913">
        <f t="shared" si="532"/>
        <v>0</v>
      </c>
      <c r="DN80" s="913">
        <f t="shared" si="533"/>
        <v>0</v>
      </c>
      <c r="DO80" s="913">
        <f t="shared" si="534"/>
        <v>0</v>
      </c>
      <c r="DP80" s="914">
        <f ca="1">SUMIFS(RZ[Úroveň 1 (P4)],RZ[0],AX80)</f>
        <v>1</v>
      </c>
      <c r="DQ80" s="914">
        <f ca="1">SUMIFS(RZ[Úroveň 2 (P4)],RZ[0],AX80,RZ[Úroveň 2 (P0)],AY80)</f>
        <v>1</v>
      </c>
      <c r="DR80" s="914">
        <f ca="1">SUMIFS(RZ[Úroveň 3 (P4)],RZ[0],AX80,RZ[Úroveň 2 (P0)],AY80,RZ[Úroveň 3 (P0)],AZ80)</f>
        <v>2</v>
      </c>
      <c r="DS80" s="914">
        <f ca="1">SUMIFS(RZ[Úroveň 4 (P4)],RZ[0],AX80,RZ[Úroveň 2 (P0)],AY80,RZ[Úroveň 3 (P0)],AZ80,RZ[Úroveň 4 (P0)],BA80)</f>
        <v>0</v>
      </c>
      <c r="DT80" s="914">
        <f ca="1">SUMIFS(RZ[Úroveň 5 (P4)],RZ[0],AX80,RZ[Úroveň 2 (P0)],AY80,RZ[Úroveň 3 (P0)],AZ80,RZ[Úroveň 4 (P0)],BA80,RZ[Úroveň 5 (P0)],BB80)</f>
        <v>0</v>
      </c>
      <c r="DU80" s="914">
        <f ca="1">SUMIFS(RZ[Úroveň 6 (P4)],RZ[0],AX80,RZ[Úroveň 2 (P0)],AY80,RZ[Úroveň 3 (P0)],AZ80,RZ[Úroveň 4 (P0)],BA80,RZ[Úroveň 5 (P0)],BB80,RZ[Úroveň 6 (P0)],BC80)</f>
        <v>0</v>
      </c>
      <c r="DV80" s="914">
        <f ca="1">SUMIFS(RZ[Úroveň 7 (P4)],RZ[0],AX80,RZ[Úroveň 2 (P0)],AY80,RZ[Úroveň 3 (P0)],AZ80,RZ[Úroveň 4 (P0)],BA80,RZ[Úroveň 5 (P0)],BB80,RZ[Úroveň 6 (P0)],BC80,RZ[Úroveň 7 (P0)],BD80)</f>
        <v>0</v>
      </c>
      <c r="DW80" s="914">
        <f ca="1">SUMIFS(RZ[Úroveň 8 (P4)],RZ[0],AX80,RZ[Úroveň 2 (P0)],AY80,RZ[Úroveň 3 (P0)],AZ80,RZ[Úroveň 4 (P0)],BA80,RZ[Úroveň 5 (P0)],BB80,RZ[Úroveň 6 (P0)],BC80,RZ[Úroveň 7 (P0)],BD80,RZ[Úroveň 8 (P0)],BE80)</f>
        <v>0</v>
      </c>
      <c r="DX80" s="914">
        <f ca="1">SUMIFS(RZ[Úroveň 9 (P4)],RZ[0],AX80,RZ[Úroveň 2 (P0)],AY80,RZ[Úroveň 3 (P0)],AZ80,RZ[Úroveň 4 (P0)],BA80,RZ[Úroveň 5 (P0)],BB80,RZ[Úroveň 6 (P0)],BC80,RZ[Úroveň 7 (P0)],BD80,RZ[Úroveň 8 (P0)],BE80,RZ[Úroveň 9 (P0)],BF80)</f>
        <v>0</v>
      </c>
      <c r="DY80" s="914">
        <f ca="1">SUMIFS(RZ[Úroveň 10 (P4)],RZ[0],AX80,RZ[Úroveň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DZ80" s="915">
        <f t="shared" ca="1" si="535"/>
        <v>2</v>
      </c>
      <c r="EA80" s="916">
        <f ca="1">RZ[[#This Row],[Jednotková hmotnost bez koef. '[kg/MJHR'] (P0)]]*RZ[[#This Row],[Počet MJHR v rozpadu (P0)]]</f>
        <v>3.8</v>
      </c>
      <c r="EB80" s="917">
        <f ca="1">IF(OFFSET(AY80,1,0,1,1)&lt;&gt;0,RZ[[#This Row],[Koeficient odhadu CR '[-'] (P1)]]*$BH80*SUMIFS(RZ[Úroveň 2 s koef. (P3)],RZ[0],AX80),RZ[[#This Row],[Koeficient odhadu CR '[-'] (P1)]]*$BH80*$IQ80)</f>
        <v>0</v>
      </c>
      <c r="EC80" s="191">
        <f ca="1">IF(OFFSET(AY80,1,0,1,1)&lt;&gt;0,$BH80*SUMIFS(RZ[Úroveň 2 bez koef. (P3)],RZ[0],AX80),$BH80*$IQ80)</f>
        <v>0</v>
      </c>
      <c r="ED80" s="140">
        <f ca="1">RZ[[#This Row],[Úroveň 2 s koef. (P3a)]]*RZ[[#This Row],[Počet MJCR (P0) pro "kg"]]</f>
        <v>0</v>
      </c>
      <c r="EE80" s="140">
        <f ca="1">RZ[Úroveň 2 bez koef. (P3a)]*RZ[[#This Row],[Počet MJCR (P0) pro "kg"]]</f>
        <v>0</v>
      </c>
      <c r="EF80" s="140">
        <f ca="1">IF(OFFSET(AZ80,1,0,1,1)&lt;&gt;0,RZ[[#This Row],[Koeficient odhadu CR '[-'] (P1)]]*$BI80*SUMIFS(RZ[Úroveň 3 s koef. (P3)],RZ[0],AX80,RZ[Úroveň 2 (P0)],AY80),RZ[[#This Row],[Koeficient odhadu CR '[-'] (P1)]]*$BI80*$IQ80)</f>
        <v>0</v>
      </c>
      <c r="EG80" s="140">
        <f ca="1">IF(OFFSET(AZ80,1,0,1,1)&lt;&gt;0,$BI80*SUMIFS(RZ[Úroveň 3 bez koef. (P3)],RZ[0],AX80,RZ[Úroveň 2 (P0)],AY80),$BI80*$IQ80)</f>
        <v>0</v>
      </c>
      <c r="EH80" s="135">
        <f ca="1">RZ[[#This Row],[Úroveň 3 s koef. (P3a)]]*RZ[[#This Row],[Počet MJCR (P0) pro "kg"]]</f>
        <v>323</v>
      </c>
      <c r="EI80" s="135">
        <f ca="1">RZ[Úroveň 3 bez koef. (P3a)]*RZ[[#This Row],[Počet MJCR (P0) pro "kg"]]</f>
        <v>323</v>
      </c>
      <c r="EJ80" s="135">
        <f ca="1">IF(OFFSET(BA80,1,0,1,1)&lt;&gt;0,RZ[[#This Row],[Koeficient odhadu CR '[-'] (P1)]]*$BJ80*SUMIFS(RZ[Úroveň 4 s koef. (P3)],RZ[0],AX80,RZ[Úroveň 2 (P0)],AY80,RZ[Úroveň 3 (P0)],AZ80),RZ[[#This Row],[Koeficient odhadu CR '[-'] (P1)]]*$BJ80*$IQ80)</f>
        <v>85</v>
      </c>
      <c r="EK80" s="135">
        <f ca="1">IF(OFFSET(BA80,1,0,1,1)&lt;&gt;0,$BJ80*SUMIFS(RZ[Úroveň 4 bez koef. (P3)],RZ[0],AX80,RZ[Úroveň 2 (P0)],AY80,RZ[Úroveň 3 (P0)],AZ80),$BJ80*$IQ80)</f>
        <v>85</v>
      </c>
      <c r="EL80" s="140">
        <f ca="1">RZ[[#This Row],[Úroveň 4 s koef. (P3a)]]*RZ[[#This Row],[Počet MJCR (P0) pro "kg"]]</f>
        <v>0</v>
      </c>
      <c r="EM80" s="140">
        <f ca="1">RZ[Úroveň 4 bez koef. (P3a)]*RZ[[#This Row],[Počet MJCR (P0) pro "kg"]]</f>
        <v>0</v>
      </c>
      <c r="EN80" s="140">
        <f ca="1">IF(OFFSET(BB80,1,0,1,1)&lt;&gt;0,RZ[[#This Row],[Koeficient odhadu CR '[-'] (P1)]]*$BK80*SUMIFS(RZ[Úroveň 5 s koef. (P3)],RZ[0],AX80,RZ[Úroveň 2 (P0)],AY80,RZ[Úroveň 3 (P0)],AZ80,RZ[Úroveň 4 (P0)],BA80),RZ[[#This Row],[Koeficient odhadu CR '[-'] (P1)]]*$BK80*$IQ80)</f>
        <v>0</v>
      </c>
      <c r="EO80" s="140">
        <f ca="1">IF(OFFSET(BB80,1,0,1,1)&lt;&gt;0,$BK80*SUMIFS(RZ[Úroveň 5 bez koef. (P3)],RZ[0],AX80,RZ[Úroveň 2 (P0)],AY80,RZ[Úroveň 3 (P0)],AZ80,RZ[Úroveň 4 (P0)],BA80),$BK80*$IQ80)</f>
        <v>0</v>
      </c>
      <c r="EP80" s="135">
        <f ca="1">RZ[[#This Row],[Úroveň 5 s koef. (P3a)]]*RZ[[#This Row],[Počet MJCR (P0) pro "kg"]]</f>
        <v>0</v>
      </c>
      <c r="EQ80" s="135">
        <f ca="1">RZ[Úroveň 5 bez koef. (P3a)]*RZ[[#This Row],[Počet MJCR (P0) pro "kg"]]</f>
        <v>0</v>
      </c>
      <c r="ER80" s="135">
        <f ca="1">IF(OFFSET(BC80,1,0,1,1)&lt;&gt;0,RZ[[#This Row],[Koeficient odhadu CR '[-'] (P1)]]*$BL80*SUMIFS(RZ[Úroveň 6 s koef. (P3)],RZ[0],AX80,RZ[Úroveň 2 (P0)],AY80,RZ[Úroveň 3 (P0)],AZ80,RZ[Úroveň 4 (P0)],BA80,RZ[Úroveň 5 (P0)],BB80),RZ[[#This Row],[Koeficient odhadu CR '[-'] (P1)]]*$BL80*$IQ80)</f>
        <v>0</v>
      </c>
      <c r="ES80" s="135">
        <f ca="1">IF(OFFSET(BC80,1,0,1,1)&lt;&gt;0,$BL80*SUMIFS(RZ[Úroveň 6 bez koef. (P3)],RZ[0],AX80,RZ[Úroveň 2 (P0)],AY80,RZ[Úroveň 3 (P0)],AZ80,RZ[Úroveň 4 (P0)],BA80,RZ[Úroveň 5 (P0)],BB80),$BL80*$IQ80)</f>
        <v>0</v>
      </c>
      <c r="ET80" s="140">
        <f ca="1">RZ[[#This Row],[Úroveň 6 s koef. (P3a)]]*RZ[[#This Row],[Počet MJCR (P0) pro "kg"]]</f>
        <v>0</v>
      </c>
      <c r="EU80" s="140">
        <f ca="1">RZ[Úroveň 6 bez koef. (P3a)]*RZ[[#This Row],[Počet MJCR (P0) pro "kg"]]</f>
        <v>0</v>
      </c>
      <c r="EV80" s="140">
        <f ca="1">IF(OFFSET(BD80,1,0,1,1)&lt;&gt;0,RZ[[#This Row],[Koeficient odhadu CR '[-'] (P1)]]*$BM80*SUMIFS(RZ[Úroveň 7 s koef. (P3)],RZ[0],AX80,RZ[Úroveň 2 (P0)],AY80,RZ[Úroveň 3 (P0)],AZ80,RZ[Úroveň 4 (P0)],BA80,RZ[Úroveň 5 (P0)],BB80,RZ[Úroveň 6 (P0)],BC80),RZ[[#This Row],[Koeficient odhadu CR '[-'] (P1)]]*$BM80*$IQ80)</f>
        <v>0</v>
      </c>
      <c r="EW80" s="140">
        <f ca="1">IF(OFFSET(BD80,1,0,1,1)&lt;&gt;0,$BM80*SUMIFS(RZ[Úroveň 7 bez koef. (P3)],RZ[0],AX80,RZ[Úroveň 2 (P0)],AY80,RZ[Úroveň 3 (P0)],AZ80,RZ[Úroveň 4 (P0)],BA80,RZ[Úroveň 5 (P0)],BB80,RZ[Úroveň 6 (P0)],BC80),$BM80*$IQ80)</f>
        <v>0</v>
      </c>
      <c r="EX80" s="135">
        <f ca="1">RZ[[#This Row],[Úroveň 7 s koef. (P3a)]]*RZ[[#This Row],[Počet MJCR (P0) pro "kg"]]</f>
        <v>0</v>
      </c>
      <c r="EY80" s="135">
        <f ca="1">RZ[Úroveň 7 bez koef. (P3a)]*RZ[[#This Row],[Počet MJCR (P0) pro "kg"]]</f>
        <v>0</v>
      </c>
      <c r="EZ80" s="135">
        <f ca="1">IF(OFFSET(BE80,1,0,1,1)&lt;&gt;0,RZ[[#This Row],[Koeficient odhadu CR '[-'] (P1)]]*$BN80*SUMIFS(RZ[Úroveň 8 s koef. (P3)],RZ[0],AX80,RZ[Úroveň 2 (P0)],AY80,RZ[Úroveň 3 (P0)],AZ80,RZ[Úroveň 4 (P0)],BA80,RZ[Úroveň 5 (P0)],BB80,RZ[Úroveň 6 (P0)],BC80,RZ[Úroveň 7 (P0)],BD80),RZ[[#This Row],[Koeficient odhadu CR '[-'] (P1)]]*$BN80*$IQ80)</f>
        <v>0</v>
      </c>
      <c r="FA80" s="135">
        <f ca="1">IF(OFFSET(BE80,1,0,1,1)&lt;&gt;0,$BN80*SUMIFS(RZ[Úroveň 8 bez koef. (P3)],RZ[0],AX80,RZ[Úroveň 2 (P0)],AY80,RZ[Úroveň 3 (P0)],AZ80,RZ[Úroveň 4 (P0)],BA80,RZ[Úroveň 5 (P0)],BB80,RZ[Úroveň 6 (P0)],BC80,RZ[Úroveň 7 (P0)],BD80),$BN80*$IQ80)</f>
        <v>0</v>
      </c>
      <c r="FB80" s="140">
        <f ca="1">RZ[[#This Row],[Úroveň 8 s koef. (P3a)]]*RZ[[#This Row],[Počet MJCR (P0) pro "kg"]]</f>
        <v>0</v>
      </c>
      <c r="FC80" s="140">
        <f ca="1">RZ[Úroveň 8 bez koef. (P3a)]*RZ[[#This Row],[Počet MJCR (P0) pro "kg"]]</f>
        <v>0</v>
      </c>
      <c r="FD80" s="140">
        <f ca="1">IF(OFFSET(BF80,1,0,1,1)&lt;&gt;0,RZ[[#This Row],[Koeficient odhadu CR '[-'] (P1)]]*$BO80*SUMIFS(RZ[Úroveň 9 s koef. (P3)],RZ[0],AX80,RZ[Úroveň 2 (P0)],AY80,RZ[Úroveň 3 (P0)],AZ80,RZ[Úroveň 4 (P0)],BA80,RZ[Úroveň 5 (P0)],BB80,RZ[Úroveň 6 (P0)],BC80,RZ[Úroveň 7 (P0)],BD80,RZ[Úroveň 8 (P0)],BE80),RZ[[#This Row],[Koeficient odhadu CR '[-'] (P1)]]*$BO80*$IQ80)</f>
        <v>0</v>
      </c>
      <c r="FE80" s="140">
        <f ca="1">IF(OFFSET(BF80,1,0,1,1)&lt;&gt;0,$BO80*SUMIFS(RZ[Úroveň 9 bez koef. (P3)],RZ[0],AX80,RZ[Úroveň 2 (P0)],AY80,RZ[Úroveň 3 (P0)],AZ80,RZ[Úroveň 4 (P0)],BA80,RZ[Úroveň 5 (P0)],BB80,RZ[Úroveň 6 (P0)],BC80,RZ[Úroveň 7 (P0)],BD80,RZ[Úroveň 8 (P0)],BE80),$BO80*$IQ80)</f>
        <v>0</v>
      </c>
      <c r="FF80" s="135">
        <f ca="1">RZ[[#This Row],[Úroveň 9 s koef. (P3a)]]*RZ[[#This Row],[Počet MJCR (P0) pro "kg"]]</f>
        <v>0</v>
      </c>
      <c r="FG80" s="135">
        <f ca="1">RZ[Úroveň 9 bez koef. (P3a)]*RZ[[#This Row],[Počet MJCR (P0) pro "kg"]]</f>
        <v>0</v>
      </c>
      <c r="FH80" s="135">
        <f ca="1">IF(OFFSET(BG80,1,0,1,1)&lt;&gt;0,RZ[[#This Row],[Koeficient odhadu CR '[-'] (P1)]]*$BP80*SUMIFS(RZ[Úroveň 10 s koef. (P3)],RZ[0],AX80,RZ[Úroveň 2 (P0)],AY80,RZ[Úroveň 3 (P0)],AZ80,RZ[Úroveň 4 (P0)],BA80,RZ[Úroveň 5 (P0)],BB80,RZ[Úroveň 6 (P0)],BC80,RZ[Úroveň 7 (P0)],BD80,RZ[Úroveň 8 (P0)],BE80,RZ[Úroveň 9 (P0)],BF80),RZ[[#This Row],[Koeficient odhadu CR '[-'] (P1)]]*$BP80*$IQ80)</f>
        <v>0</v>
      </c>
      <c r="FI80" s="135">
        <f ca="1">IF(OFFSET(BG80,1,0,1,1)&lt;&gt;0,$BP80*SUMIFS(RZ[Úroveň 10 bez koef. (P3)],RZ[0],AX80,RZ[Úroveň 2 (P0)],AY80,RZ[Úroveň 3 (P0)],AZ80,RZ[Úroveň 4 (P0)],BA80,RZ[Úroveň 5 (P0)],BB80,RZ[Úroveň 6 (P0)],BC80,RZ[Úroveň 7 (P0)],BD80,RZ[Úroveň 8 (P0)],BE80,RZ[Úroveň 9 (P0)],BF80),$BP80*$IQ80)</f>
        <v>0</v>
      </c>
      <c r="FJ80" s="140">
        <f ca="1">RZ[[#This Row],[Úroveň 10 s koef. (P3a)]]*RZ[[#This Row],[Počet MJCR (P0) pro "kg"]]</f>
        <v>0</v>
      </c>
      <c r="FK80" s="140">
        <f ca="1">RZ[Úroveň 10 bez koef. (P3a)]*RZ[[#This Row],[Počet MJCR (P0) pro "kg"]]</f>
        <v>0</v>
      </c>
      <c r="FL80" s="140">
        <f ca="1">RZ[[#This Row],[Koeficient odhadu CR '[-'] (P1)]]*$BQ80*IQ80</f>
        <v>0</v>
      </c>
      <c r="FM80" s="236">
        <f t="shared" ca="1" si="536"/>
        <v>0</v>
      </c>
      <c r="FN80" s="194">
        <f t="shared" ca="1" si="537"/>
        <v>85</v>
      </c>
      <c r="FO80" s="238">
        <f t="shared" ca="1" si="538"/>
        <v>85</v>
      </c>
      <c r="FP80" s="135">
        <f t="shared" ca="1" si="539"/>
        <v>0</v>
      </c>
      <c r="FQ80" s="135">
        <f t="shared" ca="1" si="540"/>
        <v>0</v>
      </c>
      <c r="FR80" s="135">
        <f t="shared" ca="1" si="541"/>
        <v>3.8</v>
      </c>
      <c r="FS80" s="135">
        <f t="shared" ca="1" si="542"/>
        <v>0</v>
      </c>
      <c r="FT80" s="135">
        <f t="shared" ca="1" si="543"/>
        <v>0</v>
      </c>
      <c r="FU80" s="135">
        <f t="shared" ca="1" si="544"/>
        <v>0</v>
      </c>
      <c r="FV80" s="135">
        <f t="shared" ca="1" si="545"/>
        <v>0</v>
      </c>
      <c r="FW80" s="135">
        <f t="shared" ca="1" si="546"/>
        <v>0</v>
      </c>
      <c r="FX80" s="135">
        <f t="shared" ca="1" si="547"/>
        <v>0</v>
      </c>
      <c r="FY80" s="135">
        <f t="shared" ca="1" si="548"/>
        <v>0</v>
      </c>
      <c r="FZ80" s="140">
        <f ca="1">SUMIFS(RZ[Úroveň 1 (P6)],RZ[0],AX80)</f>
        <v>1</v>
      </c>
      <c r="GA80" s="140">
        <f ca="1">SUMIFS(RZ[Úroveň 2 (P6)],RZ[0],AX80,RZ[Úroveň 2 (P0)],AY80)</f>
        <v>1</v>
      </c>
      <c r="GB80" s="140">
        <f ca="1">SUMIFS(RZ[Úroveň 3 (P6)],RZ[0],AX80,RZ[Úroveň 2 (P0)],AY80,RZ[Úroveň 3 (P0)],AZ80)</f>
        <v>3.8</v>
      </c>
      <c r="GC80" s="140">
        <f ca="1">SUMIFS(RZ[Úroveň 4 (P6)],RZ[0],AX80,RZ[Úroveň 2 (P0)],AY80,RZ[Úroveň 3 (P0)],AZ80,RZ[Úroveň 4 (P0)],BA80)</f>
        <v>0</v>
      </c>
      <c r="GD80" s="140">
        <f ca="1">SUMIFS(RZ[Úroveň 5 (P6)],RZ[0],AX80,RZ[Úroveň 2 (P0)],AY80,RZ[Úroveň 3 (P0)],AZ80,RZ[Úroveň 4 (P0)],BA80,RZ[Úroveň 5 (P0)],BB80)</f>
        <v>0</v>
      </c>
      <c r="GE80" s="140">
        <f ca="1">SUMIFS(RZ[Úroveň 6 (P6)],RZ[0],AX80,RZ[Úroveň 2 (P0)],AY80,RZ[Úroveň 3 (P0)],AZ80,RZ[Úroveň 4 (P0)],BA80,RZ[Úroveň 5 (P0)],BB80,RZ[Úroveň 6 (P0)],BC80)</f>
        <v>0</v>
      </c>
      <c r="GF80" s="140">
        <f ca="1">SUMIFS(RZ[Úroveň 7 (P6)],RZ[0],AX80,RZ[Úroveň 2 (P0)],AY80,RZ[Úroveň 3 (P0)],AZ80,RZ[Úroveň 4 (P0)],BA80,RZ[Úroveň 5 (P0)],BB80,RZ[Úroveň 6 (P0)],BC80,RZ[Úroveň 7 (P0)],BD80)</f>
        <v>0</v>
      </c>
      <c r="GG80" s="140">
        <f ca="1">SUMIFS(RZ[Úroveň 8 (P6)],RZ[0],AX80,RZ[Úroveň 2 (P0)],AY80,RZ[Úroveň 3 (P0)],AZ80,RZ[Úroveň 4 (P0)],BA80,RZ[Úroveň 5 (P0)],BB80,RZ[Úroveň 6 (P0)],BC80,RZ[Úroveň 7 (P0)],BD80,RZ[Úroveň 8 (P0)],BE80)</f>
        <v>0</v>
      </c>
      <c r="GH80" s="140">
        <f ca="1">SUMIFS(RZ[Úroveň 9 (P6)],RZ[0],AX80,RZ[Úroveň 2 (P0)],AY80,RZ[Úroveň 3 (P0)],AZ80,RZ[Úroveň 4 (P0)],BA80,RZ[Úroveň 5 (P0)],BB80,RZ[Úroveň 6 (P0)],BC80,RZ[Úroveň 7 (P0)],BD80,RZ[Úroveň 8 (P0)],BE80,RZ[Úroveň 9 (P0)],BF80)</f>
        <v>0</v>
      </c>
      <c r="GI80" s="140">
        <f ca="1">SUMIFS(RZ[Úroveň 10 (P6)],RZ[0],AX80,RZ[Úroveň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GJ80" s="918">
        <f t="shared" ca="1" si="549"/>
        <v>3.8</v>
      </c>
      <c r="GK80" s="808">
        <f t="shared" si="550"/>
        <v>0</v>
      </c>
      <c r="GL80" s="808">
        <f t="shared" si="551"/>
        <v>0</v>
      </c>
      <c r="GM80" s="808">
        <f t="shared" si="552"/>
        <v>1</v>
      </c>
      <c r="GN80" s="808">
        <f t="shared" si="553"/>
        <v>0</v>
      </c>
      <c r="GO80" s="808">
        <f t="shared" si="554"/>
        <v>0</v>
      </c>
      <c r="GP80" s="808">
        <f t="shared" si="555"/>
        <v>0</v>
      </c>
      <c r="GQ80" s="808">
        <f t="shared" si="556"/>
        <v>0</v>
      </c>
      <c r="GR80" s="808">
        <f t="shared" si="557"/>
        <v>0</v>
      </c>
      <c r="GS80" s="808">
        <f t="shared" si="558"/>
        <v>0</v>
      </c>
      <c r="GT80" s="808">
        <f t="shared" si="559"/>
        <v>0</v>
      </c>
      <c r="GU80" s="809">
        <f ca="1">SUMIFS(RZ[Sloupec1],RZ[0],AX80)</f>
        <v>1</v>
      </c>
      <c r="GV80" s="809">
        <f ca="1">SUMIFS(RZ[Sloupec2],RZ[0],AX80,RZ[Úroveň 2 (P0)],AY80)</f>
        <v>1</v>
      </c>
      <c r="GW80" s="809">
        <f ca="1">SUMIFS(RZ[Sloupec3],RZ[0],AX80,RZ[Úroveň 2 (P0)],AY80,RZ[Úroveň 3 (P0)],AZ80)</f>
        <v>1</v>
      </c>
      <c r="GX80" s="809">
        <f ca="1">SUMIFS(RZ[Sloupec4],RZ[0],AX80,RZ[Úroveň 2 (P0)],AY80,RZ[Úroveň 3 (P0)],AZ80,RZ[Úroveň 4 (P0)],BA80)</f>
        <v>0</v>
      </c>
      <c r="GY80" s="809">
        <f ca="1">SUMIFS(RZ[Sloupec5],RZ[0],AX80,RZ[Úroveň 2 (P0)],AY80,RZ[Úroveň 3 (P0)],AZ80,RZ[Úroveň 4 (P0)],BA80,RZ[Úroveň 5 (P0)],BB80)</f>
        <v>0</v>
      </c>
      <c r="GZ80" s="809">
        <f ca="1">SUMIFS(RZ[Sloupec6],RZ[0],AX80,RZ[Úroveň 2 (P0)],AY80,RZ[Úroveň 3 (P0)],AZ80,RZ[Úroveň 4 (P0)],BA80,RZ[Úroveň 5 (P0)],BB80,RZ[Úroveň 6 (P0)],BC80)</f>
        <v>0</v>
      </c>
      <c r="HA80" s="809">
        <f ca="1">SUMIFS(RZ[Sloupec62],RZ[0],AX80,RZ[Úroveň 2 (P0)],AY80,RZ[Úroveň 3 (P0)],AZ80,RZ[Úroveň 4 (P0)],BA80,RZ[Úroveň 5 (P0)],BB80,RZ[Úroveň 6 (P0)],BC80,RZ[Úroveň 7 (P0)],BD80)</f>
        <v>0</v>
      </c>
      <c r="HB80" s="809">
        <f ca="1">SUMIFS(RZ[Sloupec63],RZ[0],AX80,RZ[Úroveň 2 (P0)],AY80,RZ[Úroveň 3 (P0)],AZ80,RZ[Úroveň 4 (P0)],BA80,RZ[Úroveň 5 (P0)],BB80,RZ[Úroveň 6 (P0)],BC80,RZ[Úroveň 7 (P0)],BD80,RZ[Úroveň 8 (P0)],BE80)</f>
        <v>0</v>
      </c>
      <c r="HC80" s="809">
        <f ca="1">SUMIFS(RZ[Sloupec64],RZ[0],AX80,RZ[Úroveň 2 (P0)],AY80,RZ[Úroveň 3 (P0)],AZ80,RZ[Úroveň 4 (P0)],BA80,RZ[Úroveň 5 (P0)],BB80,RZ[Úroveň 6 (P0)],BC80,RZ[Úroveň 7 (P0)],BD80,RZ[Úroveň 8 (P0)],BE80,RZ[Úroveň 9 (P0)],BF80)</f>
        <v>0</v>
      </c>
      <c r="HD80" s="809">
        <f ca="1">SUMIFS(RZ[Sloupec65],RZ[0],AX80,RZ[Úroveň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HE80" s="919">
        <f t="shared" ca="1" si="560"/>
        <v>1</v>
      </c>
      <c r="HF80" s="920" t="str">
        <f t="shared" si="561"/>
        <v/>
      </c>
      <c r="HG80" s="94" t="str">
        <f t="shared" si="562"/>
        <v/>
      </c>
      <c r="HH80" s="95" t="str">
        <f t="shared" si="563"/>
        <v/>
      </c>
      <c r="HI80" s="95" t="str">
        <f t="shared" si="564"/>
        <v>Přídržka</v>
      </c>
      <c r="HJ80" s="96" t="str">
        <f t="shared" si="565"/>
        <v/>
      </c>
      <c r="HK80" s="96" t="str">
        <f t="shared" si="566"/>
        <v/>
      </c>
      <c r="HL80" s="96" t="str">
        <f t="shared" si="567"/>
        <v/>
      </c>
      <c r="HM80" s="96" t="str">
        <f t="shared" si="568"/>
        <v/>
      </c>
      <c r="HN80" s="96" t="str">
        <f t="shared" si="569"/>
        <v/>
      </c>
      <c r="HO80" s="96" t="str">
        <f t="shared" si="570"/>
        <v/>
      </c>
      <c r="HP80" s="96" t="str">
        <f t="shared" si="571"/>
        <v/>
      </c>
      <c r="HQ80" s="145" t="str">
        <f t="shared" si="572"/>
        <v>STO3</v>
      </c>
      <c r="HR80" s="921" t="str">
        <f t="shared" si="573"/>
        <v/>
      </c>
      <c r="HS80" s="173">
        <f t="shared" si="574"/>
        <v>0</v>
      </c>
      <c r="HT80" s="100">
        <f t="shared" si="575"/>
        <v>0</v>
      </c>
      <c r="HU80" s="100">
        <f t="shared" si="576"/>
        <v>0</v>
      </c>
      <c r="HV80" s="908">
        <f t="shared" si="577"/>
        <v>0</v>
      </c>
      <c r="HW80" s="922">
        <f t="shared" si="578"/>
        <v>0</v>
      </c>
      <c r="HX80" s="224">
        <f t="shared" si="579"/>
        <v>0</v>
      </c>
      <c r="HY80" s="263" t="str">
        <f t="shared" si="580"/>
        <v>S</v>
      </c>
      <c r="HZ80" s="263">
        <f t="shared" si="581"/>
        <v>0</v>
      </c>
      <c r="IA80" s="150">
        <f t="shared" si="582"/>
        <v>1</v>
      </c>
      <c r="IB80" s="319">
        <f t="shared" si="583"/>
        <v>0</v>
      </c>
      <c r="IC80" s="923">
        <f t="shared" si="584"/>
        <v>0</v>
      </c>
      <c r="ID80" s="924" t="str">
        <f t="shared" ca="1" si="585"/>
        <v>OK</v>
      </c>
      <c r="IE80" s="201" t="str">
        <f t="shared" si="586"/>
        <v>ks</v>
      </c>
      <c r="IF80" s="145">
        <f t="shared" si="587"/>
        <v>2</v>
      </c>
      <c r="IG80" s="216">
        <f t="shared" si="588"/>
        <v>1.9</v>
      </c>
      <c r="IH80" s="217">
        <f t="shared" si="589"/>
        <v>1</v>
      </c>
      <c r="II80" s="224" t="str">
        <f ca="1">IF(RZ[[#This Row],[Rozhodný sloupec indikativní ceny]]=1,"kg",IF($IW80=$JL$15,IF(JX80=0,JO80,JX80),IF($IW80=$KE$15,IF(KQ80=0,KH80,KQ80),IF($IW80=$KX$15,IF(LJ80=0,LA80,LJ80),IF($IW80=$LQ$15,IF(MC80=0,LT80,MC80),IF($IW80=$MJ$15,IF(NQ80=0,NH80,NQ80),0))))))</f>
        <v>kg</v>
      </c>
      <c r="IJ80" s="224">
        <f ca="1">IF((BH80+OFFSET(BH80,1,1,1,1))=2,RZ[[#This Row],[Počet MJHR (P0)]],IF((BI80+OFFSET(BI80,1,1,1,1))=2,RZ[[#This Row],[Počet MJHR (P0)]],IF((BJ80+OFFSET(BJ80,1,1,1,1))=2,RZ[[#This Row],[Počet MJHR (P0)]],IF((BK80+OFFSET(BK80,1,1,1,1))=2,RZ[[#This Row],[Počet MJHR (P0)]],IF((BL80+OFFSET(BL80,1,1,1,1))=2,RZ[[#This Row],[Počet MJHR (P0)]],IF((BM80+OFFSET(BM80,1,1,1,1))=2,RZ[[#This Row],[Počet MJHR (P0)]],IF((BN80+OFFSET(BN80,1,1,1,1))=2,RZ[[#This Row],[Počet MJHR (P0)]],IF((BO80+OFFSET(BO80,1,1,1,1))=2,RZ[[#This Row],[Počet MJHR (P0)]],IF((BP80+OFFSET(BP80,1,1,1,1))=2,RZ[[#This Row],[Počet MJHR (P0)]],IF((BQ80+OFFSET(BQ80,1,1,1,1))=2,RZ[[#This Row],[Počet MJHR (P0)]],IF(RZ[[#This Row],[Měrná jednotka CR (MJCR) (P0)]]=RZ[[#This Row],[Měrná jednotka HR '[MJHR'] (P0)]],RZ[[#This Row],[Počet MJHR (P0)]],IF($IW80=$JL$15,JY80,IF($IW80=$KE$15,KR80,IF($IW80=$KX$15,LK80,IF($IW80=$LQ$15,MD80,IF($IW80=$MJ$15,NR80,0))))))))))))))))</f>
        <v>0</v>
      </c>
      <c r="IK8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80" s="145">
        <f ca="1">IF(AND(RZ[[#This Row],[Jednotková cena bez DPH '[cena/MJCR'] (P0)]]=0,RZ[[#This Row],[Indikativní jednotková cena '[CZK/kg'] (P1)]]&lt;&gt;0),1,0)</f>
        <v>1</v>
      </c>
      <c r="IM80" s="217">
        <f ca="1">VLOOKUP(RZ[[#This Row],[Kód položek]],INDIKAT_CENA,2,FALSE)</f>
        <v>85</v>
      </c>
      <c r="IN80" s="222">
        <f ca="1">IF(RZ[[#This Row],[Rozhodný sloupec indikativní ceny]]=1,RZ[[#This Row],[Indikativní jednotková cena '[CZK/kg'] (P1)]],RZ[[#This Row],[Jednotková cena bez DPH '[cena/MJCR'] (P0)]])</f>
        <v>85</v>
      </c>
      <c r="IO80" s="222">
        <f t="shared" si="590"/>
        <v>1</v>
      </c>
      <c r="IP80" s="224">
        <f ca="1">IF(RZ[[#This Row],[Rozhodný sloupec indikativní ceny]]=1,1,IF($IW80=$JL$15,KA80,IF($IW80=$KE$15,KT80,IF($IW80=$KX$15,LM80,IF($IW80=$LQ$15,MF80,IF($IW80=$MJ$15,NT80,0))))))</f>
        <v>1</v>
      </c>
      <c r="IQ80" s="225">
        <f ca="1">IF(RZ[[#This Row],[Jednotková cena bez DPH '[cena/MJCR'] (P1)]]="",0,IF(IP80=0,0,(RZ[[#This Row],[Jednotková cena bez DPH '[cena/MJCR'] (P1)]]*VLOOKUP(IP80,$BR$7:$BT$10,3))))</f>
        <v>85</v>
      </c>
      <c r="IR80" s="737"/>
      <c r="IS80" s="627">
        <f>IF(HY80=0,"",VLOOKUP(RZ[[#This Row],[Stav Projekce (P0)]],Vstupy!$E$11:'Vstupy'!$E$11:$H$17,4,FALSE))</f>
        <v>100</v>
      </c>
      <c r="IT80" s="925" t="str">
        <f>IF(RZ[[#This Row],[Stav Projekce (P0)]]=0,"",RZ[[#This Row],[Stav Projekce (P0)]])</f>
        <v>S</v>
      </c>
      <c r="IU80" s="925" t="str">
        <f>IF(RZ[[#This Row],[Stav Nákup (P0)]]=0,"",RZ[[#This Row],[Stav Nákup (P0)]])</f>
        <v/>
      </c>
      <c r="IV80" s="926" t="str">
        <f t="shared" si="591"/>
        <v/>
      </c>
      <c r="IW80" s="641">
        <v>1</v>
      </c>
      <c r="IX80" s="630"/>
      <c r="IY80" s="264"/>
      <c r="IZ80" s="648"/>
      <c r="JA80" s="100"/>
      <c r="JB80" s="100" t="s">
        <v>789</v>
      </c>
      <c r="JC80" s="100"/>
      <c r="JD80" s="100"/>
      <c r="JE80" s="100"/>
      <c r="JF80" s="100"/>
      <c r="JG80" s="100"/>
      <c r="JH80" s="100"/>
      <c r="JI80" s="100"/>
      <c r="JJ80" s="145" t="s">
        <v>784</v>
      </c>
      <c r="JK80" s="529"/>
      <c r="JL80" s="286"/>
      <c r="JM80" s="100"/>
      <c r="JN80" s="100"/>
      <c r="JO80" s="145" t="s">
        <v>35</v>
      </c>
      <c r="JP80" s="117">
        <v>2</v>
      </c>
      <c r="JQ80" s="117">
        <v>1.9</v>
      </c>
      <c r="JR80" s="148">
        <v>1</v>
      </c>
      <c r="JS80" s="145" t="s">
        <v>602</v>
      </c>
      <c r="JT80" s="631"/>
      <c r="JU80" s="148"/>
      <c r="JV80" s="154"/>
      <c r="JW80" s="145"/>
      <c r="JX80" s="210"/>
      <c r="JY80" s="117"/>
      <c r="JZ80" s="662"/>
      <c r="KA80" s="145"/>
      <c r="KB80" s="148"/>
      <c r="KC80" s="148"/>
      <c r="KD80" s="644"/>
      <c r="KE80" s="286"/>
      <c r="KF80" s="100"/>
      <c r="KG80" s="100"/>
      <c r="KH80" s="210"/>
      <c r="KI80" s="117"/>
      <c r="KJ80" s="117"/>
      <c r="KK80" s="148"/>
      <c r="KL80" s="145"/>
      <c r="KM80" s="632"/>
      <c r="KN80" s="148"/>
      <c r="KO80" s="154"/>
      <c r="KP80" s="154"/>
      <c r="KQ80" s="210"/>
      <c r="KR80" s="117"/>
      <c r="KS80" s="211"/>
      <c r="KT80" s="145"/>
      <c r="KU80" s="148"/>
      <c r="KV80" s="148"/>
      <c r="KW80" s="265"/>
      <c r="KX80" s="286"/>
      <c r="KY80" s="100"/>
      <c r="KZ80" s="100"/>
      <c r="LA80" s="210"/>
      <c r="LB80" s="117"/>
      <c r="LC80" s="117"/>
      <c r="LD80" s="148"/>
      <c r="LE80" s="145"/>
      <c r="LF80" s="632"/>
      <c r="LG80" s="148"/>
      <c r="LH80" s="154"/>
      <c r="LI80" s="154"/>
      <c r="LJ80" s="154"/>
      <c r="LK80" s="117"/>
      <c r="LL80" s="211"/>
      <c r="LM80" s="210"/>
      <c r="LN80" s="148"/>
      <c r="LO80" s="148"/>
      <c r="LP80" s="265"/>
      <c r="LQ80" s="286"/>
      <c r="LR80" s="100"/>
      <c r="LS80" s="100"/>
      <c r="LT80" s="210"/>
      <c r="LU80" s="117"/>
      <c r="LV80" s="117"/>
      <c r="LW80" s="148"/>
      <c r="LX80" s="145"/>
      <c r="LY80" s="632"/>
      <c r="LZ80" s="148"/>
      <c r="MA80" s="154"/>
      <c r="MB80" s="154"/>
      <c r="MC80" s="145"/>
      <c r="MD80" s="117"/>
      <c r="ME80" s="211"/>
      <c r="MF80" s="210"/>
      <c r="MG80" s="148"/>
      <c r="MH80" s="148"/>
      <c r="MI80" s="265"/>
      <c r="MJ80" s="647"/>
      <c r="MK80" s="264"/>
      <c r="ML80" s="153"/>
      <c r="MM80" s="153"/>
      <c r="MN80" s="153"/>
      <c r="MO80" s="153"/>
      <c r="MP80" s="153"/>
      <c r="MQ80" s="153"/>
      <c r="MR80" s="153"/>
      <c r="MS80" s="99"/>
      <c r="MT80" s="99"/>
      <c r="MU80" s="99"/>
      <c r="MV80" s="99"/>
      <c r="MW80" s="99"/>
      <c r="MX80" s="99"/>
      <c r="MY80" s="153"/>
      <c r="MZ80" s="153"/>
      <c r="NA80" s="153"/>
      <c r="NB80" s="153"/>
      <c r="NC80" s="153"/>
      <c r="ND80" s="153"/>
      <c r="NE80" s="148"/>
      <c r="NF80" s="153"/>
      <c r="NG80" s="153"/>
      <c r="NH80" s="330" t="str">
        <f t="shared" si="592"/>
        <v>ks</v>
      </c>
      <c r="NI80" s="797">
        <f>RZ[[#This Row],[Počet ks (K)]]</f>
        <v>0</v>
      </c>
      <c r="NJ80" s="798">
        <f>RZ[[#This Row],[Hmotnost '[kg/ks'] (K)]]</f>
        <v>0</v>
      </c>
      <c r="NK80" s="148"/>
      <c r="NL80" s="145"/>
      <c r="NM80" s="632"/>
      <c r="NN80" s="148"/>
      <c r="NO80" s="154"/>
      <c r="NP80" s="153"/>
      <c r="NQ80" s="153"/>
      <c r="NR80" s="210"/>
      <c r="NS80" s="148"/>
      <c r="NT80" s="210"/>
      <c r="NU80" s="148"/>
      <c r="NV80" s="148"/>
      <c r="NW80" s="175"/>
    </row>
    <row r="81" spans="2:387" ht="15.95" customHeight="1" x14ac:dyDescent="0.35">
      <c r="B81" s="118" t="str">
        <f t="shared" si="476"/>
        <v/>
      </c>
      <c r="C8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1" s="262" t="str">
        <f t="shared" si="477"/>
        <v xml:space="preserve">    Přídržka</v>
      </c>
      <c r="E81" s="120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Row],[Kód položek (P2)]]))))))))))</f>
        <v>STO3</v>
      </c>
      <c r="F81" s="791" t="str">
        <f t="shared" si="478"/>
        <v>N/A</v>
      </c>
      <c r="G81" s="792" t="str">
        <f t="shared" si="479"/>
        <v/>
      </c>
      <c r="H81" s="262" t="str">
        <f t="shared" si="480"/>
        <v/>
      </c>
      <c r="I81" s="123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HR '[MJHR'] (P0)]]))))))))))</f>
        <v>ks</v>
      </c>
      <c r="J81" s="123">
        <f t="shared" si="481"/>
        <v>2</v>
      </c>
      <c r="K81" s="793">
        <f>RZ[[#This Row],[Koeficient odhadu HR '[-'] (P1)]]</f>
        <v>1</v>
      </c>
      <c r="L81" s="124">
        <f ca="1">RZ[[#This Row],[Jednotková hmotnost s koef. '[kg/MJHR'] (P0)]]</f>
        <v>1.85</v>
      </c>
      <c r="M81" s="794">
        <f t="shared" ca="1" si="482"/>
        <v>0</v>
      </c>
      <c r="N81" s="125">
        <f t="shared" ca="1" si="483"/>
        <v>3.7</v>
      </c>
      <c r="O81" s="125">
        <f t="shared" ca="1" si="484"/>
        <v>0</v>
      </c>
      <c r="P81" s="126" t="str">
        <f t="shared" si="485"/>
        <v/>
      </c>
      <c r="Q81" s="795">
        <f ca="1">RZ[[#This Row],[Počet MJHR v rozpadu (P0)]]</f>
        <v>2</v>
      </c>
      <c r="R81" s="439" t="str">
        <f t="shared" si="486"/>
        <v/>
      </c>
      <c r="S81" s="129" t="str">
        <f t="shared" si="487"/>
        <v/>
      </c>
      <c r="T81" s="126" t="str">
        <f t="shared" si="488"/>
        <v/>
      </c>
      <c r="U81" s="126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CR (MJCR) (P0)]]))))))))))</f>
        <v>kg</v>
      </c>
      <c r="V81" s="575">
        <f t="shared" ca="1" si="489"/>
        <v>3.7</v>
      </c>
      <c r="W81" s="322">
        <f>RZ[[#This Row],[Koeficient odhadu CR '[-'] (P1)]]</f>
        <v>1</v>
      </c>
      <c r="X81" s="440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Row],[Jednotková cena bez DPH '[cena/MJCR'] (P1)]]*RZ[[#This Row],[Koeficient odhadu CR '[-']]]))))))))))</f>
        <v>85</v>
      </c>
      <c r="Y81" s="440">
        <f t="shared" ca="1" si="490"/>
        <v>0</v>
      </c>
      <c r="Z81" s="142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VLOOKUP(IP81,$BR$7:$BS$11,2,FALSE)))))))))))</f>
        <v>CZK</v>
      </c>
      <c r="AA81" s="909">
        <f t="shared" ca="1" si="491"/>
        <v>3.7</v>
      </c>
      <c r="AB81" s="910">
        <f ca="1">RZ[[#This Row],[Kumulovaný koeficient v rozpadu (P0)]]</f>
        <v>1</v>
      </c>
      <c r="AC81" s="261"/>
      <c r="AD81" s="796">
        <f ca="1">RZ[[#This Row],[Jednotková cena bez DPH '[cena/MJCR'] s koef. (P0)]]/RZ[[#This Row],[Koeficient odhadu CR '[-']]]*RZ[[#This Row],[Kumulovaný koeficient odhadu CR  '[-']]]</f>
        <v>85</v>
      </c>
      <c r="AE81" s="796">
        <f t="shared" ca="1" si="492"/>
        <v>314.5</v>
      </c>
      <c r="AF81" s="796">
        <f ca="1">-IF(ISNUMBER(AA81),RZ[[#This Row],[Celková cena bez DPH (1)]]-RZ[[#This Row],[Jednotková cena bez DPH '[cena/MJCR'] bez koef. (P0)]]*AA81,0)</f>
        <v>0</v>
      </c>
      <c r="AG81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1" s="261"/>
      <c r="AI81" s="796">
        <f t="shared" ca="1" si="493"/>
        <v>3.1481481481481484</v>
      </c>
      <c r="AJ81" s="796">
        <f t="shared" ca="1" si="494"/>
        <v>11.648148148148149</v>
      </c>
      <c r="AK81" s="796">
        <f t="shared" ca="1" si="495"/>
        <v>0</v>
      </c>
      <c r="AL81" s="753">
        <f ca="1">RZ[[#This Row],[Kilogramová cena bez DPH '[cena/kg'] (1)]]/$AK$13</f>
        <v>3.1481481481481484</v>
      </c>
      <c r="AM81" s="261"/>
      <c r="AN81" s="796">
        <f t="shared" ca="1" si="496"/>
        <v>4.1062801932367154</v>
      </c>
      <c r="AO81" s="796">
        <f t="shared" ca="1" si="497"/>
        <v>15.193236714975846</v>
      </c>
      <c r="AP81" s="796">
        <f t="shared" ca="1" si="498"/>
        <v>0</v>
      </c>
      <c r="AQ81" s="753">
        <f ca="1">RZ[[#This Row],[Kilogramová cena bez DPH '[cena/kg'] (1)]]/$AP$13</f>
        <v>4.1062801932367154</v>
      </c>
      <c r="AR81" s="261"/>
      <c r="AS81" s="796">
        <f t="shared" ca="1" si="499"/>
        <v>2.324945295404814</v>
      </c>
      <c r="AT81" s="796">
        <f t="shared" ca="1" si="500"/>
        <v>8.6022975929978109</v>
      </c>
      <c r="AU81" s="789">
        <f t="shared" ca="1" si="501"/>
        <v>0</v>
      </c>
      <c r="AV81" s="767">
        <f ca="1">RZ[[#This Row],[Kilogramová cena bez DPH '[cena/kg'] (1)]]/$AU$13</f>
        <v>2.324945295404814</v>
      </c>
      <c r="AW81" s="165"/>
      <c r="AX81" s="911">
        <f t="shared" ca="1" si="502"/>
        <v>2</v>
      </c>
      <c r="AY81" s="111">
        <f t="shared" ca="1" si="503"/>
        <v>3</v>
      </c>
      <c r="AZ81" s="111">
        <f t="shared" ca="1" si="504"/>
        <v>8</v>
      </c>
      <c r="BA81" s="111">
        <f t="shared" ca="1" si="505"/>
        <v>0</v>
      </c>
      <c r="BB81" s="111">
        <f t="shared" ca="1" si="506"/>
        <v>0</v>
      </c>
      <c r="BC81" s="111">
        <f t="shared" ca="1" si="507"/>
        <v>0</v>
      </c>
      <c r="BD81" s="111">
        <f t="shared" ca="1" si="508"/>
        <v>0</v>
      </c>
      <c r="BE81" s="111">
        <f t="shared" ca="1" si="509"/>
        <v>0</v>
      </c>
      <c r="BF81" s="111">
        <f t="shared" ca="1" si="510"/>
        <v>0</v>
      </c>
      <c r="BG81" s="112">
        <f t="shared" ca="1" si="511"/>
        <v>0</v>
      </c>
      <c r="BH81" s="911">
        <f t="shared" si="512"/>
        <v>0</v>
      </c>
      <c r="BI81" s="111">
        <f t="shared" si="513"/>
        <v>0</v>
      </c>
      <c r="BJ81" s="111">
        <f t="shared" si="514"/>
        <v>1</v>
      </c>
      <c r="BK81" s="111">
        <f t="shared" si="515"/>
        <v>0</v>
      </c>
      <c r="BL81" s="111">
        <f t="shared" si="516"/>
        <v>0</v>
      </c>
      <c r="BM81" s="111">
        <f t="shared" si="517"/>
        <v>0</v>
      </c>
      <c r="BN81" s="111">
        <f t="shared" si="518"/>
        <v>0</v>
      </c>
      <c r="BO81" s="111">
        <f t="shared" si="519"/>
        <v>0</v>
      </c>
      <c r="BP81" s="111">
        <f t="shared" si="520"/>
        <v>0</v>
      </c>
      <c r="BQ81" s="112">
        <f t="shared" si="521"/>
        <v>0</v>
      </c>
      <c r="BR81" s="132">
        <f ca="1">IF(OFFSET(AY81,1,0,1,1)&lt;&gt;0,RZ[[#This Row],[Koeficient odhadu HR '[-'] (P1)]]*$BH81*SUMIFS(RZ[Úroveň 2 s koef. (P2)],RZ[0],AX81),RZ[[#This Row],[Koeficient odhadu HR '[-'] (P1)]]*$BH81*$IG81)</f>
        <v>0</v>
      </c>
      <c r="BS81" s="186">
        <f ca="1">IF(OFFSET(AY81,1,0,1,1)&lt;&gt;0,$BH81*SUMIFS(RZ[Úroveň 2 bez koef. (P2)],RZ[0],AX81),$BH81*$IG81)</f>
        <v>0</v>
      </c>
      <c r="BT81" s="138">
        <f ca="1">RZ[[#This Row],[Úroveň 2 s koef. (P2a)]]*RZ[[#This Row],[Počet MJHR (P0)]]</f>
        <v>0</v>
      </c>
      <c r="BU81" s="138">
        <f ca="1">RZ[[#This Row],[Úroveň 2 bez koef. (P2a)]]*RZ[[#This Row],[Počet MJHR (P0)]]</f>
        <v>0</v>
      </c>
      <c r="BV81" s="138">
        <f ca="1">IF(OFFSET(AZ81,1,0,1,1)&lt;&gt;0,RZ[[#This Row],[Koeficient odhadu HR '[-'] (P1)]]*$BI81*SUMIFS(RZ[Úroveň 3 s koef. (P2)],RZ[0],AX81,RZ[Úroveň 2 (P0)],AY81),RZ[[#This Row],[Koeficient odhadu HR '[-'] (P1)]]*$BI81*$IG81)</f>
        <v>0</v>
      </c>
      <c r="BW81" s="138">
        <f ca="1">IF(OFFSET(AZ81,1,0,1,1)&lt;&gt;0,$BI81*SUMIFS(RZ[Úroveň 3 bez koef. (P2)],RZ[0],AX81,RZ[Úroveň 2 (P0)],AY81),$BI81*$IG81)</f>
        <v>0</v>
      </c>
      <c r="BX81" s="132">
        <f ca="1">RZ[[#This Row],[Úroveň 3 s koef. (P2a)]]*RZ[[#This Row],[Počet MJHR (P0)]]</f>
        <v>3.7</v>
      </c>
      <c r="BY81" s="132">
        <f ca="1">RZ[Úroveň 3 bez koef. (P2a)]*RZ[[#This Row],[Počet MJHR (P0)]]</f>
        <v>3.7</v>
      </c>
      <c r="BZ81" s="132">
        <f ca="1">IF(OFFSET(BA81,1,0,1,1)&lt;&gt;0,RZ[[#This Row],[Koeficient odhadu HR '[-'] (P1)]]*$BJ81*SUMIFS(RZ[Úroveň 4 s koef. (P2)],RZ[0],AX81,RZ[Úroveň 2 (P0)],AY81,RZ[Úroveň 3 (P0)],AZ81),RZ[[#This Row],[Koeficient odhadu HR '[-'] (P1)]]*$BJ81*$IG81)</f>
        <v>1.85</v>
      </c>
      <c r="CA81" s="132">
        <f ca="1">IF(OFFSET(BA81,1,0,1,1)&lt;&gt;0,$BJ81*SUMIFS(RZ[Úroveň 4 bez koef. (P2)],RZ[0],AX81,RZ[Úroveň 2 (P0)],AY81,RZ[Úroveň 3 (P0)],AZ81),$BJ81*$IG81)</f>
        <v>1.85</v>
      </c>
      <c r="CB81" s="138">
        <f ca="1">RZ[[#This Row],[Úroveň 4 s koef. (P2a)]]*RZ[[#This Row],[Počet MJHR (P0)]]</f>
        <v>0</v>
      </c>
      <c r="CC81" s="138">
        <f ca="1">RZ[Úroveň 4 bez koef. (P2a)]*RZ[[#This Row],[Počet MJHR (P0)]]</f>
        <v>0</v>
      </c>
      <c r="CD81" s="138">
        <f ca="1">IF(OFFSET(BB81,1,0,1,1)&lt;&gt;0,RZ[[#This Row],[Koeficient odhadu HR '[-'] (P1)]]*$BK81*SUMIFS(RZ[Úroveň 5 s koef. (P2)],RZ[0],AX81,RZ[Úroveň 2 (P0)],AY81,RZ[Úroveň 3 (P0)],AZ81,RZ[Úroveň 4 (P0)],BA81),RZ[[#This Row],[Koeficient odhadu HR '[-'] (P1)]]*$BK81*$IG81)</f>
        <v>0</v>
      </c>
      <c r="CE81" s="138">
        <f ca="1">IF(OFFSET(BB81,1,0,1,1)&lt;&gt;0,$BK81*SUMIFS(RZ[Úroveň 5 bez koef. (P2)],RZ[0],AX81,RZ[Úroveň 2 (P0)],AY81,RZ[Úroveň 3 (P0)],AZ81,RZ[Úroveň 4 (P0)],BA81),$BK81*$IG81)</f>
        <v>0</v>
      </c>
      <c r="CF81" s="132">
        <f ca="1">RZ[[#This Row],[Úroveň 5 s koef. (P2a)]]*RZ[[#This Row],[Počet MJHR (P0)]]</f>
        <v>0</v>
      </c>
      <c r="CG81" s="132">
        <f ca="1">RZ[Úroveň 5 bez koef. (P2a)]*RZ[[#This Row],[Počet MJHR (P0)]]</f>
        <v>0</v>
      </c>
      <c r="CH81" s="132">
        <f ca="1">IF(OFFSET(BC81,1,0,1,1)&lt;&gt;0,RZ[[#This Row],[Koeficient odhadu HR '[-'] (P1)]]*$BL81*SUMIFS(RZ[Úroveň 6 s koef. (P2)],RZ[0],AX81,RZ[Úroveň 2 (P0)],AY81,RZ[Úroveň 3 (P0)],AZ81,RZ[Úroveň 4 (P0)],BA81,RZ[Úroveň 5 (P0)],BB81),RZ[[#This Row],[Koeficient odhadu HR '[-'] (P1)]]*$BL81*$IG81)</f>
        <v>0</v>
      </c>
      <c r="CI81" s="132">
        <f ca="1">IF(OFFSET(BC81,1,0,1,1)&lt;&gt;0,$BL81*SUMIFS(RZ[Úroveň 6 bez koef. (P2)],RZ[0],AX81,RZ[Úroveň 2 (P0)],AY81,RZ[Úroveň 3 (P0)],AZ81,RZ[Úroveň 4 (P0)],BA81,RZ[Úroveň 5 (P0)],BB81),$BL81*$IG81)</f>
        <v>0</v>
      </c>
      <c r="CJ81" s="138">
        <f ca="1">RZ[[#This Row],[Úroveň 6 s koef. (P2a)]]*RZ[[#This Row],[Počet MJHR (P0)]]</f>
        <v>0</v>
      </c>
      <c r="CK81" s="138">
        <f ca="1">RZ[Úroveň 6 bez koef. (P2a)]*RZ[[#This Row],[Počet MJHR (P0)]]</f>
        <v>0</v>
      </c>
      <c r="CL81" s="138">
        <f ca="1">IF(OFFSET(BD81,1,0,1,1)&lt;&gt;0,RZ[[#This Row],[Koeficient odhadu HR '[-'] (P1)]]*$BM81*SUMIFS(RZ[Úroveň 7 s koef. (P2)],RZ[0],AX81,RZ[Úroveň 2 (P0)],AY81,RZ[Úroveň 3 (P0)],AZ81,RZ[Úroveň 4 (P0)],BA81,RZ[Úroveň 5 (P0)],BB81,RZ[Úroveň 6 (P0)],BC81),RZ[[#This Row],[Koeficient odhadu HR '[-'] (P1)]]*$BM81*$IG81)</f>
        <v>0</v>
      </c>
      <c r="CM81" s="138">
        <f ca="1">IF(OFFSET(BD81,1,0,1,1)&lt;&gt;0,$BM81*SUMIFS(RZ[Úroveň 7 bez koef. (P2)],RZ[0],AX81,RZ[Úroveň 2 (P0)],AY81,RZ[Úroveň 3 (P0)],AZ81,RZ[Úroveň 4 (P0)],BA81,RZ[Úroveň 5 (P0)],BB81,RZ[Úroveň 6 (P0)],BC81),$BM81*$IG81)</f>
        <v>0</v>
      </c>
      <c r="CN81" s="132">
        <f ca="1">RZ[[#This Row],[Úroveň 7 s koef. (P2a)]]*RZ[[#This Row],[Počet MJHR (P0)]]</f>
        <v>0</v>
      </c>
      <c r="CO81" s="132">
        <f ca="1">RZ[Úroveň 7 bez koef. (P2a)]*RZ[[#This Row],[Počet MJHR (P0)]]</f>
        <v>0</v>
      </c>
      <c r="CP81" s="132">
        <f ca="1">IF(OFFSET(BE81,1,0,1,1)&lt;&gt;0,RZ[[#This Row],[Koeficient odhadu HR '[-'] (P1)]]*$BN81*SUMIFS(RZ[Úroveň 8 s koef. (P2)],RZ[0],AX81,RZ[Úroveň 2 (P0)],AY81,RZ[Úroveň 3 (P0)],AZ81,RZ[Úroveň 4 (P0)],BA81,RZ[Úroveň 5 (P0)],BB81,RZ[Úroveň 6 (P0)],BC81,RZ[Úroveň 7 (P0)],BD81),RZ[[#This Row],[Koeficient odhadu HR '[-'] (P1)]]*$BN81*$IG81)</f>
        <v>0</v>
      </c>
      <c r="CQ81" s="132">
        <f ca="1">IF(OFFSET(BE81,1,0,1,1)&lt;&gt;0,$BN81*SUMIFS(RZ[Úroveň 8 bez koef. (P2)],RZ[0],AX81,RZ[Úroveň 2 (P0)],AY81,RZ[Úroveň 3 (P0)],AZ81,RZ[Úroveň 4 (P0)],BA81,RZ[Úroveň 5 (P0)],BB81,RZ[Úroveň 6 (P0)],BC81,RZ[Úroveň 7 (P0)],BD81),$BN81*$IG81)</f>
        <v>0</v>
      </c>
      <c r="CR81" s="138">
        <f ca="1">RZ[[#This Row],[Úroveň 8 s koef. (P2a)]]*RZ[[#This Row],[Počet MJHR (P0)]]</f>
        <v>0</v>
      </c>
      <c r="CS81" s="138">
        <f ca="1">RZ[Úroveň 8 bez koef. (P2a)]*RZ[[#This Row],[Počet MJHR (P0)]]</f>
        <v>0</v>
      </c>
      <c r="CT81" s="138">
        <f ca="1">IF(OFFSET(BF81,1,0,1,1)&lt;&gt;0,RZ[[#This Row],[Koeficient odhadu HR '[-'] (P1)]]*$BO81*SUMIFS(RZ[Úroveň 9 s koef. (P2)],RZ[0],AX81,RZ[Úroveň 2 (P0)],AY81,RZ[Úroveň 3 (P0)],AZ81,RZ[Úroveň 4 (P0)],BA81,RZ[Úroveň 5 (P0)],BB81,RZ[Úroveň 6 (P0)],BC81,RZ[Úroveň 7 (P0)],BD81,RZ[Úroveň 8 (P0)],BE81),RZ[[#This Row],[Koeficient odhadu HR '[-'] (P1)]]*$BO81*$IG81)</f>
        <v>0</v>
      </c>
      <c r="CU81" s="138">
        <f ca="1">IF(OFFSET(BF81,1,0,1,1)&lt;&gt;0,$BO81*SUMIFS(RZ[Úroveň 9 bez koef. (P2)],RZ[0],AX81,RZ[Úroveň 2 (P0)],AY81,RZ[Úroveň 3 (P0)],AZ81,RZ[Úroveň 4 (P0)],BA81,RZ[Úroveň 5 (P0)],BB81,RZ[Úroveň 6 (P0)],BC81,RZ[Úroveň 7 (P0)],BD81,RZ[Úroveň 8 (P0)],BE81),$BO81*$IG81)</f>
        <v>0</v>
      </c>
      <c r="CV81" s="132">
        <f ca="1">RZ[[#This Row],[Úroveň 9 s koef. (P2a)]]*RZ[[#This Row],[Počet MJHR (P0)]]</f>
        <v>0</v>
      </c>
      <c r="CW81" s="132">
        <f ca="1">RZ[Úroveň 9 bez koef. (P2a)]*RZ[[#This Row],[Počet MJHR (P0)]]</f>
        <v>0</v>
      </c>
      <c r="CX81" s="132">
        <f ca="1">IF(OFFSET(BG81,1,0,1,1)&lt;&gt;0,RZ[[#This Row],[Koeficient odhadu HR '[-'] (P1)]]*$BP81*SUMIFS(RZ[Úroveň 10 s koef. (P2)],RZ[0],AX81,RZ[Úroveň 2 (P0)],AY81,RZ[Úroveň 3 (P0)],AZ81,RZ[Úroveň 4 (P0)],BA81,RZ[Úroveň 5 (P0)],BB81,RZ[Úroveň 6 (P0)],BC81,RZ[Úroveň 7 (P0)],BD81,RZ[Úroveň 8 (P0)],BE81,RZ[Úroveň 9 (P0)],BF81),RZ[[#This Row],[Koeficient odhadu HR '[-'] (P1)]]*$BP81*$IG81)</f>
        <v>0</v>
      </c>
      <c r="CY81" s="132">
        <f ca="1">IF(OFFSET(BG81,1,0,1,1)&lt;&gt;0,$BP81*SUMIFS(RZ[Úroveň 10 bez koef. (P2)],RZ[0],AX81,RZ[Úroveň 2 (P0)],AY81,RZ[Úroveň 3 (P0)],AZ81,RZ[Úroveň 4 (P0)],BA81,RZ[Úroveň 5 (P0)],BB81,RZ[Úroveň 6 (P0)],BC81,RZ[Úroveň 7 (P0)],BD81,RZ[Úroveň 8 (P0)],BE81,RZ[Úroveň 9 (P0)],BF81),$BP81*$IG81)</f>
        <v>0</v>
      </c>
      <c r="CZ81" s="138">
        <f>RZ[[#This Row],[Úroveň 10 s koef. (P2a)]]*RZ[[#This Row],[Počet MJHR (P0)]]</f>
        <v>0</v>
      </c>
      <c r="DA81" s="138">
        <f>RZ[Úroveň 10 bez koef. (P2a)]*RZ[[#This Row],[Počet MJHR (P0)]]</f>
        <v>0</v>
      </c>
      <c r="DB81" s="138">
        <f>RZ[[#This Row],[Koeficient odhadu HR '[-'] (P1)]]*$BQ81*IG81</f>
        <v>0</v>
      </c>
      <c r="DC81" s="231">
        <f t="shared" si="522"/>
        <v>0</v>
      </c>
      <c r="DD81" s="241">
        <f t="shared" ca="1" si="523"/>
        <v>1.85</v>
      </c>
      <c r="DE81" s="229">
        <f t="shared" ca="1" si="524"/>
        <v>1.85</v>
      </c>
      <c r="DF81" s="912">
        <f t="shared" si="525"/>
        <v>0</v>
      </c>
      <c r="DG81" s="913">
        <f t="shared" si="526"/>
        <v>0</v>
      </c>
      <c r="DH81" s="913">
        <f t="shared" si="527"/>
        <v>2</v>
      </c>
      <c r="DI81" s="913">
        <f t="shared" si="528"/>
        <v>0</v>
      </c>
      <c r="DJ81" s="913">
        <f t="shared" si="529"/>
        <v>0</v>
      </c>
      <c r="DK81" s="913">
        <f t="shared" si="530"/>
        <v>0</v>
      </c>
      <c r="DL81" s="913">
        <f t="shared" si="531"/>
        <v>0</v>
      </c>
      <c r="DM81" s="913">
        <f t="shared" si="532"/>
        <v>0</v>
      </c>
      <c r="DN81" s="913">
        <f t="shared" si="533"/>
        <v>0</v>
      </c>
      <c r="DO81" s="913">
        <f t="shared" si="534"/>
        <v>0</v>
      </c>
      <c r="DP81" s="914">
        <f ca="1">SUMIFS(RZ[Úroveň 1 (P4)],RZ[0],AX81)</f>
        <v>1</v>
      </c>
      <c r="DQ81" s="914">
        <f ca="1">SUMIFS(RZ[Úroveň 2 (P4)],RZ[0],AX81,RZ[Úroveň 2 (P0)],AY81)</f>
        <v>1</v>
      </c>
      <c r="DR81" s="914">
        <f ca="1">SUMIFS(RZ[Úroveň 3 (P4)],RZ[0],AX81,RZ[Úroveň 2 (P0)],AY81,RZ[Úroveň 3 (P0)],AZ81)</f>
        <v>2</v>
      </c>
      <c r="DS81" s="914">
        <f ca="1">SUMIFS(RZ[Úroveň 4 (P4)],RZ[0],AX81,RZ[Úroveň 2 (P0)],AY81,RZ[Úroveň 3 (P0)],AZ81,RZ[Úroveň 4 (P0)],BA81)</f>
        <v>0</v>
      </c>
      <c r="DT81" s="914">
        <f ca="1">SUMIFS(RZ[Úroveň 5 (P4)],RZ[0],AX81,RZ[Úroveň 2 (P0)],AY81,RZ[Úroveň 3 (P0)],AZ81,RZ[Úroveň 4 (P0)],BA81,RZ[Úroveň 5 (P0)],BB81)</f>
        <v>0</v>
      </c>
      <c r="DU81" s="914">
        <f ca="1">SUMIFS(RZ[Úroveň 6 (P4)],RZ[0],AX81,RZ[Úroveň 2 (P0)],AY81,RZ[Úroveň 3 (P0)],AZ81,RZ[Úroveň 4 (P0)],BA81,RZ[Úroveň 5 (P0)],BB81,RZ[Úroveň 6 (P0)],BC81)</f>
        <v>0</v>
      </c>
      <c r="DV81" s="914">
        <f ca="1">SUMIFS(RZ[Úroveň 7 (P4)],RZ[0],AX81,RZ[Úroveň 2 (P0)],AY81,RZ[Úroveň 3 (P0)],AZ81,RZ[Úroveň 4 (P0)],BA81,RZ[Úroveň 5 (P0)],BB81,RZ[Úroveň 6 (P0)],BC81,RZ[Úroveň 7 (P0)],BD81)</f>
        <v>0</v>
      </c>
      <c r="DW81" s="914">
        <f ca="1">SUMIFS(RZ[Úroveň 8 (P4)],RZ[0],AX81,RZ[Úroveň 2 (P0)],AY81,RZ[Úroveň 3 (P0)],AZ81,RZ[Úroveň 4 (P0)],BA81,RZ[Úroveň 5 (P0)],BB81,RZ[Úroveň 6 (P0)],BC81,RZ[Úroveň 7 (P0)],BD81,RZ[Úroveň 8 (P0)],BE81)</f>
        <v>0</v>
      </c>
      <c r="DX81" s="914">
        <f ca="1">SUMIFS(RZ[Úroveň 9 (P4)],RZ[0],AX81,RZ[Úroveň 2 (P0)],AY81,RZ[Úroveň 3 (P0)],AZ81,RZ[Úroveň 4 (P0)],BA81,RZ[Úroveň 5 (P0)],BB81,RZ[Úroveň 6 (P0)],BC81,RZ[Úroveň 7 (P0)],BD81,RZ[Úroveň 8 (P0)],BE81,RZ[Úroveň 9 (P0)],BF81)</f>
        <v>0</v>
      </c>
      <c r="DY81" s="914">
        <f ca="1">SUMIFS(RZ[Úroveň 10 (P4)],RZ[0],AX81,RZ[Úroveň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DZ81" s="915">
        <f t="shared" ca="1" si="535"/>
        <v>2</v>
      </c>
      <c r="EA81" s="916">
        <f ca="1">RZ[[#This Row],[Jednotková hmotnost bez koef. '[kg/MJHR'] (P0)]]*RZ[[#This Row],[Počet MJHR v rozpadu (P0)]]</f>
        <v>3.7</v>
      </c>
      <c r="EB81" s="917">
        <f ca="1">IF(OFFSET(AY81,1,0,1,1)&lt;&gt;0,RZ[[#This Row],[Koeficient odhadu CR '[-'] (P1)]]*$BH81*SUMIFS(RZ[Úroveň 2 s koef. (P3)],RZ[0],AX81),RZ[[#This Row],[Koeficient odhadu CR '[-'] (P1)]]*$BH81*$IQ81)</f>
        <v>0</v>
      </c>
      <c r="EC81" s="191">
        <f ca="1">IF(OFFSET(AY81,1,0,1,1)&lt;&gt;0,$BH81*SUMIFS(RZ[Úroveň 2 bez koef. (P3)],RZ[0],AX81),$BH81*$IQ81)</f>
        <v>0</v>
      </c>
      <c r="ED81" s="140">
        <f ca="1">RZ[[#This Row],[Úroveň 2 s koef. (P3a)]]*RZ[[#This Row],[Počet MJCR (P0) pro "kg"]]</f>
        <v>0</v>
      </c>
      <c r="EE81" s="140">
        <f ca="1">RZ[Úroveň 2 bez koef. (P3a)]*RZ[[#This Row],[Počet MJCR (P0) pro "kg"]]</f>
        <v>0</v>
      </c>
      <c r="EF81" s="140">
        <f ca="1">IF(OFFSET(AZ81,1,0,1,1)&lt;&gt;0,RZ[[#This Row],[Koeficient odhadu CR '[-'] (P1)]]*$BI81*SUMIFS(RZ[Úroveň 3 s koef. (P3)],RZ[0],AX81,RZ[Úroveň 2 (P0)],AY81),RZ[[#This Row],[Koeficient odhadu CR '[-'] (P1)]]*$BI81*$IQ81)</f>
        <v>0</v>
      </c>
      <c r="EG81" s="140">
        <f ca="1">IF(OFFSET(AZ81,1,0,1,1)&lt;&gt;0,$BI81*SUMIFS(RZ[Úroveň 3 bez koef. (P3)],RZ[0],AX81,RZ[Úroveň 2 (P0)],AY81),$BI81*$IQ81)</f>
        <v>0</v>
      </c>
      <c r="EH81" s="135">
        <f ca="1">RZ[[#This Row],[Úroveň 3 s koef. (P3a)]]*RZ[[#This Row],[Počet MJCR (P0) pro "kg"]]</f>
        <v>314.5</v>
      </c>
      <c r="EI81" s="135">
        <f ca="1">RZ[Úroveň 3 bez koef. (P3a)]*RZ[[#This Row],[Počet MJCR (P0) pro "kg"]]</f>
        <v>314.5</v>
      </c>
      <c r="EJ81" s="135">
        <f ca="1">IF(OFFSET(BA81,1,0,1,1)&lt;&gt;0,RZ[[#This Row],[Koeficient odhadu CR '[-'] (P1)]]*$BJ81*SUMIFS(RZ[Úroveň 4 s koef. (P3)],RZ[0],AX81,RZ[Úroveň 2 (P0)],AY81,RZ[Úroveň 3 (P0)],AZ81),RZ[[#This Row],[Koeficient odhadu CR '[-'] (P1)]]*$BJ81*$IQ81)</f>
        <v>85</v>
      </c>
      <c r="EK81" s="135">
        <f ca="1">IF(OFFSET(BA81,1,0,1,1)&lt;&gt;0,$BJ81*SUMIFS(RZ[Úroveň 4 bez koef. (P3)],RZ[0],AX81,RZ[Úroveň 2 (P0)],AY81,RZ[Úroveň 3 (P0)],AZ81),$BJ81*$IQ81)</f>
        <v>85</v>
      </c>
      <c r="EL81" s="140">
        <f ca="1">RZ[[#This Row],[Úroveň 4 s koef. (P3a)]]*RZ[[#This Row],[Počet MJCR (P0) pro "kg"]]</f>
        <v>0</v>
      </c>
      <c r="EM81" s="140">
        <f ca="1">RZ[Úroveň 4 bez koef. (P3a)]*RZ[[#This Row],[Počet MJCR (P0) pro "kg"]]</f>
        <v>0</v>
      </c>
      <c r="EN81" s="140">
        <f ca="1">IF(OFFSET(BB81,1,0,1,1)&lt;&gt;0,RZ[[#This Row],[Koeficient odhadu CR '[-'] (P1)]]*$BK81*SUMIFS(RZ[Úroveň 5 s koef. (P3)],RZ[0],AX81,RZ[Úroveň 2 (P0)],AY81,RZ[Úroveň 3 (P0)],AZ81,RZ[Úroveň 4 (P0)],BA81),RZ[[#This Row],[Koeficient odhadu CR '[-'] (P1)]]*$BK81*$IQ81)</f>
        <v>0</v>
      </c>
      <c r="EO81" s="140">
        <f ca="1">IF(OFFSET(BB81,1,0,1,1)&lt;&gt;0,$BK81*SUMIFS(RZ[Úroveň 5 bez koef. (P3)],RZ[0],AX81,RZ[Úroveň 2 (P0)],AY81,RZ[Úroveň 3 (P0)],AZ81,RZ[Úroveň 4 (P0)],BA81),$BK81*$IQ81)</f>
        <v>0</v>
      </c>
      <c r="EP81" s="135">
        <f ca="1">RZ[[#This Row],[Úroveň 5 s koef. (P3a)]]*RZ[[#This Row],[Počet MJCR (P0) pro "kg"]]</f>
        <v>0</v>
      </c>
      <c r="EQ81" s="135">
        <f ca="1">RZ[Úroveň 5 bez koef. (P3a)]*RZ[[#This Row],[Počet MJCR (P0) pro "kg"]]</f>
        <v>0</v>
      </c>
      <c r="ER81" s="135">
        <f ca="1">IF(OFFSET(BC81,1,0,1,1)&lt;&gt;0,RZ[[#This Row],[Koeficient odhadu CR '[-'] (P1)]]*$BL81*SUMIFS(RZ[Úroveň 6 s koef. (P3)],RZ[0],AX81,RZ[Úroveň 2 (P0)],AY81,RZ[Úroveň 3 (P0)],AZ81,RZ[Úroveň 4 (P0)],BA81,RZ[Úroveň 5 (P0)],BB81),RZ[[#This Row],[Koeficient odhadu CR '[-'] (P1)]]*$BL81*$IQ81)</f>
        <v>0</v>
      </c>
      <c r="ES81" s="135">
        <f ca="1">IF(OFFSET(BC81,1,0,1,1)&lt;&gt;0,$BL81*SUMIFS(RZ[Úroveň 6 bez koef. (P3)],RZ[0],AX81,RZ[Úroveň 2 (P0)],AY81,RZ[Úroveň 3 (P0)],AZ81,RZ[Úroveň 4 (P0)],BA81,RZ[Úroveň 5 (P0)],BB81),$BL81*$IQ81)</f>
        <v>0</v>
      </c>
      <c r="ET81" s="140">
        <f ca="1">RZ[[#This Row],[Úroveň 6 s koef. (P3a)]]*RZ[[#This Row],[Počet MJCR (P0) pro "kg"]]</f>
        <v>0</v>
      </c>
      <c r="EU81" s="140">
        <f ca="1">RZ[Úroveň 6 bez koef. (P3a)]*RZ[[#This Row],[Počet MJCR (P0) pro "kg"]]</f>
        <v>0</v>
      </c>
      <c r="EV81" s="140">
        <f ca="1">IF(OFFSET(BD81,1,0,1,1)&lt;&gt;0,RZ[[#This Row],[Koeficient odhadu CR '[-'] (P1)]]*$BM81*SUMIFS(RZ[Úroveň 7 s koef. (P3)],RZ[0],AX81,RZ[Úroveň 2 (P0)],AY81,RZ[Úroveň 3 (P0)],AZ81,RZ[Úroveň 4 (P0)],BA81,RZ[Úroveň 5 (P0)],BB81,RZ[Úroveň 6 (P0)],BC81),RZ[[#This Row],[Koeficient odhadu CR '[-'] (P1)]]*$BM81*$IQ81)</f>
        <v>0</v>
      </c>
      <c r="EW81" s="140">
        <f ca="1">IF(OFFSET(BD81,1,0,1,1)&lt;&gt;0,$BM81*SUMIFS(RZ[Úroveň 7 bez koef. (P3)],RZ[0],AX81,RZ[Úroveň 2 (P0)],AY81,RZ[Úroveň 3 (P0)],AZ81,RZ[Úroveň 4 (P0)],BA81,RZ[Úroveň 5 (P0)],BB81,RZ[Úroveň 6 (P0)],BC81),$BM81*$IQ81)</f>
        <v>0</v>
      </c>
      <c r="EX81" s="135">
        <f ca="1">RZ[[#This Row],[Úroveň 7 s koef. (P3a)]]*RZ[[#This Row],[Počet MJCR (P0) pro "kg"]]</f>
        <v>0</v>
      </c>
      <c r="EY81" s="135">
        <f ca="1">RZ[Úroveň 7 bez koef. (P3a)]*RZ[[#This Row],[Počet MJCR (P0) pro "kg"]]</f>
        <v>0</v>
      </c>
      <c r="EZ81" s="135">
        <f ca="1">IF(OFFSET(BE81,1,0,1,1)&lt;&gt;0,RZ[[#This Row],[Koeficient odhadu CR '[-'] (P1)]]*$BN81*SUMIFS(RZ[Úroveň 8 s koef. (P3)],RZ[0],AX81,RZ[Úroveň 2 (P0)],AY81,RZ[Úroveň 3 (P0)],AZ81,RZ[Úroveň 4 (P0)],BA81,RZ[Úroveň 5 (P0)],BB81,RZ[Úroveň 6 (P0)],BC81,RZ[Úroveň 7 (P0)],BD81),RZ[[#This Row],[Koeficient odhadu CR '[-'] (P1)]]*$BN81*$IQ81)</f>
        <v>0</v>
      </c>
      <c r="FA81" s="135">
        <f ca="1">IF(OFFSET(BE81,1,0,1,1)&lt;&gt;0,$BN81*SUMIFS(RZ[Úroveň 8 bez koef. (P3)],RZ[0],AX81,RZ[Úroveň 2 (P0)],AY81,RZ[Úroveň 3 (P0)],AZ81,RZ[Úroveň 4 (P0)],BA81,RZ[Úroveň 5 (P0)],BB81,RZ[Úroveň 6 (P0)],BC81,RZ[Úroveň 7 (P0)],BD81),$BN81*$IQ81)</f>
        <v>0</v>
      </c>
      <c r="FB81" s="140">
        <f ca="1">RZ[[#This Row],[Úroveň 8 s koef. (P3a)]]*RZ[[#This Row],[Počet MJCR (P0) pro "kg"]]</f>
        <v>0</v>
      </c>
      <c r="FC81" s="140">
        <f ca="1">RZ[Úroveň 8 bez koef. (P3a)]*RZ[[#This Row],[Počet MJCR (P0) pro "kg"]]</f>
        <v>0</v>
      </c>
      <c r="FD81" s="140">
        <f ca="1">IF(OFFSET(BF81,1,0,1,1)&lt;&gt;0,RZ[[#This Row],[Koeficient odhadu CR '[-'] (P1)]]*$BO81*SUMIFS(RZ[Úroveň 9 s koef. (P3)],RZ[0],AX81,RZ[Úroveň 2 (P0)],AY81,RZ[Úroveň 3 (P0)],AZ81,RZ[Úroveň 4 (P0)],BA81,RZ[Úroveň 5 (P0)],BB81,RZ[Úroveň 6 (P0)],BC81,RZ[Úroveň 7 (P0)],BD81,RZ[Úroveň 8 (P0)],BE81),RZ[[#This Row],[Koeficient odhadu CR '[-'] (P1)]]*$BO81*$IQ81)</f>
        <v>0</v>
      </c>
      <c r="FE81" s="140">
        <f ca="1">IF(OFFSET(BF81,1,0,1,1)&lt;&gt;0,$BO81*SUMIFS(RZ[Úroveň 9 bez koef. (P3)],RZ[0],AX81,RZ[Úroveň 2 (P0)],AY81,RZ[Úroveň 3 (P0)],AZ81,RZ[Úroveň 4 (P0)],BA81,RZ[Úroveň 5 (P0)],BB81,RZ[Úroveň 6 (P0)],BC81,RZ[Úroveň 7 (P0)],BD81,RZ[Úroveň 8 (P0)],BE81),$BO81*$IQ81)</f>
        <v>0</v>
      </c>
      <c r="FF81" s="135">
        <f ca="1">RZ[[#This Row],[Úroveň 9 s koef. (P3a)]]*RZ[[#This Row],[Počet MJCR (P0) pro "kg"]]</f>
        <v>0</v>
      </c>
      <c r="FG81" s="135">
        <f ca="1">RZ[Úroveň 9 bez koef. (P3a)]*RZ[[#This Row],[Počet MJCR (P0) pro "kg"]]</f>
        <v>0</v>
      </c>
      <c r="FH81" s="135">
        <f ca="1">IF(OFFSET(BG81,1,0,1,1)&lt;&gt;0,RZ[[#This Row],[Koeficient odhadu CR '[-'] (P1)]]*$BP81*SUMIFS(RZ[Úroveň 10 s koef. (P3)],RZ[0],AX81,RZ[Úroveň 2 (P0)],AY81,RZ[Úroveň 3 (P0)],AZ81,RZ[Úroveň 4 (P0)],BA81,RZ[Úroveň 5 (P0)],BB81,RZ[Úroveň 6 (P0)],BC81,RZ[Úroveň 7 (P0)],BD81,RZ[Úroveň 8 (P0)],BE81,RZ[Úroveň 9 (P0)],BF81),RZ[[#This Row],[Koeficient odhadu CR '[-'] (P1)]]*$BP81*$IQ81)</f>
        <v>0</v>
      </c>
      <c r="FI81" s="135">
        <f ca="1">IF(OFFSET(BG81,1,0,1,1)&lt;&gt;0,$BP81*SUMIFS(RZ[Úroveň 10 bez koef. (P3)],RZ[0],AX81,RZ[Úroveň 2 (P0)],AY81,RZ[Úroveň 3 (P0)],AZ81,RZ[Úroveň 4 (P0)],BA81,RZ[Úroveň 5 (P0)],BB81,RZ[Úroveň 6 (P0)],BC81,RZ[Úroveň 7 (P0)],BD81,RZ[Úroveň 8 (P0)],BE81,RZ[Úroveň 9 (P0)],BF81),$BP81*$IQ81)</f>
        <v>0</v>
      </c>
      <c r="FJ81" s="140">
        <f ca="1">RZ[[#This Row],[Úroveň 10 s koef. (P3a)]]*RZ[[#This Row],[Počet MJCR (P0) pro "kg"]]</f>
        <v>0</v>
      </c>
      <c r="FK81" s="140">
        <f ca="1">RZ[Úroveň 10 bez koef. (P3a)]*RZ[[#This Row],[Počet MJCR (P0) pro "kg"]]</f>
        <v>0</v>
      </c>
      <c r="FL81" s="140">
        <f ca="1">RZ[[#This Row],[Koeficient odhadu CR '[-'] (P1)]]*$BQ81*IQ81</f>
        <v>0</v>
      </c>
      <c r="FM81" s="236">
        <f t="shared" ca="1" si="536"/>
        <v>0</v>
      </c>
      <c r="FN81" s="194">
        <f t="shared" ca="1" si="537"/>
        <v>85</v>
      </c>
      <c r="FO81" s="238">
        <f t="shared" ca="1" si="538"/>
        <v>85</v>
      </c>
      <c r="FP81" s="135">
        <f t="shared" ca="1" si="539"/>
        <v>0</v>
      </c>
      <c r="FQ81" s="135">
        <f t="shared" ca="1" si="540"/>
        <v>0</v>
      </c>
      <c r="FR81" s="135">
        <f t="shared" ca="1" si="541"/>
        <v>3.7</v>
      </c>
      <c r="FS81" s="135">
        <f t="shared" ca="1" si="542"/>
        <v>0</v>
      </c>
      <c r="FT81" s="135">
        <f t="shared" ca="1" si="543"/>
        <v>0</v>
      </c>
      <c r="FU81" s="135">
        <f t="shared" ca="1" si="544"/>
        <v>0</v>
      </c>
      <c r="FV81" s="135">
        <f t="shared" ca="1" si="545"/>
        <v>0</v>
      </c>
      <c r="FW81" s="135">
        <f t="shared" ca="1" si="546"/>
        <v>0</v>
      </c>
      <c r="FX81" s="135">
        <f t="shared" ca="1" si="547"/>
        <v>0</v>
      </c>
      <c r="FY81" s="135">
        <f t="shared" ca="1" si="548"/>
        <v>0</v>
      </c>
      <c r="FZ81" s="140">
        <f ca="1">SUMIFS(RZ[Úroveň 1 (P6)],RZ[0],AX81)</f>
        <v>1</v>
      </c>
      <c r="GA81" s="140">
        <f ca="1">SUMIFS(RZ[Úroveň 2 (P6)],RZ[0],AX81,RZ[Úroveň 2 (P0)],AY81)</f>
        <v>1</v>
      </c>
      <c r="GB81" s="140">
        <f ca="1">SUMIFS(RZ[Úroveň 3 (P6)],RZ[0],AX81,RZ[Úroveň 2 (P0)],AY81,RZ[Úroveň 3 (P0)],AZ81)</f>
        <v>3.7</v>
      </c>
      <c r="GC81" s="140">
        <f ca="1">SUMIFS(RZ[Úroveň 4 (P6)],RZ[0],AX81,RZ[Úroveň 2 (P0)],AY81,RZ[Úroveň 3 (P0)],AZ81,RZ[Úroveň 4 (P0)],BA81)</f>
        <v>0</v>
      </c>
      <c r="GD81" s="140">
        <f ca="1">SUMIFS(RZ[Úroveň 5 (P6)],RZ[0],AX81,RZ[Úroveň 2 (P0)],AY81,RZ[Úroveň 3 (P0)],AZ81,RZ[Úroveň 4 (P0)],BA81,RZ[Úroveň 5 (P0)],BB81)</f>
        <v>0</v>
      </c>
      <c r="GE81" s="140">
        <f ca="1">SUMIFS(RZ[Úroveň 6 (P6)],RZ[0],AX81,RZ[Úroveň 2 (P0)],AY81,RZ[Úroveň 3 (P0)],AZ81,RZ[Úroveň 4 (P0)],BA81,RZ[Úroveň 5 (P0)],BB81,RZ[Úroveň 6 (P0)],BC81)</f>
        <v>0</v>
      </c>
      <c r="GF81" s="140">
        <f ca="1">SUMIFS(RZ[Úroveň 7 (P6)],RZ[0],AX81,RZ[Úroveň 2 (P0)],AY81,RZ[Úroveň 3 (P0)],AZ81,RZ[Úroveň 4 (P0)],BA81,RZ[Úroveň 5 (P0)],BB81,RZ[Úroveň 6 (P0)],BC81,RZ[Úroveň 7 (P0)],BD81)</f>
        <v>0</v>
      </c>
      <c r="GG81" s="140">
        <f ca="1">SUMIFS(RZ[Úroveň 8 (P6)],RZ[0],AX81,RZ[Úroveň 2 (P0)],AY81,RZ[Úroveň 3 (P0)],AZ81,RZ[Úroveň 4 (P0)],BA81,RZ[Úroveň 5 (P0)],BB81,RZ[Úroveň 6 (P0)],BC81,RZ[Úroveň 7 (P0)],BD81,RZ[Úroveň 8 (P0)],BE81)</f>
        <v>0</v>
      </c>
      <c r="GH81" s="140">
        <f ca="1">SUMIFS(RZ[Úroveň 9 (P6)],RZ[0],AX81,RZ[Úroveň 2 (P0)],AY81,RZ[Úroveň 3 (P0)],AZ81,RZ[Úroveň 4 (P0)],BA81,RZ[Úroveň 5 (P0)],BB81,RZ[Úroveň 6 (P0)],BC81,RZ[Úroveň 7 (P0)],BD81,RZ[Úroveň 8 (P0)],BE81,RZ[Úroveň 9 (P0)],BF81)</f>
        <v>0</v>
      </c>
      <c r="GI81" s="140">
        <f ca="1">SUMIFS(RZ[Úroveň 10 (P6)],RZ[0],AX81,RZ[Úroveň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GJ81" s="918">
        <f t="shared" ca="1" si="549"/>
        <v>3.7</v>
      </c>
      <c r="GK81" s="808">
        <f t="shared" si="550"/>
        <v>0</v>
      </c>
      <c r="GL81" s="808">
        <f t="shared" si="551"/>
        <v>0</v>
      </c>
      <c r="GM81" s="808">
        <f t="shared" si="552"/>
        <v>1</v>
      </c>
      <c r="GN81" s="808">
        <f t="shared" si="553"/>
        <v>0</v>
      </c>
      <c r="GO81" s="808">
        <f t="shared" si="554"/>
        <v>0</v>
      </c>
      <c r="GP81" s="808">
        <f t="shared" si="555"/>
        <v>0</v>
      </c>
      <c r="GQ81" s="808">
        <f t="shared" si="556"/>
        <v>0</v>
      </c>
      <c r="GR81" s="808">
        <f t="shared" si="557"/>
        <v>0</v>
      </c>
      <c r="GS81" s="808">
        <f t="shared" si="558"/>
        <v>0</v>
      </c>
      <c r="GT81" s="808">
        <f t="shared" si="559"/>
        <v>0</v>
      </c>
      <c r="GU81" s="809">
        <f ca="1">SUMIFS(RZ[Sloupec1],RZ[0],AX81)</f>
        <v>1</v>
      </c>
      <c r="GV81" s="809">
        <f ca="1">SUMIFS(RZ[Sloupec2],RZ[0],AX81,RZ[Úroveň 2 (P0)],AY81)</f>
        <v>1</v>
      </c>
      <c r="GW81" s="809">
        <f ca="1">SUMIFS(RZ[Sloupec3],RZ[0],AX81,RZ[Úroveň 2 (P0)],AY81,RZ[Úroveň 3 (P0)],AZ81)</f>
        <v>1</v>
      </c>
      <c r="GX81" s="809">
        <f ca="1">SUMIFS(RZ[Sloupec4],RZ[0],AX81,RZ[Úroveň 2 (P0)],AY81,RZ[Úroveň 3 (P0)],AZ81,RZ[Úroveň 4 (P0)],BA81)</f>
        <v>0</v>
      </c>
      <c r="GY81" s="809">
        <f ca="1">SUMIFS(RZ[Sloupec5],RZ[0],AX81,RZ[Úroveň 2 (P0)],AY81,RZ[Úroveň 3 (P0)],AZ81,RZ[Úroveň 4 (P0)],BA81,RZ[Úroveň 5 (P0)],BB81)</f>
        <v>0</v>
      </c>
      <c r="GZ81" s="809">
        <f ca="1">SUMIFS(RZ[Sloupec6],RZ[0],AX81,RZ[Úroveň 2 (P0)],AY81,RZ[Úroveň 3 (P0)],AZ81,RZ[Úroveň 4 (P0)],BA81,RZ[Úroveň 5 (P0)],BB81,RZ[Úroveň 6 (P0)],BC81)</f>
        <v>0</v>
      </c>
      <c r="HA81" s="809">
        <f ca="1">SUMIFS(RZ[Sloupec62],RZ[0],AX81,RZ[Úroveň 2 (P0)],AY81,RZ[Úroveň 3 (P0)],AZ81,RZ[Úroveň 4 (P0)],BA81,RZ[Úroveň 5 (P0)],BB81,RZ[Úroveň 6 (P0)],BC81,RZ[Úroveň 7 (P0)],BD81)</f>
        <v>0</v>
      </c>
      <c r="HB81" s="809">
        <f ca="1">SUMIFS(RZ[Sloupec63],RZ[0],AX81,RZ[Úroveň 2 (P0)],AY81,RZ[Úroveň 3 (P0)],AZ81,RZ[Úroveň 4 (P0)],BA81,RZ[Úroveň 5 (P0)],BB81,RZ[Úroveň 6 (P0)],BC81,RZ[Úroveň 7 (P0)],BD81,RZ[Úroveň 8 (P0)],BE81)</f>
        <v>0</v>
      </c>
      <c r="HC81" s="809">
        <f ca="1">SUMIFS(RZ[Sloupec64],RZ[0],AX81,RZ[Úroveň 2 (P0)],AY81,RZ[Úroveň 3 (P0)],AZ81,RZ[Úroveň 4 (P0)],BA81,RZ[Úroveň 5 (P0)],BB81,RZ[Úroveň 6 (P0)],BC81,RZ[Úroveň 7 (P0)],BD81,RZ[Úroveň 8 (P0)],BE81,RZ[Úroveň 9 (P0)],BF81)</f>
        <v>0</v>
      </c>
      <c r="HD81" s="809">
        <f ca="1">SUMIFS(RZ[Sloupec65],RZ[0],AX81,RZ[Úroveň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HE81" s="919">
        <f t="shared" ca="1" si="560"/>
        <v>1</v>
      </c>
      <c r="HF81" s="920" t="str">
        <f t="shared" si="561"/>
        <v/>
      </c>
      <c r="HG81" s="94" t="str">
        <f t="shared" si="562"/>
        <v/>
      </c>
      <c r="HH81" s="95" t="str">
        <f t="shared" si="563"/>
        <v/>
      </c>
      <c r="HI81" s="95" t="str">
        <f t="shared" si="564"/>
        <v>Přídržka</v>
      </c>
      <c r="HJ81" s="96" t="str">
        <f t="shared" si="565"/>
        <v/>
      </c>
      <c r="HK81" s="96" t="str">
        <f t="shared" si="566"/>
        <v/>
      </c>
      <c r="HL81" s="96" t="str">
        <f t="shared" si="567"/>
        <v/>
      </c>
      <c r="HM81" s="96" t="str">
        <f t="shared" si="568"/>
        <v/>
      </c>
      <c r="HN81" s="96" t="str">
        <f t="shared" si="569"/>
        <v/>
      </c>
      <c r="HO81" s="96" t="str">
        <f t="shared" si="570"/>
        <v/>
      </c>
      <c r="HP81" s="96" t="str">
        <f t="shared" si="571"/>
        <v/>
      </c>
      <c r="HQ81" s="145" t="str">
        <f t="shared" si="572"/>
        <v>STO3</v>
      </c>
      <c r="HR81" s="921" t="str">
        <f t="shared" si="573"/>
        <v/>
      </c>
      <c r="HS81" s="173">
        <f t="shared" si="574"/>
        <v>0</v>
      </c>
      <c r="HT81" s="100">
        <f t="shared" si="575"/>
        <v>0</v>
      </c>
      <c r="HU81" s="100">
        <f t="shared" si="576"/>
        <v>0</v>
      </c>
      <c r="HV81" s="908">
        <f t="shared" si="577"/>
        <v>0</v>
      </c>
      <c r="HW81" s="922">
        <f t="shared" si="578"/>
        <v>0</v>
      </c>
      <c r="HX81" s="224">
        <f t="shared" si="579"/>
        <v>0</v>
      </c>
      <c r="HY81" s="263" t="str">
        <f t="shared" si="580"/>
        <v>S</v>
      </c>
      <c r="HZ81" s="263">
        <f t="shared" si="581"/>
        <v>0</v>
      </c>
      <c r="IA81" s="150">
        <f t="shared" si="582"/>
        <v>1</v>
      </c>
      <c r="IB81" s="319">
        <f t="shared" si="583"/>
        <v>0</v>
      </c>
      <c r="IC81" s="923">
        <f t="shared" si="584"/>
        <v>0</v>
      </c>
      <c r="ID81" s="924" t="str">
        <f t="shared" ca="1" si="585"/>
        <v>OK</v>
      </c>
      <c r="IE81" s="201" t="str">
        <f t="shared" si="586"/>
        <v>ks</v>
      </c>
      <c r="IF81" s="145">
        <f t="shared" si="587"/>
        <v>2</v>
      </c>
      <c r="IG81" s="216">
        <f t="shared" si="588"/>
        <v>1.85</v>
      </c>
      <c r="IH81" s="217">
        <f t="shared" si="589"/>
        <v>1</v>
      </c>
      <c r="II81" s="224" t="str">
        <f ca="1">IF(RZ[[#This Row],[Rozhodný sloupec indikativní ceny]]=1,"kg",IF($IW81=$JL$15,IF(JX81=0,JO81,JX81),IF($IW81=$KE$15,IF(KQ81=0,KH81,KQ81),IF($IW81=$KX$15,IF(LJ81=0,LA81,LJ81),IF($IW81=$LQ$15,IF(MC81=0,LT81,MC81),IF($IW81=$MJ$15,IF(NQ81=0,NH81,NQ81),0))))))</f>
        <v>kg</v>
      </c>
      <c r="IJ81" s="224">
        <f ca="1">IF((BH81+OFFSET(BH81,1,1,1,1))=2,RZ[[#This Row],[Počet MJHR (P0)]],IF((BI81+OFFSET(BI81,1,1,1,1))=2,RZ[[#This Row],[Počet MJHR (P0)]],IF((BJ81+OFFSET(BJ81,1,1,1,1))=2,RZ[[#This Row],[Počet MJHR (P0)]],IF((BK81+OFFSET(BK81,1,1,1,1))=2,RZ[[#This Row],[Počet MJHR (P0)]],IF((BL81+OFFSET(BL81,1,1,1,1))=2,RZ[[#This Row],[Počet MJHR (P0)]],IF((BM81+OFFSET(BM81,1,1,1,1))=2,RZ[[#This Row],[Počet MJHR (P0)]],IF((BN81+OFFSET(BN81,1,1,1,1))=2,RZ[[#This Row],[Počet MJHR (P0)]],IF((BO81+OFFSET(BO81,1,1,1,1))=2,RZ[[#This Row],[Počet MJHR (P0)]],IF((BP81+OFFSET(BP81,1,1,1,1))=2,RZ[[#This Row],[Počet MJHR (P0)]],IF((BQ81+OFFSET(BQ81,1,1,1,1))=2,RZ[[#This Row],[Počet MJHR (P0)]],IF(RZ[[#This Row],[Měrná jednotka CR (MJCR) (P0)]]=RZ[[#This Row],[Měrná jednotka HR '[MJHR'] (P0)]],RZ[[#This Row],[Počet MJHR (P0)]],IF($IW81=$JL$15,JY81,IF($IW81=$KE$15,KR81,IF($IW81=$KX$15,LK81,IF($IW81=$LQ$15,MD81,IF($IW81=$MJ$15,NR81,0))))))))))))))))</f>
        <v>0</v>
      </c>
      <c r="IK8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81" s="145">
        <f ca="1">IF(AND(RZ[[#This Row],[Jednotková cena bez DPH '[cena/MJCR'] (P0)]]=0,RZ[[#This Row],[Indikativní jednotková cena '[CZK/kg'] (P1)]]&lt;&gt;0),1,0)</f>
        <v>1</v>
      </c>
      <c r="IM81" s="217">
        <f ca="1">VLOOKUP(RZ[[#This Row],[Kód položek]],INDIKAT_CENA,2,FALSE)</f>
        <v>85</v>
      </c>
      <c r="IN81" s="222">
        <f ca="1">IF(RZ[[#This Row],[Rozhodný sloupec indikativní ceny]]=1,RZ[[#This Row],[Indikativní jednotková cena '[CZK/kg'] (P1)]],RZ[[#This Row],[Jednotková cena bez DPH '[cena/MJCR'] (P0)]])</f>
        <v>85</v>
      </c>
      <c r="IO81" s="222">
        <f t="shared" si="590"/>
        <v>1</v>
      </c>
      <c r="IP81" s="224">
        <f ca="1">IF(RZ[[#This Row],[Rozhodný sloupec indikativní ceny]]=1,1,IF($IW81=$JL$15,KA81,IF($IW81=$KE$15,KT81,IF($IW81=$KX$15,LM81,IF($IW81=$LQ$15,MF81,IF($IW81=$MJ$15,NT81,0))))))</f>
        <v>1</v>
      </c>
      <c r="IQ81" s="225">
        <f ca="1">IF(RZ[[#This Row],[Jednotková cena bez DPH '[cena/MJCR'] (P1)]]="",0,IF(IP81=0,0,(RZ[[#This Row],[Jednotková cena bez DPH '[cena/MJCR'] (P1)]]*VLOOKUP(IP81,$BR$7:$BT$10,3))))</f>
        <v>85</v>
      </c>
      <c r="IR81" s="737"/>
      <c r="IS81" s="627">
        <f>IF(HY81=0,"",VLOOKUP(RZ[[#This Row],[Stav Projekce (P0)]],Vstupy!$E$11:'Vstupy'!$E$11:$H$17,4,FALSE))</f>
        <v>100</v>
      </c>
      <c r="IT81" s="925" t="str">
        <f>IF(RZ[[#This Row],[Stav Projekce (P0)]]=0,"",RZ[[#This Row],[Stav Projekce (P0)]])</f>
        <v>S</v>
      </c>
      <c r="IU81" s="925" t="str">
        <f>IF(RZ[[#This Row],[Stav Nákup (P0)]]=0,"",RZ[[#This Row],[Stav Nákup (P0)]])</f>
        <v/>
      </c>
      <c r="IV81" s="926" t="str">
        <f t="shared" si="591"/>
        <v/>
      </c>
      <c r="IW81" s="641">
        <v>1</v>
      </c>
      <c r="IX81" s="630"/>
      <c r="IY81" s="264"/>
      <c r="IZ81" s="648"/>
      <c r="JA81" s="100"/>
      <c r="JB81" s="100" t="s">
        <v>789</v>
      </c>
      <c r="JC81" s="100"/>
      <c r="JD81" s="100"/>
      <c r="JE81" s="100"/>
      <c r="JF81" s="100"/>
      <c r="JG81" s="100"/>
      <c r="JH81" s="100"/>
      <c r="JI81" s="100"/>
      <c r="JJ81" s="145" t="s">
        <v>784</v>
      </c>
      <c r="JK81" s="529"/>
      <c r="JL81" s="286"/>
      <c r="JM81" s="100"/>
      <c r="JN81" s="100"/>
      <c r="JO81" s="145" t="s">
        <v>35</v>
      </c>
      <c r="JP81" s="117">
        <v>2</v>
      </c>
      <c r="JQ81" s="117">
        <v>1.85</v>
      </c>
      <c r="JR81" s="148">
        <v>1</v>
      </c>
      <c r="JS81" s="145" t="s">
        <v>602</v>
      </c>
      <c r="JT81" s="631"/>
      <c r="JU81" s="148"/>
      <c r="JV81" s="154"/>
      <c r="JW81" s="145"/>
      <c r="JX81" s="210"/>
      <c r="JY81" s="117"/>
      <c r="JZ81" s="662"/>
      <c r="KA81" s="145"/>
      <c r="KB81" s="148"/>
      <c r="KC81" s="148"/>
      <c r="KD81" s="644"/>
      <c r="KE81" s="286"/>
      <c r="KF81" s="100"/>
      <c r="KG81" s="100"/>
      <c r="KH81" s="210"/>
      <c r="KI81" s="117"/>
      <c r="KJ81" s="117"/>
      <c r="KK81" s="148"/>
      <c r="KL81" s="145"/>
      <c r="KM81" s="632"/>
      <c r="KN81" s="148"/>
      <c r="KO81" s="154"/>
      <c r="KP81" s="154"/>
      <c r="KQ81" s="210"/>
      <c r="KR81" s="117"/>
      <c r="KS81" s="211"/>
      <c r="KT81" s="145"/>
      <c r="KU81" s="148"/>
      <c r="KV81" s="148"/>
      <c r="KW81" s="265"/>
      <c r="KX81" s="286"/>
      <c r="KY81" s="100"/>
      <c r="KZ81" s="100"/>
      <c r="LA81" s="210"/>
      <c r="LB81" s="117"/>
      <c r="LC81" s="117"/>
      <c r="LD81" s="148"/>
      <c r="LE81" s="145"/>
      <c r="LF81" s="632"/>
      <c r="LG81" s="148"/>
      <c r="LH81" s="154"/>
      <c r="LI81" s="154"/>
      <c r="LJ81" s="154"/>
      <c r="LK81" s="117"/>
      <c r="LL81" s="211"/>
      <c r="LM81" s="210"/>
      <c r="LN81" s="148"/>
      <c r="LO81" s="148"/>
      <c r="LP81" s="265"/>
      <c r="LQ81" s="286"/>
      <c r="LR81" s="100"/>
      <c r="LS81" s="100"/>
      <c r="LT81" s="210"/>
      <c r="LU81" s="117"/>
      <c r="LV81" s="117"/>
      <c r="LW81" s="148"/>
      <c r="LX81" s="145"/>
      <c r="LY81" s="632"/>
      <c r="LZ81" s="148"/>
      <c r="MA81" s="154"/>
      <c r="MB81" s="154"/>
      <c r="MC81" s="145"/>
      <c r="MD81" s="117"/>
      <c r="ME81" s="211"/>
      <c r="MF81" s="210"/>
      <c r="MG81" s="148"/>
      <c r="MH81" s="148"/>
      <c r="MI81" s="265"/>
      <c r="MJ81" s="647"/>
      <c r="MK81" s="264"/>
      <c r="ML81" s="153"/>
      <c r="MM81" s="153"/>
      <c r="MN81" s="153"/>
      <c r="MO81" s="153"/>
      <c r="MP81" s="153"/>
      <c r="MQ81" s="153"/>
      <c r="MR81" s="153"/>
      <c r="MS81" s="99"/>
      <c r="MT81" s="99"/>
      <c r="MU81" s="99"/>
      <c r="MV81" s="99"/>
      <c r="MW81" s="99"/>
      <c r="MX81" s="99"/>
      <c r="MY81" s="153"/>
      <c r="MZ81" s="153"/>
      <c r="NA81" s="153"/>
      <c r="NB81" s="153"/>
      <c r="NC81" s="153"/>
      <c r="ND81" s="153"/>
      <c r="NE81" s="148"/>
      <c r="NF81" s="153"/>
      <c r="NG81" s="153"/>
      <c r="NH81" s="330" t="str">
        <f t="shared" si="592"/>
        <v>ks</v>
      </c>
      <c r="NI81" s="797">
        <f>RZ[[#This Row],[Počet ks (K)]]</f>
        <v>0</v>
      </c>
      <c r="NJ81" s="798">
        <f>RZ[[#This Row],[Hmotnost '[kg/ks'] (K)]]</f>
        <v>0</v>
      </c>
      <c r="NK81" s="148"/>
      <c r="NL81" s="145"/>
      <c r="NM81" s="632"/>
      <c r="NN81" s="148"/>
      <c r="NO81" s="154"/>
      <c r="NP81" s="153"/>
      <c r="NQ81" s="153"/>
      <c r="NR81" s="210"/>
      <c r="NS81" s="148"/>
      <c r="NT81" s="210"/>
      <c r="NU81" s="148"/>
      <c r="NV81" s="148"/>
      <c r="NW81" s="175"/>
    </row>
    <row r="82" spans="2:387" ht="15.95" customHeight="1" x14ac:dyDescent="0.35">
      <c r="B82" s="118" t="str">
        <f t="shared" si="476"/>
        <v/>
      </c>
      <c r="C8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2" s="262" t="str">
        <f t="shared" si="477"/>
        <v xml:space="preserve">    Čep - průměr 120 mm</v>
      </c>
      <c r="E82" s="120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Row],[Kód položek (P2)]]))))))))))</f>
        <v>STO2</v>
      </c>
      <c r="F82" s="791" t="str">
        <f t="shared" si="478"/>
        <v>N/A</v>
      </c>
      <c r="G82" s="792" t="str">
        <f t="shared" si="479"/>
        <v/>
      </c>
      <c r="H82" s="262" t="str">
        <f t="shared" si="480"/>
        <v/>
      </c>
      <c r="I82" s="123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HR '[MJHR'] (P0)]]))))))))))</f>
        <v>ks</v>
      </c>
      <c r="J82" s="123">
        <f t="shared" si="481"/>
        <v>4</v>
      </c>
      <c r="K82" s="793">
        <f>RZ[[#This Row],[Koeficient odhadu HR '[-'] (P1)]]</f>
        <v>1</v>
      </c>
      <c r="L82" s="124">
        <f ca="1">RZ[[#This Row],[Jednotková hmotnost s koef. '[kg/MJHR'] (P0)]]</f>
        <v>40.299999999999997</v>
      </c>
      <c r="M82" s="794">
        <f t="shared" ca="1" si="482"/>
        <v>0</v>
      </c>
      <c r="N82" s="125">
        <f t="shared" ca="1" si="483"/>
        <v>161.19999999999999</v>
      </c>
      <c r="O82" s="125">
        <f t="shared" ca="1" si="484"/>
        <v>0</v>
      </c>
      <c r="P82" s="126" t="str">
        <f t="shared" si="485"/>
        <v/>
      </c>
      <c r="Q82" s="795">
        <f ca="1">RZ[[#This Row],[Počet MJHR v rozpadu (P0)]]</f>
        <v>4</v>
      </c>
      <c r="R82" s="439" t="str">
        <f t="shared" si="486"/>
        <v/>
      </c>
      <c r="S82" s="129" t="str">
        <f t="shared" si="487"/>
        <v/>
      </c>
      <c r="T82" s="126" t="str">
        <f t="shared" si="488"/>
        <v/>
      </c>
      <c r="U82" s="126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CR (MJCR) (P0)]]))))))))))</f>
        <v>kg</v>
      </c>
      <c r="V82" s="575">
        <f t="shared" ca="1" si="489"/>
        <v>161.19999999999999</v>
      </c>
      <c r="W82" s="322">
        <f>RZ[[#This Row],[Koeficient odhadu CR '[-'] (P1)]]</f>
        <v>1</v>
      </c>
      <c r="X82" s="440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Row],[Jednotková cena bez DPH '[cena/MJCR'] (P1)]]*RZ[[#This Row],[Koeficient odhadu CR '[-']]]))))))))))</f>
        <v>115</v>
      </c>
      <c r="Y82" s="440">
        <f t="shared" ca="1" si="490"/>
        <v>0</v>
      </c>
      <c r="Z82" s="142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VLOOKUP(IP82,$BR$7:$BS$11,2,FALSE)))))))))))</f>
        <v>CZK</v>
      </c>
      <c r="AA82" s="909">
        <f t="shared" ca="1" si="491"/>
        <v>161.19999999999999</v>
      </c>
      <c r="AB82" s="910">
        <f ca="1">RZ[[#This Row],[Kumulovaný koeficient v rozpadu (P0)]]</f>
        <v>1</v>
      </c>
      <c r="AC82" s="261"/>
      <c r="AD82" s="796">
        <f ca="1">RZ[[#This Row],[Jednotková cena bez DPH '[cena/MJCR'] s koef. (P0)]]/RZ[[#This Row],[Koeficient odhadu CR '[-']]]*RZ[[#This Row],[Kumulovaný koeficient odhadu CR  '[-']]]</f>
        <v>115</v>
      </c>
      <c r="AE82" s="796">
        <f t="shared" ca="1" si="492"/>
        <v>18538</v>
      </c>
      <c r="AF82" s="796">
        <f ca="1">-IF(ISNUMBER(AA82),RZ[[#This Row],[Celková cena bez DPH (1)]]-RZ[[#This Row],[Jednotková cena bez DPH '[cena/MJCR'] bez koef. (P0)]]*AA82,0)</f>
        <v>0</v>
      </c>
      <c r="AG8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2" s="261"/>
      <c r="AI82" s="796">
        <f t="shared" ca="1" si="493"/>
        <v>4.2592592592592595</v>
      </c>
      <c r="AJ82" s="796">
        <f t="shared" ca="1" si="494"/>
        <v>686.59259259259261</v>
      </c>
      <c r="AK82" s="796">
        <f t="shared" ca="1" si="495"/>
        <v>0</v>
      </c>
      <c r="AL82" s="753">
        <f ca="1">RZ[[#This Row],[Kilogramová cena bez DPH '[cena/kg'] (1)]]/$AK$13</f>
        <v>4.2592592592592595</v>
      </c>
      <c r="AM82" s="261"/>
      <c r="AN82" s="796">
        <f t="shared" ca="1" si="496"/>
        <v>5.5555555555555554</v>
      </c>
      <c r="AO82" s="796">
        <f t="shared" ca="1" si="497"/>
        <v>895.55555555555554</v>
      </c>
      <c r="AP82" s="796">
        <f t="shared" ca="1" si="498"/>
        <v>0</v>
      </c>
      <c r="AQ82" s="753">
        <f ca="1">RZ[[#This Row],[Kilogramová cena bez DPH '[cena/kg'] (1)]]/$AP$13</f>
        <v>5.5555555555555562</v>
      </c>
      <c r="AR82" s="261"/>
      <c r="AS82" s="796">
        <f t="shared" ca="1" si="499"/>
        <v>3.1455142231947484</v>
      </c>
      <c r="AT82" s="796">
        <f t="shared" ca="1" si="500"/>
        <v>507.05689277899342</v>
      </c>
      <c r="AU82" s="789">
        <f t="shared" ca="1" si="501"/>
        <v>0</v>
      </c>
      <c r="AV82" s="767">
        <f ca="1">RZ[[#This Row],[Kilogramová cena bez DPH '[cena/kg'] (1)]]/$AU$13</f>
        <v>3.1455142231947484</v>
      </c>
      <c r="AW82" s="165"/>
      <c r="AX82" s="911">
        <f t="shared" ca="1" si="502"/>
        <v>2</v>
      </c>
      <c r="AY82" s="111">
        <f t="shared" ca="1" si="503"/>
        <v>3</v>
      </c>
      <c r="AZ82" s="111">
        <f t="shared" ca="1" si="504"/>
        <v>9</v>
      </c>
      <c r="BA82" s="111">
        <f t="shared" ca="1" si="505"/>
        <v>0</v>
      </c>
      <c r="BB82" s="111">
        <f t="shared" ca="1" si="506"/>
        <v>0</v>
      </c>
      <c r="BC82" s="111">
        <f t="shared" ca="1" si="507"/>
        <v>0</v>
      </c>
      <c r="BD82" s="111">
        <f t="shared" ca="1" si="508"/>
        <v>0</v>
      </c>
      <c r="BE82" s="111">
        <f t="shared" ca="1" si="509"/>
        <v>0</v>
      </c>
      <c r="BF82" s="111">
        <f t="shared" ca="1" si="510"/>
        <v>0</v>
      </c>
      <c r="BG82" s="112">
        <f t="shared" ca="1" si="511"/>
        <v>0</v>
      </c>
      <c r="BH82" s="911">
        <f t="shared" si="512"/>
        <v>0</v>
      </c>
      <c r="BI82" s="111">
        <f t="shared" si="513"/>
        <v>0</v>
      </c>
      <c r="BJ82" s="111">
        <f t="shared" si="514"/>
        <v>1</v>
      </c>
      <c r="BK82" s="111">
        <f t="shared" si="515"/>
        <v>0</v>
      </c>
      <c r="BL82" s="111">
        <f t="shared" si="516"/>
        <v>0</v>
      </c>
      <c r="BM82" s="111">
        <f t="shared" si="517"/>
        <v>0</v>
      </c>
      <c r="BN82" s="111">
        <f t="shared" si="518"/>
        <v>0</v>
      </c>
      <c r="BO82" s="111">
        <f t="shared" si="519"/>
        <v>0</v>
      </c>
      <c r="BP82" s="111">
        <f t="shared" si="520"/>
        <v>0</v>
      </c>
      <c r="BQ82" s="112">
        <f t="shared" si="521"/>
        <v>0</v>
      </c>
      <c r="BR82" s="132">
        <f ca="1">IF(OFFSET(AY82,1,0,1,1)&lt;&gt;0,RZ[[#This Row],[Koeficient odhadu HR '[-'] (P1)]]*$BH82*SUMIFS(RZ[Úroveň 2 s koef. (P2)],RZ[0],AX82),RZ[[#This Row],[Koeficient odhadu HR '[-'] (P1)]]*$BH82*$IG82)</f>
        <v>0</v>
      </c>
      <c r="BS82" s="186">
        <f ca="1">IF(OFFSET(AY82,1,0,1,1)&lt;&gt;0,$BH82*SUMIFS(RZ[Úroveň 2 bez koef. (P2)],RZ[0],AX82),$BH82*$IG82)</f>
        <v>0</v>
      </c>
      <c r="BT82" s="138">
        <f ca="1">RZ[[#This Row],[Úroveň 2 s koef. (P2a)]]*RZ[[#This Row],[Počet MJHR (P0)]]</f>
        <v>0</v>
      </c>
      <c r="BU82" s="138">
        <f ca="1">RZ[[#This Row],[Úroveň 2 bez koef. (P2a)]]*RZ[[#This Row],[Počet MJHR (P0)]]</f>
        <v>0</v>
      </c>
      <c r="BV82" s="138">
        <f ca="1">IF(OFFSET(AZ82,1,0,1,1)&lt;&gt;0,RZ[[#This Row],[Koeficient odhadu HR '[-'] (P1)]]*$BI82*SUMIFS(RZ[Úroveň 3 s koef. (P2)],RZ[0],AX82,RZ[Úroveň 2 (P0)],AY82),RZ[[#This Row],[Koeficient odhadu HR '[-'] (P1)]]*$BI82*$IG82)</f>
        <v>0</v>
      </c>
      <c r="BW82" s="138">
        <f ca="1">IF(OFFSET(AZ82,1,0,1,1)&lt;&gt;0,$BI82*SUMIFS(RZ[Úroveň 3 bez koef. (P2)],RZ[0],AX82,RZ[Úroveň 2 (P0)],AY82),$BI82*$IG82)</f>
        <v>0</v>
      </c>
      <c r="BX82" s="132">
        <f ca="1">RZ[[#This Row],[Úroveň 3 s koef. (P2a)]]*RZ[[#This Row],[Počet MJHR (P0)]]</f>
        <v>161.19999999999999</v>
      </c>
      <c r="BY82" s="132">
        <f ca="1">RZ[Úroveň 3 bez koef. (P2a)]*RZ[[#This Row],[Počet MJHR (P0)]]</f>
        <v>161.19999999999999</v>
      </c>
      <c r="BZ82" s="132">
        <f ca="1">IF(OFFSET(BA82,1,0,1,1)&lt;&gt;0,RZ[[#This Row],[Koeficient odhadu HR '[-'] (P1)]]*$BJ82*SUMIFS(RZ[Úroveň 4 s koef. (P2)],RZ[0],AX82,RZ[Úroveň 2 (P0)],AY82,RZ[Úroveň 3 (P0)],AZ82),RZ[[#This Row],[Koeficient odhadu HR '[-'] (P1)]]*$BJ82*$IG82)</f>
        <v>40.299999999999997</v>
      </c>
      <c r="CA82" s="132">
        <f ca="1">IF(OFFSET(BA82,1,0,1,1)&lt;&gt;0,$BJ82*SUMIFS(RZ[Úroveň 4 bez koef. (P2)],RZ[0],AX82,RZ[Úroveň 2 (P0)],AY82,RZ[Úroveň 3 (P0)],AZ82),$BJ82*$IG82)</f>
        <v>40.299999999999997</v>
      </c>
      <c r="CB82" s="138">
        <f ca="1">RZ[[#This Row],[Úroveň 4 s koef. (P2a)]]*RZ[[#This Row],[Počet MJHR (P0)]]</f>
        <v>0</v>
      </c>
      <c r="CC82" s="138">
        <f ca="1">RZ[Úroveň 4 bez koef. (P2a)]*RZ[[#This Row],[Počet MJHR (P0)]]</f>
        <v>0</v>
      </c>
      <c r="CD82" s="138">
        <f ca="1">IF(OFFSET(BB82,1,0,1,1)&lt;&gt;0,RZ[[#This Row],[Koeficient odhadu HR '[-'] (P1)]]*$BK82*SUMIFS(RZ[Úroveň 5 s koef. (P2)],RZ[0],AX82,RZ[Úroveň 2 (P0)],AY82,RZ[Úroveň 3 (P0)],AZ82,RZ[Úroveň 4 (P0)],BA82),RZ[[#This Row],[Koeficient odhadu HR '[-'] (P1)]]*$BK82*$IG82)</f>
        <v>0</v>
      </c>
      <c r="CE82" s="138">
        <f ca="1">IF(OFFSET(BB82,1,0,1,1)&lt;&gt;0,$BK82*SUMIFS(RZ[Úroveň 5 bez koef. (P2)],RZ[0],AX82,RZ[Úroveň 2 (P0)],AY82,RZ[Úroveň 3 (P0)],AZ82,RZ[Úroveň 4 (P0)],BA82),$BK82*$IG82)</f>
        <v>0</v>
      </c>
      <c r="CF82" s="132">
        <f ca="1">RZ[[#This Row],[Úroveň 5 s koef. (P2a)]]*RZ[[#This Row],[Počet MJHR (P0)]]</f>
        <v>0</v>
      </c>
      <c r="CG82" s="132">
        <f ca="1">RZ[Úroveň 5 bez koef. (P2a)]*RZ[[#This Row],[Počet MJHR (P0)]]</f>
        <v>0</v>
      </c>
      <c r="CH82" s="132">
        <f ca="1">IF(OFFSET(BC82,1,0,1,1)&lt;&gt;0,RZ[[#This Row],[Koeficient odhadu HR '[-'] (P1)]]*$BL82*SUMIFS(RZ[Úroveň 6 s koef. (P2)],RZ[0],AX82,RZ[Úroveň 2 (P0)],AY82,RZ[Úroveň 3 (P0)],AZ82,RZ[Úroveň 4 (P0)],BA82,RZ[Úroveň 5 (P0)],BB82),RZ[[#This Row],[Koeficient odhadu HR '[-'] (P1)]]*$BL82*$IG82)</f>
        <v>0</v>
      </c>
      <c r="CI82" s="132">
        <f ca="1">IF(OFFSET(BC82,1,0,1,1)&lt;&gt;0,$BL82*SUMIFS(RZ[Úroveň 6 bez koef. (P2)],RZ[0],AX82,RZ[Úroveň 2 (P0)],AY82,RZ[Úroveň 3 (P0)],AZ82,RZ[Úroveň 4 (P0)],BA82,RZ[Úroveň 5 (P0)],BB82),$BL82*$IG82)</f>
        <v>0</v>
      </c>
      <c r="CJ82" s="138">
        <f ca="1">RZ[[#This Row],[Úroveň 6 s koef. (P2a)]]*RZ[[#This Row],[Počet MJHR (P0)]]</f>
        <v>0</v>
      </c>
      <c r="CK82" s="138">
        <f ca="1">RZ[Úroveň 6 bez koef. (P2a)]*RZ[[#This Row],[Počet MJHR (P0)]]</f>
        <v>0</v>
      </c>
      <c r="CL82" s="138">
        <f ca="1">IF(OFFSET(BD82,1,0,1,1)&lt;&gt;0,RZ[[#This Row],[Koeficient odhadu HR '[-'] (P1)]]*$BM82*SUMIFS(RZ[Úroveň 7 s koef. (P2)],RZ[0],AX82,RZ[Úroveň 2 (P0)],AY82,RZ[Úroveň 3 (P0)],AZ82,RZ[Úroveň 4 (P0)],BA82,RZ[Úroveň 5 (P0)],BB82,RZ[Úroveň 6 (P0)],BC82),RZ[[#This Row],[Koeficient odhadu HR '[-'] (P1)]]*$BM82*$IG82)</f>
        <v>0</v>
      </c>
      <c r="CM82" s="138">
        <f ca="1">IF(OFFSET(BD82,1,0,1,1)&lt;&gt;0,$BM82*SUMIFS(RZ[Úroveň 7 bez koef. (P2)],RZ[0],AX82,RZ[Úroveň 2 (P0)],AY82,RZ[Úroveň 3 (P0)],AZ82,RZ[Úroveň 4 (P0)],BA82,RZ[Úroveň 5 (P0)],BB82,RZ[Úroveň 6 (P0)],BC82),$BM82*$IG82)</f>
        <v>0</v>
      </c>
      <c r="CN82" s="132">
        <f ca="1">RZ[[#This Row],[Úroveň 7 s koef. (P2a)]]*RZ[[#This Row],[Počet MJHR (P0)]]</f>
        <v>0</v>
      </c>
      <c r="CO82" s="132">
        <f ca="1">RZ[Úroveň 7 bez koef. (P2a)]*RZ[[#This Row],[Počet MJHR (P0)]]</f>
        <v>0</v>
      </c>
      <c r="CP82" s="132">
        <f ca="1">IF(OFFSET(BE82,1,0,1,1)&lt;&gt;0,RZ[[#This Row],[Koeficient odhadu HR '[-'] (P1)]]*$BN82*SUMIFS(RZ[Úroveň 8 s koef. (P2)],RZ[0],AX82,RZ[Úroveň 2 (P0)],AY82,RZ[Úroveň 3 (P0)],AZ82,RZ[Úroveň 4 (P0)],BA82,RZ[Úroveň 5 (P0)],BB82,RZ[Úroveň 6 (P0)],BC82,RZ[Úroveň 7 (P0)],BD82),RZ[[#This Row],[Koeficient odhadu HR '[-'] (P1)]]*$BN82*$IG82)</f>
        <v>0</v>
      </c>
      <c r="CQ82" s="132">
        <f ca="1">IF(OFFSET(BE82,1,0,1,1)&lt;&gt;0,$BN82*SUMIFS(RZ[Úroveň 8 bez koef. (P2)],RZ[0],AX82,RZ[Úroveň 2 (P0)],AY82,RZ[Úroveň 3 (P0)],AZ82,RZ[Úroveň 4 (P0)],BA82,RZ[Úroveň 5 (P0)],BB82,RZ[Úroveň 6 (P0)],BC82,RZ[Úroveň 7 (P0)],BD82),$BN82*$IG82)</f>
        <v>0</v>
      </c>
      <c r="CR82" s="138">
        <f ca="1">RZ[[#This Row],[Úroveň 8 s koef. (P2a)]]*RZ[[#This Row],[Počet MJHR (P0)]]</f>
        <v>0</v>
      </c>
      <c r="CS82" s="138">
        <f ca="1">RZ[Úroveň 8 bez koef. (P2a)]*RZ[[#This Row],[Počet MJHR (P0)]]</f>
        <v>0</v>
      </c>
      <c r="CT82" s="138">
        <f ca="1">IF(OFFSET(BF82,1,0,1,1)&lt;&gt;0,RZ[[#This Row],[Koeficient odhadu HR '[-'] (P1)]]*$BO82*SUMIFS(RZ[Úroveň 9 s koef. (P2)],RZ[0],AX82,RZ[Úroveň 2 (P0)],AY82,RZ[Úroveň 3 (P0)],AZ82,RZ[Úroveň 4 (P0)],BA82,RZ[Úroveň 5 (P0)],BB82,RZ[Úroveň 6 (P0)],BC82,RZ[Úroveň 7 (P0)],BD82,RZ[Úroveň 8 (P0)],BE82),RZ[[#This Row],[Koeficient odhadu HR '[-'] (P1)]]*$BO82*$IG82)</f>
        <v>0</v>
      </c>
      <c r="CU82" s="138">
        <f ca="1">IF(OFFSET(BF82,1,0,1,1)&lt;&gt;0,$BO82*SUMIFS(RZ[Úroveň 9 bez koef. (P2)],RZ[0],AX82,RZ[Úroveň 2 (P0)],AY82,RZ[Úroveň 3 (P0)],AZ82,RZ[Úroveň 4 (P0)],BA82,RZ[Úroveň 5 (P0)],BB82,RZ[Úroveň 6 (P0)],BC82,RZ[Úroveň 7 (P0)],BD82,RZ[Úroveň 8 (P0)],BE82),$BO82*$IG82)</f>
        <v>0</v>
      </c>
      <c r="CV82" s="132">
        <f ca="1">RZ[[#This Row],[Úroveň 9 s koef. (P2a)]]*RZ[[#This Row],[Počet MJHR (P0)]]</f>
        <v>0</v>
      </c>
      <c r="CW82" s="132">
        <f ca="1">RZ[Úroveň 9 bez koef. (P2a)]*RZ[[#This Row],[Počet MJHR (P0)]]</f>
        <v>0</v>
      </c>
      <c r="CX82" s="132">
        <f ca="1">IF(OFFSET(BG82,1,0,1,1)&lt;&gt;0,RZ[[#This Row],[Koeficient odhadu HR '[-'] (P1)]]*$BP82*SUMIFS(RZ[Úroveň 10 s koef. (P2)],RZ[0],AX82,RZ[Úroveň 2 (P0)],AY82,RZ[Úroveň 3 (P0)],AZ82,RZ[Úroveň 4 (P0)],BA82,RZ[Úroveň 5 (P0)],BB82,RZ[Úroveň 6 (P0)],BC82,RZ[Úroveň 7 (P0)],BD82,RZ[Úroveň 8 (P0)],BE82,RZ[Úroveň 9 (P0)],BF82),RZ[[#This Row],[Koeficient odhadu HR '[-'] (P1)]]*$BP82*$IG82)</f>
        <v>0</v>
      </c>
      <c r="CY82" s="132">
        <f ca="1">IF(OFFSET(BG82,1,0,1,1)&lt;&gt;0,$BP82*SUMIFS(RZ[Úroveň 10 bez koef. (P2)],RZ[0],AX82,RZ[Úroveň 2 (P0)],AY82,RZ[Úroveň 3 (P0)],AZ82,RZ[Úroveň 4 (P0)],BA82,RZ[Úroveň 5 (P0)],BB82,RZ[Úroveň 6 (P0)],BC82,RZ[Úroveň 7 (P0)],BD82,RZ[Úroveň 8 (P0)],BE82,RZ[Úroveň 9 (P0)],BF82),$BP82*$IG82)</f>
        <v>0</v>
      </c>
      <c r="CZ82" s="138">
        <f>RZ[[#This Row],[Úroveň 10 s koef. (P2a)]]*RZ[[#This Row],[Počet MJHR (P0)]]</f>
        <v>0</v>
      </c>
      <c r="DA82" s="138">
        <f>RZ[Úroveň 10 bez koef. (P2a)]*RZ[[#This Row],[Počet MJHR (P0)]]</f>
        <v>0</v>
      </c>
      <c r="DB82" s="138">
        <f>RZ[[#This Row],[Koeficient odhadu HR '[-'] (P1)]]*$BQ82*IG82</f>
        <v>0</v>
      </c>
      <c r="DC82" s="231">
        <f t="shared" si="522"/>
        <v>0</v>
      </c>
      <c r="DD82" s="241">
        <f t="shared" ca="1" si="523"/>
        <v>40.299999999999997</v>
      </c>
      <c r="DE82" s="229">
        <f t="shared" ca="1" si="524"/>
        <v>40.299999999999997</v>
      </c>
      <c r="DF82" s="912">
        <f t="shared" si="525"/>
        <v>0</v>
      </c>
      <c r="DG82" s="913">
        <f t="shared" si="526"/>
        <v>0</v>
      </c>
      <c r="DH82" s="913">
        <f t="shared" si="527"/>
        <v>4</v>
      </c>
      <c r="DI82" s="913">
        <f t="shared" si="528"/>
        <v>0</v>
      </c>
      <c r="DJ82" s="913">
        <f t="shared" si="529"/>
        <v>0</v>
      </c>
      <c r="DK82" s="913">
        <f t="shared" si="530"/>
        <v>0</v>
      </c>
      <c r="DL82" s="913">
        <f t="shared" si="531"/>
        <v>0</v>
      </c>
      <c r="DM82" s="913">
        <f t="shared" si="532"/>
        <v>0</v>
      </c>
      <c r="DN82" s="913">
        <f t="shared" si="533"/>
        <v>0</v>
      </c>
      <c r="DO82" s="913">
        <f t="shared" si="534"/>
        <v>0</v>
      </c>
      <c r="DP82" s="914">
        <f ca="1">SUMIFS(RZ[Úroveň 1 (P4)],RZ[0],AX82)</f>
        <v>1</v>
      </c>
      <c r="DQ82" s="914">
        <f ca="1">SUMIFS(RZ[Úroveň 2 (P4)],RZ[0],AX82,RZ[Úroveň 2 (P0)],AY82)</f>
        <v>1</v>
      </c>
      <c r="DR82" s="914">
        <f ca="1">SUMIFS(RZ[Úroveň 3 (P4)],RZ[0],AX82,RZ[Úroveň 2 (P0)],AY82,RZ[Úroveň 3 (P0)],AZ82)</f>
        <v>4</v>
      </c>
      <c r="DS82" s="914">
        <f ca="1">SUMIFS(RZ[Úroveň 4 (P4)],RZ[0],AX82,RZ[Úroveň 2 (P0)],AY82,RZ[Úroveň 3 (P0)],AZ82,RZ[Úroveň 4 (P0)],BA82)</f>
        <v>0</v>
      </c>
      <c r="DT82" s="914">
        <f ca="1">SUMIFS(RZ[Úroveň 5 (P4)],RZ[0],AX82,RZ[Úroveň 2 (P0)],AY82,RZ[Úroveň 3 (P0)],AZ82,RZ[Úroveň 4 (P0)],BA82,RZ[Úroveň 5 (P0)],BB82)</f>
        <v>0</v>
      </c>
      <c r="DU82" s="914">
        <f ca="1">SUMIFS(RZ[Úroveň 6 (P4)],RZ[0],AX82,RZ[Úroveň 2 (P0)],AY82,RZ[Úroveň 3 (P0)],AZ82,RZ[Úroveň 4 (P0)],BA82,RZ[Úroveň 5 (P0)],BB82,RZ[Úroveň 6 (P0)],BC82)</f>
        <v>0</v>
      </c>
      <c r="DV82" s="914">
        <f ca="1">SUMIFS(RZ[Úroveň 7 (P4)],RZ[0],AX82,RZ[Úroveň 2 (P0)],AY82,RZ[Úroveň 3 (P0)],AZ82,RZ[Úroveň 4 (P0)],BA82,RZ[Úroveň 5 (P0)],BB82,RZ[Úroveň 6 (P0)],BC82,RZ[Úroveň 7 (P0)],BD82)</f>
        <v>0</v>
      </c>
      <c r="DW82" s="914">
        <f ca="1">SUMIFS(RZ[Úroveň 8 (P4)],RZ[0],AX82,RZ[Úroveň 2 (P0)],AY82,RZ[Úroveň 3 (P0)],AZ82,RZ[Úroveň 4 (P0)],BA82,RZ[Úroveň 5 (P0)],BB82,RZ[Úroveň 6 (P0)],BC82,RZ[Úroveň 7 (P0)],BD82,RZ[Úroveň 8 (P0)],BE82)</f>
        <v>0</v>
      </c>
      <c r="DX82" s="914">
        <f ca="1">SUMIFS(RZ[Úroveň 9 (P4)],RZ[0],AX82,RZ[Úroveň 2 (P0)],AY82,RZ[Úroveň 3 (P0)],AZ82,RZ[Úroveň 4 (P0)],BA82,RZ[Úroveň 5 (P0)],BB82,RZ[Úroveň 6 (P0)],BC82,RZ[Úroveň 7 (P0)],BD82,RZ[Úroveň 8 (P0)],BE82,RZ[Úroveň 9 (P0)],BF82)</f>
        <v>0</v>
      </c>
      <c r="DY82" s="914">
        <f ca="1">SUMIFS(RZ[Úroveň 10 (P4)],RZ[0],AX82,RZ[Úroveň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DZ82" s="915">
        <f t="shared" ca="1" si="535"/>
        <v>4</v>
      </c>
      <c r="EA82" s="916">
        <f ca="1">RZ[[#This Row],[Jednotková hmotnost bez koef. '[kg/MJHR'] (P0)]]*RZ[[#This Row],[Počet MJHR v rozpadu (P0)]]</f>
        <v>161.19999999999999</v>
      </c>
      <c r="EB82" s="917">
        <f ca="1">IF(OFFSET(AY82,1,0,1,1)&lt;&gt;0,RZ[[#This Row],[Koeficient odhadu CR '[-'] (P1)]]*$BH82*SUMIFS(RZ[Úroveň 2 s koef. (P3)],RZ[0],AX82),RZ[[#This Row],[Koeficient odhadu CR '[-'] (P1)]]*$BH82*$IQ82)</f>
        <v>0</v>
      </c>
      <c r="EC82" s="191">
        <f ca="1">IF(OFFSET(AY82,1,0,1,1)&lt;&gt;0,$BH82*SUMIFS(RZ[Úroveň 2 bez koef. (P3)],RZ[0],AX82),$BH82*$IQ82)</f>
        <v>0</v>
      </c>
      <c r="ED82" s="140">
        <f ca="1">RZ[[#This Row],[Úroveň 2 s koef. (P3a)]]*RZ[[#This Row],[Počet MJCR (P0) pro "kg"]]</f>
        <v>0</v>
      </c>
      <c r="EE82" s="140">
        <f ca="1">RZ[Úroveň 2 bez koef. (P3a)]*RZ[[#This Row],[Počet MJCR (P0) pro "kg"]]</f>
        <v>0</v>
      </c>
      <c r="EF82" s="140">
        <f ca="1">IF(OFFSET(AZ82,1,0,1,1)&lt;&gt;0,RZ[[#This Row],[Koeficient odhadu CR '[-'] (P1)]]*$BI82*SUMIFS(RZ[Úroveň 3 s koef. (P3)],RZ[0],AX82,RZ[Úroveň 2 (P0)],AY82),RZ[[#This Row],[Koeficient odhadu CR '[-'] (P1)]]*$BI82*$IQ82)</f>
        <v>0</v>
      </c>
      <c r="EG82" s="140">
        <f ca="1">IF(OFFSET(AZ82,1,0,1,1)&lt;&gt;0,$BI82*SUMIFS(RZ[Úroveň 3 bez koef. (P3)],RZ[0],AX82,RZ[Úroveň 2 (P0)],AY82),$BI82*$IQ82)</f>
        <v>0</v>
      </c>
      <c r="EH82" s="135">
        <f ca="1">RZ[[#This Row],[Úroveň 3 s koef. (P3a)]]*RZ[[#This Row],[Počet MJCR (P0) pro "kg"]]</f>
        <v>18538</v>
      </c>
      <c r="EI82" s="135">
        <f ca="1">RZ[Úroveň 3 bez koef. (P3a)]*RZ[[#This Row],[Počet MJCR (P0) pro "kg"]]</f>
        <v>18538</v>
      </c>
      <c r="EJ82" s="135">
        <f ca="1">IF(OFFSET(BA82,1,0,1,1)&lt;&gt;0,RZ[[#This Row],[Koeficient odhadu CR '[-'] (P1)]]*$BJ82*SUMIFS(RZ[Úroveň 4 s koef. (P3)],RZ[0],AX82,RZ[Úroveň 2 (P0)],AY82,RZ[Úroveň 3 (P0)],AZ82),RZ[[#This Row],[Koeficient odhadu CR '[-'] (P1)]]*$BJ82*$IQ82)</f>
        <v>115</v>
      </c>
      <c r="EK82" s="135">
        <f ca="1">IF(OFFSET(BA82,1,0,1,1)&lt;&gt;0,$BJ82*SUMIFS(RZ[Úroveň 4 bez koef. (P3)],RZ[0],AX82,RZ[Úroveň 2 (P0)],AY82,RZ[Úroveň 3 (P0)],AZ82),$BJ82*$IQ82)</f>
        <v>115</v>
      </c>
      <c r="EL82" s="140">
        <f ca="1">RZ[[#This Row],[Úroveň 4 s koef. (P3a)]]*RZ[[#This Row],[Počet MJCR (P0) pro "kg"]]</f>
        <v>0</v>
      </c>
      <c r="EM82" s="140">
        <f ca="1">RZ[Úroveň 4 bez koef. (P3a)]*RZ[[#This Row],[Počet MJCR (P0) pro "kg"]]</f>
        <v>0</v>
      </c>
      <c r="EN82" s="140">
        <f ca="1">IF(OFFSET(BB82,1,0,1,1)&lt;&gt;0,RZ[[#This Row],[Koeficient odhadu CR '[-'] (P1)]]*$BK82*SUMIFS(RZ[Úroveň 5 s koef. (P3)],RZ[0],AX82,RZ[Úroveň 2 (P0)],AY82,RZ[Úroveň 3 (P0)],AZ82,RZ[Úroveň 4 (P0)],BA82),RZ[[#This Row],[Koeficient odhadu CR '[-'] (P1)]]*$BK82*$IQ82)</f>
        <v>0</v>
      </c>
      <c r="EO82" s="140">
        <f ca="1">IF(OFFSET(BB82,1,0,1,1)&lt;&gt;0,$BK82*SUMIFS(RZ[Úroveň 5 bez koef. (P3)],RZ[0],AX82,RZ[Úroveň 2 (P0)],AY82,RZ[Úroveň 3 (P0)],AZ82,RZ[Úroveň 4 (P0)],BA82),$BK82*$IQ82)</f>
        <v>0</v>
      </c>
      <c r="EP82" s="135">
        <f ca="1">RZ[[#This Row],[Úroveň 5 s koef. (P3a)]]*RZ[[#This Row],[Počet MJCR (P0) pro "kg"]]</f>
        <v>0</v>
      </c>
      <c r="EQ82" s="135">
        <f ca="1">RZ[Úroveň 5 bez koef. (P3a)]*RZ[[#This Row],[Počet MJCR (P0) pro "kg"]]</f>
        <v>0</v>
      </c>
      <c r="ER82" s="135">
        <f ca="1">IF(OFFSET(BC82,1,0,1,1)&lt;&gt;0,RZ[[#This Row],[Koeficient odhadu CR '[-'] (P1)]]*$BL82*SUMIFS(RZ[Úroveň 6 s koef. (P3)],RZ[0],AX82,RZ[Úroveň 2 (P0)],AY82,RZ[Úroveň 3 (P0)],AZ82,RZ[Úroveň 4 (P0)],BA82,RZ[Úroveň 5 (P0)],BB82),RZ[[#This Row],[Koeficient odhadu CR '[-'] (P1)]]*$BL82*$IQ82)</f>
        <v>0</v>
      </c>
      <c r="ES82" s="135">
        <f ca="1">IF(OFFSET(BC82,1,0,1,1)&lt;&gt;0,$BL82*SUMIFS(RZ[Úroveň 6 bez koef. (P3)],RZ[0],AX82,RZ[Úroveň 2 (P0)],AY82,RZ[Úroveň 3 (P0)],AZ82,RZ[Úroveň 4 (P0)],BA82,RZ[Úroveň 5 (P0)],BB82),$BL82*$IQ82)</f>
        <v>0</v>
      </c>
      <c r="ET82" s="140">
        <f ca="1">RZ[[#This Row],[Úroveň 6 s koef. (P3a)]]*RZ[[#This Row],[Počet MJCR (P0) pro "kg"]]</f>
        <v>0</v>
      </c>
      <c r="EU82" s="140">
        <f ca="1">RZ[Úroveň 6 bez koef. (P3a)]*RZ[[#This Row],[Počet MJCR (P0) pro "kg"]]</f>
        <v>0</v>
      </c>
      <c r="EV82" s="140">
        <f ca="1">IF(OFFSET(BD82,1,0,1,1)&lt;&gt;0,RZ[[#This Row],[Koeficient odhadu CR '[-'] (P1)]]*$BM82*SUMIFS(RZ[Úroveň 7 s koef. (P3)],RZ[0],AX82,RZ[Úroveň 2 (P0)],AY82,RZ[Úroveň 3 (P0)],AZ82,RZ[Úroveň 4 (P0)],BA82,RZ[Úroveň 5 (P0)],BB82,RZ[Úroveň 6 (P0)],BC82),RZ[[#This Row],[Koeficient odhadu CR '[-'] (P1)]]*$BM82*$IQ82)</f>
        <v>0</v>
      </c>
      <c r="EW82" s="140">
        <f ca="1">IF(OFFSET(BD82,1,0,1,1)&lt;&gt;0,$BM82*SUMIFS(RZ[Úroveň 7 bez koef. (P3)],RZ[0],AX82,RZ[Úroveň 2 (P0)],AY82,RZ[Úroveň 3 (P0)],AZ82,RZ[Úroveň 4 (P0)],BA82,RZ[Úroveň 5 (P0)],BB82,RZ[Úroveň 6 (P0)],BC82),$BM82*$IQ82)</f>
        <v>0</v>
      </c>
      <c r="EX82" s="135">
        <f ca="1">RZ[[#This Row],[Úroveň 7 s koef. (P3a)]]*RZ[[#This Row],[Počet MJCR (P0) pro "kg"]]</f>
        <v>0</v>
      </c>
      <c r="EY82" s="135">
        <f ca="1">RZ[Úroveň 7 bez koef. (P3a)]*RZ[[#This Row],[Počet MJCR (P0) pro "kg"]]</f>
        <v>0</v>
      </c>
      <c r="EZ82" s="135">
        <f ca="1">IF(OFFSET(BE82,1,0,1,1)&lt;&gt;0,RZ[[#This Row],[Koeficient odhadu CR '[-'] (P1)]]*$BN82*SUMIFS(RZ[Úroveň 8 s koef. (P3)],RZ[0],AX82,RZ[Úroveň 2 (P0)],AY82,RZ[Úroveň 3 (P0)],AZ82,RZ[Úroveň 4 (P0)],BA82,RZ[Úroveň 5 (P0)],BB82,RZ[Úroveň 6 (P0)],BC82,RZ[Úroveň 7 (P0)],BD82),RZ[[#This Row],[Koeficient odhadu CR '[-'] (P1)]]*$BN82*$IQ82)</f>
        <v>0</v>
      </c>
      <c r="FA82" s="135">
        <f ca="1">IF(OFFSET(BE82,1,0,1,1)&lt;&gt;0,$BN82*SUMIFS(RZ[Úroveň 8 bez koef. (P3)],RZ[0],AX82,RZ[Úroveň 2 (P0)],AY82,RZ[Úroveň 3 (P0)],AZ82,RZ[Úroveň 4 (P0)],BA82,RZ[Úroveň 5 (P0)],BB82,RZ[Úroveň 6 (P0)],BC82,RZ[Úroveň 7 (P0)],BD82),$BN82*$IQ82)</f>
        <v>0</v>
      </c>
      <c r="FB82" s="140">
        <f ca="1">RZ[[#This Row],[Úroveň 8 s koef. (P3a)]]*RZ[[#This Row],[Počet MJCR (P0) pro "kg"]]</f>
        <v>0</v>
      </c>
      <c r="FC82" s="140">
        <f ca="1">RZ[Úroveň 8 bez koef. (P3a)]*RZ[[#This Row],[Počet MJCR (P0) pro "kg"]]</f>
        <v>0</v>
      </c>
      <c r="FD82" s="140">
        <f ca="1">IF(OFFSET(BF82,1,0,1,1)&lt;&gt;0,RZ[[#This Row],[Koeficient odhadu CR '[-'] (P1)]]*$BO82*SUMIFS(RZ[Úroveň 9 s koef. (P3)],RZ[0],AX82,RZ[Úroveň 2 (P0)],AY82,RZ[Úroveň 3 (P0)],AZ82,RZ[Úroveň 4 (P0)],BA82,RZ[Úroveň 5 (P0)],BB82,RZ[Úroveň 6 (P0)],BC82,RZ[Úroveň 7 (P0)],BD82,RZ[Úroveň 8 (P0)],BE82),RZ[[#This Row],[Koeficient odhadu CR '[-'] (P1)]]*$BO82*$IQ82)</f>
        <v>0</v>
      </c>
      <c r="FE82" s="140">
        <f ca="1">IF(OFFSET(BF82,1,0,1,1)&lt;&gt;0,$BO82*SUMIFS(RZ[Úroveň 9 bez koef. (P3)],RZ[0],AX82,RZ[Úroveň 2 (P0)],AY82,RZ[Úroveň 3 (P0)],AZ82,RZ[Úroveň 4 (P0)],BA82,RZ[Úroveň 5 (P0)],BB82,RZ[Úroveň 6 (P0)],BC82,RZ[Úroveň 7 (P0)],BD82,RZ[Úroveň 8 (P0)],BE82),$BO82*$IQ82)</f>
        <v>0</v>
      </c>
      <c r="FF82" s="135">
        <f ca="1">RZ[[#This Row],[Úroveň 9 s koef. (P3a)]]*RZ[[#This Row],[Počet MJCR (P0) pro "kg"]]</f>
        <v>0</v>
      </c>
      <c r="FG82" s="135">
        <f ca="1">RZ[Úroveň 9 bez koef. (P3a)]*RZ[[#This Row],[Počet MJCR (P0) pro "kg"]]</f>
        <v>0</v>
      </c>
      <c r="FH82" s="135">
        <f ca="1">IF(OFFSET(BG82,1,0,1,1)&lt;&gt;0,RZ[[#This Row],[Koeficient odhadu CR '[-'] (P1)]]*$BP82*SUMIFS(RZ[Úroveň 10 s koef. (P3)],RZ[0],AX82,RZ[Úroveň 2 (P0)],AY82,RZ[Úroveň 3 (P0)],AZ82,RZ[Úroveň 4 (P0)],BA82,RZ[Úroveň 5 (P0)],BB82,RZ[Úroveň 6 (P0)],BC82,RZ[Úroveň 7 (P0)],BD82,RZ[Úroveň 8 (P0)],BE82,RZ[Úroveň 9 (P0)],BF82),RZ[[#This Row],[Koeficient odhadu CR '[-'] (P1)]]*$BP82*$IQ82)</f>
        <v>0</v>
      </c>
      <c r="FI82" s="135">
        <f ca="1">IF(OFFSET(BG82,1,0,1,1)&lt;&gt;0,$BP82*SUMIFS(RZ[Úroveň 10 bez koef. (P3)],RZ[0],AX82,RZ[Úroveň 2 (P0)],AY82,RZ[Úroveň 3 (P0)],AZ82,RZ[Úroveň 4 (P0)],BA82,RZ[Úroveň 5 (P0)],BB82,RZ[Úroveň 6 (P0)],BC82,RZ[Úroveň 7 (P0)],BD82,RZ[Úroveň 8 (P0)],BE82,RZ[Úroveň 9 (P0)],BF82),$BP82*$IQ82)</f>
        <v>0</v>
      </c>
      <c r="FJ82" s="140">
        <f ca="1">RZ[[#This Row],[Úroveň 10 s koef. (P3a)]]*RZ[[#This Row],[Počet MJCR (P0) pro "kg"]]</f>
        <v>0</v>
      </c>
      <c r="FK82" s="140">
        <f ca="1">RZ[Úroveň 10 bez koef. (P3a)]*RZ[[#This Row],[Počet MJCR (P0) pro "kg"]]</f>
        <v>0</v>
      </c>
      <c r="FL82" s="140">
        <f ca="1">RZ[[#This Row],[Koeficient odhadu CR '[-'] (P1)]]*$BQ82*IQ82</f>
        <v>0</v>
      </c>
      <c r="FM82" s="236">
        <f t="shared" ca="1" si="536"/>
        <v>0</v>
      </c>
      <c r="FN82" s="194">
        <f t="shared" ca="1" si="537"/>
        <v>115</v>
      </c>
      <c r="FO82" s="238">
        <f t="shared" ca="1" si="538"/>
        <v>115</v>
      </c>
      <c r="FP82" s="135">
        <f t="shared" ca="1" si="539"/>
        <v>0</v>
      </c>
      <c r="FQ82" s="135">
        <f t="shared" ca="1" si="540"/>
        <v>0</v>
      </c>
      <c r="FR82" s="135">
        <f t="shared" ca="1" si="541"/>
        <v>161.19999999999999</v>
      </c>
      <c r="FS82" s="135">
        <f t="shared" ca="1" si="542"/>
        <v>0</v>
      </c>
      <c r="FT82" s="135">
        <f t="shared" ca="1" si="543"/>
        <v>0</v>
      </c>
      <c r="FU82" s="135">
        <f t="shared" ca="1" si="544"/>
        <v>0</v>
      </c>
      <c r="FV82" s="135">
        <f t="shared" ca="1" si="545"/>
        <v>0</v>
      </c>
      <c r="FW82" s="135">
        <f t="shared" ca="1" si="546"/>
        <v>0</v>
      </c>
      <c r="FX82" s="135">
        <f t="shared" ca="1" si="547"/>
        <v>0</v>
      </c>
      <c r="FY82" s="135">
        <f t="shared" ca="1" si="548"/>
        <v>0</v>
      </c>
      <c r="FZ82" s="140">
        <f ca="1">SUMIFS(RZ[Úroveň 1 (P6)],RZ[0],AX82)</f>
        <v>1</v>
      </c>
      <c r="GA82" s="140">
        <f ca="1">SUMIFS(RZ[Úroveň 2 (P6)],RZ[0],AX82,RZ[Úroveň 2 (P0)],AY82)</f>
        <v>1</v>
      </c>
      <c r="GB82" s="140">
        <f ca="1">SUMIFS(RZ[Úroveň 3 (P6)],RZ[0],AX82,RZ[Úroveň 2 (P0)],AY82,RZ[Úroveň 3 (P0)],AZ82)</f>
        <v>161.19999999999999</v>
      </c>
      <c r="GC82" s="140">
        <f ca="1">SUMIFS(RZ[Úroveň 4 (P6)],RZ[0],AX82,RZ[Úroveň 2 (P0)],AY82,RZ[Úroveň 3 (P0)],AZ82,RZ[Úroveň 4 (P0)],BA82)</f>
        <v>0</v>
      </c>
      <c r="GD82" s="140">
        <f ca="1">SUMIFS(RZ[Úroveň 5 (P6)],RZ[0],AX82,RZ[Úroveň 2 (P0)],AY82,RZ[Úroveň 3 (P0)],AZ82,RZ[Úroveň 4 (P0)],BA82,RZ[Úroveň 5 (P0)],BB82)</f>
        <v>0</v>
      </c>
      <c r="GE82" s="140">
        <f ca="1">SUMIFS(RZ[Úroveň 6 (P6)],RZ[0],AX82,RZ[Úroveň 2 (P0)],AY82,RZ[Úroveň 3 (P0)],AZ82,RZ[Úroveň 4 (P0)],BA82,RZ[Úroveň 5 (P0)],BB82,RZ[Úroveň 6 (P0)],BC82)</f>
        <v>0</v>
      </c>
      <c r="GF82" s="140">
        <f ca="1">SUMIFS(RZ[Úroveň 7 (P6)],RZ[0],AX82,RZ[Úroveň 2 (P0)],AY82,RZ[Úroveň 3 (P0)],AZ82,RZ[Úroveň 4 (P0)],BA82,RZ[Úroveň 5 (P0)],BB82,RZ[Úroveň 6 (P0)],BC82,RZ[Úroveň 7 (P0)],BD82)</f>
        <v>0</v>
      </c>
      <c r="GG82" s="140">
        <f ca="1">SUMIFS(RZ[Úroveň 8 (P6)],RZ[0],AX82,RZ[Úroveň 2 (P0)],AY82,RZ[Úroveň 3 (P0)],AZ82,RZ[Úroveň 4 (P0)],BA82,RZ[Úroveň 5 (P0)],BB82,RZ[Úroveň 6 (P0)],BC82,RZ[Úroveň 7 (P0)],BD82,RZ[Úroveň 8 (P0)],BE82)</f>
        <v>0</v>
      </c>
      <c r="GH82" s="140">
        <f ca="1">SUMIFS(RZ[Úroveň 9 (P6)],RZ[0],AX82,RZ[Úroveň 2 (P0)],AY82,RZ[Úroveň 3 (P0)],AZ82,RZ[Úroveň 4 (P0)],BA82,RZ[Úroveň 5 (P0)],BB82,RZ[Úroveň 6 (P0)],BC82,RZ[Úroveň 7 (P0)],BD82,RZ[Úroveň 8 (P0)],BE82,RZ[Úroveň 9 (P0)],BF82)</f>
        <v>0</v>
      </c>
      <c r="GI82" s="140">
        <f ca="1">SUMIFS(RZ[Úroveň 10 (P6)],RZ[0],AX82,RZ[Úroveň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GJ82" s="918">
        <f t="shared" ca="1" si="549"/>
        <v>161.19999999999999</v>
      </c>
      <c r="GK82" s="808">
        <f t="shared" si="550"/>
        <v>0</v>
      </c>
      <c r="GL82" s="808">
        <f t="shared" si="551"/>
        <v>0</v>
      </c>
      <c r="GM82" s="808">
        <f t="shared" si="552"/>
        <v>1</v>
      </c>
      <c r="GN82" s="808">
        <f t="shared" si="553"/>
        <v>0</v>
      </c>
      <c r="GO82" s="808">
        <f t="shared" si="554"/>
        <v>0</v>
      </c>
      <c r="GP82" s="808">
        <f t="shared" si="555"/>
        <v>0</v>
      </c>
      <c r="GQ82" s="808">
        <f t="shared" si="556"/>
        <v>0</v>
      </c>
      <c r="GR82" s="808">
        <f t="shared" si="557"/>
        <v>0</v>
      </c>
      <c r="GS82" s="808">
        <f t="shared" si="558"/>
        <v>0</v>
      </c>
      <c r="GT82" s="808">
        <f t="shared" si="559"/>
        <v>0</v>
      </c>
      <c r="GU82" s="809">
        <f ca="1">SUMIFS(RZ[Sloupec1],RZ[0],AX82)</f>
        <v>1</v>
      </c>
      <c r="GV82" s="809">
        <f ca="1">SUMIFS(RZ[Sloupec2],RZ[0],AX82,RZ[Úroveň 2 (P0)],AY82)</f>
        <v>1</v>
      </c>
      <c r="GW82" s="809">
        <f ca="1">SUMIFS(RZ[Sloupec3],RZ[0],AX82,RZ[Úroveň 2 (P0)],AY82,RZ[Úroveň 3 (P0)],AZ82)</f>
        <v>1</v>
      </c>
      <c r="GX82" s="809">
        <f ca="1">SUMIFS(RZ[Sloupec4],RZ[0],AX82,RZ[Úroveň 2 (P0)],AY82,RZ[Úroveň 3 (P0)],AZ82,RZ[Úroveň 4 (P0)],BA82)</f>
        <v>0</v>
      </c>
      <c r="GY82" s="809">
        <f ca="1">SUMIFS(RZ[Sloupec5],RZ[0],AX82,RZ[Úroveň 2 (P0)],AY82,RZ[Úroveň 3 (P0)],AZ82,RZ[Úroveň 4 (P0)],BA82,RZ[Úroveň 5 (P0)],BB82)</f>
        <v>0</v>
      </c>
      <c r="GZ82" s="809">
        <f ca="1">SUMIFS(RZ[Sloupec6],RZ[0],AX82,RZ[Úroveň 2 (P0)],AY82,RZ[Úroveň 3 (P0)],AZ82,RZ[Úroveň 4 (P0)],BA82,RZ[Úroveň 5 (P0)],BB82,RZ[Úroveň 6 (P0)],BC82)</f>
        <v>0</v>
      </c>
      <c r="HA82" s="809">
        <f ca="1">SUMIFS(RZ[Sloupec62],RZ[0],AX82,RZ[Úroveň 2 (P0)],AY82,RZ[Úroveň 3 (P0)],AZ82,RZ[Úroveň 4 (P0)],BA82,RZ[Úroveň 5 (P0)],BB82,RZ[Úroveň 6 (P0)],BC82,RZ[Úroveň 7 (P0)],BD82)</f>
        <v>0</v>
      </c>
      <c r="HB82" s="809">
        <f ca="1">SUMIFS(RZ[Sloupec63],RZ[0],AX82,RZ[Úroveň 2 (P0)],AY82,RZ[Úroveň 3 (P0)],AZ82,RZ[Úroveň 4 (P0)],BA82,RZ[Úroveň 5 (P0)],BB82,RZ[Úroveň 6 (P0)],BC82,RZ[Úroveň 7 (P0)],BD82,RZ[Úroveň 8 (P0)],BE82)</f>
        <v>0</v>
      </c>
      <c r="HC82" s="809">
        <f ca="1">SUMIFS(RZ[Sloupec64],RZ[0],AX82,RZ[Úroveň 2 (P0)],AY82,RZ[Úroveň 3 (P0)],AZ82,RZ[Úroveň 4 (P0)],BA82,RZ[Úroveň 5 (P0)],BB82,RZ[Úroveň 6 (P0)],BC82,RZ[Úroveň 7 (P0)],BD82,RZ[Úroveň 8 (P0)],BE82,RZ[Úroveň 9 (P0)],BF82)</f>
        <v>0</v>
      </c>
      <c r="HD82" s="809">
        <f ca="1">SUMIFS(RZ[Sloupec65],RZ[0],AX82,RZ[Úroveň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HE82" s="919">
        <f t="shared" ca="1" si="560"/>
        <v>1</v>
      </c>
      <c r="HF82" s="920" t="str">
        <f t="shared" si="561"/>
        <v/>
      </c>
      <c r="HG82" s="94" t="str">
        <f t="shared" si="562"/>
        <v/>
      </c>
      <c r="HH82" s="95" t="str">
        <f t="shared" si="563"/>
        <v/>
      </c>
      <c r="HI82" s="95" t="str">
        <f t="shared" si="564"/>
        <v>Čep - průměr 120 mm</v>
      </c>
      <c r="HJ82" s="96" t="str">
        <f t="shared" si="565"/>
        <v/>
      </c>
      <c r="HK82" s="96" t="str">
        <f t="shared" si="566"/>
        <v/>
      </c>
      <c r="HL82" s="96" t="str">
        <f t="shared" si="567"/>
        <v/>
      </c>
      <c r="HM82" s="96" t="str">
        <f t="shared" si="568"/>
        <v/>
      </c>
      <c r="HN82" s="96" t="str">
        <f t="shared" si="569"/>
        <v/>
      </c>
      <c r="HO82" s="96" t="str">
        <f t="shared" si="570"/>
        <v/>
      </c>
      <c r="HP82" s="96" t="str">
        <f t="shared" si="571"/>
        <v/>
      </c>
      <c r="HQ82" s="145" t="str">
        <f t="shared" si="572"/>
        <v>STO2</v>
      </c>
      <c r="HR82" s="921" t="str">
        <f t="shared" si="573"/>
        <v/>
      </c>
      <c r="HS82" s="173">
        <f t="shared" si="574"/>
        <v>0</v>
      </c>
      <c r="HT82" s="100">
        <f t="shared" si="575"/>
        <v>0</v>
      </c>
      <c r="HU82" s="100">
        <f t="shared" si="576"/>
        <v>0</v>
      </c>
      <c r="HV82" s="908">
        <f t="shared" si="577"/>
        <v>0</v>
      </c>
      <c r="HW82" s="922">
        <f t="shared" si="578"/>
        <v>0</v>
      </c>
      <c r="HX82" s="224">
        <f t="shared" si="579"/>
        <v>0</v>
      </c>
      <c r="HY82" s="263" t="str">
        <f t="shared" si="580"/>
        <v>S</v>
      </c>
      <c r="HZ82" s="263">
        <f t="shared" si="581"/>
        <v>0</v>
      </c>
      <c r="IA82" s="150">
        <f t="shared" si="582"/>
        <v>1</v>
      </c>
      <c r="IB82" s="319">
        <f t="shared" si="583"/>
        <v>0</v>
      </c>
      <c r="IC82" s="923">
        <f t="shared" si="584"/>
        <v>0</v>
      </c>
      <c r="ID82" s="924" t="str">
        <f t="shared" ca="1" si="585"/>
        <v>OK</v>
      </c>
      <c r="IE82" s="201" t="str">
        <f t="shared" si="586"/>
        <v>ks</v>
      </c>
      <c r="IF82" s="145">
        <f t="shared" si="587"/>
        <v>4</v>
      </c>
      <c r="IG82" s="216">
        <f t="shared" si="588"/>
        <v>40.299999999999997</v>
      </c>
      <c r="IH82" s="217">
        <f t="shared" si="589"/>
        <v>1</v>
      </c>
      <c r="II82" s="224" t="str">
        <f ca="1">IF(RZ[[#This Row],[Rozhodný sloupec indikativní ceny]]=1,"kg",IF($IW82=$JL$15,IF(JX82=0,JO82,JX82),IF($IW82=$KE$15,IF(KQ82=0,KH82,KQ82),IF($IW82=$KX$15,IF(LJ82=0,LA82,LJ82),IF($IW82=$LQ$15,IF(MC82=0,LT82,MC82),IF($IW82=$MJ$15,IF(NQ82=0,NH82,NQ82),0))))))</f>
        <v>kg</v>
      </c>
      <c r="IJ82" s="224">
        <f ca="1">IF((BH82+OFFSET(BH82,1,1,1,1))=2,RZ[[#This Row],[Počet MJHR (P0)]],IF((BI82+OFFSET(BI82,1,1,1,1))=2,RZ[[#This Row],[Počet MJHR (P0)]],IF((BJ82+OFFSET(BJ82,1,1,1,1))=2,RZ[[#This Row],[Počet MJHR (P0)]],IF((BK82+OFFSET(BK82,1,1,1,1))=2,RZ[[#This Row],[Počet MJHR (P0)]],IF((BL82+OFFSET(BL82,1,1,1,1))=2,RZ[[#This Row],[Počet MJHR (P0)]],IF((BM82+OFFSET(BM82,1,1,1,1))=2,RZ[[#This Row],[Počet MJHR (P0)]],IF((BN82+OFFSET(BN82,1,1,1,1))=2,RZ[[#This Row],[Počet MJHR (P0)]],IF((BO82+OFFSET(BO82,1,1,1,1))=2,RZ[[#This Row],[Počet MJHR (P0)]],IF((BP82+OFFSET(BP82,1,1,1,1))=2,RZ[[#This Row],[Počet MJHR (P0)]],IF((BQ82+OFFSET(BQ82,1,1,1,1))=2,RZ[[#This Row],[Počet MJHR (P0)]],IF(RZ[[#This Row],[Měrná jednotka CR (MJCR) (P0)]]=RZ[[#This Row],[Měrná jednotka HR '[MJHR'] (P0)]],RZ[[#This Row],[Počet MJHR (P0)]],IF($IW82=$JL$15,JY82,IF($IW82=$KE$15,KR82,IF($IW82=$KX$15,LK82,IF($IW82=$LQ$15,MD82,IF($IW82=$MJ$15,NR82,0))))))))))))))))</f>
        <v>0</v>
      </c>
      <c r="IK8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161.19999999999999</v>
      </c>
      <c r="IL82" s="145">
        <f ca="1">IF(AND(RZ[[#This Row],[Jednotková cena bez DPH '[cena/MJCR'] (P0)]]=0,RZ[[#This Row],[Indikativní jednotková cena '[CZK/kg'] (P1)]]&lt;&gt;0),1,0)</f>
        <v>1</v>
      </c>
      <c r="IM82" s="217">
        <f ca="1">VLOOKUP(RZ[[#This Row],[Kód položek]],INDIKAT_CENA,2,FALSE)</f>
        <v>115</v>
      </c>
      <c r="IN82" s="222">
        <f ca="1">IF(RZ[[#This Row],[Rozhodný sloupec indikativní ceny]]=1,RZ[[#This Row],[Indikativní jednotková cena '[CZK/kg'] (P1)]],RZ[[#This Row],[Jednotková cena bez DPH '[cena/MJCR'] (P0)]])</f>
        <v>115</v>
      </c>
      <c r="IO82" s="222">
        <f t="shared" si="590"/>
        <v>1</v>
      </c>
      <c r="IP82" s="224">
        <f ca="1">IF(RZ[[#This Row],[Rozhodný sloupec indikativní ceny]]=1,1,IF($IW82=$JL$15,KA82,IF($IW82=$KE$15,KT82,IF($IW82=$KX$15,LM82,IF($IW82=$LQ$15,MF82,IF($IW82=$MJ$15,NT82,0))))))</f>
        <v>1</v>
      </c>
      <c r="IQ82" s="225">
        <f ca="1">IF(RZ[[#This Row],[Jednotková cena bez DPH '[cena/MJCR'] (P1)]]="",0,IF(IP82=0,0,(RZ[[#This Row],[Jednotková cena bez DPH '[cena/MJCR'] (P1)]]*VLOOKUP(IP82,$BR$7:$BT$10,3))))</f>
        <v>115</v>
      </c>
      <c r="IR82" s="737"/>
      <c r="IS82" s="627">
        <f>IF(HY82=0,"",VLOOKUP(RZ[[#This Row],[Stav Projekce (P0)]],Vstupy!$E$11:'Vstupy'!$E$11:$H$17,4,FALSE))</f>
        <v>100</v>
      </c>
      <c r="IT82" s="925" t="str">
        <f>IF(RZ[[#This Row],[Stav Projekce (P0)]]=0,"",RZ[[#This Row],[Stav Projekce (P0)]])</f>
        <v>S</v>
      </c>
      <c r="IU82" s="925" t="str">
        <f>IF(RZ[[#This Row],[Stav Nákup (P0)]]=0,"",RZ[[#This Row],[Stav Nákup (P0)]])</f>
        <v/>
      </c>
      <c r="IV82" s="926" t="str">
        <f t="shared" si="591"/>
        <v/>
      </c>
      <c r="IW82" s="641">
        <v>1</v>
      </c>
      <c r="IX82" s="630"/>
      <c r="IY82" s="264"/>
      <c r="IZ82" s="648"/>
      <c r="JA82" s="100"/>
      <c r="JB82" s="100" t="s">
        <v>790</v>
      </c>
      <c r="JC82" s="100"/>
      <c r="JD82" s="100"/>
      <c r="JE82" s="100"/>
      <c r="JF82" s="100"/>
      <c r="JG82" s="100"/>
      <c r="JH82" s="100"/>
      <c r="JI82" s="100"/>
      <c r="JJ82" s="145" t="s">
        <v>773</v>
      </c>
      <c r="JK82" s="529"/>
      <c r="JL82" s="286"/>
      <c r="JM82" s="100"/>
      <c r="JN82" s="100"/>
      <c r="JO82" s="145" t="s">
        <v>35</v>
      </c>
      <c r="JP82" s="117">
        <v>4</v>
      </c>
      <c r="JQ82" s="117">
        <v>40.299999999999997</v>
      </c>
      <c r="JR82" s="148">
        <v>1</v>
      </c>
      <c r="JS82" s="145" t="s">
        <v>602</v>
      </c>
      <c r="JT82" s="631"/>
      <c r="JU82" s="148"/>
      <c r="JV82" s="154"/>
      <c r="JW82" s="145"/>
      <c r="JX82" s="210"/>
      <c r="JY82" s="117"/>
      <c r="JZ82" s="662"/>
      <c r="KA82" s="145"/>
      <c r="KB82" s="148"/>
      <c r="KC82" s="148"/>
      <c r="KD82" s="644"/>
      <c r="KE82" s="286"/>
      <c r="KF82" s="100"/>
      <c r="KG82" s="100"/>
      <c r="KH82" s="210"/>
      <c r="KI82" s="117"/>
      <c r="KJ82" s="117"/>
      <c r="KK82" s="148"/>
      <c r="KL82" s="145"/>
      <c r="KM82" s="632"/>
      <c r="KN82" s="148"/>
      <c r="KO82" s="154"/>
      <c r="KP82" s="154"/>
      <c r="KQ82" s="210"/>
      <c r="KR82" s="117"/>
      <c r="KS82" s="211"/>
      <c r="KT82" s="145"/>
      <c r="KU82" s="148"/>
      <c r="KV82" s="148"/>
      <c r="KW82" s="265"/>
      <c r="KX82" s="286"/>
      <c r="KY82" s="100"/>
      <c r="KZ82" s="100"/>
      <c r="LA82" s="210"/>
      <c r="LB82" s="117"/>
      <c r="LC82" s="117"/>
      <c r="LD82" s="148"/>
      <c r="LE82" s="145"/>
      <c r="LF82" s="632"/>
      <c r="LG82" s="148"/>
      <c r="LH82" s="154"/>
      <c r="LI82" s="154"/>
      <c r="LJ82" s="154"/>
      <c r="LK82" s="117"/>
      <c r="LL82" s="211"/>
      <c r="LM82" s="210"/>
      <c r="LN82" s="148"/>
      <c r="LO82" s="148"/>
      <c r="LP82" s="265"/>
      <c r="LQ82" s="286"/>
      <c r="LR82" s="100"/>
      <c r="LS82" s="100"/>
      <c r="LT82" s="210"/>
      <c r="LU82" s="117"/>
      <c r="LV82" s="117"/>
      <c r="LW82" s="148"/>
      <c r="LX82" s="145"/>
      <c r="LY82" s="632"/>
      <c r="LZ82" s="148"/>
      <c r="MA82" s="154"/>
      <c r="MB82" s="154"/>
      <c r="MC82" s="145"/>
      <c r="MD82" s="117"/>
      <c r="ME82" s="211"/>
      <c r="MF82" s="210"/>
      <c r="MG82" s="148"/>
      <c r="MH82" s="148"/>
      <c r="MI82" s="265"/>
      <c r="MJ82" s="647"/>
      <c r="MK82" s="264"/>
      <c r="ML82" s="153"/>
      <c r="MM82" s="153"/>
      <c r="MN82" s="153"/>
      <c r="MO82" s="153"/>
      <c r="MP82" s="153"/>
      <c r="MQ82" s="153"/>
      <c r="MR82" s="153"/>
      <c r="MS82" s="99"/>
      <c r="MT82" s="99"/>
      <c r="MU82" s="99"/>
      <c r="MV82" s="99"/>
      <c r="MW82" s="99"/>
      <c r="MX82" s="99"/>
      <c r="MY82" s="153"/>
      <c r="MZ82" s="153"/>
      <c r="NA82" s="153"/>
      <c r="NB82" s="153"/>
      <c r="NC82" s="153"/>
      <c r="ND82" s="153"/>
      <c r="NE82" s="148"/>
      <c r="NF82" s="153"/>
      <c r="NG82" s="153"/>
      <c r="NH82" s="330" t="str">
        <f t="shared" si="592"/>
        <v>ks</v>
      </c>
      <c r="NI82" s="797">
        <f>RZ[[#This Row],[Počet ks (K)]]</f>
        <v>0</v>
      </c>
      <c r="NJ82" s="798">
        <f>RZ[[#This Row],[Hmotnost '[kg/ks'] (K)]]</f>
        <v>0</v>
      </c>
      <c r="NK82" s="148"/>
      <c r="NL82" s="145"/>
      <c r="NM82" s="632"/>
      <c r="NN82" s="148"/>
      <c r="NO82" s="154"/>
      <c r="NP82" s="153"/>
      <c r="NQ82" s="153"/>
      <c r="NR82" s="210"/>
      <c r="NS82" s="148"/>
      <c r="NT82" s="210"/>
      <c r="NU82" s="148"/>
      <c r="NV82" s="148"/>
      <c r="NW82" s="175"/>
    </row>
    <row r="83" spans="2:387" ht="15.95" customHeight="1" x14ac:dyDescent="0.35">
      <c r="B83" s="118" t="str">
        <f t="shared" si="476"/>
        <v/>
      </c>
      <c r="C8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3" s="262" t="str">
        <f t="shared" si="477"/>
        <v xml:space="preserve">    Distanční kroužek</v>
      </c>
      <c r="E83" s="120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Row],[Kód položek (P2)]]))))))))))</f>
        <v>STO2</v>
      </c>
      <c r="F83" s="791" t="str">
        <f t="shared" si="478"/>
        <v>N/A</v>
      </c>
      <c r="G83" s="792" t="str">
        <f t="shared" si="479"/>
        <v/>
      </c>
      <c r="H83" s="262" t="str">
        <f t="shared" si="480"/>
        <v/>
      </c>
      <c r="I83" s="123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HR '[MJHR'] (P0)]]))))))))))</f>
        <v>ks</v>
      </c>
      <c r="J83" s="123">
        <f t="shared" si="481"/>
        <v>4</v>
      </c>
      <c r="K83" s="793">
        <f>RZ[[#This Row],[Koeficient odhadu HR '[-'] (P1)]]</f>
        <v>1</v>
      </c>
      <c r="L83" s="124">
        <f ca="1">RZ[[#This Row],[Jednotková hmotnost s koef. '[kg/MJHR'] (P0)]]</f>
        <v>2.2999999999999998</v>
      </c>
      <c r="M83" s="794">
        <f t="shared" ca="1" si="482"/>
        <v>0</v>
      </c>
      <c r="N83" s="125">
        <f t="shared" ca="1" si="483"/>
        <v>9.1999999999999993</v>
      </c>
      <c r="O83" s="125">
        <f t="shared" ca="1" si="484"/>
        <v>0</v>
      </c>
      <c r="P83" s="126" t="str">
        <f t="shared" si="485"/>
        <v/>
      </c>
      <c r="Q83" s="795">
        <f ca="1">RZ[[#This Row],[Počet MJHR v rozpadu (P0)]]</f>
        <v>4</v>
      </c>
      <c r="R83" s="439" t="str">
        <f t="shared" si="486"/>
        <v/>
      </c>
      <c r="S83" s="129" t="str">
        <f t="shared" si="487"/>
        <v/>
      </c>
      <c r="T83" s="126" t="str">
        <f t="shared" si="488"/>
        <v/>
      </c>
      <c r="U83" s="126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CR (MJCR) (P0)]]))))))))))</f>
        <v>kg</v>
      </c>
      <c r="V83" s="575">
        <f t="shared" ca="1" si="489"/>
        <v>9.1999999999999993</v>
      </c>
      <c r="W83" s="322">
        <f>RZ[[#This Row],[Koeficient odhadu CR '[-'] (P1)]]</f>
        <v>1</v>
      </c>
      <c r="X83" s="440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Row],[Jednotková cena bez DPH '[cena/MJCR'] (P1)]]*RZ[[#This Row],[Koeficient odhadu CR '[-']]]))))))))))</f>
        <v>115</v>
      </c>
      <c r="Y83" s="440">
        <f t="shared" ca="1" si="490"/>
        <v>0</v>
      </c>
      <c r="Z83" s="142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VLOOKUP(IP83,$BR$7:$BS$11,2,FALSE)))))))))))</f>
        <v>CZK</v>
      </c>
      <c r="AA83" s="909">
        <f t="shared" ca="1" si="491"/>
        <v>9.1999999999999993</v>
      </c>
      <c r="AB83" s="910">
        <f ca="1">RZ[[#This Row],[Kumulovaný koeficient v rozpadu (P0)]]</f>
        <v>1</v>
      </c>
      <c r="AC83" s="261"/>
      <c r="AD83" s="796">
        <f ca="1">RZ[[#This Row],[Jednotková cena bez DPH '[cena/MJCR'] s koef. (P0)]]/RZ[[#This Row],[Koeficient odhadu CR '[-']]]*RZ[[#This Row],[Kumulovaný koeficient odhadu CR  '[-']]]</f>
        <v>115</v>
      </c>
      <c r="AE83" s="796">
        <f t="shared" ca="1" si="492"/>
        <v>1058</v>
      </c>
      <c r="AF83" s="796">
        <f ca="1">-IF(ISNUMBER(AA83),RZ[[#This Row],[Celková cena bez DPH (1)]]-RZ[[#This Row],[Jednotková cena bez DPH '[cena/MJCR'] bez koef. (P0)]]*AA83,0)</f>
        <v>0</v>
      </c>
      <c r="AG8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3" s="261"/>
      <c r="AI83" s="796">
        <f t="shared" ca="1" si="493"/>
        <v>4.2592592592592595</v>
      </c>
      <c r="AJ83" s="796">
        <f t="shared" ca="1" si="494"/>
        <v>39.185185185185183</v>
      </c>
      <c r="AK83" s="796">
        <f t="shared" ca="1" si="495"/>
        <v>0</v>
      </c>
      <c r="AL83" s="753">
        <f ca="1">RZ[[#This Row],[Kilogramová cena bez DPH '[cena/kg'] (1)]]/$AK$13</f>
        <v>4.2592592592592595</v>
      </c>
      <c r="AM83" s="261"/>
      <c r="AN83" s="796">
        <f t="shared" ca="1" si="496"/>
        <v>5.5555555555555554</v>
      </c>
      <c r="AO83" s="796">
        <f t="shared" ca="1" si="497"/>
        <v>51.111111111111114</v>
      </c>
      <c r="AP83" s="796">
        <f t="shared" ca="1" si="498"/>
        <v>0</v>
      </c>
      <c r="AQ83" s="753">
        <f ca="1">RZ[[#This Row],[Kilogramová cena bez DPH '[cena/kg'] (1)]]/$AP$13</f>
        <v>5.5555555555555562</v>
      </c>
      <c r="AR83" s="261"/>
      <c r="AS83" s="796">
        <f t="shared" ca="1" si="499"/>
        <v>3.1455142231947484</v>
      </c>
      <c r="AT83" s="796">
        <f t="shared" ca="1" si="500"/>
        <v>28.938730853391682</v>
      </c>
      <c r="AU83" s="789">
        <f t="shared" ca="1" si="501"/>
        <v>0</v>
      </c>
      <c r="AV83" s="767">
        <f ca="1">RZ[[#This Row],[Kilogramová cena bez DPH '[cena/kg'] (1)]]/$AU$13</f>
        <v>3.1455142231947484</v>
      </c>
      <c r="AW83" s="165"/>
      <c r="AX83" s="911">
        <f t="shared" ca="1" si="502"/>
        <v>2</v>
      </c>
      <c r="AY83" s="111">
        <f t="shared" ca="1" si="503"/>
        <v>3</v>
      </c>
      <c r="AZ83" s="111">
        <f t="shared" ca="1" si="504"/>
        <v>10</v>
      </c>
      <c r="BA83" s="111">
        <f t="shared" ca="1" si="505"/>
        <v>0</v>
      </c>
      <c r="BB83" s="111">
        <f t="shared" ca="1" si="506"/>
        <v>0</v>
      </c>
      <c r="BC83" s="111">
        <f t="shared" ca="1" si="507"/>
        <v>0</v>
      </c>
      <c r="BD83" s="111">
        <f t="shared" ca="1" si="508"/>
        <v>0</v>
      </c>
      <c r="BE83" s="111">
        <f t="shared" ca="1" si="509"/>
        <v>0</v>
      </c>
      <c r="BF83" s="111">
        <f t="shared" ca="1" si="510"/>
        <v>0</v>
      </c>
      <c r="BG83" s="112">
        <f t="shared" ca="1" si="511"/>
        <v>0</v>
      </c>
      <c r="BH83" s="911">
        <f t="shared" si="512"/>
        <v>0</v>
      </c>
      <c r="BI83" s="111">
        <f t="shared" si="513"/>
        <v>0</v>
      </c>
      <c r="BJ83" s="111">
        <f t="shared" si="514"/>
        <v>1</v>
      </c>
      <c r="BK83" s="111">
        <f t="shared" si="515"/>
        <v>0</v>
      </c>
      <c r="BL83" s="111">
        <f t="shared" si="516"/>
        <v>0</v>
      </c>
      <c r="BM83" s="111">
        <f t="shared" si="517"/>
        <v>0</v>
      </c>
      <c r="BN83" s="111">
        <f t="shared" si="518"/>
        <v>0</v>
      </c>
      <c r="BO83" s="111">
        <f t="shared" si="519"/>
        <v>0</v>
      </c>
      <c r="BP83" s="111">
        <f t="shared" si="520"/>
        <v>0</v>
      </c>
      <c r="BQ83" s="112">
        <f t="shared" si="521"/>
        <v>0</v>
      </c>
      <c r="BR83" s="132">
        <f ca="1">IF(OFFSET(AY83,1,0,1,1)&lt;&gt;0,RZ[[#This Row],[Koeficient odhadu HR '[-'] (P1)]]*$BH83*SUMIFS(RZ[Úroveň 2 s koef. (P2)],RZ[0],AX83),RZ[[#This Row],[Koeficient odhadu HR '[-'] (P1)]]*$BH83*$IG83)</f>
        <v>0</v>
      </c>
      <c r="BS83" s="186">
        <f ca="1">IF(OFFSET(AY83,1,0,1,1)&lt;&gt;0,$BH83*SUMIFS(RZ[Úroveň 2 bez koef. (P2)],RZ[0],AX83),$BH83*$IG83)</f>
        <v>0</v>
      </c>
      <c r="BT83" s="138">
        <f ca="1">RZ[[#This Row],[Úroveň 2 s koef. (P2a)]]*RZ[[#This Row],[Počet MJHR (P0)]]</f>
        <v>0</v>
      </c>
      <c r="BU83" s="138">
        <f ca="1">RZ[[#This Row],[Úroveň 2 bez koef. (P2a)]]*RZ[[#This Row],[Počet MJHR (P0)]]</f>
        <v>0</v>
      </c>
      <c r="BV83" s="138">
        <f ca="1">IF(OFFSET(AZ83,1,0,1,1)&lt;&gt;0,RZ[[#This Row],[Koeficient odhadu HR '[-'] (P1)]]*$BI83*SUMIFS(RZ[Úroveň 3 s koef. (P2)],RZ[0],AX83,RZ[Úroveň 2 (P0)],AY83),RZ[[#This Row],[Koeficient odhadu HR '[-'] (P1)]]*$BI83*$IG83)</f>
        <v>0</v>
      </c>
      <c r="BW83" s="138">
        <f ca="1">IF(OFFSET(AZ83,1,0,1,1)&lt;&gt;0,$BI83*SUMIFS(RZ[Úroveň 3 bez koef. (P2)],RZ[0],AX83,RZ[Úroveň 2 (P0)],AY83),$BI83*$IG83)</f>
        <v>0</v>
      </c>
      <c r="BX83" s="132">
        <f ca="1">RZ[[#This Row],[Úroveň 3 s koef. (P2a)]]*RZ[[#This Row],[Počet MJHR (P0)]]</f>
        <v>9.1999999999999993</v>
      </c>
      <c r="BY83" s="132">
        <f ca="1">RZ[Úroveň 3 bez koef. (P2a)]*RZ[[#This Row],[Počet MJHR (P0)]]</f>
        <v>9.1999999999999993</v>
      </c>
      <c r="BZ83" s="132">
        <f ca="1">IF(OFFSET(BA83,1,0,1,1)&lt;&gt;0,RZ[[#This Row],[Koeficient odhadu HR '[-'] (P1)]]*$BJ83*SUMIFS(RZ[Úroveň 4 s koef. (P2)],RZ[0],AX83,RZ[Úroveň 2 (P0)],AY83,RZ[Úroveň 3 (P0)],AZ83),RZ[[#This Row],[Koeficient odhadu HR '[-'] (P1)]]*$BJ83*$IG83)</f>
        <v>2.2999999999999998</v>
      </c>
      <c r="CA83" s="132">
        <f ca="1">IF(OFFSET(BA83,1,0,1,1)&lt;&gt;0,$BJ83*SUMIFS(RZ[Úroveň 4 bez koef. (P2)],RZ[0],AX83,RZ[Úroveň 2 (P0)],AY83,RZ[Úroveň 3 (P0)],AZ83),$BJ83*$IG83)</f>
        <v>2.2999999999999998</v>
      </c>
      <c r="CB83" s="138">
        <f ca="1">RZ[[#This Row],[Úroveň 4 s koef. (P2a)]]*RZ[[#This Row],[Počet MJHR (P0)]]</f>
        <v>0</v>
      </c>
      <c r="CC83" s="138">
        <f ca="1">RZ[Úroveň 4 bez koef. (P2a)]*RZ[[#This Row],[Počet MJHR (P0)]]</f>
        <v>0</v>
      </c>
      <c r="CD83" s="138">
        <f ca="1">IF(OFFSET(BB83,1,0,1,1)&lt;&gt;0,RZ[[#This Row],[Koeficient odhadu HR '[-'] (P1)]]*$BK83*SUMIFS(RZ[Úroveň 5 s koef. (P2)],RZ[0],AX83,RZ[Úroveň 2 (P0)],AY83,RZ[Úroveň 3 (P0)],AZ83,RZ[Úroveň 4 (P0)],BA83),RZ[[#This Row],[Koeficient odhadu HR '[-'] (P1)]]*$BK83*$IG83)</f>
        <v>0</v>
      </c>
      <c r="CE83" s="138">
        <f ca="1">IF(OFFSET(BB83,1,0,1,1)&lt;&gt;0,$BK83*SUMIFS(RZ[Úroveň 5 bez koef. (P2)],RZ[0],AX83,RZ[Úroveň 2 (P0)],AY83,RZ[Úroveň 3 (P0)],AZ83,RZ[Úroveň 4 (P0)],BA83),$BK83*$IG83)</f>
        <v>0</v>
      </c>
      <c r="CF83" s="132">
        <f ca="1">RZ[[#This Row],[Úroveň 5 s koef. (P2a)]]*RZ[[#This Row],[Počet MJHR (P0)]]</f>
        <v>0</v>
      </c>
      <c r="CG83" s="132">
        <f ca="1">RZ[Úroveň 5 bez koef. (P2a)]*RZ[[#This Row],[Počet MJHR (P0)]]</f>
        <v>0</v>
      </c>
      <c r="CH83" s="132">
        <f ca="1">IF(OFFSET(BC83,1,0,1,1)&lt;&gt;0,RZ[[#This Row],[Koeficient odhadu HR '[-'] (P1)]]*$BL83*SUMIFS(RZ[Úroveň 6 s koef. (P2)],RZ[0],AX83,RZ[Úroveň 2 (P0)],AY83,RZ[Úroveň 3 (P0)],AZ83,RZ[Úroveň 4 (P0)],BA83,RZ[Úroveň 5 (P0)],BB83),RZ[[#This Row],[Koeficient odhadu HR '[-'] (P1)]]*$BL83*$IG83)</f>
        <v>0</v>
      </c>
      <c r="CI83" s="132">
        <f ca="1">IF(OFFSET(BC83,1,0,1,1)&lt;&gt;0,$BL83*SUMIFS(RZ[Úroveň 6 bez koef. (P2)],RZ[0],AX83,RZ[Úroveň 2 (P0)],AY83,RZ[Úroveň 3 (P0)],AZ83,RZ[Úroveň 4 (P0)],BA83,RZ[Úroveň 5 (P0)],BB83),$BL83*$IG83)</f>
        <v>0</v>
      </c>
      <c r="CJ83" s="138">
        <f ca="1">RZ[[#This Row],[Úroveň 6 s koef. (P2a)]]*RZ[[#This Row],[Počet MJHR (P0)]]</f>
        <v>0</v>
      </c>
      <c r="CK83" s="138">
        <f ca="1">RZ[Úroveň 6 bez koef. (P2a)]*RZ[[#This Row],[Počet MJHR (P0)]]</f>
        <v>0</v>
      </c>
      <c r="CL83" s="138">
        <f ca="1">IF(OFFSET(BD83,1,0,1,1)&lt;&gt;0,RZ[[#This Row],[Koeficient odhadu HR '[-'] (P1)]]*$BM83*SUMIFS(RZ[Úroveň 7 s koef. (P2)],RZ[0],AX83,RZ[Úroveň 2 (P0)],AY83,RZ[Úroveň 3 (P0)],AZ83,RZ[Úroveň 4 (P0)],BA83,RZ[Úroveň 5 (P0)],BB83,RZ[Úroveň 6 (P0)],BC83),RZ[[#This Row],[Koeficient odhadu HR '[-'] (P1)]]*$BM83*$IG83)</f>
        <v>0</v>
      </c>
      <c r="CM83" s="138">
        <f ca="1">IF(OFFSET(BD83,1,0,1,1)&lt;&gt;0,$BM83*SUMIFS(RZ[Úroveň 7 bez koef. (P2)],RZ[0],AX83,RZ[Úroveň 2 (P0)],AY83,RZ[Úroveň 3 (P0)],AZ83,RZ[Úroveň 4 (P0)],BA83,RZ[Úroveň 5 (P0)],BB83,RZ[Úroveň 6 (P0)],BC83),$BM83*$IG83)</f>
        <v>0</v>
      </c>
      <c r="CN83" s="132">
        <f ca="1">RZ[[#This Row],[Úroveň 7 s koef. (P2a)]]*RZ[[#This Row],[Počet MJHR (P0)]]</f>
        <v>0</v>
      </c>
      <c r="CO83" s="132">
        <f ca="1">RZ[Úroveň 7 bez koef. (P2a)]*RZ[[#This Row],[Počet MJHR (P0)]]</f>
        <v>0</v>
      </c>
      <c r="CP83" s="132">
        <f ca="1">IF(OFFSET(BE83,1,0,1,1)&lt;&gt;0,RZ[[#This Row],[Koeficient odhadu HR '[-'] (P1)]]*$BN83*SUMIFS(RZ[Úroveň 8 s koef. (P2)],RZ[0],AX83,RZ[Úroveň 2 (P0)],AY83,RZ[Úroveň 3 (P0)],AZ83,RZ[Úroveň 4 (P0)],BA83,RZ[Úroveň 5 (P0)],BB83,RZ[Úroveň 6 (P0)],BC83,RZ[Úroveň 7 (P0)],BD83),RZ[[#This Row],[Koeficient odhadu HR '[-'] (P1)]]*$BN83*$IG83)</f>
        <v>0</v>
      </c>
      <c r="CQ83" s="132">
        <f ca="1">IF(OFFSET(BE83,1,0,1,1)&lt;&gt;0,$BN83*SUMIFS(RZ[Úroveň 8 bez koef. (P2)],RZ[0],AX83,RZ[Úroveň 2 (P0)],AY83,RZ[Úroveň 3 (P0)],AZ83,RZ[Úroveň 4 (P0)],BA83,RZ[Úroveň 5 (P0)],BB83,RZ[Úroveň 6 (P0)],BC83,RZ[Úroveň 7 (P0)],BD83),$BN83*$IG83)</f>
        <v>0</v>
      </c>
      <c r="CR83" s="138">
        <f ca="1">RZ[[#This Row],[Úroveň 8 s koef. (P2a)]]*RZ[[#This Row],[Počet MJHR (P0)]]</f>
        <v>0</v>
      </c>
      <c r="CS83" s="138">
        <f ca="1">RZ[Úroveň 8 bez koef. (P2a)]*RZ[[#This Row],[Počet MJHR (P0)]]</f>
        <v>0</v>
      </c>
      <c r="CT83" s="138">
        <f ca="1">IF(OFFSET(BF83,1,0,1,1)&lt;&gt;0,RZ[[#This Row],[Koeficient odhadu HR '[-'] (P1)]]*$BO83*SUMIFS(RZ[Úroveň 9 s koef. (P2)],RZ[0],AX83,RZ[Úroveň 2 (P0)],AY83,RZ[Úroveň 3 (P0)],AZ83,RZ[Úroveň 4 (P0)],BA83,RZ[Úroveň 5 (P0)],BB83,RZ[Úroveň 6 (P0)],BC83,RZ[Úroveň 7 (P0)],BD83,RZ[Úroveň 8 (P0)],BE83),RZ[[#This Row],[Koeficient odhadu HR '[-'] (P1)]]*$BO83*$IG83)</f>
        <v>0</v>
      </c>
      <c r="CU83" s="138">
        <f ca="1">IF(OFFSET(BF83,1,0,1,1)&lt;&gt;0,$BO83*SUMIFS(RZ[Úroveň 9 bez koef. (P2)],RZ[0],AX83,RZ[Úroveň 2 (P0)],AY83,RZ[Úroveň 3 (P0)],AZ83,RZ[Úroveň 4 (P0)],BA83,RZ[Úroveň 5 (P0)],BB83,RZ[Úroveň 6 (P0)],BC83,RZ[Úroveň 7 (P0)],BD83,RZ[Úroveň 8 (P0)],BE83),$BO83*$IG83)</f>
        <v>0</v>
      </c>
      <c r="CV83" s="132">
        <f ca="1">RZ[[#This Row],[Úroveň 9 s koef. (P2a)]]*RZ[[#This Row],[Počet MJHR (P0)]]</f>
        <v>0</v>
      </c>
      <c r="CW83" s="132">
        <f ca="1">RZ[Úroveň 9 bez koef. (P2a)]*RZ[[#This Row],[Počet MJHR (P0)]]</f>
        <v>0</v>
      </c>
      <c r="CX83" s="132">
        <f ca="1">IF(OFFSET(BG83,1,0,1,1)&lt;&gt;0,RZ[[#This Row],[Koeficient odhadu HR '[-'] (P1)]]*$BP83*SUMIFS(RZ[Úroveň 10 s koef. (P2)],RZ[0],AX83,RZ[Úroveň 2 (P0)],AY83,RZ[Úroveň 3 (P0)],AZ83,RZ[Úroveň 4 (P0)],BA83,RZ[Úroveň 5 (P0)],BB83,RZ[Úroveň 6 (P0)],BC83,RZ[Úroveň 7 (P0)],BD83,RZ[Úroveň 8 (P0)],BE83,RZ[Úroveň 9 (P0)],BF83),RZ[[#This Row],[Koeficient odhadu HR '[-'] (P1)]]*$BP83*$IG83)</f>
        <v>0</v>
      </c>
      <c r="CY83" s="132">
        <f ca="1">IF(OFFSET(BG83,1,0,1,1)&lt;&gt;0,$BP83*SUMIFS(RZ[Úroveň 10 bez koef. (P2)],RZ[0],AX83,RZ[Úroveň 2 (P0)],AY83,RZ[Úroveň 3 (P0)],AZ83,RZ[Úroveň 4 (P0)],BA83,RZ[Úroveň 5 (P0)],BB83,RZ[Úroveň 6 (P0)],BC83,RZ[Úroveň 7 (P0)],BD83,RZ[Úroveň 8 (P0)],BE83,RZ[Úroveň 9 (P0)],BF83),$BP83*$IG83)</f>
        <v>0</v>
      </c>
      <c r="CZ83" s="138">
        <f>RZ[[#This Row],[Úroveň 10 s koef. (P2a)]]*RZ[[#This Row],[Počet MJHR (P0)]]</f>
        <v>0</v>
      </c>
      <c r="DA83" s="138">
        <f>RZ[Úroveň 10 bez koef. (P2a)]*RZ[[#This Row],[Počet MJHR (P0)]]</f>
        <v>0</v>
      </c>
      <c r="DB83" s="138">
        <f>RZ[[#This Row],[Koeficient odhadu HR '[-'] (P1)]]*$BQ83*IG83</f>
        <v>0</v>
      </c>
      <c r="DC83" s="231">
        <f t="shared" si="522"/>
        <v>0</v>
      </c>
      <c r="DD83" s="241">
        <f t="shared" ca="1" si="523"/>
        <v>2.2999999999999998</v>
      </c>
      <c r="DE83" s="229">
        <f t="shared" ca="1" si="524"/>
        <v>2.2999999999999998</v>
      </c>
      <c r="DF83" s="912">
        <f t="shared" si="525"/>
        <v>0</v>
      </c>
      <c r="DG83" s="913">
        <f t="shared" si="526"/>
        <v>0</v>
      </c>
      <c r="DH83" s="913">
        <f t="shared" si="527"/>
        <v>4</v>
      </c>
      <c r="DI83" s="913">
        <f t="shared" si="528"/>
        <v>0</v>
      </c>
      <c r="DJ83" s="913">
        <f t="shared" si="529"/>
        <v>0</v>
      </c>
      <c r="DK83" s="913">
        <f t="shared" si="530"/>
        <v>0</v>
      </c>
      <c r="DL83" s="913">
        <f t="shared" si="531"/>
        <v>0</v>
      </c>
      <c r="DM83" s="913">
        <f t="shared" si="532"/>
        <v>0</v>
      </c>
      <c r="DN83" s="913">
        <f t="shared" si="533"/>
        <v>0</v>
      </c>
      <c r="DO83" s="913">
        <f t="shared" si="534"/>
        <v>0</v>
      </c>
      <c r="DP83" s="914">
        <f ca="1">SUMIFS(RZ[Úroveň 1 (P4)],RZ[0],AX83)</f>
        <v>1</v>
      </c>
      <c r="DQ83" s="914">
        <f ca="1">SUMIFS(RZ[Úroveň 2 (P4)],RZ[0],AX83,RZ[Úroveň 2 (P0)],AY83)</f>
        <v>1</v>
      </c>
      <c r="DR83" s="914">
        <f ca="1">SUMIFS(RZ[Úroveň 3 (P4)],RZ[0],AX83,RZ[Úroveň 2 (P0)],AY83,RZ[Úroveň 3 (P0)],AZ83)</f>
        <v>4</v>
      </c>
      <c r="DS83" s="914">
        <f ca="1">SUMIFS(RZ[Úroveň 4 (P4)],RZ[0],AX83,RZ[Úroveň 2 (P0)],AY83,RZ[Úroveň 3 (P0)],AZ83,RZ[Úroveň 4 (P0)],BA83)</f>
        <v>0</v>
      </c>
      <c r="DT83" s="914">
        <f ca="1">SUMIFS(RZ[Úroveň 5 (P4)],RZ[0],AX83,RZ[Úroveň 2 (P0)],AY83,RZ[Úroveň 3 (P0)],AZ83,RZ[Úroveň 4 (P0)],BA83,RZ[Úroveň 5 (P0)],BB83)</f>
        <v>0</v>
      </c>
      <c r="DU83" s="914">
        <f ca="1">SUMIFS(RZ[Úroveň 6 (P4)],RZ[0],AX83,RZ[Úroveň 2 (P0)],AY83,RZ[Úroveň 3 (P0)],AZ83,RZ[Úroveň 4 (P0)],BA83,RZ[Úroveň 5 (P0)],BB83,RZ[Úroveň 6 (P0)],BC83)</f>
        <v>0</v>
      </c>
      <c r="DV83" s="914">
        <f ca="1">SUMIFS(RZ[Úroveň 7 (P4)],RZ[0],AX83,RZ[Úroveň 2 (P0)],AY83,RZ[Úroveň 3 (P0)],AZ83,RZ[Úroveň 4 (P0)],BA83,RZ[Úroveň 5 (P0)],BB83,RZ[Úroveň 6 (P0)],BC83,RZ[Úroveň 7 (P0)],BD83)</f>
        <v>0</v>
      </c>
      <c r="DW83" s="914">
        <f ca="1">SUMIFS(RZ[Úroveň 8 (P4)],RZ[0],AX83,RZ[Úroveň 2 (P0)],AY83,RZ[Úroveň 3 (P0)],AZ83,RZ[Úroveň 4 (P0)],BA83,RZ[Úroveň 5 (P0)],BB83,RZ[Úroveň 6 (P0)],BC83,RZ[Úroveň 7 (P0)],BD83,RZ[Úroveň 8 (P0)],BE83)</f>
        <v>0</v>
      </c>
      <c r="DX83" s="914">
        <f ca="1">SUMIFS(RZ[Úroveň 9 (P4)],RZ[0],AX83,RZ[Úroveň 2 (P0)],AY83,RZ[Úroveň 3 (P0)],AZ83,RZ[Úroveň 4 (P0)],BA83,RZ[Úroveň 5 (P0)],BB83,RZ[Úroveň 6 (P0)],BC83,RZ[Úroveň 7 (P0)],BD83,RZ[Úroveň 8 (P0)],BE83,RZ[Úroveň 9 (P0)],BF83)</f>
        <v>0</v>
      </c>
      <c r="DY83" s="914">
        <f ca="1">SUMIFS(RZ[Úroveň 10 (P4)],RZ[0],AX83,RZ[Úroveň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DZ83" s="915">
        <f t="shared" ca="1" si="535"/>
        <v>4</v>
      </c>
      <c r="EA83" s="916">
        <f ca="1">RZ[[#This Row],[Jednotková hmotnost bez koef. '[kg/MJHR'] (P0)]]*RZ[[#This Row],[Počet MJHR v rozpadu (P0)]]</f>
        <v>9.1999999999999993</v>
      </c>
      <c r="EB83" s="917">
        <f ca="1">IF(OFFSET(AY83,1,0,1,1)&lt;&gt;0,RZ[[#This Row],[Koeficient odhadu CR '[-'] (P1)]]*$BH83*SUMIFS(RZ[Úroveň 2 s koef. (P3)],RZ[0],AX83),RZ[[#This Row],[Koeficient odhadu CR '[-'] (P1)]]*$BH83*$IQ83)</f>
        <v>0</v>
      </c>
      <c r="EC83" s="191">
        <f ca="1">IF(OFFSET(AY83,1,0,1,1)&lt;&gt;0,$BH83*SUMIFS(RZ[Úroveň 2 bez koef. (P3)],RZ[0],AX83),$BH83*$IQ83)</f>
        <v>0</v>
      </c>
      <c r="ED83" s="140">
        <f ca="1">RZ[[#This Row],[Úroveň 2 s koef. (P3a)]]*RZ[[#This Row],[Počet MJCR (P0) pro "kg"]]</f>
        <v>0</v>
      </c>
      <c r="EE83" s="140">
        <f ca="1">RZ[Úroveň 2 bez koef. (P3a)]*RZ[[#This Row],[Počet MJCR (P0) pro "kg"]]</f>
        <v>0</v>
      </c>
      <c r="EF83" s="140">
        <f ca="1">IF(OFFSET(AZ83,1,0,1,1)&lt;&gt;0,RZ[[#This Row],[Koeficient odhadu CR '[-'] (P1)]]*$BI83*SUMIFS(RZ[Úroveň 3 s koef. (P3)],RZ[0],AX83,RZ[Úroveň 2 (P0)],AY83),RZ[[#This Row],[Koeficient odhadu CR '[-'] (P1)]]*$BI83*$IQ83)</f>
        <v>0</v>
      </c>
      <c r="EG83" s="140">
        <f ca="1">IF(OFFSET(AZ83,1,0,1,1)&lt;&gt;0,$BI83*SUMIFS(RZ[Úroveň 3 bez koef. (P3)],RZ[0],AX83,RZ[Úroveň 2 (P0)],AY83),$BI83*$IQ83)</f>
        <v>0</v>
      </c>
      <c r="EH83" s="135">
        <f ca="1">RZ[[#This Row],[Úroveň 3 s koef. (P3a)]]*RZ[[#This Row],[Počet MJCR (P0) pro "kg"]]</f>
        <v>1058</v>
      </c>
      <c r="EI83" s="135">
        <f ca="1">RZ[Úroveň 3 bez koef. (P3a)]*RZ[[#This Row],[Počet MJCR (P0) pro "kg"]]</f>
        <v>1058</v>
      </c>
      <c r="EJ83" s="135">
        <f ca="1">IF(OFFSET(BA83,1,0,1,1)&lt;&gt;0,RZ[[#This Row],[Koeficient odhadu CR '[-'] (P1)]]*$BJ83*SUMIFS(RZ[Úroveň 4 s koef. (P3)],RZ[0],AX83,RZ[Úroveň 2 (P0)],AY83,RZ[Úroveň 3 (P0)],AZ83),RZ[[#This Row],[Koeficient odhadu CR '[-'] (P1)]]*$BJ83*$IQ83)</f>
        <v>115</v>
      </c>
      <c r="EK83" s="135">
        <f ca="1">IF(OFFSET(BA83,1,0,1,1)&lt;&gt;0,$BJ83*SUMIFS(RZ[Úroveň 4 bez koef. (P3)],RZ[0],AX83,RZ[Úroveň 2 (P0)],AY83,RZ[Úroveň 3 (P0)],AZ83),$BJ83*$IQ83)</f>
        <v>115</v>
      </c>
      <c r="EL83" s="140">
        <f ca="1">RZ[[#This Row],[Úroveň 4 s koef. (P3a)]]*RZ[[#This Row],[Počet MJCR (P0) pro "kg"]]</f>
        <v>0</v>
      </c>
      <c r="EM83" s="140">
        <f ca="1">RZ[Úroveň 4 bez koef. (P3a)]*RZ[[#This Row],[Počet MJCR (P0) pro "kg"]]</f>
        <v>0</v>
      </c>
      <c r="EN83" s="140">
        <f ca="1">IF(OFFSET(BB83,1,0,1,1)&lt;&gt;0,RZ[[#This Row],[Koeficient odhadu CR '[-'] (P1)]]*$BK83*SUMIFS(RZ[Úroveň 5 s koef. (P3)],RZ[0],AX83,RZ[Úroveň 2 (P0)],AY83,RZ[Úroveň 3 (P0)],AZ83,RZ[Úroveň 4 (P0)],BA83),RZ[[#This Row],[Koeficient odhadu CR '[-'] (P1)]]*$BK83*$IQ83)</f>
        <v>0</v>
      </c>
      <c r="EO83" s="140">
        <f ca="1">IF(OFFSET(BB83,1,0,1,1)&lt;&gt;0,$BK83*SUMIFS(RZ[Úroveň 5 bez koef. (P3)],RZ[0],AX83,RZ[Úroveň 2 (P0)],AY83,RZ[Úroveň 3 (P0)],AZ83,RZ[Úroveň 4 (P0)],BA83),$BK83*$IQ83)</f>
        <v>0</v>
      </c>
      <c r="EP83" s="135">
        <f ca="1">RZ[[#This Row],[Úroveň 5 s koef. (P3a)]]*RZ[[#This Row],[Počet MJCR (P0) pro "kg"]]</f>
        <v>0</v>
      </c>
      <c r="EQ83" s="135">
        <f ca="1">RZ[Úroveň 5 bez koef. (P3a)]*RZ[[#This Row],[Počet MJCR (P0) pro "kg"]]</f>
        <v>0</v>
      </c>
      <c r="ER83" s="135">
        <f ca="1">IF(OFFSET(BC83,1,0,1,1)&lt;&gt;0,RZ[[#This Row],[Koeficient odhadu CR '[-'] (P1)]]*$BL83*SUMIFS(RZ[Úroveň 6 s koef. (P3)],RZ[0],AX83,RZ[Úroveň 2 (P0)],AY83,RZ[Úroveň 3 (P0)],AZ83,RZ[Úroveň 4 (P0)],BA83,RZ[Úroveň 5 (P0)],BB83),RZ[[#This Row],[Koeficient odhadu CR '[-'] (P1)]]*$BL83*$IQ83)</f>
        <v>0</v>
      </c>
      <c r="ES83" s="135">
        <f ca="1">IF(OFFSET(BC83,1,0,1,1)&lt;&gt;0,$BL83*SUMIFS(RZ[Úroveň 6 bez koef. (P3)],RZ[0],AX83,RZ[Úroveň 2 (P0)],AY83,RZ[Úroveň 3 (P0)],AZ83,RZ[Úroveň 4 (P0)],BA83,RZ[Úroveň 5 (P0)],BB83),$BL83*$IQ83)</f>
        <v>0</v>
      </c>
      <c r="ET83" s="140">
        <f ca="1">RZ[[#This Row],[Úroveň 6 s koef. (P3a)]]*RZ[[#This Row],[Počet MJCR (P0) pro "kg"]]</f>
        <v>0</v>
      </c>
      <c r="EU83" s="140">
        <f ca="1">RZ[Úroveň 6 bez koef. (P3a)]*RZ[[#This Row],[Počet MJCR (P0) pro "kg"]]</f>
        <v>0</v>
      </c>
      <c r="EV83" s="140">
        <f ca="1">IF(OFFSET(BD83,1,0,1,1)&lt;&gt;0,RZ[[#This Row],[Koeficient odhadu CR '[-'] (P1)]]*$BM83*SUMIFS(RZ[Úroveň 7 s koef. (P3)],RZ[0],AX83,RZ[Úroveň 2 (P0)],AY83,RZ[Úroveň 3 (P0)],AZ83,RZ[Úroveň 4 (P0)],BA83,RZ[Úroveň 5 (P0)],BB83,RZ[Úroveň 6 (P0)],BC83),RZ[[#This Row],[Koeficient odhadu CR '[-'] (P1)]]*$BM83*$IQ83)</f>
        <v>0</v>
      </c>
      <c r="EW83" s="140">
        <f ca="1">IF(OFFSET(BD83,1,0,1,1)&lt;&gt;0,$BM83*SUMIFS(RZ[Úroveň 7 bez koef. (P3)],RZ[0],AX83,RZ[Úroveň 2 (P0)],AY83,RZ[Úroveň 3 (P0)],AZ83,RZ[Úroveň 4 (P0)],BA83,RZ[Úroveň 5 (P0)],BB83,RZ[Úroveň 6 (P0)],BC83),$BM83*$IQ83)</f>
        <v>0</v>
      </c>
      <c r="EX83" s="135">
        <f ca="1">RZ[[#This Row],[Úroveň 7 s koef. (P3a)]]*RZ[[#This Row],[Počet MJCR (P0) pro "kg"]]</f>
        <v>0</v>
      </c>
      <c r="EY83" s="135">
        <f ca="1">RZ[Úroveň 7 bez koef. (P3a)]*RZ[[#This Row],[Počet MJCR (P0) pro "kg"]]</f>
        <v>0</v>
      </c>
      <c r="EZ83" s="135">
        <f ca="1">IF(OFFSET(BE83,1,0,1,1)&lt;&gt;0,RZ[[#This Row],[Koeficient odhadu CR '[-'] (P1)]]*$BN83*SUMIFS(RZ[Úroveň 8 s koef. (P3)],RZ[0],AX83,RZ[Úroveň 2 (P0)],AY83,RZ[Úroveň 3 (P0)],AZ83,RZ[Úroveň 4 (P0)],BA83,RZ[Úroveň 5 (P0)],BB83,RZ[Úroveň 6 (P0)],BC83,RZ[Úroveň 7 (P0)],BD83),RZ[[#This Row],[Koeficient odhadu CR '[-'] (P1)]]*$BN83*$IQ83)</f>
        <v>0</v>
      </c>
      <c r="FA83" s="135">
        <f ca="1">IF(OFFSET(BE83,1,0,1,1)&lt;&gt;0,$BN83*SUMIFS(RZ[Úroveň 8 bez koef. (P3)],RZ[0],AX83,RZ[Úroveň 2 (P0)],AY83,RZ[Úroveň 3 (P0)],AZ83,RZ[Úroveň 4 (P0)],BA83,RZ[Úroveň 5 (P0)],BB83,RZ[Úroveň 6 (P0)],BC83,RZ[Úroveň 7 (P0)],BD83),$BN83*$IQ83)</f>
        <v>0</v>
      </c>
      <c r="FB83" s="140">
        <f ca="1">RZ[[#This Row],[Úroveň 8 s koef. (P3a)]]*RZ[[#This Row],[Počet MJCR (P0) pro "kg"]]</f>
        <v>0</v>
      </c>
      <c r="FC83" s="140">
        <f ca="1">RZ[Úroveň 8 bez koef. (P3a)]*RZ[[#This Row],[Počet MJCR (P0) pro "kg"]]</f>
        <v>0</v>
      </c>
      <c r="FD83" s="140">
        <f ca="1">IF(OFFSET(BF83,1,0,1,1)&lt;&gt;0,RZ[[#This Row],[Koeficient odhadu CR '[-'] (P1)]]*$BO83*SUMIFS(RZ[Úroveň 9 s koef. (P3)],RZ[0],AX83,RZ[Úroveň 2 (P0)],AY83,RZ[Úroveň 3 (P0)],AZ83,RZ[Úroveň 4 (P0)],BA83,RZ[Úroveň 5 (P0)],BB83,RZ[Úroveň 6 (P0)],BC83,RZ[Úroveň 7 (P0)],BD83,RZ[Úroveň 8 (P0)],BE83),RZ[[#This Row],[Koeficient odhadu CR '[-'] (P1)]]*$BO83*$IQ83)</f>
        <v>0</v>
      </c>
      <c r="FE83" s="140">
        <f ca="1">IF(OFFSET(BF83,1,0,1,1)&lt;&gt;0,$BO83*SUMIFS(RZ[Úroveň 9 bez koef. (P3)],RZ[0],AX83,RZ[Úroveň 2 (P0)],AY83,RZ[Úroveň 3 (P0)],AZ83,RZ[Úroveň 4 (P0)],BA83,RZ[Úroveň 5 (P0)],BB83,RZ[Úroveň 6 (P0)],BC83,RZ[Úroveň 7 (P0)],BD83,RZ[Úroveň 8 (P0)],BE83),$BO83*$IQ83)</f>
        <v>0</v>
      </c>
      <c r="FF83" s="135">
        <f ca="1">RZ[[#This Row],[Úroveň 9 s koef. (P3a)]]*RZ[[#This Row],[Počet MJCR (P0) pro "kg"]]</f>
        <v>0</v>
      </c>
      <c r="FG83" s="135">
        <f ca="1">RZ[Úroveň 9 bez koef. (P3a)]*RZ[[#This Row],[Počet MJCR (P0) pro "kg"]]</f>
        <v>0</v>
      </c>
      <c r="FH83" s="135">
        <f ca="1">IF(OFFSET(BG83,1,0,1,1)&lt;&gt;0,RZ[[#This Row],[Koeficient odhadu CR '[-'] (P1)]]*$BP83*SUMIFS(RZ[Úroveň 10 s koef. (P3)],RZ[0],AX83,RZ[Úroveň 2 (P0)],AY83,RZ[Úroveň 3 (P0)],AZ83,RZ[Úroveň 4 (P0)],BA83,RZ[Úroveň 5 (P0)],BB83,RZ[Úroveň 6 (P0)],BC83,RZ[Úroveň 7 (P0)],BD83,RZ[Úroveň 8 (P0)],BE83,RZ[Úroveň 9 (P0)],BF83),RZ[[#This Row],[Koeficient odhadu CR '[-'] (P1)]]*$BP83*$IQ83)</f>
        <v>0</v>
      </c>
      <c r="FI83" s="135">
        <f ca="1">IF(OFFSET(BG83,1,0,1,1)&lt;&gt;0,$BP83*SUMIFS(RZ[Úroveň 10 bez koef. (P3)],RZ[0],AX83,RZ[Úroveň 2 (P0)],AY83,RZ[Úroveň 3 (P0)],AZ83,RZ[Úroveň 4 (P0)],BA83,RZ[Úroveň 5 (P0)],BB83,RZ[Úroveň 6 (P0)],BC83,RZ[Úroveň 7 (P0)],BD83,RZ[Úroveň 8 (P0)],BE83,RZ[Úroveň 9 (P0)],BF83),$BP83*$IQ83)</f>
        <v>0</v>
      </c>
      <c r="FJ83" s="140">
        <f ca="1">RZ[[#This Row],[Úroveň 10 s koef. (P3a)]]*RZ[[#This Row],[Počet MJCR (P0) pro "kg"]]</f>
        <v>0</v>
      </c>
      <c r="FK83" s="140">
        <f ca="1">RZ[Úroveň 10 bez koef. (P3a)]*RZ[[#This Row],[Počet MJCR (P0) pro "kg"]]</f>
        <v>0</v>
      </c>
      <c r="FL83" s="140">
        <f ca="1">RZ[[#This Row],[Koeficient odhadu CR '[-'] (P1)]]*$BQ83*IQ83</f>
        <v>0</v>
      </c>
      <c r="FM83" s="236">
        <f t="shared" ca="1" si="536"/>
        <v>0</v>
      </c>
      <c r="FN83" s="194">
        <f t="shared" ca="1" si="537"/>
        <v>115</v>
      </c>
      <c r="FO83" s="238">
        <f t="shared" ca="1" si="538"/>
        <v>115</v>
      </c>
      <c r="FP83" s="135">
        <f t="shared" ca="1" si="539"/>
        <v>0</v>
      </c>
      <c r="FQ83" s="135">
        <f t="shared" ca="1" si="540"/>
        <v>0</v>
      </c>
      <c r="FR83" s="135">
        <f t="shared" ca="1" si="541"/>
        <v>9.1999999999999993</v>
      </c>
      <c r="FS83" s="135">
        <f t="shared" ca="1" si="542"/>
        <v>0</v>
      </c>
      <c r="FT83" s="135">
        <f t="shared" ca="1" si="543"/>
        <v>0</v>
      </c>
      <c r="FU83" s="135">
        <f t="shared" ca="1" si="544"/>
        <v>0</v>
      </c>
      <c r="FV83" s="135">
        <f t="shared" ca="1" si="545"/>
        <v>0</v>
      </c>
      <c r="FW83" s="135">
        <f t="shared" ca="1" si="546"/>
        <v>0</v>
      </c>
      <c r="FX83" s="135">
        <f t="shared" ca="1" si="547"/>
        <v>0</v>
      </c>
      <c r="FY83" s="135">
        <f t="shared" ca="1" si="548"/>
        <v>0</v>
      </c>
      <c r="FZ83" s="140">
        <f ca="1">SUMIFS(RZ[Úroveň 1 (P6)],RZ[0],AX83)</f>
        <v>1</v>
      </c>
      <c r="GA83" s="140">
        <f ca="1">SUMIFS(RZ[Úroveň 2 (P6)],RZ[0],AX83,RZ[Úroveň 2 (P0)],AY83)</f>
        <v>1</v>
      </c>
      <c r="GB83" s="140">
        <f ca="1">SUMIFS(RZ[Úroveň 3 (P6)],RZ[0],AX83,RZ[Úroveň 2 (P0)],AY83,RZ[Úroveň 3 (P0)],AZ83)</f>
        <v>9.1999999999999993</v>
      </c>
      <c r="GC83" s="140">
        <f ca="1">SUMIFS(RZ[Úroveň 4 (P6)],RZ[0],AX83,RZ[Úroveň 2 (P0)],AY83,RZ[Úroveň 3 (P0)],AZ83,RZ[Úroveň 4 (P0)],BA83)</f>
        <v>0</v>
      </c>
      <c r="GD83" s="140">
        <f ca="1">SUMIFS(RZ[Úroveň 5 (P6)],RZ[0],AX83,RZ[Úroveň 2 (P0)],AY83,RZ[Úroveň 3 (P0)],AZ83,RZ[Úroveň 4 (P0)],BA83,RZ[Úroveň 5 (P0)],BB83)</f>
        <v>0</v>
      </c>
      <c r="GE83" s="140">
        <f ca="1">SUMIFS(RZ[Úroveň 6 (P6)],RZ[0],AX83,RZ[Úroveň 2 (P0)],AY83,RZ[Úroveň 3 (P0)],AZ83,RZ[Úroveň 4 (P0)],BA83,RZ[Úroveň 5 (P0)],BB83,RZ[Úroveň 6 (P0)],BC83)</f>
        <v>0</v>
      </c>
      <c r="GF83" s="140">
        <f ca="1">SUMIFS(RZ[Úroveň 7 (P6)],RZ[0],AX83,RZ[Úroveň 2 (P0)],AY83,RZ[Úroveň 3 (P0)],AZ83,RZ[Úroveň 4 (P0)],BA83,RZ[Úroveň 5 (P0)],BB83,RZ[Úroveň 6 (P0)],BC83,RZ[Úroveň 7 (P0)],BD83)</f>
        <v>0</v>
      </c>
      <c r="GG83" s="140">
        <f ca="1">SUMIFS(RZ[Úroveň 8 (P6)],RZ[0],AX83,RZ[Úroveň 2 (P0)],AY83,RZ[Úroveň 3 (P0)],AZ83,RZ[Úroveň 4 (P0)],BA83,RZ[Úroveň 5 (P0)],BB83,RZ[Úroveň 6 (P0)],BC83,RZ[Úroveň 7 (P0)],BD83,RZ[Úroveň 8 (P0)],BE83)</f>
        <v>0</v>
      </c>
      <c r="GH83" s="140">
        <f ca="1">SUMIFS(RZ[Úroveň 9 (P6)],RZ[0],AX83,RZ[Úroveň 2 (P0)],AY83,RZ[Úroveň 3 (P0)],AZ83,RZ[Úroveň 4 (P0)],BA83,RZ[Úroveň 5 (P0)],BB83,RZ[Úroveň 6 (P0)],BC83,RZ[Úroveň 7 (P0)],BD83,RZ[Úroveň 8 (P0)],BE83,RZ[Úroveň 9 (P0)],BF83)</f>
        <v>0</v>
      </c>
      <c r="GI83" s="140">
        <f ca="1">SUMIFS(RZ[Úroveň 10 (P6)],RZ[0],AX83,RZ[Úroveň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GJ83" s="918">
        <f t="shared" ca="1" si="549"/>
        <v>9.1999999999999993</v>
      </c>
      <c r="GK83" s="808">
        <f t="shared" si="550"/>
        <v>0</v>
      </c>
      <c r="GL83" s="808">
        <f t="shared" si="551"/>
        <v>0</v>
      </c>
      <c r="GM83" s="808">
        <f t="shared" si="552"/>
        <v>1</v>
      </c>
      <c r="GN83" s="808">
        <f t="shared" si="553"/>
        <v>0</v>
      </c>
      <c r="GO83" s="808">
        <f t="shared" si="554"/>
        <v>0</v>
      </c>
      <c r="GP83" s="808">
        <f t="shared" si="555"/>
        <v>0</v>
      </c>
      <c r="GQ83" s="808">
        <f t="shared" si="556"/>
        <v>0</v>
      </c>
      <c r="GR83" s="808">
        <f t="shared" si="557"/>
        <v>0</v>
      </c>
      <c r="GS83" s="808">
        <f t="shared" si="558"/>
        <v>0</v>
      </c>
      <c r="GT83" s="808">
        <f t="shared" si="559"/>
        <v>0</v>
      </c>
      <c r="GU83" s="809">
        <f ca="1">SUMIFS(RZ[Sloupec1],RZ[0],AX83)</f>
        <v>1</v>
      </c>
      <c r="GV83" s="809">
        <f ca="1">SUMIFS(RZ[Sloupec2],RZ[0],AX83,RZ[Úroveň 2 (P0)],AY83)</f>
        <v>1</v>
      </c>
      <c r="GW83" s="809">
        <f ca="1">SUMIFS(RZ[Sloupec3],RZ[0],AX83,RZ[Úroveň 2 (P0)],AY83,RZ[Úroveň 3 (P0)],AZ83)</f>
        <v>1</v>
      </c>
      <c r="GX83" s="809">
        <f ca="1">SUMIFS(RZ[Sloupec4],RZ[0],AX83,RZ[Úroveň 2 (P0)],AY83,RZ[Úroveň 3 (P0)],AZ83,RZ[Úroveň 4 (P0)],BA83)</f>
        <v>0</v>
      </c>
      <c r="GY83" s="809">
        <f ca="1">SUMIFS(RZ[Sloupec5],RZ[0],AX83,RZ[Úroveň 2 (P0)],AY83,RZ[Úroveň 3 (P0)],AZ83,RZ[Úroveň 4 (P0)],BA83,RZ[Úroveň 5 (P0)],BB83)</f>
        <v>0</v>
      </c>
      <c r="GZ83" s="809">
        <f ca="1">SUMIFS(RZ[Sloupec6],RZ[0],AX83,RZ[Úroveň 2 (P0)],AY83,RZ[Úroveň 3 (P0)],AZ83,RZ[Úroveň 4 (P0)],BA83,RZ[Úroveň 5 (P0)],BB83,RZ[Úroveň 6 (P0)],BC83)</f>
        <v>0</v>
      </c>
      <c r="HA83" s="809">
        <f ca="1">SUMIFS(RZ[Sloupec62],RZ[0],AX83,RZ[Úroveň 2 (P0)],AY83,RZ[Úroveň 3 (P0)],AZ83,RZ[Úroveň 4 (P0)],BA83,RZ[Úroveň 5 (P0)],BB83,RZ[Úroveň 6 (P0)],BC83,RZ[Úroveň 7 (P0)],BD83)</f>
        <v>0</v>
      </c>
      <c r="HB83" s="809">
        <f ca="1">SUMIFS(RZ[Sloupec63],RZ[0],AX83,RZ[Úroveň 2 (P0)],AY83,RZ[Úroveň 3 (P0)],AZ83,RZ[Úroveň 4 (P0)],BA83,RZ[Úroveň 5 (P0)],BB83,RZ[Úroveň 6 (P0)],BC83,RZ[Úroveň 7 (P0)],BD83,RZ[Úroveň 8 (P0)],BE83)</f>
        <v>0</v>
      </c>
      <c r="HC83" s="809">
        <f ca="1">SUMIFS(RZ[Sloupec64],RZ[0],AX83,RZ[Úroveň 2 (P0)],AY83,RZ[Úroveň 3 (P0)],AZ83,RZ[Úroveň 4 (P0)],BA83,RZ[Úroveň 5 (P0)],BB83,RZ[Úroveň 6 (P0)],BC83,RZ[Úroveň 7 (P0)],BD83,RZ[Úroveň 8 (P0)],BE83,RZ[Úroveň 9 (P0)],BF83)</f>
        <v>0</v>
      </c>
      <c r="HD83" s="809">
        <f ca="1">SUMIFS(RZ[Sloupec65],RZ[0],AX83,RZ[Úroveň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HE83" s="919">
        <f t="shared" ca="1" si="560"/>
        <v>1</v>
      </c>
      <c r="HF83" s="920" t="str">
        <f t="shared" si="561"/>
        <v/>
      </c>
      <c r="HG83" s="94" t="str">
        <f t="shared" si="562"/>
        <v/>
      </c>
      <c r="HH83" s="95" t="str">
        <f t="shared" si="563"/>
        <v/>
      </c>
      <c r="HI83" s="95" t="str">
        <f t="shared" si="564"/>
        <v>Distanční kroužek</v>
      </c>
      <c r="HJ83" s="96" t="str">
        <f t="shared" si="565"/>
        <v/>
      </c>
      <c r="HK83" s="96" t="str">
        <f t="shared" si="566"/>
        <v/>
      </c>
      <c r="HL83" s="96" t="str">
        <f t="shared" si="567"/>
        <v/>
      </c>
      <c r="HM83" s="96" t="str">
        <f t="shared" si="568"/>
        <v/>
      </c>
      <c r="HN83" s="96" t="str">
        <f t="shared" si="569"/>
        <v/>
      </c>
      <c r="HO83" s="96" t="str">
        <f t="shared" si="570"/>
        <v/>
      </c>
      <c r="HP83" s="96" t="str">
        <f t="shared" si="571"/>
        <v/>
      </c>
      <c r="HQ83" s="145" t="str">
        <f t="shared" si="572"/>
        <v>STO2</v>
      </c>
      <c r="HR83" s="921" t="str">
        <f t="shared" si="573"/>
        <v/>
      </c>
      <c r="HS83" s="173">
        <f t="shared" si="574"/>
        <v>0</v>
      </c>
      <c r="HT83" s="100">
        <f t="shared" si="575"/>
        <v>0</v>
      </c>
      <c r="HU83" s="100">
        <f t="shared" si="576"/>
        <v>0</v>
      </c>
      <c r="HV83" s="908">
        <f t="shared" si="577"/>
        <v>0</v>
      </c>
      <c r="HW83" s="922">
        <f t="shared" si="578"/>
        <v>0</v>
      </c>
      <c r="HX83" s="224">
        <f t="shared" si="579"/>
        <v>0</v>
      </c>
      <c r="HY83" s="263" t="str">
        <f t="shared" si="580"/>
        <v>S</v>
      </c>
      <c r="HZ83" s="263">
        <f t="shared" si="581"/>
        <v>0</v>
      </c>
      <c r="IA83" s="150">
        <f t="shared" si="582"/>
        <v>1</v>
      </c>
      <c r="IB83" s="319">
        <f t="shared" si="583"/>
        <v>0</v>
      </c>
      <c r="IC83" s="923">
        <f t="shared" si="584"/>
        <v>0</v>
      </c>
      <c r="ID83" s="924" t="str">
        <f t="shared" ca="1" si="585"/>
        <v>OK</v>
      </c>
      <c r="IE83" s="201" t="str">
        <f t="shared" si="586"/>
        <v>ks</v>
      </c>
      <c r="IF83" s="145">
        <f t="shared" si="587"/>
        <v>4</v>
      </c>
      <c r="IG83" s="216">
        <f t="shared" si="588"/>
        <v>2.2999999999999998</v>
      </c>
      <c r="IH83" s="217">
        <f t="shared" si="589"/>
        <v>1</v>
      </c>
      <c r="II83" s="224" t="str">
        <f ca="1">IF(RZ[[#This Row],[Rozhodný sloupec indikativní ceny]]=1,"kg",IF($IW83=$JL$15,IF(JX83=0,JO83,JX83),IF($IW83=$KE$15,IF(KQ83=0,KH83,KQ83),IF($IW83=$KX$15,IF(LJ83=0,LA83,LJ83),IF($IW83=$LQ$15,IF(MC83=0,LT83,MC83),IF($IW83=$MJ$15,IF(NQ83=0,NH83,NQ83),0))))))</f>
        <v>kg</v>
      </c>
      <c r="IJ83" s="224">
        <f ca="1">IF((BH83+OFFSET(BH83,1,1,1,1))=2,RZ[[#This Row],[Počet MJHR (P0)]],IF((BI83+OFFSET(BI83,1,1,1,1))=2,RZ[[#This Row],[Počet MJHR (P0)]],IF((BJ83+OFFSET(BJ83,1,1,1,1))=2,RZ[[#This Row],[Počet MJHR (P0)]],IF((BK83+OFFSET(BK83,1,1,1,1))=2,RZ[[#This Row],[Počet MJHR (P0)]],IF((BL83+OFFSET(BL83,1,1,1,1))=2,RZ[[#This Row],[Počet MJHR (P0)]],IF((BM83+OFFSET(BM83,1,1,1,1))=2,RZ[[#This Row],[Počet MJHR (P0)]],IF((BN83+OFFSET(BN83,1,1,1,1))=2,RZ[[#This Row],[Počet MJHR (P0)]],IF((BO83+OFFSET(BO83,1,1,1,1))=2,RZ[[#This Row],[Počet MJHR (P0)]],IF((BP83+OFFSET(BP83,1,1,1,1))=2,RZ[[#This Row],[Počet MJHR (P0)]],IF((BQ83+OFFSET(BQ83,1,1,1,1))=2,RZ[[#This Row],[Počet MJHR (P0)]],IF(RZ[[#This Row],[Měrná jednotka CR (MJCR) (P0)]]=RZ[[#This Row],[Měrná jednotka HR '[MJHR'] (P0)]],RZ[[#This Row],[Počet MJHR (P0)]],IF($IW83=$JL$15,JY83,IF($IW83=$KE$15,KR83,IF($IW83=$KX$15,LK83,IF($IW83=$LQ$15,MD83,IF($IW83=$MJ$15,NR83,0))))))))))))))))</f>
        <v>0</v>
      </c>
      <c r="IK8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9.1999999999999993</v>
      </c>
      <c r="IL83" s="145">
        <f ca="1">IF(AND(RZ[[#This Row],[Jednotková cena bez DPH '[cena/MJCR'] (P0)]]=0,RZ[[#This Row],[Indikativní jednotková cena '[CZK/kg'] (P1)]]&lt;&gt;0),1,0)</f>
        <v>1</v>
      </c>
      <c r="IM83" s="217">
        <f ca="1">VLOOKUP(RZ[[#This Row],[Kód položek]],INDIKAT_CENA,2,FALSE)</f>
        <v>115</v>
      </c>
      <c r="IN83" s="222">
        <f ca="1">IF(RZ[[#This Row],[Rozhodný sloupec indikativní ceny]]=1,RZ[[#This Row],[Indikativní jednotková cena '[CZK/kg'] (P1)]],RZ[[#This Row],[Jednotková cena bez DPH '[cena/MJCR'] (P0)]])</f>
        <v>115</v>
      </c>
      <c r="IO83" s="222">
        <f t="shared" si="590"/>
        <v>1</v>
      </c>
      <c r="IP83" s="224">
        <f ca="1">IF(RZ[[#This Row],[Rozhodný sloupec indikativní ceny]]=1,1,IF($IW83=$JL$15,KA83,IF($IW83=$KE$15,KT83,IF($IW83=$KX$15,LM83,IF($IW83=$LQ$15,MF83,IF($IW83=$MJ$15,NT83,0))))))</f>
        <v>1</v>
      </c>
      <c r="IQ83" s="225">
        <f ca="1">IF(RZ[[#This Row],[Jednotková cena bez DPH '[cena/MJCR'] (P1)]]="",0,IF(IP83=0,0,(RZ[[#This Row],[Jednotková cena bez DPH '[cena/MJCR'] (P1)]]*VLOOKUP(IP83,$BR$7:$BT$10,3))))</f>
        <v>115</v>
      </c>
      <c r="IR83" s="737"/>
      <c r="IS83" s="627">
        <f>IF(HY83=0,"",VLOOKUP(RZ[[#This Row],[Stav Projekce (P0)]],Vstupy!$E$11:'Vstupy'!$E$11:$H$17,4,FALSE))</f>
        <v>100</v>
      </c>
      <c r="IT83" s="925" t="str">
        <f>IF(RZ[[#This Row],[Stav Projekce (P0)]]=0,"",RZ[[#This Row],[Stav Projekce (P0)]])</f>
        <v>S</v>
      </c>
      <c r="IU83" s="925" t="str">
        <f>IF(RZ[[#This Row],[Stav Nákup (P0)]]=0,"",RZ[[#This Row],[Stav Nákup (P0)]])</f>
        <v/>
      </c>
      <c r="IV83" s="926" t="str">
        <f t="shared" si="591"/>
        <v/>
      </c>
      <c r="IW83" s="641">
        <v>1</v>
      </c>
      <c r="IX83" s="630"/>
      <c r="IY83" s="264"/>
      <c r="IZ83" s="648"/>
      <c r="JA83" s="100"/>
      <c r="JB83" s="100" t="s">
        <v>791</v>
      </c>
      <c r="JC83" s="100"/>
      <c r="JD83" s="100"/>
      <c r="JE83" s="100"/>
      <c r="JF83" s="100"/>
      <c r="JG83" s="100"/>
      <c r="JH83" s="100"/>
      <c r="JI83" s="100"/>
      <c r="JJ83" s="145" t="s">
        <v>773</v>
      </c>
      <c r="JK83" s="529"/>
      <c r="JL83" s="286"/>
      <c r="JM83" s="100"/>
      <c r="JN83" s="100"/>
      <c r="JO83" s="145" t="s">
        <v>35</v>
      </c>
      <c r="JP83" s="117">
        <v>4</v>
      </c>
      <c r="JQ83" s="117">
        <v>2.2999999999999998</v>
      </c>
      <c r="JR83" s="148">
        <v>1</v>
      </c>
      <c r="JS83" s="145" t="s">
        <v>602</v>
      </c>
      <c r="JT83" s="631"/>
      <c r="JU83" s="148"/>
      <c r="JV83" s="154"/>
      <c r="JW83" s="145"/>
      <c r="JX83" s="210"/>
      <c r="JY83" s="117"/>
      <c r="JZ83" s="662"/>
      <c r="KA83" s="145"/>
      <c r="KB83" s="148"/>
      <c r="KC83" s="148"/>
      <c r="KD83" s="644"/>
      <c r="KE83" s="286"/>
      <c r="KF83" s="100"/>
      <c r="KG83" s="100"/>
      <c r="KH83" s="210"/>
      <c r="KI83" s="117"/>
      <c r="KJ83" s="117"/>
      <c r="KK83" s="148"/>
      <c r="KL83" s="145"/>
      <c r="KM83" s="632"/>
      <c r="KN83" s="148"/>
      <c r="KO83" s="154"/>
      <c r="KP83" s="154"/>
      <c r="KQ83" s="210"/>
      <c r="KR83" s="117"/>
      <c r="KS83" s="211"/>
      <c r="KT83" s="145"/>
      <c r="KU83" s="148"/>
      <c r="KV83" s="148"/>
      <c r="KW83" s="265"/>
      <c r="KX83" s="286"/>
      <c r="KY83" s="100"/>
      <c r="KZ83" s="100"/>
      <c r="LA83" s="210"/>
      <c r="LB83" s="117"/>
      <c r="LC83" s="117"/>
      <c r="LD83" s="148"/>
      <c r="LE83" s="145"/>
      <c r="LF83" s="632"/>
      <c r="LG83" s="148"/>
      <c r="LH83" s="154"/>
      <c r="LI83" s="154"/>
      <c r="LJ83" s="154"/>
      <c r="LK83" s="117"/>
      <c r="LL83" s="211"/>
      <c r="LM83" s="210"/>
      <c r="LN83" s="148"/>
      <c r="LO83" s="148"/>
      <c r="LP83" s="265"/>
      <c r="LQ83" s="286"/>
      <c r="LR83" s="100"/>
      <c r="LS83" s="100"/>
      <c r="LT83" s="210"/>
      <c r="LU83" s="117"/>
      <c r="LV83" s="117"/>
      <c r="LW83" s="148"/>
      <c r="LX83" s="145"/>
      <c r="LY83" s="632"/>
      <c r="LZ83" s="148"/>
      <c r="MA83" s="154"/>
      <c r="MB83" s="154"/>
      <c r="MC83" s="145"/>
      <c r="MD83" s="117"/>
      <c r="ME83" s="211"/>
      <c r="MF83" s="210"/>
      <c r="MG83" s="148"/>
      <c r="MH83" s="148"/>
      <c r="MI83" s="265"/>
      <c r="MJ83" s="647"/>
      <c r="MK83" s="264"/>
      <c r="ML83" s="153"/>
      <c r="MM83" s="153"/>
      <c r="MN83" s="153"/>
      <c r="MO83" s="153"/>
      <c r="MP83" s="153"/>
      <c r="MQ83" s="153"/>
      <c r="MR83" s="153"/>
      <c r="MS83" s="99"/>
      <c r="MT83" s="99"/>
      <c r="MU83" s="99"/>
      <c r="MV83" s="99"/>
      <c r="MW83" s="99"/>
      <c r="MX83" s="99"/>
      <c r="MY83" s="153"/>
      <c r="MZ83" s="153"/>
      <c r="NA83" s="153"/>
      <c r="NB83" s="153"/>
      <c r="NC83" s="153"/>
      <c r="ND83" s="153"/>
      <c r="NE83" s="148"/>
      <c r="NF83" s="153"/>
      <c r="NG83" s="153"/>
      <c r="NH83" s="330" t="str">
        <f t="shared" si="592"/>
        <v>ks</v>
      </c>
      <c r="NI83" s="797">
        <f>RZ[[#This Row],[Počet ks (K)]]</f>
        <v>0</v>
      </c>
      <c r="NJ83" s="798">
        <f>RZ[[#This Row],[Hmotnost '[kg/ks'] (K)]]</f>
        <v>0</v>
      </c>
      <c r="NK83" s="148"/>
      <c r="NL83" s="145"/>
      <c r="NM83" s="632"/>
      <c r="NN83" s="148"/>
      <c r="NO83" s="154"/>
      <c r="NP83" s="153"/>
      <c r="NQ83" s="153"/>
      <c r="NR83" s="210"/>
      <c r="NS83" s="148"/>
      <c r="NT83" s="210"/>
      <c r="NU83" s="148"/>
      <c r="NV83" s="148"/>
      <c r="NW83" s="175"/>
    </row>
    <row r="84" spans="2:387" ht="15.95" customHeight="1" x14ac:dyDescent="0.35">
      <c r="B84" s="118" t="str">
        <f t="shared" si="476"/>
        <v/>
      </c>
      <c r="C8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4" s="262" t="str">
        <f t="shared" si="477"/>
        <v xml:space="preserve">    Distanční kroužek</v>
      </c>
      <c r="E84" s="120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Row],[Kód položek (P2)]]))))))))))</f>
        <v>STO2</v>
      </c>
      <c r="F84" s="791" t="str">
        <f t="shared" si="478"/>
        <v>N/A</v>
      </c>
      <c r="G84" s="792" t="str">
        <f t="shared" si="479"/>
        <v/>
      </c>
      <c r="H84" s="262" t="str">
        <f t="shared" si="480"/>
        <v/>
      </c>
      <c r="I84" s="123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HR '[MJHR'] (P0)]]))))))))))</f>
        <v>ks</v>
      </c>
      <c r="J84" s="123">
        <f t="shared" si="481"/>
        <v>8</v>
      </c>
      <c r="K84" s="793">
        <f>RZ[[#This Row],[Koeficient odhadu HR '[-'] (P1)]]</f>
        <v>1</v>
      </c>
      <c r="L84" s="124">
        <f ca="1">RZ[[#This Row],[Jednotková hmotnost s koef. '[kg/MJHR'] (P0)]]</f>
        <v>0.9</v>
      </c>
      <c r="M84" s="794">
        <f t="shared" ca="1" si="482"/>
        <v>0</v>
      </c>
      <c r="N84" s="125">
        <f t="shared" ca="1" si="483"/>
        <v>7.2</v>
      </c>
      <c r="O84" s="125">
        <f t="shared" ca="1" si="484"/>
        <v>0</v>
      </c>
      <c r="P84" s="126" t="str">
        <f t="shared" si="485"/>
        <v/>
      </c>
      <c r="Q84" s="795">
        <f ca="1">RZ[[#This Row],[Počet MJHR v rozpadu (P0)]]</f>
        <v>8</v>
      </c>
      <c r="R84" s="439" t="str">
        <f t="shared" si="486"/>
        <v/>
      </c>
      <c r="S84" s="129" t="str">
        <f t="shared" si="487"/>
        <v/>
      </c>
      <c r="T84" s="126" t="str">
        <f t="shared" si="488"/>
        <v/>
      </c>
      <c r="U84" s="126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CR (MJCR) (P0)]]))))))))))</f>
        <v>kg</v>
      </c>
      <c r="V84" s="575">
        <f t="shared" ca="1" si="489"/>
        <v>7.2</v>
      </c>
      <c r="W84" s="322">
        <f>RZ[[#This Row],[Koeficient odhadu CR '[-'] (P1)]]</f>
        <v>1</v>
      </c>
      <c r="X84" s="440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Row],[Jednotková cena bez DPH '[cena/MJCR'] (P1)]]*RZ[[#This Row],[Koeficient odhadu CR '[-']]]))))))))))</f>
        <v>115</v>
      </c>
      <c r="Y84" s="440">
        <f t="shared" ca="1" si="490"/>
        <v>0</v>
      </c>
      <c r="Z84" s="142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VLOOKUP(IP84,$BR$7:$BS$11,2,FALSE)))))))))))</f>
        <v>CZK</v>
      </c>
      <c r="AA84" s="909">
        <f t="shared" ca="1" si="491"/>
        <v>7.2</v>
      </c>
      <c r="AB84" s="910">
        <f ca="1">RZ[[#This Row],[Kumulovaný koeficient v rozpadu (P0)]]</f>
        <v>1</v>
      </c>
      <c r="AC84" s="261"/>
      <c r="AD84" s="796">
        <f ca="1">RZ[[#This Row],[Jednotková cena bez DPH '[cena/MJCR'] s koef. (P0)]]/RZ[[#This Row],[Koeficient odhadu CR '[-']]]*RZ[[#This Row],[Kumulovaný koeficient odhadu CR  '[-']]]</f>
        <v>115</v>
      </c>
      <c r="AE84" s="796">
        <f t="shared" ca="1" si="492"/>
        <v>828</v>
      </c>
      <c r="AF84" s="796">
        <f ca="1">-IF(ISNUMBER(AA84),RZ[[#This Row],[Celková cena bez DPH (1)]]-RZ[[#This Row],[Jednotková cena bez DPH '[cena/MJCR'] bez koef. (P0)]]*AA84,0)</f>
        <v>0</v>
      </c>
      <c r="AG8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4" s="261"/>
      <c r="AI84" s="796">
        <f t="shared" ca="1" si="493"/>
        <v>4.2592592592592595</v>
      </c>
      <c r="AJ84" s="796">
        <f t="shared" ca="1" si="494"/>
        <v>30.666666666666668</v>
      </c>
      <c r="AK84" s="796">
        <f t="shared" ca="1" si="495"/>
        <v>0</v>
      </c>
      <c r="AL84" s="753">
        <f ca="1">RZ[[#This Row],[Kilogramová cena bez DPH '[cena/kg'] (1)]]/$AK$13</f>
        <v>4.2592592592592595</v>
      </c>
      <c r="AM84" s="261"/>
      <c r="AN84" s="796">
        <f t="shared" ca="1" si="496"/>
        <v>5.5555555555555554</v>
      </c>
      <c r="AO84" s="796">
        <f t="shared" ca="1" si="497"/>
        <v>40</v>
      </c>
      <c r="AP84" s="796">
        <f t="shared" ca="1" si="498"/>
        <v>0</v>
      </c>
      <c r="AQ84" s="753">
        <f ca="1">RZ[[#This Row],[Kilogramová cena bez DPH '[cena/kg'] (1)]]/$AP$13</f>
        <v>5.5555555555555554</v>
      </c>
      <c r="AR84" s="261"/>
      <c r="AS84" s="796">
        <f t="shared" ca="1" si="499"/>
        <v>3.1455142231947484</v>
      </c>
      <c r="AT84" s="796">
        <f t="shared" ca="1" si="500"/>
        <v>22.647702407002186</v>
      </c>
      <c r="AU84" s="789">
        <f t="shared" ca="1" si="501"/>
        <v>0</v>
      </c>
      <c r="AV84" s="767">
        <f ca="1">RZ[[#This Row],[Kilogramová cena bez DPH '[cena/kg'] (1)]]/$AU$13</f>
        <v>3.1455142231947484</v>
      </c>
      <c r="AW84" s="165"/>
      <c r="AX84" s="911">
        <f t="shared" ca="1" si="502"/>
        <v>2</v>
      </c>
      <c r="AY84" s="111">
        <f t="shared" ca="1" si="503"/>
        <v>3</v>
      </c>
      <c r="AZ84" s="111">
        <f t="shared" ca="1" si="504"/>
        <v>11</v>
      </c>
      <c r="BA84" s="111">
        <f t="shared" ca="1" si="505"/>
        <v>0</v>
      </c>
      <c r="BB84" s="111">
        <f t="shared" ca="1" si="506"/>
        <v>0</v>
      </c>
      <c r="BC84" s="111">
        <f t="shared" ca="1" si="507"/>
        <v>0</v>
      </c>
      <c r="BD84" s="111">
        <f t="shared" ca="1" si="508"/>
        <v>0</v>
      </c>
      <c r="BE84" s="111">
        <f t="shared" ca="1" si="509"/>
        <v>0</v>
      </c>
      <c r="BF84" s="111">
        <f t="shared" ca="1" si="510"/>
        <v>0</v>
      </c>
      <c r="BG84" s="112">
        <f t="shared" ca="1" si="511"/>
        <v>0</v>
      </c>
      <c r="BH84" s="911">
        <f t="shared" si="512"/>
        <v>0</v>
      </c>
      <c r="BI84" s="111">
        <f t="shared" si="513"/>
        <v>0</v>
      </c>
      <c r="BJ84" s="111">
        <f t="shared" si="514"/>
        <v>1</v>
      </c>
      <c r="BK84" s="111">
        <f t="shared" si="515"/>
        <v>0</v>
      </c>
      <c r="BL84" s="111">
        <f t="shared" si="516"/>
        <v>0</v>
      </c>
      <c r="BM84" s="111">
        <f t="shared" si="517"/>
        <v>0</v>
      </c>
      <c r="BN84" s="111">
        <f t="shared" si="518"/>
        <v>0</v>
      </c>
      <c r="BO84" s="111">
        <f t="shared" si="519"/>
        <v>0</v>
      </c>
      <c r="BP84" s="111">
        <f t="shared" si="520"/>
        <v>0</v>
      </c>
      <c r="BQ84" s="112">
        <f t="shared" si="521"/>
        <v>0</v>
      </c>
      <c r="BR84" s="132">
        <f ca="1">IF(OFFSET(AY84,1,0,1,1)&lt;&gt;0,RZ[[#This Row],[Koeficient odhadu HR '[-'] (P1)]]*$BH84*SUMIFS(RZ[Úroveň 2 s koef. (P2)],RZ[0],AX84),RZ[[#This Row],[Koeficient odhadu HR '[-'] (P1)]]*$BH84*$IG84)</f>
        <v>0</v>
      </c>
      <c r="BS84" s="186">
        <f ca="1">IF(OFFSET(AY84,1,0,1,1)&lt;&gt;0,$BH84*SUMIFS(RZ[Úroveň 2 bez koef. (P2)],RZ[0],AX84),$BH84*$IG84)</f>
        <v>0</v>
      </c>
      <c r="BT84" s="138">
        <f ca="1">RZ[[#This Row],[Úroveň 2 s koef. (P2a)]]*RZ[[#This Row],[Počet MJHR (P0)]]</f>
        <v>0</v>
      </c>
      <c r="BU84" s="138">
        <f ca="1">RZ[[#This Row],[Úroveň 2 bez koef. (P2a)]]*RZ[[#This Row],[Počet MJHR (P0)]]</f>
        <v>0</v>
      </c>
      <c r="BV84" s="138">
        <f ca="1">IF(OFFSET(AZ84,1,0,1,1)&lt;&gt;0,RZ[[#This Row],[Koeficient odhadu HR '[-'] (P1)]]*$BI84*SUMIFS(RZ[Úroveň 3 s koef. (P2)],RZ[0],AX84,RZ[Úroveň 2 (P0)],AY84),RZ[[#This Row],[Koeficient odhadu HR '[-'] (P1)]]*$BI84*$IG84)</f>
        <v>0</v>
      </c>
      <c r="BW84" s="138">
        <f ca="1">IF(OFFSET(AZ84,1,0,1,1)&lt;&gt;0,$BI84*SUMIFS(RZ[Úroveň 3 bez koef. (P2)],RZ[0],AX84,RZ[Úroveň 2 (P0)],AY84),$BI84*$IG84)</f>
        <v>0</v>
      </c>
      <c r="BX84" s="132">
        <f ca="1">RZ[[#This Row],[Úroveň 3 s koef. (P2a)]]*RZ[[#This Row],[Počet MJHR (P0)]]</f>
        <v>7.2</v>
      </c>
      <c r="BY84" s="132">
        <f ca="1">RZ[Úroveň 3 bez koef. (P2a)]*RZ[[#This Row],[Počet MJHR (P0)]]</f>
        <v>7.2</v>
      </c>
      <c r="BZ84" s="132">
        <f ca="1">IF(OFFSET(BA84,1,0,1,1)&lt;&gt;0,RZ[[#This Row],[Koeficient odhadu HR '[-'] (P1)]]*$BJ84*SUMIFS(RZ[Úroveň 4 s koef. (P2)],RZ[0],AX84,RZ[Úroveň 2 (P0)],AY84,RZ[Úroveň 3 (P0)],AZ84),RZ[[#This Row],[Koeficient odhadu HR '[-'] (P1)]]*$BJ84*$IG84)</f>
        <v>0.9</v>
      </c>
      <c r="CA84" s="132">
        <f ca="1">IF(OFFSET(BA84,1,0,1,1)&lt;&gt;0,$BJ84*SUMIFS(RZ[Úroveň 4 bez koef. (P2)],RZ[0],AX84,RZ[Úroveň 2 (P0)],AY84,RZ[Úroveň 3 (P0)],AZ84),$BJ84*$IG84)</f>
        <v>0.9</v>
      </c>
      <c r="CB84" s="138">
        <f ca="1">RZ[[#This Row],[Úroveň 4 s koef. (P2a)]]*RZ[[#This Row],[Počet MJHR (P0)]]</f>
        <v>0</v>
      </c>
      <c r="CC84" s="138">
        <f ca="1">RZ[Úroveň 4 bez koef. (P2a)]*RZ[[#This Row],[Počet MJHR (P0)]]</f>
        <v>0</v>
      </c>
      <c r="CD84" s="138">
        <f ca="1">IF(OFFSET(BB84,1,0,1,1)&lt;&gt;0,RZ[[#This Row],[Koeficient odhadu HR '[-'] (P1)]]*$BK84*SUMIFS(RZ[Úroveň 5 s koef. (P2)],RZ[0],AX84,RZ[Úroveň 2 (P0)],AY84,RZ[Úroveň 3 (P0)],AZ84,RZ[Úroveň 4 (P0)],BA84),RZ[[#This Row],[Koeficient odhadu HR '[-'] (P1)]]*$BK84*$IG84)</f>
        <v>0</v>
      </c>
      <c r="CE84" s="138">
        <f ca="1">IF(OFFSET(BB84,1,0,1,1)&lt;&gt;0,$BK84*SUMIFS(RZ[Úroveň 5 bez koef. (P2)],RZ[0],AX84,RZ[Úroveň 2 (P0)],AY84,RZ[Úroveň 3 (P0)],AZ84,RZ[Úroveň 4 (P0)],BA84),$BK84*$IG84)</f>
        <v>0</v>
      </c>
      <c r="CF84" s="132">
        <f ca="1">RZ[[#This Row],[Úroveň 5 s koef. (P2a)]]*RZ[[#This Row],[Počet MJHR (P0)]]</f>
        <v>0</v>
      </c>
      <c r="CG84" s="132">
        <f ca="1">RZ[Úroveň 5 bez koef. (P2a)]*RZ[[#This Row],[Počet MJHR (P0)]]</f>
        <v>0</v>
      </c>
      <c r="CH84" s="132">
        <f ca="1">IF(OFFSET(BC84,1,0,1,1)&lt;&gt;0,RZ[[#This Row],[Koeficient odhadu HR '[-'] (P1)]]*$BL84*SUMIFS(RZ[Úroveň 6 s koef. (P2)],RZ[0],AX84,RZ[Úroveň 2 (P0)],AY84,RZ[Úroveň 3 (P0)],AZ84,RZ[Úroveň 4 (P0)],BA84,RZ[Úroveň 5 (P0)],BB84),RZ[[#This Row],[Koeficient odhadu HR '[-'] (P1)]]*$BL84*$IG84)</f>
        <v>0</v>
      </c>
      <c r="CI84" s="132">
        <f ca="1">IF(OFFSET(BC84,1,0,1,1)&lt;&gt;0,$BL84*SUMIFS(RZ[Úroveň 6 bez koef. (P2)],RZ[0],AX84,RZ[Úroveň 2 (P0)],AY84,RZ[Úroveň 3 (P0)],AZ84,RZ[Úroveň 4 (P0)],BA84,RZ[Úroveň 5 (P0)],BB84),$BL84*$IG84)</f>
        <v>0</v>
      </c>
      <c r="CJ84" s="138">
        <f ca="1">RZ[[#This Row],[Úroveň 6 s koef. (P2a)]]*RZ[[#This Row],[Počet MJHR (P0)]]</f>
        <v>0</v>
      </c>
      <c r="CK84" s="138">
        <f ca="1">RZ[Úroveň 6 bez koef. (P2a)]*RZ[[#This Row],[Počet MJHR (P0)]]</f>
        <v>0</v>
      </c>
      <c r="CL84" s="138">
        <f ca="1">IF(OFFSET(BD84,1,0,1,1)&lt;&gt;0,RZ[[#This Row],[Koeficient odhadu HR '[-'] (P1)]]*$BM84*SUMIFS(RZ[Úroveň 7 s koef. (P2)],RZ[0],AX84,RZ[Úroveň 2 (P0)],AY84,RZ[Úroveň 3 (P0)],AZ84,RZ[Úroveň 4 (P0)],BA84,RZ[Úroveň 5 (P0)],BB84,RZ[Úroveň 6 (P0)],BC84),RZ[[#This Row],[Koeficient odhadu HR '[-'] (P1)]]*$BM84*$IG84)</f>
        <v>0</v>
      </c>
      <c r="CM84" s="138">
        <f ca="1">IF(OFFSET(BD84,1,0,1,1)&lt;&gt;0,$BM84*SUMIFS(RZ[Úroveň 7 bez koef. (P2)],RZ[0],AX84,RZ[Úroveň 2 (P0)],AY84,RZ[Úroveň 3 (P0)],AZ84,RZ[Úroveň 4 (P0)],BA84,RZ[Úroveň 5 (P0)],BB84,RZ[Úroveň 6 (P0)],BC84),$BM84*$IG84)</f>
        <v>0</v>
      </c>
      <c r="CN84" s="132">
        <f ca="1">RZ[[#This Row],[Úroveň 7 s koef. (P2a)]]*RZ[[#This Row],[Počet MJHR (P0)]]</f>
        <v>0</v>
      </c>
      <c r="CO84" s="132">
        <f ca="1">RZ[Úroveň 7 bez koef. (P2a)]*RZ[[#This Row],[Počet MJHR (P0)]]</f>
        <v>0</v>
      </c>
      <c r="CP84" s="132">
        <f ca="1">IF(OFFSET(BE84,1,0,1,1)&lt;&gt;0,RZ[[#This Row],[Koeficient odhadu HR '[-'] (P1)]]*$BN84*SUMIFS(RZ[Úroveň 8 s koef. (P2)],RZ[0],AX84,RZ[Úroveň 2 (P0)],AY84,RZ[Úroveň 3 (P0)],AZ84,RZ[Úroveň 4 (P0)],BA84,RZ[Úroveň 5 (P0)],BB84,RZ[Úroveň 6 (P0)],BC84,RZ[Úroveň 7 (P0)],BD84),RZ[[#This Row],[Koeficient odhadu HR '[-'] (P1)]]*$BN84*$IG84)</f>
        <v>0</v>
      </c>
      <c r="CQ84" s="132">
        <f ca="1">IF(OFFSET(BE84,1,0,1,1)&lt;&gt;0,$BN84*SUMIFS(RZ[Úroveň 8 bez koef. (P2)],RZ[0],AX84,RZ[Úroveň 2 (P0)],AY84,RZ[Úroveň 3 (P0)],AZ84,RZ[Úroveň 4 (P0)],BA84,RZ[Úroveň 5 (P0)],BB84,RZ[Úroveň 6 (P0)],BC84,RZ[Úroveň 7 (P0)],BD84),$BN84*$IG84)</f>
        <v>0</v>
      </c>
      <c r="CR84" s="138">
        <f ca="1">RZ[[#This Row],[Úroveň 8 s koef. (P2a)]]*RZ[[#This Row],[Počet MJHR (P0)]]</f>
        <v>0</v>
      </c>
      <c r="CS84" s="138">
        <f ca="1">RZ[Úroveň 8 bez koef. (P2a)]*RZ[[#This Row],[Počet MJHR (P0)]]</f>
        <v>0</v>
      </c>
      <c r="CT84" s="138">
        <f ca="1">IF(OFFSET(BF84,1,0,1,1)&lt;&gt;0,RZ[[#This Row],[Koeficient odhadu HR '[-'] (P1)]]*$BO84*SUMIFS(RZ[Úroveň 9 s koef. (P2)],RZ[0],AX84,RZ[Úroveň 2 (P0)],AY84,RZ[Úroveň 3 (P0)],AZ84,RZ[Úroveň 4 (P0)],BA84,RZ[Úroveň 5 (P0)],BB84,RZ[Úroveň 6 (P0)],BC84,RZ[Úroveň 7 (P0)],BD84,RZ[Úroveň 8 (P0)],BE84),RZ[[#This Row],[Koeficient odhadu HR '[-'] (P1)]]*$BO84*$IG84)</f>
        <v>0</v>
      </c>
      <c r="CU84" s="138">
        <f ca="1">IF(OFFSET(BF84,1,0,1,1)&lt;&gt;0,$BO84*SUMIFS(RZ[Úroveň 9 bez koef. (P2)],RZ[0],AX84,RZ[Úroveň 2 (P0)],AY84,RZ[Úroveň 3 (P0)],AZ84,RZ[Úroveň 4 (P0)],BA84,RZ[Úroveň 5 (P0)],BB84,RZ[Úroveň 6 (P0)],BC84,RZ[Úroveň 7 (P0)],BD84,RZ[Úroveň 8 (P0)],BE84),$BO84*$IG84)</f>
        <v>0</v>
      </c>
      <c r="CV84" s="132">
        <f ca="1">RZ[[#This Row],[Úroveň 9 s koef. (P2a)]]*RZ[[#This Row],[Počet MJHR (P0)]]</f>
        <v>0</v>
      </c>
      <c r="CW84" s="132">
        <f ca="1">RZ[Úroveň 9 bez koef. (P2a)]*RZ[[#This Row],[Počet MJHR (P0)]]</f>
        <v>0</v>
      </c>
      <c r="CX84" s="132">
        <f ca="1">IF(OFFSET(BG84,1,0,1,1)&lt;&gt;0,RZ[[#This Row],[Koeficient odhadu HR '[-'] (P1)]]*$BP84*SUMIFS(RZ[Úroveň 10 s koef. (P2)],RZ[0],AX84,RZ[Úroveň 2 (P0)],AY84,RZ[Úroveň 3 (P0)],AZ84,RZ[Úroveň 4 (P0)],BA84,RZ[Úroveň 5 (P0)],BB84,RZ[Úroveň 6 (P0)],BC84,RZ[Úroveň 7 (P0)],BD84,RZ[Úroveň 8 (P0)],BE84,RZ[Úroveň 9 (P0)],BF84),RZ[[#This Row],[Koeficient odhadu HR '[-'] (P1)]]*$BP84*$IG84)</f>
        <v>0</v>
      </c>
      <c r="CY84" s="132">
        <f ca="1">IF(OFFSET(BG84,1,0,1,1)&lt;&gt;0,$BP84*SUMIFS(RZ[Úroveň 10 bez koef. (P2)],RZ[0],AX84,RZ[Úroveň 2 (P0)],AY84,RZ[Úroveň 3 (P0)],AZ84,RZ[Úroveň 4 (P0)],BA84,RZ[Úroveň 5 (P0)],BB84,RZ[Úroveň 6 (P0)],BC84,RZ[Úroveň 7 (P0)],BD84,RZ[Úroveň 8 (P0)],BE84,RZ[Úroveň 9 (P0)],BF84),$BP84*$IG84)</f>
        <v>0</v>
      </c>
      <c r="CZ84" s="138">
        <f>RZ[[#This Row],[Úroveň 10 s koef. (P2a)]]*RZ[[#This Row],[Počet MJHR (P0)]]</f>
        <v>0</v>
      </c>
      <c r="DA84" s="138">
        <f>RZ[Úroveň 10 bez koef. (P2a)]*RZ[[#This Row],[Počet MJHR (P0)]]</f>
        <v>0</v>
      </c>
      <c r="DB84" s="138">
        <f>RZ[[#This Row],[Koeficient odhadu HR '[-'] (P1)]]*$BQ84*IG84</f>
        <v>0</v>
      </c>
      <c r="DC84" s="231">
        <f t="shared" si="522"/>
        <v>0</v>
      </c>
      <c r="DD84" s="241">
        <f t="shared" ca="1" si="523"/>
        <v>0.9</v>
      </c>
      <c r="DE84" s="229">
        <f t="shared" ca="1" si="524"/>
        <v>0.9</v>
      </c>
      <c r="DF84" s="912">
        <f t="shared" si="525"/>
        <v>0</v>
      </c>
      <c r="DG84" s="913">
        <f t="shared" si="526"/>
        <v>0</v>
      </c>
      <c r="DH84" s="913">
        <f t="shared" si="527"/>
        <v>8</v>
      </c>
      <c r="DI84" s="913">
        <f t="shared" si="528"/>
        <v>0</v>
      </c>
      <c r="DJ84" s="913">
        <f t="shared" si="529"/>
        <v>0</v>
      </c>
      <c r="DK84" s="913">
        <f t="shared" si="530"/>
        <v>0</v>
      </c>
      <c r="DL84" s="913">
        <f t="shared" si="531"/>
        <v>0</v>
      </c>
      <c r="DM84" s="913">
        <f t="shared" si="532"/>
        <v>0</v>
      </c>
      <c r="DN84" s="913">
        <f t="shared" si="533"/>
        <v>0</v>
      </c>
      <c r="DO84" s="913">
        <f t="shared" si="534"/>
        <v>0</v>
      </c>
      <c r="DP84" s="914">
        <f ca="1">SUMIFS(RZ[Úroveň 1 (P4)],RZ[0],AX84)</f>
        <v>1</v>
      </c>
      <c r="DQ84" s="914">
        <f ca="1">SUMIFS(RZ[Úroveň 2 (P4)],RZ[0],AX84,RZ[Úroveň 2 (P0)],AY84)</f>
        <v>1</v>
      </c>
      <c r="DR84" s="914">
        <f ca="1">SUMIFS(RZ[Úroveň 3 (P4)],RZ[0],AX84,RZ[Úroveň 2 (P0)],AY84,RZ[Úroveň 3 (P0)],AZ84)</f>
        <v>8</v>
      </c>
      <c r="DS84" s="914">
        <f ca="1">SUMIFS(RZ[Úroveň 4 (P4)],RZ[0],AX84,RZ[Úroveň 2 (P0)],AY84,RZ[Úroveň 3 (P0)],AZ84,RZ[Úroveň 4 (P0)],BA84)</f>
        <v>0</v>
      </c>
      <c r="DT84" s="914">
        <f ca="1">SUMIFS(RZ[Úroveň 5 (P4)],RZ[0],AX84,RZ[Úroveň 2 (P0)],AY84,RZ[Úroveň 3 (P0)],AZ84,RZ[Úroveň 4 (P0)],BA84,RZ[Úroveň 5 (P0)],BB84)</f>
        <v>0</v>
      </c>
      <c r="DU84" s="914">
        <f ca="1">SUMIFS(RZ[Úroveň 6 (P4)],RZ[0],AX84,RZ[Úroveň 2 (P0)],AY84,RZ[Úroveň 3 (P0)],AZ84,RZ[Úroveň 4 (P0)],BA84,RZ[Úroveň 5 (P0)],BB84,RZ[Úroveň 6 (P0)],BC84)</f>
        <v>0</v>
      </c>
      <c r="DV84" s="914">
        <f ca="1">SUMIFS(RZ[Úroveň 7 (P4)],RZ[0],AX84,RZ[Úroveň 2 (P0)],AY84,RZ[Úroveň 3 (P0)],AZ84,RZ[Úroveň 4 (P0)],BA84,RZ[Úroveň 5 (P0)],BB84,RZ[Úroveň 6 (P0)],BC84,RZ[Úroveň 7 (P0)],BD84)</f>
        <v>0</v>
      </c>
      <c r="DW84" s="914">
        <f ca="1">SUMIFS(RZ[Úroveň 8 (P4)],RZ[0],AX84,RZ[Úroveň 2 (P0)],AY84,RZ[Úroveň 3 (P0)],AZ84,RZ[Úroveň 4 (P0)],BA84,RZ[Úroveň 5 (P0)],BB84,RZ[Úroveň 6 (P0)],BC84,RZ[Úroveň 7 (P0)],BD84,RZ[Úroveň 8 (P0)],BE84)</f>
        <v>0</v>
      </c>
      <c r="DX84" s="914">
        <f ca="1">SUMIFS(RZ[Úroveň 9 (P4)],RZ[0],AX84,RZ[Úroveň 2 (P0)],AY84,RZ[Úroveň 3 (P0)],AZ84,RZ[Úroveň 4 (P0)],BA84,RZ[Úroveň 5 (P0)],BB84,RZ[Úroveň 6 (P0)],BC84,RZ[Úroveň 7 (P0)],BD84,RZ[Úroveň 8 (P0)],BE84,RZ[Úroveň 9 (P0)],BF84)</f>
        <v>0</v>
      </c>
      <c r="DY84" s="914">
        <f ca="1">SUMIFS(RZ[Úroveň 10 (P4)],RZ[0],AX84,RZ[Úroveň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DZ84" s="915">
        <f t="shared" ca="1" si="535"/>
        <v>8</v>
      </c>
      <c r="EA84" s="916">
        <f ca="1">RZ[[#This Row],[Jednotková hmotnost bez koef. '[kg/MJHR'] (P0)]]*RZ[[#This Row],[Počet MJHR v rozpadu (P0)]]</f>
        <v>7.2</v>
      </c>
      <c r="EB84" s="917">
        <f ca="1">IF(OFFSET(AY84,1,0,1,1)&lt;&gt;0,RZ[[#This Row],[Koeficient odhadu CR '[-'] (P1)]]*$BH84*SUMIFS(RZ[Úroveň 2 s koef. (P3)],RZ[0],AX84),RZ[[#This Row],[Koeficient odhadu CR '[-'] (P1)]]*$BH84*$IQ84)</f>
        <v>0</v>
      </c>
      <c r="EC84" s="191">
        <f ca="1">IF(OFFSET(AY84,1,0,1,1)&lt;&gt;0,$BH84*SUMIFS(RZ[Úroveň 2 bez koef. (P3)],RZ[0],AX84),$BH84*$IQ84)</f>
        <v>0</v>
      </c>
      <c r="ED84" s="140">
        <f ca="1">RZ[[#This Row],[Úroveň 2 s koef. (P3a)]]*RZ[[#This Row],[Počet MJCR (P0) pro "kg"]]</f>
        <v>0</v>
      </c>
      <c r="EE84" s="140">
        <f ca="1">RZ[Úroveň 2 bez koef. (P3a)]*RZ[[#This Row],[Počet MJCR (P0) pro "kg"]]</f>
        <v>0</v>
      </c>
      <c r="EF84" s="140">
        <f ca="1">IF(OFFSET(AZ84,1,0,1,1)&lt;&gt;0,RZ[[#This Row],[Koeficient odhadu CR '[-'] (P1)]]*$BI84*SUMIFS(RZ[Úroveň 3 s koef. (P3)],RZ[0],AX84,RZ[Úroveň 2 (P0)],AY84),RZ[[#This Row],[Koeficient odhadu CR '[-'] (P1)]]*$BI84*$IQ84)</f>
        <v>0</v>
      </c>
      <c r="EG84" s="140">
        <f ca="1">IF(OFFSET(AZ84,1,0,1,1)&lt;&gt;0,$BI84*SUMIFS(RZ[Úroveň 3 bez koef. (P3)],RZ[0],AX84,RZ[Úroveň 2 (P0)],AY84),$BI84*$IQ84)</f>
        <v>0</v>
      </c>
      <c r="EH84" s="135">
        <f ca="1">RZ[[#This Row],[Úroveň 3 s koef. (P3a)]]*RZ[[#This Row],[Počet MJCR (P0) pro "kg"]]</f>
        <v>828</v>
      </c>
      <c r="EI84" s="135">
        <f ca="1">RZ[Úroveň 3 bez koef. (P3a)]*RZ[[#This Row],[Počet MJCR (P0) pro "kg"]]</f>
        <v>828</v>
      </c>
      <c r="EJ84" s="135">
        <f ca="1">IF(OFFSET(BA84,1,0,1,1)&lt;&gt;0,RZ[[#This Row],[Koeficient odhadu CR '[-'] (P1)]]*$BJ84*SUMIFS(RZ[Úroveň 4 s koef. (P3)],RZ[0],AX84,RZ[Úroveň 2 (P0)],AY84,RZ[Úroveň 3 (P0)],AZ84),RZ[[#This Row],[Koeficient odhadu CR '[-'] (P1)]]*$BJ84*$IQ84)</f>
        <v>115</v>
      </c>
      <c r="EK84" s="135">
        <f ca="1">IF(OFFSET(BA84,1,0,1,1)&lt;&gt;0,$BJ84*SUMIFS(RZ[Úroveň 4 bez koef. (P3)],RZ[0],AX84,RZ[Úroveň 2 (P0)],AY84,RZ[Úroveň 3 (P0)],AZ84),$BJ84*$IQ84)</f>
        <v>115</v>
      </c>
      <c r="EL84" s="140">
        <f ca="1">RZ[[#This Row],[Úroveň 4 s koef. (P3a)]]*RZ[[#This Row],[Počet MJCR (P0) pro "kg"]]</f>
        <v>0</v>
      </c>
      <c r="EM84" s="140">
        <f ca="1">RZ[Úroveň 4 bez koef. (P3a)]*RZ[[#This Row],[Počet MJCR (P0) pro "kg"]]</f>
        <v>0</v>
      </c>
      <c r="EN84" s="140">
        <f ca="1">IF(OFFSET(BB84,1,0,1,1)&lt;&gt;0,RZ[[#This Row],[Koeficient odhadu CR '[-'] (P1)]]*$BK84*SUMIFS(RZ[Úroveň 5 s koef. (P3)],RZ[0],AX84,RZ[Úroveň 2 (P0)],AY84,RZ[Úroveň 3 (P0)],AZ84,RZ[Úroveň 4 (P0)],BA84),RZ[[#This Row],[Koeficient odhadu CR '[-'] (P1)]]*$BK84*$IQ84)</f>
        <v>0</v>
      </c>
      <c r="EO84" s="140">
        <f ca="1">IF(OFFSET(BB84,1,0,1,1)&lt;&gt;0,$BK84*SUMIFS(RZ[Úroveň 5 bez koef. (P3)],RZ[0],AX84,RZ[Úroveň 2 (P0)],AY84,RZ[Úroveň 3 (P0)],AZ84,RZ[Úroveň 4 (P0)],BA84),$BK84*$IQ84)</f>
        <v>0</v>
      </c>
      <c r="EP84" s="135">
        <f ca="1">RZ[[#This Row],[Úroveň 5 s koef. (P3a)]]*RZ[[#This Row],[Počet MJCR (P0) pro "kg"]]</f>
        <v>0</v>
      </c>
      <c r="EQ84" s="135">
        <f ca="1">RZ[Úroveň 5 bez koef. (P3a)]*RZ[[#This Row],[Počet MJCR (P0) pro "kg"]]</f>
        <v>0</v>
      </c>
      <c r="ER84" s="135">
        <f ca="1">IF(OFFSET(BC84,1,0,1,1)&lt;&gt;0,RZ[[#This Row],[Koeficient odhadu CR '[-'] (P1)]]*$BL84*SUMIFS(RZ[Úroveň 6 s koef. (P3)],RZ[0],AX84,RZ[Úroveň 2 (P0)],AY84,RZ[Úroveň 3 (P0)],AZ84,RZ[Úroveň 4 (P0)],BA84,RZ[Úroveň 5 (P0)],BB84),RZ[[#This Row],[Koeficient odhadu CR '[-'] (P1)]]*$BL84*$IQ84)</f>
        <v>0</v>
      </c>
      <c r="ES84" s="135">
        <f ca="1">IF(OFFSET(BC84,1,0,1,1)&lt;&gt;0,$BL84*SUMIFS(RZ[Úroveň 6 bez koef. (P3)],RZ[0],AX84,RZ[Úroveň 2 (P0)],AY84,RZ[Úroveň 3 (P0)],AZ84,RZ[Úroveň 4 (P0)],BA84,RZ[Úroveň 5 (P0)],BB84),$BL84*$IQ84)</f>
        <v>0</v>
      </c>
      <c r="ET84" s="140">
        <f ca="1">RZ[[#This Row],[Úroveň 6 s koef. (P3a)]]*RZ[[#This Row],[Počet MJCR (P0) pro "kg"]]</f>
        <v>0</v>
      </c>
      <c r="EU84" s="140">
        <f ca="1">RZ[Úroveň 6 bez koef. (P3a)]*RZ[[#This Row],[Počet MJCR (P0) pro "kg"]]</f>
        <v>0</v>
      </c>
      <c r="EV84" s="140">
        <f ca="1">IF(OFFSET(BD84,1,0,1,1)&lt;&gt;0,RZ[[#This Row],[Koeficient odhadu CR '[-'] (P1)]]*$BM84*SUMIFS(RZ[Úroveň 7 s koef. (P3)],RZ[0],AX84,RZ[Úroveň 2 (P0)],AY84,RZ[Úroveň 3 (P0)],AZ84,RZ[Úroveň 4 (P0)],BA84,RZ[Úroveň 5 (P0)],BB84,RZ[Úroveň 6 (P0)],BC84),RZ[[#This Row],[Koeficient odhadu CR '[-'] (P1)]]*$BM84*$IQ84)</f>
        <v>0</v>
      </c>
      <c r="EW84" s="140">
        <f ca="1">IF(OFFSET(BD84,1,0,1,1)&lt;&gt;0,$BM84*SUMIFS(RZ[Úroveň 7 bez koef. (P3)],RZ[0],AX84,RZ[Úroveň 2 (P0)],AY84,RZ[Úroveň 3 (P0)],AZ84,RZ[Úroveň 4 (P0)],BA84,RZ[Úroveň 5 (P0)],BB84,RZ[Úroveň 6 (P0)],BC84),$BM84*$IQ84)</f>
        <v>0</v>
      </c>
      <c r="EX84" s="135">
        <f ca="1">RZ[[#This Row],[Úroveň 7 s koef. (P3a)]]*RZ[[#This Row],[Počet MJCR (P0) pro "kg"]]</f>
        <v>0</v>
      </c>
      <c r="EY84" s="135">
        <f ca="1">RZ[Úroveň 7 bez koef. (P3a)]*RZ[[#This Row],[Počet MJCR (P0) pro "kg"]]</f>
        <v>0</v>
      </c>
      <c r="EZ84" s="135">
        <f ca="1">IF(OFFSET(BE84,1,0,1,1)&lt;&gt;0,RZ[[#This Row],[Koeficient odhadu CR '[-'] (P1)]]*$BN84*SUMIFS(RZ[Úroveň 8 s koef. (P3)],RZ[0],AX84,RZ[Úroveň 2 (P0)],AY84,RZ[Úroveň 3 (P0)],AZ84,RZ[Úroveň 4 (P0)],BA84,RZ[Úroveň 5 (P0)],BB84,RZ[Úroveň 6 (P0)],BC84,RZ[Úroveň 7 (P0)],BD84),RZ[[#This Row],[Koeficient odhadu CR '[-'] (P1)]]*$BN84*$IQ84)</f>
        <v>0</v>
      </c>
      <c r="FA84" s="135">
        <f ca="1">IF(OFFSET(BE84,1,0,1,1)&lt;&gt;0,$BN84*SUMIFS(RZ[Úroveň 8 bez koef. (P3)],RZ[0],AX84,RZ[Úroveň 2 (P0)],AY84,RZ[Úroveň 3 (P0)],AZ84,RZ[Úroveň 4 (P0)],BA84,RZ[Úroveň 5 (P0)],BB84,RZ[Úroveň 6 (P0)],BC84,RZ[Úroveň 7 (P0)],BD84),$BN84*$IQ84)</f>
        <v>0</v>
      </c>
      <c r="FB84" s="140">
        <f ca="1">RZ[[#This Row],[Úroveň 8 s koef. (P3a)]]*RZ[[#This Row],[Počet MJCR (P0) pro "kg"]]</f>
        <v>0</v>
      </c>
      <c r="FC84" s="140">
        <f ca="1">RZ[Úroveň 8 bez koef. (P3a)]*RZ[[#This Row],[Počet MJCR (P0) pro "kg"]]</f>
        <v>0</v>
      </c>
      <c r="FD84" s="140">
        <f ca="1">IF(OFFSET(BF84,1,0,1,1)&lt;&gt;0,RZ[[#This Row],[Koeficient odhadu CR '[-'] (P1)]]*$BO84*SUMIFS(RZ[Úroveň 9 s koef. (P3)],RZ[0],AX84,RZ[Úroveň 2 (P0)],AY84,RZ[Úroveň 3 (P0)],AZ84,RZ[Úroveň 4 (P0)],BA84,RZ[Úroveň 5 (P0)],BB84,RZ[Úroveň 6 (P0)],BC84,RZ[Úroveň 7 (P0)],BD84,RZ[Úroveň 8 (P0)],BE84),RZ[[#This Row],[Koeficient odhadu CR '[-'] (P1)]]*$BO84*$IQ84)</f>
        <v>0</v>
      </c>
      <c r="FE84" s="140">
        <f ca="1">IF(OFFSET(BF84,1,0,1,1)&lt;&gt;0,$BO84*SUMIFS(RZ[Úroveň 9 bez koef. (P3)],RZ[0],AX84,RZ[Úroveň 2 (P0)],AY84,RZ[Úroveň 3 (P0)],AZ84,RZ[Úroveň 4 (P0)],BA84,RZ[Úroveň 5 (P0)],BB84,RZ[Úroveň 6 (P0)],BC84,RZ[Úroveň 7 (P0)],BD84,RZ[Úroveň 8 (P0)],BE84),$BO84*$IQ84)</f>
        <v>0</v>
      </c>
      <c r="FF84" s="135">
        <f ca="1">RZ[[#This Row],[Úroveň 9 s koef. (P3a)]]*RZ[[#This Row],[Počet MJCR (P0) pro "kg"]]</f>
        <v>0</v>
      </c>
      <c r="FG84" s="135">
        <f ca="1">RZ[Úroveň 9 bez koef. (P3a)]*RZ[[#This Row],[Počet MJCR (P0) pro "kg"]]</f>
        <v>0</v>
      </c>
      <c r="FH84" s="135">
        <f ca="1">IF(OFFSET(BG84,1,0,1,1)&lt;&gt;0,RZ[[#This Row],[Koeficient odhadu CR '[-'] (P1)]]*$BP84*SUMIFS(RZ[Úroveň 10 s koef. (P3)],RZ[0],AX84,RZ[Úroveň 2 (P0)],AY84,RZ[Úroveň 3 (P0)],AZ84,RZ[Úroveň 4 (P0)],BA84,RZ[Úroveň 5 (P0)],BB84,RZ[Úroveň 6 (P0)],BC84,RZ[Úroveň 7 (P0)],BD84,RZ[Úroveň 8 (P0)],BE84,RZ[Úroveň 9 (P0)],BF84),RZ[[#This Row],[Koeficient odhadu CR '[-'] (P1)]]*$BP84*$IQ84)</f>
        <v>0</v>
      </c>
      <c r="FI84" s="135">
        <f ca="1">IF(OFFSET(BG84,1,0,1,1)&lt;&gt;0,$BP84*SUMIFS(RZ[Úroveň 10 bez koef. (P3)],RZ[0],AX84,RZ[Úroveň 2 (P0)],AY84,RZ[Úroveň 3 (P0)],AZ84,RZ[Úroveň 4 (P0)],BA84,RZ[Úroveň 5 (P0)],BB84,RZ[Úroveň 6 (P0)],BC84,RZ[Úroveň 7 (P0)],BD84,RZ[Úroveň 8 (P0)],BE84,RZ[Úroveň 9 (P0)],BF84),$BP84*$IQ84)</f>
        <v>0</v>
      </c>
      <c r="FJ84" s="140">
        <f ca="1">RZ[[#This Row],[Úroveň 10 s koef. (P3a)]]*RZ[[#This Row],[Počet MJCR (P0) pro "kg"]]</f>
        <v>0</v>
      </c>
      <c r="FK84" s="140">
        <f ca="1">RZ[Úroveň 10 bez koef. (P3a)]*RZ[[#This Row],[Počet MJCR (P0) pro "kg"]]</f>
        <v>0</v>
      </c>
      <c r="FL84" s="140">
        <f ca="1">RZ[[#This Row],[Koeficient odhadu CR '[-'] (P1)]]*$BQ84*IQ84</f>
        <v>0</v>
      </c>
      <c r="FM84" s="236">
        <f t="shared" ca="1" si="536"/>
        <v>0</v>
      </c>
      <c r="FN84" s="194">
        <f t="shared" ca="1" si="537"/>
        <v>115</v>
      </c>
      <c r="FO84" s="238">
        <f t="shared" ca="1" si="538"/>
        <v>115</v>
      </c>
      <c r="FP84" s="135">
        <f t="shared" ca="1" si="539"/>
        <v>0</v>
      </c>
      <c r="FQ84" s="135">
        <f t="shared" ca="1" si="540"/>
        <v>0</v>
      </c>
      <c r="FR84" s="135">
        <f t="shared" ca="1" si="541"/>
        <v>7.2</v>
      </c>
      <c r="FS84" s="135">
        <f t="shared" ca="1" si="542"/>
        <v>0</v>
      </c>
      <c r="FT84" s="135">
        <f t="shared" ca="1" si="543"/>
        <v>0</v>
      </c>
      <c r="FU84" s="135">
        <f t="shared" ca="1" si="544"/>
        <v>0</v>
      </c>
      <c r="FV84" s="135">
        <f t="shared" ca="1" si="545"/>
        <v>0</v>
      </c>
      <c r="FW84" s="135">
        <f t="shared" ca="1" si="546"/>
        <v>0</v>
      </c>
      <c r="FX84" s="135">
        <f t="shared" ca="1" si="547"/>
        <v>0</v>
      </c>
      <c r="FY84" s="135">
        <f t="shared" ca="1" si="548"/>
        <v>0</v>
      </c>
      <c r="FZ84" s="140">
        <f ca="1">SUMIFS(RZ[Úroveň 1 (P6)],RZ[0],AX84)</f>
        <v>1</v>
      </c>
      <c r="GA84" s="140">
        <f ca="1">SUMIFS(RZ[Úroveň 2 (P6)],RZ[0],AX84,RZ[Úroveň 2 (P0)],AY84)</f>
        <v>1</v>
      </c>
      <c r="GB84" s="140">
        <f ca="1">SUMIFS(RZ[Úroveň 3 (P6)],RZ[0],AX84,RZ[Úroveň 2 (P0)],AY84,RZ[Úroveň 3 (P0)],AZ84)</f>
        <v>7.2</v>
      </c>
      <c r="GC84" s="140">
        <f ca="1">SUMIFS(RZ[Úroveň 4 (P6)],RZ[0],AX84,RZ[Úroveň 2 (P0)],AY84,RZ[Úroveň 3 (P0)],AZ84,RZ[Úroveň 4 (P0)],BA84)</f>
        <v>0</v>
      </c>
      <c r="GD84" s="140">
        <f ca="1">SUMIFS(RZ[Úroveň 5 (P6)],RZ[0],AX84,RZ[Úroveň 2 (P0)],AY84,RZ[Úroveň 3 (P0)],AZ84,RZ[Úroveň 4 (P0)],BA84,RZ[Úroveň 5 (P0)],BB84)</f>
        <v>0</v>
      </c>
      <c r="GE84" s="140">
        <f ca="1">SUMIFS(RZ[Úroveň 6 (P6)],RZ[0],AX84,RZ[Úroveň 2 (P0)],AY84,RZ[Úroveň 3 (P0)],AZ84,RZ[Úroveň 4 (P0)],BA84,RZ[Úroveň 5 (P0)],BB84,RZ[Úroveň 6 (P0)],BC84)</f>
        <v>0</v>
      </c>
      <c r="GF84" s="140">
        <f ca="1">SUMIFS(RZ[Úroveň 7 (P6)],RZ[0],AX84,RZ[Úroveň 2 (P0)],AY84,RZ[Úroveň 3 (P0)],AZ84,RZ[Úroveň 4 (P0)],BA84,RZ[Úroveň 5 (P0)],BB84,RZ[Úroveň 6 (P0)],BC84,RZ[Úroveň 7 (P0)],BD84)</f>
        <v>0</v>
      </c>
      <c r="GG84" s="140">
        <f ca="1">SUMIFS(RZ[Úroveň 8 (P6)],RZ[0],AX84,RZ[Úroveň 2 (P0)],AY84,RZ[Úroveň 3 (P0)],AZ84,RZ[Úroveň 4 (P0)],BA84,RZ[Úroveň 5 (P0)],BB84,RZ[Úroveň 6 (P0)],BC84,RZ[Úroveň 7 (P0)],BD84,RZ[Úroveň 8 (P0)],BE84)</f>
        <v>0</v>
      </c>
      <c r="GH84" s="140">
        <f ca="1">SUMIFS(RZ[Úroveň 9 (P6)],RZ[0],AX84,RZ[Úroveň 2 (P0)],AY84,RZ[Úroveň 3 (P0)],AZ84,RZ[Úroveň 4 (P0)],BA84,RZ[Úroveň 5 (P0)],BB84,RZ[Úroveň 6 (P0)],BC84,RZ[Úroveň 7 (P0)],BD84,RZ[Úroveň 8 (P0)],BE84,RZ[Úroveň 9 (P0)],BF84)</f>
        <v>0</v>
      </c>
      <c r="GI84" s="140">
        <f ca="1">SUMIFS(RZ[Úroveň 10 (P6)],RZ[0],AX84,RZ[Úroveň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GJ84" s="918">
        <f t="shared" ca="1" si="549"/>
        <v>7.2</v>
      </c>
      <c r="GK84" s="808">
        <f t="shared" si="550"/>
        <v>0</v>
      </c>
      <c r="GL84" s="808">
        <f t="shared" si="551"/>
        <v>0</v>
      </c>
      <c r="GM84" s="808">
        <f t="shared" si="552"/>
        <v>1</v>
      </c>
      <c r="GN84" s="808">
        <f t="shared" si="553"/>
        <v>0</v>
      </c>
      <c r="GO84" s="808">
        <f t="shared" si="554"/>
        <v>0</v>
      </c>
      <c r="GP84" s="808">
        <f t="shared" si="555"/>
        <v>0</v>
      </c>
      <c r="GQ84" s="808">
        <f t="shared" si="556"/>
        <v>0</v>
      </c>
      <c r="GR84" s="808">
        <f t="shared" si="557"/>
        <v>0</v>
      </c>
      <c r="GS84" s="808">
        <f t="shared" si="558"/>
        <v>0</v>
      </c>
      <c r="GT84" s="808">
        <f t="shared" si="559"/>
        <v>0</v>
      </c>
      <c r="GU84" s="809">
        <f ca="1">SUMIFS(RZ[Sloupec1],RZ[0],AX84)</f>
        <v>1</v>
      </c>
      <c r="GV84" s="809">
        <f ca="1">SUMIFS(RZ[Sloupec2],RZ[0],AX84,RZ[Úroveň 2 (P0)],AY84)</f>
        <v>1</v>
      </c>
      <c r="GW84" s="809">
        <f ca="1">SUMIFS(RZ[Sloupec3],RZ[0],AX84,RZ[Úroveň 2 (P0)],AY84,RZ[Úroveň 3 (P0)],AZ84)</f>
        <v>1</v>
      </c>
      <c r="GX84" s="809">
        <f ca="1">SUMIFS(RZ[Sloupec4],RZ[0],AX84,RZ[Úroveň 2 (P0)],AY84,RZ[Úroveň 3 (P0)],AZ84,RZ[Úroveň 4 (P0)],BA84)</f>
        <v>0</v>
      </c>
      <c r="GY84" s="809">
        <f ca="1">SUMIFS(RZ[Sloupec5],RZ[0],AX84,RZ[Úroveň 2 (P0)],AY84,RZ[Úroveň 3 (P0)],AZ84,RZ[Úroveň 4 (P0)],BA84,RZ[Úroveň 5 (P0)],BB84)</f>
        <v>0</v>
      </c>
      <c r="GZ84" s="809">
        <f ca="1">SUMIFS(RZ[Sloupec6],RZ[0],AX84,RZ[Úroveň 2 (P0)],AY84,RZ[Úroveň 3 (P0)],AZ84,RZ[Úroveň 4 (P0)],BA84,RZ[Úroveň 5 (P0)],BB84,RZ[Úroveň 6 (P0)],BC84)</f>
        <v>0</v>
      </c>
      <c r="HA84" s="809">
        <f ca="1">SUMIFS(RZ[Sloupec62],RZ[0],AX84,RZ[Úroveň 2 (P0)],AY84,RZ[Úroveň 3 (P0)],AZ84,RZ[Úroveň 4 (P0)],BA84,RZ[Úroveň 5 (P0)],BB84,RZ[Úroveň 6 (P0)],BC84,RZ[Úroveň 7 (P0)],BD84)</f>
        <v>0</v>
      </c>
      <c r="HB84" s="809">
        <f ca="1">SUMIFS(RZ[Sloupec63],RZ[0],AX84,RZ[Úroveň 2 (P0)],AY84,RZ[Úroveň 3 (P0)],AZ84,RZ[Úroveň 4 (P0)],BA84,RZ[Úroveň 5 (P0)],BB84,RZ[Úroveň 6 (P0)],BC84,RZ[Úroveň 7 (P0)],BD84,RZ[Úroveň 8 (P0)],BE84)</f>
        <v>0</v>
      </c>
      <c r="HC84" s="809">
        <f ca="1">SUMIFS(RZ[Sloupec64],RZ[0],AX84,RZ[Úroveň 2 (P0)],AY84,RZ[Úroveň 3 (P0)],AZ84,RZ[Úroveň 4 (P0)],BA84,RZ[Úroveň 5 (P0)],BB84,RZ[Úroveň 6 (P0)],BC84,RZ[Úroveň 7 (P0)],BD84,RZ[Úroveň 8 (P0)],BE84,RZ[Úroveň 9 (P0)],BF84)</f>
        <v>0</v>
      </c>
      <c r="HD84" s="809">
        <f ca="1">SUMIFS(RZ[Sloupec65],RZ[0],AX84,RZ[Úroveň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HE84" s="919">
        <f t="shared" ca="1" si="560"/>
        <v>1</v>
      </c>
      <c r="HF84" s="920" t="str">
        <f t="shared" si="561"/>
        <v/>
      </c>
      <c r="HG84" s="94" t="str">
        <f t="shared" si="562"/>
        <v/>
      </c>
      <c r="HH84" s="95" t="str">
        <f t="shared" si="563"/>
        <v/>
      </c>
      <c r="HI84" s="95" t="str">
        <f t="shared" si="564"/>
        <v>Distanční kroužek</v>
      </c>
      <c r="HJ84" s="96" t="str">
        <f t="shared" si="565"/>
        <v/>
      </c>
      <c r="HK84" s="96" t="str">
        <f t="shared" si="566"/>
        <v/>
      </c>
      <c r="HL84" s="96" t="str">
        <f t="shared" si="567"/>
        <v/>
      </c>
      <c r="HM84" s="96" t="str">
        <f t="shared" si="568"/>
        <v/>
      </c>
      <c r="HN84" s="96" t="str">
        <f t="shared" si="569"/>
        <v/>
      </c>
      <c r="HO84" s="96" t="str">
        <f t="shared" si="570"/>
        <v/>
      </c>
      <c r="HP84" s="96" t="str">
        <f t="shared" si="571"/>
        <v/>
      </c>
      <c r="HQ84" s="145" t="str">
        <f t="shared" si="572"/>
        <v>STO2</v>
      </c>
      <c r="HR84" s="921" t="str">
        <f t="shared" si="573"/>
        <v/>
      </c>
      <c r="HS84" s="173">
        <f t="shared" si="574"/>
        <v>0</v>
      </c>
      <c r="HT84" s="100">
        <f t="shared" si="575"/>
        <v>0</v>
      </c>
      <c r="HU84" s="100">
        <f t="shared" si="576"/>
        <v>0</v>
      </c>
      <c r="HV84" s="908">
        <f t="shared" si="577"/>
        <v>0</v>
      </c>
      <c r="HW84" s="922">
        <f t="shared" si="578"/>
        <v>0</v>
      </c>
      <c r="HX84" s="224">
        <f t="shared" si="579"/>
        <v>0</v>
      </c>
      <c r="HY84" s="263" t="str">
        <f t="shared" si="580"/>
        <v>S</v>
      </c>
      <c r="HZ84" s="263">
        <f t="shared" si="581"/>
        <v>0</v>
      </c>
      <c r="IA84" s="150">
        <f t="shared" si="582"/>
        <v>1</v>
      </c>
      <c r="IB84" s="319">
        <f t="shared" si="583"/>
        <v>0</v>
      </c>
      <c r="IC84" s="923">
        <f t="shared" si="584"/>
        <v>0</v>
      </c>
      <c r="ID84" s="924" t="str">
        <f t="shared" ca="1" si="585"/>
        <v>OK</v>
      </c>
      <c r="IE84" s="201" t="str">
        <f t="shared" si="586"/>
        <v>ks</v>
      </c>
      <c r="IF84" s="145">
        <f t="shared" si="587"/>
        <v>8</v>
      </c>
      <c r="IG84" s="216">
        <f t="shared" si="588"/>
        <v>0.9</v>
      </c>
      <c r="IH84" s="217">
        <f t="shared" si="589"/>
        <v>1</v>
      </c>
      <c r="II84" s="224" t="str">
        <f ca="1">IF(RZ[[#This Row],[Rozhodný sloupec indikativní ceny]]=1,"kg",IF($IW84=$JL$15,IF(JX84=0,JO84,JX84),IF($IW84=$KE$15,IF(KQ84=0,KH84,KQ84),IF($IW84=$KX$15,IF(LJ84=0,LA84,LJ84),IF($IW84=$LQ$15,IF(MC84=0,LT84,MC84),IF($IW84=$MJ$15,IF(NQ84=0,NH84,NQ84),0))))))</f>
        <v>kg</v>
      </c>
      <c r="IJ84" s="224">
        <f ca="1">IF((BH84+OFFSET(BH84,1,1,1,1))=2,RZ[[#This Row],[Počet MJHR (P0)]],IF((BI84+OFFSET(BI84,1,1,1,1))=2,RZ[[#This Row],[Počet MJHR (P0)]],IF((BJ84+OFFSET(BJ84,1,1,1,1))=2,RZ[[#This Row],[Počet MJHR (P0)]],IF((BK84+OFFSET(BK84,1,1,1,1))=2,RZ[[#This Row],[Počet MJHR (P0)]],IF((BL84+OFFSET(BL84,1,1,1,1))=2,RZ[[#This Row],[Počet MJHR (P0)]],IF((BM84+OFFSET(BM84,1,1,1,1))=2,RZ[[#This Row],[Počet MJHR (P0)]],IF((BN84+OFFSET(BN84,1,1,1,1))=2,RZ[[#This Row],[Počet MJHR (P0)]],IF((BO84+OFFSET(BO84,1,1,1,1))=2,RZ[[#This Row],[Počet MJHR (P0)]],IF((BP84+OFFSET(BP84,1,1,1,1))=2,RZ[[#This Row],[Počet MJHR (P0)]],IF((BQ84+OFFSET(BQ84,1,1,1,1))=2,RZ[[#This Row],[Počet MJHR (P0)]],IF(RZ[[#This Row],[Měrná jednotka CR (MJCR) (P0)]]=RZ[[#This Row],[Měrná jednotka HR '[MJHR'] (P0)]],RZ[[#This Row],[Počet MJHR (P0)]],IF($IW84=$JL$15,JY84,IF($IW84=$KE$15,KR84,IF($IW84=$KX$15,LK84,IF($IW84=$LQ$15,MD84,IF($IW84=$MJ$15,NR84,0))))))))))))))))</f>
        <v>0</v>
      </c>
      <c r="IK8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7.2</v>
      </c>
      <c r="IL84" s="145">
        <f ca="1">IF(AND(RZ[[#This Row],[Jednotková cena bez DPH '[cena/MJCR'] (P0)]]=0,RZ[[#This Row],[Indikativní jednotková cena '[CZK/kg'] (P1)]]&lt;&gt;0),1,0)</f>
        <v>1</v>
      </c>
      <c r="IM84" s="217">
        <f ca="1">VLOOKUP(RZ[[#This Row],[Kód položek]],INDIKAT_CENA,2,FALSE)</f>
        <v>115</v>
      </c>
      <c r="IN84" s="222">
        <f ca="1">IF(RZ[[#This Row],[Rozhodný sloupec indikativní ceny]]=1,RZ[[#This Row],[Indikativní jednotková cena '[CZK/kg'] (P1)]],RZ[[#This Row],[Jednotková cena bez DPH '[cena/MJCR'] (P0)]])</f>
        <v>115</v>
      </c>
      <c r="IO84" s="222">
        <f t="shared" si="590"/>
        <v>1</v>
      </c>
      <c r="IP84" s="224">
        <f ca="1">IF(RZ[[#This Row],[Rozhodný sloupec indikativní ceny]]=1,1,IF($IW84=$JL$15,KA84,IF($IW84=$KE$15,KT84,IF($IW84=$KX$15,LM84,IF($IW84=$LQ$15,MF84,IF($IW84=$MJ$15,NT84,0))))))</f>
        <v>1</v>
      </c>
      <c r="IQ84" s="225">
        <f ca="1">IF(RZ[[#This Row],[Jednotková cena bez DPH '[cena/MJCR'] (P1)]]="",0,IF(IP84=0,0,(RZ[[#This Row],[Jednotková cena bez DPH '[cena/MJCR'] (P1)]]*VLOOKUP(IP84,$BR$7:$BT$10,3))))</f>
        <v>115</v>
      </c>
      <c r="IR84" s="737"/>
      <c r="IS84" s="627">
        <f>IF(HY84=0,"",VLOOKUP(RZ[[#This Row],[Stav Projekce (P0)]],Vstupy!$E$11:'Vstupy'!$E$11:$H$17,4,FALSE))</f>
        <v>100</v>
      </c>
      <c r="IT84" s="925" t="str">
        <f>IF(RZ[[#This Row],[Stav Projekce (P0)]]=0,"",RZ[[#This Row],[Stav Projekce (P0)]])</f>
        <v>S</v>
      </c>
      <c r="IU84" s="925" t="str">
        <f>IF(RZ[[#This Row],[Stav Nákup (P0)]]=0,"",RZ[[#This Row],[Stav Nákup (P0)]])</f>
        <v/>
      </c>
      <c r="IV84" s="926" t="str">
        <f t="shared" si="591"/>
        <v/>
      </c>
      <c r="IW84" s="641">
        <v>1</v>
      </c>
      <c r="IX84" s="630"/>
      <c r="IY84" s="264"/>
      <c r="IZ84" s="648"/>
      <c r="JA84" s="100"/>
      <c r="JB84" s="100" t="s">
        <v>791</v>
      </c>
      <c r="JC84" s="100"/>
      <c r="JD84" s="100"/>
      <c r="JE84" s="100"/>
      <c r="JF84" s="100"/>
      <c r="JG84" s="100"/>
      <c r="JH84" s="100"/>
      <c r="JI84" s="100"/>
      <c r="JJ84" s="145" t="s">
        <v>773</v>
      </c>
      <c r="JK84" s="529"/>
      <c r="JL84" s="286"/>
      <c r="JM84" s="100"/>
      <c r="JN84" s="100"/>
      <c r="JO84" s="145" t="s">
        <v>35</v>
      </c>
      <c r="JP84" s="117">
        <v>8</v>
      </c>
      <c r="JQ84" s="117">
        <v>0.9</v>
      </c>
      <c r="JR84" s="148">
        <v>1</v>
      </c>
      <c r="JS84" s="145" t="s">
        <v>602</v>
      </c>
      <c r="JT84" s="631"/>
      <c r="JU84" s="148"/>
      <c r="JV84" s="154"/>
      <c r="JW84" s="145"/>
      <c r="JX84" s="210"/>
      <c r="JY84" s="117"/>
      <c r="JZ84" s="662"/>
      <c r="KA84" s="145"/>
      <c r="KB84" s="148"/>
      <c r="KC84" s="148"/>
      <c r="KD84" s="644"/>
      <c r="KE84" s="286"/>
      <c r="KF84" s="100"/>
      <c r="KG84" s="100"/>
      <c r="KH84" s="210"/>
      <c r="KI84" s="117"/>
      <c r="KJ84" s="117"/>
      <c r="KK84" s="148"/>
      <c r="KL84" s="145"/>
      <c r="KM84" s="632"/>
      <c r="KN84" s="148"/>
      <c r="KO84" s="154"/>
      <c r="KP84" s="154"/>
      <c r="KQ84" s="210"/>
      <c r="KR84" s="117"/>
      <c r="KS84" s="211"/>
      <c r="KT84" s="145"/>
      <c r="KU84" s="148"/>
      <c r="KV84" s="148"/>
      <c r="KW84" s="265"/>
      <c r="KX84" s="286"/>
      <c r="KY84" s="100"/>
      <c r="KZ84" s="100"/>
      <c r="LA84" s="210"/>
      <c r="LB84" s="117"/>
      <c r="LC84" s="117"/>
      <c r="LD84" s="148"/>
      <c r="LE84" s="145"/>
      <c r="LF84" s="632"/>
      <c r="LG84" s="148"/>
      <c r="LH84" s="154"/>
      <c r="LI84" s="154"/>
      <c r="LJ84" s="154"/>
      <c r="LK84" s="117"/>
      <c r="LL84" s="211"/>
      <c r="LM84" s="210"/>
      <c r="LN84" s="148"/>
      <c r="LO84" s="148"/>
      <c r="LP84" s="265"/>
      <c r="LQ84" s="286"/>
      <c r="LR84" s="100"/>
      <c r="LS84" s="100"/>
      <c r="LT84" s="210"/>
      <c r="LU84" s="117"/>
      <c r="LV84" s="117"/>
      <c r="LW84" s="148"/>
      <c r="LX84" s="145"/>
      <c r="LY84" s="632"/>
      <c r="LZ84" s="148"/>
      <c r="MA84" s="154"/>
      <c r="MB84" s="154"/>
      <c r="MC84" s="145"/>
      <c r="MD84" s="117"/>
      <c r="ME84" s="211"/>
      <c r="MF84" s="210"/>
      <c r="MG84" s="148"/>
      <c r="MH84" s="148"/>
      <c r="MI84" s="265"/>
      <c r="MJ84" s="647"/>
      <c r="MK84" s="264"/>
      <c r="ML84" s="153"/>
      <c r="MM84" s="153"/>
      <c r="MN84" s="153"/>
      <c r="MO84" s="153"/>
      <c r="MP84" s="153"/>
      <c r="MQ84" s="153"/>
      <c r="MR84" s="153"/>
      <c r="MS84" s="99"/>
      <c r="MT84" s="99"/>
      <c r="MU84" s="99"/>
      <c r="MV84" s="99"/>
      <c r="MW84" s="99"/>
      <c r="MX84" s="99"/>
      <c r="MY84" s="153"/>
      <c r="MZ84" s="153"/>
      <c r="NA84" s="153"/>
      <c r="NB84" s="153"/>
      <c r="NC84" s="153"/>
      <c r="ND84" s="153"/>
      <c r="NE84" s="148"/>
      <c r="NF84" s="153"/>
      <c r="NG84" s="153"/>
      <c r="NH84" s="330" t="str">
        <f t="shared" si="592"/>
        <v>ks</v>
      </c>
      <c r="NI84" s="797">
        <f>RZ[[#This Row],[Počet ks (K)]]</f>
        <v>0</v>
      </c>
      <c r="NJ84" s="798">
        <f>RZ[[#This Row],[Hmotnost '[kg/ks'] (K)]]</f>
        <v>0</v>
      </c>
      <c r="NK84" s="148"/>
      <c r="NL84" s="145"/>
      <c r="NM84" s="632"/>
      <c r="NN84" s="148"/>
      <c r="NO84" s="154"/>
      <c r="NP84" s="153"/>
      <c r="NQ84" s="153"/>
      <c r="NR84" s="210"/>
      <c r="NS84" s="148"/>
      <c r="NT84" s="210"/>
      <c r="NU84" s="148"/>
      <c r="NV84" s="148"/>
      <c r="NW84" s="175"/>
    </row>
    <row r="85" spans="2:387" ht="15.95" customHeight="1" x14ac:dyDescent="0.35">
      <c r="B85" s="118" t="str">
        <f t="shared" si="476"/>
        <v/>
      </c>
      <c r="C8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5" s="262" t="str">
        <f t="shared" si="477"/>
        <v xml:space="preserve">    Víčko</v>
      </c>
      <c r="E85" s="120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Row],[Kód položek (P2)]]))))))))))</f>
        <v>STO2</v>
      </c>
      <c r="F85" s="791" t="str">
        <f t="shared" si="478"/>
        <v>N/A</v>
      </c>
      <c r="G85" s="792" t="str">
        <f t="shared" si="479"/>
        <v/>
      </c>
      <c r="H85" s="262" t="str">
        <f t="shared" si="480"/>
        <v/>
      </c>
      <c r="I85" s="123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HR '[MJHR'] (P0)]]))))))))))</f>
        <v>ks</v>
      </c>
      <c r="J85" s="123">
        <f t="shared" si="481"/>
        <v>8</v>
      </c>
      <c r="K85" s="793">
        <f>RZ[[#This Row],[Koeficient odhadu HR '[-'] (P1)]]</f>
        <v>1</v>
      </c>
      <c r="L85" s="124">
        <f ca="1">RZ[[#This Row],[Jednotková hmotnost s koef. '[kg/MJHR'] (P0)]]</f>
        <v>7.2</v>
      </c>
      <c r="M85" s="794">
        <f t="shared" ca="1" si="482"/>
        <v>0</v>
      </c>
      <c r="N85" s="125">
        <f t="shared" ca="1" si="483"/>
        <v>57.6</v>
      </c>
      <c r="O85" s="125">
        <f t="shared" ca="1" si="484"/>
        <v>0</v>
      </c>
      <c r="P85" s="126" t="str">
        <f t="shared" si="485"/>
        <v/>
      </c>
      <c r="Q85" s="795">
        <f ca="1">RZ[[#This Row],[Počet MJHR v rozpadu (P0)]]</f>
        <v>8</v>
      </c>
      <c r="R85" s="439" t="str">
        <f t="shared" si="486"/>
        <v/>
      </c>
      <c r="S85" s="129" t="str">
        <f t="shared" si="487"/>
        <v/>
      </c>
      <c r="T85" s="126" t="str">
        <f t="shared" si="488"/>
        <v/>
      </c>
      <c r="U85" s="126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CR (MJCR) (P0)]]))))))))))</f>
        <v>kg</v>
      </c>
      <c r="V85" s="575">
        <f t="shared" ca="1" si="489"/>
        <v>57.6</v>
      </c>
      <c r="W85" s="322">
        <f>RZ[[#This Row],[Koeficient odhadu CR '[-'] (P1)]]</f>
        <v>1</v>
      </c>
      <c r="X85" s="440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Row],[Jednotková cena bez DPH '[cena/MJCR'] (P1)]]*RZ[[#This Row],[Koeficient odhadu CR '[-']]]))))))))))</f>
        <v>115</v>
      </c>
      <c r="Y85" s="440">
        <f t="shared" ca="1" si="490"/>
        <v>0</v>
      </c>
      <c r="Z85" s="142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VLOOKUP(IP85,$BR$7:$BS$11,2,FALSE)))))))))))</f>
        <v>CZK</v>
      </c>
      <c r="AA85" s="909">
        <f t="shared" ca="1" si="491"/>
        <v>57.6</v>
      </c>
      <c r="AB85" s="910">
        <f ca="1">RZ[[#This Row],[Kumulovaný koeficient v rozpadu (P0)]]</f>
        <v>1</v>
      </c>
      <c r="AC85" s="261"/>
      <c r="AD85" s="796">
        <f ca="1">RZ[[#This Row],[Jednotková cena bez DPH '[cena/MJCR'] s koef. (P0)]]/RZ[[#This Row],[Koeficient odhadu CR '[-']]]*RZ[[#This Row],[Kumulovaný koeficient odhadu CR  '[-']]]</f>
        <v>115</v>
      </c>
      <c r="AE85" s="796">
        <f t="shared" ca="1" si="492"/>
        <v>6624</v>
      </c>
      <c r="AF85" s="796">
        <f ca="1">-IF(ISNUMBER(AA85),RZ[[#This Row],[Celková cena bez DPH (1)]]-RZ[[#This Row],[Jednotková cena bez DPH '[cena/MJCR'] bez koef. (P0)]]*AA85,0)</f>
        <v>0</v>
      </c>
      <c r="AG8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5" s="261"/>
      <c r="AI85" s="796">
        <f t="shared" ca="1" si="493"/>
        <v>4.2592592592592595</v>
      </c>
      <c r="AJ85" s="796">
        <f t="shared" ca="1" si="494"/>
        <v>245.33333333333334</v>
      </c>
      <c r="AK85" s="796">
        <f t="shared" ca="1" si="495"/>
        <v>0</v>
      </c>
      <c r="AL85" s="753">
        <f ca="1">RZ[[#This Row],[Kilogramová cena bez DPH '[cena/kg'] (1)]]/$AK$13</f>
        <v>4.2592592592592595</v>
      </c>
      <c r="AM85" s="261"/>
      <c r="AN85" s="796">
        <f t="shared" ca="1" si="496"/>
        <v>5.5555555555555554</v>
      </c>
      <c r="AO85" s="796">
        <f t="shared" ca="1" si="497"/>
        <v>320</v>
      </c>
      <c r="AP85" s="796">
        <f t="shared" ca="1" si="498"/>
        <v>0</v>
      </c>
      <c r="AQ85" s="753">
        <f ca="1">RZ[[#This Row],[Kilogramová cena bez DPH '[cena/kg'] (1)]]/$AP$13</f>
        <v>5.5555555555555554</v>
      </c>
      <c r="AR85" s="261"/>
      <c r="AS85" s="796">
        <f t="shared" ca="1" si="499"/>
        <v>3.1455142231947484</v>
      </c>
      <c r="AT85" s="796">
        <f t="shared" ca="1" si="500"/>
        <v>181.18161925601748</v>
      </c>
      <c r="AU85" s="789">
        <f t="shared" ca="1" si="501"/>
        <v>0</v>
      </c>
      <c r="AV85" s="767">
        <f ca="1">RZ[[#This Row],[Kilogramová cena bez DPH '[cena/kg'] (1)]]/$AU$13</f>
        <v>3.1455142231947484</v>
      </c>
      <c r="AW85" s="165"/>
      <c r="AX85" s="911">
        <f t="shared" ca="1" si="502"/>
        <v>2</v>
      </c>
      <c r="AY85" s="111">
        <f t="shared" ca="1" si="503"/>
        <v>3</v>
      </c>
      <c r="AZ85" s="111">
        <f t="shared" ca="1" si="504"/>
        <v>12</v>
      </c>
      <c r="BA85" s="111">
        <f t="shared" ca="1" si="505"/>
        <v>0</v>
      </c>
      <c r="BB85" s="111">
        <f t="shared" ca="1" si="506"/>
        <v>0</v>
      </c>
      <c r="BC85" s="111">
        <f t="shared" ca="1" si="507"/>
        <v>0</v>
      </c>
      <c r="BD85" s="111">
        <f t="shared" ca="1" si="508"/>
        <v>0</v>
      </c>
      <c r="BE85" s="111">
        <f t="shared" ca="1" si="509"/>
        <v>0</v>
      </c>
      <c r="BF85" s="111">
        <f t="shared" ca="1" si="510"/>
        <v>0</v>
      </c>
      <c r="BG85" s="112">
        <f t="shared" ca="1" si="511"/>
        <v>0</v>
      </c>
      <c r="BH85" s="911">
        <f t="shared" si="512"/>
        <v>0</v>
      </c>
      <c r="BI85" s="111">
        <f t="shared" si="513"/>
        <v>0</v>
      </c>
      <c r="BJ85" s="111">
        <f t="shared" si="514"/>
        <v>1</v>
      </c>
      <c r="BK85" s="111">
        <f t="shared" si="515"/>
        <v>0</v>
      </c>
      <c r="BL85" s="111">
        <f t="shared" si="516"/>
        <v>0</v>
      </c>
      <c r="BM85" s="111">
        <f t="shared" si="517"/>
        <v>0</v>
      </c>
      <c r="BN85" s="111">
        <f t="shared" si="518"/>
        <v>0</v>
      </c>
      <c r="BO85" s="111">
        <f t="shared" si="519"/>
        <v>0</v>
      </c>
      <c r="BP85" s="111">
        <f t="shared" si="520"/>
        <v>0</v>
      </c>
      <c r="BQ85" s="112">
        <f t="shared" si="521"/>
        <v>0</v>
      </c>
      <c r="BR85" s="132">
        <f ca="1">IF(OFFSET(AY85,1,0,1,1)&lt;&gt;0,RZ[[#This Row],[Koeficient odhadu HR '[-'] (P1)]]*$BH85*SUMIFS(RZ[Úroveň 2 s koef. (P2)],RZ[0],AX85),RZ[[#This Row],[Koeficient odhadu HR '[-'] (P1)]]*$BH85*$IG85)</f>
        <v>0</v>
      </c>
      <c r="BS85" s="186">
        <f ca="1">IF(OFFSET(AY85,1,0,1,1)&lt;&gt;0,$BH85*SUMIFS(RZ[Úroveň 2 bez koef. (P2)],RZ[0],AX85),$BH85*$IG85)</f>
        <v>0</v>
      </c>
      <c r="BT85" s="138">
        <f ca="1">RZ[[#This Row],[Úroveň 2 s koef. (P2a)]]*RZ[[#This Row],[Počet MJHR (P0)]]</f>
        <v>0</v>
      </c>
      <c r="BU85" s="138">
        <f ca="1">RZ[[#This Row],[Úroveň 2 bez koef. (P2a)]]*RZ[[#This Row],[Počet MJHR (P0)]]</f>
        <v>0</v>
      </c>
      <c r="BV85" s="138">
        <f ca="1">IF(OFFSET(AZ85,1,0,1,1)&lt;&gt;0,RZ[[#This Row],[Koeficient odhadu HR '[-'] (P1)]]*$BI85*SUMIFS(RZ[Úroveň 3 s koef. (P2)],RZ[0],AX85,RZ[Úroveň 2 (P0)],AY85),RZ[[#This Row],[Koeficient odhadu HR '[-'] (P1)]]*$BI85*$IG85)</f>
        <v>0</v>
      </c>
      <c r="BW85" s="138">
        <f ca="1">IF(OFFSET(AZ85,1,0,1,1)&lt;&gt;0,$BI85*SUMIFS(RZ[Úroveň 3 bez koef. (P2)],RZ[0],AX85,RZ[Úroveň 2 (P0)],AY85),$BI85*$IG85)</f>
        <v>0</v>
      </c>
      <c r="BX85" s="132">
        <f ca="1">RZ[[#This Row],[Úroveň 3 s koef. (P2a)]]*RZ[[#This Row],[Počet MJHR (P0)]]</f>
        <v>57.6</v>
      </c>
      <c r="BY85" s="132">
        <f ca="1">RZ[Úroveň 3 bez koef. (P2a)]*RZ[[#This Row],[Počet MJHR (P0)]]</f>
        <v>57.6</v>
      </c>
      <c r="BZ85" s="132">
        <f ca="1">IF(OFFSET(BA85,1,0,1,1)&lt;&gt;0,RZ[[#This Row],[Koeficient odhadu HR '[-'] (P1)]]*$BJ85*SUMIFS(RZ[Úroveň 4 s koef. (P2)],RZ[0],AX85,RZ[Úroveň 2 (P0)],AY85,RZ[Úroveň 3 (P0)],AZ85),RZ[[#This Row],[Koeficient odhadu HR '[-'] (P1)]]*$BJ85*$IG85)</f>
        <v>7.2</v>
      </c>
      <c r="CA85" s="132">
        <f ca="1">IF(OFFSET(BA85,1,0,1,1)&lt;&gt;0,$BJ85*SUMIFS(RZ[Úroveň 4 bez koef. (P2)],RZ[0],AX85,RZ[Úroveň 2 (P0)],AY85,RZ[Úroveň 3 (P0)],AZ85),$BJ85*$IG85)</f>
        <v>7.2</v>
      </c>
      <c r="CB85" s="138">
        <f ca="1">RZ[[#This Row],[Úroveň 4 s koef. (P2a)]]*RZ[[#This Row],[Počet MJHR (P0)]]</f>
        <v>0</v>
      </c>
      <c r="CC85" s="138">
        <f ca="1">RZ[Úroveň 4 bez koef. (P2a)]*RZ[[#This Row],[Počet MJHR (P0)]]</f>
        <v>0</v>
      </c>
      <c r="CD85" s="138">
        <f ca="1">IF(OFFSET(BB85,1,0,1,1)&lt;&gt;0,RZ[[#This Row],[Koeficient odhadu HR '[-'] (P1)]]*$BK85*SUMIFS(RZ[Úroveň 5 s koef. (P2)],RZ[0],AX85,RZ[Úroveň 2 (P0)],AY85,RZ[Úroveň 3 (P0)],AZ85,RZ[Úroveň 4 (P0)],BA85),RZ[[#This Row],[Koeficient odhadu HR '[-'] (P1)]]*$BK85*$IG85)</f>
        <v>0</v>
      </c>
      <c r="CE85" s="138">
        <f ca="1">IF(OFFSET(BB85,1,0,1,1)&lt;&gt;0,$BK85*SUMIFS(RZ[Úroveň 5 bez koef. (P2)],RZ[0],AX85,RZ[Úroveň 2 (P0)],AY85,RZ[Úroveň 3 (P0)],AZ85,RZ[Úroveň 4 (P0)],BA85),$BK85*$IG85)</f>
        <v>0</v>
      </c>
      <c r="CF85" s="132">
        <f ca="1">RZ[[#This Row],[Úroveň 5 s koef. (P2a)]]*RZ[[#This Row],[Počet MJHR (P0)]]</f>
        <v>0</v>
      </c>
      <c r="CG85" s="132">
        <f ca="1">RZ[Úroveň 5 bez koef. (P2a)]*RZ[[#This Row],[Počet MJHR (P0)]]</f>
        <v>0</v>
      </c>
      <c r="CH85" s="132">
        <f ca="1">IF(OFFSET(BC85,1,0,1,1)&lt;&gt;0,RZ[[#This Row],[Koeficient odhadu HR '[-'] (P1)]]*$BL85*SUMIFS(RZ[Úroveň 6 s koef. (P2)],RZ[0],AX85,RZ[Úroveň 2 (P0)],AY85,RZ[Úroveň 3 (P0)],AZ85,RZ[Úroveň 4 (P0)],BA85,RZ[Úroveň 5 (P0)],BB85),RZ[[#This Row],[Koeficient odhadu HR '[-'] (P1)]]*$BL85*$IG85)</f>
        <v>0</v>
      </c>
      <c r="CI85" s="132">
        <f ca="1">IF(OFFSET(BC85,1,0,1,1)&lt;&gt;0,$BL85*SUMIFS(RZ[Úroveň 6 bez koef. (P2)],RZ[0],AX85,RZ[Úroveň 2 (P0)],AY85,RZ[Úroveň 3 (P0)],AZ85,RZ[Úroveň 4 (P0)],BA85,RZ[Úroveň 5 (P0)],BB85),$BL85*$IG85)</f>
        <v>0</v>
      </c>
      <c r="CJ85" s="138">
        <f ca="1">RZ[[#This Row],[Úroveň 6 s koef. (P2a)]]*RZ[[#This Row],[Počet MJHR (P0)]]</f>
        <v>0</v>
      </c>
      <c r="CK85" s="138">
        <f ca="1">RZ[Úroveň 6 bez koef. (P2a)]*RZ[[#This Row],[Počet MJHR (P0)]]</f>
        <v>0</v>
      </c>
      <c r="CL85" s="138">
        <f ca="1">IF(OFFSET(BD85,1,0,1,1)&lt;&gt;0,RZ[[#This Row],[Koeficient odhadu HR '[-'] (P1)]]*$BM85*SUMIFS(RZ[Úroveň 7 s koef. (P2)],RZ[0],AX85,RZ[Úroveň 2 (P0)],AY85,RZ[Úroveň 3 (P0)],AZ85,RZ[Úroveň 4 (P0)],BA85,RZ[Úroveň 5 (P0)],BB85,RZ[Úroveň 6 (P0)],BC85),RZ[[#This Row],[Koeficient odhadu HR '[-'] (P1)]]*$BM85*$IG85)</f>
        <v>0</v>
      </c>
      <c r="CM85" s="138">
        <f ca="1">IF(OFFSET(BD85,1,0,1,1)&lt;&gt;0,$BM85*SUMIFS(RZ[Úroveň 7 bez koef. (P2)],RZ[0],AX85,RZ[Úroveň 2 (P0)],AY85,RZ[Úroveň 3 (P0)],AZ85,RZ[Úroveň 4 (P0)],BA85,RZ[Úroveň 5 (P0)],BB85,RZ[Úroveň 6 (P0)],BC85),$BM85*$IG85)</f>
        <v>0</v>
      </c>
      <c r="CN85" s="132">
        <f ca="1">RZ[[#This Row],[Úroveň 7 s koef. (P2a)]]*RZ[[#This Row],[Počet MJHR (P0)]]</f>
        <v>0</v>
      </c>
      <c r="CO85" s="132">
        <f ca="1">RZ[Úroveň 7 bez koef. (P2a)]*RZ[[#This Row],[Počet MJHR (P0)]]</f>
        <v>0</v>
      </c>
      <c r="CP85" s="132">
        <f ca="1">IF(OFFSET(BE85,1,0,1,1)&lt;&gt;0,RZ[[#This Row],[Koeficient odhadu HR '[-'] (P1)]]*$BN85*SUMIFS(RZ[Úroveň 8 s koef. (P2)],RZ[0],AX85,RZ[Úroveň 2 (P0)],AY85,RZ[Úroveň 3 (P0)],AZ85,RZ[Úroveň 4 (P0)],BA85,RZ[Úroveň 5 (P0)],BB85,RZ[Úroveň 6 (P0)],BC85,RZ[Úroveň 7 (P0)],BD85),RZ[[#This Row],[Koeficient odhadu HR '[-'] (P1)]]*$BN85*$IG85)</f>
        <v>0</v>
      </c>
      <c r="CQ85" s="132">
        <f ca="1">IF(OFFSET(BE85,1,0,1,1)&lt;&gt;0,$BN85*SUMIFS(RZ[Úroveň 8 bez koef. (P2)],RZ[0],AX85,RZ[Úroveň 2 (P0)],AY85,RZ[Úroveň 3 (P0)],AZ85,RZ[Úroveň 4 (P0)],BA85,RZ[Úroveň 5 (P0)],BB85,RZ[Úroveň 6 (P0)],BC85,RZ[Úroveň 7 (P0)],BD85),$BN85*$IG85)</f>
        <v>0</v>
      </c>
      <c r="CR85" s="138">
        <f ca="1">RZ[[#This Row],[Úroveň 8 s koef. (P2a)]]*RZ[[#This Row],[Počet MJHR (P0)]]</f>
        <v>0</v>
      </c>
      <c r="CS85" s="138">
        <f ca="1">RZ[Úroveň 8 bez koef. (P2a)]*RZ[[#This Row],[Počet MJHR (P0)]]</f>
        <v>0</v>
      </c>
      <c r="CT85" s="138">
        <f ca="1">IF(OFFSET(BF85,1,0,1,1)&lt;&gt;0,RZ[[#This Row],[Koeficient odhadu HR '[-'] (P1)]]*$BO85*SUMIFS(RZ[Úroveň 9 s koef. (P2)],RZ[0],AX85,RZ[Úroveň 2 (P0)],AY85,RZ[Úroveň 3 (P0)],AZ85,RZ[Úroveň 4 (P0)],BA85,RZ[Úroveň 5 (P0)],BB85,RZ[Úroveň 6 (P0)],BC85,RZ[Úroveň 7 (P0)],BD85,RZ[Úroveň 8 (P0)],BE85),RZ[[#This Row],[Koeficient odhadu HR '[-'] (P1)]]*$BO85*$IG85)</f>
        <v>0</v>
      </c>
      <c r="CU85" s="138">
        <f ca="1">IF(OFFSET(BF85,1,0,1,1)&lt;&gt;0,$BO85*SUMIFS(RZ[Úroveň 9 bez koef. (P2)],RZ[0],AX85,RZ[Úroveň 2 (P0)],AY85,RZ[Úroveň 3 (P0)],AZ85,RZ[Úroveň 4 (P0)],BA85,RZ[Úroveň 5 (P0)],BB85,RZ[Úroveň 6 (P0)],BC85,RZ[Úroveň 7 (P0)],BD85,RZ[Úroveň 8 (P0)],BE85),$BO85*$IG85)</f>
        <v>0</v>
      </c>
      <c r="CV85" s="132">
        <f ca="1">RZ[[#This Row],[Úroveň 9 s koef. (P2a)]]*RZ[[#This Row],[Počet MJHR (P0)]]</f>
        <v>0</v>
      </c>
      <c r="CW85" s="132">
        <f ca="1">RZ[Úroveň 9 bez koef. (P2a)]*RZ[[#This Row],[Počet MJHR (P0)]]</f>
        <v>0</v>
      </c>
      <c r="CX85" s="132">
        <f ca="1">IF(OFFSET(BG85,1,0,1,1)&lt;&gt;0,RZ[[#This Row],[Koeficient odhadu HR '[-'] (P1)]]*$BP85*SUMIFS(RZ[Úroveň 10 s koef. (P2)],RZ[0],AX85,RZ[Úroveň 2 (P0)],AY85,RZ[Úroveň 3 (P0)],AZ85,RZ[Úroveň 4 (P0)],BA85,RZ[Úroveň 5 (P0)],BB85,RZ[Úroveň 6 (P0)],BC85,RZ[Úroveň 7 (P0)],BD85,RZ[Úroveň 8 (P0)],BE85,RZ[Úroveň 9 (P0)],BF85),RZ[[#This Row],[Koeficient odhadu HR '[-'] (P1)]]*$BP85*$IG85)</f>
        <v>0</v>
      </c>
      <c r="CY85" s="132">
        <f ca="1">IF(OFFSET(BG85,1,0,1,1)&lt;&gt;0,$BP85*SUMIFS(RZ[Úroveň 10 bez koef. (P2)],RZ[0],AX85,RZ[Úroveň 2 (P0)],AY85,RZ[Úroveň 3 (P0)],AZ85,RZ[Úroveň 4 (P0)],BA85,RZ[Úroveň 5 (P0)],BB85,RZ[Úroveň 6 (P0)],BC85,RZ[Úroveň 7 (P0)],BD85,RZ[Úroveň 8 (P0)],BE85,RZ[Úroveň 9 (P0)],BF85),$BP85*$IG85)</f>
        <v>0</v>
      </c>
      <c r="CZ85" s="138">
        <f>RZ[[#This Row],[Úroveň 10 s koef. (P2a)]]*RZ[[#This Row],[Počet MJHR (P0)]]</f>
        <v>0</v>
      </c>
      <c r="DA85" s="138">
        <f>RZ[Úroveň 10 bez koef. (P2a)]*RZ[[#This Row],[Počet MJHR (P0)]]</f>
        <v>0</v>
      </c>
      <c r="DB85" s="138">
        <f>RZ[[#This Row],[Koeficient odhadu HR '[-'] (P1)]]*$BQ85*IG85</f>
        <v>0</v>
      </c>
      <c r="DC85" s="231">
        <f t="shared" si="522"/>
        <v>0</v>
      </c>
      <c r="DD85" s="241">
        <f t="shared" ca="1" si="523"/>
        <v>7.2</v>
      </c>
      <c r="DE85" s="229">
        <f t="shared" ca="1" si="524"/>
        <v>7.2</v>
      </c>
      <c r="DF85" s="912">
        <f t="shared" si="525"/>
        <v>0</v>
      </c>
      <c r="DG85" s="913">
        <f t="shared" si="526"/>
        <v>0</v>
      </c>
      <c r="DH85" s="913">
        <f t="shared" si="527"/>
        <v>8</v>
      </c>
      <c r="DI85" s="913">
        <f t="shared" si="528"/>
        <v>0</v>
      </c>
      <c r="DJ85" s="913">
        <f t="shared" si="529"/>
        <v>0</v>
      </c>
      <c r="DK85" s="913">
        <f t="shared" si="530"/>
        <v>0</v>
      </c>
      <c r="DL85" s="913">
        <f t="shared" si="531"/>
        <v>0</v>
      </c>
      <c r="DM85" s="913">
        <f t="shared" si="532"/>
        <v>0</v>
      </c>
      <c r="DN85" s="913">
        <f t="shared" si="533"/>
        <v>0</v>
      </c>
      <c r="DO85" s="913">
        <f t="shared" si="534"/>
        <v>0</v>
      </c>
      <c r="DP85" s="914">
        <f ca="1">SUMIFS(RZ[Úroveň 1 (P4)],RZ[0],AX85)</f>
        <v>1</v>
      </c>
      <c r="DQ85" s="914">
        <f ca="1">SUMIFS(RZ[Úroveň 2 (P4)],RZ[0],AX85,RZ[Úroveň 2 (P0)],AY85)</f>
        <v>1</v>
      </c>
      <c r="DR85" s="914">
        <f ca="1">SUMIFS(RZ[Úroveň 3 (P4)],RZ[0],AX85,RZ[Úroveň 2 (P0)],AY85,RZ[Úroveň 3 (P0)],AZ85)</f>
        <v>8</v>
      </c>
      <c r="DS85" s="914">
        <f ca="1">SUMIFS(RZ[Úroveň 4 (P4)],RZ[0],AX85,RZ[Úroveň 2 (P0)],AY85,RZ[Úroveň 3 (P0)],AZ85,RZ[Úroveň 4 (P0)],BA85)</f>
        <v>0</v>
      </c>
      <c r="DT85" s="914">
        <f ca="1">SUMIFS(RZ[Úroveň 5 (P4)],RZ[0],AX85,RZ[Úroveň 2 (P0)],AY85,RZ[Úroveň 3 (P0)],AZ85,RZ[Úroveň 4 (P0)],BA85,RZ[Úroveň 5 (P0)],BB85)</f>
        <v>0</v>
      </c>
      <c r="DU85" s="914">
        <f ca="1">SUMIFS(RZ[Úroveň 6 (P4)],RZ[0],AX85,RZ[Úroveň 2 (P0)],AY85,RZ[Úroveň 3 (P0)],AZ85,RZ[Úroveň 4 (P0)],BA85,RZ[Úroveň 5 (P0)],BB85,RZ[Úroveň 6 (P0)],BC85)</f>
        <v>0</v>
      </c>
      <c r="DV85" s="914">
        <f ca="1">SUMIFS(RZ[Úroveň 7 (P4)],RZ[0],AX85,RZ[Úroveň 2 (P0)],AY85,RZ[Úroveň 3 (P0)],AZ85,RZ[Úroveň 4 (P0)],BA85,RZ[Úroveň 5 (P0)],BB85,RZ[Úroveň 6 (P0)],BC85,RZ[Úroveň 7 (P0)],BD85)</f>
        <v>0</v>
      </c>
      <c r="DW85" s="914">
        <f ca="1">SUMIFS(RZ[Úroveň 8 (P4)],RZ[0],AX85,RZ[Úroveň 2 (P0)],AY85,RZ[Úroveň 3 (P0)],AZ85,RZ[Úroveň 4 (P0)],BA85,RZ[Úroveň 5 (P0)],BB85,RZ[Úroveň 6 (P0)],BC85,RZ[Úroveň 7 (P0)],BD85,RZ[Úroveň 8 (P0)],BE85)</f>
        <v>0</v>
      </c>
      <c r="DX85" s="914">
        <f ca="1">SUMIFS(RZ[Úroveň 9 (P4)],RZ[0],AX85,RZ[Úroveň 2 (P0)],AY85,RZ[Úroveň 3 (P0)],AZ85,RZ[Úroveň 4 (P0)],BA85,RZ[Úroveň 5 (P0)],BB85,RZ[Úroveň 6 (P0)],BC85,RZ[Úroveň 7 (P0)],BD85,RZ[Úroveň 8 (P0)],BE85,RZ[Úroveň 9 (P0)],BF85)</f>
        <v>0</v>
      </c>
      <c r="DY85" s="914">
        <f ca="1">SUMIFS(RZ[Úroveň 10 (P4)],RZ[0],AX85,RZ[Úroveň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DZ85" s="915">
        <f t="shared" ca="1" si="535"/>
        <v>8</v>
      </c>
      <c r="EA85" s="916">
        <f ca="1">RZ[[#This Row],[Jednotková hmotnost bez koef. '[kg/MJHR'] (P0)]]*RZ[[#This Row],[Počet MJHR v rozpadu (P0)]]</f>
        <v>57.6</v>
      </c>
      <c r="EB85" s="917">
        <f ca="1">IF(OFFSET(AY85,1,0,1,1)&lt;&gt;0,RZ[[#This Row],[Koeficient odhadu CR '[-'] (P1)]]*$BH85*SUMIFS(RZ[Úroveň 2 s koef. (P3)],RZ[0],AX85),RZ[[#This Row],[Koeficient odhadu CR '[-'] (P1)]]*$BH85*$IQ85)</f>
        <v>0</v>
      </c>
      <c r="EC85" s="191">
        <f ca="1">IF(OFFSET(AY85,1,0,1,1)&lt;&gt;0,$BH85*SUMIFS(RZ[Úroveň 2 bez koef. (P3)],RZ[0],AX85),$BH85*$IQ85)</f>
        <v>0</v>
      </c>
      <c r="ED85" s="140">
        <f ca="1">RZ[[#This Row],[Úroveň 2 s koef. (P3a)]]*RZ[[#This Row],[Počet MJCR (P0) pro "kg"]]</f>
        <v>0</v>
      </c>
      <c r="EE85" s="140">
        <f ca="1">RZ[Úroveň 2 bez koef. (P3a)]*RZ[[#This Row],[Počet MJCR (P0) pro "kg"]]</f>
        <v>0</v>
      </c>
      <c r="EF85" s="140">
        <f ca="1">IF(OFFSET(AZ85,1,0,1,1)&lt;&gt;0,RZ[[#This Row],[Koeficient odhadu CR '[-'] (P1)]]*$BI85*SUMIFS(RZ[Úroveň 3 s koef. (P3)],RZ[0],AX85,RZ[Úroveň 2 (P0)],AY85),RZ[[#This Row],[Koeficient odhadu CR '[-'] (P1)]]*$BI85*$IQ85)</f>
        <v>0</v>
      </c>
      <c r="EG85" s="140">
        <f ca="1">IF(OFFSET(AZ85,1,0,1,1)&lt;&gt;0,$BI85*SUMIFS(RZ[Úroveň 3 bez koef. (P3)],RZ[0],AX85,RZ[Úroveň 2 (P0)],AY85),$BI85*$IQ85)</f>
        <v>0</v>
      </c>
      <c r="EH85" s="135">
        <f ca="1">RZ[[#This Row],[Úroveň 3 s koef. (P3a)]]*RZ[[#This Row],[Počet MJCR (P0) pro "kg"]]</f>
        <v>6624</v>
      </c>
      <c r="EI85" s="135">
        <f ca="1">RZ[Úroveň 3 bez koef. (P3a)]*RZ[[#This Row],[Počet MJCR (P0) pro "kg"]]</f>
        <v>6624</v>
      </c>
      <c r="EJ85" s="135">
        <f ca="1">IF(OFFSET(BA85,1,0,1,1)&lt;&gt;0,RZ[[#This Row],[Koeficient odhadu CR '[-'] (P1)]]*$BJ85*SUMIFS(RZ[Úroveň 4 s koef. (P3)],RZ[0],AX85,RZ[Úroveň 2 (P0)],AY85,RZ[Úroveň 3 (P0)],AZ85),RZ[[#This Row],[Koeficient odhadu CR '[-'] (P1)]]*$BJ85*$IQ85)</f>
        <v>115</v>
      </c>
      <c r="EK85" s="135">
        <f ca="1">IF(OFFSET(BA85,1,0,1,1)&lt;&gt;0,$BJ85*SUMIFS(RZ[Úroveň 4 bez koef. (P3)],RZ[0],AX85,RZ[Úroveň 2 (P0)],AY85,RZ[Úroveň 3 (P0)],AZ85),$BJ85*$IQ85)</f>
        <v>115</v>
      </c>
      <c r="EL85" s="140">
        <f ca="1">RZ[[#This Row],[Úroveň 4 s koef. (P3a)]]*RZ[[#This Row],[Počet MJCR (P0) pro "kg"]]</f>
        <v>0</v>
      </c>
      <c r="EM85" s="140">
        <f ca="1">RZ[Úroveň 4 bez koef. (P3a)]*RZ[[#This Row],[Počet MJCR (P0) pro "kg"]]</f>
        <v>0</v>
      </c>
      <c r="EN85" s="140">
        <f ca="1">IF(OFFSET(BB85,1,0,1,1)&lt;&gt;0,RZ[[#This Row],[Koeficient odhadu CR '[-'] (P1)]]*$BK85*SUMIFS(RZ[Úroveň 5 s koef. (P3)],RZ[0],AX85,RZ[Úroveň 2 (P0)],AY85,RZ[Úroveň 3 (P0)],AZ85,RZ[Úroveň 4 (P0)],BA85),RZ[[#This Row],[Koeficient odhadu CR '[-'] (P1)]]*$BK85*$IQ85)</f>
        <v>0</v>
      </c>
      <c r="EO85" s="140">
        <f ca="1">IF(OFFSET(BB85,1,0,1,1)&lt;&gt;0,$BK85*SUMIFS(RZ[Úroveň 5 bez koef. (P3)],RZ[0],AX85,RZ[Úroveň 2 (P0)],AY85,RZ[Úroveň 3 (P0)],AZ85,RZ[Úroveň 4 (P0)],BA85),$BK85*$IQ85)</f>
        <v>0</v>
      </c>
      <c r="EP85" s="135">
        <f ca="1">RZ[[#This Row],[Úroveň 5 s koef. (P3a)]]*RZ[[#This Row],[Počet MJCR (P0) pro "kg"]]</f>
        <v>0</v>
      </c>
      <c r="EQ85" s="135">
        <f ca="1">RZ[Úroveň 5 bez koef. (P3a)]*RZ[[#This Row],[Počet MJCR (P0) pro "kg"]]</f>
        <v>0</v>
      </c>
      <c r="ER85" s="135">
        <f ca="1">IF(OFFSET(BC85,1,0,1,1)&lt;&gt;0,RZ[[#This Row],[Koeficient odhadu CR '[-'] (P1)]]*$BL85*SUMIFS(RZ[Úroveň 6 s koef. (P3)],RZ[0],AX85,RZ[Úroveň 2 (P0)],AY85,RZ[Úroveň 3 (P0)],AZ85,RZ[Úroveň 4 (P0)],BA85,RZ[Úroveň 5 (P0)],BB85),RZ[[#This Row],[Koeficient odhadu CR '[-'] (P1)]]*$BL85*$IQ85)</f>
        <v>0</v>
      </c>
      <c r="ES85" s="135">
        <f ca="1">IF(OFFSET(BC85,1,0,1,1)&lt;&gt;0,$BL85*SUMIFS(RZ[Úroveň 6 bez koef. (P3)],RZ[0],AX85,RZ[Úroveň 2 (P0)],AY85,RZ[Úroveň 3 (P0)],AZ85,RZ[Úroveň 4 (P0)],BA85,RZ[Úroveň 5 (P0)],BB85),$BL85*$IQ85)</f>
        <v>0</v>
      </c>
      <c r="ET85" s="140">
        <f ca="1">RZ[[#This Row],[Úroveň 6 s koef. (P3a)]]*RZ[[#This Row],[Počet MJCR (P0) pro "kg"]]</f>
        <v>0</v>
      </c>
      <c r="EU85" s="140">
        <f ca="1">RZ[Úroveň 6 bez koef. (P3a)]*RZ[[#This Row],[Počet MJCR (P0) pro "kg"]]</f>
        <v>0</v>
      </c>
      <c r="EV85" s="140">
        <f ca="1">IF(OFFSET(BD85,1,0,1,1)&lt;&gt;0,RZ[[#This Row],[Koeficient odhadu CR '[-'] (P1)]]*$BM85*SUMIFS(RZ[Úroveň 7 s koef. (P3)],RZ[0],AX85,RZ[Úroveň 2 (P0)],AY85,RZ[Úroveň 3 (P0)],AZ85,RZ[Úroveň 4 (P0)],BA85,RZ[Úroveň 5 (P0)],BB85,RZ[Úroveň 6 (P0)],BC85),RZ[[#This Row],[Koeficient odhadu CR '[-'] (P1)]]*$BM85*$IQ85)</f>
        <v>0</v>
      </c>
      <c r="EW85" s="140">
        <f ca="1">IF(OFFSET(BD85,1,0,1,1)&lt;&gt;0,$BM85*SUMIFS(RZ[Úroveň 7 bez koef. (P3)],RZ[0],AX85,RZ[Úroveň 2 (P0)],AY85,RZ[Úroveň 3 (P0)],AZ85,RZ[Úroveň 4 (P0)],BA85,RZ[Úroveň 5 (P0)],BB85,RZ[Úroveň 6 (P0)],BC85),$BM85*$IQ85)</f>
        <v>0</v>
      </c>
      <c r="EX85" s="135">
        <f ca="1">RZ[[#This Row],[Úroveň 7 s koef. (P3a)]]*RZ[[#This Row],[Počet MJCR (P0) pro "kg"]]</f>
        <v>0</v>
      </c>
      <c r="EY85" s="135">
        <f ca="1">RZ[Úroveň 7 bez koef. (P3a)]*RZ[[#This Row],[Počet MJCR (P0) pro "kg"]]</f>
        <v>0</v>
      </c>
      <c r="EZ85" s="135">
        <f ca="1">IF(OFFSET(BE85,1,0,1,1)&lt;&gt;0,RZ[[#This Row],[Koeficient odhadu CR '[-'] (P1)]]*$BN85*SUMIFS(RZ[Úroveň 8 s koef. (P3)],RZ[0],AX85,RZ[Úroveň 2 (P0)],AY85,RZ[Úroveň 3 (P0)],AZ85,RZ[Úroveň 4 (P0)],BA85,RZ[Úroveň 5 (P0)],BB85,RZ[Úroveň 6 (P0)],BC85,RZ[Úroveň 7 (P0)],BD85),RZ[[#This Row],[Koeficient odhadu CR '[-'] (P1)]]*$BN85*$IQ85)</f>
        <v>0</v>
      </c>
      <c r="FA85" s="135">
        <f ca="1">IF(OFFSET(BE85,1,0,1,1)&lt;&gt;0,$BN85*SUMIFS(RZ[Úroveň 8 bez koef. (P3)],RZ[0],AX85,RZ[Úroveň 2 (P0)],AY85,RZ[Úroveň 3 (P0)],AZ85,RZ[Úroveň 4 (P0)],BA85,RZ[Úroveň 5 (P0)],BB85,RZ[Úroveň 6 (P0)],BC85,RZ[Úroveň 7 (P0)],BD85),$BN85*$IQ85)</f>
        <v>0</v>
      </c>
      <c r="FB85" s="140">
        <f ca="1">RZ[[#This Row],[Úroveň 8 s koef. (P3a)]]*RZ[[#This Row],[Počet MJCR (P0) pro "kg"]]</f>
        <v>0</v>
      </c>
      <c r="FC85" s="140">
        <f ca="1">RZ[Úroveň 8 bez koef. (P3a)]*RZ[[#This Row],[Počet MJCR (P0) pro "kg"]]</f>
        <v>0</v>
      </c>
      <c r="FD85" s="140">
        <f ca="1">IF(OFFSET(BF85,1,0,1,1)&lt;&gt;0,RZ[[#This Row],[Koeficient odhadu CR '[-'] (P1)]]*$BO85*SUMIFS(RZ[Úroveň 9 s koef. (P3)],RZ[0],AX85,RZ[Úroveň 2 (P0)],AY85,RZ[Úroveň 3 (P0)],AZ85,RZ[Úroveň 4 (P0)],BA85,RZ[Úroveň 5 (P0)],BB85,RZ[Úroveň 6 (P0)],BC85,RZ[Úroveň 7 (P0)],BD85,RZ[Úroveň 8 (P0)],BE85),RZ[[#This Row],[Koeficient odhadu CR '[-'] (P1)]]*$BO85*$IQ85)</f>
        <v>0</v>
      </c>
      <c r="FE85" s="140">
        <f ca="1">IF(OFFSET(BF85,1,0,1,1)&lt;&gt;0,$BO85*SUMIFS(RZ[Úroveň 9 bez koef. (P3)],RZ[0],AX85,RZ[Úroveň 2 (P0)],AY85,RZ[Úroveň 3 (P0)],AZ85,RZ[Úroveň 4 (P0)],BA85,RZ[Úroveň 5 (P0)],BB85,RZ[Úroveň 6 (P0)],BC85,RZ[Úroveň 7 (P0)],BD85,RZ[Úroveň 8 (P0)],BE85),$BO85*$IQ85)</f>
        <v>0</v>
      </c>
      <c r="FF85" s="135">
        <f ca="1">RZ[[#This Row],[Úroveň 9 s koef. (P3a)]]*RZ[[#This Row],[Počet MJCR (P0) pro "kg"]]</f>
        <v>0</v>
      </c>
      <c r="FG85" s="135">
        <f ca="1">RZ[Úroveň 9 bez koef. (P3a)]*RZ[[#This Row],[Počet MJCR (P0) pro "kg"]]</f>
        <v>0</v>
      </c>
      <c r="FH85" s="135">
        <f ca="1">IF(OFFSET(BG85,1,0,1,1)&lt;&gt;0,RZ[[#This Row],[Koeficient odhadu CR '[-'] (P1)]]*$BP85*SUMIFS(RZ[Úroveň 10 s koef. (P3)],RZ[0],AX85,RZ[Úroveň 2 (P0)],AY85,RZ[Úroveň 3 (P0)],AZ85,RZ[Úroveň 4 (P0)],BA85,RZ[Úroveň 5 (P0)],BB85,RZ[Úroveň 6 (P0)],BC85,RZ[Úroveň 7 (P0)],BD85,RZ[Úroveň 8 (P0)],BE85,RZ[Úroveň 9 (P0)],BF85),RZ[[#This Row],[Koeficient odhadu CR '[-'] (P1)]]*$BP85*$IQ85)</f>
        <v>0</v>
      </c>
      <c r="FI85" s="135">
        <f ca="1">IF(OFFSET(BG85,1,0,1,1)&lt;&gt;0,$BP85*SUMIFS(RZ[Úroveň 10 bez koef. (P3)],RZ[0],AX85,RZ[Úroveň 2 (P0)],AY85,RZ[Úroveň 3 (P0)],AZ85,RZ[Úroveň 4 (P0)],BA85,RZ[Úroveň 5 (P0)],BB85,RZ[Úroveň 6 (P0)],BC85,RZ[Úroveň 7 (P0)],BD85,RZ[Úroveň 8 (P0)],BE85,RZ[Úroveň 9 (P0)],BF85),$BP85*$IQ85)</f>
        <v>0</v>
      </c>
      <c r="FJ85" s="140">
        <f ca="1">RZ[[#This Row],[Úroveň 10 s koef. (P3a)]]*RZ[[#This Row],[Počet MJCR (P0) pro "kg"]]</f>
        <v>0</v>
      </c>
      <c r="FK85" s="140">
        <f ca="1">RZ[Úroveň 10 bez koef. (P3a)]*RZ[[#This Row],[Počet MJCR (P0) pro "kg"]]</f>
        <v>0</v>
      </c>
      <c r="FL85" s="140">
        <f ca="1">RZ[[#This Row],[Koeficient odhadu CR '[-'] (P1)]]*$BQ85*IQ85</f>
        <v>0</v>
      </c>
      <c r="FM85" s="236">
        <f t="shared" ca="1" si="536"/>
        <v>0</v>
      </c>
      <c r="FN85" s="194">
        <f t="shared" ca="1" si="537"/>
        <v>115</v>
      </c>
      <c r="FO85" s="238">
        <f t="shared" ca="1" si="538"/>
        <v>115</v>
      </c>
      <c r="FP85" s="135">
        <f t="shared" ca="1" si="539"/>
        <v>0</v>
      </c>
      <c r="FQ85" s="135">
        <f t="shared" ca="1" si="540"/>
        <v>0</v>
      </c>
      <c r="FR85" s="135">
        <f t="shared" ca="1" si="541"/>
        <v>57.6</v>
      </c>
      <c r="FS85" s="135">
        <f t="shared" ca="1" si="542"/>
        <v>0</v>
      </c>
      <c r="FT85" s="135">
        <f t="shared" ca="1" si="543"/>
        <v>0</v>
      </c>
      <c r="FU85" s="135">
        <f t="shared" ca="1" si="544"/>
        <v>0</v>
      </c>
      <c r="FV85" s="135">
        <f t="shared" ca="1" si="545"/>
        <v>0</v>
      </c>
      <c r="FW85" s="135">
        <f t="shared" ca="1" si="546"/>
        <v>0</v>
      </c>
      <c r="FX85" s="135">
        <f t="shared" ca="1" si="547"/>
        <v>0</v>
      </c>
      <c r="FY85" s="135">
        <f t="shared" ca="1" si="548"/>
        <v>0</v>
      </c>
      <c r="FZ85" s="140">
        <f ca="1">SUMIFS(RZ[Úroveň 1 (P6)],RZ[0],AX85)</f>
        <v>1</v>
      </c>
      <c r="GA85" s="140">
        <f ca="1">SUMIFS(RZ[Úroveň 2 (P6)],RZ[0],AX85,RZ[Úroveň 2 (P0)],AY85)</f>
        <v>1</v>
      </c>
      <c r="GB85" s="140">
        <f ca="1">SUMIFS(RZ[Úroveň 3 (P6)],RZ[0],AX85,RZ[Úroveň 2 (P0)],AY85,RZ[Úroveň 3 (P0)],AZ85)</f>
        <v>57.6</v>
      </c>
      <c r="GC85" s="140">
        <f ca="1">SUMIFS(RZ[Úroveň 4 (P6)],RZ[0],AX85,RZ[Úroveň 2 (P0)],AY85,RZ[Úroveň 3 (P0)],AZ85,RZ[Úroveň 4 (P0)],BA85)</f>
        <v>0</v>
      </c>
      <c r="GD85" s="140">
        <f ca="1">SUMIFS(RZ[Úroveň 5 (P6)],RZ[0],AX85,RZ[Úroveň 2 (P0)],AY85,RZ[Úroveň 3 (P0)],AZ85,RZ[Úroveň 4 (P0)],BA85,RZ[Úroveň 5 (P0)],BB85)</f>
        <v>0</v>
      </c>
      <c r="GE85" s="140">
        <f ca="1">SUMIFS(RZ[Úroveň 6 (P6)],RZ[0],AX85,RZ[Úroveň 2 (P0)],AY85,RZ[Úroveň 3 (P0)],AZ85,RZ[Úroveň 4 (P0)],BA85,RZ[Úroveň 5 (P0)],BB85,RZ[Úroveň 6 (P0)],BC85)</f>
        <v>0</v>
      </c>
      <c r="GF85" s="140">
        <f ca="1">SUMIFS(RZ[Úroveň 7 (P6)],RZ[0],AX85,RZ[Úroveň 2 (P0)],AY85,RZ[Úroveň 3 (P0)],AZ85,RZ[Úroveň 4 (P0)],BA85,RZ[Úroveň 5 (P0)],BB85,RZ[Úroveň 6 (P0)],BC85,RZ[Úroveň 7 (P0)],BD85)</f>
        <v>0</v>
      </c>
      <c r="GG85" s="140">
        <f ca="1">SUMIFS(RZ[Úroveň 8 (P6)],RZ[0],AX85,RZ[Úroveň 2 (P0)],AY85,RZ[Úroveň 3 (P0)],AZ85,RZ[Úroveň 4 (P0)],BA85,RZ[Úroveň 5 (P0)],BB85,RZ[Úroveň 6 (P0)],BC85,RZ[Úroveň 7 (P0)],BD85,RZ[Úroveň 8 (P0)],BE85)</f>
        <v>0</v>
      </c>
      <c r="GH85" s="140">
        <f ca="1">SUMIFS(RZ[Úroveň 9 (P6)],RZ[0],AX85,RZ[Úroveň 2 (P0)],AY85,RZ[Úroveň 3 (P0)],AZ85,RZ[Úroveň 4 (P0)],BA85,RZ[Úroveň 5 (P0)],BB85,RZ[Úroveň 6 (P0)],BC85,RZ[Úroveň 7 (P0)],BD85,RZ[Úroveň 8 (P0)],BE85,RZ[Úroveň 9 (P0)],BF85)</f>
        <v>0</v>
      </c>
      <c r="GI85" s="140">
        <f ca="1">SUMIFS(RZ[Úroveň 10 (P6)],RZ[0],AX85,RZ[Úroveň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GJ85" s="918">
        <f t="shared" ca="1" si="549"/>
        <v>57.6</v>
      </c>
      <c r="GK85" s="808">
        <f t="shared" si="550"/>
        <v>0</v>
      </c>
      <c r="GL85" s="808">
        <f t="shared" si="551"/>
        <v>0</v>
      </c>
      <c r="GM85" s="808">
        <f t="shared" si="552"/>
        <v>1</v>
      </c>
      <c r="GN85" s="808">
        <f t="shared" si="553"/>
        <v>0</v>
      </c>
      <c r="GO85" s="808">
        <f t="shared" si="554"/>
        <v>0</v>
      </c>
      <c r="GP85" s="808">
        <f t="shared" si="555"/>
        <v>0</v>
      </c>
      <c r="GQ85" s="808">
        <f t="shared" si="556"/>
        <v>0</v>
      </c>
      <c r="GR85" s="808">
        <f t="shared" si="557"/>
        <v>0</v>
      </c>
      <c r="GS85" s="808">
        <f t="shared" si="558"/>
        <v>0</v>
      </c>
      <c r="GT85" s="808">
        <f t="shared" si="559"/>
        <v>0</v>
      </c>
      <c r="GU85" s="809">
        <f ca="1">SUMIFS(RZ[Sloupec1],RZ[0],AX85)</f>
        <v>1</v>
      </c>
      <c r="GV85" s="809">
        <f ca="1">SUMIFS(RZ[Sloupec2],RZ[0],AX85,RZ[Úroveň 2 (P0)],AY85)</f>
        <v>1</v>
      </c>
      <c r="GW85" s="809">
        <f ca="1">SUMIFS(RZ[Sloupec3],RZ[0],AX85,RZ[Úroveň 2 (P0)],AY85,RZ[Úroveň 3 (P0)],AZ85)</f>
        <v>1</v>
      </c>
      <c r="GX85" s="809">
        <f ca="1">SUMIFS(RZ[Sloupec4],RZ[0],AX85,RZ[Úroveň 2 (P0)],AY85,RZ[Úroveň 3 (P0)],AZ85,RZ[Úroveň 4 (P0)],BA85)</f>
        <v>0</v>
      </c>
      <c r="GY85" s="809">
        <f ca="1">SUMIFS(RZ[Sloupec5],RZ[0],AX85,RZ[Úroveň 2 (P0)],AY85,RZ[Úroveň 3 (P0)],AZ85,RZ[Úroveň 4 (P0)],BA85,RZ[Úroveň 5 (P0)],BB85)</f>
        <v>0</v>
      </c>
      <c r="GZ85" s="809">
        <f ca="1">SUMIFS(RZ[Sloupec6],RZ[0],AX85,RZ[Úroveň 2 (P0)],AY85,RZ[Úroveň 3 (P0)],AZ85,RZ[Úroveň 4 (P0)],BA85,RZ[Úroveň 5 (P0)],BB85,RZ[Úroveň 6 (P0)],BC85)</f>
        <v>0</v>
      </c>
      <c r="HA85" s="809">
        <f ca="1">SUMIFS(RZ[Sloupec62],RZ[0],AX85,RZ[Úroveň 2 (P0)],AY85,RZ[Úroveň 3 (P0)],AZ85,RZ[Úroveň 4 (P0)],BA85,RZ[Úroveň 5 (P0)],BB85,RZ[Úroveň 6 (P0)],BC85,RZ[Úroveň 7 (P0)],BD85)</f>
        <v>0</v>
      </c>
      <c r="HB85" s="809">
        <f ca="1">SUMIFS(RZ[Sloupec63],RZ[0],AX85,RZ[Úroveň 2 (P0)],AY85,RZ[Úroveň 3 (P0)],AZ85,RZ[Úroveň 4 (P0)],BA85,RZ[Úroveň 5 (P0)],BB85,RZ[Úroveň 6 (P0)],BC85,RZ[Úroveň 7 (P0)],BD85,RZ[Úroveň 8 (P0)],BE85)</f>
        <v>0</v>
      </c>
      <c r="HC85" s="809">
        <f ca="1">SUMIFS(RZ[Sloupec64],RZ[0],AX85,RZ[Úroveň 2 (P0)],AY85,RZ[Úroveň 3 (P0)],AZ85,RZ[Úroveň 4 (P0)],BA85,RZ[Úroveň 5 (P0)],BB85,RZ[Úroveň 6 (P0)],BC85,RZ[Úroveň 7 (P0)],BD85,RZ[Úroveň 8 (P0)],BE85,RZ[Úroveň 9 (P0)],BF85)</f>
        <v>0</v>
      </c>
      <c r="HD85" s="809">
        <f ca="1">SUMIFS(RZ[Sloupec65],RZ[0],AX85,RZ[Úroveň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HE85" s="919">
        <f t="shared" ca="1" si="560"/>
        <v>1</v>
      </c>
      <c r="HF85" s="920" t="str">
        <f t="shared" si="561"/>
        <v/>
      </c>
      <c r="HG85" s="94" t="str">
        <f t="shared" si="562"/>
        <v/>
      </c>
      <c r="HH85" s="95" t="str">
        <f t="shared" si="563"/>
        <v/>
      </c>
      <c r="HI85" s="95" t="str">
        <f t="shared" si="564"/>
        <v>Víčko</v>
      </c>
      <c r="HJ85" s="96" t="str">
        <f t="shared" si="565"/>
        <v/>
      </c>
      <c r="HK85" s="96" t="str">
        <f t="shared" si="566"/>
        <v/>
      </c>
      <c r="HL85" s="96" t="str">
        <f t="shared" si="567"/>
        <v/>
      </c>
      <c r="HM85" s="96" t="str">
        <f t="shared" si="568"/>
        <v/>
      </c>
      <c r="HN85" s="96" t="str">
        <f t="shared" si="569"/>
        <v/>
      </c>
      <c r="HO85" s="96" t="str">
        <f t="shared" si="570"/>
        <v/>
      </c>
      <c r="HP85" s="96" t="str">
        <f t="shared" si="571"/>
        <v/>
      </c>
      <c r="HQ85" s="145" t="str">
        <f t="shared" si="572"/>
        <v>STO2</v>
      </c>
      <c r="HR85" s="921" t="str">
        <f t="shared" si="573"/>
        <v/>
      </c>
      <c r="HS85" s="173">
        <f t="shared" si="574"/>
        <v>0</v>
      </c>
      <c r="HT85" s="100">
        <f t="shared" si="575"/>
        <v>0</v>
      </c>
      <c r="HU85" s="100">
        <f t="shared" si="576"/>
        <v>0</v>
      </c>
      <c r="HV85" s="908">
        <f t="shared" si="577"/>
        <v>0</v>
      </c>
      <c r="HW85" s="922">
        <f t="shared" si="578"/>
        <v>0</v>
      </c>
      <c r="HX85" s="224">
        <f t="shared" si="579"/>
        <v>0</v>
      </c>
      <c r="HY85" s="263" t="str">
        <f t="shared" si="580"/>
        <v>S</v>
      </c>
      <c r="HZ85" s="263">
        <f t="shared" si="581"/>
        <v>0</v>
      </c>
      <c r="IA85" s="150">
        <f t="shared" si="582"/>
        <v>1</v>
      </c>
      <c r="IB85" s="319">
        <f t="shared" si="583"/>
        <v>0</v>
      </c>
      <c r="IC85" s="923">
        <f t="shared" si="584"/>
        <v>0</v>
      </c>
      <c r="ID85" s="924" t="str">
        <f t="shared" ca="1" si="585"/>
        <v>OK</v>
      </c>
      <c r="IE85" s="201" t="str">
        <f t="shared" si="586"/>
        <v>ks</v>
      </c>
      <c r="IF85" s="145">
        <f t="shared" si="587"/>
        <v>8</v>
      </c>
      <c r="IG85" s="216">
        <f t="shared" si="588"/>
        <v>7.2</v>
      </c>
      <c r="IH85" s="217">
        <f t="shared" si="589"/>
        <v>1</v>
      </c>
      <c r="II85" s="224" t="str">
        <f ca="1">IF(RZ[[#This Row],[Rozhodný sloupec indikativní ceny]]=1,"kg",IF($IW85=$JL$15,IF(JX85=0,JO85,JX85),IF($IW85=$KE$15,IF(KQ85=0,KH85,KQ85),IF($IW85=$KX$15,IF(LJ85=0,LA85,LJ85),IF($IW85=$LQ$15,IF(MC85=0,LT85,MC85),IF($IW85=$MJ$15,IF(NQ85=0,NH85,NQ85),0))))))</f>
        <v>kg</v>
      </c>
      <c r="IJ85" s="224">
        <f ca="1">IF((BH85+OFFSET(BH85,1,1,1,1))=2,RZ[[#This Row],[Počet MJHR (P0)]],IF((BI85+OFFSET(BI85,1,1,1,1))=2,RZ[[#This Row],[Počet MJHR (P0)]],IF((BJ85+OFFSET(BJ85,1,1,1,1))=2,RZ[[#This Row],[Počet MJHR (P0)]],IF((BK85+OFFSET(BK85,1,1,1,1))=2,RZ[[#This Row],[Počet MJHR (P0)]],IF((BL85+OFFSET(BL85,1,1,1,1))=2,RZ[[#This Row],[Počet MJHR (P0)]],IF((BM85+OFFSET(BM85,1,1,1,1))=2,RZ[[#This Row],[Počet MJHR (P0)]],IF((BN85+OFFSET(BN85,1,1,1,1))=2,RZ[[#This Row],[Počet MJHR (P0)]],IF((BO85+OFFSET(BO85,1,1,1,1))=2,RZ[[#This Row],[Počet MJHR (P0)]],IF((BP85+OFFSET(BP85,1,1,1,1))=2,RZ[[#This Row],[Počet MJHR (P0)]],IF((BQ85+OFFSET(BQ85,1,1,1,1))=2,RZ[[#This Row],[Počet MJHR (P0)]],IF(RZ[[#This Row],[Měrná jednotka CR (MJCR) (P0)]]=RZ[[#This Row],[Měrná jednotka HR '[MJHR'] (P0)]],RZ[[#This Row],[Počet MJHR (P0)]],IF($IW85=$JL$15,JY85,IF($IW85=$KE$15,KR85,IF($IW85=$KX$15,LK85,IF($IW85=$LQ$15,MD85,IF($IW85=$MJ$15,NR85,0))))))))))))))))</f>
        <v>0</v>
      </c>
      <c r="IK8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57.6</v>
      </c>
      <c r="IL85" s="145">
        <f ca="1">IF(AND(RZ[[#This Row],[Jednotková cena bez DPH '[cena/MJCR'] (P0)]]=0,RZ[[#This Row],[Indikativní jednotková cena '[CZK/kg'] (P1)]]&lt;&gt;0),1,0)</f>
        <v>1</v>
      </c>
      <c r="IM85" s="217">
        <f ca="1">VLOOKUP(RZ[[#This Row],[Kód položek]],INDIKAT_CENA,2,FALSE)</f>
        <v>115</v>
      </c>
      <c r="IN85" s="222">
        <f ca="1">IF(RZ[[#This Row],[Rozhodný sloupec indikativní ceny]]=1,RZ[[#This Row],[Indikativní jednotková cena '[CZK/kg'] (P1)]],RZ[[#This Row],[Jednotková cena bez DPH '[cena/MJCR'] (P0)]])</f>
        <v>115</v>
      </c>
      <c r="IO85" s="222">
        <f t="shared" si="590"/>
        <v>1</v>
      </c>
      <c r="IP85" s="224">
        <f ca="1">IF(RZ[[#This Row],[Rozhodný sloupec indikativní ceny]]=1,1,IF($IW85=$JL$15,KA85,IF($IW85=$KE$15,KT85,IF($IW85=$KX$15,LM85,IF($IW85=$LQ$15,MF85,IF($IW85=$MJ$15,NT85,0))))))</f>
        <v>1</v>
      </c>
      <c r="IQ85" s="225">
        <f ca="1">IF(RZ[[#This Row],[Jednotková cena bez DPH '[cena/MJCR'] (P1)]]="",0,IF(IP85=0,0,(RZ[[#This Row],[Jednotková cena bez DPH '[cena/MJCR'] (P1)]]*VLOOKUP(IP85,$BR$7:$BT$10,3))))</f>
        <v>115</v>
      </c>
      <c r="IR85" s="737"/>
      <c r="IS85" s="627">
        <f>IF(HY85=0,"",VLOOKUP(RZ[[#This Row],[Stav Projekce (P0)]],Vstupy!$E$11:'Vstupy'!$E$11:$H$17,4,FALSE))</f>
        <v>100</v>
      </c>
      <c r="IT85" s="925" t="str">
        <f>IF(RZ[[#This Row],[Stav Projekce (P0)]]=0,"",RZ[[#This Row],[Stav Projekce (P0)]])</f>
        <v>S</v>
      </c>
      <c r="IU85" s="925" t="str">
        <f>IF(RZ[[#This Row],[Stav Nákup (P0)]]=0,"",RZ[[#This Row],[Stav Nákup (P0)]])</f>
        <v/>
      </c>
      <c r="IV85" s="926" t="str">
        <f t="shared" si="591"/>
        <v/>
      </c>
      <c r="IW85" s="641">
        <v>1</v>
      </c>
      <c r="IX85" s="630"/>
      <c r="IY85" s="264"/>
      <c r="IZ85" s="648"/>
      <c r="JA85" s="100"/>
      <c r="JB85" s="100" t="s">
        <v>792</v>
      </c>
      <c r="JC85" s="100"/>
      <c r="JD85" s="100"/>
      <c r="JE85" s="100"/>
      <c r="JF85" s="100"/>
      <c r="JG85" s="100"/>
      <c r="JH85" s="100"/>
      <c r="JI85" s="100"/>
      <c r="JJ85" s="145" t="s">
        <v>773</v>
      </c>
      <c r="JK85" s="529"/>
      <c r="JL85" s="286"/>
      <c r="JM85" s="100"/>
      <c r="JN85" s="100"/>
      <c r="JO85" s="145" t="s">
        <v>35</v>
      </c>
      <c r="JP85" s="117">
        <v>8</v>
      </c>
      <c r="JQ85" s="117">
        <v>7.2</v>
      </c>
      <c r="JR85" s="148">
        <v>1</v>
      </c>
      <c r="JS85" s="145" t="s">
        <v>602</v>
      </c>
      <c r="JT85" s="631"/>
      <c r="JU85" s="148"/>
      <c r="JV85" s="154"/>
      <c r="JW85" s="145"/>
      <c r="JX85" s="210"/>
      <c r="JY85" s="117"/>
      <c r="JZ85" s="662"/>
      <c r="KA85" s="145"/>
      <c r="KB85" s="148"/>
      <c r="KC85" s="148"/>
      <c r="KD85" s="644"/>
      <c r="KE85" s="286"/>
      <c r="KF85" s="100"/>
      <c r="KG85" s="100"/>
      <c r="KH85" s="210"/>
      <c r="KI85" s="117"/>
      <c r="KJ85" s="117"/>
      <c r="KK85" s="148"/>
      <c r="KL85" s="145"/>
      <c r="KM85" s="632"/>
      <c r="KN85" s="148"/>
      <c r="KO85" s="154"/>
      <c r="KP85" s="154"/>
      <c r="KQ85" s="210"/>
      <c r="KR85" s="117"/>
      <c r="KS85" s="211"/>
      <c r="KT85" s="145"/>
      <c r="KU85" s="148"/>
      <c r="KV85" s="148"/>
      <c r="KW85" s="265"/>
      <c r="KX85" s="286"/>
      <c r="KY85" s="100"/>
      <c r="KZ85" s="100"/>
      <c r="LA85" s="210"/>
      <c r="LB85" s="117"/>
      <c r="LC85" s="117"/>
      <c r="LD85" s="148"/>
      <c r="LE85" s="145"/>
      <c r="LF85" s="632"/>
      <c r="LG85" s="148"/>
      <c r="LH85" s="154"/>
      <c r="LI85" s="154"/>
      <c r="LJ85" s="154"/>
      <c r="LK85" s="117"/>
      <c r="LL85" s="211"/>
      <c r="LM85" s="210"/>
      <c r="LN85" s="148"/>
      <c r="LO85" s="148"/>
      <c r="LP85" s="265"/>
      <c r="LQ85" s="286"/>
      <c r="LR85" s="100"/>
      <c r="LS85" s="100"/>
      <c r="LT85" s="210"/>
      <c r="LU85" s="117"/>
      <c r="LV85" s="117"/>
      <c r="LW85" s="148"/>
      <c r="LX85" s="145"/>
      <c r="LY85" s="632"/>
      <c r="LZ85" s="148"/>
      <c r="MA85" s="154"/>
      <c r="MB85" s="154"/>
      <c r="MC85" s="145"/>
      <c r="MD85" s="117"/>
      <c r="ME85" s="211"/>
      <c r="MF85" s="210"/>
      <c r="MG85" s="148"/>
      <c r="MH85" s="148"/>
      <c r="MI85" s="265"/>
      <c r="MJ85" s="647"/>
      <c r="MK85" s="264"/>
      <c r="ML85" s="153"/>
      <c r="MM85" s="153"/>
      <c r="MN85" s="153"/>
      <c r="MO85" s="153"/>
      <c r="MP85" s="153"/>
      <c r="MQ85" s="153"/>
      <c r="MR85" s="153"/>
      <c r="MS85" s="99"/>
      <c r="MT85" s="99"/>
      <c r="MU85" s="99"/>
      <c r="MV85" s="99"/>
      <c r="MW85" s="99"/>
      <c r="MX85" s="99"/>
      <c r="MY85" s="153"/>
      <c r="MZ85" s="153"/>
      <c r="NA85" s="153"/>
      <c r="NB85" s="153"/>
      <c r="NC85" s="153"/>
      <c r="ND85" s="153"/>
      <c r="NE85" s="148"/>
      <c r="NF85" s="153"/>
      <c r="NG85" s="153"/>
      <c r="NH85" s="330" t="str">
        <f t="shared" si="592"/>
        <v>ks</v>
      </c>
      <c r="NI85" s="797">
        <f>RZ[[#This Row],[Počet ks (K)]]</f>
        <v>0</v>
      </c>
      <c r="NJ85" s="798">
        <f>RZ[[#This Row],[Hmotnost '[kg/ks'] (K)]]</f>
        <v>0</v>
      </c>
      <c r="NK85" s="148"/>
      <c r="NL85" s="145"/>
      <c r="NM85" s="632"/>
      <c r="NN85" s="148"/>
      <c r="NO85" s="154"/>
      <c r="NP85" s="153"/>
      <c r="NQ85" s="153"/>
      <c r="NR85" s="210"/>
      <c r="NS85" s="148"/>
      <c r="NT85" s="210"/>
      <c r="NU85" s="148"/>
      <c r="NV85" s="148"/>
      <c r="NW85" s="175"/>
    </row>
    <row r="86" spans="2:387" ht="15.95" customHeight="1" x14ac:dyDescent="0.35">
      <c r="B86" s="118" t="str">
        <f t="shared" si="476"/>
        <v/>
      </c>
      <c r="C8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6" s="262" t="str">
        <f t="shared" si="477"/>
        <v xml:space="preserve">    Těsnění</v>
      </c>
      <c r="E86" s="120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Row],[Kód položek (P2)]]))))))))))</f>
        <v>SUOS</v>
      </c>
      <c r="F86" s="791" t="str">
        <f t="shared" si="478"/>
        <v>N/A</v>
      </c>
      <c r="G86" s="792" t="str">
        <f t="shared" si="479"/>
        <v/>
      </c>
      <c r="H86" s="262" t="str">
        <f t="shared" si="480"/>
        <v/>
      </c>
      <c r="I86" s="123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HR '[MJHR'] (P0)]]))))))))))</f>
        <v>ks</v>
      </c>
      <c r="J86" s="123">
        <f t="shared" si="481"/>
        <v>8</v>
      </c>
      <c r="K86" s="793">
        <f>RZ[[#This Row],[Koeficient odhadu HR '[-'] (P1)]]</f>
        <v>1</v>
      </c>
      <c r="L86" s="124">
        <f ca="1">RZ[[#This Row],[Jednotková hmotnost s koef. '[kg/MJHR'] (P0)]]</f>
        <v>0.05</v>
      </c>
      <c r="M86" s="794">
        <f t="shared" ca="1" si="482"/>
        <v>0</v>
      </c>
      <c r="N86" s="125">
        <f t="shared" ca="1" si="483"/>
        <v>0.4</v>
      </c>
      <c r="O86" s="125">
        <f t="shared" ca="1" si="484"/>
        <v>0</v>
      </c>
      <c r="P86" s="126" t="str">
        <f t="shared" si="485"/>
        <v/>
      </c>
      <c r="Q86" s="795">
        <f ca="1">RZ[[#This Row],[Počet MJHR v rozpadu (P0)]]</f>
        <v>8</v>
      </c>
      <c r="R86" s="439" t="str">
        <f t="shared" si="486"/>
        <v>Zajíc</v>
      </c>
      <c r="S86" s="129">
        <f t="shared" si="487"/>
        <v>42950.610046296293</v>
      </c>
      <c r="T86" s="126" t="str">
        <f t="shared" si="488"/>
        <v/>
      </c>
      <c r="U86" s="126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CR (MJCR) (P0)]]))))))))))</f>
        <v>ks</v>
      </c>
      <c r="V86" s="575">
        <f t="shared" ca="1" si="489"/>
        <v>8</v>
      </c>
      <c r="W86" s="322">
        <f>RZ[[#This Row],[Koeficient odhadu CR '[-'] (P1)]]</f>
        <v>1</v>
      </c>
      <c r="X86" s="440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Row],[Jednotková cena bez DPH '[cena/MJCR'] (P1)]]*RZ[[#This Row],[Koeficient odhadu CR '[-']]]))))))))))</f>
        <v>100</v>
      </c>
      <c r="Y86" s="440">
        <f t="shared" ca="1" si="490"/>
        <v>0</v>
      </c>
      <c r="Z86" s="142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VLOOKUP(IP86,$BR$7:$BS$11,2,FALSE)))))))))))</f>
        <v>CZK</v>
      </c>
      <c r="AA86" s="909">
        <f t="shared" ca="1" si="491"/>
        <v>8</v>
      </c>
      <c r="AB86" s="910">
        <f ca="1">RZ[[#This Row],[Kumulovaný koeficient v rozpadu (P0)]]</f>
        <v>1</v>
      </c>
      <c r="AC86" s="261"/>
      <c r="AD86" s="796">
        <f ca="1">RZ[[#This Row],[Jednotková cena bez DPH '[cena/MJCR'] s koef. (P0)]]/RZ[[#This Row],[Koeficient odhadu CR '[-']]]*RZ[[#This Row],[Kumulovaný koeficient odhadu CR  '[-']]]</f>
        <v>100</v>
      </c>
      <c r="AE86" s="796">
        <f t="shared" ca="1" si="492"/>
        <v>800</v>
      </c>
      <c r="AF86" s="796">
        <f ca="1">-IF(ISNUMBER(AA86),RZ[[#This Row],[Celková cena bez DPH (1)]]-RZ[[#This Row],[Jednotková cena bez DPH '[cena/MJCR'] bez koef. (P0)]]*AA86,0)</f>
        <v>0</v>
      </c>
      <c r="AG86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86" s="261"/>
      <c r="AI86" s="796">
        <f t="shared" ca="1" si="493"/>
        <v>3.7037037037037037</v>
      </c>
      <c r="AJ86" s="796">
        <f t="shared" ca="1" si="494"/>
        <v>29.62962962962963</v>
      </c>
      <c r="AK86" s="796">
        <f t="shared" ca="1" si="495"/>
        <v>0</v>
      </c>
      <c r="AL86" s="753">
        <f ca="1">RZ[[#This Row],[Kilogramová cena bez DPH '[cena/kg'] (1)]]/$AK$13</f>
        <v>74.074074074074076</v>
      </c>
      <c r="AM86" s="261"/>
      <c r="AN86" s="796">
        <f t="shared" ca="1" si="496"/>
        <v>4.8309178743961354</v>
      </c>
      <c r="AO86" s="796">
        <f t="shared" ca="1" si="497"/>
        <v>38.647342995169083</v>
      </c>
      <c r="AP86" s="796">
        <f t="shared" ca="1" si="498"/>
        <v>0</v>
      </c>
      <c r="AQ86" s="753">
        <f ca="1">RZ[[#This Row],[Kilogramová cena bez DPH '[cena/kg'] (1)]]/$AP$13</f>
        <v>96.618357487922708</v>
      </c>
      <c r="AR86" s="261"/>
      <c r="AS86" s="796">
        <f t="shared" ca="1" si="499"/>
        <v>2.7352297592997812</v>
      </c>
      <c r="AT86" s="796">
        <f t="shared" ca="1" si="500"/>
        <v>21.881838074398249</v>
      </c>
      <c r="AU86" s="789">
        <f t="shared" ca="1" si="501"/>
        <v>0</v>
      </c>
      <c r="AV86" s="767">
        <f ca="1">RZ[[#This Row],[Kilogramová cena bez DPH '[cena/kg'] (1)]]/$AU$13</f>
        <v>54.704595185995622</v>
      </c>
      <c r="AW86" s="165"/>
      <c r="AX86" s="911">
        <f t="shared" ca="1" si="502"/>
        <v>2</v>
      </c>
      <c r="AY86" s="111">
        <f t="shared" ca="1" si="503"/>
        <v>3</v>
      </c>
      <c r="AZ86" s="111">
        <f t="shared" ca="1" si="504"/>
        <v>13</v>
      </c>
      <c r="BA86" s="111">
        <f t="shared" ca="1" si="505"/>
        <v>0</v>
      </c>
      <c r="BB86" s="111">
        <f t="shared" ca="1" si="506"/>
        <v>0</v>
      </c>
      <c r="BC86" s="111">
        <f t="shared" ca="1" si="507"/>
        <v>0</v>
      </c>
      <c r="BD86" s="111">
        <f t="shared" ca="1" si="508"/>
        <v>0</v>
      </c>
      <c r="BE86" s="111">
        <f t="shared" ca="1" si="509"/>
        <v>0</v>
      </c>
      <c r="BF86" s="111">
        <f t="shared" ca="1" si="510"/>
        <v>0</v>
      </c>
      <c r="BG86" s="112">
        <f t="shared" ca="1" si="511"/>
        <v>0</v>
      </c>
      <c r="BH86" s="911">
        <f t="shared" si="512"/>
        <v>0</v>
      </c>
      <c r="BI86" s="111">
        <f t="shared" si="513"/>
        <v>0</v>
      </c>
      <c r="BJ86" s="111">
        <f t="shared" si="514"/>
        <v>1</v>
      </c>
      <c r="BK86" s="111">
        <f t="shared" si="515"/>
        <v>0</v>
      </c>
      <c r="BL86" s="111">
        <f t="shared" si="516"/>
        <v>0</v>
      </c>
      <c r="BM86" s="111">
        <f t="shared" si="517"/>
        <v>0</v>
      </c>
      <c r="BN86" s="111">
        <f t="shared" si="518"/>
        <v>0</v>
      </c>
      <c r="BO86" s="111">
        <f t="shared" si="519"/>
        <v>0</v>
      </c>
      <c r="BP86" s="111">
        <f t="shared" si="520"/>
        <v>0</v>
      </c>
      <c r="BQ86" s="112">
        <f t="shared" si="521"/>
        <v>0</v>
      </c>
      <c r="BR86" s="132">
        <f ca="1">IF(OFFSET(AY86,1,0,1,1)&lt;&gt;0,RZ[[#This Row],[Koeficient odhadu HR '[-'] (P1)]]*$BH86*SUMIFS(RZ[Úroveň 2 s koef. (P2)],RZ[0],AX86),RZ[[#This Row],[Koeficient odhadu HR '[-'] (P1)]]*$BH86*$IG86)</f>
        <v>0</v>
      </c>
      <c r="BS86" s="186">
        <f ca="1">IF(OFFSET(AY86,1,0,1,1)&lt;&gt;0,$BH86*SUMIFS(RZ[Úroveň 2 bez koef. (P2)],RZ[0],AX86),$BH86*$IG86)</f>
        <v>0</v>
      </c>
      <c r="BT86" s="138">
        <f ca="1">RZ[[#This Row],[Úroveň 2 s koef. (P2a)]]*RZ[[#This Row],[Počet MJHR (P0)]]</f>
        <v>0</v>
      </c>
      <c r="BU86" s="138">
        <f ca="1">RZ[[#This Row],[Úroveň 2 bez koef. (P2a)]]*RZ[[#This Row],[Počet MJHR (P0)]]</f>
        <v>0</v>
      </c>
      <c r="BV86" s="138">
        <f ca="1">IF(OFFSET(AZ86,1,0,1,1)&lt;&gt;0,RZ[[#This Row],[Koeficient odhadu HR '[-'] (P1)]]*$BI86*SUMIFS(RZ[Úroveň 3 s koef. (P2)],RZ[0],AX86,RZ[Úroveň 2 (P0)],AY86),RZ[[#This Row],[Koeficient odhadu HR '[-'] (P1)]]*$BI86*$IG86)</f>
        <v>0</v>
      </c>
      <c r="BW86" s="138">
        <f ca="1">IF(OFFSET(AZ86,1,0,1,1)&lt;&gt;0,$BI86*SUMIFS(RZ[Úroveň 3 bez koef. (P2)],RZ[0],AX86,RZ[Úroveň 2 (P0)],AY86),$BI86*$IG86)</f>
        <v>0</v>
      </c>
      <c r="BX86" s="132">
        <f ca="1">RZ[[#This Row],[Úroveň 3 s koef. (P2a)]]*RZ[[#This Row],[Počet MJHR (P0)]]</f>
        <v>0.4</v>
      </c>
      <c r="BY86" s="132">
        <f ca="1">RZ[Úroveň 3 bez koef. (P2a)]*RZ[[#This Row],[Počet MJHR (P0)]]</f>
        <v>0.4</v>
      </c>
      <c r="BZ86" s="132">
        <f ca="1">IF(OFFSET(BA86,1,0,1,1)&lt;&gt;0,RZ[[#This Row],[Koeficient odhadu HR '[-'] (P1)]]*$BJ86*SUMIFS(RZ[Úroveň 4 s koef. (P2)],RZ[0],AX86,RZ[Úroveň 2 (P0)],AY86,RZ[Úroveň 3 (P0)],AZ86),RZ[[#This Row],[Koeficient odhadu HR '[-'] (P1)]]*$BJ86*$IG86)</f>
        <v>0.05</v>
      </c>
      <c r="CA86" s="132">
        <f ca="1">IF(OFFSET(BA86,1,0,1,1)&lt;&gt;0,$BJ86*SUMIFS(RZ[Úroveň 4 bez koef. (P2)],RZ[0],AX86,RZ[Úroveň 2 (P0)],AY86,RZ[Úroveň 3 (P0)],AZ86),$BJ86*$IG86)</f>
        <v>0.05</v>
      </c>
      <c r="CB86" s="138">
        <f ca="1">RZ[[#This Row],[Úroveň 4 s koef. (P2a)]]*RZ[[#This Row],[Počet MJHR (P0)]]</f>
        <v>0</v>
      </c>
      <c r="CC86" s="138">
        <f ca="1">RZ[Úroveň 4 bez koef. (P2a)]*RZ[[#This Row],[Počet MJHR (P0)]]</f>
        <v>0</v>
      </c>
      <c r="CD86" s="138">
        <f ca="1">IF(OFFSET(BB86,1,0,1,1)&lt;&gt;0,RZ[[#This Row],[Koeficient odhadu HR '[-'] (P1)]]*$BK86*SUMIFS(RZ[Úroveň 5 s koef. (P2)],RZ[0],AX86,RZ[Úroveň 2 (P0)],AY86,RZ[Úroveň 3 (P0)],AZ86,RZ[Úroveň 4 (P0)],BA86),RZ[[#This Row],[Koeficient odhadu HR '[-'] (P1)]]*$BK86*$IG86)</f>
        <v>0</v>
      </c>
      <c r="CE86" s="138">
        <f ca="1">IF(OFFSET(BB86,1,0,1,1)&lt;&gt;0,$BK86*SUMIFS(RZ[Úroveň 5 bez koef. (P2)],RZ[0],AX86,RZ[Úroveň 2 (P0)],AY86,RZ[Úroveň 3 (P0)],AZ86,RZ[Úroveň 4 (P0)],BA86),$BK86*$IG86)</f>
        <v>0</v>
      </c>
      <c r="CF86" s="132">
        <f ca="1">RZ[[#This Row],[Úroveň 5 s koef. (P2a)]]*RZ[[#This Row],[Počet MJHR (P0)]]</f>
        <v>0</v>
      </c>
      <c r="CG86" s="132">
        <f ca="1">RZ[Úroveň 5 bez koef. (P2a)]*RZ[[#This Row],[Počet MJHR (P0)]]</f>
        <v>0</v>
      </c>
      <c r="CH86" s="132">
        <f ca="1">IF(OFFSET(BC86,1,0,1,1)&lt;&gt;0,RZ[[#This Row],[Koeficient odhadu HR '[-'] (P1)]]*$BL86*SUMIFS(RZ[Úroveň 6 s koef. (P2)],RZ[0],AX86,RZ[Úroveň 2 (P0)],AY86,RZ[Úroveň 3 (P0)],AZ86,RZ[Úroveň 4 (P0)],BA86,RZ[Úroveň 5 (P0)],BB86),RZ[[#This Row],[Koeficient odhadu HR '[-'] (P1)]]*$BL86*$IG86)</f>
        <v>0</v>
      </c>
      <c r="CI86" s="132">
        <f ca="1">IF(OFFSET(BC86,1,0,1,1)&lt;&gt;0,$BL86*SUMIFS(RZ[Úroveň 6 bez koef. (P2)],RZ[0],AX86,RZ[Úroveň 2 (P0)],AY86,RZ[Úroveň 3 (P0)],AZ86,RZ[Úroveň 4 (P0)],BA86,RZ[Úroveň 5 (P0)],BB86),$BL86*$IG86)</f>
        <v>0</v>
      </c>
      <c r="CJ86" s="138">
        <f ca="1">RZ[[#This Row],[Úroveň 6 s koef. (P2a)]]*RZ[[#This Row],[Počet MJHR (P0)]]</f>
        <v>0</v>
      </c>
      <c r="CK86" s="138">
        <f ca="1">RZ[Úroveň 6 bez koef. (P2a)]*RZ[[#This Row],[Počet MJHR (P0)]]</f>
        <v>0</v>
      </c>
      <c r="CL86" s="138">
        <f ca="1">IF(OFFSET(BD86,1,0,1,1)&lt;&gt;0,RZ[[#This Row],[Koeficient odhadu HR '[-'] (P1)]]*$BM86*SUMIFS(RZ[Úroveň 7 s koef. (P2)],RZ[0],AX86,RZ[Úroveň 2 (P0)],AY86,RZ[Úroveň 3 (P0)],AZ86,RZ[Úroveň 4 (P0)],BA86,RZ[Úroveň 5 (P0)],BB86,RZ[Úroveň 6 (P0)],BC86),RZ[[#This Row],[Koeficient odhadu HR '[-'] (P1)]]*$BM86*$IG86)</f>
        <v>0</v>
      </c>
      <c r="CM86" s="138">
        <f ca="1">IF(OFFSET(BD86,1,0,1,1)&lt;&gt;0,$BM86*SUMIFS(RZ[Úroveň 7 bez koef. (P2)],RZ[0],AX86,RZ[Úroveň 2 (P0)],AY86,RZ[Úroveň 3 (P0)],AZ86,RZ[Úroveň 4 (P0)],BA86,RZ[Úroveň 5 (P0)],BB86,RZ[Úroveň 6 (P0)],BC86),$BM86*$IG86)</f>
        <v>0</v>
      </c>
      <c r="CN86" s="132">
        <f ca="1">RZ[[#This Row],[Úroveň 7 s koef. (P2a)]]*RZ[[#This Row],[Počet MJHR (P0)]]</f>
        <v>0</v>
      </c>
      <c r="CO86" s="132">
        <f ca="1">RZ[Úroveň 7 bez koef. (P2a)]*RZ[[#This Row],[Počet MJHR (P0)]]</f>
        <v>0</v>
      </c>
      <c r="CP86" s="132">
        <f ca="1">IF(OFFSET(BE86,1,0,1,1)&lt;&gt;0,RZ[[#This Row],[Koeficient odhadu HR '[-'] (P1)]]*$BN86*SUMIFS(RZ[Úroveň 8 s koef. (P2)],RZ[0],AX86,RZ[Úroveň 2 (P0)],AY86,RZ[Úroveň 3 (P0)],AZ86,RZ[Úroveň 4 (P0)],BA86,RZ[Úroveň 5 (P0)],BB86,RZ[Úroveň 6 (P0)],BC86,RZ[Úroveň 7 (P0)],BD86),RZ[[#This Row],[Koeficient odhadu HR '[-'] (P1)]]*$BN86*$IG86)</f>
        <v>0</v>
      </c>
      <c r="CQ86" s="132">
        <f ca="1">IF(OFFSET(BE86,1,0,1,1)&lt;&gt;0,$BN86*SUMIFS(RZ[Úroveň 8 bez koef. (P2)],RZ[0],AX86,RZ[Úroveň 2 (P0)],AY86,RZ[Úroveň 3 (P0)],AZ86,RZ[Úroveň 4 (P0)],BA86,RZ[Úroveň 5 (P0)],BB86,RZ[Úroveň 6 (P0)],BC86,RZ[Úroveň 7 (P0)],BD86),$BN86*$IG86)</f>
        <v>0</v>
      </c>
      <c r="CR86" s="138">
        <f ca="1">RZ[[#This Row],[Úroveň 8 s koef. (P2a)]]*RZ[[#This Row],[Počet MJHR (P0)]]</f>
        <v>0</v>
      </c>
      <c r="CS86" s="138">
        <f ca="1">RZ[Úroveň 8 bez koef. (P2a)]*RZ[[#This Row],[Počet MJHR (P0)]]</f>
        <v>0</v>
      </c>
      <c r="CT86" s="138">
        <f ca="1">IF(OFFSET(BF86,1,0,1,1)&lt;&gt;0,RZ[[#This Row],[Koeficient odhadu HR '[-'] (P1)]]*$BO86*SUMIFS(RZ[Úroveň 9 s koef. (P2)],RZ[0],AX86,RZ[Úroveň 2 (P0)],AY86,RZ[Úroveň 3 (P0)],AZ86,RZ[Úroveň 4 (P0)],BA86,RZ[Úroveň 5 (P0)],BB86,RZ[Úroveň 6 (P0)],BC86,RZ[Úroveň 7 (P0)],BD86,RZ[Úroveň 8 (P0)],BE86),RZ[[#This Row],[Koeficient odhadu HR '[-'] (P1)]]*$BO86*$IG86)</f>
        <v>0</v>
      </c>
      <c r="CU86" s="138">
        <f ca="1">IF(OFFSET(BF86,1,0,1,1)&lt;&gt;0,$BO86*SUMIFS(RZ[Úroveň 9 bez koef. (P2)],RZ[0],AX86,RZ[Úroveň 2 (P0)],AY86,RZ[Úroveň 3 (P0)],AZ86,RZ[Úroveň 4 (P0)],BA86,RZ[Úroveň 5 (P0)],BB86,RZ[Úroveň 6 (P0)],BC86,RZ[Úroveň 7 (P0)],BD86,RZ[Úroveň 8 (P0)],BE86),$BO86*$IG86)</f>
        <v>0</v>
      </c>
      <c r="CV86" s="132">
        <f ca="1">RZ[[#This Row],[Úroveň 9 s koef. (P2a)]]*RZ[[#This Row],[Počet MJHR (P0)]]</f>
        <v>0</v>
      </c>
      <c r="CW86" s="132">
        <f ca="1">RZ[Úroveň 9 bez koef. (P2a)]*RZ[[#This Row],[Počet MJHR (P0)]]</f>
        <v>0</v>
      </c>
      <c r="CX86" s="132">
        <f ca="1">IF(OFFSET(BG86,1,0,1,1)&lt;&gt;0,RZ[[#This Row],[Koeficient odhadu HR '[-'] (P1)]]*$BP86*SUMIFS(RZ[Úroveň 10 s koef. (P2)],RZ[0],AX86,RZ[Úroveň 2 (P0)],AY86,RZ[Úroveň 3 (P0)],AZ86,RZ[Úroveň 4 (P0)],BA86,RZ[Úroveň 5 (P0)],BB86,RZ[Úroveň 6 (P0)],BC86,RZ[Úroveň 7 (P0)],BD86,RZ[Úroveň 8 (P0)],BE86,RZ[Úroveň 9 (P0)],BF86),RZ[[#This Row],[Koeficient odhadu HR '[-'] (P1)]]*$BP86*$IG86)</f>
        <v>0</v>
      </c>
      <c r="CY86" s="132">
        <f ca="1">IF(OFFSET(BG86,1,0,1,1)&lt;&gt;0,$BP86*SUMIFS(RZ[Úroveň 10 bez koef. (P2)],RZ[0],AX86,RZ[Úroveň 2 (P0)],AY86,RZ[Úroveň 3 (P0)],AZ86,RZ[Úroveň 4 (P0)],BA86,RZ[Úroveň 5 (P0)],BB86,RZ[Úroveň 6 (P0)],BC86,RZ[Úroveň 7 (P0)],BD86,RZ[Úroveň 8 (P0)],BE86,RZ[Úroveň 9 (P0)],BF86),$BP86*$IG86)</f>
        <v>0</v>
      </c>
      <c r="CZ86" s="138">
        <f>RZ[[#This Row],[Úroveň 10 s koef. (P2a)]]*RZ[[#This Row],[Počet MJHR (P0)]]</f>
        <v>0</v>
      </c>
      <c r="DA86" s="138">
        <f>RZ[Úroveň 10 bez koef. (P2a)]*RZ[[#This Row],[Počet MJHR (P0)]]</f>
        <v>0</v>
      </c>
      <c r="DB86" s="138">
        <f>RZ[[#This Row],[Koeficient odhadu HR '[-'] (P1)]]*$BQ86*IG86</f>
        <v>0</v>
      </c>
      <c r="DC86" s="231">
        <f t="shared" si="522"/>
        <v>0</v>
      </c>
      <c r="DD86" s="241">
        <f t="shared" ca="1" si="523"/>
        <v>0.05</v>
      </c>
      <c r="DE86" s="229">
        <f t="shared" ca="1" si="524"/>
        <v>0.05</v>
      </c>
      <c r="DF86" s="912">
        <f t="shared" si="525"/>
        <v>0</v>
      </c>
      <c r="DG86" s="913">
        <f t="shared" si="526"/>
        <v>0</v>
      </c>
      <c r="DH86" s="913">
        <f t="shared" si="527"/>
        <v>8</v>
      </c>
      <c r="DI86" s="913">
        <f t="shared" si="528"/>
        <v>0</v>
      </c>
      <c r="DJ86" s="913">
        <f t="shared" si="529"/>
        <v>0</v>
      </c>
      <c r="DK86" s="913">
        <f t="shared" si="530"/>
        <v>0</v>
      </c>
      <c r="DL86" s="913">
        <f t="shared" si="531"/>
        <v>0</v>
      </c>
      <c r="DM86" s="913">
        <f t="shared" si="532"/>
        <v>0</v>
      </c>
      <c r="DN86" s="913">
        <f t="shared" si="533"/>
        <v>0</v>
      </c>
      <c r="DO86" s="913">
        <f t="shared" si="534"/>
        <v>0</v>
      </c>
      <c r="DP86" s="914">
        <f ca="1">SUMIFS(RZ[Úroveň 1 (P4)],RZ[0],AX86)</f>
        <v>1</v>
      </c>
      <c r="DQ86" s="914">
        <f ca="1">SUMIFS(RZ[Úroveň 2 (P4)],RZ[0],AX86,RZ[Úroveň 2 (P0)],AY86)</f>
        <v>1</v>
      </c>
      <c r="DR86" s="914">
        <f ca="1">SUMIFS(RZ[Úroveň 3 (P4)],RZ[0],AX86,RZ[Úroveň 2 (P0)],AY86,RZ[Úroveň 3 (P0)],AZ86)</f>
        <v>8</v>
      </c>
      <c r="DS86" s="914">
        <f ca="1">SUMIFS(RZ[Úroveň 4 (P4)],RZ[0],AX86,RZ[Úroveň 2 (P0)],AY86,RZ[Úroveň 3 (P0)],AZ86,RZ[Úroveň 4 (P0)],BA86)</f>
        <v>0</v>
      </c>
      <c r="DT86" s="914">
        <f ca="1">SUMIFS(RZ[Úroveň 5 (P4)],RZ[0],AX86,RZ[Úroveň 2 (P0)],AY86,RZ[Úroveň 3 (P0)],AZ86,RZ[Úroveň 4 (P0)],BA86,RZ[Úroveň 5 (P0)],BB86)</f>
        <v>0</v>
      </c>
      <c r="DU86" s="914">
        <f ca="1">SUMIFS(RZ[Úroveň 6 (P4)],RZ[0],AX86,RZ[Úroveň 2 (P0)],AY86,RZ[Úroveň 3 (P0)],AZ86,RZ[Úroveň 4 (P0)],BA86,RZ[Úroveň 5 (P0)],BB86,RZ[Úroveň 6 (P0)],BC86)</f>
        <v>0</v>
      </c>
      <c r="DV86" s="914">
        <f ca="1">SUMIFS(RZ[Úroveň 7 (P4)],RZ[0],AX86,RZ[Úroveň 2 (P0)],AY86,RZ[Úroveň 3 (P0)],AZ86,RZ[Úroveň 4 (P0)],BA86,RZ[Úroveň 5 (P0)],BB86,RZ[Úroveň 6 (P0)],BC86,RZ[Úroveň 7 (P0)],BD86)</f>
        <v>0</v>
      </c>
      <c r="DW86" s="914">
        <f ca="1">SUMIFS(RZ[Úroveň 8 (P4)],RZ[0],AX86,RZ[Úroveň 2 (P0)],AY86,RZ[Úroveň 3 (P0)],AZ86,RZ[Úroveň 4 (P0)],BA86,RZ[Úroveň 5 (P0)],BB86,RZ[Úroveň 6 (P0)],BC86,RZ[Úroveň 7 (P0)],BD86,RZ[Úroveň 8 (P0)],BE86)</f>
        <v>0</v>
      </c>
      <c r="DX86" s="914">
        <f ca="1">SUMIFS(RZ[Úroveň 9 (P4)],RZ[0],AX86,RZ[Úroveň 2 (P0)],AY86,RZ[Úroveň 3 (P0)],AZ86,RZ[Úroveň 4 (P0)],BA86,RZ[Úroveň 5 (P0)],BB86,RZ[Úroveň 6 (P0)],BC86,RZ[Úroveň 7 (P0)],BD86,RZ[Úroveň 8 (P0)],BE86,RZ[Úroveň 9 (P0)],BF86)</f>
        <v>0</v>
      </c>
      <c r="DY86" s="914">
        <f ca="1">SUMIFS(RZ[Úroveň 10 (P4)],RZ[0],AX86,RZ[Úroveň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DZ86" s="915">
        <f t="shared" ca="1" si="535"/>
        <v>8</v>
      </c>
      <c r="EA86" s="916">
        <f ca="1">RZ[[#This Row],[Jednotková hmotnost bez koef. '[kg/MJHR'] (P0)]]*RZ[[#This Row],[Počet MJHR v rozpadu (P0)]]</f>
        <v>0.4</v>
      </c>
      <c r="EB86" s="917">
        <f ca="1">IF(OFFSET(AY86,1,0,1,1)&lt;&gt;0,RZ[[#This Row],[Koeficient odhadu CR '[-'] (P1)]]*$BH86*SUMIFS(RZ[Úroveň 2 s koef. (P3)],RZ[0],AX86),RZ[[#This Row],[Koeficient odhadu CR '[-'] (P1)]]*$BH86*$IQ86)</f>
        <v>0</v>
      </c>
      <c r="EC86" s="191">
        <f ca="1">IF(OFFSET(AY86,1,0,1,1)&lt;&gt;0,$BH86*SUMIFS(RZ[Úroveň 2 bez koef. (P3)],RZ[0],AX86),$BH86*$IQ86)</f>
        <v>0</v>
      </c>
      <c r="ED86" s="140">
        <f ca="1">RZ[[#This Row],[Úroveň 2 s koef. (P3a)]]*RZ[[#This Row],[Počet MJCR (P0) pro "kg"]]</f>
        <v>0</v>
      </c>
      <c r="EE86" s="140">
        <f ca="1">RZ[Úroveň 2 bez koef. (P3a)]*RZ[[#This Row],[Počet MJCR (P0) pro "kg"]]</f>
        <v>0</v>
      </c>
      <c r="EF86" s="140">
        <f ca="1">IF(OFFSET(AZ86,1,0,1,1)&lt;&gt;0,RZ[[#This Row],[Koeficient odhadu CR '[-'] (P1)]]*$BI86*SUMIFS(RZ[Úroveň 3 s koef. (P3)],RZ[0],AX86,RZ[Úroveň 2 (P0)],AY86),RZ[[#This Row],[Koeficient odhadu CR '[-'] (P1)]]*$BI86*$IQ86)</f>
        <v>0</v>
      </c>
      <c r="EG86" s="140">
        <f ca="1">IF(OFFSET(AZ86,1,0,1,1)&lt;&gt;0,$BI86*SUMIFS(RZ[Úroveň 3 bez koef. (P3)],RZ[0],AX86,RZ[Úroveň 2 (P0)],AY86),$BI86*$IQ86)</f>
        <v>0</v>
      </c>
      <c r="EH86" s="135">
        <f ca="1">RZ[[#This Row],[Úroveň 3 s koef. (P3a)]]*RZ[[#This Row],[Počet MJCR (P0) pro "kg"]]</f>
        <v>800</v>
      </c>
      <c r="EI86" s="135">
        <f ca="1">RZ[Úroveň 3 bez koef. (P3a)]*RZ[[#This Row],[Počet MJCR (P0) pro "kg"]]</f>
        <v>800</v>
      </c>
      <c r="EJ86" s="135">
        <f ca="1">IF(OFFSET(BA86,1,0,1,1)&lt;&gt;0,RZ[[#This Row],[Koeficient odhadu CR '[-'] (P1)]]*$BJ86*SUMIFS(RZ[Úroveň 4 s koef. (P3)],RZ[0],AX86,RZ[Úroveň 2 (P0)],AY86,RZ[Úroveň 3 (P0)],AZ86),RZ[[#This Row],[Koeficient odhadu CR '[-'] (P1)]]*$BJ86*$IQ86)</f>
        <v>100</v>
      </c>
      <c r="EK86" s="135">
        <f ca="1">IF(OFFSET(BA86,1,0,1,1)&lt;&gt;0,$BJ86*SUMIFS(RZ[Úroveň 4 bez koef. (P3)],RZ[0],AX86,RZ[Úroveň 2 (P0)],AY86,RZ[Úroveň 3 (P0)],AZ86),$BJ86*$IQ86)</f>
        <v>100</v>
      </c>
      <c r="EL86" s="140">
        <f ca="1">RZ[[#This Row],[Úroveň 4 s koef. (P3a)]]*RZ[[#This Row],[Počet MJCR (P0) pro "kg"]]</f>
        <v>0</v>
      </c>
      <c r="EM86" s="140">
        <f ca="1">RZ[Úroveň 4 bez koef. (P3a)]*RZ[[#This Row],[Počet MJCR (P0) pro "kg"]]</f>
        <v>0</v>
      </c>
      <c r="EN86" s="140">
        <f ca="1">IF(OFFSET(BB86,1,0,1,1)&lt;&gt;0,RZ[[#This Row],[Koeficient odhadu CR '[-'] (P1)]]*$BK86*SUMIFS(RZ[Úroveň 5 s koef. (P3)],RZ[0],AX86,RZ[Úroveň 2 (P0)],AY86,RZ[Úroveň 3 (P0)],AZ86,RZ[Úroveň 4 (P0)],BA86),RZ[[#This Row],[Koeficient odhadu CR '[-'] (P1)]]*$BK86*$IQ86)</f>
        <v>0</v>
      </c>
      <c r="EO86" s="140">
        <f ca="1">IF(OFFSET(BB86,1,0,1,1)&lt;&gt;0,$BK86*SUMIFS(RZ[Úroveň 5 bez koef. (P3)],RZ[0],AX86,RZ[Úroveň 2 (P0)],AY86,RZ[Úroveň 3 (P0)],AZ86,RZ[Úroveň 4 (P0)],BA86),$BK86*$IQ86)</f>
        <v>0</v>
      </c>
      <c r="EP86" s="135">
        <f ca="1">RZ[[#This Row],[Úroveň 5 s koef. (P3a)]]*RZ[[#This Row],[Počet MJCR (P0) pro "kg"]]</f>
        <v>0</v>
      </c>
      <c r="EQ86" s="135">
        <f ca="1">RZ[Úroveň 5 bez koef. (P3a)]*RZ[[#This Row],[Počet MJCR (P0) pro "kg"]]</f>
        <v>0</v>
      </c>
      <c r="ER86" s="135">
        <f ca="1">IF(OFFSET(BC86,1,0,1,1)&lt;&gt;0,RZ[[#This Row],[Koeficient odhadu CR '[-'] (P1)]]*$BL86*SUMIFS(RZ[Úroveň 6 s koef. (P3)],RZ[0],AX86,RZ[Úroveň 2 (P0)],AY86,RZ[Úroveň 3 (P0)],AZ86,RZ[Úroveň 4 (P0)],BA86,RZ[Úroveň 5 (P0)],BB86),RZ[[#This Row],[Koeficient odhadu CR '[-'] (P1)]]*$BL86*$IQ86)</f>
        <v>0</v>
      </c>
      <c r="ES86" s="135">
        <f ca="1">IF(OFFSET(BC86,1,0,1,1)&lt;&gt;0,$BL86*SUMIFS(RZ[Úroveň 6 bez koef. (P3)],RZ[0],AX86,RZ[Úroveň 2 (P0)],AY86,RZ[Úroveň 3 (P0)],AZ86,RZ[Úroveň 4 (P0)],BA86,RZ[Úroveň 5 (P0)],BB86),$BL86*$IQ86)</f>
        <v>0</v>
      </c>
      <c r="ET86" s="140">
        <f ca="1">RZ[[#This Row],[Úroveň 6 s koef. (P3a)]]*RZ[[#This Row],[Počet MJCR (P0) pro "kg"]]</f>
        <v>0</v>
      </c>
      <c r="EU86" s="140">
        <f ca="1">RZ[Úroveň 6 bez koef. (P3a)]*RZ[[#This Row],[Počet MJCR (P0) pro "kg"]]</f>
        <v>0</v>
      </c>
      <c r="EV86" s="140">
        <f ca="1">IF(OFFSET(BD86,1,0,1,1)&lt;&gt;0,RZ[[#This Row],[Koeficient odhadu CR '[-'] (P1)]]*$BM86*SUMIFS(RZ[Úroveň 7 s koef. (P3)],RZ[0],AX86,RZ[Úroveň 2 (P0)],AY86,RZ[Úroveň 3 (P0)],AZ86,RZ[Úroveň 4 (P0)],BA86,RZ[Úroveň 5 (P0)],BB86,RZ[Úroveň 6 (P0)],BC86),RZ[[#This Row],[Koeficient odhadu CR '[-'] (P1)]]*$BM86*$IQ86)</f>
        <v>0</v>
      </c>
      <c r="EW86" s="140">
        <f ca="1">IF(OFFSET(BD86,1,0,1,1)&lt;&gt;0,$BM86*SUMIFS(RZ[Úroveň 7 bez koef. (P3)],RZ[0],AX86,RZ[Úroveň 2 (P0)],AY86,RZ[Úroveň 3 (P0)],AZ86,RZ[Úroveň 4 (P0)],BA86,RZ[Úroveň 5 (P0)],BB86,RZ[Úroveň 6 (P0)],BC86),$BM86*$IQ86)</f>
        <v>0</v>
      </c>
      <c r="EX86" s="135">
        <f ca="1">RZ[[#This Row],[Úroveň 7 s koef. (P3a)]]*RZ[[#This Row],[Počet MJCR (P0) pro "kg"]]</f>
        <v>0</v>
      </c>
      <c r="EY86" s="135">
        <f ca="1">RZ[Úroveň 7 bez koef. (P3a)]*RZ[[#This Row],[Počet MJCR (P0) pro "kg"]]</f>
        <v>0</v>
      </c>
      <c r="EZ86" s="135">
        <f ca="1">IF(OFFSET(BE86,1,0,1,1)&lt;&gt;0,RZ[[#This Row],[Koeficient odhadu CR '[-'] (P1)]]*$BN86*SUMIFS(RZ[Úroveň 8 s koef. (P3)],RZ[0],AX86,RZ[Úroveň 2 (P0)],AY86,RZ[Úroveň 3 (P0)],AZ86,RZ[Úroveň 4 (P0)],BA86,RZ[Úroveň 5 (P0)],BB86,RZ[Úroveň 6 (P0)],BC86,RZ[Úroveň 7 (P0)],BD86),RZ[[#This Row],[Koeficient odhadu CR '[-'] (P1)]]*$BN86*$IQ86)</f>
        <v>0</v>
      </c>
      <c r="FA86" s="135">
        <f ca="1">IF(OFFSET(BE86,1,0,1,1)&lt;&gt;0,$BN86*SUMIFS(RZ[Úroveň 8 bez koef. (P3)],RZ[0],AX86,RZ[Úroveň 2 (P0)],AY86,RZ[Úroveň 3 (P0)],AZ86,RZ[Úroveň 4 (P0)],BA86,RZ[Úroveň 5 (P0)],BB86,RZ[Úroveň 6 (P0)],BC86,RZ[Úroveň 7 (P0)],BD86),$BN86*$IQ86)</f>
        <v>0</v>
      </c>
      <c r="FB86" s="140">
        <f ca="1">RZ[[#This Row],[Úroveň 8 s koef. (P3a)]]*RZ[[#This Row],[Počet MJCR (P0) pro "kg"]]</f>
        <v>0</v>
      </c>
      <c r="FC86" s="140">
        <f ca="1">RZ[Úroveň 8 bez koef. (P3a)]*RZ[[#This Row],[Počet MJCR (P0) pro "kg"]]</f>
        <v>0</v>
      </c>
      <c r="FD86" s="140">
        <f ca="1">IF(OFFSET(BF86,1,0,1,1)&lt;&gt;0,RZ[[#This Row],[Koeficient odhadu CR '[-'] (P1)]]*$BO86*SUMIFS(RZ[Úroveň 9 s koef. (P3)],RZ[0],AX86,RZ[Úroveň 2 (P0)],AY86,RZ[Úroveň 3 (P0)],AZ86,RZ[Úroveň 4 (P0)],BA86,RZ[Úroveň 5 (P0)],BB86,RZ[Úroveň 6 (P0)],BC86,RZ[Úroveň 7 (P0)],BD86,RZ[Úroveň 8 (P0)],BE86),RZ[[#This Row],[Koeficient odhadu CR '[-'] (P1)]]*$BO86*$IQ86)</f>
        <v>0</v>
      </c>
      <c r="FE86" s="140">
        <f ca="1">IF(OFFSET(BF86,1,0,1,1)&lt;&gt;0,$BO86*SUMIFS(RZ[Úroveň 9 bez koef. (P3)],RZ[0],AX86,RZ[Úroveň 2 (P0)],AY86,RZ[Úroveň 3 (P0)],AZ86,RZ[Úroveň 4 (P0)],BA86,RZ[Úroveň 5 (P0)],BB86,RZ[Úroveň 6 (P0)],BC86,RZ[Úroveň 7 (P0)],BD86,RZ[Úroveň 8 (P0)],BE86),$BO86*$IQ86)</f>
        <v>0</v>
      </c>
      <c r="FF86" s="135">
        <f ca="1">RZ[[#This Row],[Úroveň 9 s koef. (P3a)]]*RZ[[#This Row],[Počet MJCR (P0) pro "kg"]]</f>
        <v>0</v>
      </c>
      <c r="FG86" s="135">
        <f ca="1">RZ[Úroveň 9 bez koef. (P3a)]*RZ[[#This Row],[Počet MJCR (P0) pro "kg"]]</f>
        <v>0</v>
      </c>
      <c r="FH86" s="135">
        <f ca="1">IF(OFFSET(BG86,1,0,1,1)&lt;&gt;0,RZ[[#This Row],[Koeficient odhadu CR '[-'] (P1)]]*$BP86*SUMIFS(RZ[Úroveň 10 s koef. (P3)],RZ[0],AX86,RZ[Úroveň 2 (P0)],AY86,RZ[Úroveň 3 (P0)],AZ86,RZ[Úroveň 4 (P0)],BA86,RZ[Úroveň 5 (P0)],BB86,RZ[Úroveň 6 (P0)],BC86,RZ[Úroveň 7 (P0)],BD86,RZ[Úroveň 8 (P0)],BE86,RZ[Úroveň 9 (P0)],BF86),RZ[[#This Row],[Koeficient odhadu CR '[-'] (P1)]]*$BP86*$IQ86)</f>
        <v>0</v>
      </c>
      <c r="FI86" s="135">
        <f ca="1">IF(OFFSET(BG86,1,0,1,1)&lt;&gt;0,$BP86*SUMIFS(RZ[Úroveň 10 bez koef. (P3)],RZ[0],AX86,RZ[Úroveň 2 (P0)],AY86,RZ[Úroveň 3 (P0)],AZ86,RZ[Úroveň 4 (P0)],BA86,RZ[Úroveň 5 (P0)],BB86,RZ[Úroveň 6 (P0)],BC86,RZ[Úroveň 7 (P0)],BD86,RZ[Úroveň 8 (P0)],BE86,RZ[Úroveň 9 (P0)],BF86),$BP86*$IQ86)</f>
        <v>0</v>
      </c>
      <c r="FJ86" s="140">
        <f ca="1">RZ[[#This Row],[Úroveň 10 s koef. (P3a)]]*RZ[[#This Row],[Počet MJCR (P0) pro "kg"]]</f>
        <v>0</v>
      </c>
      <c r="FK86" s="140">
        <f ca="1">RZ[Úroveň 10 bez koef. (P3a)]*RZ[[#This Row],[Počet MJCR (P0) pro "kg"]]</f>
        <v>0</v>
      </c>
      <c r="FL86" s="140">
        <f ca="1">RZ[[#This Row],[Koeficient odhadu CR '[-'] (P1)]]*$BQ86*IQ86</f>
        <v>0</v>
      </c>
      <c r="FM86" s="236">
        <f t="shared" ca="1" si="536"/>
        <v>0</v>
      </c>
      <c r="FN86" s="194">
        <f t="shared" ca="1" si="537"/>
        <v>100</v>
      </c>
      <c r="FO86" s="238">
        <f t="shared" ca="1" si="538"/>
        <v>100</v>
      </c>
      <c r="FP86" s="135">
        <f t="shared" ca="1" si="539"/>
        <v>0</v>
      </c>
      <c r="FQ86" s="135">
        <f t="shared" ca="1" si="540"/>
        <v>0</v>
      </c>
      <c r="FR86" s="135">
        <f t="shared" ca="1" si="541"/>
        <v>8</v>
      </c>
      <c r="FS86" s="135">
        <f t="shared" ca="1" si="542"/>
        <v>0</v>
      </c>
      <c r="FT86" s="135">
        <f t="shared" ca="1" si="543"/>
        <v>0</v>
      </c>
      <c r="FU86" s="135">
        <f t="shared" ca="1" si="544"/>
        <v>0</v>
      </c>
      <c r="FV86" s="135">
        <f t="shared" ca="1" si="545"/>
        <v>0</v>
      </c>
      <c r="FW86" s="135">
        <f t="shared" ca="1" si="546"/>
        <v>0</v>
      </c>
      <c r="FX86" s="135">
        <f t="shared" ca="1" si="547"/>
        <v>0</v>
      </c>
      <c r="FY86" s="135">
        <f t="shared" ca="1" si="548"/>
        <v>0</v>
      </c>
      <c r="FZ86" s="140">
        <f ca="1">SUMIFS(RZ[Úroveň 1 (P6)],RZ[0],AX86)</f>
        <v>1</v>
      </c>
      <c r="GA86" s="140">
        <f ca="1">SUMIFS(RZ[Úroveň 2 (P6)],RZ[0],AX86,RZ[Úroveň 2 (P0)],AY86)</f>
        <v>1</v>
      </c>
      <c r="GB86" s="140">
        <f ca="1">SUMIFS(RZ[Úroveň 3 (P6)],RZ[0],AX86,RZ[Úroveň 2 (P0)],AY86,RZ[Úroveň 3 (P0)],AZ86)</f>
        <v>8</v>
      </c>
      <c r="GC86" s="140">
        <f ca="1">SUMIFS(RZ[Úroveň 4 (P6)],RZ[0],AX86,RZ[Úroveň 2 (P0)],AY86,RZ[Úroveň 3 (P0)],AZ86,RZ[Úroveň 4 (P0)],BA86)</f>
        <v>0</v>
      </c>
      <c r="GD86" s="140">
        <f ca="1">SUMIFS(RZ[Úroveň 5 (P6)],RZ[0],AX86,RZ[Úroveň 2 (P0)],AY86,RZ[Úroveň 3 (P0)],AZ86,RZ[Úroveň 4 (P0)],BA86,RZ[Úroveň 5 (P0)],BB86)</f>
        <v>0</v>
      </c>
      <c r="GE86" s="140">
        <f ca="1">SUMIFS(RZ[Úroveň 6 (P6)],RZ[0],AX86,RZ[Úroveň 2 (P0)],AY86,RZ[Úroveň 3 (P0)],AZ86,RZ[Úroveň 4 (P0)],BA86,RZ[Úroveň 5 (P0)],BB86,RZ[Úroveň 6 (P0)],BC86)</f>
        <v>0</v>
      </c>
      <c r="GF86" s="140">
        <f ca="1">SUMIFS(RZ[Úroveň 7 (P6)],RZ[0],AX86,RZ[Úroveň 2 (P0)],AY86,RZ[Úroveň 3 (P0)],AZ86,RZ[Úroveň 4 (P0)],BA86,RZ[Úroveň 5 (P0)],BB86,RZ[Úroveň 6 (P0)],BC86,RZ[Úroveň 7 (P0)],BD86)</f>
        <v>0</v>
      </c>
      <c r="GG86" s="140">
        <f ca="1">SUMIFS(RZ[Úroveň 8 (P6)],RZ[0],AX86,RZ[Úroveň 2 (P0)],AY86,RZ[Úroveň 3 (P0)],AZ86,RZ[Úroveň 4 (P0)],BA86,RZ[Úroveň 5 (P0)],BB86,RZ[Úroveň 6 (P0)],BC86,RZ[Úroveň 7 (P0)],BD86,RZ[Úroveň 8 (P0)],BE86)</f>
        <v>0</v>
      </c>
      <c r="GH86" s="140">
        <f ca="1">SUMIFS(RZ[Úroveň 9 (P6)],RZ[0],AX86,RZ[Úroveň 2 (P0)],AY86,RZ[Úroveň 3 (P0)],AZ86,RZ[Úroveň 4 (P0)],BA86,RZ[Úroveň 5 (P0)],BB86,RZ[Úroveň 6 (P0)],BC86,RZ[Úroveň 7 (P0)],BD86,RZ[Úroveň 8 (P0)],BE86,RZ[Úroveň 9 (P0)],BF86)</f>
        <v>0</v>
      </c>
      <c r="GI86" s="140">
        <f ca="1">SUMIFS(RZ[Úroveň 10 (P6)],RZ[0],AX86,RZ[Úroveň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GJ86" s="918">
        <f t="shared" ca="1" si="549"/>
        <v>8</v>
      </c>
      <c r="GK86" s="808">
        <f t="shared" si="550"/>
        <v>0</v>
      </c>
      <c r="GL86" s="808">
        <f t="shared" si="551"/>
        <v>0</v>
      </c>
      <c r="GM86" s="808">
        <f t="shared" si="552"/>
        <v>1</v>
      </c>
      <c r="GN86" s="808">
        <f t="shared" si="553"/>
        <v>0</v>
      </c>
      <c r="GO86" s="808">
        <f t="shared" si="554"/>
        <v>0</v>
      </c>
      <c r="GP86" s="808">
        <f t="shared" si="555"/>
        <v>0</v>
      </c>
      <c r="GQ86" s="808">
        <f t="shared" si="556"/>
        <v>0</v>
      </c>
      <c r="GR86" s="808">
        <f t="shared" si="557"/>
        <v>0</v>
      </c>
      <c r="GS86" s="808">
        <f t="shared" si="558"/>
        <v>0</v>
      </c>
      <c r="GT86" s="808">
        <f t="shared" si="559"/>
        <v>0</v>
      </c>
      <c r="GU86" s="809">
        <f ca="1">SUMIFS(RZ[Sloupec1],RZ[0],AX86)</f>
        <v>1</v>
      </c>
      <c r="GV86" s="809">
        <f ca="1">SUMIFS(RZ[Sloupec2],RZ[0],AX86,RZ[Úroveň 2 (P0)],AY86)</f>
        <v>1</v>
      </c>
      <c r="GW86" s="809">
        <f ca="1">SUMIFS(RZ[Sloupec3],RZ[0],AX86,RZ[Úroveň 2 (P0)],AY86,RZ[Úroveň 3 (P0)],AZ86)</f>
        <v>1</v>
      </c>
      <c r="GX86" s="809">
        <f ca="1">SUMIFS(RZ[Sloupec4],RZ[0],AX86,RZ[Úroveň 2 (P0)],AY86,RZ[Úroveň 3 (P0)],AZ86,RZ[Úroveň 4 (P0)],BA86)</f>
        <v>0</v>
      </c>
      <c r="GY86" s="809">
        <f ca="1">SUMIFS(RZ[Sloupec5],RZ[0],AX86,RZ[Úroveň 2 (P0)],AY86,RZ[Úroveň 3 (P0)],AZ86,RZ[Úroveň 4 (P0)],BA86,RZ[Úroveň 5 (P0)],BB86)</f>
        <v>0</v>
      </c>
      <c r="GZ86" s="809">
        <f ca="1">SUMIFS(RZ[Sloupec6],RZ[0],AX86,RZ[Úroveň 2 (P0)],AY86,RZ[Úroveň 3 (P0)],AZ86,RZ[Úroveň 4 (P0)],BA86,RZ[Úroveň 5 (P0)],BB86,RZ[Úroveň 6 (P0)],BC86)</f>
        <v>0</v>
      </c>
      <c r="HA86" s="809">
        <f ca="1">SUMIFS(RZ[Sloupec62],RZ[0],AX86,RZ[Úroveň 2 (P0)],AY86,RZ[Úroveň 3 (P0)],AZ86,RZ[Úroveň 4 (P0)],BA86,RZ[Úroveň 5 (P0)],BB86,RZ[Úroveň 6 (P0)],BC86,RZ[Úroveň 7 (P0)],BD86)</f>
        <v>0</v>
      </c>
      <c r="HB86" s="809">
        <f ca="1">SUMIFS(RZ[Sloupec63],RZ[0],AX86,RZ[Úroveň 2 (P0)],AY86,RZ[Úroveň 3 (P0)],AZ86,RZ[Úroveň 4 (P0)],BA86,RZ[Úroveň 5 (P0)],BB86,RZ[Úroveň 6 (P0)],BC86,RZ[Úroveň 7 (P0)],BD86,RZ[Úroveň 8 (P0)],BE86)</f>
        <v>0</v>
      </c>
      <c r="HC86" s="809">
        <f ca="1">SUMIFS(RZ[Sloupec64],RZ[0],AX86,RZ[Úroveň 2 (P0)],AY86,RZ[Úroveň 3 (P0)],AZ86,RZ[Úroveň 4 (P0)],BA86,RZ[Úroveň 5 (P0)],BB86,RZ[Úroveň 6 (P0)],BC86,RZ[Úroveň 7 (P0)],BD86,RZ[Úroveň 8 (P0)],BE86,RZ[Úroveň 9 (P0)],BF86)</f>
        <v>0</v>
      </c>
      <c r="HD86" s="809">
        <f ca="1">SUMIFS(RZ[Sloupec65],RZ[0],AX86,RZ[Úroveň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HE86" s="919">
        <f t="shared" ca="1" si="560"/>
        <v>1</v>
      </c>
      <c r="HF86" s="920" t="str">
        <f t="shared" si="561"/>
        <v/>
      </c>
      <c r="HG86" s="94" t="str">
        <f t="shared" si="562"/>
        <v/>
      </c>
      <c r="HH86" s="95" t="str">
        <f t="shared" si="563"/>
        <v/>
      </c>
      <c r="HI86" s="95" t="str">
        <f t="shared" si="564"/>
        <v>Těsnění</v>
      </c>
      <c r="HJ86" s="96" t="str">
        <f t="shared" si="565"/>
        <v/>
      </c>
      <c r="HK86" s="96" t="str">
        <f t="shared" si="566"/>
        <v/>
      </c>
      <c r="HL86" s="96" t="str">
        <f t="shared" si="567"/>
        <v/>
      </c>
      <c r="HM86" s="96" t="str">
        <f t="shared" si="568"/>
        <v/>
      </c>
      <c r="HN86" s="96" t="str">
        <f t="shared" si="569"/>
        <v/>
      </c>
      <c r="HO86" s="96" t="str">
        <f t="shared" si="570"/>
        <v/>
      </c>
      <c r="HP86" s="96" t="str">
        <f t="shared" si="571"/>
        <v/>
      </c>
      <c r="HQ86" s="145" t="str">
        <f t="shared" si="572"/>
        <v>SUOS</v>
      </c>
      <c r="HR86" s="921" t="str">
        <f t="shared" si="573"/>
        <v/>
      </c>
      <c r="HS86" s="173">
        <f t="shared" si="574"/>
        <v>0</v>
      </c>
      <c r="HT86" s="100">
        <f t="shared" si="575"/>
        <v>0</v>
      </c>
      <c r="HU86" s="100">
        <f t="shared" si="576"/>
        <v>0</v>
      </c>
      <c r="HV86" s="908" t="str">
        <f t="shared" si="577"/>
        <v>Zajíc</v>
      </c>
      <c r="HW86" s="922">
        <f t="shared" si="578"/>
        <v>42950.610046296293</v>
      </c>
      <c r="HX86" s="224">
        <f t="shared" si="579"/>
        <v>0</v>
      </c>
      <c r="HY86" s="263" t="str">
        <f t="shared" si="580"/>
        <v>S</v>
      </c>
      <c r="HZ86" s="263" t="str">
        <f t="shared" si="581"/>
        <v>N</v>
      </c>
      <c r="IA86" s="150">
        <f t="shared" si="582"/>
        <v>1</v>
      </c>
      <c r="IB86" s="319">
        <f t="shared" si="583"/>
        <v>100</v>
      </c>
      <c r="IC86" s="923">
        <f t="shared" si="584"/>
        <v>1</v>
      </c>
      <c r="ID86" s="924" t="str">
        <f t="shared" ca="1" si="585"/>
        <v>OK</v>
      </c>
      <c r="IE86" s="201" t="str">
        <f t="shared" si="586"/>
        <v>ks</v>
      </c>
      <c r="IF86" s="145">
        <f t="shared" si="587"/>
        <v>8</v>
      </c>
      <c r="IG86" s="216">
        <f t="shared" si="588"/>
        <v>0.05</v>
      </c>
      <c r="IH86" s="217">
        <f t="shared" si="589"/>
        <v>1</v>
      </c>
      <c r="II86" s="224" t="str">
        <f ca="1">IF(RZ[[#This Row],[Rozhodný sloupec indikativní ceny]]=1,"kg",IF($IW86=$JL$15,IF(JX86=0,JO86,JX86),IF($IW86=$KE$15,IF(KQ86=0,KH86,KQ86),IF($IW86=$KX$15,IF(LJ86=0,LA86,LJ86),IF($IW86=$LQ$15,IF(MC86=0,LT86,MC86),IF($IW86=$MJ$15,IF(NQ86=0,NH86,NQ86),0))))))</f>
        <v>ks</v>
      </c>
      <c r="IJ86" s="224">
        <f ca="1">IF((BH86+OFFSET(BH86,1,1,1,1))=2,RZ[[#This Row],[Počet MJHR (P0)]],IF((BI86+OFFSET(BI86,1,1,1,1))=2,RZ[[#This Row],[Počet MJHR (P0)]],IF((BJ86+OFFSET(BJ86,1,1,1,1))=2,RZ[[#This Row],[Počet MJHR (P0)]],IF((BK86+OFFSET(BK86,1,1,1,1))=2,RZ[[#This Row],[Počet MJHR (P0)]],IF((BL86+OFFSET(BL86,1,1,1,1))=2,RZ[[#This Row],[Počet MJHR (P0)]],IF((BM86+OFFSET(BM86,1,1,1,1))=2,RZ[[#This Row],[Počet MJHR (P0)]],IF((BN86+OFFSET(BN86,1,1,1,1))=2,RZ[[#This Row],[Počet MJHR (P0)]],IF((BO86+OFFSET(BO86,1,1,1,1))=2,RZ[[#This Row],[Počet MJHR (P0)]],IF((BP86+OFFSET(BP86,1,1,1,1))=2,RZ[[#This Row],[Počet MJHR (P0)]],IF((BQ86+OFFSET(BQ86,1,1,1,1))=2,RZ[[#This Row],[Počet MJHR (P0)]],IF(RZ[[#This Row],[Měrná jednotka CR (MJCR) (P0)]]=RZ[[#This Row],[Měrná jednotka HR '[MJHR'] (P0)]],RZ[[#This Row],[Počet MJHR (P0)]],IF($IW86=$JL$15,JY86,IF($IW86=$KE$15,KR86,IF($IW86=$KX$15,LK86,IF($IW86=$LQ$15,MD86,IF($IW86=$MJ$15,NR86,0))))))))))))))))</f>
        <v>8</v>
      </c>
      <c r="IK8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86" s="145">
        <f ca="1">IF(AND(RZ[[#This Row],[Jednotková cena bez DPH '[cena/MJCR'] (P0)]]=0,RZ[[#This Row],[Indikativní jednotková cena '[CZK/kg'] (P1)]]&lt;&gt;0),1,0)</f>
        <v>0</v>
      </c>
      <c r="IM86" s="217">
        <f ca="1">VLOOKUP(RZ[[#This Row],[Kód položek]],INDIKAT_CENA,2,FALSE)</f>
        <v>0</v>
      </c>
      <c r="IN86" s="222">
        <f ca="1">IF(RZ[[#This Row],[Rozhodný sloupec indikativní ceny]]=1,RZ[[#This Row],[Indikativní jednotková cena '[CZK/kg'] (P1)]],RZ[[#This Row],[Jednotková cena bez DPH '[cena/MJCR'] (P0)]])</f>
        <v>100</v>
      </c>
      <c r="IO86" s="222">
        <f t="shared" si="590"/>
        <v>1</v>
      </c>
      <c r="IP86" s="224">
        <f ca="1">IF(RZ[[#This Row],[Rozhodný sloupec indikativní ceny]]=1,1,IF($IW86=$JL$15,KA86,IF($IW86=$KE$15,KT86,IF($IW86=$KX$15,LM86,IF($IW86=$LQ$15,MF86,IF($IW86=$MJ$15,NT86,0))))))</f>
        <v>1</v>
      </c>
      <c r="IQ86" s="225">
        <f ca="1">IF(RZ[[#This Row],[Jednotková cena bez DPH '[cena/MJCR'] (P1)]]="",0,IF(IP86=0,0,(RZ[[#This Row],[Jednotková cena bez DPH '[cena/MJCR'] (P1)]]*VLOOKUP(IP86,$BR$7:$BT$10,3))))</f>
        <v>100</v>
      </c>
      <c r="IR86" s="737"/>
      <c r="IS86" s="627">
        <f>IF(HY86=0,"",VLOOKUP(RZ[[#This Row],[Stav Projekce (P0)]],Vstupy!$E$11:'Vstupy'!$E$11:$H$17,4,FALSE))</f>
        <v>100</v>
      </c>
      <c r="IT86" s="925" t="str">
        <f>IF(RZ[[#This Row],[Stav Projekce (P0)]]=0,"",RZ[[#This Row],[Stav Projekce (P0)]])</f>
        <v>S</v>
      </c>
      <c r="IU86" s="925" t="str">
        <f>IF(RZ[[#This Row],[Stav Nákup (P0)]]=0,"",RZ[[#This Row],[Stav Nákup (P0)]])</f>
        <v>N</v>
      </c>
      <c r="IV86" s="926" t="str">
        <f t="shared" si="591"/>
        <v>Zajíc</v>
      </c>
      <c r="IW86" s="641">
        <v>1</v>
      </c>
      <c r="IX86" s="630"/>
      <c r="IY86" s="264"/>
      <c r="IZ86" s="648"/>
      <c r="JA86" s="100"/>
      <c r="JB86" s="100" t="s">
        <v>793</v>
      </c>
      <c r="JC86" s="100"/>
      <c r="JD86" s="100"/>
      <c r="JE86" s="100"/>
      <c r="JF86" s="100"/>
      <c r="JG86" s="100"/>
      <c r="JH86" s="100"/>
      <c r="JI86" s="100"/>
      <c r="JJ86" s="145" t="s">
        <v>798</v>
      </c>
      <c r="JK86" s="529"/>
      <c r="JL86" s="286"/>
      <c r="JM86" s="100"/>
      <c r="JN86" s="100"/>
      <c r="JO86" s="145" t="s">
        <v>35</v>
      </c>
      <c r="JP86" s="117">
        <v>8</v>
      </c>
      <c r="JQ86" s="117">
        <v>0.05</v>
      </c>
      <c r="JR86" s="148">
        <v>1</v>
      </c>
      <c r="JS86" s="145" t="s">
        <v>602</v>
      </c>
      <c r="JT86" s="631"/>
      <c r="JU86" s="148" t="s">
        <v>853</v>
      </c>
      <c r="JV86" s="154">
        <v>42950.610046296293</v>
      </c>
      <c r="JW86" s="145"/>
      <c r="JX86" s="210" t="s">
        <v>35</v>
      </c>
      <c r="JY86" s="117"/>
      <c r="JZ86" s="662">
        <v>100</v>
      </c>
      <c r="KA86" s="145">
        <v>1</v>
      </c>
      <c r="KB86" s="148">
        <v>1</v>
      </c>
      <c r="KC86" s="148" t="s">
        <v>611</v>
      </c>
      <c r="KD86" s="644"/>
      <c r="KE86" s="286"/>
      <c r="KF86" s="100"/>
      <c r="KG86" s="100"/>
      <c r="KH86" s="210"/>
      <c r="KI86" s="117"/>
      <c r="KJ86" s="117"/>
      <c r="KK86" s="148"/>
      <c r="KL86" s="145"/>
      <c r="KM86" s="632"/>
      <c r="KN86" s="148"/>
      <c r="KO86" s="154"/>
      <c r="KP86" s="154"/>
      <c r="KQ86" s="210"/>
      <c r="KR86" s="117"/>
      <c r="KS86" s="211"/>
      <c r="KT86" s="145"/>
      <c r="KU86" s="148"/>
      <c r="KV86" s="148"/>
      <c r="KW86" s="265"/>
      <c r="KX86" s="286"/>
      <c r="KY86" s="100"/>
      <c r="KZ86" s="100"/>
      <c r="LA86" s="210"/>
      <c r="LB86" s="117"/>
      <c r="LC86" s="117"/>
      <c r="LD86" s="148"/>
      <c r="LE86" s="145"/>
      <c r="LF86" s="632"/>
      <c r="LG86" s="148"/>
      <c r="LH86" s="154"/>
      <c r="LI86" s="154"/>
      <c r="LJ86" s="154"/>
      <c r="LK86" s="117"/>
      <c r="LL86" s="211"/>
      <c r="LM86" s="210"/>
      <c r="LN86" s="148"/>
      <c r="LO86" s="148"/>
      <c r="LP86" s="265"/>
      <c r="LQ86" s="286"/>
      <c r="LR86" s="100"/>
      <c r="LS86" s="100"/>
      <c r="LT86" s="210"/>
      <c r="LU86" s="117"/>
      <c r="LV86" s="117"/>
      <c r="LW86" s="148"/>
      <c r="LX86" s="145"/>
      <c r="LY86" s="632"/>
      <c r="LZ86" s="148"/>
      <c r="MA86" s="154"/>
      <c r="MB86" s="154"/>
      <c r="MC86" s="145"/>
      <c r="MD86" s="117"/>
      <c r="ME86" s="211"/>
      <c r="MF86" s="210"/>
      <c r="MG86" s="148"/>
      <c r="MH86" s="148"/>
      <c r="MI86" s="265"/>
      <c r="MJ86" s="647"/>
      <c r="MK86" s="264"/>
      <c r="ML86" s="153"/>
      <c r="MM86" s="153"/>
      <c r="MN86" s="153"/>
      <c r="MO86" s="153"/>
      <c r="MP86" s="153"/>
      <c r="MQ86" s="153"/>
      <c r="MR86" s="153"/>
      <c r="MS86" s="99"/>
      <c r="MT86" s="99"/>
      <c r="MU86" s="99"/>
      <c r="MV86" s="99"/>
      <c r="MW86" s="99"/>
      <c r="MX86" s="99"/>
      <c r="MY86" s="153"/>
      <c r="MZ86" s="153"/>
      <c r="NA86" s="153"/>
      <c r="NB86" s="153"/>
      <c r="NC86" s="153"/>
      <c r="ND86" s="153"/>
      <c r="NE86" s="148"/>
      <c r="NF86" s="153"/>
      <c r="NG86" s="153"/>
      <c r="NH86" s="330" t="str">
        <f t="shared" si="592"/>
        <v>ks</v>
      </c>
      <c r="NI86" s="797">
        <f>RZ[[#This Row],[Počet ks (K)]]</f>
        <v>0</v>
      </c>
      <c r="NJ86" s="798">
        <f>RZ[[#This Row],[Hmotnost '[kg/ks'] (K)]]</f>
        <v>0</v>
      </c>
      <c r="NK86" s="148"/>
      <c r="NL86" s="145"/>
      <c r="NM86" s="632"/>
      <c r="NN86" s="148"/>
      <c r="NO86" s="154"/>
      <c r="NP86" s="153"/>
      <c r="NQ86" s="153"/>
      <c r="NR86" s="210"/>
      <c r="NS86" s="148"/>
      <c r="NT86" s="210"/>
      <c r="NU86" s="148"/>
      <c r="NV86" s="148"/>
      <c r="NW86" s="175"/>
    </row>
    <row r="87" spans="2:387" ht="15.95" customHeight="1" x14ac:dyDescent="0.35">
      <c r="B87" s="118" t="str">
        <f t="shared" si="476"/>
        <v/>
      </c>
      <c r="C8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7" s="262" t="str">
        <f t="shared" si="477"/>
        <v xml:space="preserve">    Šroubení</v>
      </c>
      <c r="E87" s="120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Row],[Kód položek (P2)]]))))))))))</f>
        <v>STSM</v>
      </c>
      <c r="F87" s="791" t="str">
        <f t="shared" si="478"/>
        <v>N/A</v>
      </c>
      <c r="G87" s="792" t="str">
        <f t="shared" si="479"/>
        <v/>
      </c>
      <c r="H87" s="262" t="str">
        <f t="shared" si="480"/>
        <v/>
      </c>
      <c r="I87" s="123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HR '[MJHR'] (P0)]]))))))))))</f>
        <v>ks</v>
      </c>
      <c r="J87" s="123">
        <f t="shared" si="481"/>
        <v>2</v>
      </c>
      <c r="K87" s="793">
        <f>RZ[[#This Row],[Koeficient odhadu HR '[-'] (P1)]]</f>
        <v>1</v>
      </c>
      <c r="L87" s="124">
        <f ca="1">RZ[[#This Row],[Jednotková hmotnost s koef. '[kg/MJHR'] (P0)]]</f>
        <v>7.0000000000000007E-2</v>
      </c>
      <c r="M87" s="794">
        <f t="shared" ca="1" si="482"/>
        <v>0</v>
      </c>
      <c r="N87" s="125">
        <f t="shared" ca="1" si="483"/>
        <v>0.14000000000000001</v>
      </c>
      <c r="O87" s="125">
        <f t="shared" ca="1" si="484"/>
        <v>0</v>
      </c>
      <c r="P87" s="126" t="str">
        <f t="shared" si="485"/>
        <v/>
      </c>
      <c r="Q87" s="795">
        <f ca="1">RZ[[#This Row],[Počet MJHR v rozpadu (P0)]]</f>
        <v>2</v>
      </c>
      <c r="R87" s="439" t="str">
        <f t="shared" si="486"/>
        <v/>
      </c>
      <c r="S87" s="129" t="str">
        <f t="shared" si="487"/>
        <v/>
      </c>
      <c r="T87" s="126" t="str">
        <f t="shared" si="488"/>
        <v/>
      </c>
      <c r="U87" s="126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CR (MJCR) (P0)]]))))))))))</f>
        <v>kg</v>
      </c>
      <c r="V87" s="575">
        <f t="shared" ca="1" si="489"/>
        <v>0.14000000000000001</v>
      </c>
      <c r="W87" s="322">
        <f>RZ[[#This Row],[Koeficient odhadu CR '[-'] (P1)]]</f>
        <v>1</v>
      </c>
      <c r="X87" s="440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Row],[Jednotková cena bez DPH '[cena/MJCR'] (P1)]]*RZ[[#This Row],[Koeficient odhadu CR '[-']]]))))))))))</f>
        <v>110</v>
      </c>
      <c r="Y87" s="440">
        <f t="shared" ca="1" si="490"/>
        <v>0</v>
      </c>
      <c r="Z87" s="142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VLOOKUP(IP87,$BR$7:$BS$11,2,FALSE)))))))))))</f>
        <v>CZK</v>
      </c>
      <c r="AA87" s="909">
        <f t="shared" ca="1" si="491"/>
        <v>0.14000000000000001</v>
      </c>
      <c r="AB87" s="910">
        <f ca="1">RZ[[#This Row],[Kumulovaný koeficient v rozpadu (P0)]]</f>
        <v>1</v>
      </c>
      <c r="AC87" s="261"/>
      <c r="AD87" s="796">
        <f ca="1">RZ[[#This Row],[Jednotková cena bez DPH '[cena/MJCR'] s koef. (P0)]]/RZ[[#This Row],[Koeficient odhadu CR '[-']]]*RZ[[#This Row],[Kumulovaný koeficient odhadu CR  '[-']]]</f>
        <v>110</v>
      </c>
      <c r="AE87" s="796">
        <f t="shared" ca="1" si="492"/>
        <v>15.400000000000002</v>
      </c>
      <c r="AF87" s="796">
        <f ca="1">-IF(ISNUMBER(AA87),RZ[[#This Row],[Celková cena bez DPH (1)]]-RZ[[#This Row],[Jednotková cena bez DPH '[cena/MJCR'] bez koef. (P0)]]*AA87,0)</f>
        <v>0</v>
      </c>
      <c r="AG8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7" s="261"/>
      <c r="AI87" s="796">
        <f t="shared" ca="1" si="493"/>
        <v>4.0740740740740744</v>
      </c>
      <c r="AJ87" s="796">
        <f t="shared" ca="1" si="494"/>
        <v>0.57037037037037042</v>
      </c>
      <c r="AK87" s="796">
        <f t="shared" ca="1" si="495"/>
        <v>0</v>
      </c>
      <c r="AL87" s="753">
        <f ca="1">RZ[[#This Row],[Kilogramová cena bez DPH '[cena/kg'] (1)]]/$AK$13</f>
        <v>4.0740740740740744</v>
      </c>
      <c r="AM87" s="261"/>
      <c r="AN87" s="796">
        <f t="shared" ca="1" si="496"/>
        <v>5.3140096618357493</v>
      </c>
      <c r="AO87" s="796">
        <f t="shared" ca="1" si="497"/>
        <v>0.74396135265700492</v>
      </c>
      <c r="AP87" s="796">
        <f t="shared" ca="1" si="498"/>
        <v>0</v>
      </c>
      <c r="AQ87" s="753">
        <f ca="1">RZ[[#This Row],[Kilogramová cena bez DPH '[cena/kg'] (1)]]/$AP$13</f>
        <v>5.3140096618357493</v>
      </c>
      <c r="AR87" s="261"/>
      <c r="AS87" s="796">
        <f t="shared" ca="1" si="499"/>
        <v>3.0087527352297592</v>
      </c>
      <c r="AT87" s="796">
        <f t="shared" ca="1" si="500"/>
        <v>0.42122538293216633</v>
      </c>
      <c r="AU87" s="789">
        <f t="shared" ca="1" si="501"/>
        <v>0</v>
      </c>
      <c r="AV87" s="767">
        <f ca="1">RZ[[#This Row],[Kilogramová cena bez DPH '[cena/kg'] (1)]]/$AU$13</f>
        <v>3.0087527352297592</v>
      </c>
      <c r="AW87" s="165"/>
      <c r="AX87" s="911">
        <f t="shared" ca="1" si="502"/>
        <v>2</v>
      </c>
      <c r="AY87" s="111">
        <f t="shared" ca="1" si="503"/>
        <v>3</v>
      </c>
      <c r="AZ87" s="111">
        <f t="shared" ca="1" si="504"/>
        <v>14</v>
      </c>
      <c r="BA87" s="111">
        <f t="shared" ca="1" si="505"/>
        <v>0</v>
      </c>
      <c r="BB87" s="111">
        <f t="shared" ca="1" si="506"/>
        <v>0</v>
      </c>
      <c r="BC87" s="111">
        <f t="shared" ca="1" si="507"/>
        <v>0</v>
      </c>
      <c r="BD87" s="111">
        <f t="shared" ca="1" si="508"/>
        <v>0</v>
      </c>
      <c r="BE87" s="111">
        <f t="shared" ca="1" si="509"/>
        <v>0</v>
      </c>
      <c r="BF87" s="111">
        <f t="shared" ca="1" si="510"/>
        <v>0</v>
      </c>
      <c r="BG87" s="112">
        <f t="shared" ca="1" si="511"/>
        <v>0</v>
      </c>
      <c r="BH87" s="911">
        <f t="shared" si="512"/>
        <v>0</v>
      </c>
      <c r="BI87" s="111">
        <f t="shared" si="513"/>
        <v>0</v>
      </c>
      <c r="BJ87" s="111">
        <f t="shared" si="514"/>
        <v>1</v>
      </c>
      <c r="BK87" s="111">
        <f t="shared" si="515"/>
        <v>0</v>
      </c>
      <c r="BL87" s="111">
        <f t="shared" si="516"/>
        <v>0</v>
      </c>
      <c r="BM87" s="111">
        <f t="shared" si="517"/>
        <v>0</v>
      </c>
      <c r="BN87" s="111">
        <f t="shared" si="518"/>
        <v>0</v>
      </c>
      <c r="BO87" s="111">
        <f t="shared" si="519"/>
        <v>0</v>
      </c>
      <c r="BP87" s="111">
        <f t="shared" si="520"/>
        <v>0</v>
      </c>
      <c r="BQ87" s="112">
        <f t="shared" si="521"/>
        <v>0</v>
      </c>
      <c r="BR87" s="132">
        <f ca="1">IF(OFFSET(AY87,1,0,1,1)&lt;&gt;0,RZ[[#This Row],[Koeficient odhadu HR '[-'] (P1)]]*$BH87*SUMIFS(RZ[Úroveň 2 s koef. (P2)],RZ[0],AX87),RZ[[#This Row],[Koeficient odhadu HR '[-'] (P1)]]*$BH87*$IG87)</f>
        <v>0</v>
      </c>
      <c r="BS87" s="186">
        <f ca="1">IF(OFFSET(AY87,1,0,1,1)&lt;&gt;0,$BH87*SUMIFS(RZ[Úroveň 2 bez koef. (P2)],RZ[0],AX87),$BH87*$IG87)</f>
        <v>0</v>
      </c>
      <c r="BT87" s="138">
        <f ca="1">RZ[[#This Row],[Úroveň 2 s koef. (P2a)]]*RZ[[#This Row],[Počet MJHR (P0)]]</f>
        <v>0</v>
      </c>
      <c r="BU87" s="138">
        <f ca="1">RZ[[#This Row],[Úroveň 2 bez koef. (P2a)]]*RZ[[#This Row],[Počet MJHR (P0)]]</f>
        <v>0</v>
      </c>
      <c r="BV87" s="138">
        <f ca="1">IF(OFFSET(AZ87,1,0,1,1)&lt;&gt;0,RZ[[#This Row],[Koeficient odhadu HR '[-'] (P1)]]*$BI87*SUMIFS(RZ[Úroveň 3 s koef. (P2)],RZ[0],AX87,RZ[Úroveň 2 (P0)],AY87),RZ[[#This Row],[Koeficient odhadu HR '[-'] (P1)]]*$BI87*$IG87)</f>
        <v>0</v>
      </c>
      <c r="BW87" s="138">
        <f ca="1">IF(OFFSET(AZ87,1,0,1,1)&lt;&gt;0,$BI87*SUMIFS(RZ[Úroveň 3 bez koef. (P2)],RZ[0],AX87,RZ[Úroveň 2 (P0)],AY87),$BI87*$IG87)</f>
        <v>0</v>
      </c>
      <c r="BX87" s="132">
        <f ca="1">RZ[[#This Row],[Úroveň 3 s koef. (P2a)]]*RZ[[#This Row],[Počet MJHR (P0)]]</f>
        <v>0.14000000000000001</v>
      </c>
      <c r="BY87" s="132">
        <f ca="1">RZ[Úroveň 3 bez koef. (P2a)]*RZ[[#This Row],[Počet MJHR (P0)]]</f>
        <v>0.14000000000000001</v>
      </c>
      <c r="BZ87" s="132">
        <f ca="1">IF(OFFSET(BA87,1,0,1,1)&lt;&gt;0,RZ[[#This Row],[Koeficient odhadu HR '[-'] (P1)]]*$BJ87*SUMIFS(RZ[Úroveň 4 s koef. (P2)],RZ[0],AX87,RZ[Úroveň 2 (P0)],AY87,RZ[Úroveň 3 (P0)],AZ87),RZ[[#This Row],[Koeficient odhadu HR '[-'] (P1)]]*$BJ87*$IG87)</f>
        <v>7.0000000000000007E-2</v>
      </c>
      <c r="CA87" s="132">
        <f ca="1">IF(OFFSET(BA87,1,0,1,1)&lt;&gt;0,$BJ87*SUMIFS(RZ[Úroveň 4 bez koef. (P2)],RZ[0],AX87,RZ[Úroveň 2 (P0)],AY87,RZ[Úroveň 3 (P0)],AZ87),$BJ87*$IG87)</f>
        <v>7.0000000000000007E-2</v>
      </c>
      <c r="CB87" s="138">
        <f ca="1">RZ[[#This Row],[Úroveň 4 s koef. (P2a)]]*RZ[[#This Row],[Počet MJHR (P0)]]</f>
        <v>0</v>
      </c>
      <c r="CC87" s="138">
        <f ca="1">RZ[Úroveň 4 bez koef. (P2a)]*RZ[[#This Row],[Počet MJHR (P0)]]</f>
        <v>0</v>
      </c>
      <c r="CD87" s="138">
        <f ca="1">IF(OFFSET(BB87,1,0,1,1)&lt;&gt;0,RZ[[#This Row],[Koeficient odhadu HR '[-'] (P1)]]*$BK87*SUMIFS(RZ[Úroveň 5 s koef. (P2)],RZ[0],AX87,RZ[Úroveň 2 (P0)],AY87,RZ[Úroveň 3 (P0)],AZ87,RZ[Úroveň 4 (P0)],BA87),RZ[[#This Row],[Koeficient odhadu HR '[-'] (P1)]]*$BK87*$IG87)</f>
        <v>0</v>
      </c>
      <c r="CE87" s="138">
        <f ca="1">IF(OFFSET(BB87,1,0,1,1)&lt;&gt;0,$BK87*SUMIFS(RZ[Úroveň 5 bez koef. (P2)],RZ[0],AX87,RZ[Úroveň 2 (P0)],AY87,RZ[Úroveň 3 (P0)],AZ87,RZ[Úroveň 4 (P0)],BA87),$BK87*$IG87)</f>
        <v>0</v>
      </c>
      <c r="CF87" s="132">
        <f ca="1">RZ[[#This Row],[Úroveň 5 s koef. (P2a)]]*RZ[[#This Row],[Počet MJHR (P0)]]</f>
        <v>0</v>
      </c>
      <c r="CG87" s="132">
        <f ca="1">RZ[Úroveň 5 bez koef. (P2a)]*RZ[[#This Row],[Počet MJHR (P0)]]</f>
        <v>0</v>
      </c>
      <c r="CH87" s="132">
        <f ca="1">IF(OFFSET(BC87,1,0,1,1)&lt;&gt;0,RZ[[#This Row],[Koeficient odhadu HR '[-'] (P1)]]*$BL87*SUMIFS(RZ[Úroveň 6 s koef. (P2)],RZ[0],AX87,RZ[Úroveň 2 (P0)],AY87,RZ[Úroveň 3 (P0)],AZ87,RZ[Úroveň 4 (P0)],BA87,RZ[Úroveň 5 (P0)],BB87),RZ[[#This Row],[Koeficient odhadu HR '[-'] (P1)]]*$BL87*$IG87)</f>
        <v>0</v>
      </c>
      <c r="CI87" s="132">
        <f ca="1">IF(OFFSET(BC87,1,0,1,1)&lt;&gt;0,$BL87*SUMIFS(RZ[Úroveň 6 bez koef. (P2)],RZ[0],AX87,RZ[Úroveň 2 (P0)],AY87,RZ[Úroveň 3 (P0)],AZ87,RZ[Úroveň 4 (P0)],BA87,RZ[Úroveň 5 (P0)],BB87),$BL87*$IG87)</f>
        <v>0</v>
      </c>
      <c r="CJ87" s="138">
        <f ca="1">RZ[[#This Row],[Úroveň 6 s koef. (P2a)]]*RZ[[#This Row],[Počet MJHR (P0)]]</f>
        <v>0</v>
      </c>
      <c r="CK87" s="138">
        <f ca="1">RZ[Úroveň 6 bez koef. (P2a)]*RZ[[#This Row],[Počet MJHR (P0)]]</f>
        <v>0</v>
      </c>
      <c r="CL87" s="138">
        <f ca="1">IF(OFFSET(BD87,1,0,1,1)&lt;&gt;0,RZ[[#This Row],[Koeficient odhadu HR '[-'] (P1)]]*$BM87*SUMIFS(RZ[Úroveň 7 s koef. (P2)],RZ[0],AX87,RZ[Úroveň 2 (P0)],AY87,RZ[Úroveň 3 (P0)],AZ87,RZ[Úroveň 4 (P0)],BA87,RZ[Úroveň 5 (P0)],BB87,RZ[Úroveň 6 (P0)],BC87),RZ[[#This Row],[Koeficient odhadu HR '[-'] (P1)]]*$BM87*$IG87)</f>
        <v>0</v>
      </c>
      <c r="CM87" s="138">
        <f ca="1">IF(OFFSET(BD87,1,0,1,1)&lt;&gt;0,$BM87*SUMIFS(RZ[Úroveň 7 bez koef. (P2)],RZ[0],AX87,RZ[Úroveň 2 (P0)],AY87,RZ[Úroveň 3 (P0)],AZ87,RZ[Úroveň 4 (P0)],BA87,RZ[Úroveň 5 (P0)],BB87,RZ[Úroveň 6 (P0)],BC87),$BM87*$IG87)</f>
        <v>0</v>
      </c>
      <c r="CN87" s="132">
        <f ca="1">RZ[[#This Row],[Úroveň 7 s koef. (P2a)]]*RZ[[#This Row],[Počet MJHR (P0)]]</f>
        <v>0</v>
      </c>
      <c r="CO87" s="132">
        <f ca="1">RZ[Úroveň 7 bez koef. (P2a)]*RZ[[#This Row],[Počet MJHR (P0)]]</f>
        <v>0</v>
      </c>
      <c r="CP87" s="132">
        <f ca="1">IF(OFFSET(BE87,1,0,1,1)&lt;&gt;0,RZ[[#This Row],[Koeficient odhadu HR '[-'] (P1)]]*$BN87*SUMIFS(RZ[Úroveň 8 s koef. (P2)],RZ[0],AX87,RZ[Úroveň 2 (P0)],AY87,RZ[Úroveň 3 (P0)],AZ87,RZ[Úroveň 4 (P0)],BA87,RZ[Úroveň 5 (P0)],BB87,RZ[Úroveň 6 (P0)],BC87,RZ[Úroveň 7 (P0)],BD87),RZ[[#This Row],[Koeficient odhadu HR '[-'] (P1)]]*$BN87*$IG87)</f>
        <v>0</v>
      </c>
      <c r="CQ87" s="132">
        <f ca="1">IF(OFFSET(BE87,1,0,1,1)&lt;&gt;0,$BN87*SUMIFS(RZ[Úroveň 8 bez koef. (P2)],RZ[0],AX87,RZ[Úroveň 2 (P0)],AY87,RZ[Úroveň 3 (P0)],AZ87,RZ[Úroveň 4 (P0)],BA87,RZ[Úroveň 5 (P0)],BB87,RZ[Úroveň 6 (P0)],BC87,RZ[Úroveň 7 (P0)],BD87),$BN87*$IG87)</f>
        <v>0</v>
      </c>
      <c r="CR87" s="138">
        <f ca="1">RZ[[#This Row],[Úroveň 8 s koef. (P2a)]]*RZ[[#This Row],[Počet MJHR (P0)]]</f>
        <v>0</v>
      </c>
      <c r="CS87" s="138">
        <f ca="1">RZ[Úroveň 8 bez koef. (P2a)]*RZ[[#This Row],[Počet MJHR (P0)]]</f>
        <v>0</v>
      </c>
      <c r="CT87" s="138">
        <f ca="1">IF(OFFSET(BF87,1,0,1,1)&lt;&gt;0,RZ[[#This Row],[Koeficient odhadu HR '[-'] (P1)]]*$BO87*SUMIFS(RZ[Úroveň 9 s koef. (P2)],RZ[0],AX87,RZ[Úroveň 2 (P0)],AY87,RZ[Úroveň 3 (P0)],AZ87,RZ[Úroveň 4 (P0)],BA87,RZ[Úroveň 5 (P0)],BB87,RZ[Úroveň 6 (P0)],BC87,RZ[Úroveň 7 (P0)],BD87,RZ[Úroveň 8 (P0)],BE87),RZ[[#This Row],[Koeficient odhadu HR '[-'] (P1)]]*$BO87*$IG87)</f>
        <v>0</v>
      </c>
      <c r="CU87" s="138">
        <f ca="1">IF(OFFSET(BF87,1,0,1,1)&lt;&gt;0,$BO87*SUMIFS(RZ[Úroveň 9 bez koef. (P2)],RZ[0],AX87,RZ[Úroveň 2 (P0)],AY87,RZ[Úroveň 3 (P0)],AZ87,RZ[Úroveň 4 (P0)],BA87,RZ[Úroveň 5 (P0)],BB87,RZ[Úroveň 6 (P0)],BC87,RZ[Úroveň 7 (P0)],BD87,RZ[Úroveň 8 (P0)],BE87),$BO87*$IG87)</f>
        <v>0</v>
      </c>
      <c r="CV87" s="132">
        <f ca="1">RZ[[#This Row],[Úroveň 9 s koef. (P2a)]]*RZ[[#This Row],[Počet MJHR (P0)]]</f>
        <v>0</v>
      </c>
      <c r="CW87" s="132">
        <f ca="1">RZ[Úroveň 9 bez koef. (P2a)]*RZ[[#This Row],[Počet MJHR (P0)]]</f>
        <v>0</v>
      </c>
      <c r="CX87" s="132">
        <f ca="1">IF(OFFSET(BG87,1,0,1,1)&lt;&gt;0,RZ[[#This Row],[Koeficient odhadu HR '[-'] (P1)]]*$BP87*SUMIFS(RZ[Úroveň 10 s koef. (P2)],RZ[0],AX87,RZ[Úroveň 2 (P0)],AY87,RZ[Úroveň 3 (P0)],AZ87,RZ[Úroveň 4 (P0)],BA87,RZ[Úroveň 5 (P0)],BB87,RZ[Úroveň 6 (P0)],BC87,RZ[Úroveň 7 (P0)],BD87,RZ[Úroveň 8 (P0)],BE87,RZ[Úroveň 9 (P0)],BF87),RZ[[#This Row],[Koeficient odhadu HR '[-'] (P1)]]*$BP87*$IG87)</f>
        <v>0</v>
      </c>
      <c r="CY87" s="132">
        <f ca="1">IF(OFFSET(BG87,1,0,1,1)&lt;&gt;0,$BP87*SUMIFS(RZ[Úroveň 10 bez koef. (P2)],RZ[0],AX87,RZ[Úroveň 2 (P0)],AY87,RZ[Úroveň 3 (P0)],AZ87,RZ[Úroveň 4 (P0)],BA87,RZ[Úroveň 5 (P0)],BB87,RZ[Úroveň 6 (P0)],BC87,RZ[Úroveň 7 (P0)],BD87,RZ[Úroveň 8 (P0)],BE87,RZ[Úroveň 9 (P0)],BF87),$BP87*$IG87)</f>
        <v>0</v>
      </c>
      <c r="CZ87" s="138">
        <f>RZ[[#This Row],[Úroveň 10 s koef. (P2a)]]*RZ[[#This Row],[Počet MJHR (P0)]]</f>
        <v>0</v>
      </c>
      <c r="DA87" s="138">
        <f>RZ[Úroveň 10 bez koef. (P2a)]*RZ[[#This Row],[Počet MJHR (P0)]]</f>
        <v>0</v>
      </c>
      <c r="DB87" s="138">
        <f>RZ[[#This Row],[Koeficient odhadu HR '[-'] (P1)]]*$BQ87*IG87</f>
        <v>0</v>
      </c>
      <c r="DC87" s="231">
        <f t="shared" si="522"/>
        <v>0</v>
      </c>
      <c r="DD87" s="241">
        <f t="shared" ca="1" si="523"/>
        <v>7.0000000000000007E-2</v>
      </c>
      <c r="DE87" s="229">
        <f t="shared" ca="1" si="524"/>
        <v>7.0000000000000007E-2</v>
      </c>
      <c r="DF87" s="912">
        <f t="shared" si="525"/>
        <v>0</v>
      </c>
      <c r="DG87" s="913">
        <f t="shared" si="526"/>
        <v>0</v>
      </c>
      <c r="DH87" s="913">
        <f t="shared" si="527"/>
        <v>2</v>
      </c>
      <c r="DI87" s="913">
        <f t="shared" si="528"/>
        <v>0</v>
      </c>
      <c r="DJ87" s="913">
        <f t="shared" si="529"/>
        <v>0</v>
      </c>
      <c r="DK87" s="913">
        <f t="shared" si="530"/>
        <v>0</v>
      </c>
      <c r="DL87" s="913">
        <f t="shared" si="531"/>
        <v>0</v>
      </c>
      <c r="DM87" s="913">
        <f t="shared" si="532"/>
        <v>0</v>
      </c>
      <c r="DN87" s="913">
        <f t="shared" si="533"/>
        <v>0</v>
      </c>
      <c r="DO87" s="913">
        <f t="shared" si="534"/>
        <v>0</v>
      </c>
      <c r="DP87" s="914">
        <f ca="1">SUMIFS(RZ[Úroveň 1 (P4)],RZ[0],AX87)</f>
        <v>1</v>
      </c>
      <c r="DQ87" s="914">
        <f ca="1">SUMIFS(RZ[Úroveň 2 (P4)],RZ[0],AX87,RZ[Úroveň 2 (P0)],AY87)</f>
        <v>1</v>
      </c>
      <c r="DR87" s="914">
        <f ca="1">SUMIFS(RZ[Úroveň 3 (P4)],RZ[0],AX87,RZ[Úroveň 2 (P0)],AY87,RZ[Úroveň 3 (P0)],AZ87)</f>
        <v>2</v>
      </c>
      <c r="DS87" s="914">
        <f ca="1">SUMIFS(RZ[Úroveň 4 (P4)],RZ[0],AX87,RZ[Úroveň 2 (P0)],AY87,RZ[Úroveň 3 (P0)],AZ87,RZ[Úroveň 4 (P0)],BA87)</f>
        <v>0</v>
      </c>
      <c r="DT87" s="914">
        <f ca="1">SUMIFS(RZ[Úroveň 5 (P4)],RZ[0],AX87,RZ[Úroveň 2 (P0)],AY87,RZ[Úroveň 3 (P0)],AZ87,RZ[Úroveň 4 (P0)],BA87,RZ[Úroveň 5 (P0)],BB87)</f>
        <v>0</v>
      </c>
      <c r="DU87" s="914">
        <f ca="1">SUMIFS(RZ[Úroveň 6 (P4)],RZ[0],AX87,RZ[Úroveň 2 (P0)],AY87,RZ[Úroveň 3 (P0)],AZ87,RZ[Úroveň 4 (P0)],BA87,RZ[Úroveň 5 (P0)],BB87,RZ[Úroveň 6 (P0)],BC87)</f>
        <v>0</v>
      </c>
      <c r="DV87" s="914">
        <f ca="1">SUMIFS(RZ[Úroveň 7 (P4)],RZ[0],AX87,RZ[Úroveň 2 (P0)],AY87,RZ[Úroveň 3 (P0)],AZ87,RZ[Úroveň 4 (P0)],BA87,RZ[Úroveň 5 (P0)],BB87,RZ[Úroveň 6 (P0)],BC87,RZ[Úroveň 7 (P0)],BD87)</f>
        <v>0</v>
      </c>
      <c r="DW87" s="914">
        <f ca="1">SUMIFS(RZ[Úroveň 8 (P4)],RZ[0],AX87,RZ[Úroveň 2 (P0)],AY87,RZ[Úroveň 3 (P0)],AZ87,RZ[Úroveň 4 (P0)],BA87,RZ[Úroveň 5 (P0)],BB87,RZ[Úroveň 6 (P0)],BC87,RZ[Úroveň 7 (P0)],BD87,RZ[Úroveň 8 (P0)],BE87)</f>
        <v>0</v>
      </c>
      <c r="DX87" s="914">
        <f ca="1">SUMIFS(RZ[Úroveň 9 (P4)],RZ[0],AX87,RZ[Úroveň 2 (P0)],AY87,RZ[Úroveň 3 (P0)],AZ87,RZ[Úroveň 4 (P0)],BA87,RZ[Úroveň 5 (P0)],BB87,RZ[Úroveň 6 (P0)],BC87,RZ[Úroveň 7 (P0)],BD87,RZ[Úroveň 8 (P0)],BE87,RZ[Úroveň 9 (P0)],BF87)</f>
        <v>0</v>
      </c>
      <c r="DY87" s="914">
        <f ca="1">SUMIFS(RZ[Úroveň 10 (P4)],RZ[0],AX87,RZ[Úroveň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DZ87" s="915">
        <f t="shared" ca="1" si="535"/>
        <v>2</v>
      </c>
      <c r="EA87" s="916">
        <f ca="1">RZ[[#This Row],[Jednotková hmotnost bez koef. '[kg/MJHR'] (P0)]]*RZ[[#This Row],[Počet MJHR v rozpadu (P0)]]</f>
        <v>0.14000000000000001</v>
      </c>
      <c r="EB87" s="917">
        <f ca="1">IF(OFFSET(AY87,1,0,1,1)&lt;&gt;0,RZ[[#This Row],[Koeficient odhadu CR '[-'] (P1)]]*$BH87*SUMIFS(RZ[Úroveň 2 s koef. (P3)],RZ[0],AX87),RZ[[#This Row],[Koeficient odhadu CR '[-'] (P1)]]*$BH87*$IQ87)</f>
        <v>0</v>
      </c>
      <c r="EC87" s="191">
        <f ca="1">IF(OFFSET(AY87,1,0,1,1)&lt;&gt;0,$BH87*SUMIFS(RZ[Úroveň 2 bez koef. (P3)],RZ[0],AX87),$BH87*$IQ87)</f>
        <v>0</v>
      </c>
      <c r="ED87" s="140">
        <f ca="1">RZ[[#This Row],[Úroveň 2 s koef. (P3a)]]*RZ[[#This Row],[Počet MJCR (P0) pro "kg"]]</f>
        <v>0</v>
      </c>
      <c r="EE87" s="140">
        <f ca="1">RZ[Úroveň 2 bez koef. (P3a)]*RZ[[#This Row],[Počet MJCR (P0) pro "kg"]]</f>
        <v>0</v>
      </c>
      <c r="EF87" s="140">
        <f ca="1">IF(OFFSET(AZ87,1,0,1,1)&lt;&gt;0,RZ[[#This Row],[Koeficient odhadu CR '[-'] (P1)]]*$BI87*SUMIFS(RZ[Úroveň 3 s koef. (P3)],RZ[0],AX87,RZ[Úroveň 2 (P0)],AY87),RZ[[#This Row],[Koeficient odhadu CR '[-'] (P1)]]*$BI87*$IQ87)</f>
        <v>0</v>
      </c>
      <c r="EG87" s="140">
        <f ca="1">IF(OFFSET(AZ87,1,0,1,1)&lt;&gt;0,$BI87*SUMIFS(RZ[Úroveň 3 bez koef. (P3)],RZ[0],AX87,RZ[Úroveň 2 (P0)],AY87),$BI87*$IQ87)</f>
        <v>0</v>
      </c>
      <c r="EH87" s="135">
        <f ca="1">RZ[[#This Row],[Úroveň 3 s koef. (P3a)]]*RZ[[#This Row],[Počet MJCR (P0) pro "kg"]]</f>
        <v>15.400000000000002</v>
      </c>
      <c r="EI87" s="135">
        <f ca="1">RZ[Úroveň 3 bez koef. (P3a)]*RZ[[#This Row],[Počet MJCR (P0) pro "kg"]]</f>
        <v>15.400000000000002</v>
      </c>
      <c r="EJ87" s="135">
        <f ca="1">IF(OFFSET(BA87,1,0,1,1)&lt;&gt;0,RZ[[#This Row],[Koeficient odhadu CR '[-'] (P1)]]*$BJ87*SUMIFS(RZ[Úroveň 4 s koef. (P3)],RZ[0],AX87,RZ[Úroveň 2 (P0)],AY87,RZ[Úroveň 3 (P0)],AZ87),RZ[[#This Row],[Koeficient odhadu CR '[-'] (P1)]]*$BJ87*$IQ87)</f>
        <v>110</v>
      </c>
      <c r="EK87" s="135">
        <f ca="1">IF(OFFSET(BA87,1,0,1,1)&lt;&gt;0,$BJ87*SUMIFS(RZ[Úroveň 4 bez koef. (P3)],RZ[0],AX87,RZ[Úroveň 2 (P0)],AY87,RZ[Úroveň 3 (P0)],AZ87),$BJ87*$IQ87)</f>
        <v>110</v>
      </c>
      <c r="EL87" s="140">
        <f ca="1">RZ[[#This Row],[Úroveň 4 s koef. (P3a)]]*RZ[[#This Row],[Počet MJCR (P0) pro "kg"]]</f>
        <v>0</v>
      </c>
      <c r="EM87" s="140">
        <f ca="1">RZ[Úroveň 4 bez koef. (P3a)]*RZ[[#This Row],[Počet MJCR (P0) pro "kg"]]</f>
        <v>0</v>
      </c>
      <c r="EN87" s="140">
        <f ca="1">IF(OFFSET(BB87,1,0,1,1)&lt;&gt;0,RZ[[#This Row],[Koeficient odhadu CR '[-'] (P1)]]*$BK87*SUMIFS(RZ[Úroveň 5 s koef. (P3)],RZ[0],AX87,RZ[Úroveň 2 (P0)],AY87,RZ[Úroveň 3 (P0)],AZ87,RZ[Úroveň 4 (P0)],BA87),RZ[[#This Row],[Koeficient odhadu CR '[-'] (P1)]]*$BK87*$IQ87)</f>
        <v>0</v>
      </c>
      <c r="EO87" s="140">
        <f ca="1">IF(OFFSET(BB87,1,0,1,1)&lt;&gt;0,$BK87*SUMIFS(RZ[Úroveň 5 bez koef. (P3)],RZ[0],AX87,RZ[Úroveň 2 (P0)],AY87,RZ[Úroveň 3 (P0)],AZ87,RZ[Úroveň 4 (P0)],BA87),$BK87*$IQ87)</f>
        <v>0</v>
      </c>
      <c r="EP87" s="135">
        <f ca="1">RZ[[#This Row],[Úroveň 5 s koef. (P3a)]]*RZ[[#This Row],[Počet MJCR (P0) pro "kg"]]</f>
        <v>0</v>
      </c>
      <c r="EQ87" s="135">
        <f ca="1">RZ[Úroveň 5 bez koef. (P3a)]*RZ[[#This Row],[Počet MJCR (P0) pro "kg"]]</f>
        <v>0</v>
      </c>
      <c r="ER87" s="135">
        <f ca="1">IF(OFFSET(BC87,1,0,1,1)&lt;&gt;0,RZ[[#This Row],[Koeficient odhadu CR '[-'] (P1)]]*$BL87*SUMIFS(RZ[Úroveň 6 s koef. (P3)],RZ[0],AX87,RZ[Úroveň 2 (P0)],AY87,RZ[Úroveň 3 (P0)],AZ87,RZ[Úroveň 4 (P0)],BA87,RZ[Úroveň 5 (P0)],BB87),RZ[[#This Row],[Koeficient odhadu CR '[-'] (P1)]]*$BL87*$IQ87)</f>
        <v>0</v>
      </c>
      <c r="ES87" s="135">
        <f ca="1">IF(OFFSET(BC87,1,0,1,1)&lt;&gt;0,$BL87*SUMIFS(RZ[Úroveň 6 bez koef. (P3)],RZ[0],AX87,RZ[Úroveň 2 (P0)],AY87,RZ[Úroveň 3 (P0)],AZ87,RZ[Úroveň 4 (P0)],BA87,RZ[Úroveň 5 (P0)],BB87),$BL87*$IQ87)</f>
        <v>0</v>
      </c>
      <c r="ET87" s="140">
        <f ca="1">RZ[[#This Row],[Úroveň 6 s koef. (P3a)]]*RZ[[#This Row],[Počet MJCR (P0) pro "kg"]]</f>
        <v>0</v>
      </c>
      <c r="EU87" s="140">
        <f ca="1">RZ[Úroveň 6 bez koef. (P3a)]*RZ[[#This Row],[Počet MJCR (P0) pro "kg"]]</f>
        <v>0</v>
      </c>
      <c r="EV87" s="140">
        <f ca="1">IF(OFFSET(BD87,1,0,1,1)&lt;&gt;0,RZ[[#This Row],[Koeficient odhadu CR '[-'] (P1)]]*$BM87*SUMIFS(RZ[Úroveň 7 s koef. (P3)],RZ[0],AX87,RZ[Úroveň 2 (P0)],AY87,RZ[Úroveň 3 (P0)],AZ87,RZ[Úroveň 4 (P0)],BA87,RZ[Úroveň 5 (P0)],BB87,RZ[Úroveň 6 (P0)],BC87),RZ[[#This Row],[Koeficient odhadu CR '[-'] (P1)]]*$BM87*$IQ87)</f>
        <v>0</v>
      </c>
      <c r="EW87" s="140">
        <f ca="1">IF(OFFSET(BD87,1,0,1,1)&lt;&gt;0,$BM87*SUMIFS(RZ[Úroveň 7 bez koef. (P3)],RZ[0],AX87,RZ[Úroveň 2 (P0)],AY87,RZ[Úroveň 3 (P0)],AZ87,RZ[Úroveň 4 (P0)],BA87,RZ[Úroveň 5 (P0)],BB87,RZ[Úroveň 6 (P0)],BC87),$BM87*$IQ87)</f>
        <v>0</v>
      </c>
      <c r="EX87" s="135">
        <f ca="1">RZ[[#This Row],[Úroveň 7 s koef. (P3a)]]*RZ[[#This Row],[Počet MJCR (P0) pro "kg"]]</f>
        <v>0</v>
      </c>
      <c r="EY87" s="135">
        <f ca="1">RZ[Úroveň 7 bez koef. (P3a)]*RZ[[#This Row],[Počet MJCR (P0) pro "kg"]]</f>
        <v>0</v>
      </c>
      <c r="EZ87" s="135">
        <f ca="1">IF(OFFSET(BE87,1,0,1,1)&lt;&gt;0,RZ[[#This Row],[Koeficient odhadu CR '[-'] (P1)]]*$BN87*SUMIFS(RZ[Úroveň 8 s koef. (P3)],RZ[0],AX87,RZ[Úroveň 2 (P0)],AY87,RZ[Úroveň 3 (P0)],AZ87,RZ[Úroveň 4 (P0)],BA87,RZ[Úroveň 5 (P0)],BB87,RZ[Úroveň 6 (P0)],BC87,RZ[Úroveň 7 (P0)],BD87),RZ[[#This Row],[Koeficient odhadu CR '[-'] (P1)]]*$BN87*$IQ87)</f>
        <v>0</v>
      </c>
      <c r="FA87" s="135">
        <f ca="1">IF(OFFSET(BE87,1,0,1,1)&lt;&gt;0,$BN87*SUMIFS(RZ[Úroveň 8 bez koef. (P3)],RZ[0],AX87,RZ[Úroveň 2 (P0)],AY87,RZ[Úroveň 3 (P0)],AZ87,RZ[Úroveň 4 (P0)],BA87,RZ[Úroveň 5 (P0)],BB87,RZ[Úroveň 6 (P0)],BC87,RZ[Úroveň 7 (P0)],BD87),$BN87*$IQ87)</f>
        <v>0</v>
      </c>
      <c r="FB87" s="140">
        <f ca="1">RZ[[#This Row],[Úroveň 8 s koef. (P3a)]]*RZ[[#This Row],[Počet MJCR (P0) pro "kg"]]</f>
        <v>0</v>
      </c>
      <c r="FC87" s="140">
        <f ca="1">RZ[Úroveň 8 bez koef. (P3a)]*RZ[[#This Row],[Počet MJCR (P0) pro "kg"]]</f>
        <v>0</v>
      </c>
      <c r="FD87" s="140">
        <f ca="1">IF(OFFSET(BF87,1,0,1,1)&lt;&gt;0,RZ[[#This Row],[Koeficient odhadu CR '[-'] (P1)]]*$BO87*SUMIFS(RZ[Úroveň 9 s koef. (P3)],RZ[0],AX87,RZ[Úroveň 2 (P0)],AY87,RZ[Úroveň 3 (P0)],AZ87,RZ[Úroveň 4 (P0)],BA87,RZ[Úroveň 5 (P0)],BB87,RZ[Úroveň 6 (P0)],BC87,RZ[Úroveň 7 (P0)],BD87,RZ[Úroveň 8 (P0)],BE87),RZ[[#This Row],[Koeficient odhadu CR '[-'] (P1)]]*$BO87*$IQ87)</f>
        <v>0</v>
      </c>
      <c r="FE87" s="140">
        <f ca="1">IF(OFFSET(BF87,1,0,1,1)&lt;&gt;0,$BO87*SUMIFS(RZ[Úroveň 9 bez koef. (P3)],RZ[0],AX87,RZ[Úroveň 2 (P0)],AY87,RZ[Úroveň 3 (P0)],AZ87,RZ[Úroveň 4 (P0)],BA87,RZ[Úroveň 5 (P0)],BB87,RZ[Úroveň 6 (P0)],BC87,RZ[Úroveň 7 (P0)],BD87,RZ[Úroveň 8 (P0)],BE87),$BO87*$IQ87)</f>
        <v>0</v>
      </c>
      <c r="FF87" s="135">
        <f ca="1">RZ[[#This Row],[Úroveň 9 s koef. (P3a)]]*RZ[[#This Row],[Počet MJCR (P0) pro "kg"]]</f>
        <v>0</v>
      </c>
      <c r="FG87" s="135">
        <f ca="1">RZ[Úroveň 9 bez koef. (P3a)]*RZ[[#This Row],[Počet MJCR (P0) pro "kg"]]</f>
        <v>0</v>
      </c>
      <c r="FH87" s="135">
        <f ca="1">IF(OFFSET(BG87,1,0,1,1)&lt;&gt;0,RZ[[#This Row],[Koeficient odhadu CR '[-'] (P1)]]*$BP87*SUMIFS(RZ[Úroveň 10 s koef. (P3)],RZ[0],AX87,RZ[Úroveň 2 (P0)],AY87,RZ[Úroveň 3 (P0)],AZ87,RZ[Úroveň 4 (P0)],BA87,RZ[Úroveň 5 (P0)],BB87,RZ[Úroveň 6 (P0)],BC87,RZ[Úroveň 7 (P0)],BD87,RZ[Úroveň 8 (P0)],BE87,RZ[Úroveň 9 (P0)],BF87),RZ[[#This Row],[Koeficient odhadu CR '[-'] (P1)]]*$BP87*$IQ87)</f>
        <v>0</v>
      </c>
      <c r="FI87" s="135">
        <f ca="1">IF(OFFSET(BG87,1,0,1,1)&lt;&gt;0,$BP87*SUMIFS(RZ[Úroveň 10 bez koef. (P3)],RZ[0],AX87,RZ[Úroveň 2 (P0)],AY87,RZ[Úroveň 3 (P0)],AZ87,RZ[Úroveň 4 (P0)],BA87,RZ[Úroveň 5 (P0)],BB87,RZ[Úroveň 6 (P0)],BC87,RZ[Úroveň 7 (P0)],BD87,RZ[Úroveň 8 (P0)],BE87,RZ[Úroveň 9 (P0)],BF87),$BP87*$IQ87)</f>
        <v>0</v>
      </c>
      <c r="FJ87" s="140">
        <f ca="1">RZ[[#This Row],[Úroveň 10 s koef. (P3a)]]*RZ[[#This Row],[Počet MJCR (P0) pro "kg"]]</f>
        <v>0</v>
      </c>
      <c r="FK87" s="140">
        <f ca="1">RZ[Úroveň 10 bez koef. (P3a)]*RZ[[#This Row],[Počet MJCR (P0) pro "kg"]]</f>
        <v>0</v>
      </c>
      <c r="FL87" s="140">
        <f ca="1">RZ[[#This Row],[Koeficient odhadu CR '[-'] (P1)]]*$BQ87*IQ87</f>
        <v>0</v>
      </c>
      <c r="FM87" s="236">
        <f t="shared" ca="1" si="536"/>
        <v>0</v>
      </c>
      <c r="FN87" s="194">
        <f t="shared" ca="1" si="537"/>
        <v>110</v>
      </c>
      <c r="FO87" s="238">
        <f t="shared" ca="1" si="538"/>
        <v>110</v>
      </c>
      <c r="FP87" s="135">
        <f t="shared" ca="1" si="539"/>
        <v>0</v>
      </c>
      <c r="FQ87" s="135">
        <f t="shared" ca="1" si="540"/>
        <v>0</v>
      </c>
      <c r="FR87" s="135">
        <f t="shared" ca="1" si="541"/>
        <v>0.14000000000000001</v>
      </c>
      <c r="FS87" s="135">
        <f t="shared" ca="1" si="542"/>
        <v>0</v>
      </c>
      <c r="FT87" s="135">
        <f t="shared" ca="1" si="543"/>
        <v>0</v>
      </c>
      <c r="FU87" s="135">
        <f t="shared" ca="1" si="544"/>
        <v>0</v>
      </c>
      <c r="FV87" s="135">
        <f t="shared" ca="1" si="545"/>
        <v>0</v>
      </c>
      <c r="FW87" s="135">
        <f t="shared" ca="1" si="546"/>
        <v>0</v>
      </c>
      <c r="FX87" s="135">
        <f t="shared" ca="1" si="547"/>
        <v>0</v>
      </c>
      <c r="FY87" s="135">
        <f t="shared" ca="1" si="548"/>
        <v>0</v>
      </c>
      <c r="FZ87" s="140">
        <f ca="1">SUMIFS(RZ[Úroveň 1 (P6)],RZ[0],AX87)</f>
        <v>1</v>
      </c>
      <c r="GA87" s="140">
        <f ca="1">SUMIFS(RZ[Úroveň 2 (P6)],RZ[0],AX87,RZ[Úroveň 2 (P0)],AY87)</f>
        <v>1</v>
      </c>
      <c r="GB87" s="140">
        <f ca="1">SUMIFS(RZ[Úroveň 3 (P6)],RZ[0],AX87,RZ[Úroveň 2 (P0)],AY87,RZ[Úroveň 3 (P0)],AZ87)</f>
        <v>0.14000000000000001</v>
      </c>
      <c r="GC87" s="140">
        <f ca="1">SUMIFS(RZ[Úroveň 4 (P6)],RZ[0],AX87,RZ[Úroveň 2 (P0)],AY87,RZ[Úroveň 3 (P0)],AZ87,RZ[Úroveň 4 (P0)],BA87)</f>
        <v>0</v>
      </c>
      <c r="GD87" s="140">
        <f ca="1">SUMIFS(RZ[Úroveň 5 (P6)],RZ[0],AX87,RZ[Úroveň 2 (P0)],AY87,RZ[Úroveň 3 (P0)],AZ87,RZ[Úroveň 4 (P0)],BA87,RZ[Úroveň 5 (P0)],BB87)</f>
        <v>0</v>
      </c>
      <c r="GE87" s="140">
        <f ca="1">SUMIFS(RZ[Úroveň 6 (P6)],RZ[0],AX87,RZ[Úroveň 2 (P0)],AY87,RZ[Úroveň 3 (P0)],AZ87,RZ[Úroveň 4 (P0)],BA87,RZ[Úroveň 5 (P0)],BB87,RZ[Úroveň 6 (P0)],BC87)</f>
        <v>0</v>
      </c>
      <c r="GF87" s="140">
        <f ca="1">SUMIFS(RZ[Úroveň 7 (P6)],RZ[0],AX87,RZ[Úroveň 2 (P0)],AY87,RZ[Úroveň 3 (P0)],AZ87,RZ[Úroveň 4 (P0)],BA87,RZ[Úroveň 5 (P0)],BB87,RZ[Úroveň 6 (P0)],BC87,RZ[Úroveň 7 (P0)],BD87)</f>
        <v>0</v>
      </c>
      <c r="GG87" s="140">
        <f ca="1">SUMIFS(RZ[Úroveň 8 (P6)],RZ[0],AX87,RZ[Úroveň 2 (P0)],AY87,RZ[Úroveň 3 (P0)],AZ87,RZ[Úroveň 4 (P0)],BA87,RZ[Úroveň 5 (P0)],BB87,RZ[Úroveň 6 (P0)],BC87,RZ[Úroveň 7 (P0)],BD87,RZ[Úroveň 8 (P0)],BE87)</f>
        <v>0</v>
      </c>
      <c r="GH87" s="140">
        <f ca="1">SUMIFS(RZ[Úroveň 9 (P6)],RZ[0],AX87,RZ[Úroveň 2 (P0)],AY87,RZ[Úroveň 3 (P0)],AZ87,RZ[Úroveň 4 (P0)],BA87,RZ[Úroveň 5 (P0)],BB87,RZ[Úroveň 6 (P0)],BC87,RZ[Úroveň 7 (P0)],BD87,RZ[Úroveň 8 (P0)],BE87,RZ[Úroveň 9 (P0)],BF87)</f>
        <v>0</v>
      </c>
      <c r="GI87" s="140">
        <f ca="1">SUMIFS(RZ[Úroveň 10 (P6)],RZ[0],AX87,RZ[Úroveň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GJ87" s="918">
        <f t="shared" ca="1" si="549"/>
        <v>0.14000000000000001</v>
      </c>
      <c r="GK87" s="808">
        <f t="shared" si="550"/>
        <v>0</v>
      </c>
      <c r="GL87" s="808">
        <f t="shared" si="551"/>
        <v>0</v>
      </c>
      <c r="GM87" s="808">
        <f t="shared" si="552"/>
        <v>1</v>
      </c>
      <c r="GN87" s="808">
        <f t="shared" si="553"/>
        <v>0</v>
      </c>
      <c r="GO87" s="808">
        <f t="shared" si="554"/>
        <v>0</v>
      </c>
      <c r="GP87" s="808">
        <f t="shared" si="555"/>
        <v>0</v>
      </c>
      <c r="GQ87" s="808">
        <f t="shared" si="556"/>
        <v>0</v>
      </c>
      <c r="GR87" s="808">
        <f t="shared" si="557"/>
        <v>0</v>
      </c>
      <c r="GS87" s="808">
        <f t="shared" si="558"/>
        <v>0</v>
      </c>
      <c r="GT87" s="808">
        <f t="shared" si="559"/>
        <v>0</v>
      </c>
      <c r="GU87" s="809">
        <f ca="1">SUMIFS(RZ[Sloupec1],RZ[0],AX87)</f>
        <v>1</v>
      </c>
      <c r="GV87" s="809">
        <f ca="1">SUMIFS(RZ[Sloupec2],RZ[0],AX87,RZ[Úroveň 2 (P0)],AY87)</f>
        <v>1</v>
      </c>
      <c r="GW87" s="809">
        <f ca="1">SUMIFS(RZ[Sloupec3],RZ[0],AX87,RZ[Úroveň 2 (P0)],AY87,RZ[Úroveň 3 (P0)],AZ87)</f>
        <v>1</v>
      </c>
      <c r="GX87" s="809">
        <f ca="1">SUMIFS(RZ[Sloupec4],RZ[0],AX87,RZ[Úroveň 2 (P0)],AY87,RZ[Úroveň 3 (P0)],AZ87,RZ[Úroveň 4 (P0)],BA87)</f>
        <v>0</v>
      </c>
      <c r="GY87" s="809">
        <f ca="1">SUMIFS(RZ[Sloupec5],RZ[0],AX87,RZ[Úroveň 2 (P0)],AY87,RZ[Úroveň 3 (P0)],AZ87,RZ[Úroveň 4 (P0)],BA87,RZ[Úroveň 5 (P0)],BB87)</f>
        <v>0</v>
      </c>
      <c r="GZ87" s="809">
        <f ca="1">SUMIFS(RZ[Sloupec6],RZ[0],AX87,RZ[Úroveň 2 (P0)],AY87,RZ[Úroveň 3 (P0)],AZ87,RZ[Úroveň 4 (P0)],BA87,RZ[Úroveň 5 (P0)],BB87,RZ[Úroveň 6 (P0)],BC87)</f>
        <v>0</v>
      </c>
      <c r="HA87" s="809">
        <f ca="1">SUMIFS(RZ[Sloupec62],RZ[0],AX87,RZ[Úroveň 2 (P0)],AY87,RZ[Úroveň 3 (P0)],AZ87,RZ[Úroveň 4 (P0)],BA87,RZ[Úroveň 5 (P0)],BB87,RZ[Úroveň 6 (P0)],BC87,RZ[Úroveň 7 (P0)],BD87)</f>
        <v>0</v>
      </c>
      <c r="HB87" s="809">
        <f ca="1">SUMIFS(RZ[Sloupec63],RZ[0],AX87,RZ[Úroveň 2 (P0)],AY87,RZ[Úroveň 3 (P0)],AZ87,RZ[Úroveň 4 (P0)],BA87,RZ[Úroveň 5 (P0)],BB87,RZ[Úroveň 6 (P0)],BC87,RZ[Úroveň 7 (P0)],BD87,RZ[Úroveň 8 (P0)],BE87)</f>
        <v>0</v>
      </c>
      <c r="HC87" s="809">
        <f ca="1">SUMIFS(RZ[Sloupec64],RZ[0],AX87,RZ[Úroveň 2 (P0)],AY87,RZ[Úroveň 3 (P0)],AZ87,RZ[Úroveň 4 (P0)],BA87,RZ[Úroveň 5 (P0)],BB87,RZ[Úroveň 6 (P0)],BC87,RZ[Úroveň 7 (P0)],BD87,RZ[Úroveň 8 (P0)],BE87,RZ[Úroveň 9 (P0)],BF87)</f>
        <v>0</v>
      </c>
      <c r="HD87" s="809">
        <f ca="1">SUMIFS(RZ[Sloupec65],RZ[0],AX87,RZ[Úroveň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HE87" s="919">
        <f t="shared" ca="1" si="560"/>
        <v>1</v>
      </c>
      <c r="HF87" s="920" t="str">
        <f t="shared" si="561"/>
        <v/>
      </c>
      <c r="HG87" s="94" t="str">
        <f t="shared" si="562"/>
        <v/>
      </c>
      <c r="HH87" s="95" t="str">
        <f t="shared" si="563"/>
        <v/>
      </c>
      <c r="HI87" s="95" t="str">
        <f t="shared" si="564"/>
        <v>Šroubení</v>
      </c>
      <c r="HJ87" s="96" t="str">
        <f t="shared" si="565"/>
        <v/>
      </c>
      <c r="HK87" s="96" t="str">
        <f t="shared" si="566"/>
        <v/>
      </c>
      <c r="HL87" s="96" t="str">
        <f t="shared" si="567"/>
        <v/>
      </c>
      <c r="HM87" s="96" t="str">
        <f t="shared" si="568"/>
        <v/>
      </c>
      <c r="HN87" s="96" t="str">
        <f t="shared" si="569"/>
        <v/>
      </c>
      <c r="HO87" s="96" t="str">
        <f t="shared" si="570"/>
        <v/>
      </c>
      <c r="HP87" s="96" t="str">
        <f t="shared" si="571"/>
        <v/>
      </c>
      <c r="HQ87" s="145" t="str">
        <f t="shared" si="572"/>
        <v>STSM</v>
      </c>
      <c r="HR87" s="921" t="str">
        <f t="shared" si="573"/>
        <v/>
      </c>
      <c r="HS87" s="173">
        <f t="shared" si="574"/>
        <v>0</v>
      </c>
      <c r="HT87" s="100">
        <f t="shared" si="575"/>
        <v>0</v>
      </c>
      <c r="HU87" s="100">
        <f t="shared" si="576"/>
        <v>0</v>
      </c>
      <c r="HV87" s="908">
        <f t="shared" si="577"/>
        <v>0</v>
      </c>
      <c r="HW87" s="922">
        <f t="shared" si="578"/>
        <v>0</v>
      </c>
      <c r="HX87" s="224">
        <f t="shared" si="579"/>
        <v>0</v>
      </c>
      <c r="HY87" s="263" t="str">
        <f t="shared" si="580"/>
        <v>S</v>
      </c>
      <c r="HZ87" s="263">
        <f t="shared" si="581"/>
        <v>0</v>
      </c>
      <c r="IA87" s="150">
        <f t="shared" si="582"/>
        <v>1</v>
      </c>
      <c r="IB87" s="319">
        <f t="shared" si="583"/>
        <v>0</v>
      </c>
      <c r="IC87" s="923">
        <f t="shared" si="584"/>
        <v>0</v>
      </c>
      <c r="ID87" s="924" t="str">
        <f t="shared" ca="1" si="585"/>
        <v>OK</v>
      </c>
      <c r="IE87" s="201" t="str">
        <f t="shared" si="586"/>
        <v>ks</v>
      </c>
      <c r="IF87" s="145">
        <f t="shared" si="587"/>
        <v>2</v>
      </c>
      <c r="IG87" s="216">
        <f t="shared" si="588"/>
        <v>7.0000000000000007E-2</v>
      </c>
      <c r="IH87" s="217">
        <f t="shared" si="589"/>
        <v>1</v>
      </c>
      <c r="II87" s="224" t="str">
        <f ca="1">IF(RZ[[#This Row],[Rozhodný sloupec indikativní ceny]]=1,"kg",IF($IW87=$JL$15,IF(JX87=0,JO87,JX87),IF($IW87=$KE$15,IF(KQ87=0,KH87,KQ87),IF($IW87=$KX$15,IF(LJ87=0,LA87,LJ87),IF($IW87=$LQ$15,IF(MC87=0,LT87,MC87),IF($IW87=$MJ$15,IF(NQ87=0,NH87,NQ87),0))))))</f>
        <v>kg</v>
      </c>
      <c r="IJ87" s="224">
        <f ca="1">IF((BH87+OFFSET(BH87,1,1,1,1))=2,RZ[[#This Row],[Počet MJHR (P0)]],IF((BI87+OFFSET(BI87,1,1,1,1))=2,RZ[[#This Row],[Počet MJHR (P0)]],IF((BJ87+OFFSET(BJ87,1,1,1,1))=2,RZ[[#This Row],[Počet MJHR (P0)]],IF((BK87+OFFSET(BK87,1,1,1,1))=2,RZ[[#This Row],[Počet MJHR (P0)]],IF((BL87+OFFSET(BL87,1,1,1,1))=2,RZ[[#This Row],[Počet MJHR (P0)]],IF((BM87+OFFSET(BM87,1,1,1,1))=2,RZ[[#This Row],[Počet MJHR (P0)]],IF((BN87+OFFSET(BN87,1,1,1,1))=2,RZ[[#This Row],[Počet MJHR (P0)]],IF((BO87+OFFSET(BO87,1,1,1,1))=2,RZ[[#This Row],[Počet MJHR (P0)]],IF((BP87+OFFSET(BP87,1,1,1,1))=2,RZ[[#This Row],[Počet MJHR (P0)]],IF((BQ87+OFFSET(BQ87,1,1,1,1))=2,RZ[[#This Row],[Počet MJHR (P0)]],IF(RZ[[#This Row],[Měrná jednotka CR (MJCR) (P0)]]=RZ[[#This Row],[Měrná jednotka HR '[MJHR'] (P0)]],RZ[[#This Row],[Počet MJHR (P0)]],IF($IW87=$JL$15,JY87,IF($IW87=$KE$15,KR87,IF($IW87=$KX$15,LK87,IF($IW87=$LQ$15,MD87,IF($IW87=$MJ$15,NR87,0))))))))))))))))</f>
        <v>0</v>
      </c>
      <c r="IK8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87" s="145">
        <f ca="1">IF(AND(RZ[[#This Row],[Jednotková cena bez DPH '[cena/MJCR'] (P0)]]=0,RZ[[#This Row],[Indikativní jednotková cena '[CZK/kg'] (P1)]]&lt;&gt;0),1,0)</f>
        <v>1</v>
      </c>
      <c r="IM87" s="217">
        <f ca="1">VLOOKUP(RZ[[#This Row],[Kód položek]],INDIKAT_CENA,2,FALSE)</f>
        <v>110</v>
      </c>
      <c r="IN87" s="222">
        <f ca="1">IF(RZ[[#This Row],[Rozhodný sloupec indikativní ceny]]=1,RZ[[#This Row],[Indikativní jednotková cena '[CZK/kg'] (P1)]],RZ[[#This Row],[Jednotková cena bez DPH '[cena/MJCR'] (P0)]])</f>
        <v>110</v>
      </c>
      <c r="IO87" s="222">
        <f t="shared" si="590"/>
        <v>1</v>
      </c>
      <c r="IP87" s="224">
        <f ca="1">IF(RZ[[#This Row],[Rozhodný sloupec indikativní ceny]]=1,1,IF($IW87=$JL$15,KA87,IF($IW87=$KE$15,KT87,IF($IW87=$KX$15,LM87,IF($IW87=$LQ$15,MF87,IF($IW87=$MJ$15,NT87,0))))))</f>
        <v>1</v>
      </c>
      <c r="IQ87" s="225">
        <f ca="1">IF(RZ[[#This Row],[Jednotková cena bez DPH '[cena/MJCR'] (P1)]]="",0,IF(IP87=0,0,(RZ[[#This Row],[Jednotková cena bez DPH '[cena/MJCR'] (P1)]]*VLOOKUP(IP87,$BR$7:$BT$10,3))))</f>
        <v>110</v>
      </c>
      <c r="IR87" s="737"/>
      <c r="IS87" s="627">
        <f>IF(HY87=0,"",VLOOKUP(RZ[[#This Row],[Stav Projekce (P0)]],Vstupy!$E$11:'Vstupy'!$E$11:$H$17,4,FALSE))</f>
        <v>100</v>
      </c>
      <c r="IT87" s="925" t="str">
        <f>IF(RZ[[#This Row],[Stav Projekce (P0)]]=0,"",RZ[[#This Row],[Stav Projekce (P0)]])</f>
        <v>S</v>
      </c>
      <c r="IU87" s="925" t="str">
        <f>IF(RZ[[#This Row],[Stav Nákup (P0)]]=0,"",RZ[[#This Row],[Stav Nákup (P0)]])</f>
        <v/>
      </c>
      <c r="IV87" s="926" t="str">
        <f t="shared" si="591"/>
        <v/>
      </c>
      <c r="IW87" s="641">
        <v>1</v>
      </c>
      <c r="IX87" s="630"/>
      <c r="IY87" s="264"/>
      <c r="IZ87" s="648"/>
      <c r="JA87" s="100"/>
      <c r="JB87" s="100" t="s">
        <v>794</v>
      </c>
      <c r="JC87" s="100"/>
      <c r="JD87" s="100"/>
      <c r="JE87" s="100"/>
      <c r="JF87" s="100"/>
      <c r="JG87" s="100"/>
      <c r="JH87" s="100"/>
      <c r="JI87" s="100"/>
      <c r="JJ87" s="145" t="s">
        <v>766</v>
      </c>
      <c r="JK87" s="529"/>
      <c r="JL87" s="286"/>
      <c r="JM87" s="100"/>
      <c r="JN87" s="100"/>
      <c r="JO87" s="145" t="s">
        <v>35</v>
      </c>
      <c r="JP87" s="117">
        <v>2</v>
      </c>
      <c r="JQ87" s="117">
        <v>7.0000000000000007E-2</v>
      </c>
      <c r="JR87" s="148">
        <v>1</v>
      </c>
      <c r="JS87" s="145" t="s">
        <v>602</v>
      </c>
      <c r="JT87" s="631"/>
      <c r="JU87" s="148"/>
      <c r="JV87" s="154"/>
      <c r="JW87" s="145"/>
      <c r="JX87" s="210"/>
      <c r="JY87" s="117"/>
      <c r="JZ87" s="662"/>
      <c r="KA87" s="145"/>
      <c r="KB87" s="148"/>
      <c r="KC87" s="148"/>
      <c r="KD87" s="644"/>
      <c r="KE87" s="286"/>
      <c r="KF87" s="100"/>
      <c r="KG87" s="100"/>
      <c r="KH87" s="210"/>
      <c r="KI87" s="117"/>
      <c r="KJ87" s="117"/>
      <c r="KK87" s="148"/>
      <c r="KL87" s="145"/>
      <c r="KM87" s="632"/>
      <c r="KN87" s="148"/>
      <c r="KO87" s="154"/>
      <c r="KP87" s="154"/>
      <c r="KQ87" s="210"/>
      <c r="KR87" s="117"/>
      <c r="KS87" s="211"/>
      <c r="KT87" s="145"/>
      <c r="KU87" s="148"/>
      <c r="KV87" s="148"/>
      <c r="KW87" s="265"/>
      <c r="KX87" s="286"/>
      <c r="KY87" s="100"/>
      <c r="KZ87" s="100"/>
      <c r="LA87" s="210"/>
      <c r="LB87" s="117"/>
      <c r="LC87" s="117"/>
      <c r="LD87" s="148"/>
      <c r="LE87" s="145"/>
      <c r="LF87" s="632"/>
      <c r="LG87" s="148"/>
      <c r="LH87" s="154"/>
      <c r="LI87" s="154"/>
      <c r="LJ87" s="154"/>
      <c r="LK87" s="117"/>
      <c r="LL87" s="211"/>
      <c r="LM87" s="210"/>
      <c r="LN87" s="148"/>
      <c r="LO87" s="148"/>
      <c r="LP87" s="265"/>
      <c r="LQ87" s="286"/>
      <c r="LR87" s="100"/>
      <c r="LS87" s="100"/>
      <c r="LT87" s="210"/>
      <c r="LU87" s="117"/>
      <c r="LV87" s="117"/>
      <c r="LW87" s="148"/>
      <c r="LX87" s="145"/>
      <c r="LY87" s="632"/>
      <c r="LZ87" s="148"/>
      <c r="MA87" s="154"/>
      <c r="MB87" s="154"/>
      <c r="MC87" s="145"/>
      <c r="MD87" s="117"/>
      <c r="ME87" s="211"/>
      <c r="MF87" s="210"/>
      <c r="MG87" s="148"/>
      <c r="MH87" s="148"/>
      <c r="MI87" s="265"/>
      <c r="MJ87" s="647"/>
      <c r="MK87" s="264"/>
      <c r="ML87" s="153"/>
      <c r="MM87" s="153"/>
      <c r="MN87" s="153"/>
      <c r="MO87" s="153"/>
      <c r="MP87" s="153"/>
      <c r="MQ87" s="153"/>
      <c r="MR87" s="153"/>
      <c r="MS87" s="99"/>
      <c r="MT87" s="99"/>
      <c r="MU87" s="99"/>
      <c r="MV87" s="99"/>
      <c r="MW87" s="99"/>
      <c r="MX87" s="99"/>
      <c r="MY87" s="153"/>
      <c r="MZ87" s="153"/>
      <c r="NA87" s="153"/>
      <c r="NB87" s="153"/>
      <c r="NC87" s="153"/>
      <c r="ND87" s="153"/>
      <c r="NE87" s="148"/>
      <c r="NF87" s="153"/>
      <c r="NG87" s="153"/>
      <c r="NH87" s="330" t="str">
        <f t="shared" si="592"/>
        <v>ks</v>
      </c>
      <c r="NI87" s="797">
        <f>RZ[[#This Row],[Počet ks (K)]]</f>
        <v>0</v>
      </c>
      <c r="NJ87" s="798">
        <f>RZ[[#This Row],[Hmotnost '[kg/ks'] (K)]]</f>
        <v>0</v>
      </c>
      <c r="NK87" s="148"/>
      <c r="NL87" s="145"/>
      <c r="NM87" s="632"/>
      <c r="NN87" s="148"/>
      <c r="NO87" s="154"/>
      <c r="NP87" s="153"/>
      <c r="NQ87" s="153"/>
      <c r="NR87" s="210"/>
      <c r="NS87" s="148"/>
      <c r="NT87" s="210"/>
      <c r="NU87" s="148"/>
      <c r="NV87" s="148"/>
      <c r="NW87" s="175"/>
    </row>
    <row r="88" spans="2:387" ht="15.95" customHeight="1" x14ac:dyDescent="0.35">
      <c r="B88" s="118" t="str">
        <f t="shared" si="476"/>
        <v/>
      </c>
      <c r="C8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8" s="262" t="str">
        <f t="shared" si="477"/>
        <v xml:space="preserve">    Kryt</v>
      </c>
      <c r="E88" s="120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Row],[Kód položek (P2)]]))))))))))</f>
        <v>OKS2</v>
      </c>
      <c r="F88" s="791" t="str">
        <f t="shared" si="478"/>
        <v>N/A</v>
      </c>
      <c r="G88" s="792" t="str">
        <f t="shared" si="479"/>
        <v/>
      </c>
      <c r="H88" s="262" t="str">
        <f t="shared" si="480"/>
        <v/>
      </c>
      <c r="I88" s="123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HR '[MJHR'] (P0)]]))))))))))</f>
        <v>ks</v>
      </c>
      <c r="J88" s="123">
        <f t="shared" si="481"/>
        <v>1</v>
      </c>
      <c r="K88" s="793">
        <f>RZ[[#This Row],[Koeficient odhadu HR '[-'] (P1)]]</f>
        <v>1</v>
      </c>
      <c r="L88" s="124">
        <f ca="1">RZ[[#This Row],[Jednotková hmotnost s koef. '[kg/MJHR'] (P0)]]</f>
        <v>154.1</v>
      </c>
      <c r="M88" s="794">
        <f t="shared" ca="1" si="482"/>
        <v>0</v>
      </c>
      <c r="N88" s="125">
        <f t="shared" ca="1" si="483"/>
        <v>154.1</v>
      </c>
      <c r="O88" s="125">
        <f t="shared" ca="1" si="484"/>
        <v>0</v>
      </c>
      <c r="P88" s="126" t="str">
        <f t="shared" si="485"/>
        <v/>
      </c>
      <c r="Q88" s="795">
        <f ca="1">RZ[[#This Row],[Počet MJHR v rozpadu (P0)]]</f>
        <v>1</v>
      </c>
      <c r="R88" s="439" t="str">
        <f t="shared" si="486"/>
        <v/>
      </c>
      <c r="S88" s="129" t="str">
        <f t="shared" si="487"/>
        <v/>
      </c>
      <c r="T88" s="126" t="str">
        <f t="shared" si="488"/>
        <v/>
      </c>
      <c r="U88" s="126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CR (MJCR) (P0)]]))))))))))</f>
        <v>kg</v>
      </c>
      <c r="V88" s="575">
        <f t="shared" ca="1" si="489"/>
        <v>154.1</v>
      </c>
      <c r="W88" s="322">
        <f>RZ[[#This Row],[Koeficient odhadu CR '[-'] (P1)]]</f>
        <v>1</v>
      </c>
      <c r="X88" s="440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Row],[Jednotková cena bez DPH '[cena/MJCR'] (P1)]]*RZ[[#This Row],[Koeficient odhadu CR '[-']]]))))))))))</f>
        <v>110</v>
      </c>
      <c r="Y88" s="440">
        <f t="shared" ca="1" si="490"/>
        <v>0</v>
      </c>
      <c r="Z88" s="142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VLOOKUP(IP88,$BR$7:$BS$11,2,FALSE)))))))))))</f>
        <v>CZK</v>
      </c>
      <c r="AA88" s="909">
        <f t="shared" ca="1" si="491"/>
        <v>154.1</v>
      </c>
      <c r="AB88" s="910">
        <f ca="1">RZ[[#This Row],[Kumulovaný koeficient v rozpadu (P0)]]</f>
        <v>1</v>
      </c>
      <c r="AC88" s="261"/>
      <c r="AD88" s="796">
        <f ca="1">RZ[[#This Row],[Jednotková cena bez DPH '[cena/MJCR'] s koef. (P0)]]/RZ[[#This Row],[Koeficient odhadu CR '[-']]]*RZ[[#This Row],[Kumulovaný koeficient odhadu CR  '[-']]]</f>
        <v>110</v>
      </c>
      <c r="AE88" s="796">
        <f t="shared" ca="1" si="492"/>
        <v>16951</v>
      </c>
      <c r="AF88" s="796">
        <f ca="1">-IF(ISNUMBER(AA88),RZ[[#This Row],[Celková cena bez DPH (1)]]-RZ[[#This Row],[Jednotková cena bez DPH '[cena/MJCR'] bez koef. (P0)]]*AA88,0)</f>
        <v>0</v>
      </c>
      <c r="AG8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8" s="261"/>
      <c r="AI88" s="796">
        <f t="shared" ca="1" si="493"/>
        <v>4.0740740740740744</v>
      </c>
      <c r="AJ88" s="796">
        <f t="shared" ca="1" si="494"/>
        <v>627.81481481481478</v>
      </c>
      <c r="AK88" s="796">
        <f t="shared" ca="1" si="495"/>
        <v>0</v>
      </c>
      <c r="AL88" s="753">
        <f ca="1">RZ[[#This Row],[Kilogramová cena bez DPH '[cena/kg'] (1)]]/$AK$13</f>
        <v>4.0740740740740744</v>
      </c>
      <c r="AM88" s="261"/>
      <c r="AN88" s="796">
        <f t="shared" ca="1" si="496"/>
        <v>5.3140096618357493</v>
      </c>
      <c r="AO88" s="796">
        <f t="shared" ca="1" si="497"/>
        <v>818.88888888888891</v>
      </c>
      <c r="AP88" s="796">
        <f t="shared" ca="1" si="498"/>
        <v>0</v>
      </c>
      <c r="AQ88" s="753">
        <f ca="1">RZ[[#This Row],[Kilogramová cena bez DPH '[cena/kg'] (1)]]/$AP$13</f>
        <v>5.3140096618357493</v>
      </c>
      <c r="AR88" s="261"/>
      <c r="AS88" s="796">
        <f t="shared" ca="1" si="499"/>
        <v>3.0087527352297592</v>
      </c>
      <c r="AT88" s="796">
        <f t="shared" ca="1" si="500"/>
        <v>463.64879649890588</v>
      </c>
      <c r="AU88" s="789">
        <f t="shared" ca="1" si="501"/>
        <v>0</v>
      </c>
      <c r="AV88" s="767">
        <f ca="1">RZ[[#This Row],[Kilogramová cena bez DPH '[cena/kg'] (1)]]/$AU$13</f>
        <v>3.0087527352297592</v>
      </c>
      <c r="AW88" s="165"/>
      <c r="AX88" s="911">
        <f t="shared" ca="1" si="502"/>
        <v>2</v>
      </c>
      <c r="AY88" s="111">
        <f t="shared" ca="1" si="503"/>
        <v>3</v>
      </c>
      <c r="AZ88" s="111">
        <f t="shared" ca="1" si="504"/>
        <v>15</v>
      </c>
      <c r="BA88" s="111">
        <f t="shared" ca="1" si="505"/>
        <v>0</v>
      </c>
      <c r="BB88" s="111">
        <f t="shared" ca="1" si="506"/>
        <v>0</v>
      </c>
      <c r="BC88" s="111">
        <f t="shared" ca="1" si="507"/>
        <v>0</v>
      </c>
      <c r="BD88" s="111">
        <f t="shared" ca="1" si="508"/>
        <v>0</v>
      </c>
      <c r="BE88" s="111">
        <f t="shared" ca="1" si="509"/>
        <v>0</v>
      </c>
      <c r="BF88" s="111">
        <f t="shared" ca="1" si="510"/>
        <v>0</v>
      </c>
      <c r="BG88" s="112">
        <f t="shared" ca="1" si="511"/>
        <v>0</v>
      </c>
      <c r="BH88" s="911">
        <f t="shared" si="512"/>
        <v>0</v>
      </c>
      <c r="BI88" s="111">
        <f t="shared" si="513"/>
        <v>0</v>
      </c>
      <c r="BJ88" s="111">
        <f t="shared" si="514"/>
        <v>1</v>
      </c>
      <c r="BK88" s="111">
        <f t="shared" si="515"/>
        <v>0</v>
      </c>
      <c r="BL88" s="111">
        <f t="shared" si="516"/>
        <v>0</v>
      </c>
      <c r="BM88" s="111">
        <f t="shared" si="517"/>
        <v>0</v>
      </c>
      <c r="BN88" s="111">
        <f t="shared" si="518"/>
        <v>0</v>
      </c>
      <c r="BO88" s="111">
        <f t="shared" si="519"/>
        <v>0</v>
      </c>
      <c r="BP88" s="111">
        <f t="shared" si="520"/>
        <v>0</v>
      </c>
      <c r="BQ88" s="112">
        <f t="shared" si="521"/>
        <v>0</v>
      </c>
      <c r="BR88" s="132">
        <f ca="1">IF(OFFSET(AY88,1,0,1,1)&lt;&gt;0,RZ[[#This Row],[Koeficient odhadu HR '[-'] (P1)]]*$BH88*SUMIFS(RZ[Úroveň 2 s koef. (P2)],RZ[0],AX88),RZ[[#This Row],[Koeficient odhadu HR '[-'] (P1)]]*$BH88*$IG88)</f>
        <v>0</v>
      </c>
      <c r="BS88" s="186">
        <f ca="1">IF(OFFSET(AY88,1,0,1,1)&lt;&gt;0,$BH88*SUMIFS(RZ[Úroveň 2 bez koef. (P2)],RZ[0],AX88),$BH88*$IG88)</f>
        <v>0</v>
      </c>
      <c r="BT88" s="138">
        <f ca="1">RZ[[#This Row],[Úroveň 2 s koef. (P2a)]]*RZ[[#This Row],[Počet MJHR (P0)]]</f>
        <v>0</v>
      </c>
      <c r="BU88" s="138">
        <f ca="1">RZ[[#This Row],[Úroveň 2 bez koef. (P2a)]]*RZ[[#This Row],[Počet MJHR (P0)]]</f>
        <v>0</v>
      </c>
      <c r="BV88" s="138">
        <f ca="1">IF(OFFSET(AZ88,1,0,1,1)&lt;&gt;0,RZ[[#This Row],[Koeficient odhadu HR '[-'] (P1)]]*$BI88*SUMIFS(RZ[Úroveň 3 s koef. (P2)],RZ[0],AX88,RZ[Úroveň 2 (P0)],AY88),RZ[[#This Row],[Koeficient odhadu HR '[-'] (P1)]]*$BI88*$IG88)</f>
        <v>0</v>
      </c>
      <c r="BW88" s="138">
        <f ca="1">IF(OFFSET(AZ88,1,0,1,1)&lt;&gt;0,$BI88*SUMIFS(RZ[Úroveň 3 bez koef. (P2)],RZ[0],AX88,RZ[Úroveň 2 (P0)],AY88),$BI88*$IG88)</f>
        <v>0</v>
      </c>
      <c r="BX88" s="132">
        <f ca="1">RZ[[#This Row],[Úroveň 3 s koef. (P2a)]]*RZ[[#This Row],[Počet MJHR (P0)]]</f>
        <v>154.1</v>
      </c>
      <c r="BY88" s="132">
        <f ca="1">RZ[Úroveň 3 bez koef. (P2a)]*RZ[[#This Row],[Počet MJHR (P0)]]</f>
        <v>154.1</v>
      </c>
      <c r="BZ88" s="132">
        <f ca="1">IF(OFFSET(BA88,1,0,1,1)&lt;&gt;0,RZ[[#This Row],[Koeficient odhadu HR '[-'] (P1)]]*$BJ88*SUMIFS(RZ[Úroveň 4 s koef. (P2)],RZ[0],AX88,RZ[Úroveň 2 (P0)],AY88,RZ[Úroveň 3 (P0)],AZ88),RZ[[#This Row],[Koeficient odhadu HR '[-'] (P1)]]*$BJ88*$IG88)</f>
        <v>154.1</v>
      </c>
      <c r="CA88" s="132">
        <f ca="1">IF(OFFSET(BA88,1,0,1,1)&lt;&gt;0,$BJ88*SUMIFS(RZ[Úroveň 4 bez koef. (P2)],RZ[0],AX88,RZ[Úroveň 2 (P0)],AY88,RZ[Úroveň 3 (P0)],AZ88),$BJ88*$IG88)</f>
        <v>154.1</v>
      </c>
      <c r="CB88" s="138">
        <f ca="1">RZ[[#This Row],[Úroveň 4 s koef. (P2a)]]*RZ[[#This Row],[Počet MJHR (P0)]]</f>
        <v>0</v>
      </c>
      <c r="CC88" s="138">
        <f ca="1">RZ[Úroveň 4 bez koef. (P2a)]*RZ[[#This Row],[Počet MJHR (P0)]]</f>
        <v>0</v>
      </c>
      <c r="CD88" s="138">
        <f ca="1">IF(OFFSET(BB88,1,0,1,1)&lt;&gt;0,RZ[[#This Row],[Koeficient odhadu HR '[-'] (P1)]]*$BK88*SUMIFS(RZ[Úroveň 5 s koef. (P2)],RZ[0],AX88,RZ[Úroveň 2 (P0)],AY88,RZ[Úroveň 3 (P0)],AZ88,RZ[Úroveň 4 (P0)],BA88),RZ[[#This Row],[Koeficient odhadu HR '[-'] (P1)]]*$BK88*$IG88)</f>
        <v>0</v>
      </c>
      <c r="CE88" s="138">
        <f ca="1">IF(OFFSET(BB88,1,0,1,1)&lt;&gt;0,$BK88*SUMIFS(RZ[Úroveň 5 bez koef. (P2)],RZ[0],AX88,RZ[Úroveň 2 (P0)],AY88,RZ[Úroveň 3 (P0)],AZ88,RZ[Úroveň 4 (P0)],BA88),$BK88*$IG88)</f>
        <v>0</v>
      </c>
      <c r="CF88" s="132">
        <f ca="1">RZ[[#This Row],[Úroveň 5 s koef. (P2a)]]*RZ[[#This Row],[Počet MJHR (P0)]]</f>
        <v>0</v>
      </c>
      <c r="CG88" s="132">
        <f ca="1">RZ[Úroveň 5 bez koef. (P2a)]*RZ[[#This Row],[Počet MJHR (P0)]]</f>
        <v>0</v>
      </c>
      <c r="CH88" s="132">
        <f ca="1">IF(OFFSET(BC88,1,0,1,1)&lt;&gt;0,RZ[[#This Row],[Koeficient odhadu HR '[-'] (P1)]]*$BL88*SUMIFS(RZ[Úroveň 6 s koef. (P2)],RZ[0],AX88,RZ[Úroveň 2 (P0)],AY88,RZ[Úroveň 3 (P0)],AZ88,RZ[Úroveň 4 (P0)],BA88,RZ[Úroveň 5 (P0)],BB88),RZ[[#This Row],[Koeficient odhadu HR '[-'] (P1)]]*$BL88*$IG88)</f>
        <v>0</v>
      </c>
      <c r="CI88" s="132">
        <f ca="1">IF(OFFSET(BC88,1,0,1,1)&lt;&gt;0,$BL88*SUMIFS(RZ[Úroveň 6 bez koef. (P2)],RZ[0],AX88,RZ[Úroveň 2 (P0)],AY88,RZ[Úroveň 3 (P0)],AZ88,RZ[Úroveň 4 (P0)],BA88,RZ[Úroveň 5 (P0)],BB88),$BL88*$IG88)</f>
        <v>0</v>
      </c>
      <c r="CJ88" s="138">
        <f ca="1">RZ[[#This Row],[Úroveň 6 s koef. (P2a)]]*RZ[[#This Row],[Počet MJHR (P0)]]</f>
        <v>0</v>
      </c>
      <c r="CK88" s="138">
        <f ca="1">RZ[Úroveň 6 bez koef. (P2a)]*RZ[[#This Row],[Počet MJHR (P0)]]</f>
        <v>0</v>
      </c>
      <c r="CL88" s="138">
        <f ca="1">IF(OFFSET(BD88,1,0,1,1)&lt;&gt;0,RZ[[#This Row],[Koeficient odhadu HR '[-'] (P1)]]*$BM88*SUMIFS(RZ[Úroveň 7 s koef. (P2)],RZ[0],AX88,RZ[Úroveň 2 (P0)],AY88,RZ[Úroveň 3 (P0)],AZ88,RZ[Úroveň 4 (P0)],BA88,RZ[Úroveň 5 (P0)],BB88,RZ[Úroveň 6 (P0)],BC88),RZ[[#This Row],[Koeficient odhadu HR '[-'] (P1)]]*$BM88*$IG88)</f>
        <v>0</v>
      </c>
      <c r="CM88" s="138">
        <f ca="1">IF(OFFSET(BD88,1,0,1,1)&lt;&gt;0,$BM88*SUMIFS(RZ[Úroveň 7 bez koef. (P2)],RZ[0],AX88,RZ[Úroveň 2 (P0)],AY88,RZ[Úroveň 3 (P0)],AZ88,RZ[Úroveň 4 (P0)],BA88,RZ[Úroveň 5 (P0)],BB88,RZ[Úroveň 6 (P0)],BC88),$BM88*$IG88)</f>
        <v>0</v>
      </c>
      <c r="CN88" s="132">
        <f ca="1">RZ[[#This Row],[Úroveň 7 s koef. (P2a)]]*RZ[[#This Row],[Počet MJHR (P0)]]</f>
        <v>0</v>
      </c>
      <c r="CO88" s="132">
        <f ca="1">RZ[Úroveň 7 bez koef. (P2a)]*RZ[[#This Row],[Počet MJHR (P0)]]</f>
        <v>0</v>
      </c>
      <c r="CP88" s="132">
        <f ca="1">IF(OFFSET(BE88,1,0,1,1)&lt;&gt;0,RZ[[#This Row],[Koeficient odhadu HR '[-'] (P1)]]*$BN88*SUMIFS(RZ[Úroveň 8 s koef. (P2)],RZ[0],AX88,RZ[Úroveň 2 (P0)],AY88,RZ[Úroveň 3 (P0)],AZ88,RZ[Úroveň 4 (P0)],BA88,RZ[Úroveň 5 (P0)],BB88,RZ[Úroveň 6 (P0)],BC88,RZ[Úroveň 7 (P0)],BD88),RZ[[#This Row],[Koeficient odhadu HR '[-'] (P1)]]*$BN88*$IG88)</f>
        <v>0</v>
      </c>
      <c r="CQ88" s="132">
        <f ca="1">IF(OFFSET(BE88,1,0,1,1)&lt;&gt;0,$BN88*SUMIFS(RZ[Úroveň 8 bez koef. (P2)],RZ[0],AX88,RZ[Úroveň 2 (P0)],AY88,RZ[Úroveň 3 (P0)],AZ88,RZ[Úroveň 4 (P0)],BA88,RZ[Úroveň 5 (P0)],BB88,RZ[Úroveň 6 (P0)],BC88,RZ[Úroveň 7 (P0)],BD88),$BN88*$IG88)</f>
        <v>0</v>
      </c>
      <c r="CR88" s="138">
        <f ca="1">RZ[[#This Row],[Úroveň 8 s koef. (P2a)]]*RZ[[#This Row],[Počet MJHR (P0)]]</f>
        <v>0</v>
      </c>
      <c r="CS88" s="138">
        <f ca="1">RZ[Úroveň 8 bez koef. (P2a)]*RZ[[#This Row],[Počet MJHR (P0)]]</f>
        <v>0</v>
      </c>
      <c r="CT88" s="138">
        <f ca="1">IF(OFFSET(BF88,1,0,1,1)&lt;&gt;0,RZ[[#This Row],[Koeficient odhadu HR '[-'] (P1)]]*$BO88*SUMIFS(RZ[Úroveň 9 s koef. (P2)],RZ[0],AX88,RZ[Úroveň 2 (P0)],AY88,RZ[Úroveň 3 (P0)],AZ88,RZ[Úroveň 4 (P0)],BA88,RZ[Úroveň 5 (P0)],BB88,RZ[Úroveň 6 (P0)],BC88,RZ[Úroveň 7 (P0)],BD88,RZ[Úroveň 8 (P0)],BE88),RZ[[#This Row],[Koeficient odhadu HR '[-'] (P1)]]*$BO88*$IG88)</f>
        <v>0</v>
      </c>
      <c r="CU88" s="138">
        <f ca="1">IF(OFFSET(BF88,1,0,1,1)&lt;&gt;0,$BO88*SUMIFS(RZ[Úroveň 9 bez koef. (P2)],RZ[0],AX88,RZ[Úroveň 2 (P0)],AY88,RZ[Úroveň 3 (P0)],AZ88,RZ[Úroveň 4 (P0)],BA88,RZ[Úroveň 5 (P0)],BB88,RZ[Úroveň 6 (P0)],BC88,RZ[Úroveň 7 (P0)],BD88,RZ[Úroveň 8 (P0)],BE88),$BO88*$IG88)</f>
        <v>0</v>
      </c>
      <c r="CV88" s="132">
        <f ca="1">RZ[[#This Row],[Úroveň 9 s koef. (P2a)]]*RZ[[#This Row],[Počet MJHR (P0)]]</f>
        <v>0</v>
      </c>
      <c r="CW88" s="132">
        <f ca="1">RZ[Úroveň 9 bez koef. (P2a)]*RZ[[#This Row],[Počet MJHR (P0)]]</f>
        <v>0</v>
      </c>
      <c r="CX88" s="132">
        <f ca="1">IF(OFFSET(BG88,1,0,1,1)&lt;&gt;0,RZ[[#This Row],[Koeficient odhadu HR '[-'] (P1)]]*$BP88*SUMIFS(RZ[Úroveň 10 s koef. (P2)],RZ[0],AX88,RZ[Úroveň 2 (P0)],AY88,RZ[Úroveň 3 (P0)],AZ88,RZ[Úroveň 4 (P0)],BA88,RZ[Úroveň 5 (P0)],BB88,RZ[Úroveň 6 (P0)],BC88,RZ[Úroveň 7 (P0)],BD88,RZ[Úroveň 8 (P0)],BE88,RZ[Úroveň 9 (P0)],BF88),RZ[[#This Row],[Koeficient odhadu HR '[-'] (P1)]]*$BP88*$IG88)</f>
        <v>0</v>
      </c>
      <c r="CY88" s="132">
        <f ca="1">IF(OFFSET(BG88,1,0,1,1)&lt;&gt;0,$BP88*SUMIFS(RZ[Úroveň 10 bez koef. (P2)],RZ[0],AX88,RZ[Úroveň 2 (P0)],AY88,RZ[Úroveň 3 (P0)],AZ88,RZ[Úroveň 4 (P0)],BA88,RZ[Úroveň 5 (P0)],BB88,RZ[Úroveň 6 (P0)],BC88,RZ[Úroveň 7 (P0)],BD88,RZ[Úroveň 8 (P0)],BE88,RZ[Úroveň 9 (P0)],BF88),$BP88*$IG88)</f>
        <v>0</v>
      </c>
      <c r="CZ88" s="138">
        <f>RZ[[#This Row],[Úroveň 10 s koef. (P2a)]]*RZ[[#This Row],[Počet MJHR (P0)]]</f>
        <v>0</v>
      </c>
      <c r="DA88" s="138">
        <f>RZ[Úroveň 10 bez koef. (P2a)]*RZ[[#This Row],[Počet MJHR (P0)]]</f>
        <v>0</v>
      </c>
      <c r="DB88" s="138">
        <f>RZ[[#This Row],[Koeficient odhadu HR '[-'] (P1)]]*$BQ88*IG88</f>
        <v>0</v>
      </c>
      <c r="DC88" s="231">
        <f t="shared" si="522"/>
        <v>0</v>
      </c>
      <c r="DD88" s="241">
        <f t="shared" ca="1" si="523"/>
        <v>154.1</v>
      </c>
      <c r="DE88" s="229">
        <f t="shared" ca="1" si="524"/>
        <v>154.1</v>
      </c>
      <c r="DF88" s="912">
        <f t="shared" si="525"/>
        <v>0</v>
      </c>
      <c r="DG88" s="913">
        <f t="shared" si="526"/>
        <v>0</v>
      </c>
      <c r="DH88" s="913">
        <f t="shared" si="527"/>
        <v>1</v>
      </c>
      <c r="DI88" s="913">
        <f t="shared" si="528"/>
        <v>0</v>
      </c>
      <c r="DJ88" s="913">
        <f t="shared" si="529"/>
        <v>0</v>
      </c>
      <c r="DK88" s="913">
        <f t="shared" si="530"/>
        <v>0</v>
      </c>
      <c r="DL88" s="913">
        <f t="shared" si="531"/>
        <v>0</v>
      </c>
      <c r="DM88" s="913">
        <f t="shared" si="532"/>
        <v>0</v>
      </c>
      <c r="DN88" s="913">
        <f t="shared" si="533"/>
        <v>0</v>
      </c>
      <c r="DO88" s="913">
        <f t="shared" si="534"/>
        <v>0</v>
      </c>
      <c r="DP88" s="914">
        <f ca="1">SUMIFS(RZ[Úroveň 1 (P4)],RZ[0],AX88)</f>
        <v>1</v>
      </c>
      <c r="DQ88" s="914">
        <f ca="1">SUMIFS(RZ[Úroveň 2 (P4)],RZ[0],AX88,RZ[Úroveň 2 (P0)],AY88)</f>
        <v>1</v>
      </c>
      <c r="DR88" s="914">
        <f ca="1">SUMIFS(RZ[Úroveň 3 (P4)],RZ[0],AX88,RZ[Úroveň 2 (P0)],AY88,RZ[Úroveň 3 (P0)],AZ88)</f>
        <v>1</v>
      </c>
      <c r="DS88" s="914">
        <f ca="1">SUMIFS(RZ[Úroveň 4 (P4)],RZ[0],AX88,RZ[Úroveň 2 (P0)],AY88,RZ[Úroveň 3 (P0)],AZ88,RZ[Úroveň 4 (P0)],BA88)</f>
        <v>0</v>
      </c>
      <c r="DT88" s="914">
        <f ca="1">SUMIFS(RZ[Úroveň 5 (P4)],RZ[0],AX88,RZ[Úroveň 2 (P0)],AY88,RZ[Úroveň 3 (P0)],AZ88,RZ[Úroveň 4 (P0)],BA88,RZ[Úroveň 5 (P0)],BB88)</f>
        <v>0</v>
      </c>
      <c r="DU88" s="914">
        <f ca="1">SUMIFS(RZ[Úroveň 6 (P4)],RZ[0],AX88,RZ[Úroveň 2 (P0)],AY88,RZ[Úroveň 3 (P0)],AZ88,RZ[Úroveň 4 (P0)],BA88,RZ[Úroveň 5 (P0)],BB88,RZ[Úroveň 6 (P0)],BC88)</f>
        <v>0</v>
      </c>
      <c r="DV88" s="914">
        <f ca="1">SUMIFS(RZ[Úroveň 7 (P4)],RZ[0],AX88,RZ[Úroveň 2 (P0)],AY88,RZ[Úroveň 3 (P0)],AZ88,RZ[Úroveň 4 (P0)],BA88,RZ[Úroveň 5 (P0)],BB88,RZ[Úroveň 6 (P0)],BC88,RZ[Úroveň 7 (P0)],BD88)</f>
        <v>0</v>
      </c>
      <c r="DW88" s="914">
        <f ca="1">SUMIFS(RZ[Úroveň 8 (P4)],RZ[0],AX88,RZ[Úroveň 2 (P0)],AY88,RZ[Úroveň 3 (P0)],AZ88,RZ[Úroveň 4 (P0)],BA88,RZ[Úroveň 5 (P0)],BB88,RZ[Úroveň 6 (P0)],BC88,RZ[Úroveň 7 (P0)],BD88,RZ[Úroveň 8 (P0)],BE88)</f>
        <v>0</v>
      </c>
      <c r="DX88" s="914">
        <f ca="1">SUMIFS(RZ[Úroveň 9 (P4)],RZ[0],AX88,RZ[Úroveň 2 (P0)],AY88,RZ[Úroveň 3 (P0)],AZ88,RZ[Úroveň 4 (P0)],BA88,RZ[Úroveň 5 (P0)],BB88,RZ[Úroveň 6 (P0)],BC88,RZ[Úroveň 7 (P0)],BD88,RZ[Úroveň 8 (P0)],BE88,RZ[Úroveň 9 (P0)],BF88)</f>
        <v>0</v>
      </c>
      <c r="DY88" s="914">
        <f ca="1">SUMIFS(RZ[Úroveň 10 (P4)],RZ[0],AX88,RZ[Úroveň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DZ88" s="915">
        <f t="shared" ca="1" si="535"/>
        <v>1</v>
      </c>
      <c r="EA88" s="916">
        <f ca="1">RZ[[#This Row],[Jednotková hmotnost bez koef. '[kg/MJHR'] (P0)]]*RZ[[#This Row],[Počet MJHR v rozpadu (P0)]]</f>
        <v>154.1</v>
      </c>
      <c r="EB88" s="917">
        <f ca="1">IF(OFFSET(AY88,1,0,1,1)&lt;&gt;0,RZ[[#This Row],[Koeficient odhadu CR '[-'] (P1)]]*$BH88*SUMIFS(RZ[Úroveň 2 s koef. (P3)],RZ[0],AX88),RZ[[#This Row],[Koeficient odhadu CR '[-'] (P1)]]*$BH88*$IQ88)</f>
        <v>0</v>
      </c>
      <c r="EC88" s="191">
        <f ca="1">IF(OFFSET(AY88,1,0,1,1)&lt;&gt;0,$BH88*SUMIFS(RZ[Úroveň 2 bez koef. (P3)],RZ[0],AX88),$BH88*$IQ88)</f>
        <v>0</v>
      </c>
      <c r="ED88" s="140">
        <f ca="1">RZ[[#This Row],[Úroveň 2 s koef. (P3a)]]*RZ[[#This Row],[Počet MJCR (P0) pro "kg"]]</f>
        <v>0</v>
      </c>
      <c r="EE88" s="140">
        <f ca="1">RZ[Úroveň 2 bez koef. (P3a)]*RZ[[#This Row],[Počet MJCR (P0) pro "kg"]]</f>
        <v>0</v>
      </c>
      <c r="EF88" s="140">
        <f ca="1">IF(OFFSET(AZ88,1,0,1,1)&lt;&gt;0,RZ[[#This Row],[Koeficient odhadu CR '[-'] (P1)]]*$BI88*SUMIFS(RZ[Úroveň 3 s koef. (P3)],RZ[0],AX88,RZ[Úroveň 2 (P0)],AY88),RZ[[#This Row],[Koeficient odhadu CR '[-'] (P1)]]*$BI88*$IQ88)</f>
        <v>0</v>
      </c>
      <c r="EG88" s="140">
        <f ca="1">IF(OFFSET(AZ88,1,0,1,1)&lt;&gt;0,$BI88*SUMIFS(RZ[Úroveň 3 bez koef. (P3)],RZ[0],AX88,RZ[Úroveň 2 (P0)],AY88),$BI88*$IQ88)</f>
        <v>0</v>
      </c>
      <c r="EH88" s="135">
        <f ca="1">RZ[[#This Row],[Úroveň 3 s koef. (P3a)]]*RZ[[#This Row],[Počet MJCR (P0) pro "kg"]]</f>
        <v>16951</v>
      </c>
      <c r="EI88" s="135">
        <f ca="1">RZ[Úroveň 3 bez koef. (P3a)]*RZ[[#This Row],[Počet MJCR (P0) pro "kg"]]</f>
        <v>16951</v>
      </c>
      <c r="EJ88" s="135">
        <f ca="1">IF(OFFSET(BA88,1,0,1,1)&lt;&gt;0,RZ[[#This Row],[Koeficient odhadu CR '[-'] (P1)]]*$BJ88*SUMIFS(RZ[Úroveň 4 s koef. (P3)],RZ[0],AX88,RZ[Úroveň 2 (P0)],AY88,RZ[Úroveň 3 (P0)],AZ88),RZ[[#This Row],[Koeficient odhadu CR '[-'] (P1)]]*$BJ88*$IQ88)</f>
        <v>110</v>
      </c>
      <c r="EK88" s="135">
        <f ca="1">IF(OFFSET(BA88,1,0,1,1)&lt;&gt;0,$BJ88*SUMIFS(RZ[Úroveň 4 bez koef. (P3)],RZ[0],AX88,RZ[Úroveň 2 (P0)],AY88,RZ[Úroveň 3 (P0)],AZ88),$BJ88*$IQ88)</f>
        <v>110</v>
      </c>
      <c r="EL88" s="140">
        <f ca="1">RZ[[#This Row],[Úroveň 4 s koef. (P3a)]]*RZ[[#This Row],[Počet MJCR (P0) pro "kg"]]</f>
        <v>0</v>
      </c>
      <c r="EM88" s="140">
        <f ca="1">RZ[Úroveň 4 bez koef. (P3a)]*RZ[[#This Row],[Počet MJCR (P0) pro "kg"]]</f>
        <v>0</v>
      </c>
      <c r="EN88" s="140">
        <f ca="1">IF(OFFSET(BB88,1,0,1,1)&lt;&gt;0,RZ[[#This Row],[Koeficient odhadu CR '[-'] (P1)]]*$BK88*SUMIFS(RZ[Úroveň 5 s koef. (P3)],RZ[0],AX88,RZ[Úroveň 2 (P0)],AY88,RZ[Úroveň 3 (P0)],AZ88,RZ[Úroveň 4 (P0)],BA88),RZ[[#This Row],[Koeficient odhadu CR '[-'] (P1)]]*$BK88*$IQ88)</f>
        <v>0</v>
      </c>
      <c r="EO88" s="140">
        <f ca="1">IF(OFFSET(BB88,1,0,1,1)&lt;&gt;0,$BK88*SUMIFS(RZ[Úroveň 5 bez koef. (P3)],RZ[0],AX88,RZ[Úroveň 2 (P0)],AY88,RZ[Úroveň 3 (P0)],AZ88,RZ[Úroveň 4 (P0)],BA88),$BK88*$IQ88)</f>
        <v>0</v>
      </c>
      <c r="EP88" s="135">
        <f ca="1">RZ[[#This Row],[Úroveň 5 s koef. (P3a)]]*RZ[[#This Row],[Počet MJCR (P0) pro "kg"]]</f>
        <v>0</v>
      </c>
      <c r="EQ88" s="135">
        <f ca="1">RZ[Úroveň 5 bez koef. (P3a)]*RZ[[#This Row],[Počet MJCR (P0) pro "kg"]]</f>
        <v>0</v>
      </c>
      <c r="ER88" s="135">
        <f ca="1">IF(OFFSET(BC88,1,0,1,1)&lt;&gt;0,RZ[[#This Row],[Koeficient odhadu CR '[-'] (P1)]]*$BL88*SUMIFS(RZ[Úroveň 6 s koef. (P3)],RZ[0],AX88,RZ[Úroveň 2 (P0)],AY88,RZ[Úroveň 3 (P0)],AZ88,RZ[Úroveň 4 (P0)],BA88,RZ[Úroveň 5 (P0)],BB88),RZ[[#This Row],[Koeficient odhadu CR '[-'] (P1)]]*$BL88*$IQ88)</f>
        <v>0</v>
      </c>
      <c r="ES88" s="135">
        <f ca="1">IF(OFFSET(BC88,1,0,1,1)&lt;&gt;0,$BL88*SUMIFS(RZ[Úroveň 6 bez koef. (P3)],RZ[0],AX88,RZ[Úroveň 2 (P0)],AY88,RZ[Úroveň 3 (P0)],AZ88,RZ[Úroveň 4 (P0)],BA88,RZ[Úroveň 5 (P0)],BB88),$BL88*$IQ88)</f>
        <v>0</v>
      </c>
      <c r="ET88" s="140">
        <f ca="1">RZ[[#This Row],[Úroveň 6 s koef. (P3a)]]*RZ[[#This Row],[Počet MJCR (P0) pro "kg"]]</f>
        <v>0</v>
      </c>
      <c r="EU88" s="140">
        <f ca="1">RZ[Úroveň 6 bez koef. (P3a)]*RZ[[#This Row],[Počet MJCR (P0) pro "kg"]]</f>
        <v>0</v>
      </c>
      <c r="EV88" s="140">
        <f ca="1">IF(OFFSET(BD88,1,0,1,1)&lt;&gt;0,RZ[[#This Row],[Koeficient odhadu CR '[-'] (P1)]]*$BM88*SUMIFS(RZ[Úroveň 7 s koef. (P3)],RZ[0],AX88,RZ[Úroveň 2 (P0)],AY88,RZ[Úroveň 3 (P0)],AZ88,RZ[Úroveň 4 (P0)],BA88,RZ[Úroveň 5 (P0)],BB88,RZ[Úroveň 6 (P0)],BC88),RZ[[#This Row],[Koeficient odhadu CR '[-'] (P1)]]*$BM88*$IQ88)</f>
        <v>0</v>
      </c>
      <c r="EW88" s="140">
        <f ca="1">IF(OFFSET(BD88,1,0,1,1)&lt;&gt;0,$BM88*SUMIFS(RZ[Úroveň 7 bez koef. (P3)],RZ[0],AX88,RZ[Úroveň 2 (P0)],AY88,RZ[Úroveň 3 (P0)],AZ88,RZ[Úroveň 4 (P0)],BA88,RZ[Úroveň 5 (P0)],BB88,RZ[Úroveň 6 (P0)],BC88),$BM88*$IQ88)</f>
        <v>0</v>
      </c>
      <c r="EX88" s="135">
        <f ca="1">RZ[[#This Row],[Úroveň 7 s koef. (P3a)]]*RZ[[#This Row],[Počet MJCR (P0) pro "kg"]]</f>
        <v>0</v>
      </c>
      <c r="EY88" s="135">
        <f ca="1">RZ[Úroveň 7 bez koef. (P3a)]*RZ[[#This Row],[Počet MJCR (P0) pro "kg"]]</f>
        <v>0</v>
      </c>
      <c r="EZ88" s="135">
        <f ca="1">IF(OFFSET(BE88,1,0,1,1)&lt;&gt;0,RZ[[#This Row],[Koeficient odhadu CR '[-'] (P1)]]*$BN88*SUMIFS(RZ[Úroveň 8 s koef. (P3)],RZ[0],AX88,RZ[Úroveň 2 (P0)],AY88,RZ[Úroveň 3 (P0)],AZ88,RZ[Úroveň 4 (P0)],BA88,RZ[Úroveň 5 (P0)],BB88,RZ[Úroveň 6 (P0)],BC88,RZ[Úroveň 7 (P0)],BD88),RZ[[#This Row],[Koeficient odhadu CR '[-'] (P1)]]*$BN88*$IQ88)</f>
        <v>0</v>
      </c>
      <c r="FA88" s="135">
        <f ca="1">IF(OFFSET(BE88,1,0,1,1)&lt;&gt;0,$BN88*SUMIFS(RZ[Úroveň 8 bez koef. (P3)],RZ[0],AX88,RZ[Úroveň 2 (P0)],AY88,RZ[Úroveň 3 (P0)],AZ88,RZ[Úroveň 4 (P0)],BA88,RZ[Úroveň 5 (P0)],BB88,RZ[Úroveň 6 (P0)],BC88,RZ[Úroveň 7 (P0)],BD88),$BN88*$IQ88)</f>
        <v>0</v>
      </c>
      <c r="FB88" s="140">
        <f ca="1">RZ[[#This Row],[Úroveň 8 s koef. (P3a)]]*RZ[[#This Row],[Počet MJCR (P0) pro "kg"]]</f>
        <v>0</v>
      </c>
      <c r="FC88" s="140">
        <f ca="1">RZ[Úroveň 8 bez koef. (P3a)]*RZ[[#This Row],[Počet MJCR (P0) pro "kg"]]</f>
        <v>0</v>
      </c>
      <c r="FD88" s="140">
        <f ca="1">IF(OFFSET(BF88,1,0,1,1)&lt;&gt;0,RZ[[#This Row],[Koeficient odhadu CR '[-'] (P1)]]*$BO88*SUMIFS(RZ[Úroveň 9 s koef. (P3)],RZ[0],AX88,RZ[Úroveň 2 (P0)],AY88,RZ[Úroveň 3 (P0)],AZ88,RZ[Úroveň 4 (P0)],BA88,RZ[Úroveň 5 (P0)],BB88,RZ[Úroveň 6 (P0)],BC88,RZ[Úroveň 7 (P0)],BD88,RZ[Úroveň 8 (P0)],BE88),RZ[[#This Row],[Koeficient odhadu CR '[-'] (P1)]]*$BO88*$IQ88)</f>
        <v>0</v>
      </c>
      <c r="FE88" s="140">
        <f ca="1">IF(OFFSET(BF88,1,0,1,1)&lt;&gt;0,$BO88*SUMIFS(RZ[Úroveň 9 bez koef. (P3)],RZ[0],AX88,RZ[Úroveň 2 (P0)],AY88,RZ[Úroveň 3 (P0)],AZ88,RZ[Úroveň 4 (P0)],BA88,RZ[Úroveň 5 (P0)],BB88,RZ[Úroveň 6 (P0)],BC88,RZ[Úroveň 7 (P0)],BD88,RZ[Úroveň 8 (P0)],BE88),$BO88*$IQ88)</f>
        <v>0</v>
      </c>
      <c r="FF88" s="135">
        <f ca="1">RZ[[#This Row],[Úroveň 9 s koef. (P3a)]]*RZ[[#This Row],[Počet MJCR (P0) pro "kg"]]</f>
        <v>0</v>
      </c>
      <c r="FG88" s="135">
        <f ca="1">RZ[Úroveň 9 bez koef. (P3a)]*RZ[[#This Row],[Počet MJCR (P0) pro "kg"]]</f>
        <v>0</v>
      </c>
      <c r="FH88" s="135">
        <f ca="1">IF(OFFSET(BG88,1,0,1,1)&lt;&gt;0,RZ[[#This Row],[Koeficient odhadu CR '[-'] (P1)]]*$BP88*SUMIFS(RZ[Úroveň 10 s koef. (P3)],RZ[0],AX88,RZ[Úroveň 2 (P0)],AY88,RZ[Úroveň 3 (P0)],AZ88,RZ[Úroveň 4 (P0)],BA88,RZ[Úroveň 5 (P0)],BB88,RZ[Úroveň 6 (P0)],BC88,RZ[Úroveň 7 (P0)],BD88,RZ[Úroveň 8 (P0)],BE88,RZ[Úroveň 9 (P0)],BF88),RZ[[#This Row],[Koeficient odhadu CR '[-'] (P1)]]*$BP88*$IQ88)</f>
        <v>0</v>
      </c>
      <c r="FI88" s="135">
        <f ca="1">IF(OFFSET(BG88,1,0,1,1)&lt;&gt;0,$BP88*SUMIFS(RZ[Úroveň 10 bez koef. (P3)],RZ[0],AX88,RZ[Úroveň 2 (P0)],AY88,RZ[Úroveň 3 (P0)],AZ88,RZ[Úroveň 4 (P0)],BA88,RZ[Úroveň 5 (P0)],BB88,RZ[Úroveň 6 (P0)],BC88,RZ[Úroveň 7 (P0)],BD88,RZ[Úroveň 8 (P0)],BE88,RZ[Úroveň 9 (P0)],BF88),$BP88*$IQ88)</f>
        <v>0</v>
      </c>
      <c r="FJ88" s="140">
        <f ca="1">RZ[[#This Row],[Úroveň 10 s koef. (P3a)]]*RZ[[#This Row],[Počet MJCR (P0) pro "kg"]]</f>
        <v>0</v>
      </c>
      <c r="FK88" s="140">
        <f ca="1">RZ[Úroveň 10 bez koef. (P3a)]*RZ[[#This Row],[Počet MJCR (P0) pro "kg"]]</f>
        <v>0</v>
      </c>
      <c r="FL88" s="140">
        <f ca="1">RZ[[#This Row],[Koeficient odhadu CR '[-'] (P1)]]*$BQ88*IQ88</f>
        <v>0</v>
      </c>
      <c r="FM88" s="236">
        <f t="shared" ca="1" si="536"/>
        <v>0</v>
      </c>
      <c r="FN88" s="194">
        <f t="shared" ca="1" si="537"/>
        <v>110</v>
      </c>
      <c r="FO88" s="238">
        <f t="shared" ca="1" si="538"/>
        <v>110</v>
      </c>
      <c r="FP88" s="135">
        <f t="shared" ca="1" si="539"/>
        <v>0</v>
      </c>
      <c r="FQ88" s="135">
        <f t="shared" ca="1" si="540"/>
        <v>0</v>
      </c>
      <c r="FR88" s="135">
        <f t="shared" ca="1" si="541"/>
        <v>154.1</v>
      </c>
      <c r="FS88" s="135">
        <f t="shared" ca="1" si="542"/>
        <v>0</v>
      </c>
      <c r="FT88" s="135">
        <f t="shared" ca="1" si="543"/>
        <v>0</v>
      </c>
      <c r="FU88" s="135">
        <f t="shared" ca="1" si="544"/>
        <v>0</v>
      </c>
      <c r="FV88" s="135">
        <f t="shared" ca="1" si="545"/>
        <v>0</v>
      </c>
      <c r="FW88" s="135">
        <f t="shared" ca="1" si="546"/>
        <v>0</v>
      </c>
      <c r="FX88" s="135">
        <f t="shared" ca="1" si="547"/>
        <v>0</v>
      </c>
      <c r="FY88" s="135">
        <f t="shared" ca="1" si="548"/>
        <v>0</v>
      </c>
      <c r="FZ88" s="140">
        <f ca="1">SUMIFS(RZ[Úroveň 1 (P6)],RZ[0],AX88)</f>
        <v>1</v>
      </c>
      <c r="GA88" s="140">
        <f ca="1">SUMIFS(RZ[Úroveň 2 (P6)],RZ[0],AX88,RZ[Úroveň 2 (P0)],AY88)</f>
        <v>1</v>
      </c>
      <c r="GB88" s="140">
        <f ca="1">SUMIFS(RZ[Úroveň 3 (P6)],RZ[0],AX88,RZ[Úroveň 2 (P0)],AY88,RZ[Úroveň 3 (P0)],AZ88)</f>
        <v>154.1</v>
      </c>
      <c r="GC88" s="140">
        <f ca="1">SUMIFS(RZ[Úroveň 4 (P6)],RZ[0],AX88,RZ[Úroveň 2 (P0)],AY88,RZ[Úroveň 3 (P0)],AZ88,RZ[Úroveň 4 (P0)],BA88)</f>
        <v>0</v>
      </c>
      <c r="GD88" s="140">
        <f ca="1">SUMIFS(RZ[Úroveň 5 (P6)],RZ[0],AX88,RZ[Úroveň 2 (P0)],AY88,RZ[Úroveň 3 (P0)],AZ88,RZ[Úroveň 4 (P0)],BA88,RZ[Úroveň 5 (P0)],BB88)</f>
        <v>0</v>
      </c>
      <c r="GE88" s="140">
        <f ca="1">SUMIFS(RZ[Úroveň 6 (P6)],RZ[0],AX88,RZ[Úroveň 2 (P0)],AY88,RZ[Úroveň 3 (P0)],AZ88,RZ[Úroveň 4 (P0)],BA88,RZ[Úroveň 5 (P0)],BB88,RZ[Úroveň 6 (P0)],BC88)</f>
        <v>0</v>
      </c>
      <c r="GF88" s="140">
        <f ca="1">SUMIFS(RZ[Úroveň 7 (P6)],RZ[0],AX88,RZ[Úroveň 2 (P0)],AY88,RZ[Úroveň 3 (P0)],AZ88,RZ[Úroveň 4 (P0)],BA88,RZ[Úroveň 5 (P0)],BB88,RZ[Úroveň 6 (P0)],BC88,RZ[Úroveň 7 (P0)],BD88)</f>
        <v>0</v>
      </c>
      <c r="GG88" s="140">
        <f ca="1">SUMIFS(RZ[Úroveň 8 (P6)],RZ[0],AX88,RZ[Úroveň 2 (P0)],AY88,RZ[Úroveň 3 (P0)],AZ88,RZ[Úroveň 4 (P0)],BA88,RZ[Úroveň 5 (P0)],BB88,RZ[Úroveň 6 (P0)],BC88,RZ[Úroveň 7 (P0)],BD88,RZ[Úroveň 8 (P0)],BE88)</f>
        <v>0</v>
      </c>
      <c r="GH88" s="140">
        <f ca="1">SUMIFS(RZ[Úroveň 9 (P6)],RZ[0],AX88,RZ[Úroveň 2 (P0)],AY88,RZ[Úroveň 3 (P0)],AZ88,RZ[Úroveň 4 (P0)],BA88,RZ[Úroveň 5 (P0)],BB88,RZ[Úroveň 6 (P0)],BC88,RZ[Úroveň 7 (P0)],BD88,RZ[Úroveň 8 (P0)],BE88,RZ[Úroveň 9 (P0)],BF88)</f>
        <v>0</v>
      </c>
      <c r="GI88" s="140">
        <f ca="1">SUMIFS(RZ[Úroveň 10 (P6)],RZ[0],AX88,RZ[Úroveň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GJ88" s="918">
        <f t="shared" ca="1" si="549"/>
        <v>154.1</v>
      </c>
      <c r="GK88" s="808">
        <f t="shared" si="550"/>
        <v>0</v>
      </c>
      <c r="GL88" s="808">
        <f t="shared" si="551"/>
        <v>0</v>
      </c>
      <c r="GM88" s="808">
        <f t="shared" si="552"/>
        <v>1</v>
      </c>
      <c r="GN88" s="808">
        <f t="shared" si="553"/>
        <v>0</v>
      </c>
      <c r="GO88" s="808">
        <f t="shared" si="554"/>
        <v>0</v>
      </c>
      <c r="GP88" s="808">
        <f t="shared" si="555"/>
        <v>0</v>
      </c>
      <c r="GQ88" s="808">
        <f t="shared" si="556"/>
        <v>0</v>
      </c>
      <c r="GR88" s="808">
        <f t="shared" si="557"/>
        <v>0</v>
      </c>
      <c r="GS88" s="808">
        <f t="shared" si="558"/>
        <v>0</v>
      </c>
      <c r="GT88" s="808">
        <f t="shared" si="559"/>
        <v>0</v>
      </c>
      <c r="GU88" s="809">
        <f ca="1">SUMIFS(RZ[Sloupec1],RZ[0],AX88)</f>
        <v>1</v>
      </c>
      <c r="GV88" s="809">
        <f ca="1">SUMIFS(RZ[Sloupec2],RZ[0],AX88,RZ[Úroveň 2 (P0)],AY88)</f>
        <v>1</v>
      </c>
      <c r="GW88" s="809">
        <f ca="1">SUMIFS(RZ[Sloupec3],RZ[0],AX88,RZ[Úroveň 2 (P0)],AY88,RZ[Úroveň 3 (P0)],AZ88)</f>
        <v>1</v>
      </c>
      <c r="GX88" s="809">
        <f ca="1">SUMIFS(RZ[Sloupec4],RZ[0],AX88,RZ[Úroveň 2 (P0)],AY88,RZ[Úroveň 3 (P0)],AZ88,RZ[Úroveň 4 (P0)],BA88)</f>
        <v>0</v>
      </c>
      <c r="GY88" s="809">
        <f ca="1">SUMIFS(RZ[Sloupec5],RZ[0],AX88,RZ[Úroveň 2 (P0)],AY88,RZ[Úroveň 3 (P0)],AZ88,RZ[Úroveň 4 (P0)],BA88,RZ[Úroveň 5 (P0)],BB88)</f>
        <v>0</v>
      </c>
      <c r="GZ88" s="809">
        <f ca="1">SUMIFS(RZ[Sloupec6],RZ[0],AX88,RZ[Úroveň 2 (P0)],AY88,RZ[Úroveň 3 (P0)],AZ88,RZ[Úroveň 4 (P0)],BA88,RZ[Úroveň 5 (P0)],BB88,RZ[Úroveň 6 (P0)],BC88)</f>
        <v>0</v>
      </c>
      <c r="HA88" s="809">
        <f ca="1">SUMIFS(RZ[Sloupec62],RZ[0],AX88,RZ[Úroveň 2 (P0)],AY88,RZ[Úroveň 3 (P0)],AZ88,RZ[Úroveň 4 (P0)],BA88,RZ[Úroveň 5 (P0)],BB88,RZ[Úroveň 6 (P0)],BC88,RZ[Úroveň 7 (P0)],BD88)</f>
        <v>0</v>
      </c>
      <c r="HB88" s="809">
        <f ca="1">SUMIFS(RZ[Sloupec63],RZ[0],AX88,RZ[Úroveň 2 (P0)],AY88,RZ[Úroveň 3 (P0)],AZ88,RZ[Úroveň 4 (P0)],BA88,RZ[Úroveň 5 (P0)],BB88,RZ[Úroveň 6 (P0)],BC88,RZ[Úroveň 7 (P0)],BD88,RZ[Úroveň 8 (P0)],BE88)</f>
        <v>0</v>
      </c>
      <c r="HC88" s="809">
        <f ca="1">SUMIFS(RZ[Sloupec64],RZ[0],AX88,RZ[Úroveň 2 (P0)],AY88,RZ[Úroveň 3 (P0)],AZ88,RZ[Úroveň 4 (P0)],BA88,RZ[Úroveň 5 (P0)],BB88,RZ[Úroveň 6 (P0)],BC88,RZ[Úroveň 7 (P0)],BD88,RZ[Úroveň 8 (P0)],BE88,RZ[Úroveň 9 (P0)],BF88)</f>
        <v>0</v>
      </c>
      <c r="HD88" s="809">
        <f ca="1">SUMIFS(RZ[Sloupec65],RZ[0],AX88,RZ[Úroveň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HE88" s="919">
        <f t="shared" ca="1" si="560"/>
        <v>1</v>
      </c>
      <c r="HF88" s="920" t="str">
        <f t="shared" si="561"/>
        <v/>
      </c>
      <c r="HG88" s="94" t="str">
        <f t="shared" si="562"/>
        <v/>
      </c>
      <c r="HH88" s="95" t="str">
        <f t="shared" si="563"/>
        <v/>
      </c>
      <c r="HI88" s="95" t="str">
        <f t="shared" si="564"/>
        <v>Kryt</v>
      </c>
      <c r="HJ88" s="96" t="str">
        <f t="shared" si="565"/>
        <v/>
      </c>
      <c r="HK88" s="96" t="str">
        <f t="shared" si="566"/>
        <v/>
      </c>
      <c r="HL88" s="96" t="str">
        <f t="shared" si="567"/>
        <v/>
      </c>
      <c r="HM88" s="96" t="str">
        <f t="shared" si="568"/>
        <v/>
      </c>
      <c r="HN88" s="96" t="str">
        <f t="shared" si="569"/>
        <v/>
      </c>
      <c r="HO88" s="96" t="str">
        <f t="shared" si="570"/>
        <v/>
      </c>
      <c r="HP88" s="96" t="str">
        <f t="shared" si="571"/>
        <v/>
      </c>
      <c r="HQ88" s="145" t="str">
        <f t="shared" si="572"/>
        <v>OKS2</v>
      </c>
      <c r="HR88" s="921" t="str">
        <f t="shared" si="573"/>
        <v/>
      </c>
      <c r="HS88" s="173">
        <f t="shared" si="574"/>
        <v>0</v>
      </c>
      <c r="HT88" s="100">
        <f t="shared" si="575"/>
        <v>0</v>
      </c>
      <c r="HU88" s="100">
        <f t="shared" si="576"/>
        <v>0</v>
      </c>
      <c r="HV88" s="908">
        <f t="shared" si="577"/>
        <v>0</v>
      </c>
      <c r="HW88" s="922">
        <f t="shared" si="578"/>
        <v>0</v>
      </c>
      <c r="HX88" s="224">
        <f t="shared" si="579"/>
        <v>0</v>
      </c>
      <c r="HY88" s="263" t="str">
        <f t="shared" si="580"/>
        <v>S</v>
      </c>
      <c r="HZ88" s="263">
        <f t="shared" si="581"/>
        <v>0</v>
      </c>
      <c r="IA88" s="150">
        <f t="shared" si="582"/>
        <v>1</v>
      </c>
      <c r="IB88" s="319">
        <f t="shared" si="583"/>
        <v>0</v>
      </c>
      <c r="IC88" s="923">
        <f t="shared" si="584"/>
        <v>0</v>
      </c>
      <c r="ID88" s="924" t="str">
        <f t="shared" ca="1" si="585"/>
        <v>OK</v>
      </c>
      <c r="IE88" s="201" t="str">
        <f t="shared" si="586"/>
        <v>ks</v>
      </c>
      <c r="IF88" s="145">
        <f t="shared" si="587"/>
        <v>1</v>
      </c>
      <c r="IG88" s="216">
        <f t="shared" si="588"/>
        <v>154.1</v>
      </c>
      <c r="IH88" s="217">
        <f t="shared" si="589"/>
        <v>1</v>
      </c>
      <c r="II88" s="224" t="str">
        <f ca="1">IF(RZ[[#This Row],[Rozhodný sloupec indikativní ceny]]=1,"kg",IF($IW88=$JL$15,IF(JX88=0,JO88,JX88),IF($IW88=$KE$15,IF(KQ88=0,KH88,KQ88),IF($IW88=$KX$15,IF(LJ88=0,LA88,LJ88),IF($IW88=$LQ$15,IF(MC88=0,LT88,MC88),IF($IW88=$MJ$15,IF(NQ88=0,NH88,NQ88),0))))))</f>
        <v>kg</v>
      </c>
      <c r="IJ88" s="224">
        <f ca="1">IF((BH88+OFFSET(BH88,1,1,1,1))=2,RZ[[#This Row],[Počet MJHR (P0)]],IF((BI88+OFFSET(BI88,1,1,1,1))=2,RZ[[#This Row],[Počet MJHR (P0)]],IF((BJ88+OFFSET(BJ88,1,1,1,1))=2,RZ[[#This Row],[Počet MJHR (P0)]],IF((BK88+OFFSET(BK88,1,1,1,1))=2,RZ[[#This Row],[Počet MJHR (P0)]],IF((BL88+OFFSET(BL88,1,1,1,1))=2,RZ[[#This Row],[Počet MJHR (P0)]],IF((BM88+OFFSET(BM88,1,1,1,1))=2,RZ[[#This Row],[Počet MJHR (P0)]],IF((BN88+OFFSET(BN88,1,1,1,1))=2,RZ[[#This Row],[Počet MJHR (P0)]],IF((BO88+OFFSET(BO88,1,1,1,1))=2,RZ[[#This Row],[Počet MJHR (P0)]],IF((BP88+OFFSET(BP88,1,1,1,1))=2,RZ[[#This Row],[Počet MJHR (P0)]],IF((BQ88+OFFSET(BQ88,1,1,1,1))=2,RZ[[#This Row],[Počet MJHR (P0)]],IF(RZ[[#This Row],[Měrná jednotka CR (MJCR) (P0)]]=RZ[[#This Row],[Měrná jednotka HR '[MJHR'] (P0)]],RZ[[#This Row],[Počet MJHR (P0)]],IF($IW88=$JL$15,JY88,IF($IW88=$KE$15,KR88,IF($IW88=$KX$15,LK88,IF($IW88=$LQ$15,MD88,IF($IW88=$MJ$15,NR88,0))))))))))))))))</f>
        <v>0</v>
      </c>
      <c r="IK8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88" s="145">
        <f ca="1">IF(AND(RZ[[#This Row],[Jednotková cena bez DPH '[cena/MJCR'] (P0)]]=0,RZ[[#This Row],[Indikativní jednotková cena '[CZK/kg'] (P1)]]&lt;&gt;0),1,0)</f>
        <v>1</v>
      </c>
      <c r="IM88" s="217">
        <f ca="1">VLOOKUP(RZ[[#This Row],[Kód položek]],INDIKAT_CENA,2,FALSE)</f>
        <v>110</v>
      </c>
      <c r="IN88" s="222">
        <f ca="1">IF(RZ[[#This Row],[Rozhodný sloupec indikativní ceny]]=1,RZ[[#This Row],[Indikativní jednotková cena '[CZK/kg'] (P1)]],RZ[[#This Row],[Jednotková cena bez DPH '[cena/MJCR'] (P0)]])</f>
        <v>110</v>
      </c>
      <c r="IO88" s="222">
        <f t="shared" si="590"/>
        <v>1</v>
      </c>
      <c r="IP88" s="224">
        <f ca="1">IF(RZ[[#This Row],[Rozhodný sloupec indikativní ceny]]=1,1,IF($IW88=$JL$15,KA88,IF($IW88=$KE$15,KT88,IF($IW88=$KX$15,LM88,IF($IW88=$LQ$15,MF88,IF($IW88=$MJ$15,NT88,0))))))</f>
        <v>1</v>
      </c>
      <c r="IQ88" s="225">
        <f ca="1">IF(RZ[[#This Row],[Jednotková cena bez DPH '[cena/MJCR'] (P1)]]="",0,IF(IP88=0,0,(RZ[[#This Row],[Jednotková cena bez DPH '[cena/MJCR'] (P1)]]*VLOOKUP(IP88,$BR$7:$BT$10,3))))</f>
        <v>110</v>
      </c>
      <c r="IR88" s="737"/>
      <c r="IS88" s="627">
        <f>IF(HY88=0,"",VLOOKUP(RZ[[#This Row],[Stav Projekce (P0)]],Vstupy!$E$11:'Vstupy'!$E$11:$H$17,4,FALSE))</f>
        <v>100</v>
      </c>
      <c r="IT88" s="925" t="str">
        <f>IF(RZ[[#This Row],[Stav Projekce (P0)]]=0,"",RZ[[#This Row],[Stav Projekce (P0)]])</f>
        <v>S</v>
      </c>
      <c r="IU88" s="925" t="str">
        <f>IF(RZ[[#This Row],[Stav Nákup (P0)]]=0,"",RZ[[#This Row],[Stav Nákup (P0)]])</f>
        <v/>
      </c>
      <c r="IV88" s="926" t="str">
        <f t="shared" si="591"/>
        <v/>
      </c>
      <c r="IW88" s="641">
        <v>1</v>
      </c>
      <c r="IX88" s="630"/>
      <c r="IY88" s="264"/>
      <c r="IZ88" s="648"/>
      <c r="JA88" s="100"/>
      <c r="JB88" s="100" t="s">
        <v>795</v>
      </c>
      <c r="JC88" s="100"/>
      <c r="JD88" s="100"/>
      <c r="JE88" s="100"/>
      <c r="JF88" s="100"/>
      <c r="JG88" s="100"/>
      <c r="JH88" s="100"/>
      <c r="JI88" s="100"/>
      <c r="JJ88" s="145" t="s">
        <v>768</v>
      </c>
      <c r="JK88" s="529"/>
      <c r="JL88" s="286"/>
      <c r="JM88" s="100"/>
      <c r="JN88" s="100"/>
      <c r="JO88" s="145" t="s">
        <v>35</v>
      </c>
      <c r="JP88" s="117">
        <v>1</v>
      </c>
      <c r="JQ88" s="117">
        <v>154.1</v>
      </c>
      <c r="JR88" s="148">
        <v>1</v>
      </c>
      <c r="JS88" s="145" t="s">
        <v>602</v>
      </c>
      <c r="JT88" s="631"/>
      <c r="JU88" s="148"/>
      <c r="JV88" s="154"/>
      <c r="JW88" s="145"/>
      <c r="JX88" s="210"/>
      <c r="JY88" s="117"/>
      <c r="JZ88" s="662"/>
      <c r="KA88" s="145"/>
      <c r="KB88" s="148"/>
      <c r="KC88" s="148"/>
      <c r="KD88" s="644"/>
      <c r="KE88" s="286"/>
      <c r="KF88" s="100"/>
      <c r="KG88" s="100"/>
      <c r="KH88" s="210"/>
      <c r="KI88" s="117"/>
      <c r="KJ88" s="117"/>
      <c r="KK88" s="148"/>
      <c r="KL88" s="145"/>
      <c r="KM88" s="632"/>
      <c r="KN88" s="148"/>
      <c r="KO88" s="154"/>
      <c r="KP88" s="154"/>
      <c r="KQ88" s="210"/>
      <c r="KR88" s="117"/>
      <c r="KS88" s="211"/>
      <c r="KT88" s="145"/>
      <c r="KU88" s="148"/>
      <c r="KV88" s="148"/>
      <c r="KW88" s="265"/>
      <c r="KX88" s="286"/>
      <c r="KY88" s="100"/>
      <c r="KZ88" s="100"/>
      <c r="LA88" s="210"/>
      <c r="LB88" s="117"/>
      <c r="LC88" s="117"/>
      <c r="LD88" s="148"/>
      <c r="LE88" s="145"/>
      <c r="LF88" s="632"/>
      <c r="LG88" s="148"/>
      <c r="LH88" s="154"/>
      <c r="LI88" s="154"/>
      <c r="LJ88" s="154"/>
      <c r="LK88" s="117"/>
      <c r="LL88" s="211"/>
      <c r="LM88" s="210"/>
      <c r="LN88" s="148"/>
      <c r="LO88" s="148"/>
      <c r="LP88" s="265"/>
      <c r="LQ88" s="286"/>
      <c r="LR88" s="100"/>
      <c r="LS88" s="100"/>
      <c r="LT88" s="210"/>
      <c r="LU88" s="117"/>
      <c r="LV88" s="117"/>
      <c r="LW88" s="148"/>
      <c r="LX88" s="145"/>
      <c r="LY88" s="632"/>
      <c r="LZ88" s="148"/>
      <c r="MA88" s="154"/>
      <c r="MB88" s="154"/>
      <c r="MC88" s="145"/>
      <c r="MD88" s="117"/>
      <c r="ME88" s="211"/>
      <c r="MF88" s="210"/>
      <c r="MG88" s="148"/>
      <c r="MH88" s="148"/>
      <c r="MI88" s="265"/>
      <c r="MJ88" s="647"/>
      <c r="MK88" s="264"/>
      <c r="ML88" s="153"/>
      <c r="MM88" s="153"/>
      <c r="MN88" s="153"/>
      <c r="MO88" s="153"/>
      <c r="MP88" s="153"/>
      <c r="MQ88" s="153"/>
      <c r="MR88" s="153"/>
      <c r="MS88" s="99"/>
      <c r="MT88" s="99"/>
      <c r="MU88" s="99"/>
      <c r="MV88" s="99"/>
      <c r="MW88" s="99"/>
      <c r="MX88" s="99"/>
      <c r="MY88" s="153"/>
      <c r="MZ88" s="153"/>
      <c r="NA88" s="153"/>
      <c r="NB88" s="153"/>
      <c r="NC88" s="153"/>
      <c r="ND88" s="153"/>
      <c r="NE88" s="148"/>
      <c r="NF88" s="153"/>
      <c r="NG88" s="153"/>
      <c r="NH88" s="330" t="str">
        <f t="shared" si="592"/>
        <v>ks</v>
      </c>
      <c r="NI88" s="797">
        <f>RZ[[#This Row],[Počet ks (K)]]</f>
        <v>0</v>
      </c>
      <c r="NJ88" s="798">
        <f>RZ[[#This Row],[Hmotnost '[kg/ks'] (K)]]</f>
        <v>0</v>
      </c>
      <c r="NK88" s="148"/>
      <c r="NL88" s="145"/>
      <c r="NM88" s="632"/>
      <c r="NN88" s="148"/>
      <c r="NO88" s="154"/>
      <c r="NP88" s="153"/>
      <c r="NQ88" s="153"/>
      <c r="NR88" s="210"/>
      <c r="NS88" s="148"/>
      <c r="NT88" s="210"/>
      <c r="NU88" s="148"/>
      <c r="NV88" s="148"/>
      <c r="NW88" s="175"/>
    </row>
    <row r="89" spans="2:387" ht="15.95" customHeight="1" x14ac:dyDescent="0.35">
      <c r="B89" s="118" t="str">
        <f t="shared" si="476"/>
        <v/>
      </c>
      <c r="C8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9" s="262" t="str">
        <f t="shared" si="477"/>
        <v xml:space="preserve">    Kryt</v>
      </c>
      <c r="E89" s="120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Row],[Kód položek (P2)]]))))))))))</f>
        <v>OKS2</v>
      </c>
      <c r="F89" s="791" t="str">
        <f t="shared" si="478"/>
        <v>N/A</v>
      </c>
      <c r="G89" s="792" t="str">
        <f t="shared" si="479"/>
        <v/>
      </c>
      <c r="H89" s="262" t="str">
        <f t="shared" si="480"/>
        <v/>
      </c>
      <c r="I89" s="123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HR '[MJHR'] (P0)]]))))))))))</f>
        <v>ks</v>
      </c>
      <c r="J89" s="123">
        <f t="shared" si="481"/>
        <v>1</v>
      </c>
      <c r="K89" s="793">
        <f>RZ[[#This Row],[Koeficient odhadu HR '[-'] (P1)]]</f>
        <v>1</v>
      </c>
      <c r="L89" s="124">
        <f ca="1">RZ[[#This Row],[Jednotková hmotnost s koef. '[kg/MJHR'] (P0)]]</f>
        <v>145.5</v>
      </c>
      <c r="M89" s="794">
        <f t="shared" ca="1" si="482"/>
        <v>0</v>
      </c>
      <c r="N89" s="125">
        <f t="shared" ca="1" si="483"/>
        <v>145.5</v>
      </c>
      <c r="O89" s="125">
        <f t="shared" ca="1" si="484"/>
        <v>0</v>
      </c>
      <c r="P89" s="126" t="str">
        <f t="shared" si="485"/>
        <v/>
      </c>
      <c r="Q89" s="795">
        <f ca="1">RZ[[#This Row],[Počet MJHR v rozpadu (P0)]]</f>
        <v>1</v>
      </c>
      <c r="R89" s="439" t="str">
        <f t="shared" si="486"/>
        <v/>
      </c>
      <c r="S89" s="129" t="str">
        <f t="shared" si="487"/>
        <v/>
      </c>
      <c r="T89" s="126" t="str">
        <f t="shared" si="488"/>
        <v/>
      </c>
      <c r="U89" s="126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CR (MJCR) (P0)]]))))))))))</f>
        <v>kg</v>
      </c>
      <c r="V89" s="575">
        <f t="shared" ca="1" si="489"/>
        <v>145.5</v>
      </c>
      <c r="W89" s="322">
        <f>RZ[[#This Row],[Koeficient odhadu CR '[-'] (P1)]]</f>
        <v>1</v>
      </c>
      <c r="X89" s="440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Row],[Jednotková cena bez DPH '[cena/MJCR'] (P1)]]*RZ[[#This Row],[Koeficient odhadu CR '[-']]]))))))))))</f>
        <v>110</v>
      </c>
      <c r="Y89" s="440">
        <f t="shared" ca="1" si="490"/>
        <v>0</v>
      </c>
      <c r="Z89" s="142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VLOOKUP(IP89,$BR$7:$BS$11,2,FALSE)))))))))))</f>
        <v>CZK</v>
      </c>
      <c r="AA89" s="909">
        <f t="shared" ca="1" si="491"/>
        <v>145.5</v>
      </c>
      <c r="AB89" s="910">
        <f ca="1">RZ[[#This Row],[Kumulovaný koeficient v rozpadu (P0)]]</f>
        <v>1</v>
      </c>
      <c r="AC89" s="261"/>
      <c r="AD89" s="796">
        <f ca="1">RZ[[#This Row],[Jednotková cena bez DPH '[cena/MJCR'] s koef. (P0)]]/RZ[[#This Row],[Koeficient odhadu CR '[-']]]*RZ[[#This Row],[Kumulovaný koeficient odhadu CR  '[-']]]</f>
        <v>110</v>
      </c>
      <c r="AE89" s="796">
        <f t="shared" ca="1" si="492"/>
        <v>16005</v>
      </c>
      <c r="AF89" s="796">
        <f ca="1">-IF(ISNUMBER(AA89),RZ[[#This Row],[Celková cena bez DPH (1)]]-RZ[[#This Row],[Jednotková cena bez DPH '[cena/MJCR'] bez koef. (P0)]]*AA89,0)</f>
        <v>0</v>
      </c>
      <c r="AG8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9" s="261"/>
      <c r="AI89" s="796">
        <f t="shared" ca="1" si="493"/>
        <v>4.0740740740740744</v>
      </c>
      <c r="AJ89" s="796">
        <f t="shared" ca="1" si="494"/>
        <v>592.77777777777783</v>
      </c>
      <c r="AK89" s="796">
        <f t="shared" ca="1" si="495"/>
        <v>0</v>
      </c>
      <c r="AL89" s="753">
        <f ca="1">RZ[[#This Row],[Kilogramová cena bez DPH '[cena/kg'] (1)]]/$AK$13</f>
        <v>4.0740740740740744</v>
      </c>
      <c r="AM89" s="261"/>
      <c r="AN89" s="796">
        <f t="shared" ca="1" si="496"/>
        <v>5.3140096618357493</v>
      </c>
      <c r="AO89" s="796">
        <f t="shared" ca="1" si="497"/>
        <v>773.1884057971015</v>
      </c>
      <c r="AP89" s="796">
        <f t="shared" ca="1" si="498"/>
        <v>0</v>
      </c>
      <c r="AQ89" s="753">
        <f ca="1">RZ[[#This Row],[Kilogramová cena bez DPH '[cena/kg'] (1)]]/$AP$13</f>
        <v>5.3140096618357493</v>
      </c>
      <c r="AR89" s="261"/>
      <c r="AS89" s="796">
        <f t="shared" ca="1" si="499"/>
        <v>3.0087527352297592</v>
      </c>
      <c r="AT89" s="796">
        <f t="shared" ca="1" si="500"/>
        <v>437.77352297592995</v>
      </c>
      <c r="AU89" s="789">
        <f t="shared" ca="1" si="501"/>
        <v>0</v>
      </c>
      <c r="AV89" s="767">
        <f ca="1">RZ[[#This Row],[Kilogramová cena bez DPH '[cena/kg'] (1)]]/$AU$13</f>
        <v>3.0087527352297592</v>
      </c>
      <c r="AW89" s="165"/>
      <c r="AX89" s="911">
        <f t="shared" ca="1" si="502"/>
        <v>2</v>
      </c>
      <c r="AY89" s="111">
        <f t="shared" ca="1" si="503"/>
        <v>3</v>
      </c>
      <c r="AZ89" s="111">
        <f t="shared" ca="1" si="504"/>
        <v>16</v>
      </c>
      <c r="BA89" s="111">
        <f t="shared" ca="1" si="505"/>
        <v>0</v>
      </c>
      <c r="BB89" s="111">
        <f t="shared" ca="1" si="506"/>
        <v>0</v>
      </c>
      <c r="BC89" s="111">
        <f t="shared" ca="1" si="507"/>
        <v>0</v>
      </c>
      <c r="BD89" s="111">
        <f t="shared" ca="1" si="508"/>
        <v>0</v>
      </c>
      <c r="BE89" s="111">
        <f t="shared" ca="1" si="509"/>
        <v>0</v>
      </c>
      <c r="BF89" s="111">
        <f t="shared" ca="1" si="510"/>
        <v>0</v>
      </c>
      <c r="BG89" s="112">
        <f t="shared" ca="1" si="511"/>
        <v>0</v>
      </c>
      <c r="BH89" s="911">
        <f t="shared" si="512"/>
        <v>0</v>
      </c>
      <c r="BI89" s="111">
        <f t="shared" si="513"/>
        <v>0</v>
      </c>
      <c r="BJ89" s="111">
        <f t="shared" si="514"/>
        <v>1</v>
      </c>
      <c r="BK89" s="111">
        <f t="shared" si="515"/>
        <v>0</v>
      </c>
      <c r="BL89" s="111">
        <f t="shared" si="516"/>
        <v>0</v>
      </c>
      <c r="BM89" s="111">
        <f t="shared" si="517"/>
        <v>0</v>
      </c>
      <c r="BN89" s="111">
        <f t="shared" si="518"/>
        <v>0</v>
      </c>
      <c r="BO89" s="111">
        <f t="shared" si="519"/>
        <v>0</v>
      </c>
      <c r="BP89" s="111">
        <f t="shared" si="520"/>
        <v>0</v>
      </c>
      <c r="BQ89" s="112">
        <f t="shared" si="521"/>
        <v>0</v>
      </c>
      <c r="BR89" s="132">
        <f ca="1">IF(OFFSET(AY89,1,0,1,1)&lt;&gt;0,RZ[[#This Row],[Koeficient odhadu HR '[-'] (P1)]]*$BH89*SUMIFS(RZ[Úroveň 2 s koef. (P2)],RZ[0],AX89),RZ[[#This Row],[Koeficient odhadu HR '[-'] (P1)]]*$BH89*$IG89)</f>
        <v>0</v>
      </c>
      <c r="BS89" s="186">
        <f ca="1">IF(OFFSET(AY89,1,0,1,1)&lt;&gt;0,$BH89*SUMIFS(RZ[Úroveň 2 bez koef. (P2)],RZ[0],AX89),$BH89*$IG89)</f>
        <v>0</v>
      </c>
      <c r="BT89" s="138">
        <f ca="1">RZ[[#This Row],[Úroveň 2 s koef. (P2a)]]*RZ[[#This Row],[Počet MJHR (P0)]]</f>
        <v>0</v>
      </c>
      <c r="BU89" s="138">
        <f ca="1">RZ[[#This Row],[Úroveň 2 bez koef. (P2a)]]*RZ[[#This Row],[Počet MJHR (P0)]]</f>
        <v>0</v>
      </c>
      <c r="BV89" s="138">
        <f ca="1">IF(OFFSET(AZ89,1,0,1,1)&lt;&gt;0,RZ[[#This Row],[Koeficient odhadu HR '[-'] (P1)]]*$BI89*SUMIFS(RZ[Úroveň 3 s koef. (P2)],RZ[0],AX89,RZ[Úroveň 2 (P0)],AY89),RZ[[#This Row],[Koeficient odhadu HR '[-'] (P1)]]*$BI89*$IG89)</f>
        <v>0</v>
      </c>
      <c r="BW89" s="138">
        <f ca="1">IF(OFFSET(AZ89,1,0,1,1)&lt;&gt;0,$BI89*SUMIFS(RZ[Úroveň 3 bez koef. (P2)],RZ[0],AX89,RZ[Úroveň 2 (P0)],AY89),$BI89*$IG89)</f>
        <v>0</v>
      </c>
      <c r="BX89" s="132">
        <f ca="1">RZ[[#This Row],[Úroveň 3 s koef. (P2a)]]*RZ[[#This Row],[Počet MJHR (P0)]]</f>
        <v>145.5</v>
      </c>
      <c r="BY89" s="132">
        <f ca="1">RZ[Úroveň 3 bez koef. (P2a)]*RZ[[#This Row],[Počet MJHR (P0)]]</f>
        <v>145.5</v>
      </c>
      <c r="BZ89" s="132">
        <f ca="1">IF(OFFSET(BA89,1,0,1,1)&lt;&gt;0,RZ[[#This Row],[Koeficient odhadu HR '[-'] (P1)]]*$BJ89*SUMIFS(RZ[Úroveň 4 s koef. (P2)],RZ[0],AX89,RZ[Úroveň 2 (P0)],AY89,RZ[Úroveň 3 (P0)],AZ89),RZ[[#This Row],[Koeficient odhadu HR '[-'] (P1)]]*$BJ89*$IG89)</f>
        <v>145.5</v>
      </c>
      <c r="CA89" s="132">
        <f ca="1">IF(OFFSET(BA89,1,0,1,1)&lt;&gt;0,$BJ89*SUMIFS(RZ[Úroveň 4 bez koef. (P2)],RZ[0],AX89,RZ[Úroveň 2 (P0)],AY89,RZ[Úroveň 3 (P0)],AZ89),$BJ89*$IG89)</f>
        <v>145.5</v>
      </c>
      <c r="CB89" s="138">
        <f ca="1">RZ[[#This Row],[Úroveň 4 s koef. (P2a)]]*RZ[[#This Row],[Počet MJHR (P0)]]</f>
        <v>0</v>
      </c>
      <c r="CC89" s="138">
        <f ca="1">RZ[Úroveň 4 bez koef. (P2a)]*RZ[[#This Row],[Počet MJHR (P0)]]</f>
        <v>0</v>
      </c>
      <c r="CD89" s="138">
        <f ca="1">IF(OFFSET(BB89,1,0,1,1)&lt;&gt;0,RZ[[#This Row],[Koeficient odhadu HR '[-'] (P1)]]*$BK89*SUMIFS(RZ[Úroveň 5 s koef. (P2)],RZ[0],AX89,RZ[Úroveň 2 (P0)],AY89,RZ[Úroveň 3 (P0)],AZ89,RZ[Úroveň 4 (P0)],BA89),RZ[[#This Row],[Koeficient odhadu HR '[-'] (P1)]]*$BK89*$IG89)</f>
        <v>0</v>
      </c>
      <c r="CE89" s="138">
        <f ca="1">IF(OFFSET(BB89,1,0,1,1)&lt;&gt;0,$BK89*SUMIFS(RZ[Úroveň 5 bez koef. (P2)],RZ[0],AX89,RZ[Úroveň 2 (P0)],AY89,RZ[Úroveň 3 (P0)],AZ89,RZ[Úroveň 4 (P0)],BA89),$BK89*$IG89)</f>
        <v>0</v>
      </c>
      <c r="CF89" s="132">
        <f ca="1">RZ[[#This Row],[Úroveň 5 s koef. (P2a)]]*RZ[[#This Row],[Počet MJHR (P0)]]</f>
        <v>0</v>
      </c>
      <c r="CG89" s="132">
        <f ca="1">RZ[Úroveň 5 bez koef. (P2a)]*RZ[[#This Row],[Počet MJHR (P0)]]</f>
        <v>0</v>
      </c>
      <c r="CH89" s="132">
        <f ca="1">IF(OFFSET(BC89,1,0,1,1)&lt;&gt;0,RZ[[#This Row],[Koeficient odhadu HR '[-'] (P1)]]*$BL89*SUMIFS(RZ[Úroveň 6 s koef. (P2)],RZ[0],AX89,RZ[Úroveň 2 (P0)],AY89,RZ[Úroveň 3 (P0)],AZ89,RZ[Úroveň 4 (P0)],BA89,RZ[Úroveň 5 (P0)],BB89),RZ[[#This Row],[Koeficient odhadu HR '[-'] (P1)]]*$BL89*$IG89)</f>
        <v>0</v>
      </c>
      <c r="CI89" s="132">
        <f ca="1">IF(OFFSET(BC89,1,0,1,1)&lt;&gt;0,$BL89*SUMIFS(RZ[Úroveň 6 bez koef. (P2)],RZ[0],AX89,RZ[Úroveň 2 (P0)],AY89,RZ[Úroveň 3 (P0)],AZ89,RZ[Úroveň 4 (P0)],BA89,RZ[Úroveň 5 (P0)],BB89),$BL89*$IG89)</f>
        <v>0</v>
      </c>
      <c r="CJ89" s="138">
        <f ca="1">RZ[[#This Row],[Úroveň 6 s koef. (P2a)]]*RZ[[#This Row],[Počet MJHR (P0)]]</f>
        <v>0</v>
      </c>
      <c r="CK89" s="138">
        <f ca="1">RZ[Úroveň 6 bez koef. (P2a)]*RZ[[#This Row],[Počet MJHR (P0)]]</f>
        <v>0</v>
      </c>
      <c r="CL89" s="138">
        <f ca="1">IF(OFFSET(BD89,1,0,1,1)&lt;&gt;0,RZ[[#This Row],[Koeficient odhadu HR '[-'] (P1)]]*$BM89*SUMIFS(RZ[Úroveň 7 s koef. (P2)],RZ[0],AX89,RZ[Úroveň 2 (P0)],AY89,RZ[Úroveň 3 (P0)],AZ89,RZ[Úroveň 4 (P0)],BA89,RZ[Úroveň 5 (P0)],BB89,RZ[Úroveň 6 (P0)],BC89),RZ[[#This Row],[Koeficient odhadu HR '[-'] (P1)]]*$BM89*$IG89)</f>
        <v>0</v>
      </c>
      <c r="CM89" s="138">
        <f ca="1">IF(OFFSET(BD89,1,0,1,1)&lt;&gt;0,$BM89*SUMIFS(RZ[Úroveň 7 bez koef. (P2)],RZ[0],AX89,RZ[Úroveň 2 (P0)],AY89,RZ[Úroveň 3 (P0)],AZ89,RZ[Úroveň 4 (P0)],BA89,RZ[Úroveň 5 (P0)],BB89,RZ[Úroveň 6 (P0)],BC89),$BM89*$IG89)</f>
        <v>0</v>
      </c>
      <c r="CN89" s="132">
        <f ca="1">RZ[[#This Row],[Úroveň 7 s koef. (P2a)]]*RZ[[#This Row],[Počet MJHR (P0)]]</f>
        <v>0</v>
      </c>
      <c r="CO89" s="132">
        <f ca="1">RZ[Úroveň 7 bez koef. (P2a)]*RZ[[#This Row],[Počet MJHR (P0)]]</f>
        <v>0</v>
      </c>
      <c r="CP89" s="132">
        <f ca="1">IF(OFFSET(BE89,1,0,1,1)&lt;&gt;0,RZ[[#This Row],[Koeficient odhadu HR '[-'] (P1)]]*$BN89*SUMIFS(RZ[Úroveň 8 s koef. (P2)],RZ[0],AX89,RZ[Úroveň 2 (P0)],AY89,RZ[Úroveň 3 (P0)],AZ89,RZ[Úroveň 4 (P0)],BA89,RZ[Úroveň 5 (P0)],BB89,RZ[Úroveň 6 (P0)],BC89,RZ[Úroveň 7 (P0)],BD89),RZ[[#This Row],[Koeficient odhadu HR '[-'] (P1)]]*$BN89*$IG89)</f>
        <v>0</v>
      </c>
      <c r="CQ89" s="132">
        <f ca="1">IF(OFFSET(BE89,1,0,1,1)&lt;&gt;0,$BN89*SUMIFS(RZ[Úroveň 8 bez koef. (P2)],RZ[0],AX89,RZ[Úroveň 2 (P0)],AY89,RZ[Úroveň 3 (P0)],AZ89,RZ[Úroveň 4 (P0)],BA89,RZ[Úroveň 5 (P0)],BB89,RZ[Úroveň 6 (P0)],BC89,RZ[Úroveň 7 (P0)],BD89),$BN89*$IG89)</f>
        <v>0</v>
      </c>
      <c r="CR89" s="138">
        <f ca="1">RZ[[#This Row],[Úroveň 8 s koef. (P2a)]]*RZ[[#This Row],[Počet MJHR (P0)]]</f>
        <v>0</v>
      </c>
      <c r="CS89" s="138">
        <f ca="1">RZ[Úroveň 8 bez koef. (P2a)]*RZ[[#This Row],[Počet MJHR (P0)]]</f>
        <v>0</v>
      </c>
      <c r="CT89" s="138">
        <f ca="1">IF(OFFSET(BF89,1,0,1,1)&lt;&gt;0,RZ[[#This Row],[Koeficient odhadu HR '[-'] (P1)]]*$BO89*SUMIFS(RZ[Úroveň 9 s koef. (P2)],RZ[0],AX89,RZ[Úroveň 2 (P0)],AY89,RZ[Úroveň 3 (P0)],AZ89,RZ[Úroveň 4 (P0)],BA89,RZ[Úroveň 5 (P0)],BB89,RZ[Úroveň 6 (P0)],BC89,RZ[Úroveň 7 (P0)],BD89,RZ[Úroveň 8 (P0)],BE89),RZ[[#This Row],[Koeficient odhadu HR '[-'] (P1)]]*$BO89*$IG89)</f>
        <v>0</v>
      </c>
      <c r="CU89" s="138">
        <f ca="1">IF(OFFSET(BF89,1,0,1,1)&lt;&gt;0,$BO89*SUMIFS(RZ[Úroveň 9 bez koef. (P2)],RZ[0],AX89,RZ[Úroveň 2 (P0)],AY89,RZ[Úroveň 3 (P0)],AZ89,RZ[Úroveň 4 (P0)],BA89,RZ[Úroveň 5 (P0)],BB89,RZ[Úroveň 6 (P0)],BC89,RZ[Úroveň 7 (P0)],BD89,RZ[Úroveň 8 (P0)],BE89),$BO89*$IG89)</f>
        <v>0</v>
      </c>
      <c r="CV89" s="132">
        <f ca="1">RZ[[#This Row],[Úroveň 9 s koef. (P2a)]]*RZ[[#This Row],[Počet MJHR (P0)]]</f>
        <v>0</v>
      </c>
      <c r="CW89" s="132">
        <f ca="1">RZ[Úroveň 9 bez koef. (P2a)]*RZ[[#This Row],[Počet MJHR (P0)]]</f>
        <v>0</v>
      </c>
      <c r="CX89" s="132">
        <f ca="1">IF(OFFSET(BG89,1,0,1,1)&lt;&gt;0,RZ[[#This Row],[Koeficient odhadu HR '[-'] (P1)]]*$BP89*SUMIFS(RZ[Úroveň 10 s koef. (P2)],RZ[0],AX89,RZ[Úroveň 2 (P0)],AY89,RZ[Úroveň 3 (P0)],AZ89,RZ[Úroveň 4 (P0)],BA89,RZ[Úroveň 5 (P0)],BB89,RZ[Úroveň 6 (P0)],BC89,RZ[Úroveň 7 (P0)],BD89,RZ[Úroveň 8 (P0)],BE89,RZ[Úroveň 9 (P0)],BF89),RZ[[#This Row],[Koeficient odhadu HR '[-'] (P1)]]*$BP89*$IG89)</f>
        <v>0</v>
      </c>
      <c r="CY89" s="132">
        <f ca="1">IF(OFFSET(BG89,1,0,1,1)&lt;&gt;0,$BP89*SUMIFS(RZ[Úroveň 10 bez koef. (P2)],RZ[0],AX89,RZ[Úroveň 2 (P0)],AY89,RZ[Úroveň 3 (P0)],AZ89,RZ[Úroveň 4 (P0)],BA89,RZ[Úroveň 5 (P0)],BB89,RZ[Úroveň 6 (P0)],BC89,RZ[Úroveň 7 (P0)],BD89,RZ[Úroveň 8 (P0)],BE89,RZ[Úroveň 9 (P0)],BF89),$BP89*$IG89)</f>
        <v>0</v>
      </c>
      <c r="CZ89" s="138">
        <f>RZ[[#This Row],[Úroveň 10 s koef. (P2a)]]*RZ[[#This Row],[Počet MJHR (P0)]]</f>
        <v>0</v>
      </c>
      <c r="DA89" s="138">
        <f>RZ[Úroveň 10 bez koef. (P2a)]*RZ[[#This Row],[Počet MJHR (P0)]]</f>
        <v>0</v>
      </c>
      <c r="DB89" s="138">
        <f>RZ[[#This Row],[Koeficient odhadu HR '[-'] (P1)]]*$BQ89*IG89</f>
        <v>0</v>
      </c>
      <c r="DC89" s="231">
        <f t="shared" si="522"/>
        <v>0</v>
      </c>
      <c r="DD89" s="241">
        <f t="shared" ca="1" si="523"/>
        <v>145.5</v>
      </c>
      <c r="DE89" s="229">
        <f t="shared" ca="1" si="524"/>
        <v>145.5</v>
      </c>
      <c r="DF89" s="912">
        <f t="shared" si="525"/>
        <v>0</v>
      </c>
      <c r="DG89" s="913">
        <f t="shared" si="526"/>
        <v>0</v>
      </c>
      <c r="DH89" s="913">
        <f t="shared" si="527"/>
        <v>1</v>
      </c>
      <c r="DI89" s="913">
        <f t="shared" si="528"/>
        <v>0</v>
      </c>
      <c r="DJ89" s="913">
        <f t="shared" si="529"/>
        <v>0</v>
      </c>
      <c r="DK89" s="913">
        <f t="shared" si="530"/>
        <v>0</v>
      </c>
      <c r="DL89" s="913">
        <f t="shared" si="531"/>
        <v>0</v>
      </c>
      <c r="DM89" s="913">
        <f t="shared" si="532"/>
        <v>0</v>
      </c>
      <c r="DN89" s="913">
        <f t="shared" si="533"/>
        <v>0</v>
      </c>
      <c r="DO89" s="913">
        <f t="shared" si="534"/>
        <v>0</v>
      </c>
      <c r="DP89" s="914">
        <f ca="1">SUMIFS(RZ[Úroveň 1 (P4)],RZ[0],AX89)</f>
        <v>1</v>
      </c>
      <c r="DQ89" s="914">
        <f ca="1">SUMIFS(RZ[Úroveň 2 (P4)],RZ[0],AX89,RZ[Úroveň 2 (P0)],AY89)</f>
        <v>1</v>
      </c>
      <c r="DR89" s="914">
        <f ca="1">SUMIFS(RZ[Úroveň 3 (P4)],RZ[0],AX89,RZ[Úroveň 2 (P0)],AY89,RZ[Úroveň 3 (P0)],AZ89)</f>
        <v>1</v>
      </c>
      <c r="DS89" s="914">
        <f ca="1">SUMIFS(RZ[Úroveň 4 (P4)],RZ[0],AX89,RZ[Úroveň 2 (P0)],AY89,RZ[Úroveň 3 (P0)],AZ89,RZ[Úroveň 4 (P0)],BA89)</f>
        <v>0</v>
      </c>
      <c r="DT89" s="914">
        <f ca="1">SUMIFS(RZ[Úroveň 5 (P4)],RZ[0],AX89,RZ[Úroveň 2 (P0)],AY89,RZ[Úroveň 3 (P0)],AZ89,RZ[Úroveň 4 (P0)],BA89,RZ[Úroveň 5 (P0)],BB89)</f>
        <v>0</v>
      </c>
      <c r="DU89" s="914">
        <f ca="1">SUMIFS(RZ[Úroveň 6 (P4)],RZ[0],AX89,RZ[Úroveň 2 (P0)],AY89,RZ[Úroveň 3 (P0)],AZ89,RZ[Úroveň 4 (P0)],BA89,RZ[Úroveň 5 (P0)],BB89,RZ[Úroveň 6 (P0)],BC89)</f>
        <v>0</v>
      </c>
      <c r="DV89" s="914">
        <f ca="1">SUMIFS(RZ[Úroveň 7 (P4)],RZ[0],AX89,RZ[Úroveň 2 (P0)],AY89,RZ[Úroveň 3 (P0)],AZ89,RZ[Úroveň 4 (P0)],BA89,RZ[Úroveň 5 (P0)],BB89,RZ[Úroveň 6 (P0)],BC89,RZ[Úroveň 7 (P0)],BD89)</f>
        <v>0</v>
      </c>
      <c r="DW89" s="914">
        <f ca="1">SUMIFS(RZ[Úroveň 8 (P4)],RZ[0],AX89,RZ[Úroveň 2 (P0)],AY89,RZ[Úroveň 3 (P0)],AZ89,RZ[Úroveň 4 (P0)],BA89,RZ[Úroveň 5 (P0)],BB89,RZ[Úroveň 6 (P0)],BC89,RZ[Úroveň 7 (P0)],BD89,RZ[Úroveň 8 (P0)],BE89)</f>
        <v>0</v>
      </c>
      <c r="DX89" s="914">
        <f ca="1">SUMIFS(RZ[Úroveň 9 (P4)],RZ[0],AX89,RZ[Úroveň 2 (P0)],AY89,RZ[Úroveň 3 (P0)],AZ89,RZ[Úroveň 4 (P0)],BA89,RZ[Úroveň 5 (P0)],BB89,RZ[Úroveň 6 (P0)],BC89,RZ[Úroveň 7 (P0)],BD89,RZ[Úroveň 8 (P0)],BE89,RZ[Úroveň 9 (P0)],BF89)</f>
        <v>0</v>
      </c>
      <c r="DY89" s="914">
        <f ca="1">SUMIFS(RZ[Úroveň 10 (P4)],RZ[0],AX89,RZ[Úroveň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DZ89" s="915">
        <f t="shared" ca="1" si="535"/>
        <v>1</v>
      </c>
      <c r="EA89" s="916">
        <f ca="1">RZ[[#This Row],[Jednotková hmotnost bez koef. '[kg/MJHR'] (P0)]]*RZ[[#This Row],[Počet MJHR v rozpadu (P0)]]</f>
        <v>145.5</v>
      </c>
      <c r="EB89" s="917">
        <f ca="1">IF(OFFSET(AY89,1,0,1,1)&lt;&gt;0,RZ[[#This Row],[Koeficient odhadu CR '[-'] (P1)]]*$BH89*SUMIFS(RZ[Úroveň 2 s koef. (P3)],RZ[0],AX89),RZ[[#This Row],[Koeficient odhadu CR '[-'] (P1)]]*$BH89*$IQ89)</f>
        <v>0</v>
      </c>
      <c r="EC89" s="191">
        <f ca="1">IF(OFFSET(AY89,1,0,1,1)&lt;&gt;0,$BH89*SUMIFS(RZ[Úroveň 2 bez koef. (P3)],RZ[0],AX89),$BH89*$IQ89)</f>
        <v>0</v>
      </c>
      <c r="ED89" s="140">
        <f ca="1">RZ[[#This Row],[Úroveň 2 s koef. (P3a)]]*RZ[[#This Row],[Počet MJCR (P0) pro "kg"]]</f>
        <v>0</v>
      </c>
      <c r="EE89" s="140">
        <f ca="1">RZ[Úroveň 2 bez koef. (P3a)]*RZ[[#This Row],[Počet MJCR (P0) pro "kg"]]</f>
        <v>0</v>
      </c>
      <c r="EF89" s="140">
        <f ca="1">IF(OFFSET(AZ89,1,0,1,1)&lt;&gt;0,RZ[[#This Row],[Koeficient odhadu CR '[-'] (P1)]]*$BI89*SUMIFS(RZ[Úroveň 3 s koef. (P3)],RZ[0],AX89,RZ[Úroveň 2 (P0)],AY89),RZ[[#This Row],[Koeficient odhadu CR '[-'] (P1)]]*$BI89*$IQ89)</f>
        <v>0</v>
      </c>
      <c r="EG89" s="140">
        <f ca="1">IF(OFFSET(AZ89,1,0,1,1)&lt;&gt;0,$BI89*SUMIFS(RZ[Úroveň 3 bez koef. (P3)],RZ[0],AX89,RZ[Úroveň 2 (P0)],AY89),$BI89*$IQ89)</f>
        <v>0</v>
      </c>
      <c r="EH89" s="135">
        <f ca="1">RZ[[#This Row],[Úroveň 3 s koef. (P3a)]]*RZ[[#This Row],[Počet MJCR (P0) pro "kg"]]</f>
        <v>16005</v>
      </c>
      <c r="EI89" s="135">
        <f ca="1">RZ[Úroveň 3 bez koef. (P3a)]*RZ[[#This Row],[Počet MJCR (P0) pro "kg"]]</f>
        <v>16005</v>
      </c>
      <c r="EJ89" s="135">
        <f ca="1">IF(OFFSET(BA89,1,0,1,1)&lt;&gt;0,RZ[[#This Row],[Koeficient odhadu CR '[-'] (P1)]]*$BJ89*SUMIFS(RZ[Úroveň 4 s koef. (P3)],RZ[0],AX89,RZ[Úroveň 2 (P0)],AY89,RZ[Úroveň 3 (P0)],AZ89),RZ[[#This Row],[Koeficient odhadu CR '[-'] (P1)]]*$BJ89*$IQ89)</f>
        <v>110</v>
      </c>
      <c r="EK89" s="135">
        <f ca="1">IF(OFFSET(BA89,1,0,1,1)&lt;&gt;0,$BJ89*SUMIFS(RZ[Úroveň 4 bez koef. (P3)],RZ[0],AX89,RZ[Úroveň 2 (P0)],AY89,RZ[Úroveň 3 (P0)],AZ89),$BJ89*$IQ89)</f>
        <v>110</v>
      </c>
      <c r="EL89" s="140">
        <f ca="1">RZ[[#This Row],[Úroveň 4 s koef. (P3a)]]*RZ[[#This Row],[Počet MJCR (P0) pro "kg"]]</f>
        <v>0</v>
      </c>
      <c r="EM89" s="140">
        <f ca="1">RZ[Úroveň 4 bez koef. (P3a)]*RZ[[#This Row],[Počet MJCR (P0) pro "kg"]]</f>
        <v>0</v>
      </c>
      <c r="EN89" s="140">
        <f ca="1">IF(OFFSET(BB89,1,0,1,1)&lt;&gt;0,RZ[[#This Row],[Koeficient odhadu CR '[-'] (P1)]]*$BK89*SUMIFS(RZ[Úroveň 5 s koef. (P3)],RZ[0],AX89,RZ[Úroveň 2 (P0)],AY89,RZ[Úroveň 3 (P0)],AZ89,RZ[Úroveň 4 (P0)],BA89),RZ[[#This Row],[Koeficient odhadu CR '[-'] (P1)]]*$BK89*$IQ89)</f>
        <v>0</v>
      </c>
      <c r="EO89" s="140">
        <f ca="1">IF(OFFSET(BB89,1,0,1,1)&lt;&gt;0,$BK89*SUMIFS(RZ[Úroveň 5 bez koef. (P3)],RZ[0],AX89,RZ[Úroveň 2 (P0)],AY89,RZ[Úroveň 3 (P0)],AZ89,RZ[Úroveň 4 (P0)],BA89),$BK89*$IQ89)</f>
        <v>0</v>
      </c>
      <c r="EP89" s="135">
        <f ca="1">RZ[[#This Row],[Úroveň 5 s koef. (P3a)]]*RZ[[#This Row],[Počet MJCR (P0) pro "kg"]]</f>
        <v>0</v>
      </c>
      <c r="EQ89" s="135">
        <f ca="1">RZ[Úroveň 5 bez koef. (P3a)]*RZ[[#This Row],[Počet MJCR (P0) pro "kg"]]</f>
        <v>0</v>
      </c>
      <c r="ER89" s="135">
        <f ca="1">IF(OFFSET(BC89,1,0,1,1)&lt;&gt;0,RZ[[#This Row],[Koeficient odhadu CR '[-'] (P1)]]*$BL89*SUMIFS(RZ[Úroveň 6 s koef. (P3)],RZ[0],AX89,RZ[Úroveň 2 (P0)],AY89,RZ[Úroveň 3 (P0)],AZ89,RZ[Úroveň 4 (P0)],BA89,RZ[Úroveň 5 (P0)],BB89),RZ[[#This Row],[Koeficient odhadu CR '[-'] (P1)]]*$BL89*$IQ89)</f>
        <v>0</v>
      </c>
      <c r="ES89" s="135">
        <f ca="1">IF(OFFSET(BC89,1,0,1,1)&lt;&gt;0,$BL89*SUMIFS(RZ[Úroveň 6 bez koef. (P3)],RZ[0],AX89,RZ[Úroveň 2 (P0)],AY89,RZ[Úroveň 3 (P0)],AZ89,RZ[Úroveň 4 (P0)],BA89,RZ[Úroveň 5 (P0)],BB89),$BL89*$IQ89)</f>
        <v>0</v>
      </c>
      <c r="ET89" s="140">
        <f ca="1">RZ[[#This Row],[Úroveň 6 s koef. (P3a)]]*RZ[[#This Row],[Počet MJCR (P0) pro "kg"]]</f>
        <v>0</v>
      </c>
      <c r="EU89" s="140">
        <f ca="1">RZ[Úroveň 6 bez koef. (P3a)]*RZ[[#This Row],[Počet MJCR (P0) pro "kg"]]</f>
        <v>0</v>
      </c>
      <c r="EV89" s="140">
        <f ca="1">IF(OFFSET(BD89,1,0,1,1)&lt;&gt;0,RZ[[#This Row],[Koeficient odhadu CR '[-'] (P1)]]*$BM89*SUMIFS(RZ[Úroveň 7 s koef. (P3)],RZ[0],AX89,RZ[Úroveň 2 (P0)],AY89,RZ[Úroveň 3 (P0)],AZ89,RZ[Úroveň 4 (P0)],BA89,RZ[Úroveň 5 (P0)],BB89,RZ[Úroveň 6 (P0)],BC89),RZ[[#This Row],[Koeficient odhadu CR '[-'] (P1)]]*$BM89*$IQ89)</f>
        <v>0</v>
      </c>
      <c r="EW89" s="140">
        <f ca="1">IF(OFFSET(BD89,1,0,1,1)&lt;&gt;0,$BM89*SUMIFS(RZ[Úroveň 7 bez koef. (P3)],RZ[0],AX89,RZ[Úroveň 2 (P0)],AY89,RZ[Úroveň 3 (P0)],AZ89,RZ[Úroveň 4 (P0)],BA89,RZ[Úroveň 5 (P0)],BB89,RZ[Úroveň 6 (P0)],BC89),$BM89*$IQ89)</f>
        <v>0</v>
      </c>
      <c r="EX89" s="135">
        <f ca="1">RZ[[#This Row],[Úroveň 7 s koef. (P3a)]]*RZ[[#This Row],[Počet MJCR (P0) pro "kg"]]</f>
        <v>0</v>
      </c>
      <c r="EY89" s="135">
        <f ca="1">RZ[Úroveň 7 bez koef. (P3a)]*RZ[[#This Row],[Počet MJCR (P0) pro "kg"]]</f>
        <v>0</v>
      </c>
      <c r="EZ89" s="135">
        <f ca="1">IF(OFFSET(BE89,1,0,1,1)&lt;&gt;0,RZ[[#This Row],[Koeficient odhadu CR '[-'] (P1)]]*$BN89*SUMIFS(RZ[Úroveň 8 s koef. (P3)],RZ[0],AX89,RZ[Úroveň 2 (P0)],AY89,RZ[Úroveň 3 (P0)],AZ89,RZ[Úroveň 4 (P0)],BA89,RZ[Úroveň 5 (P0)],BB89,RZ[Úroveň 6 (P0)],BC89,RZ[Úroveň 7 (P0)],BD89),RZ[[#This Row],[Koeficient odhadu CR '[-'] (P1)]]*$BN89*$IQ89)</f>
        <v>0</v>
      </c>
      <c r="FA89" s="135">
        <f ca="1">IF(OFFSET(BE89,1,0,1,1)&lt;&gt;0,$BN89*SUMIFS(RZ[Úroveň 8 bez koef. (P3)],RZ[0],AX89,RZ[Úroveň 2 (P0)],AY89,RZ[Úroveň 3 (P0)],AZ89,RZ[Úroveň 4 (P0)],BA89,RZ[Úroveň 5 (P0)],BB89,RZ[Úroveň 6 (P0)],BC89,RZ[Úroveň 7 (P0)],BD89),$BN89*$IQ89)</f>
        <v>0</v>
      </c>
      <c r="FB89" s="140">
        <f ca="1">RZ[[#This Row],[Úroveň 8 s koef. (P3a)]]*RZ[[#This Row],[Počet MJCR (P0) pro "kg"]]</f>
        <v>0</v>
      </c>
      <c r="FC89" s="140">
        <f ca="1">RZ[Úroveň 8 bez koef. (P3a)]*RZ[[#This Row],[Počet MJCR (P0) pro "kg"]]</f>
        <v>0</v>
      </c>
      <c r="FD89" s="140">
        <f ca="1">IF(OFFSET(BF89,1,0,1,1)&lt;&gt;0,RZ[[#This Row],[Koeficient odhadu CR '[-'] (P1)]]*$BO89*SUMIFS(RZ[Úroveň 9 s koef. (P3)],RZ[0],AX89,RZ[Úroveň 2 (P0)],AY89,RZ[Úroveň 3 (P0)],AZ89,RZ[Úroveň 4 (P0)],BA89,RZ[Úroveň 5 (P0)],BB89,RZ[Úroveň 6 (P0)],BC89,RZ[Úroveň 7 (P0)],BD89,RZ[Úroveň 8 (P0)],BE89),RZ[[#This Row],[Koeficient odhadu CR '[-'] (P1)]]*$BO89*$IQ89)</f>
        <v>0</v>
      </c>
      <c r="FE89" s="140">
        <f ca="1">IF(OFFSET(BF89,1,0,1,1)&lt;&gt;0,$BO89*SUMIFS(RZ[Úroveň 9 bez koef. (P3)],RZ[0],AX89,RZ[Úroveň 2 (P0)],AY89,RZ[Úroveň 3 (P0)],AZ89,RZ[Úroveň 4 (P0)],BA89,RZ[Úroveň 5 (P0)],BB89,RZ[Úroveň 6 (P0)],BC89,RZ[Úroveň 7 (P0)],BD89,RZ[Úroveň 8 (P0)],BE89),$BO89*$IQ89)</f>
        <v>0</v>
      </c>
      <c r="FF89" s="135">
        <f ca="1">RZ[[#This Row],[Úroveň 9 s koef. (P3a)]]*RZ[[#This Row],[Počet MJCR (P0) pro "kg"]]</f>
        <v>0</v>
      </c>
      <c r="FG89" s="135">
        <f ca="1">RZ[Úroveň 9 bez koef. (P3a)]*RZ[[#This Row],[Počet MJCR (P0) pro "kg"]]</f>
        <v>0</v>
      </c>
      <c r="FH89" s="135">
        <f ca="1">IF(OFFSET(BG89,1,0,1,1)&lt;&gt;0,RZ[[#This Row],[Koeficient odhadu CR '[-'] (P1)]]*$BP89*SUMIFS(RZ[Úroveň 10 s koef. (P3)],RZ[0],AX89,RZ[Úroveň 2 (P0)],AY89,RZ[Úroveň 3 (P0)],AZ89,RZ[Úroveň 4 (P0)],BA89,RZ[Úroveň 5 (P0)],BB89,RZ[Úroveň 6 (P0)],BC89,RZ[Úroveň 7 (P0)],BD89,RZ[Úroveň 8 (P0)],BE89,RZ[Úroveň 9 (P0)],BF89),RZ[[#This Row],[Koeficient odhadu CR '[-'] (P1)]]*$BP89*$IQ89)</f>
        <v>0</v>
      </c>
      <c r="FI89" s="135">
        <f ca="1">IF(OFFSET(BG89,1,0,1,1)&lt;&gt;0,$BP89*SUMIFS(RZ[Úroveň 10 bez koef. (P3)],RZ[0],AX89,RZ[Úroveň 2 (P0)],AY89,RZ[Úroveň 3 (P0)],AZ89,RZ[Úroveň 4 (P0)],BA89,RZ[Úroveň 5 (P0)],BB89,RZ[Úroveň 6 (P0)],BC89,RZ[Úroveň 7 (P0)],BD89,RZ[Úroveň 8 (P0)],BE89,RZ[Úroveň 9 (P0)],BF89),$BP89*$IQ89)</f>
        <v>0</v>
      </c>
      <c r="FJ89" s="140">
        <f ca="1">RZ[[#This Row],[Úroveň 10 s koef. (P3a)]]*RZ[[#This Row],[Počet MJCR (P0) pro "kg"]]</f>
        <v>0</v>
      </c>
      <c r="FK89" s="140">
        <f ca="1">RZ[Úroveň 10 bez koef. (P3a)]*RZ[[#This Row],[Počet MJCR (P0) pro "kg"]]</f>
        <v>0</v>
      </c>
      <c r="FL89" s="140">
        <f ca="1">RZ[[#This Row],[Koeficient odhadu CR '[-'] (P1)]]*$BQ89*IQ89</f>
        <v>0</v>
      </c>
      <c r="FM89" s="236">
        <f t="shared" ca="1" si="536"/>
        <v>0</v>
      </c>
      <c r="FN89" s="194">
        <f t="shared" ca="1" si="537"/>
        <v>110</v>
      </c>
      <c r="FO89" s="238">
        <f t="shared" ca="1" si="538"/>
        <v>110</v>
      </c>
      <c r="FP89" s="135">
        <f t="shared" ca="1" si="539"/>
        <v>0</v>
      </c>
      <c r="FQ89" s="135">
        <f t="shared" ca="1" si="540"/>
        <v>0</v>
      </c>
      <c r="FR89" s="135">
        <f t="shared" ca="1" si="541"/>
        <v>145.5</v>
      </c>
      <c r="FS89" s="135">
        <f t="shared" ca="1" si="542"/>
        <v>0</v>
      </c>
      <c r="FT89" s="135">
        <f t="shared" ca="1" si="543"/>
        <v>0</v>
      </c>
      <c r="FU89" s="135">
        <f t="shared" ca="1" si="544"/>
        <v>0</v>
      </c>
      <c r="FV89" s="135">
        <f t="shared" ca="1" si="545"/>
        <v>0</v>
      </c>
      <c r="FW89" s="135">
        <f t="shared" ca="1" si="546"/>
        <v>0</v>
      </c>
      <c r="FX89" s="135">
        <f t="shared" ca="1" si="547"/>
        <v>0</v>
      </c>
      <c r="FY89" s="135">
        <f t="shared" ca="1" si="548"/>
        <v>0</v>
      </c>
      <c r="FZ89" s="140">
        <f ca="1">SUMIFS(RZ[Úroveň 1 (P6)],RZ[0],AX89)</f>
        <v>1</v>
      </c>
      <c r="GA89" s="140">
        <f ca="1">SUMIFS(RZ[Úroveň 2 (P6)],RZ[0],AX89,RZ[Úroveň 2 (P0)],AY89)</f>
        <v>1</v>
      </c>
      <c r="GB89" s="140">
        <f ca="1">SUMIFS(RZ[Úroveň 3 (P6)],RZ[0],AX89,RZ[Úroveň 2 (P0)],AY89,RZ[Úroveň 3 (P0)],AZ89)</f>
        <v>145.5</v>
      </c>
      <c r="GC89" s="140">
        <f ca="1">SUMIFS(RZ[Úroveň 4 (P6)],RZ[0],AX89,RZ[Úroveň 2 (P0)],AY89,RZ[Úroveň 3 (P0)],AZ89,RZ[Úroveň 4 (P0)],BA89)</f>
        <v>0</v>
      </c>
      <c r="GD89" s="140">
        <f ca="1">SUMIFS(RZ[Úroveň 5 (P6)],RZ[0],AX89,RZ[Úroveň 2 (P0)],AY89,RZ[Úroveň 3 (P0)],AZ89,RZ[Úroveň 4 (P0)],BA89,RZ[Úroveň 5 (P0)],BB89)</f>
        <v>0</v>
      </c>
      <c r="GE89" s="140">
        <f ca="1">SUMIFS(RZ[Úroveň 6 (P6)],RZ[0],AX89,RZ[Úroveň 2 (P0)],AY89,RZ[Úroveň 3 (P0)],AZ89,RZ[Úroveň 4 (P0)],BA89,RZ[Úroveň 5 (P0)],BB89,RZ[Úroveň 6 (P0)],BC89)</f>
        <v>0</v>
      </c>
      <c r="GF89" s="140">
        <f ca="1">SUMIFS(RZ[Úroveň 7 (P6)],RZ[0],AX89,RZ[Úroveň 2 (P0)],AY89,RZ[Úroveň 3 (P0)],AZ89,RZ[Úroveň 4 (P0)],BA89,RZ[Úroveň 5 (P0)],BB89,RZ[Úroveň 6 (P0)],BC89,RZ[Úroveň 7 (P0)],BD89)</f>
        <v>0</v>
      </c>
      <c r="GG89" s="140">
        <f ca="1">SUMIFS(RZ[Úroveň 8 (P6)],RZ[0],AX89,RZ[Úroveň 2 (P0)],AY89,RZ[Úroveň 3 (P0)],AZ89,RZ[Úroveň 4 (P0)],BA89,RZ[Úroveň 5 (P0)],BB89,RZ[Úroveň 6 (P0)],BC89,RZ[Úroveň 7 (P0)],BD89,RZ[Úroveň 8 (P0)],BE89)</f>
        <v>0</v>
      </c>
      <c r="GH89" s="140">
        <f ca="1">SUMIFS(RZ[Úroveň 9 (P6)],RZ[0],AX89,RZ[Úroveň 2 (P0)],AY89,RZ[Úroveň 3 (P0)],AZ89,RZ[Úroveň 4 (P0)],BA89,RZ[Úroveň 5 (P0)],BB89,RZ[Úroveň 6 (P0)],BC89,RZ[Úroveň 7 (P0)],BD89,RZ[Úroveň 8 (P0)],BE89,RZ[Úroveň 9 (P0)],BF89)</f>
        <v>0</v>
      </c>
      <c r="GI89" s="140">
        <f ca="1">SUMIFS(RZ[Úroveň 10 (P6)],RZ[0],AX89,RZ[Úroveň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GJ89" s="918">
        <f t="shared" ca="1" si="549"/>
        <v>145.5</v>
      </c>
      <c r="GK89" s="808">
        <f t="shared" si="550"/>
        <v>0</v>
      </c>
      <c r="GL89" s="808">
        <f t="shared" si="551"/>
        <v>0</v>
      </c>
      <c r="GM89" s="808">
        <f t="shared" si="552"/>
        <v>1</v>
      </c>
      <c r="GN89" s="808">
        <f t="shared" si="553"/>
        <v>0</v>
      </c>
      <c r="GO89" s="808">
        <f t="shared" si="554"/>
        <v>0</v>
      </c>
      <c r="GP89" s="808">
        <f t="shared" si="555"/>
        <v>0</v>
      </c>
      <c r="GQ89" s="808">
        <f t="shared" si="556"/>
        <v>0</v>
      </c>
      <c r="GR89" s="808">
        <f t="shared" si="557"/>
        <v>0</v>
      </c>
      <c r="GS89" s="808">
        <f t="shared" si="558"/>
        <v>0</v>
      </c>
      <c r="GT89" s="808">
        <f t="shared" si="559"/>
        <v>0</v>
      </c>
      <c r="GU89" s="809">
        <f ca="1">SUMIFS(RZ[Sloupec1],RZ[0],AX89)</f>
        <v>1</v>
      </c>
      <c r="GV89" s="809">
        <f ca="1">SUMIFS(RZ[Sloupec2],RZ[0],AX89,RZ[Úroveň 2 (P0)],AY89)</f>
        <v>1</v>
      </c>
      <c r="GW89" s="809">
        <f ca="1">SUMIFS(RZ[Sloupec3],RZ[0],AX89,RZ[Úroveň 2 (P0)],AY89,RZ[Úroveň 3 (P0)],AZ89)</f>
        <v>1</v>
      </c>
      <c r="GX89" s="809">
        <f ca="1">SUMIFS(RZ[Sloupec4],RZ[0],AX89,RZ[Úroveň 2 (P0)],AY89,RZ[Úroveň 3 (P0)],AZ89,RZ[Úroveň 4 (P0)],BA89)</f>
        <v>0</v>
      </c>
      <c r="GY89" s="809">
        <f ca="1">SUMIFS(RZ[Sloupec5],RZ[0],AX89,RZ[Úroveň 2 (P0)],AY89,RZ[Úroveň 3 (P0)],AZ89,RZ[Úroveň 4 (P0)],BA89,RZ[Úroveň 5 (P0)],BB89)</f>
        <v>0</v>
      </c>
      <c r="GZ89" s="809">
        <f ca="1">SUMIFS(RZ[Sloupec6],RZ[0],AX89,RZ[Úroveň 2 (P0)],AY89,RZ[Úroveň 3 (P0)],AZ89,RZ[Úroveň 4 (P0)],BA89,RZ[Úroveň 5 (P0)],BB89,RZ[Úroveň 6 (P0)],BC89)</f>
        <v>0</v>
      </c>
      <c r="HA89" s="809">
        <f ca="1">SUMIFS(RZ[Sloupec62],RZ[0],AX89,RZ[Úroveň 2 (P0)],AY89,RZ[Úroveň 3 (P0)],AZ89,RZ[Úroveň 4 (P0)],BA89,RZ[Úroveň 5 (P0)],BB89,RZ[Úroveň 6 (P0)],BC89,RZ[Úroveň 7 (P0)],BD89)</f>
        <v>0</v>
      </c>
      <c r="HB89" s="809">
        <f ca="1">SUMIFS(RZ[Sloupec63],RZ[0],AX89,RZ[Úroveň 2 (P0)],AY89,RZ[Úroveň 3 (P0)],AZ89,RZ[Úroveň 4 (P0)],BA89,RZ[Úroveň 5 (P0)],BB89,RZ[Úroveň 6 (P0)],BC89,RZ[Úroveň 7 (P0)],BD89,RZ[Úroveň 8 (P0)],BE89)</f>
        <v>0</v>
      </c>
      <c r="HC89" s="809">
        <f ca="1">SUMIFS(RZ[Sloupec64],RZ[0],AX89,RZ[Úroveň 2 (P0)],AY89,RZ[Úroveň 3 (P0)],AZ89,RZ[Úroveň 4 (P0)],BA89,RZ[Úroveň 5 (P0)],BB89,RZ[Úroveň 6 (P0)],BC89,RZ[Úroveň 7 (P0)],BD89,RZ[Úroveň 8 (P0)],BE89,RZ[Úroveň 9 (P0)],BF89)</f>
        <v>0</v>
      </c>
      <c r="HD89" s="809">
        <f ca="1">SUMIFS(RZ[Sloupec65],RZ[0],AX89,RZ[Úroveň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HE89" s="919">
        <f t="shared" ca="1" si="560"/>
        <v>1</v>
      </c>
      <c r="HF89" s="920" t="str">
        <f t="shared" si="561"/>
        <v/>
      </c>
      <c r="HG89" s="94" t="str">
        <f t="shared" si="562"/>
        <v/>
      </c>
      <c r="HH89" s="95" t="str">
        <f t="shared" si="563"/>
        <v/>
      </c>
      <c r="HI89" s="95" t="str">
        <f t="shared" si="564"/>
        <v>Kryt</v>
      </c>
      <c r="HJ89" s="96" t="str">
        <f t="shared" si="565"/>
        <v/>
      </c>
      <c r="HK89" s="96" t="str">
        <f t="shared" si="566"/>
        <v/>
      </c>
      <c r="HL89" s="96" t="str">
        <f t="shared" si="567"/>
        <v/>
      </c>
      <c r="HM89" s="96" t="str">
        <f t="shared" si="568"/>
        <v/>
      </c>
      <c r="HN89" s="96" t="str">
        <f t="shared" si="569"/>
        <v/>
      </c>
      <c r="HO89" s="96" t="str">
        <f t="shared" si="570"/>
        <v/>
      </c>
      <c r="HP89" s="96" t="str">
        <f t="shared" si="571"/>
        <v/>
      </c>
      <c r="HQ89" s="145" t="str">
        <f t="shared" si="572"/>
        <v>OKS2</v>
      </c>
      <c r="HR89" s="921" t="str">
        <f t="shared" si="573"/>
        <v/>
      </c>
      <c r="HS89" s="173">
        <f t="shared" si="574"/>
        <v>0</v>
      </c>
      <c r="HT89" s="100">
        <f t="shared" si="575"/>
        <v>0</v>
      </c>
      <c r="HU89" s="100">
        <f t="shared" si="576"/>
        <v>0</v>
      </c>
      <c r="HV89" s="908">
        <f t="shared" si="577"/>
        <v>0</v>
      </c>
      <c r="HW89" s="922">
        <f t="shared" si="578"/>
        <v>0</v>
      </c>
      <c r="HX89" s="224">
        <f t="shared" si="579"/>
        <v>0</v>
      </c>
      <c r="HY89" s="263" t="str">
        <f t="shared" si="580"/>
        <v>S</v>
      </c>
      <c r="HZ89" s="263">
        <f t="shared" si="581"/>
        <v>0</v>
      </c>
      <c r="IA89" s="150">
        <f t="shared" si="582"/>
        <v>1</v>
      </c>
      <c r="IB89" s="319">
        <f t="shared" si="583"/>
        <v>0</v>
      </c>
      <c r="IC89" s="923">
        <f t="shared" si="584"/>
        <v>0</v>
      </c>
      <c r="ID89" s="924" t="str">
        <f t="shared" ca="1" si="585"/>
        <v>OK</v>
      </c>
      <c r="IE89" s="201" t="str">
        <f t="shared" si="586"/>
        <v>ks</v>
      </c>
      <c r="IF89" s="145">
        <f t="shared" si="587"/>
        <v>1</v>
      </c>
      <c r="IG89" s="216">
        <f t="shared" si="588"/>
        <v>145.5</v>
      </c>
      <c r="IH89" s="217">
        <f t="shared" si="589"/>
        <v>1</v>
      </c>
      <c r="II89" s="224" t="str">
        <f ca="1">IF(RZ[[#This Row],[Rozhodný sloupec indikativní ceny]]=1,"kg",IF($IW89=$JL$15,IF(JX89=0,JO89,JX89),IF($IW89=$KE$15,IF(KQ89=0,KH89,KQ89),IF($IW89=$KX$15,IF(LJ89=0,LA89,LJ89),IF($IW89=$LQ$15,IF(MC89=0,LT89,MC89),IF($IW89=$MJ$15,IF(NQ89=0,NH89,NQ89),0))))))</f>
        <v>kg</v>
      </c>
      <c r="IJ89" s="224">
        <f ca="1">IF((BH89+OFFSET(BH89,1,1,1,1))=2,RZ[[#This Row],[Počet MJHR (P0)]],IF((BI89+OFFSET(BI89,1,1,1,1))=2,RZ[[#This Row],[Počet MJHR (P0)]],IF((BJ89+OFFSET(BJ89,1,1,1,1))=2,RZ[[#This Row],[Počet MJHR (P0)]],IF((BK89+OFFSET(BK89,1,1,1,1))=2,RZ[[#This Row],[Počet MJHR (P0)]],IF((BL89+OFFSET(BL89,1,1,1,1))=2,RZ[[#This Row],[Počet MJHR (P0)]],IF((BM89+OFFSET(BM89,1,1,1,1))=2,RZ[[#This Row],[Počet MJHR (P0)]],IF((BN89+OFFSET(BN89,1,1,1,1))=2,RZ[[#This Row],[Počet MJHR (P0)]],IF((BO89+OFFSET(BO89,1,1,1,1))=2,RZ[[#This Row],[Počet MJHR (P0)]],IF((BP89+OFFSET(BP89,1,1,1,1))=2,RZ[[#This Row],[Počet MJHR (P0)]],IF((BQ89+OFFSET(BQ89,1,1,1,1))=2,RZ[[#This Row],[Počet MJHR (P0)]],IF(RZ[[#This Row],[Měrná jednotka CR (MJCR) (P0)]]=RZ[[#This Row],[Měrná jednotka HR '[MJHR'] (P0)]],RZ[[#This Row],[Počet MJHR (P0)]],IF($IW89=$JL$15,JY89,IF($IW89=$KE$15,KR89,IF($IW89=$KX$15,LK89,IF($IW89=$LQ$15,MD89,IF($IW89=$MJ$15,NR89,0))))))))))))))))</f>
        <v>0</v>
      </c>
      <c r="IK8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145.5</v>
      </c>
      <c r="IL89" s="145">
        <f ca="1">IF(AND(RZ[[#This Row],[Jednotková cena bez DPH '[cena/MJCR'] (P0)]]=0,RZ[[#This Row],[Indikativní jednotková cena '[CZK/kg'] (P1)]]&lt;&gt;0),1,0)</f>
        <v>1</v>
      </c>
      <c r="IM89" s="217">
        <f ca="1">VLOOKUP(RZ[[#This Row],[Kód položek]],INDIKAT_CENA,2,FALSE)</f>
        <v>110</v>
      </c>
      <c r="IN89" s="222">
        <f ca="1">IF(RZ[[#This Row],[Rozhodný sloupec indikativní ceny]]=1,RZ[[#This Row],[Indikativní jednotková cena '[CZK/kg'] (P1)]],RZ[[#This Row],[Jednotková cena bez DPH '[cena/MJCR'] (P0)]])</f>
        <v>110</v>
      </c>
      <c r="IO89" s="222">
        <f t="shared" si="590"/>
        <v>1</v>
      </c>
      <c r="IP89" s="224">
        <f ca="1">IF(RZ[[#This Row],[Rozhodný sloupec indikativní ceny]]=1,1,IF($IW89=$JL$15,KA89,IF($IW89=$KE$15,KT89,IF($IW89=$KX$15,LM89,IF($IW89=$LQ$15,MF89,IF($IW89=$MJ$15,NT89,0))))))</f>
        <v>1</v>
      </c>
      <c r="IQ89" s="225">
        <f ca="1">IF(RZ[[#This Row],[Jednotková cena bez DPH '[cena/MJCR'] (P1)]]="",0,IF(IP89=0,0,(RZ[[#This Row],[Jednotková cena bez DPH '[cena/MJCR'] (P1)]]*VLOOKUP(IP89,$BR$7:$BT$10,3))))</f>
        <v>110</v>
      </c>
      <c r="IR89" s="737"/>
      <c r="IS89" s="627">
        <f>IF(HY89=0,"",VLOOKUP(RZ[[#This Row],[Stav Projekce (P0)]],Vstupy!$E$11:'Vstupy'!$E$11:$H$17,4,FALSE))</f>
        <v>100</v>
      </c>
      <c r="IT89" s="925" t="str">
        <f>IF(RZ[[#This Row],[Stav Projekce (P0)]]=0,"",RZ[[#This Row],[Stav Projekce (P0)]])</f>
        <v>S</v>
      </c>
      <c r="IU89" s="925" t="str">
        <f>IF(RZ[[#This Row],[Stav Nákup (P0)]]=0,"",RZ[[#This Row],[Stav Nákup (P0)]])</f>
        <v/>
      </c>
      <c r="IV89" s="926" t="str">
        <f t="shared" si="591"/>
        <v/>
      </c>
      <c r="IW89" s="641">
        <v>1</v>
      </c>
      <c r="IX89" s="630"/>
      <c r="IY89" s="264"/>
      <c r="IZ89" s="648"/>
      <c r="JA89" s="100"/>
      <c r="JB89" s="100" t="s">
        <v>795</v>
      </c>
      <c r="JC89" s="100"/>
      <c r="JD89" s="100"/>
      <c r="JE89" s="100"/>
      <c r="JF89" s="100"/>
      <c r="JG89" s="100"/>
      <c r="JH89" s="100"/>
      <c r="JI89" s="100"/>
      <c r="JJ89" s="145" t="s">
        <v>768</v>
      </c>
      <c r="JK89" s="529"/>
      <c r="JL89" s="286"/>
      <c r="JM89" s="100"/>
      <c r="JN89" s="100"/>
      <c r="JO89" s="145" t="s">
        <v>35</v>
      </c>
      <c r="JP89" s="117">
        <v>1</v>
      </c>
      <c r="JQ89" s="117">
        <v>145.5</v>
      </c>
      <c r="JR89" s="148">
        <v>1</v>
      </c>
      <c r="JS89" s="145" t="s">
        <v>602</v>
      </c>
      <c r="JT89" s="631"/>
      <c r="JU89" s="148"/>
      <c r="JV89" s="154"/>
      <c r="JW89" s="145"/>
      <c r="JX89" s="210"/>
      <c r="JY89" s="117"/>
      <c r="JZ89" s="662"/>
      <c r="KA89" s="145"/>
      <c r="KB89" s="148"/>
      <c r="KC89" s="148"/>
      <c r="KD89" s="644"/>
      <c r="KE89" s="286"/>
      <c r="KF89" s="100"/>
      <c r="KG89" s="100"/>
      <c r="KH89" s="210"/>
      <c r="KI89" s="117"/>
      <c r="KJ89" s="117"/>
      <c r="KK89" s="148"/>
      <c r="KL89" s="145"/>
      <c r="KM89" s="632"/>
      <c r="KN89" s="148"/>
      <c r="KO89" s="154"/>
      <c r="KP89" s="154"/>
      <c r="KQ89" s="210"/>
      <c r="KR89" s="117"/>
      <c r="KS89" s="211"/>
      <c r="KT89" s="145"/>
      <c r="KU89" s="148"/>
      <c r="KV89" s="148"/>
      <c r="KW89" s="265"/>
      <c r="KX89" s="286"/>
      <c r="KY89" s="100"/>
      <c r="KZ89" s="100"/>
      <c r="LA89" s="210"/>
      <c r="LB89" s="117"/>
      <c r="LC89" s="117"/>
      <c r="LD89" s="148"/>
      <c r="LE89" s="145"/>
      <c r="LF89" s="632"/>
      <c r="LG89" s="148"/>
      <c r="LH89" s="154"/>
      <c r="LI89" s="154"/>
      <c r="LJ89" s="154"/>
      <c r="LK89" s="117"/>
      <c r="LL89" s="211"/>
      <c r="LM89" s="210"/>
      <c r="LN89" s="148"/>
      <c r="LO89" s="148"/>
      <c r="LP89" s="265"/>
      <c r="LQ89" s="286"/>
      <c r="LR89" s="100"/>
      <c r="LS89" s="100"/>
      <c r="LT89" s="210"/>
      <c r="LU89" s="117"/>
      <c r="LV89" s="117"/>
      <c r="LW89" s="148"/>
      <c r="LX89" s="145"/>
      <c r="LY89" s="632"/>
      <c r="LZ89" s="148"/>
      <c r="MA89" s="154"/>
      <c r="MB89" s="154"/>
      <c r="MC89" s="145"/>
      <c r="MD89" s="117"/>
      <c r="ME89" s="211"/>
      <c r="MF89" s="210"/>
      <c r="MG89" s="148"/>
      <c r="MH89" s="148"/>
      <c r="MI89" s="265"/>
      <c r="MJ89" s="647"/>
      <c r="MK89" s="264"/>
      <c r="ML89" s="153"/>
      <c r="MM89" s="153"/>
      <c r="MN89" s="153"/>
      <c r="MO89" s="153"/>
      <c r="MP89" s="153"/>
      <c r="MQ89" s="153"/>
      <c r="MR89" s="153"/>
      <c r="MS89" s="99"/>
      <c r="MT89" s="99"/>
      <c r="MU89" s="99"/>
      <c r="MV89" s="99"/>
      <c r="MW89" s="99"/>
      <c r="MX89" s="99"/>
      <c r="MY89" s="153"/>
      <c r="MZ89" s="153"/>
      <c r="NA89" s="153"/>
      <c r="NB89" s="153"/>
      <c r="NC89" s="153"/>
      <c r="ND89" s="153"/>
      <c r="NE89" s="148"/>
      <c r="NF89" s="153"/>
      <c r="NG89" s="153"/>
      <c r="NH89" s="330" t="str">
        <f t="shared" si="592"/>
        <v>ks</v>
      </c>
      <c r="NI89" s="797">
        <f>RZ[[#This Row],[Počet ks (K)]]</f>
        <v>0</v>
      </c>
      <c r="NJ89" s="798">
        <f>RZ[[#This Row],[Hmotnost '[kg/ks'] (K)]]</f>
        <v>0</v>
      </c>
      <c r="NK89" s="148"/>
      <c r="NL89" s="145"/>
      <c r="NM89" s="632"/>
      <c r="NN89" s="148"/>
      <c r="NO89" s="154"/>
      <c r="NP89" s="153"/>
      <c r="NQ89" s="153"/>
      <c r="NR89" s="210"/>
      <c r="NS89" s="148"/>
      <c r="NT89" s="210"/>
      <c r="NU89" s="148"/>
      <c r="NV89" s="148"/>
      <c r="NW89" s="175"/>
    </row>
    <row r="90" spans="2:387" ht="15.95" customHeight="1" x14ac:dyDescent="0.35">
      <c r="B90" s="118" t="str">
        <f>IF(HF90=0,"",HF90)</f>
        <v/>
      </c>
      <c r="C9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0" s="262" t="str">
        <f>IF(HG90&lt;&gt;"",HG90,IF(HH90&lt;&gt;"","  "&amp;HH90,IF(HI90&lt;&gt;"","  "&amp;"  "&amp;HI90,IF(HJ90&lt;&gt;"","  "&amp;"  "&amp;"  "&amp;HJ90,IF(HK90&lt;&gt;"","  "&amp;"  "&amp;"  "&amp;"  "&amp;HK90,IF(HL90&lt;&gt;"","  "&amp;"  "&amp;"  "&amp;"  "&amp;"  "&amp;HL90,IF(HM90&lt;&gt;"","  "&amp;"  "&amp;"  "&amp;"  "&amp;"  "&amp;"  "&amp;HM90,IF(HN90&lt;&gt;"","  "&amp;"  "&amp;"  "&amp;"  "&amp;"  "&amp;"  "&amp;"  "&amp;HN90,IF(HO90&lt;&gt;"","  "&amp;"  "&amp;"  "&amp;"  "&amp;"  "&amp;"  "&amp;"  "&amp;"  "&amp;HO90,IF(HP90&lt;&gt;"","  "&amp;"  "&amp;"  "&amp;"  "&amp;"  "&amp;"  "&amp;"  "&amp;"  "&amp;"  "&amp;HP90,0))))))))))</f>
        <v xml:space="preserve">    Ložisko 22324</v>
      </c>
      <c r="E90" s="120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Row],[Kód položek (P2)]]))))))))))</f>
        <v>STLO</v>
      </c>
      <c r="F90" s="791" t="str">
        <f>IF(HS90=0,"N/A",HS90)</f>
        <v>N/A</v>
      </c>
      <c r="G90" s="792" t="str">
        <f>IF(HT90=0,"",HT90)</f>
        <v/>
      </c>
      <c r="H90" s="262" t="str">
        <f>IF(HU90=0,"",HU90)</f>
        <v/>
      </c>
      <c r="I90" s="123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HR '[MJHR'] (P0)]]))))))))))</f>
        <v>ks</v>
      </c>
      <c r="J90" s="123">
        <f>IF(IF90=0,"",IF90)</f>
        <v>8</v>
      </c>
      <c r="K90" s="793">
        <f>RZ[[#This Row],[Koeficient odhadu HR '[-'] (P1)]]</f>
        <v>1</v>
      </c>
      <c r="L90" s="124">
        <f ca="1">RZ[[#This Row],[Jednotková hmotnost s koef. '[kg/MJHR'] (P0)]]</f>
        <v>22.1</v>
      </c>
      <c r="M90" s="794">
        <f ca="1">IF(ISNUMBER(K90),L90/K90*(K90-1),0)</f>
        <v>0</v>
      </c>
      <c r="N90" s="125">
        <f ca="1">IF(ISNUMBER(J90),J90*L90,0)</f>
        <v>176.8</v>
      </c>
      <c r="O90" s="125">
        <f ca="1">IF(ISNUMBER(J90),J90*M90,0)</f>
        <v>0</v>
      </c>
      <c r="P90" s="126" t="str">
        <f>IF(HR90=0,"",HR90)</f>
        <v/>
      </c>
      <c r="Q90" s="795">
        <f ca="1">RZ[[#This Row],[Počet MJHR v rozpadu (P0)]]</f>
        <v>8</v>
      </c>
      <c r="R90" s="439" t="str">
        <f>IF(HV90&lt;&gt;0,HV90,"")</f>
        <v>Zajíc</v>
      </c>
      <c r="S90" s="129">
        <f>IF(HW90&lt;&gt;0,HW90,"")</f>
        <v>42950.618680555555</v>
      </c>
      <c r="T90" s="126" t="str">
        <f>IF(HX90=0,"",HX90)</f>
        <v/>
      </c>
      <c r="U90" s="126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CR (MJCR) (P0)]]))))))))))</f>
        <v>ks</v>
      </c>
      <c r="V90" s="575">
        <f ca="1">IF(IK90=0,"",IK90)</f>
        <v>8</v>
      </c>
      <c r="W90" s="322">
        <f>RZ[[#This Row],[Koeficient odhadu CR '[-'] (P1)]]</f>
        <v>1.1000000000000001</v>
      </c>
      <c r="X90" s="440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Row],[Jednotková cena bez DPH '[cena/MJCR'] (P1)]]*RZ[[#This Row],[Koeficient odhadu CR '[-']]]))))))))))</f>
        <v>27500.000000000004</v>
      </c>
      <c r="Y90" s="440">
        <f ca="1">IF(ISNUMBER(X90),-X90/W90*(W90-1),0)</f>
        <v>-2500.0000000000023</v>
      </c>
      <c r="Z90" s="142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VLOOKUP(IP90,$BR$7:$BS$11,2,FALSE)))))))))))</f>
        <v>CZK</v>
      </c>
      <c r="AA90" s="909">
        <f ca="1">GJ90</f>
        <v>8</v>
      </c>
      <c r="AB90" s="910">
        <f ca="1">RZ[[#This Row],[Kumulovaný koeficient v rozpadu (P0)]]</f>
        <v>1.1000000000000001</v>
      </c>
      <c r="AC90" s="261"/>
      <c r="AD90" s="796">
        <f ca="1">RZ[[#This Row],[Jednotková cena bez DPH '[cena/MJCR'] s koef. (P0)]]/RZ[[#This Row],[Koeficient odhadu CR '[-']]]*RZ[[#This Row],[Kumulovaný koeficient odhadu CR  '[-']]]</f>
        <v>27500.000000000004</v>
      </c>
      <c r="AE90" s="796">
        <f ca="1">IF(ISNUMBER(AA90),AA90*AD90,0)*IF(V90="",0,1)</f>
        <v>220000.00000000003</v>
      </c>
      <c r="AF90" s="796">
        <f ca="1">-IF(ISNUMBER(AA90),RZ[[#This Row],[Celková cena bez DPH (1)]]-RZ[[#This Row],[Jednotková cena bez DPH '[cena/MJCR'] bez koef. (P0)]]*AA90,0)</f>
        <v>-20000.000000000029</v>
      </c>
      <c r="AG9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1244.3438914027149</v>
      </c>
      <c r="AH90" s="261"/>
      <c r="AI90" s="796">
        <f t="shared" ca="1" si="493"/>
        <v>1018.5185185185187</v>
      </c>
      <c r="AJ90" s="796">
        <f t="shared" ca="1" si="494"/>
        <v>8148.1481481481496</v>
      </c>
      <c r="AK90" s="796">
        <f t="shared" ca="1" si="495"/>
        <v>-740.74074074074178</v>
      </c>
      <c r="AL90" s="753">
        <f ca="1">RZ[[#This Row],[Kilogramová cena bez DPH '[cena/kg'] (1)]]/$AK$13</f>
        <v>46.086810792693143</v>
      </c>
      <c r="AM90" s="261"/>
      <c r="AN90" s="796">
        <f t="shared" ca="1" si="496"/>
        <v>1328.5024154589373</v>
      </c>
      <c r="AO90" s="796">
        <f t="shared" ca="1" si="497"/>
        <v>10628.019323671499</v>
      </c>
      <c r="AP90" s="796">
        <f t="shared" ca="1" si="498"/>
        <v>-966.18357487922844</v>
      </c>
      <c r="AQ90" s="753">
        <f ca="1">RZ[[#This Row],[Kilogramová cena bez DPH '[cena/kg'] (1)]]/$AP$13</f>
        <v>60.113231468730191</v>
      </c>
      <c r="AR90" s="261"/>
      <c r="AS90" s="796">
        <f t="shared" ca="1" si="499"/>
        <v>752.18818380743983</v>
      </c>
      <c r="AT90" s="796">
        <f t="shared" ca="1" si="500"/>
        <v>6017.5054704595186</v>
      </c>
      <c r="AU90" s="789">
        <f t="shared" ca="1" si="501"/>
        <v>-547.04595185995697</v>
      </c>
      <c r="AV90" s="767">
        <f ca="1">RZ[[#This Row],[Kilogramová cena bez DPH '[cena/kg'] (1)]]/$AU$13</f>
        <v>34.035664425676011</v>
      </c>
      <c r="AW90" s="165"/>
      <c r="AX90" s="911">
        <f ca="1">IF($BH90=0,IF(AY90&gt;0,OFFSET(AX90,-1,0,1,1),0),OFFSET(AX90,-1,0,1,1)+1)</f>
        <v>2</v>
      </c>
      <c r="AY90" s="111">
        <f ca="1">IF($BI90=0,IF(AZ90&gt;0,OFFSET(AY90,-1,0,1,1),0),OFFSET(AY90,-1,0,1,1)+1)</f>
        <v>3</v>
      </c>
      <c r="AZ90" s="111">
        <f ca="1">IF($BJ90=0,IF(BA90&gt;0,OFFSET(AZ90,-1,0,1,1),0),OFFSET(AZ90,-1,0,1,1)+1)</f>
        <v>17</v>
      </c>
      <c r="BA90" s="111">
        <f ca="1">IF($BK90=0,IF(BB90&gt;0,OFFSET(BA90,-1,0,1,1),0),OFFSET(BA90,-1,0,1,1)+1)</f>
        <v>0</v>
      </c>
      <c r="BB90" s="111">
        <f ca="1">IF($BL90=0,IF(BC90&gt;0,OFFSET(BB90,-1,0,1,1),0),OFFSET(BB90,-1,0,1,1)+1)</f>
        <v>0</v>
      </c>
      <c r="BC90" s="111">
        <f ca="1">IF($BM90=0,IF(BD90&gt;0,OFFSET(BC90,-1,0,1,1),0),OFFSET(BC90,-1,0,1,1)+1)</f>
        <v>0</v>
      </c>
      <c r="BD90" s="111">
        <f ca="1">IF($BN90=0,IF(BE90&gt;0,OFFSET(BD90,-1,0,1,1),0),OFFSET(BD90,-1,0,1,1)+1)</f>
        <v>0</v>
      </c>
      <c r="BE90" s="111">
        <f ca="1">IF($BO90=0,IF(BF90&gt;0,OFFSET(BE90,-1,0,1,1),0),OFFSET(BE90,-1,0,1,1)+1)</f>
        <v>0</v>
      </c>
      <c r="BF90" s="111">
        <f ca="1">IF($BP90=0,IF(BG90&gt;0,OFFSET(BF90,-1,0,1,1),0),OFFSET(BF90,-1,0,1,1)+1)</f>
        <v>0</v>
      </c>
      <c r="BG90" s="112">
        <f ca="1">IF($BQ90=0,0,OFFSET($BG90,-1,0,1,1)+1)</f>
        <v>0</v>
      </c>
      <c r="BH90" s="911">
        <f t="shared" ref="BH90:BQ90" si="593">IF(HG90="",0,1)</f>
        <v>0</v>
      </c>
      <c r="BI90" s="111">
        <f t="shared" si="593"/>
        <v>0</v>
      </c>
      <c r="BJ90" s="111">
        <f t="shared" si="593"/>
        <v>1</v>
      </c>
      <c r="BK90" s="111">
        <f t="shared" si="593"/>
        <v>0</v>
      </c>
      <c r="BL90" s="111">
        <f t="shared" si="593"/>
        <v>0</v>
      </c>
      <c r="BM90" s="111">
        <f t="shared" si="593"/>
        <v>0</v>
      </c>
      <c r="BN90" s="111">
        <f t="shared" si="593"/>
        <v>0</v>
      </c>
      <c r="BO90" s="111">
        <f t="shared" si="593"/>
        <v>0</v>
      </c>
      <c r="BP90" s="111">
        <f t="shared" si="593"/>
        <v>0</v>
      </c>
      <c r="BQ90" s="112">
        <f t="shared" si="593"/>
        <v>0</v>
      </c>
      <c r="BR90" s="132">
        <f ca="1">IF(OFFSET(AY90,1,0,1,1)&lt;&gt;0,RZ[[#This Row],[Koeficient odhadu HR '[-'] (P1)]]*$BH90*SUMIFS(RZ[Úroveň 2 s koef. (P2)],RZ[0],AX90),RZ[[#This Row],[Koeficient odhadu HR '[-'] (P1)]]*$BH90*$IG90)</f>
        <v>0</v>
      </c>
      <c r="BS90" s="186">
        <f ca="1">IF(OFFSET(AY90,1,0,1,1)&lt;&gt;0,$BH90*SUMIFS(RZ[Úroveň 2 bez koef. (P2)],RZ[0],AX90),$BH90*$IG90)</f>
        <v>0</v>
      </c>
      <c r="BT90" s="138">
        <f ca="1">RZ[[#This Row],[Úroveň 2 s koef. (P2a)]]*RZ[[#This Row],[Počet MJHR (P0)]]</f>
        <v>0</v>
      </c>
      <c r="BU90" s="138">
        <f ca="1">RZ[[#This Row],[Úroveň 2 bez koef. (P2a)]]*RZ[[#This Row],[Počet MJHR (P0)]]</f>
        <v>0</v>
      </c>
      <c r="BV90" s="138">
        <f ca="1">IF(OFFSET(AZ90,1,0,1,1)&lt;&gt;0,RZ[[#This Row],[Koeficient odhadu HR '[-'] (P1)]]*$BI90*SUMIFS(RZ[Úroveň 3 s koef. (P2)],RZ[0],AX90,RZ[Úroveň 2 (P0)],AY90),RZ[[#This Row],[Koeficient odhadu HR '[-'] (P1)]]*$BI90*$IG90)</f>
        <v>0</v>
      </c>
      <c r="BW90" s="138">
        <f ca="1">IF(OFFSET(AZ90,1,0,1,1)&lt;&gt;0,$BI90*SUMIFS(RZ[Úroveň 3 bez koef. (P2)],RZ[0],AX90,RZ[Úroveň 2 (P0)],AY90),$BI90*$IG90)</f>
        <v>0</v>
      </c>
      <c r="BX90" s="132">
        <f ca="1">RZ[[#This Row],[Úroveň 3 s koef. (P2a)]]*RZ[[#This Row],[Počet MJHR (P0)]]</f>
        <v>176.8</v>
      </c>
      <c r="BY90" s="132">
        <f ca="1">RZ[Úroveň 3 bez koef. (P2a)]*RZ[[#This Row],[Počet MJHR (P0)]]</f>
        <v>176.8</v>
      </c>
      <c r="BZ90" s="132">
        <f ca="1">IF(OFFSET(BA90,1,0,1,1)&lt;&gt;0,RZ[[#This Row],[Koeficient odhadu HR '[-'] (P1)]]*$BJ90*SUMIFS(RZ[Úroveň 4 s koef. (P2)],RZ[0],AX90,RZ[Úroveň 2 (P0)],AY90,RZ[Úroveň 3 (P0)],AZ90),RZ[[#This Row],[Koeficient odhadu HR '[-'] (P1)]]*$BJ90*$IG90)</f>
        <v>22.1</v>
      </c>
      <c r="CA90" s="132">
        <f ca="1">IF(OFFSET(BA90,1,0,1,1)&lt;&gt;0,$BJ90*SUMIFS(RZ[Úroveň 4 bez koef. (P2)],RZ[0],AX90,RZ[Úroveň 2 (P0)],AY90,RZ[Úroveň 3 (P0)],AZ90),$BJ90*$IG90)</f>
        <v>22.1</v>
      </c>
      <c r="CB90" s="138">
        <f ca="1">RZ[[#This Row],[Úroveň 4 s koef. (P2a)]]*RZ[[#This Row],[Počet MJHR (P0)]]</f>
        <v>0</v>
      </c>
      <c r="CC90" s="138">
        <f ca="1">RZ[Úroveň 4 bez koef. (P2a)]*RZ[[#This Row],[Počet MJHR (P0)]]</f>
        <v>0</v>
      </c>
      <c r="CD90" s="138">
        <f ca="1">IF(OFFSET(BB90,1,0,1,1)&lt;&gt;0,RZ[[#This Row],[Koeficient odhadu HR '[-'] (P1)]]*$BK90*SUMIFS(RZ[Úroveň 5 s koef. (P2)],RZ[0],AX90,RZ[Úroveň 2 (P0)],AY90,RZ[Úroveň 3 (P0)],AZ90,RZ[Úroveň 4 (P0)],BA90),RZ[[#This Row],[Koeficient odhadu HR '[-'] (P1)]]*$BK90*$IG90)</f>
        <v>0</v>
      </c>
      <c r="CE90" s="138">
        <f ca="1">IF(OFFSET(BB90,1,0,1,1)&lt;&gt;0,$BK90*SUMIFS(RZ[Úroveň 5 bez koef. (P2)],RZ[0],AX90,RZ[Úroveň 2 (P0)],AY90,RZ[Úroveň 3 (P0)],AZ90,RZ[Úroveň 4 (P0)],BA90),$BK90*$IG90)</f>
        <v>0</v>
      </c>
      <c r="CF90" s="132">
        <f ca="1">RZ[[#This Row],[Úroveň 5 s koef. (P2a)]]*RZ[[#This Row],[Počet MJHR (P0)]]</f>
        <v>0</v>
      </c>
      <c r="CG90" s="132">
        <f ca="1">RZ[Úroveň 5 bez koef. (P2a)]*RZ[[#This Row],[Počet MJHR (P0)]]</f>
        <v>0</v>
      </c>
      <c r="CH90" s="132">
        <f ca="1">IF(OFFSET(BC90,1,0,1,1)&lt;&gt;0,RZ[[#This Row],[Koeficient odhadu HR '[-'] (P1)]]*$BL90*SUMIFS(RZ[Úroveň 6 s koef. (P2)],RZ[0],AX90,RZ[Úroveň 2 (P0)],AY90,RZ[Úroveň 3 (P0)],AZ90,RZ[Úroveň 4 (P0)],BA90,RZ[Úroveň 5 (P0)],BB90),RZ[[#This Row],[Koeficient odhadu HR '[-'] (P1)]]*$BL90*$IG90)</f>
        <v>0</v>
      </c>
      <c r="CI90" s="132">
        <f ca="1">IF(OFFSET(BC90,1,0,1,1)&lt;&gt;0,$BL90*SUMIFS(RZ[Úroveň 6 bez koef. (P2)],RZ[0],AX90,RZ[Úroveň 2 (P0)],AY90,RZ[Úroveň 3 (P0)],AZ90,RZ[Úroveň 4 (P0)],BA90,RZ[Úroveň 5 (P0)],BB90),$BL90*$IG90)</f>
        <v>0</v>
      </c>
      <c r="CJ90" s="138">
        <f ca="1">RZ[[#This Row],[Úroveň 6 s koef. (P2a)]]*RZ[[#This Row],[Počet MJHR (P0)]]</f>
        <v>0</v>
      </c>
      <c r="CK90" s="138">
        <f ca="1">RZ[Úroveň 6 bez koef. (P2a)]*RZ[[#This Row],[Počet MJHR (P0)]]</f>
        <v>0</v>
      </c>
      <c r="CL90" s="138">
        <f ca="1">IF(OFFSET(BD90,1,0,1,1)&lt;&gt;0,RZ[[#This Row],[Koeficient odhadu HR '[-'] (P1)]]*$BM90*SUMIFS(RZ[Úroveň 7 s koef. (P2)],RZ[0],AX90,RZ[Úroveň 2 (P0)],AY90,RZ[Úroveň 3 (P0)],AZ90,RZ[Úroveň 4 (P0)],BA90,RZ[Úroveň 5 (P0)],BB90,RZ[Úroveň 6 (P0)],BC90),RZ[[#This Row],[Koeficient odhadu HR '[-'] (P1)]]*$BM90*$IG90)</f>
        <v>0</v>
      </c>
      <c r="CM90" s="138">
        <f ca="1">IF(OFFSET(BD90,1,0,1,1)&lt;&gt;0,$BM90*SUMIFS(RZ[Úroveň 7 bez koef. (P2)],RZ[0],AX90,RZ[Úroveň 2 (P0)],AY90,RZ[Úroveň 3 (P0)],AZ90,RZ[Úroveň 4 (P0)],BA90,RZ[Úroveň 5 (P0)],BB90,RZ[Úroveň 6 (P0)],BC90),$BM90*$IG90)</f>
        <v>0</v>
      </c>
      <c r="CN90" s="132">
        <f ca="1">RZ[[#This Row],[Úroveň 7 s koef. (P2a)]]*RZ[[#This Row],[Počet MJHR (P0)]]</f>
        <v>0</v>
      </c>
      <c r="CO90" s="132">
        <f ca="1">RZ[Úroveň 7 bez koef. (P2a)]*RZ[[#This Row],[Počet MJHR (P0)]]</f>
        <v>0</v>
      </c>
      <c r="CP90" s="132">
        <f ca="1">IF(OFFSET(BE90,1,0,1,1)&lt;&gt;0,RZ[[#This Row],[Koeficient odhadu HR '[-'] (P1)]]*$BN90*SUMIFS(RZ[Úroveň 8 s koef. (P2)],RZ[0],AX90,RZ[Úroveň 2 (P0)],AY90,RZ[Úroveň 3 (P0)],AZ90,RZ[Úroveň 4 (P0)],BA90,RZ[Úroveň 5 (P0)],BB90,RZ[Úroveň 6 (P0)],BC90,RZ[Úroveň 7 (P0)],BD90),RZ[[#This Row],[Koeficient odhadu HR '[-'] (P1)]]*$BN90*$IG90)</f>
        <v>0</v>
      </c>
      <c r="CQ90" s="132">
        <f ca="1">IF(OFFSET(BE90,1,0,1,1)&lt;&gt;0,$BN90*SUMIFS(RZ[Úroveň 8 bez koef. (P2)],RZ[0],AX90,RZ[Úroveň 2 (P0)],AY90,RZ[Úroveň 3 (P0)],AZ90,RZ[Úroveň 4 (P0)],BA90,RZ[Úroveň 5 (P0)],BB90,RZ[Úroveň 6 (P0)],BC90,RZ[Úroveň 7 (P0)],BD90),$BN90*$IG90)</f>
        <v>0</v>
      </c>
      <c r="CR90" s="138">
        <f ca="1">RZ[[#This Row],[Úroveň 8 s koef. (P2a)]]*RZ[[#This Row],[Počet MJHR (P0)]]</f>
        <v>0</v>
      </c>
      <c r="CS90" s="138">
        <f ca="1">RZ[Úroveň 8 bez koef. (P2a)]*RZ[[#This Row],[Počet MJHR (P0)]]</f>
        <v>0</v>
      </c>
      <c r="CT90" s="138">
        <f ca="1">IF(OFFSET(BF90,1,0,1,1)&lt;&gt;0,RZ[[#This Row],[Koeficient odhadu HR '[-'] (P1)]]*$BO90*SUMIFS(RZ[Úroveň 9 s koef. (P2)],RZ[0],AX90,RZ[Úroveň 2 (P0)],AY90,RZ[Úroveň 3 (P0)],AZ90,RZ[Úroveň 4 (P0)],BA90,RZ[Úroveň 5 (P0)],BB90,RZ[Úroveň 6 (P0)],BC90,RZ[Úroveň 7 (P0)],BD90,RZ[Úroveň 8 (P0)],BE90),RZ[[#This Row],[Koeficient odhadu HR '[-'] (P1)]]*$BO90*$IG90)</f>
        <v>0</v>
      </c>
      <c r="CU90" s="138">
        <f ca="1">IF(OFFSET(BF90,1,0,1,1)&lt;&gt;0,$BO90*SUMIFS(RZ[Úroveň 9 bez koef. (P2)],RZ[0],AX90,RZ[Úroveň 2 (P0)],AY90,RZ[Úroveň 3 (P0)],AZ90,RZ[Úroveň 4 (P0)],BA90,RZ[Úroveň 5 (P0)],BB90,RZ[Úroveň 6 (P0)],BC90,RZ[Úroveň 7 (P0)],BD90,RZ[Úroveň 8 (P0)],BE90),$BO90*$IG90)</f>
        <v>0</v>
      </c>
      <c r="CV90" s="132">
        <f ca="1">RZ[[#This Row],[Úroveň 9 s koef. (P2a)]]*RZ[[#This Row],[Počet MJHR (P0)]]</f>
        <v>0</v>
      </c>
      <c r="CW90" s="132">
        <f ca="1">RZ[Úroveň 9 bez koef. (P2a)]*RZ[[#This Row],[Počet MJHR (P0)]]</f>
        <v>0</v>
      </c>
      <c r="CX90" s="132">
        <f ca="1">IF(OFFSET(BG90,1,0,1,1)&lt;&gt;0,RZ[[#This Row],[Koeficient odhadu HR '[-'] (P1)]]*$BP90*SUMIFS(RZ[Úroveň 10 s koef. (P2)],RZ[0],AX90,RZ[Úroveň 2 (P0)],AY90,RZ[Úroveň 3 (P0)],AZ90,RZ[Úroveň 4 (P0)],BA90,RZ[Úroveň 5 (P0)],BB90,RZ[Úroveň 6 (P0)],BC90,RZ[Úroveň 7 (P0)],BD90,RZ[Úroveň 8 (P0)],BE90,RZ[Úroveň 9 (P0)],BF90),RZ[[#This Row],[Koeficient odhadu HR '[-'] (P1)]]*$BP90*$IG90)</f>
        <v>0</v>
      </c>
      <c r="CY90" s="132">
        <f ca="1">IF(OFFSET(BG90,1,0,1,1)&lt;&gt;0,$BP90*SUMIFS(RZ[Úroveň 10 bez koef. (P2)],RZ[0],AX90,RZ[Úroveň 2 (P0)],AY90,RZ[Úroveň 3 (P0)],AZ90,RZ[Úroveň 4 (P0)],BA90,RZ[Úroveň 5 (P0)],BB90,RZ[Úroveň 6 (P0)],BC90,RZ[Úroveň 7 (P0)],BD90,RZ[Úroveň 8 (P0)],BE90,RZ[Úroveň 9 (P0)],BF90),$BP90*$IG90)</f>
        <v>0</v>
      </c>
      <c r="CZ90" s="138">
        <f>RZ[[#This Row],[Úroveň 10 s koef. (P2a)]]*RZ[[#This Row],[Počet MJHR (P0)]]</f>
        <v>0</v>
      </c>
      <c r="DA90" s="138">
        <f>RZ[Úroveň 10 bez koef. (P2a)]*RZ[[#This Row],[Počet MJHR (P0)]]</f>
        <v>0</v>
      </c>
      <c r="DB90" s="138">
        <f>RZ[[#This Row],[Koeficient odhadu HR '[-'] (P1)]]*$BQ90*IG90</f>
        <v>0</v>
      </c>
      <c r="DC90" s="231">
        <f>$BQ90*IG90</f>
        <v>0</v>
      </c>
      <c r="DD90" s="241">
        <f ca="1">IF(BH90=1,BR90,IF(BI90=1,BV90,IF(BJ90=1,BZ90,IF(BK90=1,CD90,IF(BL90=1,CH90,IF(BM90=1,CL90,IF(BN90=1,CP90,IF(BO90=1,CT90,IF(BP90=1,CX90,DB90)))))))))</f>
        <v>22.1</v>
      </c>
      <c r="DE90" s="229">
        <f ca="1">IF(BH90=1,BS90,IF(BI90=1,BW90,IF(BJ90=1,CA90,IF(BK90=1,CE90,IF(BL90=1,CI90,IF(BM90=1,CM90,IF(BN90=1,CQ90,IF(BO90=1,CU90,IF(BP90=1,CY90,DC90)))))))))</f>
        <v>22.1</v>
      </c>
      <c r="DF90" s="912">
        <f t="shared" ref="DF90:DO90" si="594">BH90*$IF90</f>
        <v>0</v>
      </c>
      <c r="DG90" s="913">
        <f t="shared" si="594"/>
        <v>0</v>
      </c>
      <c r="DH90" s="913">
        <f t="shared" si="594"/>
        <v>8</v>
      </c>
      <c r="DI90" s="913">
        <f t="shared" si="594"/>
        <v>0</v>
      </c>
      <c r="DJ90" s="913">
        <f t="shared" si="594"/>
        <v>0</v>
      </c>
      <c r="DK90" s="913">
        <f t="shared" si="594"/>
        <v>0</v>
      </c>
      <c r="DL90" s="913">
        <f t="shared" si="594"/>
        <v>0</v>
      </c>
      <c r="DM90" s="913">
        <f t="shared" si="594"/>
        <v>0</v>
      </c>
      <c r="DN90" s="913">
        <f t="shared" si="594"/>
        <v>0</v>
      </c>
      <c r="DO90" s="913">
        <f t="shared" si="594"/>
        <v>0</v>
      </c>
      <c r="DP90" s="914">
        <f ca="1">SUMIFS(RZ[Úroveň 1 (P4)],RZ[0],AX90)</f>
        <v>1</v>
      </c>
      <c r="DQ90" s="914">
        <f ca="1">SUMIFS(RZ[Úroveň 2 (P4)],RZ[0],AX90,RZ[Úroveň 2 (P0)],AY90)</f>
        <v>1</v>
      </c>
      <c r="DR90" s="914">
        <f ca="1">SUMIFS(RZ[Úroveň 3 (P4)],RZ[0],AX90,RZ[Úroveň 2 (P0)],AY90,RZ[Úroveň 3 (P0)],AZ90)</f>
        <v>8</v>
      </c>
      <c r="DS90" s="914">
        <f ca="1">SUMIFS(RZ[Úroveň 4 (P4)],RZ[0],AX90,RZ[Úroveň 2 (P0)],AY90,RZ[Úroveň 3 (P0)],AZ90,RZ[Úroveň 4 (P0)],BA90)</f>
        <v>0</v>
      </c>
      <c r="DT90" s="914">
        <f ca="1">SUMIFS(RZ[Úroveň 5 (P4)],RZ[0],AX90,RZ[Úroveň 2 (P0)],AY90,RZ[Úroveň 3 (P0)],AZ90,RZ[Úroveň 4 (P0)],BA90,RZ[Úroveň 5 (P0)],BB90)</f>
        <v>0</v>
      </c>
      <c r="DU90" s="914">
        <f ca="1">SUMIFS(RZ[Úroveň 6 (P4)],RZ[0],AX90,RZ[Úroveň 2 (P0)],AY90,RZ[Úroveň 3 (P0)],AZ90,RZ[Úroveň 4 (P0)],BA90,RZ[Úroveň 5 (P0)],BB90,RZ[Úroveň 6 (P0)],BC90)</f>
        <v>0</v>
      </c>
      <c r="DV90" s="914">
        <f ca="1">SUMIFS(RZ[Úroveň 7 (P4)],RZ[0],AX90,RZ[Úroveň 2 (P0)],AY90,RZ[Úroveň 3 (P0)],AZ90,RZ[Úroveň 4 (P0)],BA90,RZ[Úroveň 5 (P0)],BB90,RZ[Úroveň 6 (P0)],BC90,RZ[Úroveň 7 (P0)],BD90)</f>
        <v>0</v>
      </c>
      <c r="DW90" s="914">
        <f ca="1">SUMIFS(RZ[Úroveň 8 (P4)],RZ[0],AX90,RZ[Úroveň 2 (P0)],AY90,RZ[Úroveň 3 (P0)],AZ90,RZ[Úroveň 4 (P0)],BA90,RZ[Úroveň 5 (P0)],BB90,RZ[Úroveň 6 (P0)],BC90,RZ[Úroveň 7 (P0)],BD90,RZ[Úroveň 8 (P0)],BE90)</f>
        <v>0</v>
      </c>
      <c r="DX90" s="914">
        <f ca="1">SUMIFS(RZ[Úroveň 9 (P4)],RZ[0],AX90,RZ[Úroveň 2 (P0)],AY90,RZ[Úroveň 3 (P0)],AZ90,RZ[Úroveň 4 (P0)],BA90,RZ[Úroveň 5 (P0)],BB90,RZ[Úroveň 6 (P0)],BC90,RZ[Úroveň 7 (P0)],BD90,RZ[Úroveň 8 (P0)],BE90,RZ[Úroveň 9 (P0)],BF90)</f>
        <v>0</v>
      </c>
      <c r="DY90" s="914">
        <f ca="1">SUMIFS(RZ[Úroveň 10 (P4)],RZ[0],AX90,RZ[Úroveň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DZ90" s="915">
        <f ca="1">IF(DP90&lt;&gt;0,DP90,1)*IF(DQ90&lt;&gt;0,DQ90,1)*IF(DR90&lt;&gt;0,DR90,1)*IF(DS90&lt;&gt;0,DS90,1)*IF(DT90&lt;&gt;0,DT90,1)*IF(DU90&lt;&gt;0,DU90,1)*IF(DV90&lt;&gt;0,DV90,1)*IF(DW90&lt;&gt;0,DW90,1)*IF(DX90&lt;&gt;0,DX90,1)*IF(DY90&lt;&gt;0,DY90,1)</f>
        <v>8</v>
      </c>
      <c r="EA90" s="916">
        <f ca="1">RZ[[#This Row],[Jednotková hmotnost bez koef. '[kg/MJHR'] (P0)]]*RZ[[#This Row],[Počet MJHR v rozpadu (P0)]]</f>
        <v>176.8</v>
      </c>
      <c r="EB90" s="917">
        <f ca="1">IF(OFFSET(AY90,1,0,1,1)&lt;&gt;0,RZ[[#This Row],[Koeficient odhadu CR '[-'] (P1)]]*$BH90*SUMIFS(RZ[Úroveň 2 s koef. (P3)],RZ[0],AX90),RZ[[#This Row],[Koeficient odhadu CR '[-'] (P1)]]*$BH90*$IQ90)</f>
        <v>0</v>
      </c>
      <c r="EC90" s="191">
        <f ca="1">IF(OFFSET(AY90,1,0,1,1)&lt;&gt;0,$BH90*SUMIFS(RZ[Úroveň 2 bez koef. (P3)],RZ[0],AX90),$BH90*$IQ90)</f>
        <v>0</v>
      </c>
      <c r="ED90" s="140">
        <f ca="1">RZ[[#This Row],[Úroveň 2 s koef. (P3a)]]*RZ[[#This Row],[Počet MJCR (P0) pro "kg"]]</f>
        <v>0</v>
      </c>
      <c r="EE90" s="140">
        <f ca="1">RZ[Úroveň 2 bez koef. (P3a)]*RZ[[#This Row],[Počet MJCR (P0) pro "kg"]]</f>
        <v>0</v>
      </c>
      <c r="EF90" s="140">
        <f ca="1">IF(OFFSET(AZ90,1,0,1,1)&lt;&gt;0,RZ[[#This Row],[Koeficient odhadu CR '[-'] (P1)]]*$BI90*SUMIFS(RZ[Úroveň 3 s koef. (P3)],RZ[0],AX90,RZ[Úroveň 2 (P0)],AY90),RZ[[#This Row],[Koeficient odhadu CR '[-'] (P1)]]*$BI90*$IQ90)</f>
        <v>0</v>
      </c>
      <c r="EG90" s="140">
        <f ca="1">IF(OFFSET(AZ90,1,0,1,1)&lt;&gt;0,$BI90*SUMIFS(RZ[Úroveň 3 bez koef. (P3)],RZ[0],AX90,RZ[Úroveň 2 (P0)],AY90),$BI90*$IQ90)</f>
        <v>0</v>
      </c>
      <c r="EH90" s="135">
        <f ca="1">RZ[[#This Row],[Úroveň 3 s koef. (P3a)]]*RZ[[#This Row],[Počet MJCR (P0) pro "kg"]]</f>
        <v>220000.00000000003</v>
      </c>
      <c r="EI90" s="135">
        <f ca="1">RZ[Úroveň 3 bez koef. (P3a)]*RZ[[#This Row],[Počet MJCR (P0) pro "kg"]]</f>
        <v>200000</v>
      </c>
      <c r="EJ90" s="135">
        <f ca="1">IF(OFFSET(BA90,1,0,1,1)&lt;&gt;0,RZ[[#This Row],[Koeficient odhadu CR '[-'] (P1)]]*$BJ90*SUMIFS(RZ[Úroveň 4 s koef. (P3)],RZ[0],AX90,RZ[Úroveň 2 (P0)],AY90,RZ[Úroveň 3 (P0)],AZ90),RZ[[#This Row],[Koeficient odhadu CR '[-'] (P1)]]*$BJ90*$IQ90)</f>
        <v>27500.000000000004</v>
      </c>
      <c r="EK90" s="135">
        <f ca="1">IF(OFFSET(BA90,1,0,1,1)&lt;&gt;0,$BJ90*SUMIFS(RZ[Úroveň 4 bez koef. (P3)],RZ[0],AX90,RZ[Úroveň 2 (P0)],AY90,RZ[Úroveň 3 (P0)],AZ90),$BJ90*$IQ90)</f>
        <v>25000</v>
      </c>
      <c r="EL90" s="140">
        <f ca="1">RZ[[#This Row],[Úroveň 4 s koef. (P3a)]]*RZ[[#This Row],[Počet MJCR (P0) pro "kg"]]</f>
        <v>0</v>
      </c>
      <c r="EM90" s="140">
        <f ca="1">RZ[Úroveň 4 bez koef. (P3a)]*RZ[[#This Row],[Počet MJCR (P0) pro "kg"]]</f>
        <v>0</v>
      </c>
      <c r="EN90" s="140">
        <f ca="1">IF(OFFSET(BB90,1,0,1,1)&lt;&gt;0,RZ[[#This Row],[Koeficient odhadu CR '[-'] (P1)]]*$BK90*SUMIFS(RZ[Úroveň 5 s koef. (P3)],RZ[0],AX90,RZ[Úroveň 2 (P0)],AY90,RZ[Úroveň 3 (P0)],AZ90,RZ[Úroveň 4 (P0)],BA90),RZ[[#This Row],[Koeficient odhadu CR '[-'] (P1)]]*$BK90*$IQ90)</f>
        <v>0</v>
      </c>
      <c r="EO90" s="140">
        <f ca="1">IF(OFFSET(BB90,1,0,1,1)&lt;&gt;0,$BK90*SUMIFS(RZ[Úroveň 5 bez koef. (P3)],RZ[0],AX90,RZ[Úroveň 2 (P0)],AY90,RZ[Úroveň 3 (P0)],AZ90,RZ[Úroveň 4 (P0)],BA90),$BK90*$IQ90)</f>
        <v>0</v>
      </c>
      <c r="EP90" s="135">
        <f ca="1">RZ[[#This Row],[Úroveň 5 s koef. (P3a)]]*RZ[[#This Row],[Počet MJCR (P0) pro "kg"]]</f>
        <v>0</v>
      </c>
      <c r="EQ90" s="135">
        <f ca="1">RZ[Úroveň 5 bez koef. (P3a)]*RZ[[#This Row],[Počet MJCR (P0) pro "kg"]]</f>
        <v>0</v>
      </c>
      <c r="ER90" s="135">
        <f ca="1">IF(OFFSET(BC90,1,0,1,1)&lt;&gt;0,RZ[[#This Row],[Koeficient odhadu CR '[-'] (P1)]]*$BL90*SUMIFS(RZ[Úroveň 6 s koef. (P3)],RZ[0],AX90,RZ[Úroveň 2 (P0)],AY90,RZ[Úroveň 3 (P0)],AZ90,RZ[Úroveň 4 (P0)],BA90,RZ[Úroveň 5 (P0)],BB90),RZ[[#This Row],[Koeficient odhadu CR '[-'] (P1)]]*$BL90*$IQ90)</f>
        <v>0</v>
      </c>
      <c r="ES90" s="135">
        <f ca="1">IF(OFFSET(BC90,1,0,1,1)&lt;&gt;0,$BL90*SUMIFS(RZ[Úroveň 6 bez koef. (P3)],RZ[0],AX90,RZ[Úroveň 2 (P0)],AY90,RZ[Úroveň 3 (P0)],AZ90,RZ[Úroveň 4 (P0)],BA90,RZ[Úroveň 5 (P0)],BB90),$BL90*$IQ90)</f>
        <v>0</v>
      </c>
      <c r="ET90" s="140">
        <f ca="1">RZ[[#This Row],[Úroveň 6 s koef. (P3a)]]*RZ[[#This Row],[Počet MJCR (P0) pro "kg"]]</f>
        <v>0</v>
      </c>
      <c r="EU90" s="140">
        <f ca="1">RZ[Úroveň 6 bez koef. (P3a)]*RZ[[#This Row],[Počet MJCR (P0) pro "kg"]]</f>
        <v>0</v>
      </c>
      <c r="EV90" s="140">
        <f ca="1">IF(OFFSET(BD90,1,0,1,1)&lt;&gt;0,RZ[[#This Row],[Koeficient odhadu CR '[-'] (P1)]]*$BM90*SUMIFS(RZ[Úroveň 7 s koef. (P3)],RZ[0],AX90,RZ[Úroveň 2 (P0)],AY90,RZ[Úroveň 3 (P0)],AZ90,RZ[Úroveň 4 (P0)],BA90,RZ[Úroveň 5 (P0)],BB90,RZ[Úroveň 6 (P0)],BC90),RZ[[#This Row],[Koeficient odhadu CR '[-'] (P1)]]*$BM90*$IQ90)</f>
        <v>0</v>
      </c>
      <c r="EW90" s="140">
        <f ca="1">IF(OFFSET(BD90,1,0,1,1)&lt;&gt;0,$BM90*SUMIFS(RZ[Úroveň 7 bez koef. (P3)],RZ[0],AX90,RZ[Úroveň 2 (P0)],AY90,RZ[Úroveň 3 (P0)],AZ90,RZ[Úroveň 4 (P0)],BA90,RZ[Úroveň 5 (P0)],BB90,RZ[Úroveň 6 (P0)],BC90),$BM90*$IQ90)</f>
        <v>0</v>
      </c>
      <c r="EX90" s="135">
        <f ca="1">RZ[[#This Row],[Úroveň 7 s koef. (P3a)]]*RZ[[#This Row],[Počet MJCR (P0) pro "kg"]]</f>
        <v>0</v>
      </c>
      <c r="EY90" s="135">
        <f ca="1">RZ[Úroveň 7 bez koef. (P3a)]*RZ[[#This Row],[Počet MJCR (P0) pro "kg"]]</f>
        <v>0</v>
      </c>
      <c r="EZ90" s="135">
        <f ca="1">IF(OFFSET(BE90,1,0,1,1)&lt;&gt;0,RZ[[#This Row],[Koeficient odhadu CR '[-'] (P1)]]*$BN90*SUMIFS(RZ[Úroveň 8 s koef. (P3)],RZ[0],AX90,RZ[Úroveň 2 (P0)],AY90,RZ[Úroveň 3 (P0)],AZ90,RZ[Úroveň 4 (P0)],BA90,RZ[Úroveň 5 (P0)],BB90,RZ[Úroveň 6 (P0)],BC90,RZ[Úroveň 7 (P0)],BD90),RZ[[#This Row],[Koeficient odhadu CR '[-'] (P1)]]*$BN90*$IQ90)</f>
        <v>0</v>
      </c>
      <c r="FA90" s="135">
        <f ca="1">IF(OFFSET(BE90,1,0,1,1)&lt;&gt;0,$BN90*SUMIFS(RZ[Úroveň 8 bez koef. (P3)],RZ[0],AX90,RZ[Úroveň 2 (P0)],AY90,RZ[Úroveň 3 (P0)],AZ90,RZ[Úroveň 4 (P0)],BA90,RZ[Úroveň 5 (P0)],BB90,RZ[Úroveň 6 (P0)],BC90,RZ[Úroveň 7 (P0)],BD90),$BN90*$IQ90)</f>
        <v>0</v>
      </c>
      <c r="FB90" s="140">
        <f ca="1">RZ[[#This Row],[Úroveň 8 s koef. (P3a)]]*RZ[[#This Row],[Počet MJCR (P0) pro "kg"]]</f>
        <v>0</v>
      </c>
      <c r="FC90" s="140">
        <f ca="1">RZ[Úroveň 8 bez koef. (P3a)]*RZ[[#This Row],[Počet MJCR (P0) pro "kg"]]</f>
        <v>0</v>
      </c>
      <c r="FD90" s="140">
        <f ca="1">IF(OFFSET(BF90,1,0,1,1)&lt;&gt;0,RZ[[#This Row],[Koeficient odhadu CR '[-'] (P1)]]*$BO90*SUMIFS(RZ[Úroveň 9 s koef. (P3)],RZ[0],AX90,RZ[Úroveň 2 (P0)],AY90,RZ[Úroveň 3 (P0)],AZ90,RZ[Úroveň 4 (P0)],BA90,RZ[Úroveň 5 (P0)],BB90,RZ[Úroveň 6 (P0)],BC90,RZ[Úroveň 7 (P0)],BD90,RZ[Úroveň 8 (P0)],BE90),RZ[[#This Row],[Koeficient odhadu CR '[-'] (P1)]]*$BO90*$IQ90)</f>
        <v>0</v>
      </c>
      <c r="FE90" s="140">
        <f ca="1">IF(OFFSET(BF90,1,0,1,1)&lt;&gt;0,$BO90*SUMIFS(RZ[Úroveň 9 bez koef. (P3)],RZ[0],AX90,RZ[Úroveň 2 (P0)],AY90,RZ[Úroveň 3 (P0)],AZ90,RZ[Úroveň 4 (P0)],BA90,RZ[Úroveň 5 (P0)],BB90,RZ[Úroveň 6 (P0)],BC90,RZ[Úroveň 7 (P0)],BD90,RZ[Úroveň 8 (P0)],BE90),$BO90*$IQ90)</f>
        <v>0</v>
      </c>
      <c r="FF90" s="135">
        <f ca="1">RZ[[#This Row],[Úroveň 9 s koef. (P3a)]]*RZ[[#This Row],[Počet MJCR (P0) pro "kg"]]</f>
        <v>0</v>
      </c>
      <c r="FG90" s="135">
        <f ca="1">RZ[Úroveň 9 bez koef. (P3a)]*RZ[[#This Row],[Počet MJCR (P0) pro "kg"]]</f>
        <v>0</v>
      </c>
      <c r="FH90" s="135">
        <f ca="1">IF(OFFSET(BG90,1,0,1,1)&lt;&gt;0,RZ[[#This Row],[Koeficient odhadu CR '[-'] (P1)]]*$BP90*SUMIFS(RZ[Úroveň 10 s koef. (P3)],RZ[0],AX90,RZ[Úroveň 2 (P0)],AY90,RZ[Úroveň 3 (P0)],AZ90,RZ[Úroveň 4 (P0)],BA90,RZ[Úroveň 5 (P0)],BB90,RZ[Úroveň 6 (P0)],BC90,RZ[Úroveň 7 (P0)],BD90,RZ[Úroveň 8 (P0)],BE90,RZ[Úroveň 9 (P0)],BF90),RZ[[#This Row],[Koeficient odhadu CR '[-'] (P1)]]*$BP90*$IQ90)</f>
        <v>0</v>
      </c>
      <c r="FI90" s="135">
        <f ca="1">IF(OFFSET(BG90,1,0,1,1)&lt;&gt;0,$BP90*SUMIFS(RZ[Úroveň 10 bez koef. (P3)],RZ[0],AX90,RZ[Úroveň 2 (P0)],AY90,RZ[Úroveň 3 (P0)],AZ90,RZ[Úroveň 4 (P0)],BA90,RZ[Úroveň 5 (P0)],BB90,RZ[Úroveň 6 (P0)],BC90,RZ[Úroveň 7 (P0)],BD90,RZ[Úroveň 8 (P0)],BE90,RZ[Úroveň 9 (P0)],BF90),$BP90*$IQ90)</f>
        <v>0</v>
      </c>
      <c r="FJ90" s="140">
        <f ca="1">RZ[[#This Row],[Úroveň 10 s koef. (P3a)]]*RZ[[#This Row],[Počet MJCR (P0) pro "kg"]]</f>
        <v>0</v>
      </c>
      <c r="FK90" s="140">
        <f ca="1">RZ[Úroveň 10 bez koef. (P3a)]*RZ[[#This Row],[Počet MJCR (P0) pro "kg"]]</f>
        <v>0</v>
      </c>
      <c r="FL90" s="140">
        <f ca="1">RZ[[#This Row],[Koeficient odhadu CR '[-'] (P1)]]*$BQ90*IQ90</f>
        <v>0</v>
      </c>
      <c r="FM90" s="236">
        <f ca="1">$BQ90*IQ90</f>
        <v>0</v>
      </c>
      <c r="FN90" s="194">
        <f ca="1">IF(BH90=1,EB90,IF(BI90=1,EF90,IF(BJ90=1,EJ90,IF(BK90=1,EN90,IF(BL90=1,ER90,IF(BM90=1,EV90,IF(BN90=1,EZ90,IF(BO90=1,FD90,IF(BP90=1,FH90,FL90)))))))))</f>
        <v>27500.000000000004</v>
      </c>
      <c r="FO90" s="238">
        <f ca="1">IF(BH90=1,EC90,IF(BI90=1,EG90,IF(BJ90=1,EK90,IF(BK90=1,EO90,IF(BL90=1,ES90,IF(BM90=1,EW90,IF(BN90=1,FA90,IF(BO90=1,FE90,IF(BP90=1,FI90,FM90)))))))))</f>
        <v>25000</v>
      </c>
      <c r="FP90" s="135">
        <f t="shared" ref="FP90:FY90" ca="1" si="595">BH90*$IK90</f>
        <v>0</v>
      </c>
      <c r="FQ90" s="135">
        <f t="shared" ca="1" si="595"/>
        <v>0</v>
      </c>
      <c r="FR90" s="135">
        <f t="shared" ca="1" si="595"/>
        <v>8</v>
      </c>
      <c r="FS90" s="135">
        <f t="shared" ca="1" si="595"/>
        <v>0</v>
      </c>
      <c r="FT90" s="135">
        <f t="shared" ca="1" si="595"/>
        <v>0</v>
      </c>
      <c r="FU90" s="135">
        <f t="shared" ca="1" si="595"/>
        <v>0</v>
      </c>
      <c r="FV90" s="135">
        <f t="shared" ca="1" si="595"/>
        <v>0</v>
      </c>
      <c r="FW90" s="135">
        <f t="shared" ca="1" si="595"/>
        <v>0</v>
      </c>
      <c r="FX90" s="135">
        <f t="shared" ca="1" si="595"/>
        <v>0</v>
      </c>
      <c r="FY90" s="135">
        <f t="shared" ca="1" si="595"/>
        <v>0</v>
      </c>
      <c r="FZ90" s="140">
        <f ca="1">SUMIFS(RZ[Úroveň 1 (P6)],RZ[0],AX90)</f>
        <v>1</v>
      </c>
      <c r="GA90" s="140">
        <f ca="1">SUMIFS(RZ[Úroveň 2 (P6)],RZ[0],AX90,RZ[Úroveň 2 (P0)],AY90)</f>
        <v>1</v>
      </c>
      <c r="GB90" s="140">
        <f ca="1">SUMIFS(RZ[Úroveň 3 (P6)],RZ[0],AX90,RZ[Úroveň 2 (P0)],AY90,RZ[Úroveň 3 (P0)],AZ90)</f>
        <v>8</v>
      </c>
      <c r="GC90" s="140">
        <f ca="1">SUMIFS(RZ[Úroveň 4 (P6)],RZ[0],AX90,RZ[Úroveň 2 (P0)],AY90,RZ[Úroveň 3 (P0)],AZ90,RZ[Úroveň 4 (P0)],BA90)</f>
        <v>0</v>
      </c>
      <c r="GD90" s="140">
        <f ca="1">SUMIFS(RZ[Úroveň 5 (P6)],RZ[0],AX90,RZ[Úroveň 2 (P0)],AY90,RZ[Úroveň 3 (P0)],AZ90,RZ[Úroveň 4 (P0)],BA90,RZ[Úroveň 5 (P0)],BB90)</f>
        <v>0</v>
      </c>
      <c r="GE90" s="140">
        <f ca="1">SUMIFS(RZ[Úroveň 6 (P6)],RZ[0],AX90,RZ[Úroveň 2 (P0)],AY90,RZ[Úroveň 3 (P0)],AZ90,RZ[Úroveň 4 (P0)],BA90,RZ[Úroveň 5 (P0)],BB90,RZ[Úroveň 6 (P0)],BC90)</f>
        <v>0</v>
      </c>
      <c r="GF90" s="140">
        <f ca="1">SUMIFS(RZ[Úroveň 7 (P6)],RZ[0],AX90,RZ[Úroveň 2 (P0)],AY90,RZ[Úroveň 3 (P0)],AZ90,RZ[Úroveň 4 (P0)],BA90,RZ[Úroveň 5 (P0)],BB90,RZ[Úroveň 6 (P0)],BC90,RZ[Úroveň 7 (P0)],BD90)</f>
        <v>0</v>
      </c>
      <c r="GG90" s="140">
        <f ca="1">SUMIFS(RZ[Úroveň 8 (P6)],RZ[0],AX90,RZ[Úroveň 2 (P0)],AY90,RZ[Úroveň 3 (P0)],AZ90,RZ[Úroveň 4 (P0)],BA90,RZ[Úroveň 5 (P0)],BB90,RZ[Úroveň 6 (P0)],BC90,RZ[Úroveň 7 (P0)],BD90,RZ[Úroveň 8 (P0)],BE90)</f>
        <v>0</v>
      </c>
      <c r="GH90" s="140">
        <f ca="1">SUMIFS(RZ[Úroveň 9 (P6)],RZ[0],AX90,RZ[Úroveň 2 (P0)],AY90,RZ[Úroveň 3 (P0)],AZ90,RZ[Úroveň 4 (P0)],BA90,RZ[Úroveň 5 (P0)],BB90,RZ[Úroveň 6 (P0)],BC90,RZ[Úroveň 7 (P0)],BD90,RZ[Úroveň 8 (P0)],BE90,RZ[Úroveň 9 (P0)],BF90)</f>
        <v>0</v>
      </c>
      <c r="GI90" s="140">
        <f ca="1">SUMIFS(RZ[Úroveň 10 (P6)],RZ[0],AX90,RZ[Úroveň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GJ90" s="918">
        <f ca="1">IF(FZ90&lt;&gt;0,FZ90,1)*IF(GA90&lt;&gt;0,GA90,1)*IF(GB90&lt;&gt;0,GB90,1)*IF(GC90&lt;&gt;0,GC90,1)*IF(GD90&lt;&gt;0,GD90,1)*IF(GE90&lt;&gt;0,GE90,1)*IF(GF90&lt;&gt;0,GF90,1)*IF(GG90&lt;&gt;0,GG90,1)*IF(GH90&lt;&gt;0,GH90,1)*IF(GI90&lt;&gt;0,GI90,1)</f>
        <v>8</v>
      </c>
      <c r="GK90" s="808">
        <f t="shared" ref="GK90:GT90" si="596">BH90*$IO90</f>
        <v>0</v>
      </c>
      <c r="GL90" s="808">
        <f t="shared" si="596"/>
        <v>0</v>
      </c>
      <c r="GM90" s="808">
        <f t="shared" si="596"/>
        <v>1.1000000000000001</v>
      </c>
      <c r="GN90" s="808">
        <f t="shared" si="596"/>
        <v>0</v>
      </c>
      <c r="GO90" s="808">
        <f t="shared" si="596"/>
        <v>0</v>
      </c>
      <c r="GP90" s="808">
        <f t="shared" si="596"/>
        <v>0</v>
      </c>
      <c r="GQ90" s="808">
        <f t="shared" si="596"/>
        <v>0</v>
      </c>
      <c r="GR90" s="808">
        <f t="shared" si="596"/>
        <v>0</v>
      </c>
      <c r="GS90" s="808">
        <f t="shared" si="596"/>
        <v>0</v>
      </c>
      <c r="GT90" s="808">
        <f t="shared" si="596"/>
        <v>0</v>
      </c>
      <c r="GU90" s="809">
        <f ca="1">SUMIFS(RZ[Sloupec1],RZ[0],AX90)</f>
        <v>1</v>
      </c>
      <c r="GV90" s="809">
        <f ca="1">SUMIFS(RZ[Sloupec2],RZ[0],AX90,RZ[Úroveň 2 (P0)],AY90)</f>
        <v>1</v>
      </c>
      <c r="GW90" s="809">
        <f ca="1">SUMIFS(RZ[Sloupec3],RZ[0],AX90,RZ[Úroveň 2 (P0)],AY90,RZ[Úroveň 3 (P0)],AZ90)</f>
        <v>1.1000000000000001</v>
      </c>
      <c r="GX90" s="809">
        <f ca="1">SUMIFS(RZ[Sloupec4],RZ[0],AX90,RZ[Úroveň 2 (P0)],AY90,RZ[Úroveň 3 (P0)],AZ90,RZ[Úroveň 4 (P0)],BA90)</f>
        <v>0</v>
      </c>
      <c r="GY90" s="809">
        <f ca="1">SUMIFS(RZ[Sloupec5],RZ[0],AX90,RZ[Úroveň 2 (P0)],AY90,RZ[Úroveň 3 (P0)],AZ90,RZ[Úroveň 4 (P0)],BA90,RZ[Úroveň 5 (P0)],BB90)</f>
        <v>0</v>
      </c>
      <c r="GZ90" s="809">
        <f ca="1">SUMIFS(RZ[Sloupec6],RZ[0],AX90,RZ[Úroveň 2 (P0)],AY90,RZ[Úroveň 3 (P0)],AZ90,RZ[Úroveň 4 (P0)],BA90,RZ[Úroveň 5 (P0)],BB90,RZ[Úroveň 6 (P0)],BC90)</f>
        <v>0</v>
      </c>
      <c r="HA90" s="809">
        <f ca="1">SUMIFS(RZ[Sloupec62],RZ[0],AX90,RZ[Úroveň 2 (P0)],AY90,RZ[Úroveň 3 (P0)],AZ90,RZ[Úroveň 4 (P0)],BA90,RZ[Úroveň 5 (P0)],BB90,RZ[Úroveň 6 (P0)],BC90,RZ[Úroveň 7 (P0)],BD90)</f>
        <v>0</v>
      </c>
      <c r="HB90" s="809">
        <f ca="1">SUMIFS(RZ[Sloupec63],RZ[0],AX90,RZ[Úroveň 2 (P0)],AY90,RZ[Úroveň 3 (P0)],AZ90,RZ[Úroveň 4 (P0)],BA90,RZ[Úroveň 5 (P0)],BB90,RZ[Úroveň 6 (P0)],BC90,RZ[Úroveň 7 (P0)],BD90,RZ[Úroveň 8 (P0)],BE90)</f>
        <v>0</v>
      </c>
      <c r="HC90" s="809">
        <f ca="1">SUMIFS(RZ[Sloupec64],RZ[0],AX90,RZ[Úroveň 2 (P0)],AY90,RZ[Úroveň 3 (P0)],AZ90,RZ[Úroveň 4 (P0)],BA90,RZ[Úroveň 5 (P0)],BB90,RZ[Úroveň 6 (P0)],BC90,RZ[Úroveň 7 (P0)],BD90,RZ[Úroveň 8 (P0)],BE90,RZ[Úroveň 9 (P0)],BF90)</f>
        <v>0</v>
      </c>
      <c r="HD90" s="809">
        <f ca="1">SUMIFS(RZ[Sloupec65],RZ[0],AX90,RZ[Úroveň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HE90" s="919">
        <f ca="1">IF(GU90&lt;&gt;0,GU90,1)*IF(GV90&lt;&gt;0,GV90,1)*IF(GW90&lt;&gt;0,GW90,1)*IF(GX90&lt;&gt;0,GX90,1)*IF(GY90&lt;&gt;0,GY90,1)*IF(GZ90&lt;&gt;0,GZ90,1)*IF(HA90&lt;&gt;0,HA90,1)*IF(HB90&lt;&gt;0,HB90,1)*IF(HC90&lt;&gt;0,HC90,1)*IF(HD90&lt;&gt;0,HD90,1)</f>
        <v>1.1000000000000001</v>
      </c>
      <c r="HF90" s="920" t="str">
        <f>IF($IW90=$MJ$15,IF(MK90="","",MK90),IF(IY90="","",IY90))</f>
        <v/>
      </c>
      <c r="HG90" s="94" t="str">
        <f>IF($IW90=$MJ$15,IF($MJ90=1,$MS90,""),IF(IZ90="","",IZ90))</f>
        <v/>
      </c>
      <c r="HH90" s="95" t="str">
        <f>IF($IW90=$MJ$15,IF($MJ90=2,$MS90,""),IF(JA90="","",JA90))</f>
        <v/>
      </c>
      <c r="HI90" s="95" t="str">
        <f>IF($IW90=$MJ$15,IF($MJ90=3,$MS90,""),IF(JB90="","",JB90))</f>
        <v>Ložisko 22324</v>
      </c>
      <c r="HJ90" s="96" t="str">
        <f>IF($IW90=$MJ$15,IF($MJ90=4,$MS90,""),IF(JC90="","",JC90))</f>
        <v/>
      </c>
      <c r="HK90" s="96" t="str">
        <f>IF($IW90=$MJ$15,IF($MJ90=5,$MS90,""),IF(JD90="","",JD90))</f>
        <v/>
      </c>
      <c r="HL90" s="96" t="str">
        <f>IF($IW90=$MJ$15,IF($MJ90=6,$MS90,""),IF(JE90="","",JE90))</f>
        <v/>
      </c>
      <c r="HM90" s="96" t="str">
        <f>IF($IW90=$MJ$15,IF($MJ90=7,$MS90,""),IF(JF90="","",JF90))</f>
        <v/>
      </c>
      <c r="HN90" s="96" t="str">
        <f>IF($IW90=$MJ$15,IF($MJ90=8,$MS90,""),IF(JG90="","",JG90))</f>
        <v/>
      </c>
      <c r="HO90" s="96" t="str">
        <f>IF($IW90=$MJ$15,IF($MJ90=9,$MS90,""),IF(JH90="","",JH90))</f>
        <v/>
      </c>
      <c r="HP90" s="96" t="str">
        <f>IF($IW90=$MJ$15,IF($MJ90=10,$MS90,""),IF(JI90="","",JI90))</f>
        <v/>
      </c>
      <c r="HQ90" s="145" t="str">
        <f>IF($IW90=$MJ$15,IF(ML90="","N/A",ML90),IF(JJ90="","N/A",JJ90))</f>
        <v>STLO</v>
      </c>
      <c r="HR90" s="921" t="str">
        <f>IF($IW90=$MJ$15,IF(MM90="","",MM90),IF(JK90="","",JK90))</f>
        <v/>
      </c>
      <c r="HS90" s="173">
        <f>IF($IW90=$JL$15,JL90,IF($IW90=$KE$15,KE90,IF($IW90=$KX$15,KX90,IF($IW90=$LQ$15,LQ90,IF($IW90=$MJ$15,NE90,0)))))</f>
        <v>0</v>
      </c>
      <c r="HT90" s="100">
        <f>IF($IW90=$JL$15,JM90,IF($IW90=$KE$15,KF90,IF($IW90=$KX$15,KY90,IF($IW90=$LQ$15,LR90,IF($IW90=$MJ$15,NF90,0)))))</f>
        <v>0</v>
      </c>
      <c r="HU90" s="100">
        <f>IF($IW90=$JL$15,JN90,IF($IW90=$KE$15,KG90,IF($IW90=$KX$15,KZ90,IF($IW90=$LQ$15,LS90,IF($IW90=$MJ$15,NG90,0)))))</f>
        <v>0</v>
      </c>
      <c r="HV90" s="908" t="str">
        <f>IF($IW90=$JL$15,JU90,IF($IW90=$KE$15,KN90,IF($IW90=$KX$15,LG90,IF($IW90=$LQ$15,LZ90,IF($IW90=$MJ$15,NN90,0)))))</f>
        <v>Zajíc</v>
      </c>
      <c r="HW90" s="922">
        <f>IF($IW90=$JL$15,JV90,IF($IW90=$KE$15,KO90,IF($IW90=$KX$15,LH90,IF($IW90=$LQ$15,MA90,IF($IW90=$MJ$15,NO90,0)))))</f>
        <v>42950.618680555555</v>
      </c>
      <c r="HX90" s="224">
        <f>IF($IW90=$JL$15,JW90,IF($IW90=$KE$15,KP90,IF($IW90=$KX$15,LI90,IF($IW90=$LQ$15,MB90,IF($IW90=$MJ$15,NP90,0)))))</f>
        <v>0</v>
      </c>
      <c r="HY90" s="263" t="str">
        <f>IF($IW90=$JL$15,JS90,IF($IW90=$KE$15,KL90,IF($IW90=$KX$15,LE90,IF($IW90=$LQ$15,LX90,IF($IW90=$MJ$15,NL90,0)))))</f>
        <v>S</v>
      </c>
      <c r="HZ90" s="263" t="str">
        <f>IF($IW90=$JL$15,KC90,IF($IW90=$KE$15,KV90,IF($IW90=$KX$15,LO90,IF($IW90=$LQ$15,MH90,IF($IW90=$MJ$15,NV90,0)))))</f>
        <v>N</v>
      </c>
      <c r="IA90" s="150">
        <f>IF($IW90=$JL$15,JR90,IF($IW90=$KE$15,KK90,IF($IW90=$KX$15,LD90,IF($IW90=$LQ$15,LW90,IF($IW90=$MJ$15,NK90,0)))))</f>
        <v>1</v>
      </c>
      <c r="IB90" s="319">
        <f>IF($IW90=$JL$15,JZ90,IF($IW90=$KE$15,KS90,IF($IW90=$KX$15,LL90,IF($IW90=$LQ$15,ME90,IF($IW90=$MJ$15,NS90,0)))))</f>
        <v>25000</v>
      </c>
      <c r="IC90" s="923">
        <f>IF($IW90=$JL$15,KB90,IF($IW90=$KE$15,KU90,IF($IW90=$KX$15,LN90,IF($IW90=$LQ$15,MG90,IF($IW90=$MJ$15,NU90,0)))))</f>
        <v>1.1000000000000001</v>
      </c>
      <c r="ID90" s="924" t="str">
        <f ca="1">IF((BH90+OFFSET(BH90,1,1,1,1))=2,"--",IF((BI90+OFFSET(BI90,1,1,1,1))=2,"--",IF((BJ90+OFFSET(BJ90,1,1,1,1))=2,"--",IF((BK90+OFFSET(BK90,1,1,1,1))=2,"--",IF((BL90+OFFSET(BL90,1,1,1,1))=2,"--",IF((BM90+OFFSET(BM90,1,1,1,1))=2,"--",IF((BN90+OFFSET(BN90,1,1,1,1))=2,"--",IF((BO90+OFFSET(BO90,1,1,1,1))=2,"--",IF((BP90+OFFSET(BP90,1,1,1,1))=2,"--",IF((BQ90+OFFSET(BQ90,1,1,1,1))=2,"--","OK"))))))))))</f>
        <v>OK</v>
      </c>
      <c r="IE90" s="201" t="str">
        <f>IF($IW90=$JL$15,JO90,IF($IW90=$KE$15,KH90,IF($IW90=$KX$15,LA90,IF($IW90=$LQ$15,LT90,IF($IW90=$MJ$15,NH90,0)))))</f>
        <v>ks</v>
      </c>
      <c r="IF90" s="145">
        <f>IF($IW90=$JL$15,JP90,IF($IW90=$KE$15,KI90,IF($IW90=$KX$15,LB90,IF($IW90=$LQ$15,LU90,IF($IW90=$MJ$15,NI90,0)))))</f>
        <v>8</v>
      </c>
      <c r="IG90" s="216">
        <f>IF($IW90=$JL$15,JQ90,IF($IW90=$KE$15,KJ90,IF($IW90=$KX$15,LC90,IF($IW90=$LQ$15,LV90,IF($IW90=$MJ$15,NJ90,0)))))</f>
        <v>22.1</v>
      </c>
      <c r="IH90" s="217">
        <f>IF(IA90=0,1,IA90)</f>
        <v>1</v>
      </c>
      <c r="II90" s="224" t="str">
        <f ca="1">IF(RZ[[#This Row],[Rozhodný sloupec indikativní ceny]]=1,"kg",IF($IW90=$JL$15,IF(JX90=0,JO90,JX90),IF($IW90=$KE$15,IF(KQ90=0,KH90,KQ90),IF($IW90=$KX$15,IF(LJ90=0,LA90,LJ90),IF($IW90=$LQ$15,IF(MC90=0,LT90,MC90),IF($IW90=$MJ$15,IF(NQ90=0,NH90,NQ90),0))))))</f>
        <v>ks</v>
      </c>
      <c r="IJ90" s="224">
        <f ca="1">IF((BH90+OFFSET(BH90,1,1,1,1))=2,RZ[[#This Row],[Počet MJHR (P0)]],IF((BI90+OFFSET(BI90,1,1,1,1))=2,RZ[[#This Row],[Počet MJHR (P0)]],IF((BJ90+OFFSET(BJ90,1,1,1,1))=2,RZ[[#This Row],[Počet MJHR (P0)]],IF((BK90+OFFSET(BK90,1,1,1,1))=2,RZ[[#This Row],[Počet MJHR (P0)]],IF((BL90+OFFSET(BL90,1,1,1,1))=2,RZ[[#This Row],[Počet MJHR (P0)]],IF((BM90+OFFSET(BM90,1,1,1,1))=2,RZ[[#This Row],[Počet MJHR (P0)]],IF((BN90+OFFSET(BN90,1,1,1,1))=2,RZ[[#This Row],[Počet MJHR (P0)]],IF((BO90+OFFSET(BO90,1,1,1,1))=2,RZ[[#This Row],[Počet MJHR (P0)]],IF((BP90+OFFSET(BP90,1,1,1,1))=2,RZ[[#This Row],[Počet MJHR (P0)]],IF((BQ90+OFFSET(BQ90,1,1,1,1))=2,RZ[[#This Row],[Počet MJHR (P0)]],IF(RZ[[#This Row],[Měrná jednotka CR (MJCR) (P0)]]=RZ[[#This Row],[Měrná jednotka HR '[MJHR'] (P0)]],RZ[[#This Row],[Počet MJHR (P0)]],IF($IW90=$JL$15,JY90,IF($IW90=$KE$15,KR90,IF($IW90=$KX$15,LK90,IF($IW90=$LQ$15,MD90,IF($IW90=$MJ$15,NR90,0))))))))))))))))</f>
        <v>8</v>
      </c>
      <c r="IK9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90" s="145">
        <f ca="1">IF(AND(RZ[[#This Row],[Jednotková cena bez DPH '[cena/MJCR'] (P0)]]=0,RZ[[#This Row],[Indikativní jednotková cena '[CZK/kg'] (P1)]]&lt;&gt;0),1,0)</f>
        <v>0</v>
      </c>
      <c r="IM90" s="217">
        <f ca="1">VLOOKUP(RZ[[#This Row],[Kód položek]],INDIKAT_CENA,2,FALSE)</f>
        <v>0</v>
      </c>
      <c r="IN90" s="222">
        <f ca="1">IF(RZ[[#This Row],[Rozhodný sloupec indikativní ceny]]=1,RZ[[#This Row],[Indikativní jednotková cena '[CZK/kg'] (P1)]],RZ[[#This Row],[Jednotková cena bez DPH '[cena/MJCR'] (P0)]])</f>
        <v>25000</v>
      </c>
      <c r="IO90" s="222">
        <f>IF(IC90=0,1,IC90)</f>
        <v>1.1000000000000001</v>
      </c>
      <c r="IP90" s="224">
        <f ca="1">IF(RZ[[#This Row],[Rozhodný sloupec indikativní ceny]]=1,1,IF($IW90=$JL$15,KA90,IF($IW90=$KE$15,KT90,IF($IW90=$KX$15,LM90,IF($IW90=$LQ$15,MF90,IF($IW90=$MJ$15,NT90,0))))))</f>
        <v>1</v>
      </c>
      <c r="IQ90" s="225">
        <f ca="1">IF(RZ[[#This Row],[Jednotková cena bez DPH '[cena/MJCR'] (P1)]]="",0,IF(IP90=0,0,(RZ[[#This Row],[Jednotková cena bez DPH '[cena/MJCR'] (P1)]]*VLOOKUP(IP90,$BR$7:$BT$10,3))))</f>
        <v>25000</v>
      </c>
      <c r="IR90" s="737"/>
      <c r="IS90" s="627">
        <f>IF(HY90=0,"",VLOOKUP(RZ[[#This Row],[Stav Projekce (P0)]],Vstupy!$E$11:'Vstupy'!$E$11:$H$17,4,FALSE))</f>
        <v>100</v>
      </c>
      <c r="IT90" s="925" t="str">
        <f>IF(RZ[[#This Row],[Stav Projekce (P0)]]=0,"",RZ[[#This Row],[Stav Projekce (P0)]])</f>
        <v>S</v>
      </c>
      <c r="IU90" s="925" t="str">
        <f>IF(RZ[[#This Row],[Stav Nákup (P0)]]=0,"",RZ[[#This Row],[Stav Nákup (P0)]])</f>
        <v>N</v>
      </c>
      <c r="IV90" s="926" t="str">
        <f>IF(HV90=0,"",HV90)</f>
        <v>Zajíc</v>
      </c>
      <c r="IW90" s="555">
        <v>1</v>
      </c>
      <c r="IX90" s="630"/>
      <c r="IY90" s="264"/>
      <c r="IZ90" s="648"/>
      <c r="JA90" s="100"/>
      <c r="JB90" s="100" t="s">
        <v>796</v>
      </c>
      <c r="JC90" s="100"/>
      <c r="JD90" s="100"/>
      <c r="JE90" s="100"/>
      <c r="JF90" s="100"/>
      <c r="JG90" s="100"/>
      <c r="JH90" s="100"/>
      <c r="JI90" s="100"/>
      <c r="JJ90" s="145" t="s">
        <v>797</v>
      </c>
      <c r="JK90" s="529"/>
      <c r="JL90" s="286"/>
      <c r="JM90" s="100"/>
      <c r="JN90" s="100"/>
      <c r="JO90" s="145" t="s">
        <v>35</v>
      </c>
      <c r="JP90" s="117">
        <v>8</v>
      </c>
      <c r="JQ90" s="117">
        <v>22.1</v>
      </c>
      <c r="JR90" s="148">
        <v>1</v>
      </c>
      <c r="JS90" s="145" t="s">
        <v>602</v>
      </c>
      <c r="JT90" s="631"/>
      <c r="JU90" s="148" t="s">
        <v>853</v>
      </c>
      <c r="JV90" s="154">
        <v>42950.618680555555</v>
      </c>
      <c r="JW90" s="145"/>
      <c r="JX90" s="210" t="s">
        <v>35</v>
      </c>
      <c r="JY90" s="117"/>
      <c r="JZ90" s="662">
        <v>25000</v>
      </c>
      <c r="KA90" s="145">
        <v>1</v>
      </c>
      <c r="KB90" s="148">
        <v>1.1000000000000001</v>
      </c>
      <c r="KC90" s="148" t="s">
        <v>611</v>
      </c>
      <c r="KD90" s="644"/>
      <c r="KE90" s="286"/>
      <c r="KF90" s="100"/>
      <c r="KG90" s="100"/>
      <c r="KH90" s="210"/>
      <c r="KI90" s="117"/>
      <c r="KJ90" s="117"/>
      <c r="KK90" s="148"/>
      <c r="KL90" s="145"/>
      <c r="KM90" s="632"/>
      <c r="KN90" s="148"/>
      <c r="KO90" s="154"/>
      <c r="KP90" s="154"/>
      <c r="KQ90" s="210"/>
      <c r="KR90" s="117"/>
      <c r="KS90" s="211"/>
      <c r="KT90" s="145"/>
      <c r="KU90" s="148"/>
      <c r="KV90" s="148"/>
      <c r="KW90" s="265"/>
      <c r="KX90" s="286"/>
      <c r="KY90" s="100"/>
      <c r="KZ90" s="100"/>
      <c r="LA90" s="210"/>
      <c r="LB90" s="117"/>
      <c r="LC90" s="117"/>
      <c r="LD90" s="148"/>
      <c r="LE90" s="145"/>
      <c r="LF90" s="632"/>
      <c r="LG90" s="148"/>
      <c r="LH90" s="154"/>
      <c r="LI90" s="154"/>
      <c r="LJ90" s="154"/>
      <c r="LK90" s="117"/>
      <c r="LL90" s="211"/>
      <c r="LM90" s="210"/>
      <c r="LN90" s="148"/>
      <c r="LO90" s="148"/>
      <c r="LP90" s="265"/>
      <c r="LQ90" s="286"/>
      <c r="LR90" s="100"/>
      <c r="LS90" s="100"/>
      <c r="LT90" s="210"/>
      <c r="LU90" s="117"/>
      <c r="LV90" s="117"/>
      <c r="LW90" s="148"/>
      <c r="LX90" s="145"/>
      <c r="LY90" s="632"/>
      <c r="LZ90" s="148"/>
      <c r="MA90" s="154"/>
      <c r="MB90" s="154"/>
      <c r="MC90" s="145"/>
      <c r="MD90" s="117"/>
      <c r="ME90" s="211"/>
      <c r="MF90" s="210"/>
      <c r="MG90" s="148"/>
      <c r="MH90" s="148"/>
      <c r="MI90" s="265"/>
      <c r="MJ90" s="647"/>
      <c r="MK90" s="264"/>
      <c r="ML90" s="153"/>
      <c r="MM90" s="153"/>
      <c r="MN90" s="153"/>
      <c r="MO90" s="153"/>
      <c r="MP90" s="153"/>
      <c r="MQ90" s="153"/>
      <c r="MR90" s="153"/>
      <c r="MS90" s="99"/>
      <c r="MT90" s="99"/>
      <c r="MU90" s="99"/>
      <c r="MV90" s="99"/>
      <c r="MW90" s="99"/>
      <c r="MX90" s="99"/>
      <c r="MY90" s="153"/>
      <c r="MZ90" s="153"/>
      <c r="NA90" s="153"/>
      <c r="NB90" s="153"/>
      <c r="NC90" s="153"/>
      <c r="ND90" s="153"/>
      <c r="NE90" s="148"/>
      <c r="NF90" s="153"/>
      <c r="NG90" s="153"/>
      <c r="NH90" s="330" t="str">
        <f>"ks"</f>
        <v>ks</v>
      </c>
      <c r="NI90" s="797">
        <f>RZ[[#This Row],[Počet ks (K)]]</f>
        <v>0</v>
      </c>
      <c r="NJ90" s="798">
        <f>RZ[[#This Row],[Hmotnost '[kg/ks'] (K)]]</f>
        <v>0</v>
      </c>
      <c r="NK90" s="148"/>
      <c r="NL90" s="145"/>
      <c r="NM90" s="632"/>
      <c r="NN90" s="148"/>
      <c r="NO90" s="154"/>
      <c r="NP90" s="153"/>
      <c r="NQ90" s="153"/>
      <c r="NR90" s="210"/>
      <c r="NS90" s="148"/>
      <c r="NT90" s="210"/>
      <c r="NU90" s="148"/>
      <c r="NV90" s="148"/>
      <c r="NW90" s="175"/>
    </row>
    <row r="91" spans="2:387" ht="15.95" customHeight="1" thickBot="1" x14ac:dyDescent="0.4">
      <c r="B91" s="118" t="str">
        <f t="shared" si="476"/>
        <v/>
      </c>
      <c r="C9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1" s="262" t="str">
        <f t="shared" si="477"/>
        <v xml:space="preserve">    Spojovací materiál</v>
      </c>
      <c r="E91" s="120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Row],[Kód položek (P2)]]))))))))))</f>
        <v>STSM</v>
      </c>
      <c r="F91" s="791" t="str">
        <f t="shared" si="478"/>
        <v>N/A</v>
      </c>
      <c r="G91" s="792" t="str">
        <f t="shared" si="479"/>
        <v/>
      </c>
      <c r="H91" s="262" t="str">
        <f t="shared" si="480"/>
        <v/>
      </c>
      <c r="I91" s="123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HR '[MJHR'] (P0)]]))))))))))</f>
        <v>ks</v>
      </c>
      <c r="J91" s="123">
        <f t="shared" si="481"/>
        <v>1</v>
      </c>
      <c r="K91" s="793">
        <f>RZ[[#This Row],[Koeficient odhadu HR '[-'] (P1)]]</f>
        <v>1</v>
      </c>
      <c r="L91" s="124">
        <f ca="1">RZ[[#This Row],[Jednotková hmotnost s koef. '[kg/MJHR'] (P0)]]</f>
        <v>20.692</v>
      </c>
      <c r="M91" s="794">
        <f t="shared" ca="1" si="482"/>
        <v>0</v>
      </c>
      <c r="N91" s="125">
        <f t="shared" ca="1" si="483"/>
        <v>20.692</v>
      </c>
      <c r="O91" s="125">
        <f t="shared" ca="1" si="484"/>
        <v>0</v>
      </c>
      <c r="P91" s="126" t="str">
        <f t="shared" si="485"/>
        <v/>
      </c>
      <c r="Q91" s="795">
        <f ca="1">RZ[[#This Row],[Počet MJHR v rozpadu (P0)]]</f>
        <v>1</v>
      </c>
      <c r="R91" s="439" t="str">
        <f t="shared" si="486"/>
        <v/>
      </c>
      <c r="S91" s="129" t="str">
        <f t="shared" si="487"/>
        <v/>
      </c>
      <c r="T91" s="126" t="str">
        <f t="shared" si="488"/>
        <v/>
      </c>
      <c r="U91" s="126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CR (MJCR) (P0)]]))))))))))</f>
        <v>kg</v>
      </c>
      <c r="V91" s="575">
        <f t="shared" ca="1" si="489"/>
        <v>20.692</v>
      </c>
      <c r="W91" s="322">
        <f>RZ[[#This Row],[Koeficient odhadu CR '[-'] (P1)]]</f>
        <v>1</v>
      </c>
      <c r="X91" s="440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Row],[Jednotková cena bez DPH '[cena/MJCR'] (P1)]]*RZ[[#This Row],[Koeficient odhadu CR '[-']]]))))))))))</f>
        <v>110</v>
      </c>
      <c r="Y91" s="440">
        <f t="shared" ca="1" si="490"/>
        <v>0</v>
      </c>
      <c r="Z91" s="142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VLOOKUP(IP91,$BR$7:$BS$11,2,FALSE)))))))))))</f>
        <v>CZK</v>
      </c>
      <c r="AA91" s="909">
        <f t="shared" ca="1" si="491"/>
        <v>20.692</v>
      </c>
      <c r="AB91" s="910">
        <f ca="1">RZ[[#This Row],[Kumulovaný koeficient v rozpadu (P0)]]</f>
        <v>1</v>
      </c>
      <c r="AC91" s="261"/>
      <c r="AD91" s="796">
        <f ca="1">RZ[[#This Row],[Jednotková cena bez DPH '[cena/MJCR'] s koef. (P0)]]/RZ[[#This Row],[Koeficient odhadu CR '[-']]]*RZ[[#This Row],[Kumulovaný koeficient odhadu CR  '[-']]]</f>
        <v>110</v>
      </c>
      <c r="AE91" s="796">
        <f t="shared" ca="1" si="492"/>
        <v>2276.12</v>
      </c>
      <c r="AF91" s="796">
        <f ca="1">-IF(ISNUMBER(AA91),RZ[[#This Row],[Celková cena bez DPH (1)]]-RZ[[#This Row],[Jednotková cena bez DPH '[cena/MJCR'] bez koef. (P0)]]*AA91,0)</f>
        <v>0</v>
      </c>
      <c r="AG9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1" s="261"/>
      <c r="AI91" s="796">
        <f t="shared" ca="1" si="493"/>
        <v>4.0740740740740744</v>
      </c>
      <c r="AJ91" s="796">
        <f t="shared" ca="1" si="494"/>
        <v>84.300740740740736</v>
      </c>
      <c r="AK91" s="796">
        <f t="shared" ca="1" si="495"/>
        <v>0</v>
      </c>
      <c r="AL91" s="753">
        <f ca="1">RZ[[#This Row],[Kilogramová cena bez DPH '[cena/kg'] (1)]]/$AK$13</f>
        <v>4.0740740740740744</v>
      </c>
      <c r="AM91" s="261"/>
      <c r="AN91" s="796">
        <f t="shared" ca="1" si="496"/>
        <v>5.3140096618357493</v>
      </c>
      <c r="AO91" s="796">
        <f t="shared" ca="1" si="497"/>
        <v>109.95748792270531</v>
      </c>
      <c r="AP91" s="796">
        <f t="shared" ca="1" si="498"/>
        <v>0</v>
      </c>
      <c r="AQ91" s="753">
        <f ca="1">RZ[[#This Row],[Kilogramová cena bez DPH '[cena/kg'] (1)]]/$AP$13</f>
        <v>5.3140096618357493</v>
      </c>
      <c r="AR91" s="261"/>
      <c r="AS91" s="796">
        <f t="shared" ca="1" si="499"/>
        <v>3.0087527352297592</v>
      </c>
      <c r="AT91" s="796">
        <f t="shared" ca="1" si="500"/>
        <v>62.25711159737417</v>
      </c>
      <c r="AU91" s="789">
        <f t="shared" ca="1" si="501"/>
        <v>0</v>
      </c>
      <c r="AV91" s="767">
        <f ca="1">RZ[[#This Row],[Kilogramová cena bez DPH '[cena/kg'] (1)]]/$AU$13</f>
        <v>3.0087527352297592</v>
      </c>
      <c r="AW91" s="165"/>
      <c r="AX91" s="911">
        <f t="shared" ca="1" si="502"/>
        <v>2</v>
      </c>
      <c r="AY91" s="111">
        <f t="shared" ca="1" si="503"/>
        <v>3</v>
      </c>
      <c r="AZ91" s="111">
        <f t="shared" ca="1" si="504"/>
        <v>18</v>
      </c>
      <c r="BA91" s="111">
        <f t="shared" ca="1" si="505"/>
        <v>0</v>
      </c>
      <c r="BB91" s="111">
        <f t="shared" ca="1" si="506"/>
        <v>0</v>
      </c>
      <c r="BC91" s="111">
        <f t="shared" ca="1" si="507"/>
        <v>0</v>
      </c>
      <c r="BD91" s="111">
        <f t="shared" ca="1" si="508"/>
        <v>0</v>
      </c>
      <c r="BE91" s="111">
        <f t="shared" ca="1" si="509"/>
        <v>0</v>
      </c>
      <c r="BF91" s="111">
        <f t="shared" ca="1" si="510"/>
        <v>0</v>
      </c>
      <c r="BG91" s="112">
        <f t="shared" ca="1" si="511"/>
        <v>0</v>
      </c>
      <c r="BH91" s="911">
        <f t="shared" si="512"/>
        <v>0</v>
      </c>
      <c r="BI91" s="111">
        <f t="shared" si="513"/>
        <v>0</v>
      </c>
      <c r="BJ91" s="111">
        <f t="shared" si="514"/>
        <v>1</v>
      </c>
      <c r="BK91" s="111">
        <f t="shared" si="515"/>
        <v>0</v>
      </c>
      <c r="BL91" s="111">
        <f t="shared" si="516"/>
        <v>0</v>
      </c>
      <c r="BM91" s="111">
        <f t="shared" si="517"/>
        <v>0</v>
      </c>
      <c r="BN91" s="111">
        <f t="shared" si="518"/>
        <v>0</v>
      </c>
      <c r="BO91" s="111">
        <f t="shared" si="519"/>
        <v>0</v>
      </c>
      <c r="BP91" s="111">
        <f t="shared" si="520"/>
        <v>0</v>
      </c>
      <c r="BQ91" s="112">
        <f t="shared" si="521"/>
        <v>0</v>
      </c>
      <c r="BR91" s="132">
        <f ca="1">IF(OFFSET(AY91,1,0,1,1)&lt;&gt;0,RZ[[#This Row],[Koeficient odhadu HR '[-'] (P1)]]*$BH91*SUMIFS(RZ[Úroveň 2 s koef. (P2)],RZ[0],AX91),RZ[[#This Row],[Koeficient odhadu HR '[-'] (P1)]]*$BH91*$IG91)</f>
        <v>0</v>
      </c>
      <c r="BS91" s="186">
        <f ca="1">IF(OFFSET(AY91,1,0,1,1)&lt;&gt;0,$BH91*SUMIFS(RZ[Úroveň 2 bez koef. (P2)],RZ[0],AX91),$BH91*$IG91)</f>
        <v>0</v>
      </c>
      <c r="BT91" s="138">
        <f ca="1">RZ[[#This Row],[Úroveň 2 s koef. (P2a)]]*RZ[[#This Row],[Počet MJHR (P0)]]</f>
        <v>0</v>
      </c>
      <c r="BU91" s="138">
        <f ca="1">RZ[[#This Row],[Úroveň 2 bez koef. (P2a)]]*RZ[[#This Row],[Počet MJHR (P0)]]</f>
        <v>0</v>
      </c>
      <c r="BV91" s="138">
        <f ca="1">IF(OFFSET(AZ91,1,0,1,1)&lt;&gt;0,RZ[[#This Row],[Koeficient odhadu HR '[-'] (P1)]]*$BI91*SUMIFS(RZ[Úroveň 3 s koef. (P2)],RZ[0],AX91,RZ[Úroveň 2 (P0)],AY91),RZ[[#This Row],[Koeficient odhadu HR '[-'] (P1)]]*$BI91*$IG91)</f>
        <v>0</v>
      </c>
      <c r="BW91" s="138">
        <f ca="1">IF(OFFSET(AZ91,1,0,1,1)&lt;&gt;0,$BI91*SUMIFS(RZ[Úroveň 3 bez koef. (P2)],RZ[0],AX91,RZ[Úroveň 2 (P0)],AY91),$BI91*$IG91)</f>
        <v>0</v>
      </c>
      <c r="BX91" s="132">
        <f ca="1">RZ[[#This Row],[Úroveň 3 s koef. (P2a)]]*RZ[[#This Row],[Počet MJHR (P0)]]</f>
        <v>20.692</v>
      </c>
      <c r="BY91" s="132">
        <f ca="1">RZ[Úroveň 3 bez koef. (P2a)]*RZ[[#This Row],[Počet MJHR (P0)]]</f>
        <v>20.692</v>
      </c>
      <c r="BZ91" s="132">
        <f ca="1">IF(OFFSET(BA91,1,0,1,1)&lt;&gt;0,RZ[[#This Row],[Koeficient odhadu HR '[-'] (P1)]]*$BJ91*SUMIFS(RZ[Úroveň 4 s koef. (P2)],RZ[0],AX91,RZ[Úroveň 2 (P0)],AY91,RZ[Úroveň 3 (P0)],AZ91),RZ[[#This Row],[Koeficient odhadu HR '[-'] (P1)]]*$BJ91*$IG91)</f>
        <v>20.692</v>
      </c>
      <c r="CA91" s="132">
        <f ca="1">IF(OFFSET(BA91,1,0,1,1)&lt;&gt;0,$BJ91*SUMIFS(RZ[Úroveň 4 bez koef. (P2)],RZ[0],AX91,RZ[Úroveň 2 (P0)],AY91,RZ[Úroveň 3 (P0)],AZ91),$BJ91*$IG91)</f>
        <v>20.692</v>
      </c>
      <c r="CB91" s="138">
        <f ca="1">RZ[[#This Row],[Úroveň 4 s koef. (P2a)]]*RZ[[#This Row],[Počet MJHR (P0)]]</f>
        <v>0</v>
      </c>
      <c r="CC91" s="138">
        <f ca="1">RZ[Úroveň 4 bez koef. (P2a)]*RZ[[#This Row],[Počet MJHR (P0)]]</f>
        <v>0</v>
      </c>
      <c r="CD91" s="138">
        <f ca="1">IF(OFFSET(BB91,1,0,1,1)&lt;&gt;0,RZ[[#This Row],[Koeficient odhadu HR '[-'] (P1)]]*$BK91*SUMIFS(RZ[Úroveň 5 s koef. (P2)],RZ[0],AX91,RZ[Úroveň 2 (P0)],AY91,RZ[Úroveň 3 (P0)],AZ91,RZ[Úroveň 4 (P0)],BA91),RZ[[#This Row],[Koeficient odhadu HR '[-'] (P1)]]*$BK91*$IG91)</f>
        <v>0</v>
      </c>
      <c r="CE91" s="138">
        <f ca="1">IF(OFFSET(BB91,1,0,1,1)&lt;&gt;0,$BK91*SUMIFS(RZ[Úroveň 5 bez koef. (P2)],RZ[0],AX91,RZ[Úroveň 2 (P0)],AY91,RZ[Úroveň 3 (P0)],AZ91,RZ[Úroveň 4 (P0)],BA91),$BK91*$IG91)</f>
        <v>0</v>
      </c>
      <c r="CF91" s="132">
        <f ca="1">RZ[[#This Row],[Úroveň 5 s koef. (P2a)]]*RZ[[#This Row],[Počet MJHR (P0)]]</f>
        <v>0</v>
      </c>
      <c r="CG91" s="132">
        <f ca="1">RZ[Úroveň 5 bez koef. (P2a)]*RZ[[#This Row],[Počet MJHR (P0)]]</f>
        <v>0</v>
      </c>
      <c r="CH91" s="132">
        <f ca="1">IF(OFFSET(BC91,1,0,1,1)&lt;&gt;0,RZ[[#This Row],[Koeficient odhadu HR '[-'] (P1)]]*$BL91*SUMIFS(RZ[Úroveň 6 s koef. (P2)],RZ[0],AX91,RZ[Úroveň 2 (P0)],AY91,RZ[Úroveň 3 (P0)],AZ91,RZ[Úroveň 4 (P0)],BA91,RZ[Úroveň 5 (P0)],BB91),RZ[[#This Row],[Koeficient odhadu HR '[-'] (P1)]]*$BL91*$IG91)</f>
        <v>0</v>
      </c>
      <c r="CI91" s="132">
        <f ca="1">IF(OFFSET(BC91,1,0,1,1)&lt;&gt;0,$BL91*SUMIFS(RZ[Úroveň 6 bez koef. (P2)],RZ[0],AX91,RZ[Úroveň 2 (P0)],AY91,RZ[Úroveň 3 (P0)],AZ91,RZ[Úroveň 4 (P0)],BA91,RZ[Úroveň 5 (P0)],BB91),$BL91*$IG91)</f>
        <v>0</v>
      </c>
      <c r="CJ91" s="138">
        <f ca="1">RZ[[#This Row],[Úroveň 6 s koef. (P2a)]]*RZ[[#This Row],[Počet MJHR (P0)]]</f>
        <v>0</v>
      </c>
      <c r="CK91" s="138">
        <f ca="1">RZ[Úroveň 6 bez koef. (P2a)]*RZ[[#This Row],[Počet MJHR (P0)]]</f>
        <v>0</v>
      </c>
      <c r="CL91" s="138">
        <f ca="1">IF(OFFSET(BD91,1,0,1,1)&lt;&gt;0,RZ[[#This Row],[Koeficient odhadu HR '[-'] (P1)]]*$BM91*SUMIFS(RZ[Úroveň 7 s koef. (P2)],RZ[0],AX91,RZ[Úroveň 2 (P0)],AY91,RZ[Úroveň 3 (P0)],AZ91,RZ[Úroveň 4 (P0)],BA91,RZ[Úroveň 5 (P0)],BB91,RZ[Úroveň 6 (P0)],BC91),RZ[[#This Row],[Koeficient odhadu HR '[-'] (P1)]]*$BM91*$IG91)</f>
        <v>0</v>
      </c>
      <c r="CM91" s="138">
        <f ca="1">IF(OFFSET(BD91,1,0,1,1)&lt;&gt;0,$BM91*SUMIFS(RZ[Úroveň 7 bez koef. (P2)],RZ[0],AX91,RZ[Úroveň 2 (P0)],AY91,RZ[Úroveň 3 (P0)],AZ91,RZ[Úroveň 4 (P0)],BA91,RZ[Úroveň 5 (P0)],BB91,RZ[Úroveň 6 (P0)],BC91),$BM91*$IG91)</f>
        <v>0</v>
      </c>
      <c r="CN91" s="132">
        <f ca="1">RZ[[#This Row],[Úroveň 7 s koef. (P2a)]]*RZ[[#This Row],[Počet MJHR (P0)]]</f>
        <v>0</v>
      </c>
      <c r="CO91" s="132">
        <f ca="1">RZ[Úroveň 7 bez koef. (P2a)]*RZ[[#This Row],[Počet MJHR (P0)]]</f>
        <v>0</v>
      </c>
      <c r="CP91" s="132">
        <f ca="1">IF(OFFSET(BE91,1,0,1,1)&lt;&gt;0,RZ[[#This Row],[Koeficient odhadu HR '[-'] (P1)]]*$BN91*SUMIFS(RZ[Úroveň 8 s koef. (P2)],RZ[0],AX91,RZ[Úroveň 2 (P0)],AY91,RZ[Úroveň 3 (P0)],AZ91,RZ[Úroveň 4 (P0)],BA91,RZ[Úroveň 5 (P0)],BB91,RZ[Úroveň 6 (P0)],BC91,RZ[Úroveň 7 (P0)],BD91),RZ[[#This Row],[Koeficient odhadu HR '[-'] (P1)]]*$BN91*$IG91)</f>
        <v>0</v>
      </c>
      <c r="CQ91" s="132">
        <f ca="1">IF(OFFSET(BE91,1,0,1,1)&lt;&gt;0,$BN91*SUMIFS(RZ[Úroveň 8 bez koef. (P2)],RZ[0],AX91,RZ[Úroveň 2 (P0)],AY91,RZ[Úroveň 3 (P0)],AZ91,RZ[Úroveň 4 (P0)],BA91,RZ[Úroveň 5 (P0)],BB91,RZ[Úroveň 6 (P0)],BC91,RZ[Úroveň 7 (P0)],BD91),$BN91*$IG91)</f>
        <v>0</v>
      </c>
      <c r="CR91" s="138">
        <f ca="1">RZ[[#This Row],[Úroveň 8 s koef. (P2a)]]*RZ[[#This Row],[Počet MJHR (P0)]]</f>
        <v>0</v>
      </c>
      <c r="CS91" s="138">
        <f ca="1">RZ[Úroveň 8 bez koef. (P2a)]*RZ[[#This Row],[Počet MJHR (P0)]]</f>
        <v>0</v>
      </c>
      <c r="CT91" s="138">
        <f ca="1">IF(OFFSET(BF91,1,0,1,1)&lt;&gt;0,RZ[[#This Row],[Koeficient odhadu HR '[-'] (P1)]]*$BO91*SUMIFS(RZ[Úroveň 9 s koef. (P2)],RZ[0],AX91,RZ[Úroveň 2 (P0)],AY91,RZ[Úroveň 3 (P0)],AZ91,RZ[Úroveň 4 (P0)],BA91,RZ[Úroveň 5 (P0)],BB91,RZ[Úroveň 6 (P0)],BC91,RZ[Úroveň 7 (P0)],BD91,RZ[Úroveň 8 (P0)],BE91),RZ[[#This Row],[Koeficient odhadu HR '[-'] (P1)]]*$BO91*$IG91)</f>
        <v>0</v>
      </c>
      <c r="CU91" s="138">
        <f ca="1">IF(OFFSET(BF91,1,0,1,1)&lt;&gt;0,$BO91*SUMIFS(RZ[Úroveň 9 bez koef. (P2)],RZ[0],AX91,RZ[Úroveň 2 (P0)],AY91,RZ[Úroveň 3 (P0)],AZ91,RZ[Úroveň 4 (P0)],BA91,RZ[Úroveň 5 (P0)],BB91,RZ[Úroveň 6 (P0)],BC91,RZ[Úroveň 7 (P0)],BD91,RZ[Úroveň 8 (P0)],BE91),$BO91*$IG91)</f>
        <v>0</v>
      </c>
      <c r="CV91" s="132">
        <f ca="1">RZ[[#This Row],[Úroveň 9 s koef. (P2a)]]*RZ[[#This Row],[Počet MJHR (P0)]]</f>
        <v>0</v>
      </c>
      <c r="CW91" s="132">
        <f ca="1">RZ[Úroveň 9 bez koef. (P2a)]*RZ[[#This Row],[Počet MJHR (P0)]]</f>
        <v>0</v>
      </c>
      <c r="CX91" s="132">
        <f ca="1">IF(OFFSET(BG91,1,0,1,1)&lt;&gt;0,RZ[[#This Row],[Koeficient odhadu HR '[-'] (P1)]]*$BP91*SUMIFS(RZ[Úroveň 10 s koef. (P2)],RZ[0],AX91,RZ[Úroveň 2 (P0)],AY91,RZ[Úroveň 3 (P0)],AZ91,RZ[Úroveň 4 (P0)],BA91,RZ[Úroveň 5 (P0)],BB91,RZ[Úroveň 6 (P0)],BC91,RZ[Úroveň 7 (P0)],BD91,RZ[Úroveň 8 (P0)],BE91,RZ[Úroveň 9 (P0)],BF91),RZ[[#This Row],[Koeficient odhadu HR '[-'] (P1)]]*$BP91*$IG91)</f>
        <v>0</v>
      </c>
      <c r="CY91" s="132">
        <f ca="1">IF(OFFSET(BG91,1,0,1,1)&lt;&gt;0,$BP91*SUMIFS(RZ[Úroveň 10 bez koef. (P2)],RZ[0],AX91,RZ[Úroveň 2 (P0)],AY91,RZ[Úroveň 3 (P0)],AZ91,RZ[Úroveň 4 (P0)],BA91,RZ[Úroveň 5 (P0)],BB91,RZ[Úroveň 6 (P0)],BC91,RZ[Úroveň 7 (P0)],BD91,RZ[Úroveň 8 (P0)],BE91,RZ[Úroveň 9 (P0)],BF91),$BP91*$IG91)</f>
        <v>0</v>
      </c>
      <c r="CZ91" s="138">
        <f>RZ[[#This Row],[Úroveň 10 s koef. (P2a)]]*RZ[[#This Row],[Počet MJHR (P0)]]</f>
        <v>0</v>
      </c>
      <c r="DA91" s="138">
        <f>RZ[Úroveň 10 bez koef. (P2a)]*RZ[[#This Row],[Počet MJHR (P0)]]</f>
        <v>0</v>
      </c>
      <c r="DB91" s="138">
        <f>RZ[[#This Row],[Koeficient odhadu HR '[-'] (P1)]]*$BQ91*IG91</f>
        <v>0</v>
      </c>
      <c r="DC91" s="231">
        <f t="shared" si="522"/>
        <v>0</v>
      </c>
      <c r="DD91" s="241">
        <f t="shared" ca="1" si="523"/>
        <v>20.692</v>
      </c>
      <c r="DE91" s="229">
        <f t="shared" ca="1" si="524"/>
        <v>20.692</v>
      </c>
      <c r="DF91" s="912">
        <f t="shared" si="525"/>
        <v>0</v>
      </c>
      <c r="DG91" s="913">
        <f t="shared" si="526"/>
        <v>0</v>
      </c>
      <c r="DH91" s="913">
        <f t="shared" si="527"/>
        <v>1</v>
      </c>
      <c r="DI91" s="913">
        <f t="shared" si="528"/>
        <v>0</v>
      </c>
      <c r="DJ91" s="913">
        <f t="shared" si="529"/>
        <v>0</v>
      </c>
      <c r="DK91" s="913">
        <f t="shared" si="530"/>
        <v>0</v>
      </c>
      <c r="DL91" s="913">
        <f t="shared" si="531"/>
        <v>0</v>
      </c>
      <c r="DM91" s="913">
        <f t="shared" si="532"/>
        <v>0</v>
      </c>
      <c r="DN91" s="913">
        <f t="shared" si="533"/>
        <v>0</v>
      </c>
      <c r="DO91" s="913">
        <f t="shared" si="534"/>
        <v>0</v>
      </c>
      <c r="DP91" s="914">
        <f ca="1">SUMIFS(RZ[Úroveň 1 (P4)],RZ[0],AX91)</f>
        <v>1</v>
      </c>
      <c r="DQ91" s="914">
        <f ca="1">SUMIFS(RZ[Úroveň 2 (P4)],RZ[0],AX91,RZ[Úroveň 2 (P0)],AY91)</f>
        <v>1</v>
      </c>
      <c r="DR91" s="914">
        <f ca="1">SUMIFS(RZ[Úroveň 3 (P4)],RZ[0],AX91,RZ[Úroveň 2 (P0)],AY91,RZ[Úroveň 3 (P0)],AZ91)</f>
        <v>1</v>
      </c>
      <c r="DS91" s="914">
        <f ca="1">SUMIFS(RZ[Úroveň 4 (P4)],RZ[0],AX91,RZ[Úroveň 2 (P0)],AY91,RZ[Úroveň 3 (P0)],AZ91,RZ[Úroveň 4 (P0)],BA91)</f>
        <v>0</v>
      </c>
      <c r="DT91" s="914">
        <f ca="1">SUMIFS(RZ[Úroveň 5 (P4)],RZ[0],AX91,RZ[Úroveň 2 (P0)],AY91,RZ[Úroveň 3 (P0)],AZ91,RZ[Úroveň 4 (P0)],BA91,RZ[Úroveň 5 (P0)],BB91)</f>
        <v>0</v>
      </c>
      <c r="DU91" s="914">
        <f ca="1">SUMIFS(RZ[Úroveň 6 (P4)],RZ[0],AX91,RZ[Úroveň 2 (P0)],AY91,RZ[Úroveň 3 (P0)],AZ91,RZ[Úroveň 4 (P0)],BA91,RZ[Úroveň 5 (P0)],BB91,RZ[Úroveň 6 (P0)],BC91)</f>
        <v>0</v>
      </c>
      <c r="DV91" s="914">
        <f ca="1">SUMIFS(RZ[Úroveň 7 (P4)],RZ[0],AX91,RZ[Úroveň 2 (P0)],AY91,RZ[Úroveň 3 (P0)],AZ91,RZ[Úroveň 4 (P0)],BA91,RZ[Úroveň 5 (P0)],BB91,RZ[Úroveň 6 (P0)],BC91,RZ[Úroveň 7 (P0)],BD91)</f>
        <v>0</v>
      </c>
      <c r="DW91" s="914">
        <f ca="1">SUMIFS(RZ[Úroveň 8 (P4)],RZ[0],AX91,RZ[Úroveň 2 (P0)],AY91,RZ[Úroveň 3 (P0)],AZ91,RZ[Úroveň 4 (P0)],BA91,RZ[Úroveň 5 (P0)],BB91,RZ[Úroveň 6 (P0)],BC91,RZ[Úroveň 7 (P0)],BD91,RZ[Úroveň 8 (P0)],BE91)</f>
        <v>0</v>
      </c>
      <c r="DX91" s="914">
        <f ca="1">SUMIFS(RZ[Úroveň 9 (P4)],RZ[0],AX91,RZ[Úroveň 2 (P0)],AY91,RZ[Úroveň 3 (P0)],AZ91,RZ[Úroveň 4 (P0)],BA91,RZ[Úroveň 5 (P0)],BB91,RZ[Úroveň 6 (P0)],BC91,RZ[Úroveň 7 (P0)],BD91,RZ[Úroveň 8 (P0)],BE91,RZ[Úroveň 9 (P0)],BF91)</f>
        <v>0</v>
      </c>
      <c r="DY91" s="914">
        <f ca="1">SUMIFS(RZ[Úroveň 10 (P4)],RZ[0],AX91,RZ[Úroveň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DZ91" s="915">
        <f t="shared" ca="1" si="535"/>
        <v>1</v>
      </c>
      <c r="EA91" s="916">
        <f ca="1">RZ[[#This Row],[Jednotková hmotnost bez koef. '[kg/MJHR'] (P0)]]*RZ[[#This Row],[Počet MJHR v rozpadu (P0)]]</f>
        <v>20.692</v>
      </c>
      <c r="EB91" s="917">
        <f ca="1">IF(OFFSET(AY91,1,0,1,1)&lt;&gt;0,RZ[[#This Row],[Koeficient odhadu CR '[-'] (P1)]]*$BH91*SUMIFS(RZ[Úroveň 2 s koef. (P3)],RZ[0],AX91),RZ[[#This Row],[Koeficient odhadu CR '[-'] (P1)]]*$BH91*$IQ91)</f>
        <v>0</v>
      </c>
      <c r="EC91" s="191">
        <f ca="1">IF(OFFSET(AY91,1,0,1,1)&lt;&gt;0,$BH91*SUMIFS(RZ[Úroveň 2 bez koef. (P3)],RZ[0],AX91),$BH91*$IQ91)</f>
        <v>0</v>
      </c>
      <c r="ED91" s="140">
        <f ca="1">RZ[[#This Row],[Úroveň 2 s koef. (P3a)]]*RZ[[#This Row],[Počet MJCR (P0) pro "kg"]]</f>
        <v>0</v>
      </c>
      <c r="EE91" s="140">
        <f ca="1">RZ[Úroveň 2 bez koef. (P3a)]*RZ[[#This Row],[Počet MJCR (P0) pro "kg"]]</f>
        <v>0</v>
      </c>
      <c r="EF91" s="140">
        <f ca="1">IF(OFFSET(AZ91,1,0,1,1)&lt;&gt;0,RZ[[#This Row],[Koeficient odhadu CR '[-'] (P1)]]*$BI91*SUMIFS(RZ[Úroveň 3 s koef. (P3)],RZ[0],AX91,RZ[Úroveň 2 (P0)],AY91),RZ[[#This Row],[Koeficient odhadu CR '[-'] (P1)]]*$BI91*$IQ91)</f>
        <v>0</v>
      </c>
      <c r="EG91" s="140">
        <f ca="1">IF(OFFSET(AZ91,1,0,1,1)&lt;&gt;0,$BI91*SUMIFS(RZ[Úroveň 3 bez koef. (P3)],RZ[0],AX91,RZ[Úroveň 2 (P0)],AY91),$BI91*$IQ91)</f>
        <v>0</v>
      </c>
      <c r="EH91" s="135">
        <f ca="1">RZ[[#This Row],[Úroveň 3 s koef. (P3a)]]*RZ[[#This Row],[Počet MJCR (P0) pro "kg"]]</f>
        <v>2276.12</v>
      </c>
      <c r="EI91" s="135">
        <f ca="1">RZ[Úroveň 3 bez koef. (P3a)]*RZ[[#This Row],[Počet MJCR (P0) pro "kg"]]</f>
        <v>2276.12</v>
      </c>
      <c r="EJ91" s="135">
        <f ca="1">IF(OFFSET(BA91,1,0,1,1)&lt;&gt;0,RZ[[#This Row],[Koeficient odhadu CR '[-'] (P1)]]*$BJ91*SUMIFS(RZ[Úroveň 4 s koef. (P3)],RZ[0],AX91,RZ[Úroveň 2 (P0)],AY91,RZ[Úroveň 3 (P0)],AZ91),RZ[[#This Row],[Koeficient odhadu CR '[-'] (P1)]]*$BJ91*$IQ91)</f>
        <v>110</v>
      </c>
      <c r="EK91" s="135">
        <f ca="1">IF(OFFSET(BA91,1,0,1,1)&lt;&gt;0,$BJ91*SUMIFS(RZ[Úroveň 4 bez koef. (P3)],RZ[0],AX91,RZ[Úroveň 2 (P0)],AY91,RZ[Úroveň 3 (P0)],AZ91),$BJ91*$IQ91)</f>
        <v>110</v>
      </c>
      <c r="EL91" s="140">
        <f ca="1">RZ[[#This Row],[Úroveň 4 s koef. (P3a)]]*RZ[[#This Row],[Počet MJCR (P0) pro "kg"]]</f>
        <v>0</v>
      </c>
      <c r="EM91" s="140">
        <f ca="1">RZ[Úroveň 4 bez koef. (P3a)]*RZ[[#This Row],[Počet MJCR (P0) pro "kg"]]</f>
        <v>0</v>
      </c>
      <c r="EN91" s="140">
        <f ca="1">IF(OFFSET(BB91,1,0,1,1)&lt;&gt;0,RZ[[#This Row],[Koeficient odhadu CR '[-'] (P1)]]*$BK91*SUMIFS(RZ[Úroveň 5 s koef. (P3)],RZ[0],AX91,RZ[Úroveň 2 (P0)],AY91,RZ[Úroveň 3 (P0)],AZ91,RZ[Úroveň 4 (P0)],BA91),RZ[[#This Row],[Koeficient odhadu CR '[-'] (P1)]]*$BK91*$IQ91)</f>
        <v>0</v>
      </c>
      <c r="EO91" s="140">
        <f ca="1">IF(OFFSET(BB91,1,0,1,1)&lt;&gt;0,$BK91*SUMIFS(RZ[Úroveň 5 bez koef. (P3)],RZ[0],AX91,RZ[Úroveň 2 (P0)],AY91,RZ[Úroveň 3 (P0)],AZ91,RZ[Úroveň 4 (P0)],BA91),$BK91*$IQ91)</f>
        <v>0</v>
      </c>
      <c r="EP91" s="135">
        <f ca="1">RZ[[#This Row],[Úroveň 5 s koef. (P3a)]]*RZ[[#This Row],[Počet MJCR (P0) pro "kg"]]</f>
        <v>0</v>
      </c>
      <c r="EQ91" s="135">
        <f ca="1">RZ[Úroveň 5 bez koef. (P3a)]*RZ[[#This Row],[Počet MJCR (P0) pro "kg"]]</f>
        <v>0</v>
      </c>
      <c r="ER91" s="135">
        <f ca="1">IF(OFFSET(BC91,1,0,1,1)&lt;&gt;0,RZ[[#This Row],[Koeficient odhadu CR '[-'] (P1)]]*$BL91*SUMIFS(RZ[Úroveň 6 s koef. (P3)],RZ[0],AX91,RZ[Úroveň 2 (P0)],AY91,RZ[Úroveň 3 (P0)],AZ91,RZ[Úroveň 4 (P0)],BA91,RZ[Úroveň 5 (P0)],BB91),RZ[[#This Row],[Koeficient odhadu CR '[-'] (P1)]]*$BL91*$IQ91)</f>
        <v>0</v>
      </c>
      <c r="ES91" s="135">
        <f ca="1">IF(OFFSET(BC91,1,0,1,1)&lt;&gt;0,$BL91*SUMIFS(RZ[Úroveň 6 bez koef. (P3)],RZ[0],AX91,RZ[Úroveň 2 (P0)],AY91,RZ[Úroveň 3 (P0)],AZ91,RZ[Úroveň 4 (P0)],BA91,RZ[Úroveň 5 (P0)],BB91),$BL91*$IQ91)</f>
        <v>0</v>
      </c>
      <c r="ET91" s="140">
        <f ca="1">RZ[[#This Row],[Úroveň 6 s koef. (P3a)]]*RZ[[#This Row],[Počet MJCR (P0) pro "kg"]]</f>
        <v>0</v>
      </c>
      <c r="EU91" s="140">
        <f ca="1">RZ[Úroveň 6 bez koef. (P3a)]*RZ[[#This Row],[Počet MJCR (P0) pro "kg"]]</f>
        <v>0</v>
      </c>
      <c r="EV91" s="140">
        <f ca="1">IF(OFFSET(BD91,1,0,1,1)&lt;&gt;0,RZ[[#This Row],[Koeficient odhadu CR '[-'] (P1)]]*$BM91*SUMIFS(RZ[Úroveň 7 s koef. (P3)],RZ[0],AX91,RZ[Úroveň 2 (P0)],AY91,RZ[Úroveň 3 (P0)],AZ91,RZ[Úroveň 4 (P0)],BA91,RZ[Úroveň 5 (P0)],BB91,RZ[Úroveň 6 (P0)],BC91),RZ[[#This Row],[Koeficient odhadu CR '[-'] (P1)]]*$BM91*$IQ91)</f>
        <v>0</v>
      </c>
      <c r="EW91" s="140">
        <f ca="1">IF(OFFSET(BD91,1,0,1,1)&lt;&gt;0,$BM91*SUMIFS(RZ[Úroveň 7 bez koef. (P3)],RZ[0],AX91,RZ[Úroveň 2 (P0)],AY91,RZ[Úroveň 3 (P0)],AZ91,RZ[Úroveň 4 (P0)],BA91,RZ[Úroveň 5 (P0)],BB91,RZ[Úroveň 6 (P0)],BC91),$BM91*$IQ91)</f>
        <v>0</v>
      </c>
      <c r="EX91" s="135">
        <f ca="1">RZ[[#This Row],[Úroveň 7 s koef. (P3a)]]*RZ[[#This Row],[Počet MJCR (P0) pro "kg"]]</f>
        <v>0</v>
      </c>
      <c r="EY91" s="135">
        <f ca="1">RZ[Úroveň 7 bez koef. (P3a)]*RZ[[#This Row],[Počet MJCR (P0) pro "kg"]]</f>
        <v>0</v>
      </c>
      <c r="EZ91" s="135">
        <f ca="1">IF(OFFSET(BE91,1,0,1,1)&lt;&gt;0,RZ[[#This Row],[Koeficient odhadu CR '[-'] (P1)]]*$BN91*SUMIFS(RZ[Úroveň 8 s koef. (P3)],RZ[0],AX91,RZ[Úroveň 2 (P0)],AY91,RZ[Úroveň 3 (P0)],AZ91,RZ[Úroveň 4 (P0)],BA91,RZ[Úroveň 5 (P0)],BB91,RZ[Úroveň 6 (P0)],BC91,RZ[Úroveň 7 (P0)],BD91),RZ[[#This Row],[Koeficient odhadu CR '[-'] (P1)]]*$BN91*$IQ91)</f>
        <v>0</v>
      </c>
      <c r="FA91" s="135">
        <f ca="1">IF(OFFSET(BE91,1,0,1,1)&lt;&gt;0,$BN91*SUMIFS(RZ[Úroveň 8 bez koef. (P3)],RZ[0],AX91,RZ[Úroveň 2 (P0)],AY91,RZ[Úroveň 3 (P0)],AZ91,RZ[Úroveň 4 (P0)],BA91,RZ[Úroveň 5 (P0)],BB91,RZ[Úroveň 6 (P0)],BC91,RZ[Úroveň 7 (P0)],BD91),$BN91*$IQ91)</f>
        <v>0</v>
      </c>
      <c r="FB91" s="140">
        <f ca="1">RZ[[#This Row],[Úroveň 8 s koef. (P3a)]]*RZ[[#This Row],[Počet MJCR (P0) pro "kg"]]</f>
        <v>0</v>
      </c>
      <c r="FC91" s="140">
        <f ca="1">RZ[Úroveň 8 bez koef. (P3a)]*RZ[[#This Row],[Počet MJCR (P0) pro "kg"]]</f>
        <v>0</v>
      </c>
      <c r="FD91" s="140">
        <f ca="1">IF(OFFSET(BF91,1,0,1,1)&lt;&gt;0,RZ[[#This Row],[Koeficient odhadu CR '[-'] (P1)]]*$BO91*SUMIFS(RZ[Úroveň 9 s koef. (P3)],RZ[0],AX91,RZ[Úroveň 2 (P0)],AY91,RZ[Úroveň 3 (P0)],AZ91,RZ[Úroveň 4 (P0)],BA91,RZ[Úroveň 5 (P0)],BB91,RZ[Úroveň 6 (P0)],BC91,RZ[Úroveň 7 (P0)],BD91,RZ[Úroveň 8 (P0)],BE91),RZ[[#This Row],[Koeficient odhadu CR '[-'] (P1)]]*$BO91*$IQ91)</f>
        <v>0</v>
      </c>
      <c r="FE91" s="140">
        <f ca="1">IF(OFFSET(BF91,1,0,1,1)&lt;&gt;0,$BO91*SUMIFS(RZ[Úroveň 9 bez koef. (P3)],RZ[0],AX91,RZ[Úroveň 2 (P0)],AY91,RZ[Úroveň 3 (P0)],AZ91,RZ[Úroveň 4 (P0)],BA91,RZ[Úroveň 5 (P0)],BB91,RZ[Úroveň 6 (P0)],BC91,RZ[Úroveň 7 (P0)],BD91,RZ[Úroveň 8 (P0)],BE91),$BO91*$IQ91)</f>
        <v>0</v>
      </c>
      <c r="FF91" s="135">
        <f ca="1">RZ[[#This Row],[Úroveň 9 s koef. (P3a)]]*RZ[[#This Row],[Počet MJCR (P0) pro "kg"]]</f>
        <v>0</v>
      </c>
      <c r="FG91" s="135">
        <f ca="1">RZ[Úroveň 9 bez koef. (P3a)]*RZ[[#This Row],[Počet MJCR (P0) pro "kg"]]</f>
        <v>0</v>
      </c>
      <c r="FH91" s="135">
        <f ca="1">IF(OFFSET(BG91,1,0,1,1)&lt;&gt;0,RZ[[#This Row],[Koeficient odhadu CR '[-'] (P1)]]*$BP91*SUMIFS(RZ[Úroveň 10 s koef. (P3)],RZ[0],AX91,RZ[Úroveň 2 (P0)],AY91,RZ[Úroveň 3 (P0)],AZ91,RZ[Úroveň 4 (P0)],BA91,RZ[Úroveň 5 (P0)],BB91,RZ[Úroveň 6 (P0)],BC91,RZ[Úroveň 7 (P0)],BD91,RZ[Úroveň 8 (P0)],BE91,RZ[Úroveň 9 (P0)],BF91),RZ[[#This Row],[Koeficient odhadu CR '[-'] (P1)]]*$BP91*$IQ91)</f>
        <v>0</v>
      </c>
      <c r="FI91" s="135">
        <f ca="1">IF(OFFSET(BG91,1,0,1,1)&lt;&gt;0,$BP91*SUMIFS(RZ[Úroveň 10 bez koef. (P3)],RZ[0],AX91,RZ[Úroveň 2 (P0)],AY91,RZ[Úroveň 3 (P0)],AZ91,RZ[Úroveň 4 (P0)],BA91,RZ[Úroveň 5 (P0)],BB91,RZ[Úroveň 6 (P0)],BC91,RZ[Úroveň 7 (P0)],BD91,RZ[Úroveň 8 (P0)],BE91,RZ[Úroveň 9 (P0)],BF91),$BP91*$IQ91)</f>
        <v>0</v>
      </c>
      <c r="FJ91" s="140">
        <f ca="1">RZ[[#This Row],[Úroveň 10 s koef. (P3a)]]*RZ[[#This Row],[Počet MJCR (P0) pro "kg"]]</f>
        <v>0</v>
      </c>
      <c r="FK91" s="140">
        <f ca="1">RZ[Úroveň 10 bez koef. (P3a)]*RZ[[#This Row],[Počet MJCR (P0) pro "kg"]]</f>
        <v>0</v>
      </c>
      <c r="FL91" s="140">
        <f ca="1">RZ[[#This Row],[Koeficient odhadu CR '[-'] (P1)]]*$BQ91*IQ91</f>
        <v>0</v>
      </c>
      <c r="FM91" s="236">
        <f t="shared" ca="1" si="536"/>
        <v>0</v>
      </c>
      <c r="FN91" s="194">
        <f t="shared" ca="1" si="537"/>
        <v>110</v>
      </c>
      <c r="FO91" s="238">
        <f t="shared" ca="1" si="538"/>
        <v>110</v>
      </c>
      <c r="FP91" s="135">
        <f t="shared" ca="1" si="539"/>
        <v>0</v>
      </c>
      <c r="FQ91" s="135">
        <f t="shared" ca="1" si="540"/>
        <v>0</v>
      </c>
      <c r="FR91" s="135">
        <f t="shared" ca="1" si="541"/>
        <v>20.692</v>
      </c>
      <c r="FS91" s="135">
        <f t="shared" ca="1" si="542"/>
        <v>0</v>
      </c>
      <c r="FT91" s="135">
        <f t="shared" ca="1" si="543"/>
        <v>0</v>
      </c>
      <c r="FU91" s="135">
        <f t="shared" ca="1" si="544"/>
        <v>0</v>
      </c>
      <c r="FV91" s="135">
        <f t="shared" ca="1" si="545"/>
        <v>0</v>
      </c>
      <c r="FW91" s="135">
        <f t="shared" ca="1" si="546"/>
        <v>0</v>
      </c>
      <c r="FX91" s="135">
        <f t="shared" ca="1" si="547"/>
        <v>0</v>
      </c>
      <c r="FY91" s="135">
        <f t="shared" ca="1" si="548"/>
        <v>0</v>
      </c>
      <c r="FZ91" s="140">
        <f ca="1">SUMIFS(RZ[Úroveň 1 (P6)],RZ[0],AX91)</f>
        <v>1</v>
      </c>
      <c r="GA91" s="140">
        <f ca="1">SUMIFS(RZ[Úroveň 2 (P6)],RZ[0],AX91,RZ[Úroveň 2 (P0)],AY91)</f>
        <v>1</v>
      </c>
      <c r="GB91" s="140">
        <f ca="1">SUMIFS(RZ[Úroveň 3 (P6)],RZ[0],AX91,RZ[Úroveň 2 (P0)],AY91,RZ[Úroveň 3 (P0)],AZ91)</f>
        <v>20.692</v>
      </c>
      <c r="GC91" s="140">
        <f ca="1">SUMIFS(RZ[Úroveň 4 (P6)],RZ[0],AX91,RZ[Úroveň 2 (P0)],AY91,RZ[Úroveň 3 (P0)],AZ91,RZ[Úroveň 4 (P0)],BA91)</f>
        <v>0</v>
      </c>
      <c r="GD91" s="140">
        <f ca="1">SUMIFS(RZ[Úroveň 5 (P6)],RZ[0],AX91,RZ[Úroveň 2 (P0)],AY91,RZ[Úroveň 3 (P0)],AZ91,RZ[Úroveň 4 (P0)],BA91,RZ[Úroveň 5 (P0)],BB91)</f>
        <v>0</v>
      </c>
      <c r="GE91" s="140">
        <f ca="1">SUMIFS(RZ[Úroveň 6 (P6)],RZ[0],AX91,RZ[Úroveň 2 (P0)],AY91,RZ[Úroveň 3 (P0)],AZ91,RZ[Úroveň 4 (P0)],BA91,RZ[Úroveň 5 (P0)],BB91,RZ[Úroveň 6 (P0)],BC91)</f>
        <v>0</v>
      </c>
      <c r="GF91" s="140">
        <f ca="1">SUMIFS(RZ[Úroveň 7 (P6)],RZ[0],AX91,RZ[Úroveň 2 (P0)],AY91,RZ[Úroveň 3 (P0)],AZ91,RZ[Úroveň 4 (P0)],BA91,RZ[Úroveň 5 (P0)],BB91,RZ[Úroveň 6 (P0)],BC91,RZ[Úroveň 7 (P0)],BD91)</f>
        <v>0</v>
      </c>
      <c r="GG91" s="140">
        <f ca="1">SUMIFS(RZ[Úroveň 8 (P6)],RZ[0],AX91,RZ[Úroveň 2 (P0)],AY91,RZ[Úroveň 3 (P0)],AZ91,RZ[Úroveň 4 (P0)],BA91,RZ[Úroveň 5 (P0)],BB91,RZ[Úroveň 6 (P0)],BC91,RZ[Úroveň 7 (P0)],BD91,RZ[Úroveň 8 (P0)],BE91)</f>
        <v>0</v>
      </c>
      <c r="GH91" s="140">
        <f ca="1">SUMIFS(RZ[Úroveň 9 (P6)],RZ[0],AX91,RZ[Úroveň 2 (P0)],AY91,RZ[Úroveň 3 (P0)],AZ91,RZ[Úroveň 4 (P0)],BA91,RZ[Úroveň 5 (P0)],BB91,RZ[Úroveň 6 (P0)],BC91,RZ[Úroveň 7 (P0)],BD91,RZ[Úroveň 8 (P0)],BE91,RZ[Úroveň 9 (P0)],BF91)</f>
        <v>0</v>
      </c>
      <c r="GI91" s="140">
        <f ca="1">SUMIFS(RZ[Úroveň 10 (P6)],RZ[0],AX91,RZ[Úroveň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GJ91" s="918">
        <f t="shared" ca="1" si="549"/>
        <v>20.692</v>
      </c>
      <c r="GK91" s="808">
        <f t="shared" si="550"/>
        <v>0</v>
      </c>
      <c r="GL91" s="808">
        <f t="shared" si="551"/>
        <v>0</v>
      </c>
      <c r="GM91" s="808">
        <f t="shared" si="552"/>
        <v>1</v>
      </c>
      <c r="GN91" s="808">
        <f t="shared" si="553"/>
        <v>0</v>
      </c>
      <c r="GO91" s="808">
        <f t="shared" si="554"/>
        <v>0</v>
      </c>
      <c r="GP91" s="808">
        <f t="shared" si="555"/>
        <v>0</v>
      </c>
      <c r="GQ91" s="808">
        <f t="shared" si="556"/>
        <v>0</v>
      </c>
      <c r="GR91" s="808">
        <f t="shared" si="557"/>
        <v>0</v>
      </c>
      <c r="GS91" s="808">
        <f t="shared" si="558"/>
        <v>0</v>
      </c>
      <c r="GT91" s="808">
        <f t="shared" si="559"/>
        <v>0</v>
      </c>
      <c r="GU91" s="809">
        <f ca="1">SUMIFS(RZ[Sloupec1],RZ[0],AX91)</f>
        <v>1</v>
      </c>
      <c r="GV91" s="809">
        <f ca="1">SUMIFS(RZ[Sloupec2],RZ[0],AX91,RZ[Úroveň 2 (P0)],AY91)</f>
        <v>1</v>
      </c>
      <c r="GW91" s="809">
        <f ca="1">SUMIFS(RZ[Sloupec3],RZ[0],AX91,RZ[Úroveň 2 (P0)],AY91,RZ[Úroveň 3 (P0)],AZ91)</f>
        <v>1</v>
      </c>
      <c r="GX91" s="809">
        <f ca="1">SUMIFS(RZ[Sloupec4],RZ[0],AX91,RZ[Úroveň 2 (P0)],AY91,RZ[Úroveň 3 (P0)],AZ91,RZ[Úroveň 4 (P0)],BA91)</f>
        <v>0</v>
      </c>
      <c r="GY91" s="809">
        <f ca="1">SUMIFS(RZ[Sloupec5],RZ[0],AX91,RZ[Úroveň 2 (P0)],AY91,RZ[Úroveň 3 (P0)],AZ91,RZ[Úroveň 4 (P0)],BA91,RZ[Úroveň 5 (P0)],BB91)</f>
        <v>0</v>
      </c>
      <c r="GZ91" s="809">
        <f ca="1">SUMIFS(RZ[Sloupec6],RZ[0],AX91,RZ[Úroveň 2 (P0)],AY91,RZ[Úroveň 3 (P0)],AZ91,RZ[Úroveň 4 (P0)],BA91,RZ[Úroveň 5 (P0)],BB91,RZ[Úroveň 6 (P0)],BC91)</f>
        <v>0</v>
      </c>
      <c r="HA91" s="809">
        <f ca="1">SUMIFS(RZ[Sloupec62],RZ[0],AX91,RZ[Úroveň 2 (P0)],AY91,RZ[Úroveň 3 (P0)],AZ91,RZ[Úroveň 4 (P0)],BA91,RZ[Úroveň 5 (P0)],BB91,RZ[Úroveň 6 (P0)],BC91,RZ[Úroveň 7 (P0)],BD91)</f>
        <v>0</v>
      </c>
      <c r="HB91" s="809">
        <f ca="1">SUMIFS(RZ[Sloupec63],RZ[0],AX91,RZ[Úroveň 2 (P0)],AY91,RZ[Úroveň 3 (P0)],AZ91,RZ[Úroveň 4 (P0)],BA91,RZ[Úroveň 5 (P0)],BB91,RZ[Úroveň 6 (P0)],BC91,RZ[Úroveň 7 (P0)],BD91,RZ[Úroveň 8 (P0)],BE91)</f>
        <v>0</v>
      </c>
      <c r="HC91" s="809">
        <f ca="1">SUMIFS(RZ[Sloupec64],RZ[0],AX91,RZ[Úroveň 2 (P0)],AY91,RZ[Úroveň 3 (P0)],AZ91,RZ[Úroveň 4 (P0)],BA91,RZ[Úroveň 5 (P0)],BB91,RZ[Úroveň 6 (P0)],BC91,RZ[Úroveň 7 (P0)],BD91,RZ[Úroveň 8 (P0)],BE91,RZ[Úroveň 9 (P0)],BF91)</f>
        <v>0</v>
      </c>
      <c r="HD91" s="809">
        <f ca="1">SUMIFS(RZ[Sloupec65],RZ[0],AX91,RZ[Úroveň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HE91" s="919">
        <f t="shared" ca="1" si="560"/>
        <v>1</v>
      </c>
      <c r="HF91" s="920" t="str">
        <f t="shared" si="561"/>
        <v/>
      </c>
      <c r="HG91" s="94" t="str">
        <f t="shared" si="562"/>
        <v/>
      </c>
      <c r="HH91" s="95" t="str">
        <f t="shared" si="563"/>
        <v/>
      </c>
      <c r="HI91" s="95" t="str">
        <f t="shared" si="564"/>
        <v>Spojovací materiál</v>
      </c>
      <c r="HJ91" s="96" t="str">
        <f t="shared" si="565"/>
        <v/>
      </c>
      <c r="HK91" s="96" t="str">
        <f t="shared" si="566"/>
        <v/>
      </c>
      <c r="HL91" s="96" t="str">
        <f t="shared" si="567"/>
        <v/>
      </c>
      <c r="HM91" s="96" t="str">
        <f t="shared" si="568"/>
        <v/>
      </c>
      <c r="HN91" s="96" t="str">
        <f t="shared" si="569"/>
        <v/>
      </c>
      <c r="HO91" s="96" t="str">
        <f t="shared" si="570"/>
        <v/>
      </c>
      <c r="HP91" s="96" t="str">
        <f t="shared" si="571"/>
        <v/>
      </c>
      <c r="HQ91" s="145" t="str">
        <f t="shared" si="572"/>
        <v>STSM</v>
      </c>
      <c r="HR91" s="921" t="str">
        <f t="shared" si="573"/>
        <v/>
      </c>
      <c r="HS91" s="173">
        <f t="shared" si="574"/>
        <v>0</v>
      </c>
      <c r="HT91" s="100">
        <f t="shared" si="575"/>
        <v>0</v>
      </c>
      <c r="HU91" s="100">
        <f t="shared" si="576"/>
        <v>0</v>
      </c>
      <c r="HV91" s="908">
        <f t="shared" si="577"/>
        <v>0</v>
      </c>
      <c r="HW91" s="922">
        <f t="shared" si="578"/>
        <v>0</v>
      </c>
      <c r="HX91" s="224">
        <f t="shared" si="579"/>
        <v>0</v>
      </c>
      <c r="HY91" s="263" t="str">
        <f t="shared" si="580"/>
        <v>S</v>
      </c>
      <c r="HZ91" s="263">
        <f t="shared" si="581"/>
        <v>0</v>
      </c>
      <c r="IA91" s="150">
        <f t="shared" si="582"/>
        <v>1</v>
      </c>
      <c r="IB91" s="319">
        <f t="shared" si="583"/>
        <v>0</v>
      </c>
      <c r="IC91" s="923">
        <f t="shared" si="584"/>
        <v>0</v>
      </c>
      <c r="ID91" s="924" t="str">
        <f t="shared" ca="1" si="585"/>
        <v>OK</v>
      </c>
      <c r="IE91" s="201" t="str">
        <f t="shared" si="586"/>
        <v>ks</v>
      </c>
      <c r="IF91" s="145">
        <f t="shared" si="587"/>
        <v>1</v>
      </c>
      <c r="IG91" s="216">
        <f t="shared" si="588"/>
        <v>20.692</v>
      </c>
      <c r="IH91" s="217">
        <f t="shared" si="589"/>
        <v>1</v>
      </c>
      <c r="II91" s="224" t="str">
        <f ca="1">IF(RZ[[#This Row],[Rozhodný sloupec indikativní ceny]]=1,"kg",IF($IW91=$JL$15,IF(JX91=0,JO91,JX91),IF($IW91=$KE$15,IF(KQ91=0,KH91,KQ91),IF($IW91=$KX$15,IF(LJ91=0,LA91,LJ91),IF($IW91=$LQ$15,IF(MC91=0,LT91,MC91),IF($IW91=$MJ$15,IF(NQ91=0,NH91,NQ91),0))))))</f>
        <v>kg</v>
      </c>
      <c r="IJ91" s="224">
        <f ca="1">IF((BH91+OFFSET(BH91,1,1,1,1))=2,RZ[[#This Row],[Počet MJHR (P0)]],IF((BI91+OFFSET(BI91,1,1,1,1))=2,RZ[[#This Row],[Počet MJHR (P0)]],IF((BJ91+OFFSET(BJ91,1,1,1,1))=2,RZ[[#This Row],[Počet MJHR (P0)]],IF((BK91+OFFSET(BK91,1,1,1,1))=2,RZ[[#This Row],[Počet MJHR (P0)]],IF((BL91+OFFSET(BL91,1,1,1,1))=2,RZ[[#This Row],[Počet MJHR (P0)]],IF((BM91+OFFSET(BM91,1,1,1,1))=2,RZ[[#This Row],[Počet MJHR (P0)]],IF((BN91+OFFSET(BN91,1,1,1,1))=2,RZ[[#This Row],[Počet MJHR (P0)]],IF((BO91+OFFSET(BO91,1,1,1,1))=2,RZ[[#This Row],[Počet MJHR (P0)]],IF((BP91+OFFSET(BP91,1,1,1,1))=2,RZ[[#This Row],[Počet MJHR (P0)]],IF((BQ91+OFFSET(BQ91,1,1,1,1))=2,RZ[[#This Row],[Počet MJHR (P0)]],IF(RZ[[#This Row],[Měrná jednotka CR (MJCR) (P0)]]=RZ[[#This Row],[Měrná jednotka HR '[MJHR'] (P0)]],RZ[[#This Row],[Počet MJHR (P0)]],IF($IW91=$JL$15,JY91,IF($IW91=$KE$15,KR91,IF($IW91=$KX$15,LK91,IF($IW91=$LQ$15,MD91,IF($IW91=$MJ$15,NR91,0))))))))))))))))</f>
        <v>0</v>
      </c>
      <c r="IK9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91" s="145">
        <f ca="1">IF(AND(RZ[[#This Row],[Jednotková cena bez DPH '[cena/MJCR'] (P0)]]=0,RZ[[#This Row],[Indikativní jednotková cena '[CZK/kg'] (P1)]]&lt;&gt;0),1,0)</f>
        <v>1</v>
      </c>
      <c r="IM91" s="217">
        <f ca="1">VLOOKUP(RZ[[#This Row],[Kód položek]],INDIKAT_CENA,2,FALSE)</f>
        <v>110</v>
      </c>
      <c r="IN91" s="222">
        <f ca="1">IF(RZ[[#This Row],[Rozhodný sloupec indikativní ceny]]=1,RZ[[#This Row],[Indikativní jednotková cena '[CZK/kg'] (P1)]],RZ[[#This Row],[Jednotková cena bez DPH '[cena/MJCR'] (P0)]])</f>
        <v>110</v>
      </c>
      <c r="IO91" s="222">
        <f t="shared" si="590"/>
        <v>1</v>
      </c>
      <c r="IP91" s="224">
        <f ca="1">IF(RZ[[#This Row],[Rozhodný sloupec indikativní ceny]]=1,1,IF($IW91=$JL$15,KA91,IF($IW91=$KE$15,KT91,IF($IW91=$KX$15,LM91,IF($IW91=$LQ$15,MF91,IF($IW91=$MJ$15,NT91,0))))))</f>
        <v>1</v>
      </c>
      <c r="IQ91" s="225">
        <f ca="1">IF(RZ[[#This Row],[Jednotková cena bez DPH '[cena/MJCR'] (P1)]]="",0,IF(IP91=0,0,(RZ[[#This Row],[Jednotková cena bez DPH '[cena/MJCR'] (P1)]]*VLOOKUP(IP91,$BR$7:$BT$10,3))))</f>
        <v>110</v>
      </c>
      <c r="IR91" s="737"/>
      <c r="IS91" s="627">
        <f>IF(HY91=0,"",VLOOKUP(RZ[[#This Row],[Stav Projekce (P0)]],Vstupy!$E$11:'Vstupy'!$E$11:$H$17,4,FALSE))</f>
        <v>100</v>
      </c>
      <c r="IT91" s="925" t="str">
        <f>IF(RZ[[#This Row],[Stav Projekce (P0)]]=0,"",RZ[[#This Row],[Stav Projekce (P0)]])</f>
        <v>S</v>
      </c>
      <c r="IU91" s="925" t="str">
        <f>IF(RZ[[#This Row],[Stav Nákup (P0)]]=0,"",RZ[[#This Row],[Stav Nákup (P0)]])</f>
        <v/>
      </c>
      <c r="IV91" s="926" t="str">
        <f t="shared" si="591"/>
        <v/>
      </c>
      <c r="IW91" s="641">
        <v>1</v>
      </c>
      <c r="IX91" s="630"/>
      <c r="IY91" s="264"/>
      <c r="IZ91" s="648"/>
      <c r="JA91" s="100"/>
      <c r="JB91" s="100" t="s">
        <v>36</v>
      </c>
      <c r="JC91" s="100"/>
      <c r="JD91" s="100"/>
      <c r="JE91" s="100"/>
      <c r="JF91" s="100"/>
      <c r="JG91" s="100"/>
      <c r="JH91" s="100"/>
      <c r="JI91" s="100"/>
      <c r="JJ91" s="145" t="s">
        <v>766</v>
      </c>
      <c r="JK91" s="529"/>
      <c r="JL91" s="286"/>
      <c r="JM91" s="100"/>
      <c r="JN91" s="100"/>
      <c r="JO91" s="145" t="s">
        <v>35</v>
      </c>
      <c r="JP91" s="117">
        <v>1</v>
      </c>
      <c r="JQ91" s="117">
        <v>20.692</v>
      </c>
      <c r="JR91" s="148">
        <v>1</v>
      </c>
      <c r="JS91" s="145" t="s">
        <v>602</v>
      </c>
      <c r="JT91" s="631"/>
      <c r="JU91" s="148"/>
      <c r="JV91" s="154"/>
      <c r="JW91" s="145"/>
      <c r="JX91" s="210"/>
      <c r="JY91" s="117"/>
      <c r="JZ91" s="662"/>
      <c r="KA91" s="145"/>
      <c r="KB91" s="148"/>
      <c r="KC91" s="148"/>
      <c r="KD91" s="644"/>
      <c r="KE91" s="286"/>
      <c r="KF91" s="100"/>
      <c r="KG91" s="100"/>
      <c r="KH91" s="210"/>
      <c r="KI91" s="117"/>
      <c r="KJ91" s="117"/>
      <c r="KK91" s="148"/>
      <c r="KL91" s="145"/>
      <c r="KM91" s="632"/>
      <c r="KN91" s="148"/>
      <c r="KO91" s="154"/>
      <c r="KP91" s="154"/>
      <c r="KQ91" s="210"/>
      <c r="KR91" s="117"/>
      <c r="KS91" s="211"/>
      <c r="KT91" s="145"/>
      <c r="KU91" s="148"/>
      <c r="KV91" s="148"/>
      <c r="KW91" s="265"/>
      <c r="KX91" s="286"/>
      <c r="KY91" s="100"/>
      <c r="KZ91" s="100"/>
      <c r="LA91" s="210"/>
      <c r="LB91" s="117"/>
      <c r="LC91" s="117"/>
      <c r="LD91" s="148"/>
      <c r="LE91" s="145"/>
      <c r="LF91" s="632"/>
      <c r="LG91" s="148"/>
      <c r="LH91" s="154"/>
      <c r="LI91" s="154"/>
      <c r="LJ91" s="154"/>
      <c r="LK91" s="117"/>
      <c r="LL91" s="211"/>
      <c r="LM91" s="210"/>
      <c r="LN91" s="148"/>
      <c r="LO91" s="148"/>
      <c r="LP91" s="265"/>
      <c r="LQ91" s="286"/>
      <c r="LR91" s="100"/>
      <c r="LS91" s="100"/>
      <c r="LT91" s="210"/>
      <c r="LU91" s="117"/>
      <c r="LV91" s="117"/>
      <c r="LW91" s="148"/>
      <c r="LX91" s="145"/>
      <c r="LY91" s="632"/>
      <c r="LZ91" s="148"/>
      <c r="MA91" s="154"/>
      <c r="MB91" s="154"/>
      <c r="MC91" s="145"/>
      <c r="MD91" s="117"/>
      <c r="ME91" s="211"/>
      <c r="MF91" s="210"/>
      <c r="MG91" s="148"/>
      <c r="MH91" s="148"/>
      <c r="MI91" s="265"/>
      <c r="MJ91" s="647"/>
      <c r="MK91" s="264"/>
      <c r="ML91" s="153"/>
      <c r="MM91" s="153"/>
      <c r="MN91" s="153"/>
      <c r="MO91" s="153"/>
      <c r="MP91" s="153"/>
      <c r="MQ91" s="153"/>
      <c r="MR91" s="153"/>
      <c r="MS91" s="99"/>
      <c r="MT91" s="99"/>
      <c r="MU91" s="99"/>
      <c r="MV91" s="99"/>
      <c r="MW91" s="99"/>
      <c r="MX91" s="99"/>
      <c r="MY91" s="153"/>
      <c r="MZ91" s="153"/>
      <c r="NA91" s="153"/>
      <c r="NB91" s="153"/>
      <c r="NC91" s="153"/>
      <c r="ND91" s="153"/>
      <c r="NE91" s="148"/>
      <c r="NF91" s="153"/>
      <c r="NG91" s="153"/>
      <c r="NH91" s="330" t="str">
        <f t="shared" si="592"/>
        <v>ks</v>
      </c>
      <c r="NI91" s="797">
        <f>RZ[[#This Row],[Počet ks (K)]]</f>
        <v>0</v>
      </c>
      <c r="NJ91" s="798">
        <f>RZ[[#This Row],[Hmotnost '[kg/ks'] (K)]]</f>
        <v>0</v>
      </c>
      <c r="NK91" s="148"/>
      <c r="NL91" s="145"/>
      <c r="NM91" s="632"/>
      <c r="NN91" s="148"/>
      <c r="NO91" s="154"/>
      <c r="NP91" s="153"/>
      <c r="NQ91" s="153"/>
      <c r="NR91" s="210"/>
      <c r="NS91" s="148"/>
      <c r="NT91" s="210"/>
      <c r="NU91" s="148"/>
      <c r="NV91" s="148"/>
      <c r="NW91" s="175"/>
    </row>
    <row r="92" spans="2:387" ht="15.95" customHeight="1" x14ac:dyDescent="0.35">
      <c r="B92" s="118" t="str">
        <f t="shared" si="1"/>
        <v/>
      </c>
      <c r="C9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2" s="262" t="str">
        <f t="shared" si="2"/>
        <v xml:space="preserve">  Nákolek</v>
      </c>
      <c r="E92" s="12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Row],[Kód položek (P2)]]))))))))))</f>
        <v>-</v>
      </c>
      <c r="F92" s="122" t="str">
        <f t="shared" si="3"/>
        <v>N/A</v>
      </c>
      <c r="G92" s="121" t="str">
        <f t="shared" si="4"/>
        <v/>
      </c>
      <c r="H92" s="122" t="str">
        <f t="shared" si="5"/>
        <v/>
      </c>
      <c r="I92" s="123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HR '[MJHR'] (P0)]]))))))))))</f>
        <v>sest</v>
      </c>
      <c r="J92" s="123">
        <f t="shared" si="6"/>
        <v>3</v>
      </c>
      <c r="K92" s="151">
        <f>RZ[[#This Row],[Koeficient odhadu HR '[-'] (P1)]]</f>
        <v>1</v>
      </c>
      <c r="L92" s="124">
        <f ca="1">RZ[[#This Row],[Jednotková hmotnost s koef. '[kg/MJHR'] (P0)]]</f>
        <v>1556.18</v>
      </c>
      <c r="M92" s="124">
        <f t="shared" ca="1" si="7"/>
        <v>0</v>
      </c>
      <c r="N92" s="125">
        <f t="shared" ca="1" si="8"/>
        <v>4668.54</v>
      </c>
      <c r="O92" s="125">
        <f t="shared" ca="1" si="9"/>
        <v>0</v>
      </c>
      <c r="P92" s="328" t="str">
        <f t="shared" si="10"/>
        <v/>
      </c>
      <c r="Q92" s="743">
        <f ca="1">RZ[[#This Row],[Počet MJHR v rozpadu (P0)]]</f>
        <v>3</v>
      </c>
      <c r="R92" s="439" t="str">
        <f t="shared" si="11"/>
        <v/>
      </c>
      <c r="S92" s="129" t="str">
        <f t="shared" si="12"/>
        <v/>
      </c>
      <c r="T92" s="130" t="str">
        <f t="shared" si="13"/>
        <v/>
      </c>
      <c r="U92" s="126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CR (MJCR) (P0)]]))))))))))</f>
        <v>sest</v>
      </c>
      <c r="V92" s="575">
        <f t="shared" ca="1" si="14"/>
        <v>3</v>
      </c>
      <c r="W92" s="322">
        <f>RZ[[#This Row],[Koeficient odhadu CR '[-'] (P1)]]</f>
        <v>1</v>
      </c>
      <c r="X92" s="44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Row],[Jednotková cena bez DPH '[cena/MJCR'] (P1)]]*RZ[[#This Row],[Koeficient odhadu CR '[-']]]))))))))))</f>
        <v>-</v>
      </c>
      <c r="Y92" s="440">
        <f t="shared" ca="1" si="108"/>
        <v>0</v>
      </c>
      <c r="Z92" s="142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VLOOKUP(IP92,$BR$7:$BS$11,2,FALSE)))))))))))</f>
        <v>-</v>
      </c>
      <c r="AA92" s="811">
        <f t="shared" ca="1" si="16"/>
        <v>3</v>
      </c>
      <c r="AB92" s="814">
        <f ca="1">RZ[[#This Row],[Kumulovaný koeficient v rozpadu (P0)]]</f>
        <v>1</v>
      </c>
      <c r="AC92" s="260"/>
      <c r="AD92" s="510">
        <f ca="1">RZ[[#This Row],[Jednotková cena bez DPH '[cena/MJCR'] s koef. (P0)]]/RZ[[#This Row],[Koeficient odhadu CR '[-']]]*RZ[[#This Row],[Kumulovaný koeficient odhadu CR  '[-']]]</f>
        <v>215524</v>
      </c>
      <c r="AE92" s="511">
        <f t="shared" ca="1" si="17"/>
        <v>646572</v>
      </c>
      <c r="AF92" s="512">
        <f ca="1">-IF(ISNUMBER(AA92),RZ[[#This Row],[Celková cena bez DPH (1)]]-RZ[[#This Row],[Jednotková cena bez DPH '[cena/MJCR'] bez koef. (P0)]]*AA92,0)</f>
        <v>0</v>
      </c>
      <c r="AG9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138.49554678764667</v>
      </c>
      <c r="AH92" s="261"/>
      <c r="AI92" s="510">
        <f t="shared" ca="1" si="18"/>
        <v>7982.3703703703704</v>
      </c>
      <c r="AJ92" s="511">
        <f t="shared" ca="1" si="19"/>
        <v>23947.111111111109</v>
      </c>
      <c r="AK92" s="512">
        <f t="shared" ca="1" si="20"/>
        <v>0</v>
      </c>
      <c r="AL92" s="753">
        <f ca="1">RZ[[#This Row],[Kilogramová cena bez DPH '[cena/kg'] (1)]]/$AK$13</f>
        <v>5.1294646958387657</v>
      </c>
      <c r="AM92" s="261"/>
      <c r="AN92" s="510">
        <f t="shared" ca="1" si="21"/>
        <v>10411.787439613527</v>
      </c>
      <c r="AO92" s="511">
        <f t="shared" ca="1" si="22"/>
        <v>31235.36231884058</v>
      </c>
      <c r="AP92" s="512">
        <f t="shared" ca="1" si="23"/>
        <v>0</v>
      </c>
      <c r="AQ92" s="753">
        <f ca="1">RZ[[#This Row],[Kilogramová cena bez DPH '[cena/kg'] (1)]]/$AP$13</f>
        <v>6.6906061250070863</v>
      </c>
      <c r="AR92" s="261"/>
      <c r="AS92" s="510">
        <f t="shared" ca="1" si="24"/>
        <v>5895.0765864332598</v>
      </c>
      <c r="AT92" s="511">
        <f t="shared" ca="1" si="25"/>
        <v>17685.229759299778</v>
      </c>
      <c r="AU92" s="511">
        <f t="shared" ca="1" si="26"/>
        <v>0</v>
      </c>
      <c r="AV92" s="767">
        <f ca="1">RZ[[#This Row],[Kilogramová cena bez DPH '[cena/kg'] (1)]]/$AU$13</f>
        <v>3.7881714110406639</v>
      </c>
      <c r="AW92" s="165"/>
      <c r="AX92" s="110">
        <f t="shared" ca="1" si="27"/>
        <v>2</v>
      </c>
      <c r="AY92" s="55">
        <f t="shared" ca="1" si="28"/>
        <v>4</v>
      </c>
      <c r="AZ92" s="111">
        <f t="shared" ca="1" si="29"/>
        <v>0</v>
      </c>
      <c r="BA92" s="111">
        <f t="shared" ca="1" si="30"/>
        <v>0</v>
      </c>
      <c r="BB92" s="111">
        <f t="shared" ca="1" si="31"/>
        <v>0</v>
      </c>
      <c r="BC92" s="111">
        <f t="shared" ca="1" si="32"/>
        <v>0</v>
      </c>
      <c r="BD92" s="111">
        <f t="shared" ca="1" si="33"/>
        <v>0</v>
      </c>
      <c r="BE92" s="111">
        <f t="shared" ca="1" si="109"/>
        <v>0</v>
      </c>
      <c r="BF92" s="111">
        <f t="shared" ca="1" si="34"/>
        <v>0</v>
      </c>
      <c r="BG92" s="112">
        <f t="shared" ca="1" si="35"/>
        <v>0</v>
      </c>
      <c r="BH92" s="110">
        <f t="shared" si="110"/>
        <v>0</v>
      </c>
      <c r="BI92" s="55">
        <f t="shared" si="111"/>
        <v>1</v>
      </c>
      <c r="BJ92" s="55">
        <f t="shared" si="112"/>
        <v>0</v>
      </c>
      <c r="BK92" s="111">
        <f t="shared" si="113"/>
        <v>0</v>
      </c>
      <c r="BL92" s="111">
        <f t="shared" si="114"/>
        <v>0</v>
      </c>
      <c r="BM92" s="111">
        <f t="shared" si="115"/>
        <v>0</v>
      </c>
      <c r="BN92" s="111">
        <f t="shared" si="116"/>
        <v>0</v>
      </c>
      <c r="BO92" s="111">
        <f t="shared" si="117"/>
        <v>0</v>
      </c>
      <c r="BP92" s="111">
        <f t="shared" si="118"/>
        <v>0</v>
      </c>
      <c r="BQ92" s="112">
        <f t="shared" si="119"/>
        <v>0</v>
      </c>
      <c r="BR92" s="186">
        <f ca="1">IF(OFFSET(AY92,1,0,1,1)&lt;&gt;0,RZ[[#This Row],[Koeficient odhadu HR '[-'] (P1)]]*$BH92*SUMIFS(RZ[Úroveň 2 s koef. (P2)],RZ[0],AX92),RZ[[#This Row],[Koeficient odhadu HR '[-'] (P1)]]*$BH92*$IG92)</f>
        <v>0</v>
      </c>
      <c r="BS92" s="186">
        <f ca="1">IF(OFFSET(AY92,1,0,1,1)&lt;&gt;0,$BH92*SUMIFS(RZ[Úroveň 2 bez koef. (P2)],RZ[0],AX92),$BH92*$IG92)</f>
        <v>0</v>
      </c>
      <c r="BT92" s="138">
        <f ca="1">RZ[[#This Row],[Úroveň 2 s koef. (P2a)]]*RZ[[#This Row],[Počet MJHR (P0)]]</f>
        <v>4668.54</v>
      </c>
      <c r="BU92" s="138">
        <f ca="1">RZ[[#This Row],[Úroveň 2 bez koef. (P2a)]]*RZ[[#This Row],[Počet MJHR (P0)]]</f>
        <v>4668.54</v>
      </c>
      <c r="BV92" s="138">
        <f ca="1">IF(OFFSET(AZ92,1,0,1,1)&lt;&gt;0,RZ[[#This Row],[Koeficient odhadu HR '[-'] (P1)]]*$BI92*SUMIFS(RZ[Úroveň 3 s koef. (P2)],RZ[0],AX92,RZ[Úroveň 2 (P0)],AY92),RZ[[#This Row],[Koeficient odhadu HR '[-'] (P1)]]*$BI92*$IG92)</f>
        <v>1556.18</v>
      </c>
      <c r="BW92" s="138">
        <f ca="1">IF(OFFSET(AZ92,1,0,1,1)&lt;&gt;0,$BI92*SUMIFS(RZ[Úroveň 3 bez koef. (P2)],RZ[0],AX92,RZ[Úroveň 2 (P0)],AY92),$BI92*$IG92)</f>
        <v>1556.18</v>
      </c>
      <c r="BX92" s="132">
        <f ca="1">RZ[[#This Row],[Úroveň 3 s koef. (P2a)]]*RZ[[#This Row],[Počet MJHR (P0)]]</f>
        <v>0</v>
      </c>
      <c r="BY92" s="132">
        <f ca="1">RZ[Úroveň 3 bez koef. (P2a)]*RZ[[#This Row],[Počet MJHR (P0)]]</f>
        <v>0</v>
      </c>
      <c r="BZ92" s="132">
        <f ca="1">IF(OFFSET(BA92,1,0,1,1)&lt;&gt;0,RZ[[#This Row],[Koeficient odhadu HR '[-'] (P1)]]*$BJ92*SUMIFS(RZ[Úroveň 4 s koef. (P2)],RZ[0],AX92,RZ[Úroveň 2 (P0)],AY92,RZ[Úroveň 3 (P0)],AZ92),RZ[[#This Row],[Koeficient odhadu HR '[-'] (P1)]]*$BJ92*$IG92)</f>
        <v>0</v>
      </c>
      <c r="CA92" s="132">
        <f ca="1">IF(OFFSET(BA92,1,0,1,1)&lt;&gt;0,$BJ92*SUMIFS(RZ[Úroveň 4 bez koef. (P2)],RZ[0],AX92,RZ[Úroveň 2 (P0)],AY92,RZ[Úroveň 3 (P0)],AZ92),$BJ92*$IG92)</f>
        <v>0</v>
      </c>
      <c r="CB92" s="138">
        <f ca="1">RZ[[#This Row],[Úroveň 4 s koef. (P2a)]]*RZ[[#This Row],[Počet MJHR (P0)]]</f>
        <v>0</v>
      </c>
      <c r="CC92" s="138">
        <f ca="1">RZ[Úroveň 4 bez koef. (P2a)]*RZ[[#This Row],[Počet MJHR (P0)]]</f>
        <v>0</v>
      </c>
      <c r="CD92" s="138">
        <f ca="1">IF(OFFSET(BB92,1,0,1,1)&lt;&gt;0,RZ[[#This Row],[Koeficient odhadu HR '[-'] (P1)]]*$BK92*SUMIFS(RZ[Úroveň 5 s koef. (P2)],RZ[0],AX92,RZ[Úroveň 2 (P0)],AY92,RZ[Úroveň 3 (P0)],AZ92,RZ[Úroveň 4 (P0)],BA92),RZ[[#This Row],[Koeficient odhadu HR '[-'] (P1)]]*$BK92*$IG92)</f>
        <v>0</v>
      </c>
      <c r="CE92" s="138">
        <f ca="1">IF(OFFSET(BB92,1,0,1,1)&lt;&gt;0,$BK92*SUMIFS(RZ[Úroveň 5 bez koef. (P2)],RZ[0],AX92,RZ[Úroveň 2 (P0)],AY92,RZ[Úroveň 3 (P0)],AZ92,RZ[Úroveň 4 (P0)],BA92),$BK92*$IG92)</f>
        <v>0</v>
      </c>
      <c r="CF92" s="132">
        <f ca="1">RZ[[#This Row],[Úroveň 5 s koef. (P2a)]]*RZ[[#This Row],[Počet MJHR (P0)]]</f>
        <v>0</v>
      </c>
      <c r="CG92" s="132">
        <f ca="1">RZ[Úroveň 5 bez koef. (P2a)]*RZ[[#This Row],[Počet MJHR (P0)]]</f>
        <v>0</v>
      </c>
      <c r="CH92" s="132">
        <f ca="1">IF(OFFSET(BC92,1,0,1,1)&lt;&gt;0,RZ[[#This Row],[Koeficient odhadu HR '[-'] (P1)]]*$BL92*SUMIFS(RZ[Úroveň 6 s koef. (P2)],RZ[0],AX92,RZ[Úroveň 2 (P0)],AY92,RZ[Úroveň 3 (P0)],AZ92,RZ[Úroveň 4 (P0)],BA92,RZ[Úroveň 5 (P0)],BB92),RZ[[#This Row],[Koeficient odhadu HR '[-'] (P1)]]*$BL92*$IG92)</f>
        <v>0</v>
      </c>
      <c r="CI92" s="132">
        <f ca="1">IF(OFFSET(BC92,1,0,1,1)&lt;&gt;0,$BL92*SUMIFS(RZ[Úroveň 6 bez koef. (P2)],RZ[0],AX92,RZ[Úroveň 2 (P0)],AY92,RZ[Úroveň 3 (P0)],AZ92,RZ[Úroveň 4 (P0)],BA92,RZ[Úroveň 5 (P0)],BB92),$BL92*$IG92)</f>
        <v>0</v>
      </c>
      <c r="CJ92" s="138">
        <f ca="1">RZ[[#This Row],[Úroveň 6 s koef. (P2a)]]*RZ[[#This Row],[Počet MJHR (P0)]]</f>
        <v>0</v>
      </c>
      <c r="CK92" s="138">
        <f ca="1">RZ[Úroveň 6 bez koef. (P2a)]*RZ[[#This Row],[Počet MJHR (P0)]]</f>
        <v>0</v>
      </c>
      <c r="CL92" s="138">
        <f ca="1">IF(OFFSET(BD92,1,0,1,1)&lt;&gt;0,RZ[[#This Row],[Koeficient odhadu HR '[-'] (P1)]]*$BM92*SUMIFS(RZ[Úroveň 7 s koef. (P2)],RZ[0],AX92,RZ[Úroveň 2 (P0)],AY92,RZ[Úroveň 3 (P0)],AZ92,RZ[Úroveň 4 (P0)],BA92,RZ[Úroveň 5 (P0)],BB92,RZ[Úroveň 6 (P0)],BC92),RZ[[#This Row],[Koeficient odhadu HR '[-'] (P1)]]*$BM92*$IG92)</f>
        <v>0</v>
      </c>
      <c r="CM92" s="138">
        <f ca="1">IF(OFFSET(BD92,1,0,1,1)&lt;&gt;0,$BM92*SUMIFS(RZ[Úroveň 7 bez koef. (P2)],RZ[0],AX92,RZ[Úroveň 2 (P0)],AY92,RZ[Úroveň 3 (P0)],AZ92,RZ[Úroveň 4 (P0)],BA92,RZ[Úroveň 5 (P0)],BB92,RZ[Úroveň 6 (P0)],BC92),$BM92*$IG92)</f>
        <v>0</v>
      </c>
      <c r="CN92" s="132">
        <f ca="1">RZ[[#This Row],[Úroveň 7 s koef. (P2a)]]*RZ[[#This Row],[Počet MJHR (P0)]]</f>
        <v>0</v>
      </c>
      <c r="CO92" s="132">
        <f ca="1">RZ[Úroveň 7 bez koef. (P2a)]*RZ[[#This Row],[Počet MJHR (P0)]]</f>
        <v>0</v>
      </c>
      <c r="CP92" s="132">
        <f ca="1">IF(OFFSET(BE92,1,0,1,1)&lt;&gt;0,RZ[[#This Row],[Koeficient odhadu HR '[-'] (P1)]]*$BN92*SUMIFS(RZ[Úroveň 8 s koef. (P2)],RZ[0],AX92,RZ[Úroveň 2 (P0)],AY92,RZ[Úroveň 3 (P0)],AZ92,RZ[Úroveň 4 (P0)],BA92,RZ[Úroveň 5 (P0)],BB92,RZ[Úroveň 6 (P0)],BC92,RZ[Úroveň 7 (P0)],BD92),RZ[[#This Row],[Koeficient odhadu HR '[-'] (P1)]]*$BN92*$IG92)</f>
        <v>0</v>
      </c>
      <c r="CQ92" s="132">
        <f ca="1">IF(OFFSET(BE92,1,0,1,1)&lt;&gt;0,$BN92*SUMIFS(RZ[Úroveň 8 bez koef. (P2)],RZ[0],AX92,RZ[Úroveň 2 (P0)],AY92,RZ[Úroveň 3 (P0)],AZ92,RZ[Úroveň 4 (P0)],BA92,RZ[Úroveň 5 (P0)],BB92,RZ[Úroveň 6 (P0)],BC92,RZ[Úroveň 7 (P0)],BD92),$BN92*$IG92)</f>
        <v>0</v>
      </c>
      <c r="CR92" s="138">
        <f ca="1">RZ[[#This Row],[Úroveň 8 s koef. (P2a)]]*RZ[[#This Row],[Počet MJHR (P0)]]</f>
        <v>0</v>
      </c>
      <c r="CS92" s="138">
        <f ca="1">RZ[Úroveň 8 bez koef. (P2a)]*RZ[[#This Row],[Počet MJHR (P0)]]</f>
        <v>0</v>
      </c>
      <c r="CT92" s="138">
        <f ca="1">IF(OFFSET(BF92,1,0,1,1)&lt;&gt;0,RZ[[#This Row],[Koeficient odhadu HR '[-'] (P1)]]*$BO92*SUMIFS(RZ[Úroveň 9 s koef. (P2)],RZ[0],AX92,RZ[Úroveň 2 (P0)],AY92,RZ[Úroveň 3 (P0)],AZ92,RZ[Úroveň 4 (P0)],BA92,RZ[Úroveň 5 (P0)],BB92,RZ[Úroveň 6 (P0)],BC92,RZ[Úroveň 7 (P0)],BD92,RZ[Úroveň 8 (P0)],BE92),RZ[[#This Row],[Koeficient odhadu HR '[-'] (P1)]]*$BO92*$IG92)</f>
        <v>0</v>
      </c>
      <c r="CU92" s="138">
        <f ca="1">IF(OFFSET(BF92,1,0,1,1)&lt;&gt;0,$BO92*SUMIFS(RZ[Úroveň 9 bez koef. (P2)],RZ[0],AX92,RZ[Úroveň 2 (P0)],AY92,RZ[Úroveň 3 (P0)],AZ92,RZ[Úroveň 4 (P0)],BA92,RZ[Úroveň 5 (P0)],BB92,RZ[Úroveň 6 (P0)],BC92,RZ[Úroveň 7 (P0)],BD92,RZ[Úroveň 8 (P0)],BE92),$BO92*$IG92)</f>
        <v>0</v>
      </c>
      <c r="CV92" s="132">
        <f ca="1">RZ[[#This Row],[Úroveň 9 s koef. (P2a)]]*RZ[[#This Row],[Počet MJHR (P0)]]</f>
        <v>0</v>
      </c>
      <c r="CW92" s="132">
        <f ca="1">RZ[Úroveň 9 bez koef. (P2a)]*RZ[[#This Row],[Počet MJHR (P0)]]</f>
        <v>0</v>
      </c>
      <c r="CX92" s="132">
        <f ca="1">IF(OFFSET(BG92,1,0,1,1)&lt;&gt;0,RZ[[#This Row],[Koeficient odhadu HR '[-'] (P1)]]*$BP92*SUMIFS(RZ[Úroveň 10 s koef. (P2)],RZ[0],AX92,RZ[Úroveň 2 (P0)],AY92,RZ[Úroveň 3 (P0)],AZ92,RZ[Úroveň 4 (P0)],BA92,RZ[Úroveň 5 (P0)],BB92,RZ[Úroveň 6 (P0)],BC92,RZ[Úroveň 7 (P0)],BD92,RZ[Úroveň 8 (P0)],BE92,RZ[Úroveň 9 (P0)],BF92),RZ[[#This Row],[Koeficient odhadu HR '[-'] (P1)]]*$BP92*$IG92)</f>
        <v>0</v>
      </c>
      <c r="CY92" s="132">
        <f ca="1">IF(OFFSET(BG92,1,0,1,1)&lt;&gt;0,$BP92*SUMIFS(RZ[Úroveň 10 bez koef. (P2)],RZ[0],AX92,RZ[Úroveň 2 (P0)],AY92,RZ[Úroveň 3 (P0)],AZ92,RZ[Úroveň 4 (P0)],BA92,RZ[Úroveň 5 (P0)],BB92,RZ[Úroveň 6 (P0)],BC92,RZ[Úroveň 7 (P0)],BD92,RZ[Úroveň 8 (P0)],BE92,RZ[Úroveň 9 (P0)],BF92),$BP92*$IG92)</f>
        <v>0</v>
      </c>
      <c r="CZ92" s="138">
        <f>RZ[[#This Row],[Úroveň 10 s koef. (P2a)]]*RZ[[#This Row],[Počet MJHR (P0)]]</f>
        <v>0</v>
      </c>
      <c r="DA92" s="138">
        <f>RZ[Úroveň 10 bez koef. (P2a)]*RZ[[#This Row],[Počet MJHR (P0)]]</f>
        <v>0</v>
      </c>
      <c r="DB92" s="138">
        <f>RZ[[#This Row],[Koeficient odhadu HR '[-'] (P1)]]*$BQ92*IG92</f>
        <v>0</v>
      </c>
      <c r="DC92" s="231">
        <f t="shared" si="37"/>
        <v>0</v>
      </c>
      <c r="DD92" s="241">
        <f t="shared" ca="1" si="120"/>
        <v>1556.18</v>
      </c>
      <c r="DE92" s="229">
        <f t="shared" ca="1" si="121"/>
        <v>1556.18</v>
      </c>
      <c r="DF92" s="521">
        <f t="shared" si="40"/>
        <v>0</v>
      </c>
      <c r="DG92" s="522">
        <f t="shared" si="41"/>
        <v>3</v>
      </c>
      <c r="DH92" s="522">
        <f t="shared" si="42"/>
        <v>0</v>
      </c>
      <c r="DI92" s="523">
        <f t="shared" si="43"/>
        <v>0</v>
      </c>
      <c r="DJ92" s="524">
        <f t="shared" si="44"/>
        <v>0</v>
      </c>
      <c r="DK92" s="524">
        <f t="shared" si="45"/>
        <v>0</v>
      </c>
      <c r="DL92" s="524">
        <f t="shared" si="46"/>
        <v>0</v>
      </c>
      <c r="DM92" s="524">
        <f t="shared" si="47"/>
        <v>0</v>
      </c>
      <c r="DN92" s="524">
        <f t="shared" si="48"/>
        <v>0</v>
      </c>
      <c r="DO92" s="523">
        <f t="shared" si="49"/>
        <v>0</v>
      </c>
      <c r="DP92" s="525">
        <f ca="1">SUMIFS(RZ[Úroveň 1 (P4)],RZ[0],AX92)</f>
        <v>1</v>
      </c>
      <c r="DQ92" s="525">
        <f ca="1">SUMIFS(RZ[Úroveň 2 (P4)],RZ[0],AX92,RZ[Úroveň 2 (P0)],AY92)</f>
        <v>3</v>
      </c>
      <c r="DR92" s="525">
        <f ca="1">SUMIFS(RZ[Úroveň 3 (P4)],RZ[0],AX92,RZ[Úroveň 2 (P0)],AY92,RZ[Úroveň 3 (P0)],AZ92)</f>
        <v>0</v>
      </c>
      <c r="DS92" s="525">
        <f ca="1">SUMIFS(RZ[Úroveň 4 (P4)],RZ[0],AX92,RZ[Úroveň 2 (P0)],AY92,RZ[Úroveň 3 (P0)],AZ92,RZ[Úroveň 4 (P0)],BA92)</f>
        <v>0</v>
      </c>
      <c r="DT92" s="526">
        <f ca="1">SUMIFS(RZ[Úroveň 5 (P4)],RZ[0],AX92,RZ[Úroveň 2 (P0)],AY92,RZ[Úroveň 3 (P0)],AZ92,RZ[Úroveň 4 (P0)],BA92,RZ[Úroveň 5 (P0)],BB92)</f>
        <v>0</v>
      </c>
      <c r="DU92" s="526">
        <f ca="1">SUMIFS(RZ[Úroveň 6 (P4)],RZ[0],AX92,RZ[Úroveň 2 (P0)],AY92,RZ[Úroveň 3 (P0)],AZ92,RZ[Úroveň 4 (P0)],BA92,RZ[Úroveň 5 (P0)],BB92,RZ[Úroveň 6 (P0)],BC92)</f>
        <v>0</v>
      </c>
      <c r="DV92" s="526">
        <f ca="1">SUMIFS(RZ[Úroveň 7 (P4)],RZ[0],AX92,RZ[Úroveň 2 (P0)],AY92,RZ[Úroveň 3 (P0)],AZ92,RZ[Úroveň 4 (P0)],BA92,RZ[Úroveň 5 (P0)],BB92,RZ[Úroveň 6 (P0)],BC92,RZ[Úroveň 7 (P0)],BD92)</f>
        <v>0</v>
      </c>
      <c r="DW92" s="526">
        <f ca="1">SUMIFS(RZ[Úroveň 8 (P4)],RZ[0],AX92,RZ[Úroveň 2 (P0)],AY92,RZ[Úroveň 3 (P0)],AZ92,RZ[Úroveň 4 (P0)],BA92,RZ[Úroveň 5 (P0)],BB92,RZ[Úroveň 6 (P0)],BC92,RZ[Úroveň 7 (P0)],BD92,RZ[Úroveň 8 (P0)],BE92)</f>
        <v>0</v>
      </c>
      <c r="DX92" s="526">
        <f ca="1">SUMIFS(RZ[Úroveň 9 (P4)],RZ[0],AX92,RZ[Úroveň 2 (P0)],AY92,RZ[Úroveň 3 (P0)],AZ92,RZ[Úroveň 4 (P0)],BA92,RZ[Úroveň 5 (P0)],BB92,RZ[Úroveň 6 (P0)],BC92,RZ[Úroveň 7 (P0)],BD92,RZ[Úroveň 8 (P0)],BE92,RZ[Úroveň 9 (P0)],BF92)</f>
        <v>0</v>
      </c>
      <c r="DY92" s="526">
        <f ca="1">SUMIFS(RZ[Úroveň 10 (P4)],RZ[0],AX92,RZ[Úroveň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DZ92" s="527">
        <f t="shared" ca="1" si="122"/>
        <v>3</v>
      </c>
      <c r="EA92" s="528">
        <f ca="1">RZ[[#This Row],[Jednotková hmotnost bez koef. '[kg/MJHR'] (P0)]]*RZ[[#This Row],[Počet MJHR v rozpadu (P0)]]</f>
        <v>4668.54</v>
      </c>
      <c r="EB92" s="191">
        <f ca="1">IF(OFFSET(AY92,1,0,1,1)&lt;&gt;0,RZ[[#This Row],[Koeficient odhadu CR '[-'] (P1)]]*$BH92*SUMIFS(RZ[Úroveň 2 s koef. (P3)],RZ[0],AX92),RZ[[#This Row],[Koeficient odhadu CR '[-'] (P1)]]*$BH92*$IQ92)</f>
        <v>0</v>
      </c>
      <c r="EC92" s="191">
        <f ca="1">IF(OFFSET(AY92,1,0,1,1)&lt;&gt;0,$BH92*SUMIFS(RZ[Úroveň 2 bez koef. (P3)],RZ[0],AX92),$BH92*$IQ92)</f>
        <v>0</v>
      </c>
      <c r="ED92" s="140">
        <f ca="1">RZ[[#This Row],[Úroveň 2 s koef. (P3a)]]*RZ[[#This Row],[Počet MJCR (P0) pro "kg"]]</f>
        <v>646572</v>
      </c>
      <c r="EE92" s="140">
        <f ca="1">RZ[Úroveň 2 bez koef. (P3a)]*RZ[[#This Row],[Počet MJCR (P0) pro "kg"]]</f>
        <v>646572</v>
      </c>
      <c r="EF92" s="140">
        <f ca="1">IF(OFFSET(AZ92,1,0,1,1)&lt;&gt;0,RZ[[#This Row],[Koeficient odhadu CR '[-'] (P1)]]*$BI92*SUMIFS(RZ[Úroveň 3 s koef. (P3)],RZ[0],AX92,RZ[Úroveň 2 (P0)],AY92),RZ[[#This Row],[Koeficient odhadu CR '[-'] (P1)]]*$BI92*$IQ92)</f>
        <v>215524</v>
      </c>
      <c r="EG92" s="140">
        <f ca="1">IF(OFFSET(AZ92,1,0,1,1)&lt;&gt;0,$BI92*SUMIFS(RZ[Úroveň 3 bez koef. (P3)],RZ[0],AX92,RZ[Úroveň 2 (P0)],AY92),$BI92*$IQ92)</f>
        <v>215524</v>
      </c>
      <c r="EH92" s="135">
        <f ca="1">RZ[[#This Row],[Úroveň 3 s koef. (P3a)]]*RZ[[#This Row],[Počet MJCR (P0) pro "kg"]]</f>
        <v>0</v>
      </c>
      <c r="EI92" s="135">
        <f ca="1">RZ[Úroveň 3 bez koef. (P3a)]*RZ[[#This Row],[Počet MJCR (P0) pro "kg"]]</f>
        <v>0</v>
      </c>
      <c r="EJ92" s="135">
        <f ca="1">IF(OFFSET(BA92,1,0,1,1)&lt;&gt;0,RZ[[#This Row],[Koeficient odhadu CR '[-'] (P1)]]*$BJ92*SUMIFS(RZ[Úroveň 4 s koef. (P3)],RZ[0],AX92,RZ[Úroveň 2 (P0)],AY92,RZ[Úroveň 3 (P0)],AZ92),RZ[[#This Row],[Koeficient odhadu CR '[-'] (P1)]]*$BJ92*$IQ92)</f>
        <v>0</v>
      </c>
      <c r="EK92" s="135">
        <f ca="1">IF(OFFSET(BA92,1,0,1,1)&lt;&gt;0,$BJ92*SUMIFS(RZ[Úroveň 4 bez koef. (P3)],RZ[0],AX92,RZ[Úroveň 2 (P0)],AY92,RZ[Úroveň 3 (P0)],AZ92),$BJ92*$IQ92)</f>
        <v>0</v>
      </c>
      <c r="EL92" s="140">
        <f ca="1">RZ[[#This Row],[Úroveň 4 s koef. (P3a)]]*RZ[[#This Row],[Počet MJCR (P0) pro "kg"]]</f>
        <v>0</v>
      </c>
      <c r="EM92" s="140">
        <f ca="1">RZ[Úroveň 4 bez koef. (P3a)]*RZ[[#This Row],[Počet MJCR (P0) pro "kg"]]</f>
        <v>0</v>
      </c>
      <c r="EN92" s="140">
        <f ca="1">IF(OFFSET(BB92,1,0,1,1)&lt;&gt;0,RZ[[#This Row],[Koeficient odhadu CR '[-'] (P1)]]*$BK92*SUMIFS(RZ[Úroveň 5 s koef. (P3)],RZ[0],AX92,RZ[Úroveň 2 (P0)],AY92,RZ[Úroveň 3 (P0)],AZ92,RZ[Úroveň 4 (P0)],BA92),RZ[[#This Row],[Koeficient odhadu CR '[-'] (P1)]]*$BK92*$IQ92)</f>
        <v>0</v>
      </c>
      <c r="EO92" s="140">
        <f ca="1">IF(OFFSET(BB92,1,0,1,1)&lt;&gt;0,$BK92*SUMIFS(RZ[Úroveň 5 bez koef. (P3)],RZ[0],AX92,RZ[Úroveň 2 (P0)],AY92,RZ[Úroveň 3 (P0)],AZ92,RZ[Úroveň 4 (P0)],BA92),$BK92*$IQ92)</f>
        <v>0</v>
      </c>
      <c r="EP92" s="135">
        <f ca="1">RZ[[#This Row],[Úroveň 5 s koef. (P3a)]]*RZ[[#This Row],[Počet MJCR (P0) pro "kg"]]</f>
        <v>0</v>
      </c>
      <c r="EQ92" s="135">
        <f ca="1">RZ[Úroveň 5 bez koef. (P3a)]*RZ[[#This Row],[Počet MJCR (P0) pro "kg"]]</f>
        <v>0</v>
      </c>
      <c r="ER92" s="135">
        <f ca="1">IF(OFFSET(BC92,1,0,1,1)&lt;&gt;0,RZ[[#This Row],[Koeficient odhadu CR '[-'] (P1)]]*$BL92*SUMIFS(RZ[Úroveň 6 s koef. (P3)],RZ[0],AX92,RZ[Úroveň 2 (P0)],AY92,RZ[Úroveň 3 (P0)],AZ92,RZ[Úroveň 4 (P0)],BA92,RZ[Úroveň 5 (P0)],BB92),RZ[[#This Row],[Koeficient odhadu CR '[-'] (P1)]]*$BL92*$IQ92)</f>
        <v>0</v>
      </c>
      <c r="ES92" s="135">
        <f ca="1">IF(OFFSET(BC92,1,0,1,1)&lt;&gt;0,$BL92*SUMIFS(RZ[Úroveň 6 bez koef. (P3)],RZ[0],AX92,RZ[Úroveň 2 (P0)],AY92,RZ[Úroveň 3 (P0)],AZ92,RZ[Úroveň 4 (P0)],BA92,RZ[Úroveň 5 (P0)],BB92),$BL92*$IQ92)</f>
        <v>0</v>
      </c>
      <c r="ET92" s="140">
        <f ca="1">RZ[[#This Row],[Úroveň 6 s koef. (P3a)]]*RZ[[#This Row],[Počet MJCR (P0) pro "kg"]]</f>
        <v>0</v>
      </c>
      <c r="EU92" s="140">
        <f ca="1">RZ[Úroveň 6 bez koef. (P3a)]*RZ[[#This Row],[Počet MJCR (P0) pro "kg"]]</f>
        <v>0</v>
      </c>
      <c r="EV92" s="140">
        <f ca="1">IF(OFFSET(BD92,1,0,1,1)&lt;&gt;0,RZ[[#This Row],[Koeficient odhadu CR '[-'] (P1)]]*$BM92*SUMIFS(RZ[Úroveň 7 s koef. (P3)],RZ[0],AX92,RZ[Úroveň 2 (P0)],AY92,RZ[Úroveň 3 (P0)],AZ92,RZ[Úroveň 4 (P0)],BA92,RZ[Úroveň 5 (P0)],BB92,RZ[Úroveň 6 (P0)],BC92),RZ[[#This Row],[Koeficient odhadu CR '[-'] (P1)]]*$BM92*$IQ92)</f>
        <v>0</v>
      </c>
      <c r="EW92" s="140">
        <f ca="1">IF(OFFSET(BD92,1,0,1,1)&lt;&gt;0,$BM92*SUMIFS(RZ[Úroveň 7 bez koef. (P3)],RZ[0],AX92,RZ[Úroveň 2 (P0)],AY92,RZ[Úroveň 3 (P0)],AZ92,RZ[Úroveň 4 (P0)],BA92,RZ[Úroveň 5 (P0)],BB92,RZ[Úroveň 6 (P0)],BC92),$BM92*$IQ92)</f>
        <v>0</v>
      </c>
      <c r="EX92" s="135">
        <f ca="1">RZ[[#This Row],[Úroveň 7 s koef. (P3a)]]*RZ[[#This Row],[Počet MJCR (P0) pro "kg"]]</f>
        <v>0</v>
      </c>
      <c r="EY92" s="135">
        <f ca="1">RZ[Úroveň 7 bez koef. (P3a)]*RZ[[#This Row],[Počet MJCR (P0) pro "kg"]]</f>
        <v>0</v>
      </c>
      <c r="EZ92" s="135">
        <f ca="1">IF(OFFSET(BE92,1,0,1,1)&lt;&gt;0,RZ[[#This Row],[Koeficient odhadu CR '[-'] (P1)]]*$BN92*SUMIFS(RZ[Úroveň 8 s koef. (P3)],RZ[0],AX92,RZ[Úroveň 2 (P0)],AY92,RZ[Úroveň 3 (P0)],AZ92,RZ[Úroveň 4 (P0)],BA92,RZ[Úroveň 5 (P0)],BB92,RZ[Úroveň 6 (P0)],BC92,RZ[Úroveň 7 (P0)],BD92),RZ[[#This Row],[Koeficient odhadu CR '[-'] (P1)]]*$BN92*$IQ92)</f>
        <v>0</v>
      </c>
      <c r="FA92" s="135">
        <f ca="1">IF(OFFSET(BE92,1,0,1,1)&lt;&gt;0,$BN92*SUMIFS(RZ[Úroveň 8 bez koef. (P3)],RZ[0],AX92,RZ[Úroveň 2 (P0)],AY92,RZ[Úroveň 3 (P0)],AZ92,RZ[Úroveň 4 (P0)],BA92,RZ[Úroveň 5 (P0)],BB92,RZ[Úroveň 6 (P0)],BC92,RZ[Úroveň 7 (P0)],BD92),$BN92*$IQ92)</f>
        <v>0</v>
      </c>
      <c r="FB92" s="140">
        <f ca="1">RZ[[#This Row],[Úroveň 8 s koef. (P3a)]]*RZ[[#This Row],[Počet MJCR (P0) pro "kg"]]</f>
        <v>0</v>
      </c>
      <c r="FC92" s="140">
        <f ca="1">RZ[Úroveň 8 bez koef. (P3a)]*RZ[[#This Row],[Počet MJCR (P0) pro "kg"]]</f>
        <v>0</v>
      </c>
      <c r="FD92" s="140">
        <f ca="1">IF(OFFSET(BF92,1,0,1,1)&lt;&gt;0,RZ[[#This Row],[Koeficient odhadu CR '[-'] (P1)]]*$BO92*SUMIFS(RZ[Úroveň 9 s koef. (P3)],RZ[0],AX92,RZ[Úroveň 2 (P0)],AY92,RZ[Úroveň 3 (P0)],AZ92,RZ[Úroveň 4 (P0)],BA92,RZ[Úroveň 5 (P0)],BB92,RZ[Úroveň 6 (P0)],BC92,RZ[Úroveň 7 (P0)],BD92,RZ[Úroveň 8 (P0)],BE92),RZ[[#This Row],[Koeficient odhadu CR '[-'] (P1)]]*$BO92*$IQ92)</f>
        <v>0</v>
      </c>
      <c r="FE92" s="140">
        <f ca="1">IF(OFFSET(BF92,1,0,1,1)&lt;&gt;0,$BO92*SUMIFS(RZ[Úroveň 9 bez koef. (P3)],RZ[0],AX92,RZ[Úroveň 2 (P0)],AY92,RZ[Úroveň 3 (P0)],AZ92,RZ[Úroveň 4 (P0)],BA92,RZ[Úroveň 5 (P0)],BB92,RZ[Úroveň 6 (P0)],BC92,RZ[Úroveň 7 (P0)],BD92,RZ[Úroveň 8 (P0)],BE92),$BO92*$IQ92)</f>
        <v>0</v>
      </c>
      <c r="FF92" s="135">
        <f ca="1">RZ[[#This Row],[Úroveň 9 s koef. (P3a)]]*RZ[[#This Row],[Počet MJCR (P0) pro "kg"]]</f>
        <v>0</v>
      </c>
      <c r="FG92" s="135">
        <f ca="1">RZ[Úroveň 9 bez koef. (P3a)]*RZ[[#This Row],[Počet MJCR (P0) pro "kg"]]</f>
        <v>0</v>
      </c>
      <c r="FH92" s="135">
        <f ca="1">IF(OFFSET(BG92,1,0,1,1)&lt;&gt;0,RZ[[#This Row],[Koeficient odhadu CR '[-'] (P1)]]*$BP92*SUMIFS(RZ[Úroveň 10 s koef. (P3)],RZ[0],AX92,RZ[Úroveň 2 (P0)],AY92,RZ[Úroveň 3 (P0)],AZ92,RZ[Úroveň 4 (P0)],BA92,RZ[Úroveň 5 (P0)],BB92,RZ[Úroveň 6 (P0)],BC92,RZ[Úroveň 7 (P0)],BD92,RZ[Úroveň 8 (P0)],BE92,RZ[Úroveň 9 (P0)],BF92),RZ[[#This Row],[Koeficient odhadu CR '[-'] (P1)]]*$BP92*$IQ92)</f>
        <v>0</v>
      </c>
      <c r="FI92" s="135">
        <f ca="1">IF(OFFSET(BG92,1,0,1,1)&lt;&gt;0,$BP92*SUMIFS(RZ[Úroveň 10 bez koef. (P3)],RZ[0],AX92,RZ[Úroveň 2 (P0)],AY92,RZ[Úroveň 3 (P0)],AZ92,RZ[Úroveň 4 (P0)],BA92,RZ[Úroveň 5 (P0)],BB92,RZ[Úroveň 6 (P0)],BC92,RZ[Úroveň 7 (P0)],BD92,RZ[Úroveň 8 (P0)],BE92,RZ[Úroveň 9 (P0)],BF92),$BP92*$IQ92)</f>
        <v>0</v>
      </c>
      <c r="FJ92" s="140">
        <f ca="1">RZ[[#This Row],[Úroveň 10 s koef. (P3a)]]*RZ[[#This Row],[Počet MJCR (P0) pro "kg"]]</f>
        <v>0</v>
      </c>
      <c r="FK92" s="140">
        <f ca="1">RZ[Úroveň 10 bez koef. (P3a)]*RZ[[#This Row],[Počet MJCR (P0) pro "kg"]]</f>
        <v>0</v>
      </c>
      <c r="FL92" s="140">
        <f ca="1">RZ[[#This Row],[Koeficient odhadu CR '[-'] (P1)]]*$BQ92*IQ92</f>
        <v>0</v>
      </c>
      <c r="FM92" s="236">
        <f t="shared" ca="1" si="51"/>
        <v>0</v>
      </c>
      <c r="FN92" s="194">
        <f t="shared" ca="1" si="123"/>
        <v>215524</v>
      </c>
      <c r="FO92" s="238">
        <f t="shared" ca="1" si="124"/>
        <v>215524</v>
      </c>
      <c r="FP92" s="191">
        <f t="shared" ca="1" si="54"/>
        <v>0</v>
      </c>
      <c r="FQ92" s="135">
        <f t="shared" ca="1" si="55"/>
        <v>3</v>
      </c>
      <c r="FR92" s="135">
        <f t="shared" ca="1" si="56"/>
        <v>0</v>
      </c>
      <c r="FS92" s="135">
        <f t="shared" ca="1" si="57"/>
        <v>0</v>
      </c>
      <c r="FT92" s="135">
        <f t="shared" ca="1" si="58"/>
        <v>0</v>
      </c>
      <c r="FU92" s="135">
        <f t="shared" ca="1" si="59"/>
        <v>0</v>
      </c>
      <c r="FV92" s="135">
        <f t="shared" ca="1" si="60"/>
        <v>0</v>
      </c>
      <c r="FW92" s="135">
        <f t="shared" ca="1" si="61"/>
        <v>0</v>
      </c>
      <c r="FX92" s="135">
        <f t="shared" ca="1" si="62"/>
        <v>0</v>
      </c>
      <c r="FY92" s="135">
        <f t="shared" ca="1" si="63"/>
        <v>0</v>
      </c>
      <c r="FZ92" s="140">
        <f ca="1">SUMIFS(RZ[Úroveň 1 (P6)],RZ[0],AX92)</f>
        <v>1</v>
      </c>
      <c r="GA92" s="140">
        <f ca="1">SUMIFS(RZ[Úroveň 2 (P6)],RZ[0],AX92,RZ[Úroveň 2 (P0)],AY92)</f>
        <v>3</v>
      </c>
      <c r="GB92" s="140">
        <f ca="1">SUMIFS(RZ[Úroveň 3 (P6)],RZ[0],AX92,RZ[Úroveň 2 (P0)],AY92,RZ[Úroveň 3 (P0)],AZ92)</f>
        <v>0</v>
      </c>
      <c r="GC92" s="140">
        <f ca="1">SUMIFS(RZ[Úroveň 4 (P6)],RZ[0],AX92,RZ[Úroveň 2 (P0)],AY92,RZ[Úroveň 3 (P0)],AZ92,RZ[Úroveň 4 (P0)],BA92)</f>
        <v>0</v>
      </c>
      <c r="GD92" s="140">
        <f ca="1">SUMIFS(RZ[Úroveň 5 (P6)],RZ[0],AX92,RZ[Úroveň 2 (P0)],AY92,RZ[Úroveň 3 (P0)],AZ92,RZ[Úroveň 4 (P0)],BA92,RZ[Úroveň 5 (P0)],BB92)</f>
        <v>0</v>
      </c>
      <c r="GE92" s="140">
        <f ca="1">SUMIFS(RZ[Úroveň 6 (P6)],RZ[0],AX92,RZ[Úroveň 2 (P0)],AY92,RZ[Úroveň 3 (P0)],AZ92,RZ[Úroveň 4 (P0)],BA92,RZ[Úroveň 5 (P0)],BB92,RZ[Úroveň 6 (P0)],BC92)</f>
        <v>0</v>
      </c>
      <c r="GF92" s="140">
        <f ca="1">SUMIFS(RZ[Úroveň 7 (P6)],RZ[0],AX92,RZ[Úroveň 2 (P0)],AY92,RZ[Úroveň 3 (P0)],AZ92,RZ[Úroveň 4 (P0)],BA92,RZ[Úroveň 5 (P0)],BB92,RZ[Úroveň 6 (P0)],BC92,RZ[Úroveň 7 (P0)],BD92)</f>
        <v>0</v>
      </c>
      <c r="GG92" s="140">
        <f ca="1">SUMIFS(RZ[Úroveň 8 (P6)],RZ[0],AX92,RZ[Úroveň 2 (P0)],AY92,RZ[Úroveň 3 (P0)],AZ92,RZ[Úroveň 4 (P0)],BA92,RZ[Úroveň 5 (P0)],BB92,RZ[Úroveň 6 (P0)],BC92,RZ[Úroveň 7 (P0)],BD92,RZ[Úroveň 8 (P0)],BE92)</f>
        <v>0</v>
      </c>
      <c r="GH92" s="140">
        <f ca="1">SUMIFS(RZ[Úroveň 9 (P6)],RZ[0],AX92,RZ[Úroveň 2 (P0)],AY92,RZ[Úroveň 3 (P0)],AZ92,RZ[Úroveň 4 (P0)],BA92,RZ[Úroveň 5 (P0)],BB92,RZ[Úroveň 6 (P0)],BC92,RZ[Úroveň 7 (P0)],BD92,RZ[Úroveň 8 (P0)],BE92,RZ[Úroveň 9 (P0)],BF92)</f>
        <v>0</v>
      </c>
      <c r="GI92" s="140">
        <f ca="1">SUMIFS(RZ[Úroveň 10 (P6)],RZ[0],AX92,RZ[Úroveň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GJ92" s="194">
        <f t="shared" ca="1" si="125"/>
        <v>3</v>
      </c>
      <c r="GK92" s="807">
        <f t="shared" si="65"/>
        <v>0</v>
      </c>
      <c r="GL92" s="808">
        <f t="shared" si="66"/>
        <v>1</v>
      </c>
      <c r="GM92" s="808">
        <f t="shared" si="67"/>
        <v>0</v>
      </c>
      <c r="GN92" s="808">
        <f t="shared" si="68"/>
        <v>0</v>
      </c>
      <c r="GO92" s="808">
        <f t="shared" si="69"/>
        <v>0</v>
      </c>
      <c r="GP92" s="808">
        <f t="shared" si="70"/>
        <v>0</v>
      </c>
      <c r="GQ92" s="808">
        <f t="shared" si="71"/>
        <v>0</v>
      </c>
      <c r="GR92" s="808">
        <f t="shared" si="72"/>
        <v>0</v>
      </c>
      <c r="GS92" s="808">
        <f t="shared" si="73"/>
        <v>0</v>
      </c>
      <c r="GT92" s="808">
        <f t="shared" si="74"/>
        <v>0</v>
      </c>
      <c r="GU92" s="809">
        <f ca="1">SUMIFS(RZ[Sloupec1],RZ[0],AX92)</f>
        <v>1</v>
      </c>
      <c r="GV92" s="809">
        <f ca="1">SUMIFS(RZ[Sloupec2],RZ[0],AX92,RZ[Úroveň 2 (P0)],AY92)</f>
        <v>1</v>
      </c>
      <c r="GW92" s="809">
        <f ca="1">SUMIFS(RZ[Sloupec3],RZ[0],AX92,RZ[Úroveň 2 (P0)],AY92,RZ[Úroveň 3 (P0)],AZ92)</f>
        <v>0</v>
      </c>
      <c r="GX92" s="809">
        <f ca="1">SUMIFS(RZ[Sloupec4],RZ[0],AX92,RZ[Úroveň 2 (P0)],AY92,RZ[Úroveň 3 (P0)],AZ92,RZ[Úroveň 4 (P0)],BA92)</f>
        <v>0</v>
      </c>
      <c r="GY92" s="809">
        <f ca="1">SUMIFS(RZ[Sloupec5],RZ[0],AX92,RZ[Úroveň 2 (P0)],AY92,RZ[Úroveň 3 (P0)],AZ92,RZ[Úroveň 4 (P0)],BA92,RZ[Úroveň 5 (P0)],BB92)</f>
        <v>0</v>
      </c>
      <c r="GZ92" s="809">
        <f ca="1">SUMIFS(RZ[Sloupec6],RZ[0],AX92,RZ[Úroveň 2 (P0)],AY92,RZ[Úroveň 3 (P0)],AZ92,RZ[Úroveň 4 (P0)],BA92,RZ[Úroveň 5 (P0)],BB92,RZ[Úroveň 6 (P0)],BC92)</f>
        <v>0</v>
      </c>
      <c r="HA92" s="809">
        <f ca="1">SUMIFS(RZ[Sloupec62],RZ[0],AX92,RZ[Úroveň 2 (P0)],AY92,RZ[Úroveň 3 (P0)],AZ92,RZ[Úroveň 4 (P0)],BA92,RZ[Úroveň 5 (P0)],BB92,RZ[Úroveň 6 (P0)],BC92,RZ[Úroveň 7 (P0)],BD92)</f>
        <v>0</v>
      </c>
      <c r="HB92" s="809">
        <f ca="1">SUMIFS(RZ[Sloupec63],RZ[0],AX92,RZ[Úroveň 2 (P0)],AY92,RZ[Úroveň 3 (P0)],AZ92,RZ[Úroveň 4 (P0)],BA92,RZ[Úroveň 5 (P0)],BB92,RZ[Úroveň 6 (P0)],BC92,RZ[Úroveň 7 (P0)],BD92,RZ[Úroveň 8 (P0)],BE92)</f>
        <v>0</v>
      </c>
      <c r="HC92" s="809">
        <f ca="1">SUMIFS(RZ[Sloupec64],RZ[0],AX92,RZ[Úroveň 2 (P0)],AY92,RZ[Úroveň 3 (P0)],AZ92,RZ[Úroveň 4 (P0)],BA92,RZ[Úroveň 5 (P0)],BB92,RZ[Úroveň 6 (P0)],BC92,RZ[Úroveň 7 (P0)],BD92,RZ[Úroveň 8 (P0)],BE92,RZ[Úroveň 9 (P0)],BF92)</f>
        <v>0</v>
      </c>
      <c r="HD92" s="809">
        <f ca="1">SUMIFS(RZ[Sloupec65],RZ[0],AX92,RZ[Úroveň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HE92" s="803">
        <f t="shared" ca="1" si="75"/>
        <v>1</v>
      </c>
      <c r="HF92" s="48" t="str">
        <f t="shared" si="76"/>
        <v/>
      </c>
      <c r="HG92" s="94" t="str">
        <f t="shared" si="77"/>
        <v/>
      </c>
      <c r="HH92" s="95" t="str">
        <f t="shared" si="78"/>
        <v>Nákolek</v>
      </c>
      <c r="HI92" s="95" t="str">
        <f t="shared" si="79"/>
        <v/>
      </c>
      <c r="HJ92" s="96" t="str">
        <f t="shared" si="80"/>
        <v/>
      </c>
      <c r="HK92" s="96" t="str">
        <f t="shared" si="81"/>
        <v/>
      </c>
      <c r="HL92" s="96" t="str">
        <f t="shared" si="82"/>
        <v/>
      </c>
      <c r="HM92" s="96" t="str">
        <f t="shared" si="83"/>
        <v/>
      </c>
      <c r="HN92" s="96" t="str">
        <f t="shared" si="84"/>
        <v/>
      </c>
      <c r="HO92" s="96" t="str">
        <f t="shared" si="85"/>
        <v/>
      </c>
      <c r="HP92" s="96" t="str">
        <f t="shared" si="86"/>
        <v/>
      </c>
      <c r="HQ92" s="145" t="str">
        <f t="shared" si="87"/>
        <v>-</v>
      </c>
      <c r="HR92" s="175" t="str">
        <f t="shared" si="88"/>
        <v/>
      </c>
      <c r="HS92" s="173">
        <f t="shared" si="89"/>
        <v>0</v>
      </c>
      <c r="HT92" s="99">
        <f t="shared" si="90"/>
        <v>0</v>
      </c>
      <c r="HU92" s="99">
        <f t="shared" si="91"/>
        <v>0</v>
      </c>
      <c r="HV92" s="209">
        <f t="shared" si="92"/>
        <v>0</v>
      </c>
      <c r="HW92" s="47">
        <f t="shared" si="93"/>
        <v>0</v>
      </c>
      <c r="HX92" s="46">
        <f t="shared" si="94"/>
        <v>0</v>
      </c>
      <c r="HY92" s="149" t="str">
        <f t="shared" si="95"/>
        <v>S</v>
      </c>
      <c r="HZ92" s="263">
        <f t="shared" si="96"/>
        <v>0</v>
      </c>
      <c r="IA92" s="150">
        <f t="shared" si="97"/>
        <v>1</v>
      </c>
      <c r="IB92" s="319">
        <f t="shared" si="98"/>
        <v>0</v>
      </c>
      <c r="IC92" s="220">
        <f t="shared" si="99"/>
        <v>0</v>
      </c>
      <c r="ID92" s="200" t="str">
        <f t="shared" ca="1" si="100"/>
        <v>--</v>
      </c>
      <c r="IE92" s="201">
        <f t="shared" si="101"/>
        <v>0</v>
      </c>
      <c r="IF92" s="145">
        <f t="shared" si="102"/>
        <v>3</v>
      </c>
      <c r="IG92" s="216">
        <f t="shared" si="103"/>
        <v>0</v>
      </c>
      <c r="IH92" s="217">
        <f t="shared" si="126"/>
        <v>1</v>
      </c>
      <c r="II92" s="224">
        <f ca="1">IF(RZ[[#This Row],[Rozhodný sloupec indikativní ceny]]=1,"kg",IF($IW92=$JL$15,IF(JX92=0,JO92,JX92),IF($IW92=$KE$15,IF(KQ92=0,KH92,KQ92),IF($IW92=$KX$15,IF(LJ92=0,LA92,LJ92),IF($IW92=$LQ$15,IF(MC92=0,LT92,MC92),IF($IW92=$MJ$15,IF(NQ92=0,NH92,NQ92),0))))))</f>
        <v>0</v>
      </c>
      <c r="IJ92" s="224">
        <f ca="1">IF((BH92+OFFSET(BH92,1,1,1,1))=2,RZ[[#This Row],[Počet MJHR (P0)]],IF((BI92+OFFSET(BI92,1,1,1,1))=2,RZ[[#This Row],[Počet MJHR (P0)]],IF((BJ92+OFFSET(BJ92,1,1,1,1))=2,RZ[[#This Row],[Počet MJHR (P0)]],IF((BK92+OFFSET(BK92,1,1,1,1))=2,RZ[[#This Row],[Počet MJHR (P0)]],IF((BL92+OFFSET(BL92,1,1,1,1))=2,RZ[[#This Row],[Počet MJHR (P0)]],IF((BM92+OFFSET(BM92,1,1,1,1))=2,RZ[[#This Row],[Počet MJHR (P0)]],IF((BN92+OFFSET(BN92,1,1,1,1))=2,RZ[[#This Row],[Počet MJHR (P0)]],IF((BO92+OFFSET(BO92,1,1,1,1))=2,RZ[[#This Row],[Počet MJHR (P0)]],IF((BP92+OFFSET(BP92,1,1,1,1))=2,RZ[[#This Row],[Počet MJHR (P0)]],IF((BQ92+OFFSET(BQ92,1,1,1,1))=2,RZ[[#This Row],[Počet MJHR (P0)]],IF(RZ[[#This Row],[Měrná jednotka CR (MJCR) (P0)]]=RZ[[#This Row],[Měrná jednotka HR '[MJHR'] (P0)]],RZ[[#This Row],[Počet MJHR (P0)]],IF($IW92=$JL$15,JY92,IF($IW92=$KE$15,KR92,IF($IW92=$KX$15,LK92,IF($IW92=$LQ$15,MD92,IF($IW92=$MJ$15,NR92,0))))))))))))))))</f>
        <v>3</v>
      </c>
      <c r="IK9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92" s="330">
        <f ca="1">IF(AND(RZ[[#This Row],[Jednotková cena bez DPH '[cena/MJCR'] (P0)]]=0,RZ[[#This Row],[Indikativní jednotková cena '[CZK/kg'] (P1)]]&lt;&gt;0),1,0)</f>
        <v>0</v>
      </c>
      <c r="IM92" s="217">
        <f ca="1">VLOOKUP(RZ[[#This Row],[Kód položek]],INDIKAT_CENA,2,FALSE)</f>
        <v>0</v>
      </c>
      <c r="IN92" s="222">
        <f ca="1">IF(RZ[[#This Row],[Rozhodný sloupec indikativní ceny]]=1,RZ[[#This Row],[Indikativní jednotková cena '[CZK/kg'] (P1)]],RZ[[#This Row],[Jednotková cena bez DPH '[cena/MJCR'] (P0)]])</f>
        <v>0</v>
      </c>
      <c r="IO92" s="222">
        <f t="shared" si="127"/>
        <v>1</v>
      </c>
      <c r="IP92" s="223">
        <f ca="1">IF(RZ[[#This Row],[Rozhodný sloupec indikativní ceny]]=1,1,IF($IW92=$JL$15,KA92,IF($IW92=$KE$15,KT92,IF($IW92=$KX$15,LM92,IF($IW92=$LQ$15,MF92,IF($IW92=$MJ$15,NT92,0))))))</f>
        <v>0</v>
      </c>
      <c r="IQ92" s="225">
        <f ca="1">IF(RZ[[#This Row],[Jednotková cena bez DPH '[cena/MJCR'] (P1)]]="",0,IF(IP92=0,0,(RZ[[#This Row],[Jednotková cena bez DPH '[cena/MJCR'] (P1)]]*VLOOKUP(IP92,$BR$7:$BT$10,3))))</f>
        <v>0</v>
      </c>
      <c r="IR92" s="737"/>
      <c r="IS92" s="627">
        <f>IF(HY92=0,"",VLOOKUP(RZ[[#This Row],[Stav Projekce (P0)]],Vstupy!$E$11:'Vstupy'!$E$11:$H$17,4,FALSE))</f>
        <v>100</v>
      </c>
      <c r="IT92" s="628" t="str">
        <f>IF(RZ[[#This Row],[Stav Projekce (P0)]]=0,"",RZ[[#This Row],[Stav Projekce (P0)]])</f>
        <v>S</v>
      </c>
      <c r="IU92" s="628" t="str">
        <f>IF(RZ[[#This Row],[Stav Nákup (P0)]]=0,"",RZ[[#This Row],[Stav Nákup (P0)]])</f>
        <v/>
      </c>
      <c r="IV92" s="636" t="str">
        <f t="shared" si="128"/>
        <v/>
      </c>
      <c r="IW92" s="641">
        <v>1</v>
      </c>
      <c r="IX92" s="630"/>
      <c r="IY92" s="264"/>
      <c r="IZ92" s="648"/>
      <c r="JA92" s="100" t="s">
        <v>740</v>
      </c>
      <c r="JB92" s="100"/>
      <c r="JC92" s="100"/>
      <c r="JD92" s="100"/>
      <c r="JE92" s="100"/>
      <c r="JF92" s="100"/>
      <c r="JG92" s="100"/>
      <c r="JH92" s="100"/>
      <c r="JI92" s="100"/>
      <c r="JJ92" s="145" t="s">
        <v>231</v>
      </c>
      <c r="JK92" s="529"/>
      <c r="JL92" s="286"/>
      <c r="JM92" s="100"/>
      <c r="JN92" s="100"/>
      <c r="JO92" s="145"/>
      <c r="JP92" s="117">
        <v>3</v>
      </c>
      <c r="JQ92" s="117"/>
      <c r="JR92" s="148">
        <v>1</v>
      </c>
      <c r="JS92" s="145" t="s">
        <v>602</v>
      </c>
      <c r="JT92" s="631"/>
      <c r="JU92" s="148"/>
      <c r="JV92" s="154"/>
      <c r="JW92" s="145"/>
      <c r="JX92" s="210"/>
      <c r="JY92" s="117"/>
      <c r="JZ92" s="662"/>
      <c r="KA92" s="145"/>
      <c r="KB92" s="148"/>
      <c r="KC92" s="148"/>
      <c r="KD92" s="644"/>
      <c r="KE92" s="286"/>
      <c r="KF92" s="100"/>
      <c r="KG92" s="100"/>
      <c r="KH92" s="210"/>
      <c r="KI92" s="117"/>
      <c r="KJ92" s="117"/>
      <c r="KK92" s="148"/>
      <c r="KL92" s="145"/>
      <c r="KM92" s="632"/>
      <c r="KN92" s="148"/>
      <c r="KO92" s="154"/>
      <c r="KP92" s="154"/>
      <c r="KQ92" s="210"/>
      <c r="KR92" s="117"/>
      <c r="KS92" s="211"/>
      <c r="KT92" s="145"/>
      <c r="KU92" s="148"/>
      <c r="KV92" s="148"/>
      <c r="KW92" s="265"/>
      <c r="KX92" s="286"/>
      <c r="KY92" s="100"/>
      <c r="KZ92" s="100"/>
      <c r="LA92" s="210"/>
      <c r="LB92" s="117"/>
      <c r="LC92" s="117"/>
      <c r="LD92" s="148"/>
      <c r="LE92" s="145"/>
      <c r="LF92" s="632"/>
      <c r="LG92" s="148"/>
      <c r="LH92" s="154"/>
      <c r="LI92" s="154"/>
      <c r="LJ92" s="154"/>
      <c r="LK92" s="117"/>
      <c r="LL92" s="211"/>
      <c r="LM92" s="210"/>
      <c r="LN92" s="148"/>
      <c r="LO92" s="148"/>
      <c r="LP92" s="265"/>
      <c r="LQ92" s="286"/>
      <c r="LR92" s="100"/>
      <c r="LS92" s="100"/>
      <c r="LT92" s="210"/>
      <c r="LU92" s="117"/>
      <c r="LV92" s="117"/>
      <c r="LW92" s="148"/>
      <c r="LX92" s="145"/>
      <c r="LY92" s="632"/>
      <c r="LZ92" s="148"/>
      <c r="MA92" s="154"/>
      <c r="MB92" s="154"/>
      <c r="MC92" s="145"/>
      <c r="MD92" s="117"/>
      <c r="ME92" s="211"/>
      <c r="MF92" s="210"/>
      <c r="MG92" s="148"/>
      <c r="MH92" s="148"/>
      <c r="MI92" s="265"/>
      <c r="MJ92" s="647"/>
      <c r="MK92" s="264"/>
      <c r="ML92" s="153"/>
      <c r="MM92" s="153"/>
      <c r="MN92" s="153"/>
      <c r="MO92" s="153"/>
      <c r="MP92" s="153"/>
      <c r="MQ92" s="153"/>
      <c r="MR92" s="153"/>
      <c r="MS92" s="99"/>
      <c r="MT92" s="99"/>
      <c r="MU92" s="99"/>
      <c r="MV92" s="99"/>
      <c r="MW92" s="99"/>
      <c r="MX92" s="99"/>
      <c r="MY92" s="153"/>
      <c r="MZ92" s="153"/>
      <c r="NA92" s="153"/>
      <c r="NB92" s="153"/>
      <c r="NC92" s="153"/>
      <c r="ND92" s="153"/>
      <c r="NE92" s="148"/>
      <c r="NF92" s="153"/>
      <c r="NG92" s="153"/>
      <c r="NH92" s="145" t="str">
        <f t="shared" si="358"/>
        <v>ks</v>
      </c>
      <c r="NI92" s="779">
        <f>RZ[[#This Row],[Počet ks (K)]]</f>
        <v>0</v>
      </c>
      <c r="NJ92" s="210">
        <f>RZ[[#This Row],[Hmotnost '[kg/ks'] (K)]]</f>
        <v>0</v>
      </c>
      <c r="NK92" s="148"/>
      <c r="NL92" s="145"/>
      <c r="NM92" s="632"/>
      <c r="NN92" s="148"/>
      <c r="NO92" s="154"/>
      <c r="NP92" s="153"/>
      <c r="NQ92" s="153"/>
      <c r="NR92" s="210"/>
      <c r="NS92" s="148"/>
      <c r="NT92" s="210"/>
      <c r="NU92" s="148"/>
      <c r="NV92" s="148"/>
      <c r="NW92" s="175"/>
    </row>
    <row r="93" spans="2:387" ht="15.95" customHeight="1" x14ac:dyDescent="0.35">
      <c r="B93" s="118" t="str">
        <f t="shared" ref="B93:B96" si="597">IF(HF93=0,"",HF93)</f>
        <v/>
      </c>
      <c r="C9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3" s="262" t="str">
        <f t="shared" ref="D93:D96" si="598">IF(HG93&lt;&gt;"",HG93,IF(HH93&lt;&gt;"","  "&amp;HH93,IF(HI93&lt;&gt;"","  "&amp;"  "&amp;HI93,IF(HJ93&lt;&gt;"","  "&amp;"  "&amp;"  "&amp;HJ93,IF(HK93&lt;&gt;"","  "&amp;"  "&amp;"  "&amp;"  "&amp;HK93,IF(HL93&lt;&gt;"","  "&amp;"  "&amp;"  "&amp;"  "&amp;"  "&amp;HL93,IF(HM93&lt;&gt;"","  "&amp;"  "&amp;"  "&amp;"  "&amp;"  "&amp;"  "&amp;HM93,IF(HN93&lt;&gt;"","  "&amp;"  "&amp;"  "&amp;"  "&amp;"  "&amp;"  "&amp;"  "&amp;HN93,IF(HO93&lt;&gt;"","  "&amp;"  "&amp;"  "&amp;"  "&amp;"  "&amp;"  "&amp;"  "&amp;"  "&amp;HO93,IF(HP93&lt;&gt;"","  "&amp;"  "&amp;"  "&amp;"  "&amp;"  "&amp;"  "&amp;"  "&amp;"  "&amp;"  "&amp;HP93,0))))))))))</f>
        <v xml:space="preserve">    Díl nákolku</v>
      </c>
      <c r="E93" s="120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Row],[Kód položek (P2)]]))))))))))</f>
        <v>OKS1</v>
      </c>
      <c r="F93" s="791" t="str">
        <f t="shared" ref="F93:F96" si="599">IF(HS93=0,"N/A",HS93)</f>
        <v>N/A</v>
      </c>
      <c r="G93" s="792" t="str">
        <f t="shared" ref="G93:G96" si="600">IF(HT93=0,"",HT93)</f>
        <v/>
      </c>
      <c r="H93" s="262" t="str">
        <f t="shared" ref="H93:H96" si="601">IF(HU93=0,"",HU93)</f>
        <v/>
      </c>
      <c r="I93" s="123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HR '[MJHR'] (P0)]]))))))))))</f>
        <v>ks</v>
      </c>
      <c r="J93" s="123">
        <f t="shared" ref="J93:J96" si="602">IF(IF93=0,"",IF93)</f>
        <v>2</v>
      </c>
      <c r="K93" s="793">
        <f>RZ[[#This Row],[Koeficient odhadu HR '[-'] (P1)]]</f>
        <v>1</v>
      </c>
      <c r="L93" s="124">
        <f ca="1">RZ[[#This Row],[Jednotková hmotnost s koef. '[kg/MJHR'] (P0)]]</f>
        <v>366</v>
      </c>
      <c r="M93" s="794">
        <f t="shared" ref="M93:M96" ca="1" si="603">IF(ISNUMBER(K93),L93/K93*(K93-1),0)</f>
        <v>0</v>
      </c>
      <c r="N93" s="125">
        <f t="shared" ref="N93:N96" ca="1" si="604">IF(ISNUMBER(J93),J93*L93,0)</f>
        <v>732</v>
      </c>
      <c r="O93" s="125">
        <f t="shared" ref="O93:O96" ca="1" si="605">IF(ISNUMBER(J93),J93*M93,0)</f>
        <v>0</v>
      </c>
      <c r="P93" s="126" t="str">
        <f t="shared" ref="P93:P96" si="606">IF(HR93=0,"",HR93)</f>
        <v/>
      </c>
      <c r="Q93" s="795">
        <f ca="1">RZ[[#This Row],[Počet MJHR v rozpadu (P0)]]</f>
        <v>6</v>
      </c>
      <c r="R93" s="439" t="str">
        <f t="shared" ref="R93:R96" si="607">IF(HV93&lt;&gt;0,HV93,"")</f>
        <v/>
      </c>
      <c r="S93" s="129" t="str">
        <f t="shared" ref="S93:S96" si="608">IF(HW93&lt;&gt;0,HW93,"")</f>
        <v/>
      </c>
      <c r="T93" s="126" t="str">
        <f t="shared" ref="T93:T96" si="609">IF(HX93=0,"",HX93)</f>
        <v/>
      </c>
      <c r="U93" s="126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CR (MJCR) (P0)]]))))))))))</f>
        <v>kg</v>
      </c>
      <c r="V93" s="575">
        <f t="shared" ref="V93:V96" ca="1" si="610">IF(IK93=0,"",IK93)</f>
        <v>732</v>
      </c>
      <c r="W93" s="322">
        <f>RZ[[#This Row],[Koeficient odhadu CR '[-'] (P1)]]</f>
        <v>1</v>
      </c>
      <c r="X93" s="440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Row],[Jednotková cena bez DPH '[cena/MJCR'] (P1)]]*RZ[[#This Row],[Koeficient odhadu CR '[-']]]))))))))))</f>
        <v>140</v>
      </c>
      <c r="Y93" s="440">
        <f t="shared" ref="Y93:Y96" ca="1" si="611">IF(ISNUMBER(X93),-X93/W93*(W93-1),0)</f>
        <v>0</v>
      </c>
      <c r="Z93" s="142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VLOOKUP(IP93,$BR$7:$BS$11,2,FALSE)))))))))))</f>
        <v>CZK</v>
      </c>
      <c r="AA93" s="909">
        <f t="shared" ref="AA93:AA96" ca="1" si="612">GJ93</f>
        <v>2196</v>
      </c>
      <c r="AB93" s="910">
        <f ca="1">RZ[[#This Row],[Kumulovaný koeficient v rozpadu (P0)]]</f>
        <v>1</v>
      </c>
      <c r="AC93" s="261"/>
      <c r="AD93" s="796">
        <f ca="1">RZ[[#This Row],[Jednotková cena bez DPH '[cena/MJCR'] s koef. (P0)]]/RZ[[#This Row],[Koeficient odhadu CR '[-']]]*RZ[[#This Row],[Kumulovaný koeficient odhadu CR  '[-']]]</f>
        <v>140</v>
      </c>
      <c r="AE93" s="796">
        <f t="shared" ref="AE93:AE96" ca="1" si="613">IF(ISNUMBER(AA93),AA93*AD93,0)*IF(V93="",0,1)</f>
        <v>307440</v>
      </c>
      <c r="AF93" s="796">
        <f ca="1">-IF(ISNUMBER(AA93),RZ[[#This Row],[Celková cena bez DPH (1)]]-RZ[[#This Row],[Jednotková cena bez DPH '[cena/MJCR'] bez koef. (P0)]]*AA93,0)</f>
        <v>0</v>
      </c>
      <c r="AG9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3" s="261"/>
      <c r="AI93" s="796">
        <f ca="1">AD93/VLOOKUP($AJ$13,KURZY,3,FALSE)</f>
        <v>5.1851851851851851</v>
      </c>
      <c r="AJ93" s="796">
        <f ca="1">AE93/VLOOKUP($AJ$13,KURZY,3,FALSE)*IF(V93="",0,1)</f>
        <v>11386.666666666666</v>
      </c>
      <c r="AK93" s="796">
        <f ca="1">AF93/VLOOKUP($AJ$13,KURZY,3,FALSE)</f>
        <v>0</v>
      </c>
      <c r="AL93" s="753">
        <f ca="1">RZ[[#This Row],[Kilogramová cena bez DPH '[cena/kg'] (1)]]/$AK$13</f>
        <v>5.1851851851851851</v>
      </c>
      <c r="AM93" s="261"/>
      <c r="AN93" s="796">
        <f ca="1">AD93/VLOOKUP($AO$13,KURZY,3,FALSE)</f>
        <v>6.7632850241545892</v>
      </c>
      <c r="AO93" s="796">
        <f ca="1">AE93/VLOOKUP($AO$13,KURZY,3,FALSE)*IF(V93="",0,1)</f>
        <v>14852.173913043478</v>
      </c>
      <c r="AP93" s="796">
        <f ca="1">AF93/VLOOKUP($AO$13,KURZY,3,FALSE)</f>
        <v>0</v>
      </c>
      <c r="AQ93" s="753">
        <f ca="1">RZ[[#This Row],[Kilogramová cena bez DPH '[cena/kg'] (1)]]/$AP$13</f>
        <v>6.7632850241545892</v>
      </c>
      <c r="AR93" s="261"/>
      <c r="AS93" s="796">
        <f ca="1">AD93/VLOOKUP($AT$13,KURZY,3,FALSE)</f>
        <v>3.8293216630196936</v>
      </c>
      <c r="AT93" s="796">
        <f ca="1">AE93/VLOOKUP($AT$13,KURZY,3,FALSE)*IF(V93="",0,1)</f>
        <v>8409.1903719912461</v>
      </c>
      <c r="AU93" s="789">
        <f ca="1">AF93/VLOOKUP($AT$13,KURZY,3,FALSE)</f>
        <v>0</v>
      </c>
      <c r="AV93" s="767">
        <f ca="1">RZ[[#This Row],[Kilogramová cena bez DPH '[cena/kg'] (1)]]/$AU$13</f>
        <v>3.8293216630196936</v>
      </c>
      <c r="AW93" s="165"/>
      <c r="AX93" s="911">
        <f t="shared" ref="AX93:AX96" ca="1" si="614">IF($BH93=0,IF(AY93&gt;0,OFFSET(AX93,-1,0,1,1),0),OFFSET(AX93,-1,0,1,1)+1)</f>
        <v>2</v>
      </c>
      <c r="AY93" s="111">
        <f t="shared" ref="AY93:AY96" ca="1" si="615">IF($BI93=0,IF(AZ93&gt;0,OFFSET(AY93,-1,0,1,1),0),OFFSET(AY93,-1,0,1,1)+1)</f>
        <v>4</v>
      </c>
      <c r="AZ93" s="111">
        <f t="shared" ref="AZ93:AZ96" ca="1" si="616">IF($BJ93=0,IF(BA93&gt;0,OFFSET(AZ93,-1,0,1,1),0),OFFSET(AZ93,-1,0,1,1)+1)</f>
        <v>1</v>
      </c>
      <c r="BA93" s="111">
        <f t="shared" ref="BA93:BA96" ca="1" si="617">IF($BK93=0,IF(BB93&gt;0,OFFSET(BA93,-1,0,1,1),0),OFFSET(BA93,-1,0,1,1)+1)</f>
        <v>0</v>
      </c>
      <c r="BB93" s="111">
        <f t="shared" ref="BB93:BB96" ca="1" si="618">IF($BL93=0,IF(BC93&gt;0,OFFSET(BB93,-1,0,1,1),0),OFFSET(BB93,-1,0,1,1)+1)</f>
        <v>0</v>
      </c>
      <c r="BC93" s="111">
        <f t="shared" ref="BC93:BC96" ca="1" si="619">IF($BM93=0,IF(BD93&gt;0,OFFSET(BC93,-1,0,1,1),0),OFFSET(BC93,-1,0,1,1)+1)</f>
        <v>0</v>
      </c>
      <c r="BD93" s="111">
        <f t="shared" ref="BD93:BD96" ca="1" si="620">IF($BN93=0,IF(BE93&gt;0,OFFSET(BD93,-1,0,1,1),0),OFFSET(BD93,-1,0,1,1)+1)</f>
        <v>0</v>
      </c>
      <c r="BE93" s="111">
        <f t="shared" ref="BE93:BE96" ca="1" si="621">IF($BO93=0,IF(BF93&gt;0,OFFSET(BE93,-1,0,1,1),0),OFFSET(BE93,-1,0,1,1)+1)</f>
        <v>0</v>
      </c>
      <c r="BF93" s="111">
        <f t="shared" ref="BF93:BF96" ca="1" si="622">IF($BP93=0,IF(BG93&gt;0,OFFSET(BF93,-1,0,1,1),0),OFFSET(BF93,-1,0,1,1)+1)</f>
        <v>0</v>
      </c>
      <c r="BG93" s="112">
        <f t="shared" ref="BG93:BG96" ca="1" si="623">IF($BQ93=0,0,OFFSET($BG93,-1,0,1,1)+1)</f>
        <v>0</v>
      </c>
      <c r="BH93" s="911">
        <f t="shared" ref="BH93:BH96" si="624">IF(HG93="",0,1)</f>
        <v>0</v>
      </c>
      <c r="BI93" s="111">
        <f t="shared" ref="BI93:BI96" si="625">IF(HH93="",0,1)</f>
        <v>0</v>
      </c>
      <c r="BJ93" s="111">
        <f t="shared" ref="BJ93:BJ96" si="626">IF(HI93="",0,1)</f>
        <v>1</v>
      </c>
      <c r="BK93" s="111">
        <f t="shared" ref="BK93:BK96" si="627">IF(HJ93="",0,1)</f>
        <v>0</v>
      </c>
      <c r="BL93" s="111">
        <f t="shared" ref="BL93:BL96" si="628">IF(HK93="",0,1)</f>
        <v>0</v>
      </c>
      <c r="BM93" s="111">
        <f t="shared" ref="BM93:BM96" si="629">IF(HL93="",0,1)</f>
        <v>0</v>
      </c>
      <c r="BN93" s="111">
        <f t="shared" ref="BN93:BN96" si="630">IF(HM93="",0,1)</f>
        <v>0</v>
      </c>
      <c r="BO93" s="111">
        <f t="shared" ref="BO93:BO96" si="631">IF(HN93="",0,1)</f>
        <v>0</v>
      </c>
      <c r="BP93" s="111">
        <f t="shared" ref="BP93:BP96" si="632">IF(HO93="",0,1)</f>
        <v>0</v>
      </c>
      <c r="BQ93" s="112">
        <f t="shared" ref="BQ93:BQ96" si="633">IF(HP93="",0,1)</f>
        <v>0</v>
      </c>
      <c r="BR93" s="132">
        <f ca="1">IF(OFFSET(AY93,1,0,1,1)&lt;&gt;0,RZ[[#This Row],[Koeficient odhadu HR '[-'] (P1)]]*$BH93*SUMIFS(RZ[Úroveň 2 s koef. (P2)],RZ[0],AX93),RZ[[#This Row],[Koeficient odhadu HR '[-'] (P1)]]*$BH93*$IG93)</f>
        <v>0</v>
      </c>
      <c r="BS93" s="186">
        <f ca="1">IF(OFFSET(AY93,1,0,1,1)&lt;&gt;0,$BH93*SUMIFS(RZ[Úroveň 2 bez koef. (P2)],RZ[0],AX93),$BH93*$IG93)</f>
        <v>0</v>
      </c>
      <c r="BT93" s="138">
        <f ca="1">RZ[[#This Row],[Úroveň 2 s koef. (P2a)]]*RZ[[#This Row],[Počet MJHR (P0)]]</f>
        <v>0</v>
      </c>
      <c r="BU93" s="138">
        <f ca="1">RZ[[#This Row],[Úroveň 2 bez koef. (P2a)]]*RZ[[#This Row],[Počet MJHR (P0)]]</f>
        <v>0</v>
      </c>
      <c r="BV93" s="138">
        <f ca="1">IF(OFFSET(AZ93,1,0,1,1)&lt;&gt;0,RZ[[#This Row],[Koeficient odhadu HR '[-'] (P1)]]*$BI93*SUMIFS(RZ[Úroveň 3 s koef. (P2)],RZ[0],AX93,RZ[Úroveň 2 (P0)],AY93),RZ[[#This Row],[Koeficient odhadu HR '[-'] (P1)]]*$BI93*$IG93)</f>
        <v>0</v>
      </c>
      <c r="BW93" s="138">
        <f ca="1">IF(OFFSET(AZ93,1,0,1,1)&lt;&gt;0,$BI93*SUMIFS(RZ[Úroveň 3 bez koef. (P2)],RZ[0],AX93,RZ[Úroveň 2 (P0)],AY93),$BI93*$IG93)</f>
        <v>0</v>
      </c>
      <c r="BX93" s="132">
        <f ca="1">RZ[[#This Row],[Úroveň 3 s koef. (P2a)]]*RZ[[#This Row],[Počet MJHR (P0)]]</f>
        <v>732</v>
      </c>
      <c r="BY93" s="132">
        <f ca="1">RZ[Úroveň 3 bez koef. (P2a)]*RZ[[#This Row],[Počet MJHR (P0)]]</f>
        <v>732</v>
      </c>
      <c r="BZ93" s="132">
        <f ca="1">IF(OFFSET(BA93,1,0,1,1)&lt;&gt;0,RZ[[#This Row],[Koeficient odhadu HR '[-'] (P1)]]*$BJ93*SUMIFS(RZ[Úroveň 4 s koef. (P2)],RZ[0],AX93,RZ[Úroveň 2 (P0)],AY93,RZ[Úroveň 3 (P0)],AZ93),RZ[[#This Row],[Koeficient odhadu HR '[-'] (P1)]]*$BJ93*$IG93)</f>
        <v>366</v>
      </c>
      <c r="CA93" s="132">
        <f ca="1">IF(OFFSET(BA93,1,0,1,1)&lt;&gt;0,$BJ93*SUMIFS(RZ[Úroveň 4 bez koef. (P2)],RZ[0],AX93,RZ[Úroveň 2 (P0)],AY93,RZ[Úroveň 3 (P0)],AZ93),$BJ93*$IG93)</f>
        <v>366</v>
      </c>
      <c r="CB93" s="138">
        <f ca="1">RZ[[#This Row],[Úroveň 4 s koef. (P2a)]]*RZ[[#This Row],[Počet MJHR (P0)]]</f>
        <v>0</v>
      </c>
      <c r="CC93" s="138">
        <f ca="1">RZ[Úroveň 4 bez koef. (P2a)]*RZ[[#This Row],[Počet MJHR (P0)]]</f>
        <v>0</v>
      </c>
      <c r="CD93" s="138">
        <f ca="1">IF(OFFSET(BB93,1,0,1,1)&lt;&gt;0,RZ[[#This Row],[Koeficient odhadu HR '[-'] (P1)]]*$BK93*SUMIFS(RZ[Úroveň 5 s koef. (P2)],RZ[0],AX93,RZ[Úroveň 2 (P0)],AY93,RZ[Úroveň 3 (P0)],AZ93,RZ[Úroveň 4 (P0)],BA93),RZ[[#This Row],[Koeficient odhadu HR '[-'] (P1)]]*$BK93*$IG93)</f>
        <v>0</v>
      </c>
      <c r="CE93" s="138">
        <f ca="1">IF(OFFSET(BB93,1,0,1,1)&lt;&gt;0,$BK93*SUMIFS(RZ[Úroveň 5 bez koef. (P2)],RZ[0],AX93,RZ[Úroveň 2 (P0)],AY93,RZ[Úroveň 3 (P0)],AZ93,RZ[Úroveň 4 (P0)],BA93),$BK93*$IG93)</f>
        <v>0</v>
      </c>
      <c r="CF93" s="132">
        <f ca="1">RZ[[#This Row],[Úroveň 5 s koef. (P2a)]]*RZ[[#This Row],[Počet MJHR (P0)]]</f>
        <v>0</v>
      </c>
      <c r="CG93" s="132">
        <f ca="1">RZ[Úroveň 5 bez koef. (P2a)]*RZ[[#This Row],[Počet MJHR (P0)]]</f>
        <v>0</v>
      </c>
      <c r="CH93" s="132">
        <f ca="1">IF(OFFSET(BC93,1,0,1,1)&lt;&gt;0,RZ[[#This Row],[Koeficient odhadu HR '[-'] (P1)]]*$BL93*SUMIFS(RZ[Úroveň 6 s koef. (P2)],RZ[0],AX93,RZ[Úroveň 2 (P0)],AY93,RZ[Úroveň 3 (P0)],AZ93,RZ[Úroveň 4 (P0)],BA93,RZ[Úroveň 5 (P0)],BB93),RZ[[#This Row],[Koeficient odhadu HR '[-'] (P1)]]*$BL93*$IG93)</f>
        <v>0</v>
      </c>
      <c r="CI93" s="132">
        <f ca="1">IF(OFFSET(BC93,1,0,1,1)&lt;&gt;0,$BL93*SUMIFS(RZ[Úroveň 6 bez koef. (P2)],RZ[0],AX93,RZ[Úroveň 2 (P0)],AY93,RZ[Úroveň 3 (P0)],AZ93,RZ[Úroveň 4 (P0)],BA93,RZ[Úroveň 5 (P0)],BB93),$BL93*$IG93)</f>
        <v>0</v>
      </c>
      <c r="CJ93" s="138">
        <f ca="1">RZ[[#This Row],[Úroveň 6 s koef. (P2a)]]*RZ[[#This Row],[Počet MJHR (P0)]]</f>
        <v>0</v>
      </c>
      <c r="CK93" s="138">
        <f ca="1">RZ[Úroveň 6 bez koef. (P2a)]*RZ[[#This Row],[Počet MJHR (P0)]]</f>
        <v>0</v>
      </c>
      <c r="CL93" s="138">
        <f ca="1">IF(OFFSET(BD93,1,0,1,1)&lt;&gt;0,RZ[[#This Row],[Koeficient odhadu HR '[-'] (P1)]]*$BM93*SUMIFS(RZ[Úroveň 7 s koef. (P2)],RZ[0],AX93,RZ[Úroveň 2 (P0)],AY93,RZ[Úroveň 3 (P0)],AZ93,RZ[Úroveň 4 (P0)],BA93,RZ[Úroveň 5 (P0)],BB93,RZ[Úroveň 6 (P0)],BC93),RZ[[#This Row],[Koeficient odhadu HR '[-'] (P1)]]*$BM93*$IG93)</f>
        <v>0</v>
      </c>
      <c r="CM93" s="138">
        <f ca="1">IF(OFFSET(BD93,1,0,1,1)&lt;&gt;0,$BM93*SUMIFS(RZ[Úroveň 7 bez koef. (P2)],RZ[0],AX93,RZ[Úroveň 2 (P0)],AY93,RZ[Úroveň 3 (P0)],AZ93,RZ[Úroveň 4 (P0)],BA93,RZ[Úroveň 5 (P0)],BB93,RZ[Úroveň 6 (P0)],BC93),$BM93*$IG93)</f>
        <v>0</v>
      </c>
      <c r="CN93" s="132">
        <f ca="1">RZ[[#This Row],[Úroveň 7 s koef. (P2a)]]*RZ[[#This Row],[Počet MJHR (P0)]]</f>
        <v>0</v>
      </c>
      <c r="CO93" s="132">
        <f ca="1">RZ[Úroveň 7 bez koef. (P2a)]*RZ[[#This Row],[Počet MJHR (P0)]]</f>
        <v>0</v>
      </c>
      <c r="CP93" s="132">
        <f ca="1">IF(OFFSET(BE93,1,0,1,1)&lt;&gt;0,RZ[[#This Row],[Koeficient odhadu HR '[-'] (P1)]]*$BN93*SUMIFS(RZ[Úroveň 8 s koef. (P2)],RZ[0],AX93,RZ[Úroveň 2 (P0)],AY93,RZ[Úroveň 3 (P0)],AZ93,RZ[Úroveň 4 (P0)],BA93,RZ[Úroveň 5 (P0)],BB93,RZ[Úroveň 6 (P0)],BC93,RZ[Úroveň 7 (P0)],BD93),RZ[[#This Row],[Koeficient odhadu HR '[-'] (P1)]]*$BN93*$IG93)</f>
        <v>0</v>
      </c>
      <c r="CQ93" s="132">
        <f ca="1">IF(OFFSET(BE93,1,0,1,1)&lt;&gt;0,$BN93*SUMIFS(RZ[Úroveň 8 bez koef. (P2)],RZ[0],AX93,RZ[Úroveň 2 (P0)],AY93,RZ[Úroveň 3 (P0)],AZ93,RZ[Úroveň 4 (P0)],BA93,RZ[Úroveň 5 (P0)],BB93,RZ[Úroveň 6 (P0)],BC93,RZ[Úroveň 7 (P0)],BD93),$BN93*$IG93)</f>
        <v>0</v>
      </c>
      <c r="CR93" s="138">
        <f ca="1">RZ[[#This Row],[Úroveň 8 s koef. (P2a)]]*RZ[[#This Row],[Počet MJHR (P0)]]</f>
        <v>0</v>
      </c>
      <c r="CS93" s="138">
        <f ca="1">RZ[Úroveň 8 bez koef. (P2a)]*RZ[[#This Row],[Počet MJHR (P0)]]</f>
        <v>0</v>
      </c>
      <c r="CT93" s="138">
        <f ca="1">IF(OFFSET(BF93,1,0,1,1)&lt;&gt;0,RZ[[#This Row],[Koeficient odhadu HR '[-'] (P1)]]*$BO93*SUMIFS(RZ[Úroveň 9 s koef. (P2)],RZ[0],AX93,RZ[Úroveň 2 (P0)],AY93,RZ[Úroveň 3 (P0)],AZ93,RZ[Úroveň 4 (P0)],BA93,RZ[Úroveň 5 (P0)],BB93,RZ[Úroveň 6 (P0)],BC93,RZ[Úroveň 7 (P0)],BD93,RZ[Úroveň 8 (P0)],BE93),RZ[[#This Row],[Koeficient odhadu HR '[-'] (P1)]]*$BO93*$IG93)</f>
        <v>0</v>
      </c>
      <c r="CU93" s="138">
        <f ca="1">IF(OFFSET(BF93,1,0,1,1)&lt;&gt;0,$BO93*SUMIFS(RZ[Úroveň 9 bez koef. (P2)],RZ[0],AX93,RZ[Úroveň 2 (P0)],AY93,RZ[Úroveň 3 (P0)],AZ93,RZ[Úroveň 4 (P0)],BA93,RZ[Úroveň 5 (P0)],BB93,RZ[Úroveň 6 (P0)],BC93,RZ[Úroveň 7 (P0)],BD93,RZ[Úroveň 8 (P0)],BE93),$BO93*$IG93)</f>
        <v>0</v>
      </c>
      <c r="CV93" s="132">
        <f ca="1">RZ[[#This Row],[Úroveň 9 s koef. (P2a)]]*RZ[[#This Row],[Počet MJHR (P0)]]</f>
        <v>0</v>
      </c>
      <c r="CW93" s="132">
        <f ca="1">RZ[Úroveň 9 bez koef. (P2a)]*RZ[[#This Row],[Počet MJHR (P0)]]</f>
        <v>0</v>
      </c>
      <c r="CX93" s="132">
        <f ca="1">IF(OFFSET(BG93,1,0,1,1)&lt;&gt;0,RZ[[#This Row],[Koeficient odhadu HR '[-'] (P1)]]*$BP93*SUMIFS(RZ[Úroveň 10 s koef. (P2)],RZ[0],AX93,RZ[Úroveň 2 (P0)],AY93,RZ[Úroveň 3 (P0)],AZ93,RZ[Úroveň 4 (P0)],BA93,RZ[Úroveň 5 (P0)],BB93,RZ[Úroveň 6 (P0)],BC93,RZ[Úroveň 7 (P0)],BD93,RZ[Úroveň 8 (P0)],BE93,RZ[Úroveň 9 (P0)],BF93),RZ[[#This Row],[Koeficient odhadu HR '[-'] (P1)]]*$BP93*$IG93)</f>
        <v>0</v>
      </c>
      <c r="CY93" s="132">
        <f ca="1">IF(OFFSET(BG93,1,0,1,1)&lt;&gt;0,$BP93*SUMIFS(RZ[Úroveň 10 bez koef. (P2)],RZ[0],AX93,RZ[Úroveň 2 (P0)],AY93,RZ[Úroveň 3 (P0)],AZ93,RZ[Úroveň 4 (P0)],BA93,RZ[Úroveň 5 (P0)],BB93,RZ[Úroveň 6 (P0)],BC93,RZ[Úroveň 7 (P0)],BD93,RZ[Úroveň 8 (P0)],BE93,RZ[Úroveň 9 (P0)],BF93),$BP93*$IG93)</f>
        <v>0</v>
      </c>
      <c r="CZ93" s="138">
        <f>RZ[[#This Row],[Úroveň 10 s koef. (P2a)]]*RZ[[#This Row],[Počet MJHR (P0)]]</f>
        <v>0</v>
      </c>
      <c r="DA93" s="138">
        <f>RZ[Úroveň 10 bez koef. (P2a)]*RZ[[#This Row],[Počet MJHR (P0)]]</f>
        <v>0</v>
      </c>
      <c r="DB93" s="138">
        <f>RZ[[#This Row],[Koeficient odhadu HR '[-'] (P1)]]*$BQ93*IG93</f>
        <v>0</v>
      </c>
      <c r="DC93" s="231">
        <f t="shared" ref="DC93:DC96" si="634">$BQ93*IG93</f>
        <v>0</v>
      </c>
      <c r="DD93" s="241">
        <f t="shared" ref="DD93:DD96" ca="1" si="635">IF(BH93=1,BR93,IF(BI93=1,BV93,IF(BJ93=1,BZ93,IF(BK93=1,CD93,IF(BL93=1,CH93,IF(BM93=1,CL93,IF(BN93=1,CP93,IF(BO93=1,CT93,IF(BP93=1,CX93,DB93)))))))))</f>
        <v>366</v>
      </c>
      <c r="DE93" s="229">
        <f t="shared" ref="DE93:DE96" ca="1" si="636">IF(BH93=1,BS93,IF(BI93=1,BW93,IF(BJ93=1,CA93,IF(BK93=1,CE93,IF(BL93=1,CI93,IF(BM93=1,CM93,IF(BN93=1,CQ93,IF(BO93=1,CU93,IF(BP93=1,CY93,DC93)))))))))</f>
        <v>366</v>
      </c>
      <c r="DF93" s="912">
        <f t="shared" ref="DF93:DF96" si="637">BH93*$IF93</f>
        <v>0</v>
      </c>
      <c r="DG93" s="913">
        <f t="shared" ref="DG93:DG96" si="638">BI93*$IF93</f>
        <v>0</v>
      </c>
      <c r="DH93" s="913">
        <f t="shared" ref="DH93:DH96" si="639">BJ93*$IF93</f>
        <v>2</v>
      </c>
      <c r="DI93" s="913">
        <f t="shared" ref="DI93:DI96" si="640">BK93*$IF93</f>
        <v>0</v>
      </c>
      <c r="DJ93" s="913">
        <f t="shared" ref="DJ93:DJ96" si="641">BL93*$IF93</f>
        <v>0</v>
      </c>
      <c r="DK93" s="913">
        <f t="shared" ref="DK93:DK96" si="642">BM93*$IF93</f>
        <v>0</v>
      </c>
      <c r="DL93" s="913">
        <f t="shared" ref="DL93:DL96" si="643">BN93*$IF93</f>
        <v>0</v>
      </c>
      <c r="DM93" s="913">
        <f t="shared" ref="DM93:DM96" si="644">BO93*$IF93</f>
        <v>0</v>
      </c>
      <c r="DN93" s="913">
        <f t="shared" ref="DN93:DN96" si="645">BP93*$IF93</f>
        <v>0</v>
      </c>
      <c r="DO93" s="913">
        <f t="shared" ref="DO93:DO96" si="646">BQ93*$IF93</f>
        <v>0</v>
      </c>
      <c r="DP93" s="914">
        <f ca="1">SUMIFS(RZ[Úroveň 1 (P4)],RZ[0],AX93)</f>
        <v>1</v>
      </c>
      <c r="DQ93" s="914">
        <f ca="1">SUMIFS(RZ[Úroveň 2 (P4)],RZ[0],AX93,RZ[Úroveň 2 (P0)],AY93)</f>
        <v>3</v>
      </c>
      <c r="DR93" s="914">
        <f ca="1">SUMIFS(RZ[Úroveň 3 (P4)],RZ[0],AX93,RZ[Úroveň 2 (P0)],AY93,RZ[Úroveň 3 (P0)],AZ93)</f>
        <v>2</v>
      </c>
      <c r="DS93" s="914">
        <f ca="1">SUMIFS(RZ[Úroveň 4 (P4)],RZ[0],AX93,RZ[Úroveň 2 (P0)],AY93,RZ[Úroveň 3 (P0)],AZ93,RZ[Úroveň 4 (P0)],BA93)</f>
        <v>0</v>
      </c>
      <c r="DT93" s="914">
        <f ca="1">SUMIFS(RZ[Úroveň 5 (P4)],RZ[0],AX93,RZ[Úroveň 2 (P0)],AY93,RZ[Úroveň 3 (P0)],AZ93,RZ[Úroveň 4 (P0)],BA93,RZ[Úroveň 5 (P0)],BB93)</f>
        <v>0</v>
      </c>
      <c r="DU93" s="914">
        <f ca="1">SUMIFS(RZ[Úroveň 6 (P4)],RZ[0],AX93,RZ[Úroveň 2 (P0)],AY93,RZ[Úroveň 3 (P0)],AZ93,RZ[Úroveň 4 (P0)],BA93,RZ[Úroveň 5 (P0)],BB93,RZ[Úroveň 6 (P0)],BC93)</f>
        <v>0</v>
      </c>
      <c r="DV93" s="914">
        <f ca="1">SUMIFS(RZ[Úroveň 7 (P4)],RZ[0],AX93,RZ[Úroveň 2 (P0)],AY93,RZ[Úroveň 3 (P0)],AZ93,RZ[Úroveň 4 (P0)],BA93,RZ[Úroveň 5 (P0)],BB93,RZ[Úroveň 6 (P0)],BC93,RZ[Úroveň 7 (P0)],BD93)</f>
        <v>0</v>
      </c>
      <c r="DW93" s="914">
        <f ca="1">SUMIFS(RZ[Úroveň 8 (P4)],RZ[0],AX93,RZ[Úroveň 2 (P0)],AY93,RZ[Úroveň 3 (P0)],AZ93,RZ[Úroveň 4 (P0)],BA93,RZ[Úroveň 5 (P0)],BB93,RZ[Úroveň 6 (P0)],BC93,RZ[Úroveň 7 (P0)],BD93,RZ[Úroveň 8 (P0)],BE93)</f>
        <v>0</v>
      </c>
      <c r="DX93" s="914">
        <f ca="1">SUMIFS(RZ[Úroveň 9 (P4)],RZ[0],AX93,RZ[Úroveň 2 (P0)],AY93,RZ[Úroveň 3 (P0)],AZ93,RZ[Úroveň 4 (P0)],BA93,RZ[Úroveň 5 (P0)],BB93,RZ[Úroveň 6 (P0)],BC93,RZ[Úroveň 7 (P0)],BD93,RZ[Úroveň 8 (P0)],BE93,RZ[Úroveň 9 (P0)],BF93)</f>
        <v>0</v>
      </c>
      <c r="DY93" s="914">
        <f ca="1">SUMIFS(RZ[Úroveň 10 (P4)],RZ[0],AX93,RZ[Úroveň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DZ93" s="915">
        <f t="shared" ref="DZ93:DZ96" ca="1" si="647">IF(DP93&lt;&gt;0,DP93,1)*IF(DQ93&lt;&gt;0,DQ93,1)*IF(DR93&lt;&gt;0,DR93,1)*IF(DS93&lt;&gt;0,DS93,1)*IF(DT93&lt;&gt;0,DT93,1)*IF(DU93&lt;&gt;0,DU93,1)*IF(DV93&lt;&gt;0,DV93,1)*IF(DW93&lt;&gt;0,DW93,1)*IF(DX93&lt;&gt;0,DX93,1)*IF(DY93&lt;&gt;0,DY93,1)</f>
        <v>6</v>
      </c>
      <c r="EA93" s="916">
        <f ca="1">RZ[[#This Row],[Jednotková hmotnost bez koef. '[kg/MJHR'] (P0)]]*RZ[[#This Row],[Počet MJHR v rozpadu (P0)]]</f>
        <v>2196</v>
      </c>
      <c r="EB93" s="917">
        <f ca="1">IF(OFFSET(AY93,1,0,1,1)&lt;&gt;0,RZ[[#This Row],[Koeficient odhadu CR '[-'] (P1)]]*$BH93*SUMIFS(RZ[Úroveň 2 s koef. (P3)],RZ[0],AX93),RZ[[#This Row],[Koeficient odhadu CR '[-'] (P1)]]*$BH93*$IQ93)</f>
        <v>0</v>
      </c>
      <c r="EC93" s="191">
        <f ca="1">IF(OFFSET(AY93,1,0,1,1)&lt;&gt;0,$BH93*SUMIFS(RZ[Úroveň 2 bez koef. (P3)],RZ[0],AX93),$BH93*$IQ93)</f>
        <v>0</v>
      </c>
      <c r="ED93" s="140">
        <f ca="1">RZ[[#This Row],[Úroveň 2 s koef. (P3a)]]*RZ[[#This Row],[Počet MJCR (P0) pro "kg"]]</f>
        <v>0</v>
      </c>
      <c r="EE93" s="140">
        <f ca="1">RZ[Úroveň 2 bez koef. (P3a)]*RZ[[#This Row],[Počet MJCR (P0) pro "kg"]]</f>
        <v>0</v>
      </c>
      <c r="EF93" s="140">
        <f ca="1">IF(OFFSET(AZ93,1,0,1,1)&lt;&gt;0,RZ[[#This Row],[Koeficient odhadu CR '[-'] (P1)]]*$BI93*SUMIFS(RZ[Úroveň 3 s koef. (P3)],RZ[0],AX93,RZ[Úroveň 2 (P0)],AY93),RZ[[#This Row],[Koeficient odhadu CR '[-'] (P1)]]*$BI93*$IQ93)</f>
        <v>0</v>
      </c>
      <c r="EG93" s="140">
        <f ca="1">IF(OFFSET(AZ93,1,0,1,1)&lt;&gt;0,$BI93*SUMIFS(RZ[Úroveň 3 bez koef. (P3)],RZ[0],AX93,RZ[Úroveň 2 (P0)],AY93),$BI93*$IQ93)</f>
        <v>0</v>
      </c>
      <c r="EH93" s="135">
        <f ca="1">RZ[[#This Row],[Úroveň 3 s koef. (P3a)]]*RZ[[#This Row],[Počet MJCR (P0) pro "kg"]]</f>
        <v>102480</v>
      </c>
      <c r="EI93" s="135">
        <f ca="1">RZ[Úroveň 3 bez koef. (P3a)]*RZ[[#This Row],[Počet MJCR (P0) pro "kg"]]</f>
        <v>102480</v>
      </c>
      <c r="EJ93" s="135">
        <f ca="1">IF(OFFSET(BA93,1,0,1,1)&lt;&gt;0,RZ[[#This Row],[Koeficient odhadu CR '[-'] (P1)]]*$BJ93*SUMIFS(RZ[Úroveň 4 s koef. (P3)],RZ[0],AX93,RZ[Úroveň 2 (P0)],AY93,RZ[Úroveň 3 (P0)],AZ93),RZ[[#This Row],[Koeficient odhadu CR '[-'] (P1)]]*$BJ93*$IQ93)</f>
        <v>140</v>
      </c>
      <c r="EK93" s="135">
        <f ca="1">IF(OFFSET(BA93,1,0,1,1)&lt;&gt;0,$BJ93*SUMIFS(RZ[Úroveň 4 bez koef. (P3)],RZ[0],AX93,RZ[Úroveň 2 (P0)],AY93,RZ[Úroveň 3 (P0)],AZ93),$BJ93*$IQ93)</f>
        <v>140</v>
      </c>
      <c r="EL93" s="140">
        <f ca="1">RZ[[#This Row],[Úroveň 4 s koef. (P3a)]]*RZ[[#This Row],[Počet MJCR (P0) pro "kg"]]</f>
        <v>0</v>
      </c>
      <c r="EM93" s="140">
        <f ca="1">RZ[Úroveň 4 bez koef. (P3a)]*RZ[[#This Row],[Počet MJCR (P0) pro "kg"]]</f>
        <v>0</v>
      </c>
      <c r="EN93" s="140">
        <f ca="1">IF(OFFSET(BB93,1,0,1,1)&lt;&gt;0,RZ[[#This Row],[Koeficient odhadu CR '[-'] (P1)]]*$BK93*SUMIFS(RZ[Úroveň 5 s koef. (P3)],RZ[0],AX93,RZ[Úroveň 2 (P0)],AY93,RZ[Úroveň 3 (P0)],AZ93,RZ[Úroveň 4 (P0)],BA93),RZ[[#This Row],[Koeficient odhadu CR '[-'] (P1)]]*$BK93*$IQ93)</f>
        <v>0</v>
      </c>
      <c r="EO93" s="140">
        <f ca="1">IF(OFFSET(BB93,1,0,1,1)&lt;&gt;0,$BK93*SUMIFS(RZ[Úroveň 5 bez koef. (P3)],RZ[0],AX93,RZ[Úroveň 2 (P0)],AY93,RZ[Úroveň 3 (P0)],AZ93,RZ[Úroveň 4 (P0)],BA93),$BK93*$IQ93)</f>
        <v>0</v>
      </c>
      <c r="EP93" s="135">
        <f ca="1">RZ[[#This Row],[Úroveň 5 s koef. (P3a)]]*RZ[[#This Row],[Počet MJCR (P0) pro "kg"]]</f>
        <v>0</v>
      </c>
      <c r="EQ93" s="135">
        <f ca="1">RZ[Úroveň 5 bez koef. (P3a)]*RZ[[#This Row],[Počet MJCR (P0) pro "kg"]]</f>
        <v>0</v>
      </c>
      <c r="ER93" s="135">
        <f ca="1">IF(OFFSET(BC93,1,0,1,1)&lt;&gt;0,RZ[[#This Row],[Koeficient odhadu CR '[-'] (P1)]]*$BL93*SUMIFS(RZ[Úroveň 6 s koef. (P3)],RZ[0],AX93,RZ[Úroveň 2 (P0)],AY93,RZ[Úroveň 3 (P0)],AZ93,RZ[Úroveň 4 (P0)],BA93,RZ[Úroveň 5 (P0)],BB93),RZ[[#This Row],[Koeficient odhadu CR '[-'] (P1)]]*$BL93*$IQ93)</f>
        <v>0</v>
      </c>
      <c r="ES93" s="135">
        <f ca="1">IF(OFFSET(BC93,1,0,1,1)&lt;&gt;0,$BL93*SUMIFS(RZ[Úroveň 6 bez koef. (P3)],RZ[0],AX93,RZ[Úroveň 2 (P0)],AY93,RZ[Úroveň 3 (P0)],AZ93,RZ[Úroveň 4 (P0)],BA93,RZ[Úroveň 5 (P0)],BB93),$BL93*$IQ93)</f>
        <v>0</v>
      </c>
      <c r="ET93" s="140">
        <f ca="1">RZ[[#This Row],[Úroveň 6 s koef. (P3a)]]*RZ[[#This Row],[Počet MJCR (P0) pro "kg"]]</f>
        <v>0</v>
      </c>
      <c r="EU93" s="140">
        <f ca="1">RZ[Úroveň 6 bez koef. (P3a)]*RZ[[#This Row],[Počet MJCR (P0) pro "kg"]]</f>
        <v>0</v>
      </c>
      <c r="EV93" s="140">
        <f ca="1">IF(OFFSET(BD93,1,0,1,1)&lt;&gt;0,RZ[[#This Row],[Koeficient odhadu CR '[-'] (P1)]]*$BM93*SUMIFS(RZ[Úroveň 7 s koef. (P3)],RZ[0],AX93,RZ[Úroveň 2 (P0)],AY93,RZ[Úroveň 3 (P0)],AZ93,RZ[Úroveň 4 (P0)],BA93,RZ[Úroveň 5 (P0)],BB93,RZ[Úroveň 6 (P0)],BC93),RZ[[#This Row],[Koeficient odhadu CR '[-'] (P1)]]*$BM93*$IQ93)</f>
        <v>0</v>
      </c>
      <c r="EW93" s="140">
        <f ca="1">IF(OFFSET(BD93,1,0,1,1)&lt;&gt;0,$BM93*SUMIFS(RZ[Úroveň 7 bez koef. (P3)],RZ[0],AX93,RZ[Úroveň 2 (P0)],AY93,RZ[Úroveň 3 (P0)],AZ93,RZ[Úroveň 4 (P0)],BA93,RZ[Úroveň 5 (P0)],BB93,RZ[Úroveň 6 (P0)],BC93),$BM93*$IQ93)</f>
        <v>0</v>
      </c>
      <c r="EX93" s="135">
        <f ca="1">RZ[[#This Row],[Úroveň 7 s koef. (P3a)]]*RZ[[#This Row],[Počet MJCR (P0) pro "kg"]]</f>
        <v>0</v>
      </c>
      <c r="EY93" s="135">
        <f ca="1">RZ[Úroveň 7 bez koef. (P3a)]*RZ[[#This Row],[Počet MJCR (P0) pro "kg"]]</f>
        <v>0</v>
      </c>
      <c r="EZ93" s="135">
        <f ca="1">IF(OFFSET(BE93,1,0,1,1)&lt;&gt;0,RZ[[#This Row],[Koeficient odhadu CR '[-'] (P1)]]*$BN93*SUMIFS(RZ[Úroveň 8 s koef. (P3)],RZ[0],AX93,RZ[Úroveň 2 (P0)],AY93,RZ[Úroveň 3 (P0)],AZ93,RZ[Úroveň 4 (P0)],BA93,RZ[Úroveň 5 (P0)],BB93,RZ[Úroveň 6 (P0)],BC93,RZ[Úroveň 7 (P0)],BD93),RZ[[#This Row],[Koeficient odhadu CR '[-'] (P1)]]*$BN93*$IQ93)</f>
        <v>0</v>
      </c>
      <c r="FA93" s="135">
        <f ca="1">IF(OFFSET(BE93,1,0,1,1)&lt;&gt;0,$BN93*SUMIFS(RZ[Úroveň 8 bez koef. (P3)],RZ[0],AX93,RZ[Úroveň 2 (P0)],AY93,RZ[Úroveň 3 (P0)],AZ93,RZ[Úroveň 4 (P0)],BA93,RZ[Úroveň 5 (P0)],BB93,RZ[Úroveň 6 (P0)],BC93,RZ[Úroveň 7 (P0)],BD93),$BN93*$IQ93)</f>
        <v>0</v>
      </c>
      <c r="FB93" s="140">
        <f ca="1">RZ[[#This Row],[Úroveň 8 s koef. (P3a)]]*RZ[[#This Row],[Počet MJCR (P0) pro "kg"]]</f>
        <v>0</v>
      </c>
      <c r="FC93" s="140">
        <f ca="1">RZ[Úroveň 8 bez koef. (P3a)]*RZ[[#This Row],[Počet MJCR (P0) pro "kg"]]</f>
        <v>0</v>
      </c>
      <c r="FD93" s="140">
        <f ca="1">IF(OFFSET(BF93,1,0,1,1)&lt;&gt;0,RZ[[#This Row],[Koeficient odhadu CR '[-'] (P1)]]*$BO93*SUMIFS(RZ[Úroveň 9 s koef. (P3)],RZ[0],AX93,RZ[Úroveň 2 (P0)],AY93,RZ[Úroveň 3 (P0)],AZ93,RZ[Úroveň 4 (P0)],BA93,RZ[Úroveň 5 (P0)],BB93,RZ[Úroveň 6 (P0)],BC93,RZ[Úroveň 7 (P0)],BD93,RZ[Úroveň 8 (P0)],BE93),RZ[[#This Row],[Koeficient odhadu CR '[-'] (P1)]]*$BO93*$IQ93)</f>
        <v>0</v>
      </c>
      <c r="FE93" s="140">
        <f ca="1">IF(OFFSET(BF93,1,0,1,1)&lt;&gt;0,$BO93*SUMIFS(RZ[Úroveň 9 bez koef. (P3)],RZ[0],AX93,RZ[Úroveň 2 (P0)],AY93,RZ[Úroveň 3 (P0)],AZ93,RZ[Úroveň 4 (P0)],BA93,RZ[Úroveň 5 (P0)],BB93,RZ[Úroveň 6 (P0)],BC93,RZ[Úroveň 7 (P0)],BD93,RZ[Úroveň 8 (P0)],BE93),$BO93*$IQ93)</f>
        <v>0</v>
      </c>
      <c r="FF93" s="135">
        <f ca="1">RZ[[#This Row],[Úroveň 9 s koef. (P3a)]]*RZ[[#This Row],[Počet MJCR (P0) pro "kg"]]</f>
        <v>0</v>
      </c>
      <c r="FG93" s="135">
        <f ca="1">RZ[Úroveň 9 bez koef. (P3a)]*RZ[[#This Row],[Počet MJCR (P0) pro "kg"]]</f>
        <v>0</v>
      </c>
      <c r="FH93" s="135">
        <f ca="1">IF(OFFSET(BG93,1,0,1,1)&lt;&gt;0,RZ[[#This Row],[Koeficient odhadu CR '[-'] (P1)]]*$BP93*SUMIFS(RZ[Úroveň 10 s koef. (P3)],RZ[0],AX93,RZ[Úroveň 2 (P0)],AY93,RZ[Úroveň 3 (P0)],AZ93,RZ[Úroveň 4 (P0)],BA93,RZ[Úroveň 5 (P0)],BB93,RZ[Úroveň 6 (P0)],BC93,RZ[Úroveň 7 (P0)],BD93,RZ[Úroveň 8 (P0)],BE93,RZ[Úroveň 9 (P0)],BF93),RZ[[#This Row],[Koeficient odhadu CR '[-'] (P1)]]*$BP93*$IQ93)</f>
        <v>0</v>
      </c>
      <c r="FI93" s="135">
        <f ca="1">IF(OFFSET(BG93,1,0,1,1)&lt;&gt;0,$BP93*SUMIFS(RZ[Úroveň 10 bez koef. (P3)],RZ[0],AX93,RZ[Úroveň 2 (P0)],AY93,RZ[Úroveň 3 (P0)],AZ93,RZ[Úroveň 4 (P0)],BA93,RZ[Úroveň 5 (P0)],BB93,RZ[Úroveň 6 (P0)],BC93,RZ[Úroveň 7 (P0)],BD93,RZ[Úroveň 8 (P0)],BE93,RZ[Úroveň 9 (P0)],BF93),$BP93*$IQ93)</f>
        <v>0</v>
      </c>
      <c r="FJ93" s="140">
        <f ca="1">RZ[[#This Row],[Úroveň 10 s koef. (P3a)]]*RZ[[#This Row],[Počet MJCR (P0) pro "kg"]]</f>
        <v>0</v>
      </c>
      <c r="FK93" s="140">
        <f ca="1">RZ[Úroveň 10 bez koef. (P3a)]*RZ[[#This Row],[Počet MJCR (P0) pro "kg"]]</f>
        <v>0</v>
      </c>
      <c r="FL93" s="140">
        <f ca="1">RZ[[#This Row],[Koeficient odhadu CR '[-'] (P1)]]*$BQ93*IQ93</f>
        <v>0</v>
      </c>
      <c r="FM93" s="236">
        <f t="shared" ref="FM93:FM96" ca="1" si="648">$BQ93*IQ93</f>
        <v>0</v>
      </c>
      <c r="FN93" s="194">
        <f t="shared" ref="FN93:FN96" ca="1" si="649">IF(BH93=1,EB93,IF(BI93=1,EF93,IF(BJ93=1,EJ93,IF(BK93=1,EN93,IF(BL93=1,ER93,IF(BM93=1,EV93,IF(BN93=1,EZ93,IF(BO93=1,FD93,IF(BP93=1,FH93,FL93)))))))))</f>
        <v>140</v>
      </c>
      <c r="FO93" s="238">
        <f t="shared" ref="FO93:FO96" ca="1" si="650">IF(BH93=1,EC93,IF(BI93=1,EG93,IF(BJ93=1,EK93,IF(BK93=1,EO93,IF(BL93=1,ES93,IF(BM93=1,EW93,IF(BN93=1,FA93,IF(BO93=1,FE93,IF(BP93=1,FI93,FM93)))))))))</f>
        <v>140</v>
      </c>
      <c r="FP93" s="135">
        <f t="shared" ref="FP93:FP96" ca="1" si="651">BH93*$IK93</f>
        <v>0</v>
      </c>
      <c r="FQ93" s="135">
        <f t="shared" ref="FQ93:FQ96" ca="1" si="652">BI93*$IK93</f>
        <v>0</v>
      </c>
      <c r="FR93" s="135">
        <f t="shared" ref="FR93:FR96" ca="1" si="653">BJ93*$IK93</f>
        <v>732</v>
      </c>
      <c r="FS93" s="135">
        <f t="shared" ref="FS93:FS96" ca="1" si="654">BK93*$IK93</f>
        <v>0</v>
      </c>
      <c r="FT93" s="135">
        <f t="shared" ref="FT93:FT96" ca="1" si="655">BL93*$IK93</f>
        <v>0</v>
      </c>
      <c r="FU93" s="135">
        <f t="shared" ref="FU93:FU96" ca="1" si="656">BM93*$IK93</f>
        <v>0</v>
      </c>
      <c r="FV93" s="135">
        <f t="shared" ref="FV93:FV96" ca="1" si="657">BN93*$IK93</f>
        <v>0</v>
      </c>
      <c r="FW93" s="135">
        <f t="shared" ref="FW93:FW96" ca="1" si="658">BO93*$IK93</f>
        <v>0</v>
      </c>
      <c r="FX93" s="135">
        <f t="shared" ref="FX93:FX96" ca="1" si="659">BP93*$IK93</f>
        <v>0</v>
      </c>
      <c r="FY93" s="135">
        <f t="shared" ref="FY93:FY96" ca="1" si="660">BQ93*$IK93</f>
        <v>0</v>
      </c>
      <c r="FZ93" s="140">
        <f ca="1">SUMIFS(RZ[Úroveň 1 (P6)],RZ[0],AX93)</f>
        <v>1</v>
      </c>
      <c r="GA93" s="140">
        <f ca="1">SUMIFS(RZ[Úroveň 2 (P6)],RZ[0],AX93,RZ[Úroveň 2 (P0)],AY93)</f>
        <v>3</v>
      </c>
      <c r="GB93" s="140">
        <f ca="1">SUMIFS(RZ[Úroveň 3 (P6)],RZ[0],AX93,RZ[Úroveň 2 (P0)],AY93,RZ[Úroveň 3 (P0)],AZ93)</f>
        <v>732</v>
      </c>
      <c r="GC93" s="140">
        <f ca="1">SUMIFS(RZ[Úroveň 4 (P6)],RZ[0],AX93,RZ[Úroveň 2 (P0)],AY93,RZ[Úroveň 3 (P0)],AZ93,RZ[Úroveň 4 (P0)],BA93)</f>
        <v>0</v>
      </c>
      <c r="GD93" s="140">
        <f ca="1">SUMIFS(RZ[Úroveň 5 (P6)],RZ[0],AX93,RZ[Úroveň 2 (P0)],AY93,RZ[Úroveň 3 (P0)],AZ93,RZ[Úroveň 4 (P0)],BA93,RZ[Úroveň 5 (P0)],BB93)</f>
        <v>0</v>
      </c>
      <c r="GE93" s="140">
        <f ca="1">SUMIFS(RZ[Úroveň 6 (P6)],RZ[0],AX93,RZ[Úroveň 2 (P0)],AY93,RZ[Úroveň 3 (P0)],AZ93,RZ[Úroveň 4 (P0)],BA93,RZ[Úroveň 5 (P0)],BB93,RZ[Úroveň 6 (P0)],BC93)</f>
        <v>0</v>
      </c>
      <c r="GF93" s="140">
        <f ca="1">SUMIFS(RZ[Úroveň 7 (P6)],RZ[0],AX93,RZ[Úroveň 2 (P0)],AY93,RZ[Úroveň 3 (P0)],AZ93,RZ[Úroveň 4 (P0)],BA93,RZ[Úroveň 5 (P0)],BB93,RZ[Úroveň 6 (P0)],BC93,RZ[Úroveň 7 (P0)],BD93)</f>
        <v>0</v>
      </c>
      <c r="GG93" s="140">
        <f ca="1">SUMIFS(RZ[Úroveň 8 (P6)],RZ[0],AX93,RZ[Úroveň 2 (P0)],AY93,RZ[Úroveň 3 (P0)],AZ93,RZ[Úroveň 4 (P0)],BA93,RZ[Úroveň 5 (P0)],BB93,RZ[Úroveň 6 (P0)],BC93,RZ[Úroveň 7 (P0)],BD93,RZ[Úroveň 8 (P0)],BE93)</f>
        <v>0</v>
      </c>
      <c r="GH93" s="140">
        <f ca="1">SUMIFS(RZ[Úroveň 9 (P6)],RZ[0],AX93,RZ[Úroveň 2 (P0)],AY93,RZ[Úroveň 3 (P0)],AZ93,RZ[Úroveň 4 (P0)],BA93,RZ[Úroveň 5 (P0)],BB93,RZ[Úroveň 6 (P0)],BC93,RZ[Úroveň 7 (P0)],BD93,RZ[Úroveň 8 (P0)],BE93,RZ[Úroveň 9 (P0)],BF93)</f>
        <v>0</v>
      </c>
      <c r="GI93" s="140">
        <f ca="1">SUMIFS(RZ[Úroveň 10 (P6)],RZ[0],AX93,RZ[Úroveň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GJ93" s="918">
        <f t="shared" ref="GJ93:GJ96" ca="1" si="661">IF(FZ93&lt;&gt;0,FZ93,1)*IF(GA93&lt;&gt;0,GA93,1)*IF(GB93&lt;&gt;0,GB93,1)*IF(GC93&lt;&gt;0,GC93,1)*IF(GD93&lt;&gt;0,GD93,1)*IF(GE93&lt;&gt;0,GE93,1)*IF(GF93&lt;&gt;0,GF93,1)*IF(GG93&lt;&gt;0,GG93,1)*IF(GH93&lt;&gt;0,GH93,1)*IF(GI93&lt;&gt;0,GI93,1)</f>
        <v>2196</v>
      </c>
      <c r="GK93" s="808">
        <f t="shared" ref="GK93:GK96" si="662">BH93*$IO93</f>
        <v>0</v>
      </c>
      <c r="GL93" s="808">
        <f t="shared" ref="GL93:GL96" si="663">BI93*$IO93</f>
        <v>0</v>
      </c>
      <c r="GM93" s="808">
        <f t="shared" ref="GM93:GM96" si="664">BJ93*$IO93</f>
        <v>1</v>
      </c>
      <c r="GN93" s="808">
        <f t="shared" ref="GN93:GN96" si="665">BK93*$IO93</f>
        <v>0</v>
      </c>
      <c r="GO93" s="808">
        <f t="shared" ref="GO93:GO96" si="666">BL93*$IO93</f>
        <v>0</v>
      </c>
      <c r="GP93" s="808">
        <f t="shared" ref="GP93:GP96" si="667">BM93*$IO93</f>
        <v>0</v>
      </c>
      <c r="GQ93" s="808">
        <f t="shared" ref="GQ93:GQ96" si="668">BN93*$IO93</f>
        <v>0</v>
      </c>
      <c r="GR93" s="808">
        <f t="shared" ref="GR93:GR96" si="669">BO93*$IO93</f>
        <v>0</v>
      </c>
      <c r="GS93" s="808">
        <f t="shared" ref="GS93:GS96" si="670">BP93*$IO93</f>
        <v>0</v>
      </c>
      <c r="GT93" s="808">
        <f t="shared" ref="GT93:GT96" si="671">BQ93*$IO93</f>
        <v>0</v>
      </c>
      <c r="GU93" s="809">
        <f ca="1">SUMIFS(RZ[Sloupec1],RZ[0],AX93)</f>
        <v>1</v>
      </c>
      <c r="GV93" s="809">
        <f ca="1">SUMIFS(RZ[Sloupec2],RZ[0],AX93,RZ[Úroveň 2 (P0)],AY93)</f>
        <v>1</v>
      </c>
      <c r="GW93" s="809">
        <f ca="1">SUMIFS(RZ[Sloupec3],RZ[0],AX93,RZ[Úroveň 2 (P0)],AY93,RZ[Úroveň 3 (P0)],AZ93)</f>
        <v>1</v>
      </c>
      <c r="GX93" s="809">
        <f ca="1">SUMIFS(RZ[Sloupec4],RZ[0],AX93,RZ[Úroveň 2 (P0)],AY93,RZ[Úroveň 3 (P0)],AZ93,RZ[Úroveň 4 (P0)],BA93)</f>
        <v>0</v>
      </c>
      <c r="GY93" s="809">
        <f ca="1">SUMIFS(RZ[Sloupec5],RZ[0],AX93,RZ[Úroveň 2 (P0)],AY93,RZ[Úroveň 3 (P0)],AZ93,RZ[Úroveň 4 (P0)],BA93,RZ[Úroveň 5 (P0)],BB93)</f>
        <v>0</v>
      </c>
      <c r="GZ93" s="809">
        <f ca="1">SUMIFS(RZ[Sloupec6],RZ[0],AX93,RZ[Úroveň 2 (P0)],AY93,RZ[Úroveň 3 (P0)],AZ93,RZ[Úroveň 4 (P0)],BA93,RZ[Úroveň 5 (P0)],BB93,RZ[Úroveň 6 (P0)],BC93)</f>
        <v>0</v>
      </c>
      <c r="HA93" s="809">
        <f ca="1">SUMIFS(RZ[Sloupec62],RZ[0],AX93,RZ[Úroveň 2 (P0)],AY93,RZ[Úroveň 3 (P0)],AZ93,RZ[Úroveň 4 (P0)],BA93,RZ[Úroveň 5 (P0)],BB93,RZ[Úroveň 6 (P0)],BC93,RZ[Úroveň 7 (P0)],BD93)</f>
        <v>0</v>
      </c>
      <c r="HB93" s="809">
        <f ca="1">SUMIFS(RZ[Sloupec63],RZ[0],AX93,RZ[Úroveň 2 (P0)],AY93,RZ[Úroveň 3 (P0)],AZ93,RZ[Úroveň 4 (P0)],BA93,RZ[Úroveň 5 (P0)],BB93,RZ[Úroveň 6 (P0)],BC93,RZ[Úroveň 7 (P0)],BD93,RZ[Úroveň 8 (P0)],BE93)</f>
        <v>0</v>
      </c>
      <c r="HC93" s="809">
        <f ca="1">SUMIFS(RZ[Sloupec64],RZ[0],AX93,RZ[Úroveň 2 (P0)],AY93,RZ[Úroveň 3 (P0)],AZ93,RZ[Úroveň 4 (P0)],BA93,RZ[Úroveň 5 (P0)],BB93,RZ[Úroveň 6 (P0)],BC93,RZ[Úroveň 7 (P0)],BD93,RZ[Úroveň 8 (P0)],BE93,RZ[Úroveň 9 (P0)],BF93)</f>
        <v>0</v>
      </c>
      <c r="HD93" s="809">
        <f ca="1">SUMIFS(RZ[Sloupec65],RZ[0],AX93,RZ[Úroveň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HE93" s="919">
        <f t="shared" ref="HE93:HE96" ca="1" si="672">IF(GU93&lt;&gt;0,GU93,1)*IF(GV93&lt;&gt;0,GV93,1)*IF(GW93&lt;&gt;0,GW93,1)*IF(GX93&lt;&gt;0,GX93,1)*IF(GY93&lt;&gt;0,GY93,1)*IF(GZ93&lt;&gt;0,GZ93,1)*IF(HA93&lt;&gt;0,HA93,1)*IF(HB93&lt;&gt;0,HB93,1)*IF(HC93&lt;&gt;0,HC93,1)*IF(HD93&lt;&gt;0,HD93,1)</f>
        <v>1</v>
      </c>
      <c r="HF93" s="920" t="str">
        <f t="shared" ref="HF93:HF96" si="673">IF($IW93=$MJ$15,IF(MK93="","",MK93),IF(IY93="","",IY93))</f>
        <v/>
      </c>
      <c r="HG93" s="94" t="str">
        <f t="shared" ref="HG93:HG96" si="674">IF($IW93=$MJ$15,IF($MJ93=1,$MS93,""),IF(IZ93="","",IZ93))</f>
        <v/>
      </c>
      <c r="HH93" s="95" t="str">
        <f t="shared" ref="HH93:HH96" si="675">IF($IW93=$MJ$15,IF($MJ93=2,$MS93,""),IF(JA93="","",JA93))</f>
        <v/>
      </c>
      <c r="HI93" s="95" t="str">
        <f t="shared" ref="HI93:HI96" si="676">IF($IW93=$MJ$15,IF($MJ93=3,$MS93,""),IF(JB93="","",JB93))</f>
        <v>Díl nákolku</v>
      </c>
      <c r="HJ93" s="96" t="str">
        <f t="shared" ref="HJ93:HJ96" si="677">IF($IW93=$MJ$15,IF($MJ93=4,$MS93,""),IF(JC93="","",JC93))</f>
        <v/>
      </c>
      <c r="HK93" s="96" t="str">
        <f t="shared" ref="HK93:HK96" si="678">IF($IW93=$MJ$15,IF($MJ93=5,$MS93,""),IF(JD93="","",JD93))</f>
        <v/>
      </c>
      <c r="HL93" s="96" t="str">
        <f t="shared" ref="HL93:HL96" si="679">IF($IW93=$MJ$15,IF($MJ93=6,$MS93,""),IF(JE93="","",JE93))</f>
        <v/>
      </c>
      <c r="HM93" s="96" t="str">
        <f t="shared" ref="HM93:HM96" si="680">IF($IW93=$MJ$15,IF($MJ93=7,$MS93,""),IF(JF93="","",JF93))</f>
        <v/>
      </c>
      <c r="HN93" s="96" t="str">
        <f t="shared" ref="HN93:HN96" si="681">IF($IW93=$MJ$15,IF($MJ93=8,$MS93,""),IF(JG93="","",JG93))</f>
        <v/>
      </c>
      <c r="HO93" s="96" t="str">
        <f t="shared" ref="HO93:HO96" si="682">IF($IW93=$MJ$15,IF($MJ93=9,$MS93,""),IF(JH93="","",JH93))</f>
        <v/>
      </c>
      <c r="HP93" s="96" t="str">
        <f t="shared" ref="HP93:HP96" si="683">IF($IW93=$MJ$15,IF($MJ93=10,$MS93,""),IF(JI93="","",JI93))</f>
        <v/>
      </c>
      <c r="HQ93" s="145" t="str">
        <f t="shared" ref="HQ93:HQ96" si="684">IF($IW93=$MJ$15,IF(ML93="","N/A",ML93),IF(JJ93="","N/A",JJ93))</f>
        <v>OKS1</v>
      </c>
      <c r="HR93" s="921" t="str">
        <f t="shared" ref="HR93:HR96" si="685">IF($IW93=$MJ$15,IF(MM93="","",MM93),IF(JK93="","",JK93))</f>
        <v/>
      </c>
      <c r="HS93" s="173">
        <f t="shared" ref="HS93:HS96" si="686">IF($IW93=$JL$15,JL93,IF($IW93=$KE$15,KE93,IF($IW93=$KX$15,KX93,IF($IW93=$LQ$15,LQ93,IF($IW93=$MJ$15,NE93,0)))))</f>
        <v>0</v>
      </c>
      <c r="HT93" s="100">
        <f t="shared" ref="HT93:HT96" si="687">IF($IW93=$JL$15,JM93,IF($IW93=$KE$15,KF93,IF($IW93=$KX$15,KY93,IF($IW93=$LQ$15,LR93,IF($IW93=$MJ$15,NF93,0)))))</f>
        <v>0</v>
      </c>
      <c r="HU93" s="100">
        <f t="shared" ref="HU93:HU96" si="688">IF($IW93=$JL$15,JN93,IF($IW93=$KE$15,KG93,IF($IW93=$KX$15,KZ93,IF($IW93=$LQ$15,LS93,IF($IW93=$MJ$15,NG93,0)))))</f>
        <v>0</v>
      </c>
      <c r="HV93" s="908">
        <f t="shared" ref="HV93:HV96" si="689">IF($IW93=$JL$15,JU93,IF($IW93=$KE$15,KN93,IF($IW93=$KX$15,LG93,IF($IW93=$LQ$15,LZ93,IF($IW93=$MJ$15,NN93,0)))))</f>
        <v>0</v>
      </c>
      <c r="HW93" s="922">
        <f t="shared" ref="HW93:HW96" si="690">IF($IW93=$JL$15,JV93,IF($IW93=$KE$15,KO93,IF($IW93=$KX$15,LH93,IF($IW93=$LQ$15,MA93,IF($IW93=$MJ$15,NO93,0)))))</f>
        <v>0</v>
      </c>
      <c r="HX93" s="224">
        <f t="shared" ref="HX93:HX96" si="691">IF($IW93=$JL$15,JW93,IF($IW93=$KE$15,KP93,IF($IW93=$KX$15,LI93,IF($IW93=$LQ$15,MB93,IF($IW93=$MJ$15,NP93,0)))))</f>
        <v>0</v>
      </c>
      <c r="HY93" s="263" t="str">
        <f t="shared" ref="HY93:HY96" si="692">IF($IW93=$JL$15,JS93,IF($IW93=$KE$15,KL93,IF($IW93=$KX$15,LE93,IF($IW93=$LQ$15,LX93,IF($IW93=$MJ$15,NL93,0)))))</f>
        <v>S</v>
      </c>
      <c r="HZ93" s="263">
        <f t="shared" ref="HZ93:HZ96" si="693">IF($IW93=$JL$15,KC93,IF($IW93=$KE$15,KV93,IF($IW93=$KX$15,LO93,IF($IW93=$LQ$15,MH93,IF($IW93=$MJ$15,NV93,0)))))</f>
        <v>0</v>
      </c>
      <c r="IA93" s="150">
        <f t="shared" ref="IA93:IA96" si="694">IF($IW93=$JL$15,JR93,IF($IW93=$KE$15,KK93,IF($IW93=$KX$15,LD93,IF($IW93=$LQ$15,LW93,IF($IW93=$MJ$15,NK93,0)))))</f>
        <v>1</v>
      </c>
      <c r="IB93" s="319">
        <f t="shared" ref="IB93:IB96" si="695">IF($IW93=$JL$15,JZ93,IF($IW93=$KE$15,KS93,IF($IW93=$KX$15,LL93,IF($IW93=$LQ$15,ME93,IF($IW93=$MJ$15,NS93,0)))))</f>
        <v>0</v>
      </c>
      <c r="IC93" s="923">
        <f t="shared" ref="IC93:IC96" si="696">IF($IW93=$JL$15,KB93,IF($IW93=$KE$15,KU93,IF($IW93=$KX$15,LN93,IF($IW93=$LQ$15,MG93,IF($IW93=$MJ$15,NU93,0)))))</f>
        <v>0</v>
      </c>
      <c r="ID93" s="924" t="str">
        <f t="shared" ref="ID93:ID96" ca="1" si="697">IF((BH93+OFFSET(BH93,1,1,1,1))=2,"--",IF((BI93+OFFSET(BI93,1,1,1,1))=2,"--",IF((BJ93+OFFSET(BJ93,1,1,1,1))=2,"--",IF((BK93+OFFSET(BK93,1,1,1,1))=2,"--",IF((BL93+OFFSET(BL93,1,1,1,1))=2,"--",IF((BM93+OFFSET(BM93,1,1,1,1))=2,"--",IF((BN93+OFFSET(BN93,1,1,1,1))=2,"--",IF((BO93+OFFSET(BO93,1,1,1,1))=2,"--",IF((BP93+OFFSET(BP93,1,1,1,1))=2,"--",IF((BQ93+OFFSET(BQ93,1,1,1,1))=2,"--","OK"))))))))))</f>
        <v>OK</v>
      </c>
      <c r="IE93" s="201" t="str">
        <f t="shared" ref="IE93:IE96" si="698">IF($IW93=$JL$15,JO93,IF($IW93=$KE$15,KH93,IF($IW93=$KX$15,LA93,IF($IW93=$LQ$15,LT93,IF($IW93=$MJ$15,NH93,0)))))</f>
        <v>ks</v>
      </c>
      <c r="IF93" s="145">
        <f t="shared" ref="IF93:IF96" si="699">IF($IW93=$JL$15,JP93,IF($IW93=$KE$15,KI93,IF($IW93=$KX$15,LB93,IF($IW93=$LQ$15,LU93,IF($IW93=$MJ$15,NI93,0)))))</f>
        <v>2</v>
      </c>
      <c r="IG93" s="216">
        <f t="shared" ref="IG93:IG96" si="700">IF($IW93=$JL$15,JQ93,IF($IW93=$KE$15,KJ93,IF($IW93=$KX$15,LC93,IF($IW93=$LQ$15,LV93,IF($IW93=$MJ$15,NJ93,0)))))</f>
        <v>366</v>
      </c>
      <c r="IH93" s="217">
        <f t="shared" ref="IH93:IH96" si="701">IF(IA93=0,1,IA93)</f>
        <v>1</v>
      </c>
      <c r="II93" s="224" t="str">
        <f ca="1">IF(RZ[[#This Row],[Rozhodný sloupec indikativní ceny]]=1,"kg",IF($IW93=$JL$15,IF(JX93=0,JO93,JX93),IF($IW93=$KE$15,IF(KQ93=0,KH93,KQ93),IF($IW93=$KX$15,IF(LJ93=0,LA93,LJ93),IF($IW93=$LQ$15,IF(MC93=0,LT93,MC93),IF($IW93=$MJ$15,IF(NQ93=0,NH93,NQ93),0))))))</f>
        <v>kg</v>
      </c>
      <c r="IJ93" s="224">
        <f ca="1">IF((BH93+OFFSET(BH93,1,1,1,1))=2,RZ[[#This Row],[Počet MJHR (P0)]],IF((BI93+OFFSET(BI93,1,1,1,1))=2,RZ[[#This Row],[Počet MJHR (P0)]],IF((BJ93+OFFSET(BJ93,1,1,1,1))=2,RZ[[#This Row],[Počet MJHR (P0)]],IF((BK93+OFFSET(BK93,1,1,1,1))=2,RZ[[#This Row],[Počet MJHR (P0)]],IF((BL93+OFFSET(BL93,1,1,1,1))=2,RZ[[#This Row],[Počet MJHR (P0)]],IF((BM93+OFFSET(BM93,1,1,1,1))=2,RZ[[#This Row],[Počet MJHR (P0)]],IF((BN93+OFFSET(BN93,1,1,1,1))=2,RZ[[#This Row],[Počet MJHR (P0)]],IF((BO93+OFFSET(BO93,1,1,1,1))=2,RZ[[#This Row],[Počet MJHR (P0)]],IF((BP93+OFFSET(BP93,1,1,1,1))=2,RZ[[#This Row],[Počet MJHR (P0)]],IF((BQ93+OFFSET(BQ93,1,1,1,1))=2,RZ[[#This Row],[Počet MJHR (P0)]],IF(RZ[[#This Row],[Měrná jednotka CR (MJCR) (P0)]]=RZ[[#This Row],[Měrná jednotka HR '[MJHR'] (P0)]],RZ[[#This Row],[Počet MJHR (P0)]],IF($IW93=$JL$15,JY93,IF($IW93=$KE$15,KR93,IF($IW93=$KX$15,LK93,IF($IW93=$LQ$15,MD93,IF($IW93=$MJ$15,NR93,0))))))))))))))))</f>
        <v>0</v>
      </c>
      <c r="IK9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732</v>
      </c>
      <c r="IL93" s="145">
        <f ca="1">IF(AND(RZ[[#This Row],[Jednotková cena bez DPH '[cena/MJCR'] (P0)]]=0,RZ[[#This Row],[Indikativní jednotková cena '[CZK/kg'] (P1)]]&lt;&gt;0),1,0)</f>
        <v>1</v>
      </c>
      <c r="IM93" s="217">
        <f ca="1">VLOOKUP(RZ[[#This Row],[Kód položek]],INDIKAT_CENA,2,FALSE)</f>
        <v>140</v>
      </c>
      <c r="IN93" s="222">
        <f ca="1">IF(RZ[[#This Row],[Rozhodný sloupec indikativní ceny]]=1,RZ[[#This Row],[Indikativní jednotková cena '[CZK/kg'] (P1)]],RZ[[#This Row],[Jednotková cena bez DPH '[cena/MJCR'] (P0)]])</f>
        <v>140</v>
      </c>
      <c r="IO93" s="222">
        <f t="shared" ref="IO93:IO96" si="702">IF(IC93=0,1,IC93)</f>
        <v>1</v>
      </c>
      <c r="IP93" s="224">
        <f ca="1">IF(RZ[[#This Row],[Rozhodný sloupec indikativní ceny]]=1,1,IF($IW93=$JL$15,KA93,IF($IW93=$KE$15,KT93,IF($IW93=$KX$15,LM93,IF($IW93=$LQ$15,MF93,IF($IW93=$MJ$15,NT93,0))))))</f>
        <v>1</v>
      </c>
      <c r="IQ93" s="225">
        <f ca="1">IF(RZ[[#This Row],[Jednotková cena bez DPH '[cena/MJCR'] (P1)]]="",0,IF(IP93=0,0,(RZ[[#This Row],[Jednotková cena bez DPH '[cena/MJCR'] (P1)]]*VLOOKUP(IP93,$BR$7:$BT$10,3))))</f>
        <v>140</v>
      </c>
      <c r="IR93" s="737"/>
      <c r="IS93" s="627">
        <f>IF(HY93=0,"",VLOOKUP(RZ[[#This Row],[Stav Projekce (P0)]],Vstupy!$E$11:'Vstupy'!$E$11:$H$17,4,FALSE))</f>
        <v>100</v>
      </c>
      <c r="IT93" s="925" t="str">
        <f>IF(RZ[[#This Row],[Stav Projekce (P0)]]=0,"",RZ[[#This Row],[Stav Projekce (P0)]])</f>
        <v>S</v>
      </c>
      <c r="IU93" s="925" t="str">
        <f>IF(RZ[[#This Row],[Stav Nákup (P0)]]=0,"",RZ[[#This Row],[Stav Nákup (P0)]])</f>
        <v/>
      </c>
      <c r="IV93" s="926" t="str">
        <f t="shared" ref="IV93:IV96" si="703">IF(HV93=0,"",HV93)</f>
        <v/>
      </c>
      <c r="IW93" s="641">
        <v>1</v>
      </c>
      <c r="IX93" s="630"/>
      <c r="IY93" s="264"/>
      <c r="IZ93" s="648"/>
      <c r="JA93" s="100"/>
      <c r="JB93" s="100" t="s">
        <v>765</v>
      </c>
      <c r="JC93" s="100"/>
      <c r="JD93" s="100"/>
      <c r="JE93" s="100"/>
      <c r="JF93" s="100"/>
      <c r="JG93" s="100"/>
      <c r="JH93" s="100"/>
      <c r="JI93" s="100"/>
      <c r="JJ93" s="145" t="s">
        <v>764</v>
      </c>
      <c r="JK93" s="529"/>
      <c r="JL93" s="286"/>
      <c r="JM93" s="100"/>
      <c r="JN93" s="100"/>
      <c r="JO93" s="145" t="s">
        <v>35</v>
      </c>
      <c r="JP93" s="117">
        <v>2</v>
      </c>
      <c r="JQ93" s="117">
        <v>366</v>
      </c>
      <c r="JR93" s="148">
        <v>1</v>
      </c>
      <c r="JS93" s="145" t="s">
        <v>602</v>
      </c>
      <c r="JT93" s="631"/>
      <c r="JU93" s="148"/>
      <c r="JV93" s="154"/>
      <c r="JW93" s="145"/>
      <c r="JX93" s="210"/>
      <c r="JY93" s="117"/>
      <c r="JZ93" s="662"/>
      <c r="KA93" s="145"/>
      <c r="KB93" s="148"/>
      <c r="KC93" s="148"/>
      <c r="KD93" s="644"/>
      <c r="KE93" s="286"/>
      <c r="KF93" s="100"/>
      <c r="KG93" s="100"/>
      <c r="KH93" s="210"/>
      <c r="KI93" s="117"/>
      <c r="KJ93" s="117"/>
      <c r="KK93" s="148"/>
      <c r="KL93" s="145"/>
      <c r="KM93" s="632"/>
      <c r="KN93" s="148"/>
      <c r="KO93" s="154"/>
      <c r="KP93" s="154"/>
      <c r="KQ93" s="210"/>
      <c r="KR93" s="117"/>
      <c r="KS93" s="211"/>
      <c r="KT93" s="145"/>
      <c r="KU93" s="148"/>
      <c r="KV93" s="148"/>
      <c r="KW93" s="265"/>
      <c r="KX93" s="286"/>
      <c r="KY93" s="100"/>
      <c r="KZ93" s="100"/>
      <c r="LA93" s="210"/>
      <c r="LB93" s="117"/>
      <c r="LC93" s="117"/>
      <c r="LD93" s="148"/>
      <c r="LE93" s="145"/>
      <c r="LF93" s="632"/>
      <c r="LG93" s="148"/>
      <c r="LH93" s="154"/>
      <c r="LI93" s="154"/>
      <c r="LJ93" s="154"/>
      <c r="LK93" s="117"/>
      <c r="LL93" s="211"/>
      <c r="LM93" s="210"/>
      <c r="LN93" s="148"/>
      <c r="LO93" s="148"/>
      <c r="LP93" s="265"/>
      <c r="LQ93" s="286"/>
      <c r="LR93" s="100"/>
      <c r="LS93" s="100"/>
      <c r="LT93" s="210"/>
      <c r="LU93" s="117"/>
      <c r="LV93" s="117"/>
      <c r="LW93" s="148"/>
      <c r="LX93" s="145"/>
      <c r="LY93" s="632"/>
      <c r="LZ93" s="148"/>
      <c r="MA93" s="154"/>
      <c r="MB93" s="154"/>
      <c r="MC93" s="145"/>
      <c r="MD93" s="117"/>
      <c r="ME93" s="211"/>
      <c r="MF93" s="210"/>
      <c r="MG93" s="148"/>
      <c r="MH93" s="148"/>
      <c r="MI93" s="265"/>
      <c r="MJ93" s="647"/>
      <c r="MK93" s="264"/>
      <c r="ML93" s="153"/>
      <c r="MM93" s="153"/>
      <c r="MN93" s="153"/>
      <c r="MO93" s="153"/>
      <c r="MP93" s="153"/>
      <c r="MQ93" s="153"/>
      <c r="MR93" s="153"/>
      <c r="MS93" s="99"/>
      <c r="MT93" s="99"/>
      <c r="MU93" s="99"/>
      <c r="MV93" s="99"/>
      <c r="MW93" s="99"/>
      <c r="MX93" s="99"/>
      <c r="MY93" s="153"/>
      <c r="MZ93" s="153"/>
      <c r="NA93" s="153"/>
      <c r="NB93" s="153"/>
      <c r="NC93" s="153"/>
      <c r="ND93" s="153"/>
      <c r="NE93" s="148"/>
      <c r="NF93" s="153"/>
      <c r="NG93" s="153"/>
      <c r="NH93" s="330" t="str">
        <f t="shared" ref="NH93:NH96" si="704">"ks"</f>
        <v>ks</v>
      </c>
      <c r="NI93" s="797">
        <f>RZ[[#This Row],[Počet ks (K)]]</f>
        <v>0</v>
      </c>
      <c r="NJ93" s="798">
        <f>RZ[[#This Row],[Hmotnost '[kg/ks'] (K)]]</f>
        <v>0</v>
      </c>
      <c r="NK93" s="148"/>
      <c r="NL93" s="145"/>
      <c r="NM93" s="632"/>
      <c r="NN93" s="148"/>
      <c r="NO93" s="154"/>
      <c r="NP93" s="153"/>
      <c r="NQ93" s="153"/>
      <c r="NR93" s="210"/>
      <c r="NS93" s="148"/>
      <c r="NT93" s="210"/>
      <c r="NU93" s="148"/>
      <c r="NV93" s="148"/>
      <c r="NW93" s="175"/>
    </row>
    <row r="94" spans="2:387" ht="15.95" customHeight="1" x14ac:dyDescent="0.35">
      <c r="B94" s="118" t="str">
        <f t="shared" si="597"/>
        <v/>
      </c>
      <c r="C9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4" s="262" t="str">
        <f t="shared" si="598"/>
        <v xml:space="preserve">    Díl nákolku</v>
      </c>
      <c r="E94" s="120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Row],[Kód položek (P2)]]))))))))))</f>
        <v>OKS1</v>
      </c>
      <c r="F94" s="791" t="str">
        <f t="shared" si="599"/>
        <v>N/A</v>
      </c>
      <c r="G94" s="792" t="str">
        <f t="shared" si="600"/>
        <v/>
      </c>
      <c r="H94" s="262" t="str">
        <f t="shared" si="601"/>
        <v/>
      </c>
      <c r="I94" s="123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HR '[MJHR'] (P0)]]))))))))))</f>
        <v>ks</v>
      </c>
      <c r="J94" s="123">
        <f t="shared" si="602"/>
        <v>2</v>
      </c>
      <c r="K94" s="793">
        <f>RZ[[#This Row],[Koeficient odhadu HR '[-'] (P1)]]</f>
        <v>1</v>
      </c>
      <c r="L94" s="124">
        <f ca="1">RZ[[#This Row],[Jednotková hmotnost s koef. '[kg/MJHR'] (P0)]]</f>
        <v>380</v>
      </c>
      <c r="M94" s="794">
        <f t="shared" ca="1" si="603"/>
        <v>0</v>
      </c>
      <c r="N94" s="125">
        <f t="shared" ca="1" si="604"/>
        <v>760</v>
      </c>
      <c r="O94" s="125">
        <f t="shared" ca="1" si="605"/>
        <v>0</v>
      </c>
      <c r="P94" s="126" t="str">
        <f t="shared" si="606"/>
        <v/>
      </c>
      <c r="Q94" s="795">
        <f ca="1">RZ[[#This Row],[Počet MJHR v rozpadu (P0)]]</f>
        <v>6</v>
      </c>
      <c r="R94" s="439" t="str">
        <f t="shared" si="607"/>
        <v/>
      </c>
      <c r="S94" s="129" t="str">
        <f t="shared" si="608"/>
        <v/>
      </c>
      <c r="T94" s="126" t="str">
        <f t="shared" si="609"/>
        <v/>
      </c>
      <c r="U94" s="126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CR (MJCR) (P0)]]))))))))))</f>
        <v>kg</v>
      </c>
      <c r="V94" s="575">
        <f t="shared" ca="1" si="610"/>
        <v>760</v>
      </c>
      <c r="W94" s="322">
        <f>RZ[[#This Row],[Koeficient odhadu CR '[-'] (P1)]]</f>
        <v>1</v>
      </c>
      <c r="X94" s="440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Row],[Jednotková cena bez DPH '[cena/MJCR'] (P1)]]*RZ[[#This Row],[Koeficient odhadu CR '[-']]]))))))))))</f>
        <v>140</v>
      </c>
      <c r="Y94" s="440">
        <f t="shared" ca="1" si="611"/>
        <v>0</v>
      </c>
      <c r="Z94" s="142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VLOOKUP(IP94,$BR$7:$BS$11,2,FALSE)))))))))))</f>
        <v>CZK</v>
      </c>
      <c r="AA94" s="909">
        <f t="shared" ca="1" si="612"/>
        <v>2280</v>
      </c>
      <c r="AB94" s="910">
        <f ca="1">RZ[[#This Row],[Kumulovaný koeficient v rozpadu (P0)]]</f>
        <v>1</v>
      </c>
      <c r="AC94" s="261"/>
      <c r="AD94" s="796">
        <f ca="1">RZ[[#This Row],[Jednotková cena bez DPH '[cena/MJCR'] s koef. (P0)]]/RZ[[#This Row],[Koeficient odhadu CR '[-']]]*RZ[[#This Row],[Kumulovaný koeficient odhadu CR  '[-']]]</f>
        <v>140</v>
      </c>
      <c r="AE94" s="796">
        <f t="shared" ca="1" si="613"/>
        <v>319200</v>
      </c>
      <c r="AF94" s="796">
        <f ca="1">-IF(ISNUMBER(AA94),RZ[[#This Row],[Celková cena bez DPH (1)]]-RZ[[#This Row],[Jednotková cena bez DPH '[cena/MJCR'] bez koef. (P0)]]*AA94,0)</f>
        <v>0</v>
      </c>
      <c r="AG9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4" s="261"/>
      <c r="AI94" s="796">
        <f ca="1">AD94/VLOOKUP($AJ$13,KURZY,3,FALSE)</f>
        <v>5.1851851851851851</v>
      </c>
      <c r="AJ94" s="796">
        <f ca="1">AE94/VLOOKUP($AJ$13,KURZY,3,FALSE)*IF(V94="",0,1)</f>
        <v>11822.222222222223</v>
      </c>
      <c r="AK94" s="796">
        <f ca="1">AF94/VLOOKUP($AJ$13,KURZY,3,FALSE)</f>
        <v>0</v>
      </c>
      <c r="AL94" s="753">
        <f ca="1">RZ[[#This Row],[Kilogramová cena bez DPH '[cena/kg'] (1)]]/$AK$13</f>
        <v>5.1851851851851851</v>
      </c>
      <c r="AM94" s="261"/>
      <c r="AN94" s="796">
        <f ca="1">AD94/VLOOKUP($AO$13,KURZY,3,FALSE)</f>
        <v>6.7632850241545892</v>
      </c>
      <c r="AO94" s="796">
        <f ca="1">AE94/VLOOKUP($AO$13,KURZY,3,FALSE)*IF(V94="",0,1)</f>
        <v>15420.289855072464</v>
      </c>
      <c r="AP94" s="796">
        <f ca="1">AF94/VLOOKUP($AO$13,KURZY,3,FALSE)</f>
        <v>0</v>
      </c>
      <c r="AQ94" s="753">
        <f ca="1">RZ[[#This Row],[Kilogramová cena bez DPH '[cena/kg'] (1)]]/$AP$13</f>
        <v>6.7632850241545892</v>
      </c>
      <c r="AR94" s="261"/>
      <c r="AS94" s="796">
        <f ca="1">AD94/VLOOKUP($AT$13,KURZY,3,FALSE)</f>
        <v>3.8293216630196936</v>
      </c>
      <c r="AT94" s="796">
        <f ca="1">AE94/VLOOKUP($AT$13,KURZY,3,FALSE)*IF(V94="",0,1)</f>
        <v>8730.853391684901</v>
      </c>
      <c r="AU94" s="789">
        <f ca="1">AF94/VLOOKUP($AT$13,KURZY,3,FALSE)</f>
        <v>0</v>
      </c>
      <c r="AV94" s="767">
        <f ca="1">RZ[[#This Row],[Kilogramová cena bez DPH '[cena/kg'] (1)]]/$AU$13</f>
        <v>3.8293216630196936</v>
      </c>
      <c r="AW94" s="165"/>
      <c r="AX94" s="911">
        <f t="shared" ca="1" si="614"/>
        <v>2</v>
      </c>
      <c r="AY94" s="111">
        <f t="shared" ca="1" si="615"/>
        <v>4</v>
      </c>
      <c r="AZ94" s="111">
        <f t="shared" ca="1" si="616"/>
        <v>2</v>
      </c>
      <c r="BA94" s="111">
        <f t="shared" ca="1" si="617"/>
        <v>0</v>
      </c>
      <c r="BB94" s="111">
        <f t="shared" ca="1" si="618"/>
        <v>0</v>
      </c>
      <c r="BC94" s="111">
        <f t="shared" ca="1" si="619"/>
        <v>0</v>
      </c>
      <c r="BD94" s="111">
        <f t="shared" ca="1" si="620"/>
        <v>0</v>
      </c>
      <c r="BE94" s="111">
        <f t="shared" ca="1" si="621"/>
        <v>0</v>
      </c>
      <c r="BF94" s="111">
        <f t="shared" ca="1" si="622"/>
        <v>0</v>
      </c>
      <c r="BG94" s="112">
        <f t="shared" ca="1" si="623"/>
        <v>0</v>
      </c>
      <c r="BH94" s="911">
        <f t="shared" si="624"/>
        <v>0</v>
      </c>
      <c r="BI94" s="111">
        <f t="shared" si="625"/>
        <v>0</v>
      </c>
      <c r="BJ94" s="111">
        <f t="shared" si="626"/>
        <v>1</v>
      </c>
      <c r="BK94" s="111">
        <f t="shared" si="627"/>
        <v>0</v>
      </c>
      <c r="BL94" s="111">
        <f t="shared" si="628"/>
        <v>0</v>
      </c>
      <c r="BM94" s="111">
        <f t="shared" si="629"/>
        <v>0</v>
      </c>
      <c r="BN94" s="111">
        <f t="shared" si="630"/>
        <v>0</v>
      </c>
      <c r="BO94" s="111">
        <f t="shared" si="631"/>
        <v>0</v>
      </c>
      <c r="BP94" s="111">
        <f t="shared" si="632"/>
        <v>0</v>
      </c>
      <c r="BQ94" s="112">
        <f t="shared" si="633"/>
        <v>0</v>
      </c>
      <c r="BR94" s="132">
        <f ca="1">IF(OFFSET(AY94,1,0,1,1)&lt;&gt;0,RZ[[#This Row],[Koeficient odhadu HR '[-'] (P1)]]*$BH94*SUMIFS(RZ[Úroveň 2 s koef. (P2)],RZ[0],AX94),RZ[[#This Row],[Koeficient odhadu HR '[-'] (P1)]]*$BH94*$IG94)</f>
        <v>0</v>
      </c>
      <c r="BS94" s="186">
        <f ca="1">IF(OFFSET(AY94,1,0,1,1)&lt;&gt;0,$BH94*SUMIFS(RZ[Úroveň 2 bez koef. (P2)],RZ[0],AX94),$BH94*$IG94)</f>
        <v>0</v>
      </c>
      <c r="BT94" s="138">
        <f ca="1">RZ[[#This Row],[Úroveň 2 s koef. (P2a)]]*RZ[[#This Row],[Počet MJHR (P0)]]</f>
        <v>0</v>
      </c>
      <c r="BU94" s="138">
        <f ca="1">RZ[[#This Row],[Úroveň 2 bez koef. (P2a)]]*RZ[[#This Row],[Počet MJHR (P0)]]</f>
        <v>0</v>
      </c>
      <c r="BV94" s="138">
        <f ca="1">IF(OFFSET(AZ94,1,0,1,1)&lt;&gt;0,RZ[[#This Row],[Koeficient odhadu HR '[-'] (P1)]]*$BI94*SUMIFS(RZ[Úroveň 3 s koef. (P2)],RZ[0],AX94,RZ[Úroveň 2 (P0)],AY94),RZ[[#This Row],[Koeficient odhadu HR '[-'] (P1)]]*$BI94*$IG94)</f>
        <v>0</v>
      </c>
      <c r="BW94" s="138">
        <f ca="1">IF(OFFSET(AZ94,1,0,1,1)&lt;&gt;0,$BI94*SUMIFS(RZ[Úroveň 3 bez koef. (P2)],RZ[0],AX94,RZ[Úroveň 2 (P0)],AY94),$BI94*$IG94)</f>
        <v>0</v>
      </c>
      <c r="BX94" s="132">
        <f ca="1">RZ[[#This Row],[Úroveň 3 s koef. (P2a)]]*RZ[[#This Row],[Počet MJHR (P0)]]</f>
        <v>760</v>
      </c>
      <c r="BY94" s="132">
        <f ca="1">RZ[Úroveň 3 bez koef. (P2a)]*RZ[[#This Row],[Počet MJHR (P0)]]</f>
        <v>760</v>
      </c>
      <c r="BZ94" s="132">
        <f ca="1">IF(OFFSET(BA94,1,0,1,1)&lt;&gt;0,RZ[[#This Row],[Koeficient odhadu HR '[-'] (P1)]]*$BJ94*SUMIFS(RZ[Úroveň 4 s koef. (P2)],RZ[0],AX94,RZ[Úroveň 2 (P0)],AY94,RZ[Úroveň 3 (P0)],AZ94),RZ[[#This Row],[Koeficient odhadu HR '[-'] (P1)]]*$BJ94*$IG94)</f>
        <v>380</v>
      </c>
      <c r="CA94" s="132">
        <f ca="1">IF(OFFSET(BA94,1,0,1,1)&lt;&gt;0,$BJ94*SUMIFS(RZ[Úroveň 4 bez koef. (P2)],RZ[0],AX94,RZ[Úroveň 2 (P0)],AY94,RZ[Úroveň 3 (P0)],AZ94),$BJ94*$IG94)</f>
        <v>380</v>
      </c>
      <c r="CB94" s="138">
        <f ca="1">RZ[[#This Row],[Úroveň 4 s koef. (P2a)]]*RZ[[#This Row],[Počet MJHR (P0)]]</f>
        <v>0</v>
      </c>
      <c r="CC94" s="138">
        <f ca="1">RZ[Úroveň 4 bez koef. (P2a)]*RZ[[#This Row],[Počet MJHR (P0)]]</f>
        <v>0</v>
      </c>
      <c r="CD94" s="138">
        <f ca="1">IF(OFFSET(BB94,1,0,1,1)&lt;&gt;0,RZ[[#This Row],[Koeficient odhadu HR '[-'] (P1)]]*$BK94*SUMIFS(RZ[Úroveň 5 s koef. (P2)],RZ[0],AX94,RZ[Úroveň 2 (P0)],AY94,RZ[Úroveň 3 (P0)],AZ94,RZ[Úroveň 4 (P0)],BA94),RZ[[#This Row],[Koeficient odhadu HR '[-'] (P1)]]*$BK94*$IG94)</f>
        <v>0</v>
      </c>
      <c r="CE94" s="138">
        <f ca="1">IF(OFFSET(BB94,1,0,1,1)&lt;&gt;0,$BK94*SUMIFS(RZ[Úroveň 5 bez koef. (P2)],RZ[0],AX94,RZ[Úroveň 2 (P0)],AY94,RZ[Úroveň 3 (P0)],AZ94,RZ[Úroveň 4 (P0)],BA94),$BK94*$IG94)</f>
        <v>0</v>
      </c>
      <c r="CF94" s="132">
        <f ca="1">RZ[[#This Row],[Úroveň 5 s koef. (P2a)]]*RZ[[#This Row],[Počet MJHR (P0)]]</f>
        <v>0</v>
      </c>
      <c r="CG94" s="132">
        <f ca="1">RZ[Úroveň 5 bez koef. (P2a)]*RZ[[#This Row],[Počet MJHR (P0)]]</f>
        <v>0</v>
      </c>
      <c r="CH94" s="132">
        <f ca="1">IF(OFFSET(BC94,1,0,1,1)&lt;&gt;0,RZ[[#This Row],[Koeficient odhadu HR '[-'] (P1)]]*$BL94*SUMIFS(RZ[Úroveň 6 s koef. (P2)],RZ[0],AX94,RZ[Úroveň 2 (P0)],AY94,RZ[Úroveň 3 (P0)],AZ94,RZ[Úroveň 4 (P0)],BA94,RZ[Úroveň 5 (P0)],BB94),RZ[[#This Row],[Koeficient odhadu HR '[-'] (P1)]]*$BL94*$IG94)</f>
        <v>0</v>
      </c>
      <c r="CI94" s="132">
        <f ca="1">IF(OFFSET(BC94,1,0,1,1)&lt;&gt;0,$BL94*SUMIFS(RZ[Úroveň 6 bez koef. (P2)],RZ[0],AX94,RZ[Úroveň 2 (P0)],AY94,RZ[Úroveň 3 (P0)],AZ94,RZ[Úroveň 4 (P0)],BA94,RZ[Úroveň 5 (P0)],BB94),$BL94*$IG94)</f>
        <v>0</v>
      </c>
      <c r="CJ94" s="138">
        <f ca="1">RZ[[#This Row],[Úroveň 6 s koef. (P2a)]]*RZ[[#This Row],[Počet MJHR (P0)]]</f>
        <v>0</v>
      </c>
      <c r="CK94" s="138">
        <f ca="1">RZ[Úroveň 6 bez koef. (P2a)]*RZ[[#This Row],[Počet MJHR (P0)]]</f>
        <v>0</v>
      </c>
      <c r="CL94" s="138">
        <f ca="1">IF(OFFSET(BD94,1,0,1,1)&lt;&gt;0,RZ[[#This Row],[Koeficient odhadu HR '[-'] (P1)]]*$BM94*SUMIFS(RZ[Úroveň 7 s koef. (P2)],RZ[0],AX94,RZ[Úroveň 2 (P0)],AY94,RZ[Úroveň 3 (P0)],AZ94,RZ[Úroveň 4 (P0)],BA94,RZ[Úroveň 5 (P0)],BB94,RZ[Úroveň 6 (P0)],BC94),RZ[[#This Row],[Koeficient odhadu HR '[-'] (P1)]]*$BM94*$IG94)</f>
        <v>0</v>
      </c>
      <c r="CM94" s="138">
        <f ca="1">IF(OFFSET(BD94,1,0,1,1)&lt;&gt;0,$BM94*SUMIFS(RZ[Úroveň 7 bez koef. (P2)],RZ[0],AX94,RZ[Úroveň 2 (P0)],AY94,RZ[Úroveň 3 (P0)],AZ94,RZ[Úroveň 4 (P0)],BA94,RZ[Úroveň 5 (P0)],BB94,RZ[Úroveň 6 (P0)],BC94),$BM94*$IG94)</f>
        <v>0</v>
      </c>
      <c r="CN94" s="132">
        <f ca="1">RZ[[#This Row],[Úroveň 7 s koef. (P2a)]]*RZ[[#This Row],[Počet MJHR (P0)]]</f>
        <v>0</v>
      </c>
      <c r="CO94" s="132">
        <f ca="1">RZ[Úroveň 7 bez koef. (P2a)]*RZ[[#This Row],[Počet MJHR (P0)]]</f>
        <v>0</v>
      </c>
      <c r="CP94" s="132">
        <f ca="1">IF(OFFSET(BE94,1,0,1,1)&lt;&gt;0,RZ[[#This Row],[Koeficient odhadu HR '[-'] (P1)]]*$BN94*SUMIFS(RZ[Úroveň 8 s koef. (P2)],RZ[0],AX94,RZ[Úroveň 2 (P0)],AY94,RZ[Úroveň 3 (P0)],AZ94,RZ[Úroveň 4 (P0)],BA94,RZ[Úroveň 5 (P0)],BB94,RZ[Úroveň 6 (P0)],BC94,RZ[Úroveň 7 (P0)],BD94),RZ[[#This Row],[Koeficient odhadu HR '[-'] (P1)]]*$BN94*$IG94)</f>
        <v>0</v>
      </c>
      <c r="CQ94" s="132">
        <f ca="1">IF(OFFSET(BE94,1,0,1,1)&lt;&gt;0,$BN94*SUMIFS(RZ[Úroveň 8 bez koef. (P2)],RZ[0],AX94,RZ[Úroveň 2 (P0)],AY94,RZ[Úroveň 3 (P0)],AZ94,RZ[Úroveň 4 (P0)],BA94,RZ[Úroveň 5 (P0)],BB94,RZ[Úroveň 6 (P0)],BC94,RZ[Úroveň 7 (P0)],BD94),$BN94*$IG94)</f>
        <v>0</v>
      </c>
      <c r="CR94" s="138">
        <f ca="1">RZ[[#This Row],[Úroveň 8 s koef. (P2a)]]*RZ[[#This Row],[Počet MJHR (P0)]]</f>
        <v>0</v>
      </c>
      <c r="CS94" s="138">
        <f ca="1">RZ[Úroveň 8 bez koef. (P2a)]*RZ[[#This Row],[Počet MJHR (P0)]]</f>
        <v>0</v>
      </c>
      <c r="CT94" s="138">
        <f ca="1">IF(OFFSET(BF94,1,0,1,1)&lt;&gt;0,RZ[[#This Row],[Koeficient odhadu HR '[-'] (P1)]]*$BO94*SUMIFS(RZ[Úroveň 9 s koef. (P2)],RZ[0],AX94,RZ[Úroveň 2 (P0)],AY94,RZ[Úroveň 3 (P0)],AZ94,RZ[Úroveň 4 (P0)],BA94,RZ[Úroveň 5 (P0)],BB94,RZ[Úroveň 6 (P0)],BC94,RZ[Úroveň 7 (P0)],BD94,RZ[Úroveň 8 (P0)],BE94),RZ[[#This Row],[Koeficient odhadu HR '[-'] (P1)]]*$BO94*$IG94)</f>
        <v>0</v>
      </c>
      <c r="CU94" s="138">
        <f ca="1">IF(OFFSET(BF94,1,0,1,1)&lt;&gt;0,$BO94*SUMIFS(RZ[Úroveň 9 bez koef. (P2)],RZ[0],AX94,RZ[Úroveň 2 (P0)],AY94,RZ[Úroveň 3 (P0)],AZ94,RZ[Úroveň 4 (P0)],BA94,RZ[Úroveň 5 (P0)],BB94,RZ[Úroveň 6 (P0)],BC94,RZ[Úroveň 7 (P0)],BD94,RZ[Úroveň 8 (P0)],BE94),$BO94*$IG94)</f>
        <v>0</v>
      </c>
      <c r="CV94" s="132">
        <f ca="1">RZ[[#This Row],[Úroveň 9 s koef. (P2a)]]*RZ[[#This Row],[Počet MJHR (P0)]]</f>
        <v>0</v>
      </c>
      <c r="CW94" s="132">
        <f ca="1">RZ[Úroveň 9 bez koef. (P2a)]*RZ[[#This Row],[Počet MJHR (P0)]]</f>
        <v>0</v>
      </c>
      <c r="CX94" s="132">
        <f ca="1">IF(OFFSET(BG94,1,0,1,1)&lt;&gt;0,RZ[[#This Row],[Koeficient odhadu HR '[-'] (P1)]]*$BP94*SUMIFS(RZ[Úroveň 10 s koef. (P2)],RZ[0],AX94,RZ[Úroveň 2 (P0)],AY94,RZ[Úroveň 3 (P0)],AZ94,RZ[Úroveň 4 (P0)],BA94,RZ[Úroveň 5 (P0)],BB94,RZ[Úroveň 6 (P0)],BC94,RZ[Úroveň 7 (P0)],BD94,RZ[Úroveň 8 (P0)],BE94,RZ[Úroveň 9 (P0)],BF94),RZ[[#This Row],[Koeficient odhadu HR '[-'] (P1)]]*$BP94*$IG94)</f>
        <v>0</v>
      </c>
      <c r="CY94" s="132">
        <f ca="1">IF(OFFSET(BG94,1,0,1,1)&lt;&gt;0,$BP94*SUMIFS(RZ[Úroveň 10 bez koef. (P2)],RZ[0],AX94,RZ[Úroveň 2 (P0)],AY94,RZ[Úroveň 3 (P0)],AZ94,RZ[Úroveň 4 (P0)],BA94,RZ[Úroveň 5 (P0)],BB94,RZ[Úroveň 6 (P0)],BC94,RZ[Úroveň 7 (P0)],BD94,RZ[Úroveň 8 (P0)],BE94,RZ[Úroveň 9 (P0)],BF94),$BP94*$IG94)</f>
        <v>0</v>
      </c>
      <c r="CZ94" s="138">
        <f>RZ[[#This Row],[Úroveň 10 s koef. (P2a)]]*RZ[[#This Row],[Počet MJHR (P0)]]</f>
        <v>0</v>
      </c>
      <c r="DA94" s="138">
        <f>RZ[Úroveň 10 bez koef. (P2a)]*RZ[[#This Row],[Počet MJHR (P0)]]</f>
        <v>0</v>
      </c>
      <c r="DB94" s="138">
        <f>RZ[[#This Row],[Koeficient odhadu HR '[-'] (P1)]]*$BQ94*IG94</f>
        <v>0</v>
      </c>
      <c r="DC94" s="231">
        <f t="shared" si="634"/>
        <v>0</v>
      </c>
      <c r="DD94" s="241">
        <f t="shared" ca="1" si="635"/>
        <v>380</v>
      </c>
      <c r="DE94" s="229">
        <f t="shared" ca="1" si="636"/>
        <v>380</v>
      </c>
      <c r="DF94" s="912">
        <f t="shared" si="637"/>
        <v>0</v>
      </c>
      <c r="DG94" s="913">
        <f t="shared" si="638"/>
        <v>0</v>
      </c>
      <c r="DH94" s="913">
        <f t="shared" si="639"/>
        <v>2</v>
      </c>
      <c r="DI94" s="913">
        <f t="shared" si="640"/>
        <v>0</v>
      </c>
      <c r="DJ94" s="913">
        <f t="shared" si="641"/>
        <v>0</v>
      </c>
      <c r="DK94" s="913">
        <f t="shared" si="642"/>
        <v>0</v>
      </c>
      <c r="DL94" s="913">
        <f t="shared" si="643"/>
        <v>0</v>
      </c>
      <c r="DM94" s="913">
        <f t="shared" si="644"/>
        <v>0</v>
      </c>
      <c r="DN94" s="913">
        <f t="shared" si="645"/>
        <v>0</v>
      </c>
      <c r="DO94" s="913">
        <f t="shared" si="646"/>
        <v>0</v>
      </c>
      <c r="DP94" s="914">
        <f ca="1">SUMIFS(RZ[Úroveň 1 (P4)],RZ[0],AX94)</f>
        <v>1</v>
      </c>
      <c r="DQ94" s="914">
        <f ca="1">SUMIFS(RZ[Úroveň 2 (P4)],RZ[0],AX94,RZ[Úroveň 2 (P0)],AY94)</f>
        <v>3</v>
      </c>
      <c r="DR94" s="914">
        <f ca="1">SUMIFS(RZ[Úroveň 3 (P4)],RZ[0],AX94,RZ[Úroveň 2 (P0)],AY94,RZ[Úroveň 3 (P0)],AZ94)</f>
        <v>2</v>
      </c>
      <c r="DS94" s="914">
        <f ca="1">SUMIFS(RZ[Úroveň 4 (P4)],RZ[0],AX94,RZ[Úroveň 2 (P0)],AY94,RZ[Úroveň 3 (P0)],AZ94,RZ[Úroveň 4 (P0)],BA94)</f>
        <v>0</v>
      </c>
      <c r="DT94" s="914">
        <f ca="1">SUMIFS(RZ[Úroveň 5 (P4)],RZ[0],AX94,RZ[Úroveň 2 (P0)],AY94,RZ[Úroveň 3 (P0)],AZ94,RZ[Úroveň 4 (P0)],BA94,RZ[Úroveň 5 (P0)],BB94)</f>
        <v>0</v>
      </c>
      <c r="DU94" s="914">
        <f ca="1">SUMIFS(RZ[Úroveň 6 (P4)],RZ[0],AX94,RZ[Úroveň 2 (P0)],AY94,RZ[Úroveň 3 (P0)],AZ94,RZ[Úroveň 4 (P0)],BA94,RZ[Úroveň 5 (P0)],BB94,RZ[Úroveň 6 (P0)],BC94)</f>
        <v>0</v>
      </c>
      <c r="DV94" s="914">
        <f ca="1">SUMIFS(RZ[Úroveň 7 (P4)],RZ[0],AX94,RZ[Úroveň 2 (P0)],AY94,RZ[Úroveň 3 (P0)],AZ94,RZ[Úroveň 4 (P0)],BA94,RZ[Úroveň 5 (P0)],BB94,RZ[Úroveň 6 (P0)],BC94,RZ[Úroveň 7 (P0)],BD94)</f>
        <v>0</v>
      </c>
      <c r="DW94" s="914">
        <f ca="1">SUMIFS(RZ[Úroveň 8 (P4)],RZ[0],AX94,RZ[Úroveň 2 (P0)],AY94,RZ[Úroveň 3 (P0)],AZ94,RZ[Úroveň 4 (P0)],BA94,RZ[Úroveň 5 (P0)],BB94,RZ[Úroveň 6 (P0)],BC94,RZ[Úroveň 7 (P0)],BD94,RZ[Úroveň 8 (P0)],BE94)</f>
        <v>0</v>
      </c>
      <c r="DX94" s="914">
        <f ca="1">SUMIFS(RZ[Úroveň 9 (P4)],RZ[0],AX94,RZ[Úroveň 2 (P0)],AY94,RZ[Úroveň 3 (P0)],AZ94,RZ[Úroveň 4 (P0)],BA94,RZ[Úroveň 5 (P0)],BB94,RZ[Úroveň 6 (P0)],BC94,RZ[Úroveň 7 (P0)],BD94,RZ[Úroveň 8 (P0)],BE94,RZ[Úroveň 9 (P0)],BF94)</f>
        <v>0</v>
      </c>
      <c r="DY94" s="914">
        <f ca="1">SUMIFS(RZ[Úroveň 10 (P4)],RZ[0],AX94,RZ[Úroveň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DZ94" s="915">
        <f t="shared" ca="1" si="647"/>
        <v>6</v>
      </c>
      <c r="EA94" s="916">
        <f ca="1">RZ[[#This Row],[Jednotková hmotnost bez koef. '[kg/MJHR'] (P0)]]*RZ[[#This Row],[Počet MJHR v rozpadu (P0)]]</f>
        <v>2280</v>
      </c>
      <c r="EB94" s="917">
        <f ca="1">IF(OFFSET(AY94,1,0,1,1)&lt;&gt;0,RZ[[#This Row],[Koeficient odhadu CR '[-'] (P1)]]*$BH94*SUMIFS(RZ[Úroveň 2 s koef. (P3)],RZ[0],AX94),RZ[[#This Row],[Koeficient odhadu CR '[-'] (P1)]]*$BH94*$IQ94)</f>
        <v>0</v>
      </c>
      <c r="EC94" s="191">
        <f ca="1">IF(OFFSET(AY94,1,0,1,1)&lt;&gt;0,$BH94*SUMIFS(RZ[Úroveň 2 bez koef. (P3)],RZ[0],AX94),$BH94*$IQ94)</f>
        <v>0</v>
      </c>
      <c r="ED94" s="140">
        <f ca="1">RZ[[#This Row],[Úroveň 2 s koef. (P3a)]]*RZ[[#This Row],[Počet MJCR (P0) pro "kg"]]</f>
        <v>0</v>
      </c>
      <c r="EE94" s="140">
        <f ca="1">RZ[Úroveň 2 bez koef. (P3a)]*RZ[[#This Row],[Počet MJCR (P0) pro "kg"]]</f>
        <v>0</v>
      </c>
      <c r="EF94" s="140">
        <f ca="1">IF(OFFSET(AZ94,1,0,1,1)&lt;&gt;0,RZ[[#This Row],[Koeficient odhadu CR '[-'] (P1)]]*$BI94*SUMIFS(RZ[Úroveň 3 s koef. (P3)],RZ[0],AX94,RZ[Úroveň 2 (P0)],AY94),RZ[[#This Row],[Koeficient odhadu CR '[-'] (P1)]]*$BI94*$IQ94)</f>
        <v>0</v>
      </c>
      <c r="EG94" s="140">
        <f ca="1">IF(OFFSET(AZ94,1,0,1,1)&lt;&gt;0,$BI94*SUMIFS(RZ[Úroveň 3 bez koef. (P3)],RZ[0],AX94,RZ[Úroveň 2 (P0)],AY94),$BI94*$IQ94)</f>
        <v>0</v>
      </c>
      <c r="EH94" s="135">
        <f ca="1">RZ[[#This Row],[Úroveň 3 s koef. (P3a)]]*RZ[[#This Row],[Počet MJCR (P0) pro "kg"]]</f>
        <v>106400</v>
      </c>
      <c r="EI94" s="135">
        <f ca="1">RZ[Úroveň 3 bez koef. (P3a)]*RZ[[#This Row],[Počet MJCR (P0) pro "kg"]]</f>
        <v>106400</v>
      </c>
      <c r="EJ94" s="135">
        <f ca="1">IF(OFFSET(BA94,1,0,1,1)&lt;&gt;0,RZ[[#This Row],[Koeficient odhadu CR '[-'] (P1)]]*$BJ94*SUMIFS(RZ[Úroveň 4 s koef. (P3)],RZ[0],AX94,RZ[Úroveň 2 (P0)],AY94,RZ[Úroveň 3 (P0)],AZ94),RZ[[#This Row],[Koeficient odhadu CR '[-'] (P1)]]*$BJ94*$IQ94)</f>
        <v>140</v>
      </c>
      <c r="EK94" s="135">
        <f ca="1">IF(OFFSET(BA94,1,0,1,1)&lt;&gt;0,$BJ94*SUMIFS(RZ[Úroveň 4 bez koef. (P3)],RZ[0],AX94,RZ[Úroveň 2 (P0)],AY94,RZ[Úroveň 3 (P0)],AZ94),$BJ94*$IQ94)</f>
        <v>140</v>
      </c>
      <c r="EL94" s="140">
        <f ca="1">RZ[[#This Row],[Úroveň 4 s koef. (P3a)]]*RZ[[#This Row],[Počet MJCR (P0) pro "kg"]]</f>
        <v>0</v>
      </c>
      <c r="EM94" s="140">
        <f ca="1">RZ[Úroveň 4 bez koef. (P3a)]*RZ[[#This Row],[Počet MJCR (P0) pro "kg"]]</f>
        <v>0</v>
      </c>
      <c r="EN94" s="140">
        <f ca="1">IF(OFFSET(BB94,1,0,1,1)&lt;&gt;0,RZ[[#This Row],[Koeficient odhadu CR '[-'] (P1)]]*$BK94*SUMIFS(RZ[Úroveň 5 s koef. (P3)],RZ[0],AX94,RZ[Úroveň 2 (P0)],AY94,RZ[Úroveň 3 (P0)],AZ94,RZ[Úroveň 4 (P0)],BA94),RZ[[#This Row],[Koeficient odhadu CR '[-'] (P1)]]*$BK94*$IQ94)</f>
        <v>0</v>
      </c>
      <c r="EO94" s="140">
        <f ca="1">IF(OFFSET(BB94,1,0,1,1)&lt;&gt;0,$BK94*SUMIFS(RZ[Úroveň 5 bez koef. (P3)],RZ[0],AX94,RZ[Úroveň 2 (P0)],AY94,RZ[Úroveň 3 (P0)],AZ94,RZ[Úroveň 4 (P0)],BA94),$BK94*$IQ94)</f>
        <v>0</v>
      </c>
      <c r="EP94" s="135">
        <f ca="1">RZ[[#This Row],[Úroveň 5 s koef. (P3a)]]*RZ[[#This Row],[Počet MJCR (P0) pro "kg"]]</f>
        <v>0</v>
      </c>
      <c r="EQ94" s="135">
        <f ca="1">RZ[Úroveň 5 bez koef. (P3a)]*RZ[[#This Row],[Počet MJCR (P0) pro "kg"]]</f>
        <v>0</v>
      </c>
      <c r="ER94" s="135">
        <f ca="1">IF(OFFSET(BC94,1,0,1,1)&lt;&gt;0,RZ[[#This Row],[Koeficient odhadu CR '[-'] (P1)]]*$BL94*SUMIFS(RZ[Úroveň 6 s koef. (P3)],RZ[0],AX94,RZ[Úroveň 2 (P0)],AY94,RZ[Úroveň 3 (P0)],AZ94,RZ[Úroveň 4 (P0)],BA94,RZ[Úroveň 5 (P0)],BB94),RZ[[#This Row],[Koeficient odhadu CR '[-'] (P1)]]*$BL94*$IQ94)</f>
        <v>0</v>
      </c>
      <c r="ES94" s="135">
        <f ca="1">IF(OFFSET(BC94,1,0,1,1)&lt;&gt;0,$BL94*SUMIFS(RZ[Úroveň 6 bez koef. (P3)],RZ[0],AX94,RZ[Úroveň 2 (P0)],AY94,RZ[Úroveň 3 (P0)],AZ94,RZ[Úroveň 4 (P0)],BA94,RZ[Úroveň 5 (P0)],BB94),$BL94*$IQ94)</f>
        <v>0</v>
      </c>
      <c r="ET94" s="140">
        <f ca="1">RZ[[#This Row],[Úroveň 6 s koef. (P3a)]]*RZ[[#This Row],[Počet MJCR (P0) pro "kg"]]</f>
        <v>0</v>
      </c>
      <c r="EU94" s="140">
        <f ca="1">RZ[Úroveň 6 bez koef. (P3a)]*RZ[[#This Row],[Počet MJCR (P0) pro "kg"]]</f>
        <v>0</v>
      </c>
      <c r="EV94" s="140">
        <f ca="1">IF(OFFSET(BD94,1,0,1,1)&lt;&gt;0,RZ[[#This Row],[Koeficient odhadu CR '[-'] (P1)]]*$BM94*SUMIFS(RZ[Úroveň 7 s koef. (P3)],RZ[0],AX94,RZ[Úroveň 2 (P0)],AY94,RZ[Úroveň 3 (P0)],AZ94,RZ[Úroveň 4 (P0)],BA94,RZ[Úroveň 5 (P0)],BB94,RZ[Úroveň 6 (P0)],BC94),RZ[[#This Row],[Koeficient odhadu CR '[-'] (P1)]]*$BM94*$IQ94)</f>
        <v>0</v>
      </c>
      <c r="EW94" s="140">
        <f ca="1">IF(OFFSET(BD94,1,0,1,1)&lt;&gt;0,$BM94*SUMIFS(RZ[Úroveň 7 bez koef. (P3)],RZ[0],AX94,RZ[Úroveň 2 (P0)],AY94,RZ[Úroveň 3 (P0)],AZ94,RZ[Úroveň 4 (P0)],BA94,RZ[Úroveň 5 (P0)],BB94,RZ[Úroveň 6 (P0)],BC94),$BM94*$IQ94)</f>
        <v>0</v>
      </c>
      <c r="EX94" s="135">
        <f ca="1">RZ[[#This Row],[Úroveň 7 s koef. (P3a)]]*RZ[[#This Row],[Počet MJCR (P0) pro "kg"]]</f>
        <v>0</v>
      </c>
      <c r="EY94" s="135">
        <f ca="1">RZ[Úroveň 7 bez koef. (P3a)]*RZ[[#This Row],[Počet MJCR (P0) pro "kg"]]</f>
        <v>0</v>
      </c>
      <c r="EZ94" s="135">
        <f ca="1">IF(OFFSET(BE94,1,0,1,1)&lt;&gt;0,RZ[[#This Row],[Koeficient odhadu CR '[-'] (P1)]]*$BN94*SUMIFS(RZ[Úroveň 8 s koef. (P3)],RZ[0],AX94,RZ[Úroveň 2 (P0)],AY94,RZ[Úroveň 3 (P0)],AZ94,RZ[Úroveň 4 (P0)],BA94,RZ[Úroveň 5 (P0)],BB94,RZ[Úroveň 6 (P0)],BC94,RZ[Úroveň 7 (P0)],BD94),RZ[[#This Row],[Koeficient odhadu CR '[-'] (P1)]]*$BN94*$IQ94)</f>
        <v>0</v>
      </c>
      <c r="FA94" s="135">
        <f ca="1">IF(OFFSET(BE94,1,0,1,1)&lt;&gt;0,$BN94*SUMIFS(RZ[Úroveň 8 bez koef. (P3)],RZ[0],AX94,RZ[Úroveň 2 (P0)],AY94,RZ[Úroveň 3 (P0)],AZ94,RZ[Úroveň 4 (P0)],BA94,RZ[Úroveň 5 (P0)],BB94,RZ[Úroveň 6 (P0)],BC94,RZ[Úroveň 7 (P0)],BD94),$BN94*$IQ94)</f>
        <v>0</v>
      </c>
      <c r="FB94" s="140">
        <f ca="1">RZ[[#This Row],[Úroveň 8 s koef. (P3a)]]*RZ[[#This Row],[Počet MJCR (P0) pro "kg"]]</f>
        <v>0</v>
      </c>
      <c r="FC94" s="140">
        <f ca="1">RZ[Úroveň 8 bez koef. (P3a)]*RZ[[#This Row],[Počet MJCR (P0) pro "kg"]]</f>
        <v>0</v>
      </c>
      <c r="FD94" s="140">
        <f ca="1">IF(OFFSET(BF94,1,0,1,1)&lt;&gt;0,RZ[[#This Row],[Koeficient odhadu CR '[-'] (P1)]]*$BO94*SUMIFS(RZ[Úroveň 9 s koef. (P3)],RZ[0],AX94,RZ[Úroveň 2 (P0)],AY94,RZ[Úroveň 3 (P0)],AZ94,RZ[Úroveň 4 (P0)],BA94,RZ[Úroveň 5 (P0)],BB94,RZ[Úroveň 6 (P0)],BC94,RZ[Úroveň 7 (P0)],BD94,RZ[Úroveň 8 (P0)],BE94),RZ[[#This Row],[Koeficient odhadu CR '[-'] (P1)]]*$BO94*$IQ94)</f>
        <v>0</v>
      </c>
      <c r="FE94" s="140">
        <f ca="1">IF(OFFSET(BF94,1,0,1,1)&lt;&gt;0,$BO94*SUMIFS(RZ[Úroveň 9 bez koef. (P3)],RZ[0],AX94,RZ[Úroveň 2 (P0)],AY94,RZ[Úroveň 3 (P0)],AZ94,RZ[Úroveň 4 (P0)],BA94,RZ[Úroveň 5 (P0)],BB94,RZ[Úroveň 6 (P0)],BC94,RZ[Úroveň 7 (P0)],BD94,RZ[Úroveň 8 (P0)],BE94),$BO94*$IQ94)</f>
        <v>0</v>
      </c>
      <c r="FF94" s="135">
        <f ca="1">RZ[[#This Row],[Úroveň 9 s koef. (P3a)]]*RZ[[#This Row],[Počet MJCR (P0) pro "kg"]]</f>
        <v>0</v>
      </c>
      <c r="FG94" s="135">
        <f ca="1">RZ[Úroveň 9 bez koef. (P3a)]*RZ[[#This Row],[Počet MJCR (P0) pro "kg"]]</f>
        <v>0</v>
      </c>
      <c r="FH94" s="135">
        <f ca="1">IF(OFFSET(BG94,1,0,1,1)&lt;&gt;0,RZ[[#This Row],[Koeficient odhadu CR '[-'] (P1)]]*$BP94*SUMIFS(RZ[Úroveň 10 s koef. (P3)],RZ[0],AX94,RZ[Úroveň 2 (P0)],AY94,RZ[Úroveň 3 (P0)],AZ94,RZ[Úroveň 4 (P0)],BA94,RZ[Úroveň 5 (P0)],BB94,RZ[Úroveň 6 (P0)],BC94,RZ[Úroveň 7 (P0)],BD94,RZ[Úroveň 8 (P0)],BE94,RZ[Úroveň 9 (P0)],BF94),RZ[[#This Row],[Koeficient odhadu CR '[-'] (P1)]]*$BP94*$IQ94)</f>
        <v>0</v>
      </c>
      <c r="FI94" s="135">
        <f ca="1">IF(OFFSET(BG94,1,0,1,1)&lt;&gt;0,$BP94*SUMIFS(RZ[Úroveň 10 bez koef. (P3)],RZ[0],AX94,RZ[Úroveň 2 (P0)],AY94,RZ[Úroveň 3 (P0)],AZ94,RZ[Úroveň 4 (P0)],BA94,RZ[Úroveň 5 (P0)],BB94,RZ[Úroveň 6 (P0)],BC94,RZ[Úroveň 7 (P0)],BD94,RZ[Úroveň 8 (P0)],BE94,RZ[Úroveň 9 (P0)],BF94),$BP94*$IQ94)</f>
        <v>0</v>
      </c>
      <c r="FJ94" s="140">
        <f ca="1">RZ[[#This Row],[Úroveň 10 s koef. (P3a)]]*RZ[[#This Row],[Počet MJCR (P0) pro "kg"]]</f>
        <v>0</v>
      </c>
      <c r="FK94" s="140">
        <f ca="1">RZ[Úroveň 10 bez koef. (P3a)]*RZ[[#This Row],[Počet MJCR (P0) pro "kg"]]</f>
        <v>0</v>
      </c>
      <c r="FL94" s="140">
        <f ca="1">RZ[[#This Row],[Koeficient odhadu CR '[-'] (P1)]]*$BQ94*IQ94</f>
        <v>0</v>
      </c>
      <c r="FM94" s="236">
        <f t="shared" ca="1" si="648"/>
        <v>0</v>
      </c>
      <c r="FN94" s="194">
        <f t="shared" ca="1" si="649"/>
        <v>140</v>
      </c>
      <c r="FO94" s="238">
        <f t="shared" ca="1" si="650"/>
        <v>140</v>
      </c>
      <c r="FP94" s="135">
        <f t="shared" ca="1" si="651"/>
        <v>0</v>
      </c>
      <c r="FQ94" s="135">
        <f t="shared" ca="1" si="652"/>
        <v>0</v>
      </c>
      <c r="FR94" s="135">
        <f t="shared" ca="1" si="653"/>
        <v>760</v>
      </c>
      <c r="FS94" s="135">
        <f t="shared" ca="1" si="654"/>
        <v>0</v>
      </c>
      <c r="FT94" s="135">
        <f t="shared" ca="1" si="655"/>
        <v>0</v>
      </c>
      <c r="FU94" s="135">
        <f t="shared" ca="1" si="656"/>
        <v>0</v>
      </c>
      <c r="FV94" s="135">
        <f t="shared" ca="1" si="657"/>
        <v>0</v>
      </c>
      <c r="FW94" s="135">
        <f t="shared" ca="1" si="658"/>
        <v>0</v>
      </c>
      <c r="FX94" s="135">
        <f t="shared" ca="1" si="659"/>
        <v>0</v>
      </c>
      <c r="FY94" s="135">
        <f t="shared" ca="1" si="660"/>
        <v>0</v>
      </c>
      <c r="FZ94" s="140">
        <f ca="1">SUMIFS(RZ[Úroveň 1 (P6)],RZ[0],AX94)</f>
        <v>1</v>
      </c>
      <c r="GA94" s="140">
        <f ca="1">SUMIFS(RZ[Úroveň 2 (P6)],RZ[0],AX94,RZ[Úroveň 2 (P0)],AY94)</f>
        <v>3</v>
      </c>
      <c r="GB94" s="140">
        <f ca="1">SUMIFS(RZ[Úroveň 3 (P6)],RZ[0],AX94,RZ[Úroveň 2 (P0)],AY94,RZ[Úroveň 3 (P0)],AZ94)</f>
        <v>760</v>
      </c>
      <c r="GC94" s="140">
        <f ca="1">SUMIFS(RZ[Úroveň 4 (P6)],RZ[0],AX94,RZ[Úroveň 2 (P0)],AY94,RZ[Úroveň 3 (P0)],AZ94,RZ[Úroveň 4 (P0)],BA94)</f>
        <v>0</v>
      </c>
      <c r="GD94" s="140">
        <f ca="1">SUMIFS(RZ[Úroveň 5 (P6)],RZ[0],AX94,RZ[Úroveň 2 (P0)],AY94,RZ[Úroveň 3 (P0)],AZ94,RZ[Úroveň 4 (P0)],BA94,RZ[Úroveň 5 (P0)],BB94)</f>
        <v>0</v>
      </c>
      <c r="GE94" s="140">
        <f ca="1">SUMIFS(RZ[Úroveň 6 (P6)],RZ[0],AX94,RZ[Úroveň 2 (P0)],AY94,RZ[Úroveň 3 (P0)],AZ94,RZ[Úroveň 4 (P0)],BA94,RZ[Úroveň 5 (P0)],BB94,RZ[Úroveň 6 (P0)],BC94)</f>
        <v>0</v>
      </c>
      <c r="GF94" s="140">
        <f ca="1">SUMIFS(RZ[Úroveň 7 (P6)],RZ[0],AX94,RZ[Úroveň 2 (P0)],AY94,RZ[Úroveň 3 (P0)],AZ94,RZ[Úroveň 4 (P0)],BA94,RZ[Úroveň 5 (P0)],BB94,RZ[Úroveň 6 (P0)],BC94,RZ[Úroveň 7 (P0)],BD94)</f>
        <v>0</v>
      </c>
      <c r="GG94" s="140">
        <f ca="1">SUMIFS(RZ[Úroveň 8 (P6)],RZ[0],AX94,RZ[Úroveň 2 (P0)],AY94,RZ[Úroveň 3 (P0)],AZ94,RZ[Úroveň 4 (P0)],BA94,RZ[Úroveň 5 (P0)],BB94,RZ[Úroveň 6 (P0)],BC94,RZ[Úroveň 7 (P0)],BD94,RZ[Úroveň 8 (P0)],BE94)</f>
        <v>0</v>
      </c>
      <c r="GH94" s="140">
        <f ca="1">SUMIFS(RZ[Úroveň 9 (P6)],RZ[0],AX94,RZ[Úroveň 2 (P0)],AY94,RZ[Úroveň 3 (P0)],AZ94,RZ[Úroveň 4 (P0)],BA94,RZ[Úroveň 5 (P0)],BB94,RZ[Úroveň 6 (P0)],BC94,RZ[Úroveň 7 (P0)],BD94,RZ[Úroveň 8 (P0)],BE94,RZ[Úroveň 9 (P0)],BF94)</f>
        <v>0</v>
      </c>
      <c r="GI94" s="140">
        <f ca="1">SUMIFS(RZ[Úroveň 10 (P6)],RZ[0],AX94,RZ[Úroveň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GJ94" s="918">
        <f t="shared" ca="1" si="661"/>
        <v>2280</v>
      </c>
      <c r="GK94" s="808">
        <f t="shared" si="662"/>
        <v>0</v>
      </c>
      <c r="GL94" s="808">
        <f t="shared" si="663"/>
        <v>0</v>
      </c>
      <c r="GM94" s="808">
        <f t="shared" si="664"/>
        <v>1</v>
      </c>
      <c r="GN94" s="808">
        <f t="shared" si="665"/>
        <v>0</v>
      </c>
      <c r="GO94" s="808">
        <f t="shared" si="666"/>
        <v>0</v>
      </c>
      <c r="GP94" s="808">
        <f t="shared" si="667"/>
        <v>0</v>
      </c>
      <c r="GQ94" s="808">
        <f t="shared" si="668"/>
        <v>0</v>
      </c>
      <c r="GR94" s="808">
        <f t="shared" si="669"/>
        <v>0</v>
      </c>
      <c r="GS94" s="808">
        <f t="shared" si="670"/>
        <v>0</v>
      </c>
      <c r="GT94" s="808">
        <f t="shared" si="671"/>
        <v>0</v>
      </c>
      <c r="GU94" s="809">
        <f ca="1">SUMIFS(RZ[Sloupec1],RZ[0],AX94)</f>
        <v>1</v>
      </c>
      <c r="GV94" s="809">
        <f ca="1">SUMIFS(RZ[Sloupec2],RZ[0],AX94,RZ[Úroveň 2 (P0)],AY94)</f>
        <v>1</v>
      </c>
      <c r="GW94" s="809">
        <f ca="1">SUMIFS(RZ[Sloupec3],RZ[0],AX94,RZ[Úroveň 2 (P0)],AY94,RZ[Úroveň 3 (P0)],AZ94)</f>
        <v>1</v>
      </c>
      <c r="GX94" s="809">
        <f ca="1">SUMIFS(RZ[Sloupec4],RZ[0],AX94,RZ[Úroveň 2 (P0)],AY94,RZ[Úroveň 3 (P0)],AZ94,RZ[Úroveň 4 (P0)],BA94)</f>
        <v>0</v>
      </c>
      <c r="GY94" s="809">
        <f ca="1">SUMIFS(RZ[Sloupec5],RZ[0],AX94,RZ[Úroveň 2 (P0)],AY94,RZ[Úroveň 3 (P0)],AZ94,RZ[Úroveň 4 (P0)],BA94,RZ[Úroveň 5 (P0)],BB94)</f>
        <v>0</v>
      </c>
      <c r="GZ94" s="809">
        <f ca="1">SUMIFS(RZ[Sloupec6],RZ[0],AX94,RZ[Úroveň 2 (P0)],AY94,RZ[Úroveň 3 (P0)],AZ94,RZ[Úroveň 4 (P0)],BA94,RZ[Úroveň 5 (P0)],BB94,RZ[Úroveň 6 (P0)],BC94)</f>
        <v>0</v>
      </c>
      <c r="HA94" s="809">
        <f ca="1">SUMIFS(RZ[Sloupec62],RZ[0],AX94,RZ[Úroveň 2 (P0)],AY94,RZ[Úroveň 3 (P0)],AZ94,RZ[Úroveň 4 (P0)],BA94,RZ[Úroveň 5 (P0)],BB94,RZ[Úroveň 6 (P0)],BC94,RZ[Úroveň 7 (P0)],BD94)</f>
        <v>0</v>
      </c>
      <c r="HB94" s="809">
        <f ca="1">SUMIFS(RZ[Sloupec63],RZ[0],AX94,RZ[Úroveň 2 (P0)],AY94,RZ[Úroveň 3 (P0)],AZ94,RZ[Úroveň 4 (P0)],BA94,RZ[Úroveň 5 (P0)],BB94,RZ[Úroveň 6 (P0)],BC94,RZ[Úroveň 7 (P0)],BD94,RZ[Úroveň 8 (P0)],BE94)</f>
        <v>0</v>
      </c>
      <c r="HC94" s="809">
        <f ca="1">SUMIFS(RZ[Sloupec64],RZ[0],AX94,RZ[Úroveň 2 (P0)],AY94,RZ[Úroveň 3 (P0)],AZ94,RZ[Úroveň 4 (P0)],BA94,RZ[Úroveň 5 (P0)],BB94,RZ[Úroveň 6 (P0)],BC94,RZ[Úroveň 7 (P0)],BD94,RZ[Úroveň 8 (P0)],BE94,RZ[Úroveň 9 (P0)],BF94)</f>
        <v>0</v>
      </c>
      <c r="HD94" s="809">
        <f ca="1">SUMIFS(RZ[Sloupec65],RZ[0],AX94,RZ[Úroveň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HE94" s="919">
        <f t="shared" ca="1" si="672"/>
        <v>1</v>
      </c>
      <c r="HF94" s="920" t="str">
        <f t="shared" si="673"/>
        <v/>
      </c>
      <c r="HG94" s="94" t="str">
        <f t="shared" si="674"/>
        <v/>
      </c>
      <c r="HH94" s="95" t="str">
        <f t="shared" si="675"/>
        <v/>
      </c>
      <c r="HI94" s="95" t="str">
        <f t="shared" si="676"/>
        <v>Díl nákolku</v>
      </c>
      <c r="HJ94" s="96" t="str">
        <f t="shared" si="677"/>
        <v/>
      </c>
      <c r="HK94" s="96" t="str">
        <f t="shared" si="678"/>
        <v/>
      </c>
      <c r="HL94" s="96" t="str">
        <f t="shared" si="679"/>
        <v/>
      </c>
      <c r="HM94" s="96" t="str">
        <f t="shared" si="680"/>
        <v/>
      </c>
      <c r="HN94" s="96" t="str">
        <f t="shared" si="681"/>
        <v/>
      </c>
      <c r="HO94" s="96" t="str">
        <f t="shared" si="682"/>
        <v/>
      </c>
      <c r="HP94" s="96" t="str">
        <f t="shared" si="683"/>
        <v/>
      </c>
      <c r="HQ94" s="145" t="str">
        <f t="shared" si="684"/>
        <v>OKS1</v>
      </c>
      <c r="HR94" s="921" t="str">
        <f t="shared" si="685"/>
        <v/>
      </c>
      <c r="HS94" s="173">
        <f t="shared" si="686"/>
        <v>0</v>
      </c>
      <c r="HT94" s="100">
        <f t="shared" si="687"/>
        <v>0</v>
      </c>
      <c r="HU94" s="100">
        <f t="shared" si="688"/>
        <v>0</v>
      </c>
      <c r="HV94" s="908">
        <f t="shared" si="689"/>
        <v>0</v>
      </c>
      <c r="HW94" s="922">
        <f t="shared" si="690"/>
        <v>0</v>
      </c>
      <c r="HX94" s="224">
        <f t="shared" si="691"/>
        <v>0</v>
      </c>
      <c r="HY94" s="263" t="str">
        <f t="shared" si="692"/>
        <v>S</v>
      </c>
      <c r="HZ94" s="263">
        <f t="shared" si="693"/>
        <v>0</v>
      </c>
      <c r="IA94" s="150">
        <f t="shared" si="694"/>
        <v>1</v>
      </c>
      <c r="IB94" s="319">
        <f t="shared" si="695"/>
        <v>0</v>
      </c>
      <c r="IC94" s="923">
        <f t="shared" si="696"/>
        <v>0</v>
      </c>
      <c r="ID94" s="924" t="str">
        <f t="shared" ca="1" si="697"/>
        <v>OK</v>
      </c>
      <c r="IE94" s="201" t="str">
        <f t="shared" si="698"/>
        <v>ks</v>
      </c>
      <c r="IF94" s="145">
        <f t="shared" si="699"/>
        <v>2</v>
      </c>
      <c r="IG94" s="216">
        <f t="shared" si="700"/>
        <v>380</v>
      </c>
      <c r="IH94" s="217">
        <f t="shared" si="701"/>
        <v>1</v>
      </c>
      <c r="II94" s="224" t="str">
        <f ca="1">IF(RZ[[#This Row],[Rozhodný sloupec indikativní ceny]]=1,"kg",IF($IW94=$JL$15,IF(JX94=0,JO94,JX94),IF($IW94=$KE$15,IF(KQ94=0,KH94,KQ94),IF($IW94=$KX$15,IF(LJ94=0,LA94,LJ94),IF($IW94=$LQ$15,IF(MC94=0,LT94,MC94),IF($IW94=$MJ$15,IF(NQ94=0,NH94,NQ94),0))))))</f>
        <v>kg</v>
      </c>
      <c r="IJ94" s="224">
        <f ca="1">IF((BH94+OFFSET(BH94,1,1,1,1))=2,RZ[[#This Row],[Počet MJHR (P0)]],IF((BI94+OFFSET(BI94,1,1,1,1))=2,RZ[[#This Row],[Počet MJHR (P0)]],IF((BJ94+OFFSET(BJ94,1,1,1,1))=2,RZ[[#This Row],[Počet MJHR (P0)]],IF((BK94+OFFSET(BK94,1,1,1,1))=2,RZ[[#This Row],[Počet MJHR (P0)]],IF((BL94+OFFSET(BL94,1,1,1,1))=2,RZ[[#This Row],[Počet MJHR (P0)]],IF((BM94+OFFSET(BM94,1,1,1,1))=2,RZ[[#This Row],[Počet MJHR (P0)]],IF((BN94+OFFSET(BN94,1,1,1,1))=2,RZ[[#This Row],[Počet MJHR (P0)]],IF((BO94+OFFSET(BO94,1,1,1,1))=2,RZ[[#This Row],[Počet MJHR (P0)]],IF((BP94+OFFSET(BP94,1,1,1,1))=2,RZ[[#This Row],[Počet MJHR (P0)]],IF((BQ94+OFFSET(BQ94,1,1,1,1))=2,RZ[[#This Row],[Počet MJHR (P0)]],IF(RZ[[#This Row],[Měrná jednotka CR (MJCR) (P0)]]=RZ[[#This Row],[Měrná jednotka HR '[MJHR'] (P0)]],RZ[[#This Row],[Počet MJHR (P0)]],IF($IW94=$JL$15,JY94,IF($IW94=$KE$15,KR94,IF($IW94=$KX$15,LK94,IF($IW94=$LQ$15,MD94,IF($IW94=$MJ$15,NR94,0))))))))))))))))</f>
        <v>0</v>
      </c>
      <c r="IK9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760</v>
      </c>
      <c r="IL94" s="145">
        <f ca="1">IF(AND(RZ[[#This Row],[Jednotková cena bez DPH '[cena/MJCR'] (P0)]]=0,RZ[[#This Row],[Indikativní jednotková cena '[CZK/kg'] (P1)]]&lt;&gt;0),1,0)</f>
        <v>1</v>
      </c>
      <c r="IM94" s="217">
        <f ca="1">VLOOKUP(RZ[[#This Row],[Kód položek]],INDIKAT_CENA,2,FALSE)</f>
        <v>140</v>
      </c>
      <c r="IN94" s="222">
        <f ca="1">IF(RZ[[#This Row],[Rozhodný sloupec indikativní ceny]]=1,RZ[[#This Row],[Indikativní jednotková cena '[CZK/kg'] (P1)]],RZ[[#This Row],[Jednotková cena bez DPH '[cena/MJCR'] (P0)]])</f>
        <v>140</v>
      </c>
      <c r="IO94" s="222">
        <f t="shared" si="702"/>
        <v>1</v>
      </c>
      <c r="IP94" s="224">
        <f ca="1">IF(RZ[[#This Row],[Rozhodný sloupec indikativní ceny]]=1,1,IF($IW94=$JL$15,KA94,IF($IW94=$KE$15,KT94,IF($IW94=$KX$15,LM94,IF($IW94=$LQ$15,MF94,IF($IW94=$MJ$15,NT94,0))))))</f>
        <v>1</v>
      </c>
      <c r="IQ94" s="225">
        <f ca="1">IF(RZ[[#This Row],[Jednotková cena bez DPH '[cena/MJCR'] (P1)]]="",0,IF(IP94=0,0,(RZ[[#This Row],[Jednotková cena bez DPH '[cena/MJCR'] (P1)]]*VLOOKUP(IP94,$BR$7:$BT$10,3))))</f>
        <v>140</v>
      </c>
      <c r="IR94" s="737"/>
      <c r="IS94" s="627">
        <f>IF(HY94=0,"",VLOOKUP(RZ[[#This Row],[Stav Projekce (P0)]],Vstupy!$E$11:'Vstupy'!$E$11:$H$17,4,FALSE))</f>
        <v>100</v>
      </c>
      <c r="IT94" s="925" t="str">
        <f>IF(RZ[[#This Row],[Stav Projekce (P0)]]=0,"",RZ[[#This Row],[Stav Projekce (P0)]])</f>
        <v>S</v>
      </c>
      <c r="IU94" s="925" t="str">
        <f>IF(RZ[[#This Row],[Stav Nákup (P0)]]=0,"",RZ[[#This Row],[Stav Nákup (P0)]])</f>
        <v/>
      </c>
      <c r="IV94" s="926" t="str">
        <f t="shared" si="703"/>
        <v/>
      </c>
      <c r="IW94" s="641">
        <v>1</v>
      </c>
      <c r="IX94" s="630"/>
      <c r="IY94" s="264"/>
      <c r="IZ94" s="648"/>
      <c r="JA94" s="100"/>
      <c r="JB94" s="100" t="s">
        <v>765</v>
      </c>
      <c r="JC94" s="100"/>
      <c r="JD94" s="100"/>
      <c r="JE94" s="100"/>
      <c r="JF94" s="100"/>
      <c r="JG94" s="100"/>
      <c r="JH94" s="100"/>
      <c r="JI94" s="100"/>
      <c r="JJ94" s="145" t="s">
        <v>764</v>
      </c>
      <c r="JK94" s="529"/>
      <c r="JL94" s="286"/>
      <c r="JM94" s="100"/>
      <c r="JN94" s="100"/>
      <c r="JO94" s="145" t="s">
        <v>35</v>
      </c>
      <c r="JP94" s="117">
        <v>2</v>
      </c>
      <c r="JQ94" s="117">
        <v>380</v>
      </c>
      <c r="JR94" s="148">
        <v>1</v>
      </c>
      <c r="JS94" s="145" t="s">
        <v>602</v>
      </c>
      <c r="JT94" s="631"/>
      <c r="JU94" s="148"/>
      <c r="JV94" s="154"/>
      <c r="JW94" s="145"/>
      <c r="JX94" s="210"/>
      <c r="JY94" s="117"/>
      <c r="JZ94" s="662"/>
      <c r="KA94" s="145"/>
      <c r="KB94" s="148"/>
      <c r="KC94" s="148"/>
      <c r="KD94" s="644"/>
      <c r="KE94" s="286"/>
      <c r="KF94" s="100"/>
      <c r="KG94" s="100"/>
      <c r="KH94" s="210"/>
      <c r="KI94" s="117"/>
      <c r="KJ94" s="117"/>
      <c r="KK94" s="148"/>
      <c r="KL94" s="145"/>
      <c r="KM94" s="632"/>
      <c r="KN94" s="148"/>
      <c r="KO94" s="154"/>
      <c r="KP94" s="154"/>
      <c r="KQ94" s="210"/>
      <c r="KR94" s="117"/>
      <c r="KS94" s="211"/>
      <c r="KT94" s="145"/>
      <c r="KU94" s="148"/>
      <c r="KV94" s="148"/>
      <c r="KW94" s="265"/>
      <c r="KX94" s="286"/>
      <c r="KY94" s="100"/>
      <c r="KZ94" s="100"/>
      <c r="LA94" s="210"/>
      <c r="LB94" s="117"/>
      <c r="LC94" s="117"/>
      <c r="LD94" s="148"/>
      <c r="LE94" s="145"/>
      <c r="LF94" s="632"/>
      <c r="LG94" s="148"/>
      <c r="LH94" s="154"/>
      <c r="LI94" s="154"/>
      <c r="LJ94" s="154"/>
      <c r="LK94" s="117"/>
      <c r="LL94" s="211"/>
      <c r="LM94" s="210"/>
      <c r="LN94" s="148"/>
      <c r="LO94" s="148"/>
      <c r="LP94" s="265"/>
      <c r="LQ94" s="286"/>
      <c r="LR94" s="100"/>
      <c r="LS94" s="100"/>
      <c r="LT94" s="210"/>
      <c r="LU94" s="117"/>
      <c r="LV94" s="117"/>
      <c r="LW94" s="148"/>
      <c r="LX94" s="145"/>
      <c r="LY94" s="632"/>
      <c r="LZ94" s="148"/>
      <c r="MA94" s="154"/>
      <c r="MB94" s="154"/>
      <c r="MC94" s="145"/>
      <c r="MD94" s="117"/>
      <c r="ME94" s="211"/>
      <c r="MF94" s="210"/>
      <c r="MG94" s="148"/>
      <c r="MH94" s="148"/>
      <c r="MI94" s="265"/>
      <c r="MJ94" s="647"/>
      <c r="MK94" s="264"/>
      <c r="ML94" s="153"/>
      <c r="MM94" s="153"/>
      <c r="MN94" s="153"/>
      <c r="MO94" s="153"/>
      <c r="MP94" s="153"/>
      <c r="MQ94" s="153"/>
      <c r="MR94" s="153"/>
      <c r="MS94" s="99"/>
      <c r="MT94" s="99"/>
      <c r="MU94" s="99"/>
      <c r="MV94" s="99"/>
      <c r="MW94" s="99"/>
      <c r="MX94" s="99"/>
      <c r="MY94" s="153"/>
      <c r="MZ94" s="153"/>
      <c r="NA94" s="153"/>
      <c r="NB94" s="153"/>
      <c r="NC94" s="153"/>
      <c r="ND94" s="153"/>
      <c r="NE94" s="148"/>
      <c r="NF94" s="153"/>
      <c r="NG94" s="153"/>
      <c r="NH94" s="330" t="str">
        <f t="shared" si="704"/>
        <v>ks</v>
      </c>
      <c r="NI94" s="797">
        <f>RZ[[#This Row],[Počet ks (K)]]</f>
        <v>0</v>
      </c>
      <c r="NJ94" s="798">
        <f>RZ[[#This Row],[Hmotnost '[kg/ks'] (K)]]</f>
        <v>0</v>
      </c>
      <c r="NK94" s="148"/>
      <c r="NL94" s="145"/>
      <c r="NM94" s="632"/>
      <c r="NN94" s="148"/>
      <c r="NO94" s="154"/>
      <c r="NP94" s="153"/>
      <c r="NQ94" s="153"/>
      <c r="NR94" s="210"/>
      <c r="NS94" s="148"/>
      <c r="NT94" s="210"/>
      <c r="NU94" s="148"/>
      <c r="NV94" s="148"/>
      <c r="NW94" s="175"/>
    </row>
    <row r="95" spans="2:387" ht="15.95" customHeight="1" x14ac:dyDescent="0.35">
      <c r="B95" s="118" t="str">
        <f t="shared" si="597"/>
        <v/>
      </c>
      <c r="C9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5" s="262" t="str">
        <f t="shared" si="598"/>
        <v xml:space="preserve">    Spojovací materiál</v>
      </c>
      <c r="E95" s="120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Row],[Kód položek (P2)]]))))))))))</f>
        <v>STSM</v>
      </c>
      <c r="F95" s="791" t="str">
        <f t="shared" si="599"/>
        <v>N/A</v>
      </c>
      <c r="G95" s="792" t="str">
        <f t="shared" si="600"/>
        <v/>
      </c>
      <c r="H95" s="262" t="str">
        <f t="shared" si="601"/>
        <v/>
      </c>
      <c r="I95" s="123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HR '[MJHR'] (P0)]]))))))))))</f>
        <v>ks</v>
      </c>
      <c r="J95" s="123">
        <f t="shared" si="602"/>
        <v>1</v>
      </c>
      <c r="K95" s="793">
        <f>RZ[[#This Row],[Koeficient odhadu HR '[-'] (P1)]]</f>
        <v>1</v>
      </c>
      <c r="L95" s="124">
        <f ca="1">RZ[[#This Row],[Jednotková hmotnost s koef. '[kg/MJHR'] (P0)]]</f>
        <v>58.24</v>
      </c>
      <c r="M95" s="794">
        <f t="shared" ca="1" si="603"/>
        <v>0</v>
      </c>
      <c r="N95" s="125">
        <f t="shared" ca="1" si="604"/>
        <v>58.24</v>
      </c>
      <c r="O95" s="125">
        <f t="shared" ca="1" si="605"/>
        <v>0</v>
      </c>
      <c r="P95" s="126" t="str">
        <f t="shared" si="606"/>
        <v/>
      </c>
      <c r="Q95" s="795">
        <f ca="1">RZ[[#This Row],[Počet MJHR v rozpadu (P0)]]</f>
        <v>3</v>
      </c>
      <c r="R95" s="439" t="str">
        <f t="shared" si="607"/>
        <v/>
      </c>
      <c r="S95" s="129" t="str">
        <f t="shared" si="608"/>
        <v/>
      </c>
      <c r="T95" s="126" t="str">
        <f t="shared" si="609"/>
        <v/>
      </c>
      <c r="U95" s="126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CR (MJCR) (P0)]]))))))))))</f>
        <v>kg</v>
      </c>
      <c r="V95" s="575">
        <f t="shared" ca="1" si="610"/>
        <v>58.24</v>
      </c>
      <c r="W95" s="322">
        <f>RZ[[#This Row],[Koeficient odhadu CR '[-'] (P1)]]</f>
        <v>1</v>
      </c>
      <c r="X95" s="440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Row],[Jednotková cena bez DPH '[cena/MJCR'] (P1)]]*RZ[[#This Row],[Koeficient odhadu CR '[-']]]))))))))))</f>
        <v>110</v>
      </c>
      <c r="Y95" s="440">
        <f t="shared" ca="1" si="611"/>
        <v>0</v>
      </c>
      <c r="Z95" s="142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VLOOKUP(IP95,$BR$7:$BS$11,2,FALSE)))))))))))</f>
        <v>CZK</v>
      </c>
      <c r="AA95" s="909">
        <f t="shared" ca="1" si="612"/>
        <v>174.72</v>
      </c>
      <c r="AB95" s="910">
        <f ca="1">RZ[[#This Row],[Kumulovaný koeficient v rozpadu (P0)]]</f>
        <v>1</v>
      </c>
      <c r="AC95" s="261"/>
      <c r="AD95" s="796">
        <f ca="1">RZ[[#This Row],[Jednotková cena bez DPH '[cena/MJCR'] s koef. (P0)]]/RZ[[#This Row],[Koeficient odhadu CR '[-']]]*RZ[[#This Row],[Kumulovaný koeficient odhadu CR  '[-']]]</f>
        <v>110</v>
      </c>
      <c r="AE95" s="796">
        <f t="shared" ca="1" si="613"/>
        <v>19219.2</v>
      </c>
      <c r="AF95" s="796">
        <f ca="1">-IF(ISNUMBER(AA95),RZ[[#This Row],[Celková cena bez DPH (1)]]-RZ[[#This Row],[Jednotková cena bez DPH '[cena/MJCR'] bez koef. (P0)]]*AA95,0)</f>
        <v>0</v>
      </c>
      <c r="AG9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5" s="261"/>
      <c r="AI95" s="796">
        <f ca="1">AD95/VLOOKUP($AJ$13,KURZY,3,FALSE)</f>
        <v>4.0740740740740744</v>
      </c>
      <c r="AJ95" s="796">
        <f ca="1">AE95/VLOOKUP($AJ$13,KURZY,3,FALSE)*IF(V95="",0,1)</f>
        <v>711.82222222222219</v>
      </c>
      <c r="AK95" s="796">
        <f ca="1">AF95/VLOOKUP($AJ$13,KURZY,3,FALSE)</f>
        <v>0</v>
      </c>
      <c r="AL95" s="753">
        <f ca="1">RZ[[#This Row],[Kilogramová cena bez DPH '[cena/kg'] (1)]]/$AK$13</f>
        <v>4.0740740740740744</v>
      </c>
      <c r="AM95" s="261"/>
      <c r="AN95" s="796">
        <f ca="1">AD95/VLOOKUP($AO$13,KURZY,3,FALSE)</f>
        <v>5.3140096618357493</v>
      </c>
      <c r="AO95" s="796">
        <f ca="1">AE95/VLOOKUP($AO$13,KURZY,3,FALSE)*IF(V95="",0,1)</f>
        <v>928.46376811594212</v>
      </c>
      <c r="AP95" s="796">
        <f ca="1">AF95/VLOOKUP($AO$13,KURZY,3,FALSE)</f>
        <v>0</v>
      </c>
      <c r="AQ95" s="753">
        <f ca="1">RZ[[#This Row],[Kilogramová cena bez DPH '[cena/kg'] (1)]]/$AP$13</f>
        <v>5.3140096618357493</v>
      </c>
      <c r="AR95" s="261"/>
      <c r="AS95" s="796">
        <f ca="1">AD95/VLOOKUP($AT$13,KURZY,3,FALSE)</f>
        <v>3.0087527352297592</v>
      </c>
      <c r="AT95" s="796">
        <f ca="1">AE95/VLOOKUP($AT$13,KURZY,3,FALSE)*IF(V95="",0,1)</f>
        <v>525.68927789934355</v>
      </c>
      <c r="AU95" s="789">
        <f ca="1">AF95/VLOOKUP($AT$13,KURZY,3,FALSE)</f>
        <v>0</v>
      </c>
      <c r="AV95" s="767">
        <f ca="1">RZ[[#This Row],[Kilogramová cena bez DPH '[cena/kg'] (1)]]/$AU$13</f>
        <v>3.0087527352297592</v>
      </c>
      <c r="AW95" s="165"/>
      <c r="AX95" s="911">
        <f t="shared" ca="1" si="614"/>
        <v>2</v>
      </c>
      <c r="AY95" s="111">
        <f t="shared" ca="1" si="615"/>
        <v>4</v>
      </c>
      <c r="AZ95" s="111">
        <f t="shared" ca="1" si="616"/>
        <v>3</v>
      </c>
      <c r="BA95" s="111">
        <f t="shared" ca="1" si="617"/>
        <v>0</v>
      </c>
      <c r="BB95" s="111">
        <f t="shared" ca="1" si="618"/>
        <v>0</v>
      </c>
      <c r="BC95" s="111">
        <f t="shared" ca="1" si="619"/>
        <v>0</v>
      </c>
      <c r="BD95" s="111">
        <f t="shared" ca="1" si="620"/>
        <v>0</v>
      </c>
      <c r="BE95" s="111">
        <f t="shared" ca="1" si="621"/>
        <v>0</v>
      </c>
      <c r="BF95" s="111">
        <f t="shared" ca="1" si="622"/>
        <v>0</v>
      </c>
      <c r="BG95" s="112">
        <f t="shared" ca="1" si="623"/>
        <v>0</v>
      </c>
      <c r="BH95" s="911">
        <f t="shared" si="624"/>
        <v>0</v>
      </c>
      <c r="BI95" s="111">
        <f t="shared" si="625"/>
        <v>0</v>
      </c>
      <c r="BJ95" s="111">
        <f t="shared" si="626"/>
        <v>1</v>
      </c>
      <c r="BK95" s="111">
        <f t="shared" si="627"/>
        <v>0</v>
      </c>
      <c r="BL95" s="111">
        <f t="shared" si="628"/>
        <v>0</v>
      </c>
      <c r="BM95" s="111">
        <f t="shared" si="629"/>
        <v>0</v>
      </c>
      <c r="BN95" s="111">
        <f t="shared" si="630"/>
        <v>0</v>
      </c>
      <c r="BO95" s="111">
        <f t="shared" si="631"/>
        <v>0</v>
      </c>
      <c r="BP95" s="111">
        <f t="shared" si="632"/>
        <v>0</v>
      </c>
      <c r="BQ95" s="112">
        <f t="shared" si="633"/>
        <v>0</v>
      </c>
      <c r="BR95" s="132">
        <f ca="1">IF(OFFSET(AY95,1,0,1,1)&lt;&gt;0,RZ[[#This Row],[Koeficient odhadu HR '[-'] (P1)]]*$BH95*SUMIFS(RZ[Úroveň 2 s koef. (P2)],RZ[0],AX95),RZ[[#This Row],[Koeficient odhadu HR '[-'] (P1)]]*$BH95*$IG95)</f>
        <v>0</v>
      </c>
      <c r="BS95" s="186">
        <f ca="1">IF(OFFSET(AY95,1,0,1,1)&lt;&gt;0,$BH95*SUMIFS(RZ[Úroveň 2 bez koef. (P2)],RZ[0],AX95),$BH95*$IG95)</f>
        <v>0</v>
      </c>
      <c r="BT95" s="138">
        <f ca="1">RZ[[#This Row],[Úroveň 2 s koef. (P2a)]]*RZ[[#This Row],[Počet MJHR (P0)]]</f>
        <v>0</v>
      </c>
      <c r="BU95" s="138">
        <f ca="1">RZ[[#This Row],[Úroveň 2 bez koef. (P2a)]]*RZ[[#This Row],[Počet MJHR (P0)]]</f>
        <v>0</v>
      </c>
      <c r="BV95" s="138">
        <f ca="1">IF(OFFSET(AZ95,1,0,1,1)&lt;&gt;0,RZ[[#This Row],[Koeficient odhadu HR '[-'] (P1)]]*$BI95*SUMIFS(RZ[Úroveň 3 s koef. (P2)],RZ[0],AX95,RZ[Úroveň 2 (P0)],AY95),RZ[[#This Row],[Koeficient odhadu HR '[-'] (P1)]]*$BI95*$IG95)</f>
        <v>0</v>
      </c>
      <c r="BW95" s="138">
        <f ca="1">IF(OFFSET(AZ95,1,0,1,1)&lt;&gt;0,$BI95*SUMIFS(RZ[Úroveň 3 bez koef. (P2)],RZ[0],AX95,RZ[Úroveň 2 (P0)],AY95),$BI95*$IG95)</f>
        <v>0</v>
      </c>
      <c r="BX95" s="132">
        <f ca="1">RZ[[#This Row],[Úroveň 3 s koef. (P2a)]]*RZ[[#This Row],[Počet MJHR (P0)]]</f>
        <v>58.24</v>
      </c>
      <c r="BY95" s="132">
        <f ca="1">RZ[Úroveň 3 bez koef. (P2a)]*RZ[[#This Row],[Počet MJHR (P0)]]</f>
        <v>58.24</v>
      </c>
      <c r="BZ95" s="132">
        <f ca="1">IF(OFFSET(BA95,1,0,1,1)&lt;&gt;0,RZ[[#This Row],[Koeficient odhadu HR '[-'] (P1)]]*$BJ95*SUMIFS(RZ[Úroveň 4 s koef. (P2)],RZ[0],AX95,RZ[Úroveň 2 (P0)],AY95,RZ[Úroveň 3 (P0)],AZ95),RZ[[#This Row],[Koeficient odhadu HR '[-'] (P1)]]*$BJ95*$IG95)</f>
        <v>58.24</v>
      </c>
      <c r="CA95" s="132">
        <f ca="1">IF(OFFSET(BA95,1,0,1,1)&lt;&gt;0,$BJ95*SUMIFS(RZ[Úroveň 4 bez koef. (P2)],RZ[0],AX95,RZ[Úroveň 2 (P0)],AY95,RZ[Úroveň 3 (P0)],AZ95),$BJ95*$IG95)</f>
        <v>58.24</v>
      </c>
      <c r="CB95" s="138">
        <f ca="1">RZ[[#This Row],[Úroveň 4 s koef. (P2a)]]*RZ[[#This Row],[Počet MJHR (P0)]]</f>
        <v>0</v>
      </c>
      <c r="CC95" s="138">
        <f ca="1">RZ[Úroveň 4 bez koef. (P2a)]*RZ[[#This Row],[Počet MJHR (P0)]]</f>
        <v>0</v>
      </c>
      <c r="CD95" s="138">
        <f ca="1">IF(OFFSET(BB95,1,0,1,1)&lt;&gt;0,RZ[[#This Row],[Koeficient odhadu HR '[-'] (P1)]]*$BK95*SUMIFS(RZ[Úroveň 5 s koef. (P2)],RZ[0],AX95,RZ[Úroveň 2 (P0)],AY95,RZ[Úroveň 3 (P0)],AZ95,RZ[Úroveň 4 (P0)],BA95),RZ[[#This Row],[Koeficient odhadu HR '[-'] (P1)]]*$BK95*$IG95)</f>
        <v>0</v>
      </c>
      <c r="CE95" s="138">
        <f ca="1">IF(OFFSET(BB95,1,0,1,1)&lt;&gt;0,$BK95*SUMIFS(RZ[Úroveň 5 bez koef. (P2)],RZ[0],AX95,RZ[Úroveň 2 (P0)],AY95,RZ[Úroveň 3 (P0)],AZ95,RZ[Úroveň 4 (P0)],BA95),$BK95*$IG95)</f>
        <v>0</v>
      </c>
      <c r="CF95" s="132">
        <f ca="1">RZ[[#This Row],[Úroveň 5 s koef. (P2a)]]*RZ[[#This Row],[Počet MJHR (P0)]]</f>
        <v>0</v>
      </c>
      <c r="CG95" s="132">
        <f ca="1">RZ[Úroveň 5 bez koef. (P2a)]*RZ[[#This Row],[Počet MJHR (P0)]]</f>
        <v>0</v>
      </c>
      <c r="CH95" s="132">
        <f ca="1">IF(OFFSET(BC95,1,0,1,1)&lt;&gt;0,RZ[[#This Row],[Koeficient odhadu HR '[-'] (P1)]]*$BL95*SUMIFS(RZ[Úroveň 6 s koef. (P2)],RZ[0],AX95,RZ[Úroveň 2 (P0)],AY95,RZ[Úroveň 3 (P0)],AZ95,RZ[Úroveň 4 (P0)],BA95,RZ[Úroveň 5 (P0)],BB95),RZ[[#This Row],[Koeficient odhadu HR '[-'] (P1)]]*$BL95*$IG95)</f>
        <v>0</v>
      </c>
      <c r="CI95" s="132">
        <f ca="1">IF(OFFSET(BC95,1,0,1,1)&lt;&gt;0,$BL95*SUMIFS(RZ[Úroveň 6 bez koef. (P2)],RZ[0],AX95,RZ[Úroveň 2 (P0)],AY95,RZ[Úroveň 3 (P0)],AZ95,RZ[Úroveň 4 (P0)],BA95,RZ[Úroveň 5 (P0)],BB95),$BL95*$IG95)</f>
        <v>0</v>
      </c>
      <c r="CJ95" s="138">
        <f ca="1">RZ[[#This Row],[Úroveň 6 s koef. (P2a)]]*RZ[[#This Row],[Počet MJHR (P0)]]</f>
        <v>0</v>
      </c>
      <c r="CK95" s="138">
        <f ca="1">RZ[Úroveň 6 bez koef. (P2a)]*RZ[[#This Row],[Počet MJHR (P0)]]</f>
        <v>0</v>
      </c>
      <c r="CL95" s="138">
        <f ca="1">IF(OFFSET(BD95,1,0,1,1)&lt;&gt;0,RZ[[#This Row],[Koeficient odhadu HR '[-'] (P1)]]*$BM95*SUMIFS(RZ[Úroveň 7 s koef. (P2)],RZ[0],AX95,RZ[Úroveň 2 (P0)],AY95,RZ[Úroveň 3 (P0)],AZ95,RZ[Úroveň 4 (P0)],BA95,RZ[Úroveň 5 (P0)],BB95,RZ[Úroveň 6 (P0)],BC95),RZ[[#This Row],[Koeficient odhadu HR '[-'] (P1)]]*$BM95*$IG95)</f>
        <v>0</v>
      </c>
      <c r="CM95" s="138">
        <f ca="1">IF(OFFSET(BD95,1,0,1,1)&lt;&gt;0,$BM95*SUMIFS(RZ[Úroveň 7 bez koef. (P2)],RZ[0],AX95,RZ[Úroveň 2 (P0)],AY95,RZ[Úroveň 3 (P0)],AZ95,RZ[Úroveň 4 (P0)],BA95,RZ[Úroveň 5 (P0)],BB95,RZ[Úroveň 6 (P0)],BC95),$BM95*$IG95)</f>
        <v>0</v>
      </c>
      <c r="CN95" s="132">
        <f ca="1">RZ[[#This Row],[Úroveň 7 s koef. (P2a)]]*RZ[[#This Row],[Počet MJHR (P0)]]</f>
        <v>0</v>
      </c>
      <c r="CO95" s="132">
        <f ca="1">RZ[Úroveň 7 bez koef. (P2a)]*RZ[[#This Row],[Počet MJHR (P0)]]</f>
        <v>0</v>
      </c>
      <c r="CP95" s="132">
        <f ca="1">IF(OFFSET(BE95,1,0,1,1)&lt;&gt;0,RZ[[#This Row],[Koeficient odhadu HR '[-'] (P1)]]*$BN95*SUMIFS(RZ[Úroveň 8 s koef. (P2)],RZ[0],AX95,RZ[Úroveň 2 (P0)],AY95,RZ[Úroveň 3 (P0)],AZ95,RZ[Úroveň 4 (P0)],BA95,RZ[Úroveň 5 (P0)],BB95,RZ[Úroveň 6 (P0)],BC95,RZ[Úroveň 7 (P0)],BD95),RZ[[#This Row],[Koeficient odhadu HR '[-'] (P1)]]*$BN95*$IG95)</f>
        <v>0</v>
      </c>
      <c r="CQ95" s="132">
        <f ca="1">IF(OFFSET(BE95,1,0,1,1)&lt;&gt;0,$BN95*SUMIFS(RZ[Úroveň 8 bez koef. (P2)],RZ[0],AX95,RZ[Úroveň 2 (P0)],AY95,RZ[Úroveň 3 (P0)],AZ95,RZ[Úroveň 4 (P0)],BA95,RZ[Úroveň 5 (P0)],BB95,RZ[Úroveň 6 (P0)],BC95,RZ[Úroveň 7 (P0)],BD95),$BN95*$IG95)</f>
        <v>0</v>
      </c>
      <c r="CR95" s="138">
        <f ca="1">RZ[[#This Row],[Úroveň 8 s koef. (P2a)]]*RZ[[#This Row],[Počet MJHR (P0)]]</f>
        <v>0</v>
      </c>
      <c r="CS95" s="138">
        <f ca="1">RZ[Úroveň 8 bez koef. (P2a)]*RZ[[#This Row],[Počet MJHR (P0)]]</f>
        <v>0</v>
      </c>
      <c r="CT95" s="138">
        <f ca="1">IF(OFFSET(BF95,1,0,1,1)&lt;&gt;0,RZ[[#This Row],[Koeficient odhadu HR '[-'] (P1)]]*$BO95*SUMIFS(RZ[Úroveň 9 s koef. (P2)],RZ[0],AX95,RZ[Úroveň 2 (P0)],AY95,RZ[Úroveň 3 (P0)],AZ95,RZ[Úroveň 4 (P0)],BA95,RZ[Úroveň 5 (P0)],BB95,RZ[Úroveň 6 (P0)],BC95,RZ[Úroveň 7 (P0)],BD95,RZ[Úroveň 8 (P0)],BE95),RZ[[#This Row],[Koeficient odhadu HR '[-'] (P1)]]*$BO95*$IG95)</f>
        <v>0</v>
      </c>
      <c r="CU95" s="138">
        <f ca="1">IF(OFFSET(BF95,1,0,1,1)&lt;&gt;0,$BO95*SUMIFS(RZ[Úroveň 9 bez koef. (P2)],RZ[0],AX95,RZ[Úroveň 2 (P0)],AY95,RZ[Úroveň 3 (P0)],AZ95,RZ[Úroveň 4 (P0)],BA95,RZ[Úroveň 5 (P0)],BB95,RZ[Úroveň 6 (P0)],BC95,RZ[Úroveň 7 (P0)],BD95,RZ[Úroveň 8 (P0)],BE95),$BO95*$IG95)</f>
        <v>0</v>
      </c>
      <c r="CV95" s="132">
        <f ca="1">RZ[[#This Row],[Úroveň 9 s koef. (P2a)]]*RZ[[#This Row],[Počet MJHR (P0)]]</f>
        <v>0</v>
      </c>
      <c r="CW95" s="132">
        <f ca="1">RZ[Úroveň 9 bez koef. (P2a)]*RZ[[#This Row],[Počet MJHR (P0)]]</f>
        <v>0</v>
      </c>
      <c r="CX95" s="132">
        <f ca="1">IF(OFFSET(BG95,1,0,1,1)&lt;&gt;0,RZ[[#This Row],[Koeficient odhadu HR '[-'] (P1)]]*$BP95*SUMIFS(RZ[Úroveň 10 s koef. (P2)],RZ[0],AX95,RZ[Úroveň 2 (P0)],AY95,RZ[Úroveň 3 (P0)],AZ95,RZ[Úroveň 4 (P0)],BA95,RZ[Úroveň 5 (P0)],BB95,RZ[Úroveň 6 (P0)],BC95,RZ[Úroveň 7 (P0)],BD95,RZ[Úroveň 8 (P0)],BE95,RZ[Úroveň 9 (P0)],BF95),RZ[[#This Row],[Koeficient odhadu HR '[-'] (P1)]]*$BP95*$IG95)</f>
        <v>0</v>
      </c>
      <c r="CY95" s="132">
        <f ca="1">IF(OFFSET(BG95,1,0,1,1)&lt;&gt;0,$BP95*SUMIFS(RZ[Úroveň 10 bez koef. (P2)],RZ[0],AX95,RZ[Úroveň 2 (P0)],AY95,RZ[Úroveň 3 (P0)],AZ95,RZ[Úroveň 4 (P0)],BA95,RZ[Úroveň 5 (P0)],BB95,RZ[Úroveň 6 (P0)],BC95,RZ[Úroveň 7 (P0)],BD95,RZ[Úroveň 8 (P0)],BE95,RZ[Úroveň 9 (P0)],BF95),$BP95*$IG95)</f>
        <v>0</v>
      </c>
      <c r="CZ95" s="138">
        <f>RZ[[#This Row],[Úroveň 10 s koef. (P2a)]]*RZ[[#This Row],[Počet MJHR (P0)]]</f>
        <v>0</v>
      </c>
      <c r="DA95" s="138">
        <f>RZ[Úroveň 10 bez koef. (P2a)]*RZ[[#This Row],[Počet MJHR (P0)]]</f>
        <v>0</v>
      </c>
      <c r="DB95" s="138">
        <f>RZ[[#This Row],[Koeficient odhadu HR '[-'] (P1)]]*$BQ95*IG95</f>
        <v>0</v>
      </c>
      <c r="DC95" s="231">
        <f t="shared" si="634"/>
        <v>0</v>
      </c>
      <c r="DD95" s="241">
        <f t="shared" ca="1" si="635"/>
        <v>58.24</v>
      </c>
      <c r="DE95" s="229">
        <f t="shared" ca="1" si="636"/>
        <v>58.24</v>
      </c>
      <c r="DF95" s="912">
        <f t="shared" si="637"/>
        <v>0</v>
      </c>
      <c r="DG95" s="913">
        <f t="shared" si="638"/>
        <v>0</v>
      </c>
      <c r="DH95" s="913">
        <f t="shared" si="639"/>
        <v>1</v>
      </c>
      <c r="DI95" s="913">
        <f t="shared" si="640"/>
        <v>0</v>
      </c>
      <c r="DJ95" s="913">
        <f t="shared" si="641"/>
        <v>0</v>
      </c>
      <c r="DK95" s="913">
        <f t="shared" si="642"/>
        <v>0</v>
      </c>
      <c r="DL95" s="913">
        <f t="shared" si="643"/>
        <v>0</v>
      </c>
      <c r="DM95" s="913">
        <f t="shared" si="644"/>
        <v>0</v>
      </c>
      <c r="DN95" s="913">
        <f t="shared" si="645"/>
        <v>0</v>
      </c>
      <c r="DO95" s="913">
        <f t="shared" si="646"/>
        <v>0</v>
      </c>
      <c r="DP95" s="914">
        <f ca="1">SUMIFS(RZ[Úroveň 1 (P4)],RZ[0],AX95)</f>
        <v>1</v>
      </c>
      <c r="DQ95" s="914">
        <f ca="1">SUMIFS(RZ[Úroveň 2 (P4)],RZ[0],AX95,RZ[Úroveň 2 (P0)],AY95)</f>
        <v>3</v>
      </c>
      <c r="DR95" s="914">
        <f ca="1">SUMIFS(RZ[Úroveň 3 (P4)],RZ[0],AX95,RZ[Úroveň 2 (P0)],AY95,RZ[Úroveň 3 (P0)],AZ95)</f>
        <v>1</v>
      </c>
      <c r="DS95" s="914">
        <f ca="1">SUMIFS(RZ[Úroveň 4 (P4)],RZ[0],AX95,RZ[Úroveň 2 (P0)],AY95,RZ[Úroveň 3 (P0)],AZ95,RZ[Úroveň 4 (P0)],BA95)</f>
        <v>0</v>
      </c>
      <c r="DT95" s="914">
        <f ca="1">SUMIFS(RZ[Úroveň 5 (P4)],RZ[0],AX95,RZ[Úroveň 2 (P0)],AY95,RZ[Úroveň 3 (P0)],AZ95,RZ[Úroveň 4 (P0)],BA95,RZ[Úroveň 5 (P0)],BB95)</f>
        <v>0</v>
      </c>
      <c r="DU95" s="914">
        <f ca="1">SUMIFS(RZ[Úroveň 6 (P4)],RZ[0],AX95,RZ[Úroveň 2 (P0)],AY95,RZ[Úroveň 3 (P0)],AZ95,RZ[Úroveň 4 (P0)],BA95,RZ[Úroveň 5 (P0)],BB95,RZ[Úroveň 6 (P0)],BC95)</f>
        <v>0</v>
      </c>
      <c r="DV95" s="914">
        <f ca="1">SUMIFS(RZ[Úroveň 7 (P4)],RZ[0],AX95,RZ[Úroveň 2 (P0)],AY95,RZ[Úroveň 3 (P0)],AZ95,RZ[Úroveň 4 (P0)],BA95,RZ[Úroveň 5 (P0)],BB95,RZ[Úroveň 6 (P0)],BC95,RZ[Úroveň 7 (P0)],BD95)</f>
        <v>0</v>
      </c>
      <c r="DW95" s="914">
        <f ca="1">SUMIFS(RZ[Úroveň 8 (P4)],RZ[0],AX95,RZ[Úroveň 2 (P0)],AY95,RZ[Úroveň 3 (P0)],AZ95,RZ[Úroveň 4 (P0)],BA95,RZ[Úroveň 5 (P0)],BB95,RZ[Úroveň 6 (P0)],BC95,RZ[Úroveň 7 (P0)],BD95,RZ[Úroveň 8 (P0)],BE95)</f>
        <v>0</v>
      </c>
      <c r="DX95" s="914">
        <f ca="1">SUMIFS(RZ[Úroveň 9 (P4)],RZ[0],AX95,RZ[Úroveň 2 (P0)],AY95,RZ[Úroveň 3 (P0)],AZ95,RZ[Úroveň 4 (P0)],BA95,RZ[Úroveň 5 (P0)],BB95,RZ[Úroveň 6 (P0)],BC95,RZ[Úroveň 7 (P0)],BD95,RZ[Úroveň 8 (P0)],BE95,RZ[Úroveň 9 (P0)],BF95)</f>
        <v>0</v>
      </c>
      <c r="DY95" s="914">
        <f ca="1">SUMIFS(RZ[Úroveň 10 (P4)],RZ[0],AX95,RZ[Úroveň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DZ95" s="915">
        <f t="shared" ca="1" si="647"/>
        <v>3</v>
      </c>
      <c r="EA95" s="916">
        <f ca="1">RZ[[#This Row],[Jednotková hmotnost bez koef. '[kg/MJHR'] (P0)]]*RZ[[#This Row],[Počet MJHR v rozpadu (P0)]]</f>
        <v>174.72</v>
      </c>
      <c r="EB95" s="917">
        <f ca="1">IF(OFFSET(AY95,1,0,1,1)&lt;&gt;0,RZ[[#This Row],[Koeficient odhadu CR '[-'] (P1)]]*$BH95*SUMIFS(RZ[Úroveň 2 s koef. (P3)],RZ[0],AX95),RZ[[#This Row],[Koeficient odhadu CR '[-'] (P1)]]*$BH95*$IQ95)</f>
        <v>0</v>
      </c>
      <c r="EC95" s="191">
        <f ca="1">IF(OFFSET(AY95,1,0,1,1)&lt;&gt;0,$BH95*SUMIFS(RZ[Úroveň 2 bez koef. (P3)],RZ[0],AX95),$BH95*$IQ95)</f>
        <v>0</v>
      </c>
      <c r="ED95" s="140">
        <f ca="1">RZ[[#This Row],[Úroveň 2 s koef. (P3a)]]*RZ[[#This Row],[Počet MJCR (P0) pro "kg"]]</f>
        <v>0</v>
      </c>
      <c r="EE95" s="140">
        <f ca="1">RZ[Úroveň 2 bez koef. (P3a)]*RZ[[#This Row],[Počet MJCR (P0) pro "kg"]]</f>
        <v>0</v>
      </c>
      <c r="EF95" s="140">
        <f ca="1">IF(OFFSET(AZ95,1,0,1,1)&lt;&gt;0,RZ[[#This Row],[Koeficient odhadu CR '[-'] (P1)]]*$BI95*SUMIFS(RZ[Úroveň 3 s koef. (P3)],RZ[0],AX95,RZ[Úroveň 2 (P0)],AY95),RZ[[#This Row],[Koeficient odhadu CR '[-'] (P1)]]*$BI95*$IQ95)</f>
        <v>0</v>
      </c>
      <c r="EG95" s="140">
        <f ca="1">IF(OFFSET(AZ95,1,0,1,1)&lt;&gt;0,$BI95*SUMIFS(RZ[Úroveň 3 bez koef. (P3)],RZ[0],AX95,RZ[Úroveň 2 (P0)],AY95),$BI95*$IQ95)</f>
        <v>0</v>
      </c>
      <c r="EH95" s="135">
        <f ca="1">RZ[[#This Row],[Úroveň 3 s koef. (P3a)]]*RZ[[#This Row],[Počet MJCR (P0) pro "kg"]]</f>
        <v>6406.4000000000005</v>
      </c>
      <c r="EI95" s="135">
        <f ca="1">RZ[Úroveň 3 bez koef. (P3a)]*RZ[[#This Row],[Počet MJCR (P0) pro "kg"]]</f>
        <v>6406.4000000000005</v>
      </c>
      <c r="EJ95" s="135">
        <f ca="1">IF(OFFSET(BA95,1,0,1,1)&lt;&gt;0,RZ[[#This Row],[Koeficient odhadu CR '[-'] (P1)]]*$BJ95*SUMIFS(RZ[Úroveň 4 s koef. (P3)],RZ[0],AX95,RZ[Úroveň 2 (P0)],AY95,RZ[Úroveň 3 (P0)],AZ95),RZ[[#This Row],[Koeficient odhadu CR '[-'] (P1)]]*$BJ95*$IQ95)</f>
        <v>110</v>
      </c>
      <c r="EK95" s="135">
        <f ca="1">IF(OFFSET(BA95,1,0,1,1)&lt;&gt;0,$BJ95*SUMIFS(RZ[Úroveň 4 bez koef. (P3)],RZ[0],AX95,RZ[Úroveň 2 (P0)],AY95,RZ[Úroveň 3 (P0)],AZ95),$BJ95*$IQ95)</f>
        <v>110</v>
      </c>
      <c r="EL95" s="140">
        <f ca="1">RZ[[#This Row],[Úroveň 4 s koef. (P3a)]]*RZ[[#This Row],[Počet MJCR (P0) pro "kg"]]</f>
        <v>0</v>
      </c>
      <c r="EM95" s="140">
        <f ca="1">RZ[Úroveň 4 bez koef. (P3a)]*RZ[[#This Row],[Počet MJCR (P0) pro "kg"]]</f>
        <v>0</v>
      </c>
      <c r="EN95" s="140">
        <f ca="1">IF(OFFSET(BB95,1,0,1,1)&lt;&gt;0,RZ[[#This Row],[Koeficient odhadu CR '[-'] (P1)]]*$BK95*SUMIFS(RZ[Úroveň 5 s koef. (P3)],RZ[0],AX95,RZ[Úroveň 2 (P0)],AY95,RZ[Úroveň 3 (P0)],AZ95,RZ[Úroveň 4 (P0)],BA95),RZ[[#This Row],[Koeficient odhadu CR '[-'] (P1)]]*$BK95*$IQ95)</f>
        <v>0</v>
      </c>
      <c r="EO95" s="140">
        <f ca="1">IF(OFFSET(BB95,1,0,1,1)&lt;&gt;0,$BK95*SUMIFS(RZ[Úroveň 5 bez koef. (P3)],RZ[0],AX95,RZ[Úroveň 2 (P0)],AY95,RZ[Úroveň 3 (P0)],AZ95,RZ[Úroveň 4 (P0)],BA95),$BK95*$IQ95)</f>
        <v>0</v>
      </c>
      <c r="EP95" s="135">
        <f ca="1">RZ[[#This Row],[Úroveň 5 s koef. (P3a)]]*RZ[[#This Row],[Počet MJCR (P0) pro "kg"]]</f>
        <v>0</v>
      </c>
      <c r="EQ95" s="135">
        <f ca="1">RZ[Úroveň 5 bez koef. (P3a)]*RZ[[#This Row],[Počet MJCR (P0) pro "kg"]]</f>
        <v>0</v>
      </c>
      <c r="ER95" s="135">
        <f ca="1">IF(OFFSET(BC95,1,0,1,1)&lt;&gt;0,RZ[[#This Row],[Koeficient odhadu CR '[-'] (P1)]]*$BL95*SUMIFS(RZ[Úroveň 6 s koef. (P3)],RZ[0],AX95,RZ[Úroveň 2 (P0)],AY95,RZ[Úroveň 3 (P0)],AZ95,RZ[Úroveň 4 (P0)],BA95,RZ[Úroveň 5 (P0)],BB95),RZ[[#This Row],[Koeficient odhadu CR '[-'] (P1)]]*$BL95*$IQ95)</f>
        <v>0</v>
      </c>
      <c r="ES95" s="135">
        <f ca="1">IF(OFFSET(BC95,1,0,1,1)&lt;&gt;0,$BL95*SUMIFS(RZ[Úroveň 6 bez koef. (P3)],RZ[0],AX95,RZ[Úroveň 2 (P0)],AY95,RZ[Úroveň 3 (P0)],AZ95,RZ[Úroveň 4 (P0)],BA95,RZ[Úroveň 5 (P0)],BB95),$BL95*$IQ95)</f>
        <v>0</v>
      </c>
      <c r="ET95" s="140">
        <f ca="1">RZ[[#This Row],[Úroveň 6 s koef. (P3a)]]*RZ[[#This Row],[Počet MJCR (P0) pro "kg"]]</f>
        <v>0</v>
      </c>
      <c r="EU95" s="140">
        <f ca="1">RZ[Úroveň 6 bez koef. (P3a)]*RZ[[#This Row],[Počet MJCR (P0) pro "kg"]]</f>
        <v>0</v>
      </c>
      <c r="EV95" s="140">
        <f ca="1">IF(OFFSET(BD95,1,0,1,1)&lt;&gt;0,RZ[[#This Row],[Koeficient odhadu CR '[-'] (P1)]]*$BM95*SUMIFS(RZ[Úroveň 7 s koef. (P3)],RZ[0],AX95,RZ[Úroveň 2 (P0)],AY95,RZ[Úroveň 3 (P0)],AZ95,RZ[Úroveň 4 (P0)],BA95,RZ[Úroveň 5 (P0)],BB95,RZ[Úroveň 6 (P0)],BC95),RZ[[#This Row],[Koeficient odhadu CR '[-'] (P1)]]*$BM95*$IQ95)</f>
        <v>0</v>
      </c>
      <c r="EW95" s="140">
        <f ca="1">IF(OFFSET(BD95,1,0,1,1)&lt;&gt;0,$BM95*SUMIFS(RZ[Úroveň 7 bez koef. (P3)],RZ[0],AX95,RZ[Úroveň 2 (P0)],AY95,RZ[Úroveň 3 (P0)],AZ95,RZ[Úroveň 4 (P0)],BA95,RZ[Úroveň 5 (P0)],BB95,RZ[Úroveň 6 (P0)],BC95),$BM95*$IQ95)</f>
        <v>0</v>
      </c>
      <c r="EX95" s="135">
        <f ca="1">RZ[[#This Row],[Úroveň 7 s koef. (P3a)]]*RZ[[#This Row],[Počet MJCR (P0) pro "kg"]]</f>
        <v>0</v>
      </c>
      <c r="EY95" s="135">
        <f ca="1">RZ[Úroveň 7 bez koef. (P3a)]*RZ[[#This Row],[Počet MJCR (P0) pro "kg"]]</f>
        <v>0</v>
      </c>
      <c r="EZ95" s="135">
        <f ca="1">IF(OFFSET(BE95,1,0,1,1)&lt;&gt;0,RZ[[#This Row],[Koeficient odhadu CR '[-'] (P1)]]*$BN95*SUMIFS(RZ[Úroveň 8 s koef. (P3)],RZ[0],AX95,RZ[Úroveň 2 (P0)],AY95,RZ[Úroveň 3 (P0)],AZ95,RZ[Úroveň 4 (P0)],BA95,RZ[Úroveň 5 (P0)],BB95,RZ[Úroveň 6 (P0)],BC95,RZ[Úroveň 7 (P0)],BD95),RZ[[#This Row],[Koeficient odhadu CR '[-'] (P1)]]*$BN95*$IQ95)</f>
        <v>0</v>
      </c>
      <c r="FA95" s="135">
        <f ca="1">IF(OFFSET(BE95,1,0,1,1)&lt;&gt;0,$BN95*SUMIFS(RZ[Úroveň 8 bez koef. (P3)],RZ[0],AX95,RZ[Úroveň 2 (P0)],AY95,RZ[Úroveň 3 (P0)],AZ95,RZ[Úroveň 4 (P0)],BA95,RZ[Úroveň 5 (P0)],BB95,RZ[Úroveň 6 (P0)],BC95,RZ[Úroveň 7 (P0)],BD95),$BN95*$IQ95)</f>
        <v>0</v>
      </c>
      <c r="FB95" s="140">
        <f ca="1">RZ[[#This Row],[Úroveň 8 s koef. (P3a)]]*RZ[[#This Row],[Počet MJCR (P0) pro "kg"]]</f>
        <v>0</v>
      </c>
      <c r="FC95" s="140">
        <f ca="1">RZ[Úroveň 8 bez koef. (P3a)]*RZ[[#This Row],[Počet MJCR (P0) pro "kg"]]</f>
        <v>0</v>
      </c>
      <c r="FD95" s="140">
        <f ca="1">IF(OFFSET(BF95,1,0,1,1)&lt;&gt;0,RZ[[#This Row],[Koeficient odhadu CR '[-'] (P1)]]*$BO95*SUMIFS(RZ[Úroveň 9 s koef. (P3)],RZ[0],AX95,RZ[Úroveň 2 (P0)],AY95,RZ[Úroveň 3 (P0)],AZ95,RZ[Úroveň 4 (P0)],BA95,RZ[Úroveň 5 (P0)],BB95,RZ[Úroveň 6 (P0)],BC95,RZ[Úroveň 7 (P0)],BD95,RZ[Úroveň 8 (P0)],BE95),RZ[[#This Row],[Koeficient odhadu CR '[-'] (P1)]]*$BO95*$IQ95)</f>
        <v>0</v>
      </c>
      <c r="FE95" s="140">
        <f ca="1">IF(OFFSET(BF95,1,0,1,1)&lt;&gt;0,$BO95*SUMIFS(RZ[Úroveň 9 bez koef. (P3)],RZ[0],AX95,RZ[Úroveň 2 (P0)],AY95,RZ[Úroveň 3 (P0)],AZ95,RZ[Úroveň 4 (P0)],BA95,RZ[Úroveň 5 (P0)],BB95,RZ[Úroveň 6 (P0)],BC95,RZ[Úroveň 7 (P0)],BD95,RZ[Úroveň 8 (P0)],BE95),$BO95*$IQ95)</f>
        <v>0</v>
      </c>
      <c r="FF95" s="135">
        <f ca="1">RZ[[#This Row],[Úroveň 9 s koef. (P3a)]]*RZ[[#This Row],[Počet MJCR (P0) pro "kg"]]</f>
        <v>0</v>
      </c>
      <c r="FG95" s="135">
        <f ca="1">RZ[Úroveň 9 bez koef. (P3a)]*RZ[[#This Row],[Počet MJCR (P0) pro "kg"]]</f>
        <v>0</v>
      </c>
      <c r="FH95" s="135">
        <f ca="1">IF(OFFSET(BG95,1,0,1,1)&lt;&gt;0,RZ[[#This Row],[Koeficient odhadu CR '[-'] (P1)]]*$BP95*SUMIFS(RZ[Úroveň 10 s koef. (P3)],RZ[0],AX95,RZ[Úroveň 2 (P0)],AY95,RZ[Úroveň 3 (P0)],AZ95,RZ[Úroveň 4 (P0)],BA95,RZ[Úroveň 5 (P0)],BB95,RZ[Úroveň 6 (P0)],BC95,RZ[Úroveň 7 (P0)],BD95,RZ[Úroveň 8 (P0)],BE95,RZ[Úroveň 9 (P0)],BF95),RZ[[#This Row],[Koeficient odhadu CR '[-'] (P1)]]*$BP95*$IQ95)</f>
        <v>0</v>
      </c>
      <c r="FI95" s="135">
        <f ca="1">IF(OFFSET(BG95,1,0,1,1)&lt;&gt;0,$BP95*SUMIFS(RZ[Úroveň 10 bez koef. (P3)],RZ[0],AX95,RZ[Úroveň 2 (P0)],AY95,RZ[Úroveň 3 (P0)],AZ95,RZ[Úroveň 4 (P0)],BA95,RZ[Úroveň 5 (P0)],BB95,RZ[Úroveň 6 (P0)],BC95,RZ[Úroveň 7 (P0)],BD95,RZ[Úroveň 8 (P0)],BE95,RZ[Úroveň 9 (P0)],BF95),$BP95*$IQ95)</f>
        <v>0</v>
      </c>
      <c r="FJ95" s="140">
        <f ca="1">RZ[[#This Row],[Úroveň 10 s koef. (P3a)]]*RZ[[#This Row],[Počet MJCR (P0) pro "kg"]]</f>
        <v>0</v>
      </c>
      <c r="FK95" s="140">
        <f ca="1">RZ[Úroveň 10 bez koef. (P3a)]*RZ[[#This Row],[Počet MJCR (P0) pro "kg"]]</f>
        <v>0</v>
      </c>
      <c r="FL95" s="140">
        <f ca="1">RZ[[#This Row],[Koeficient odhadu CR '[-'] (P1)]]*$BQ95*IQ95</f>
        <v>0</v>
      </c>
      <c r="FM95" s="236">
        <f t="shared" ca="1" si="648"/>
        <v>0</v>
      </c>
      <c r="FN95" s="194">
        <f t="shared" ca="1" si="649"/>
        <v>110</v>
      </c>
      <c r="FO95" s="238">
        <f t="shared" ca="1" si="650"/>
        <v>110</v>
      </c>
      <c r="FP95" s="135">
        <f t="shared" ca="1" si="651"/>
        <v>0</v>
      </c>
      <c r="FQ95" s="135">
        <f t="shared" ca="1" si="652"/>
        <v>0</v>
      </c>
      <c r="FR95" s="135">
        <f t="shared" ca="1" si="653"/>
        <v>58.24</v>
      </c>
      <c r="FS95" s="135">
        <f t="shared" ca="1" si="654"/>
        <v>0</v>
      </c>
      <c r="FT95" s="135">
        <f t="shared" ca="1" si="655"/>
        <v>0</v>
      </c>
      <c r="FU95" s="135">
        <f t="shared" ca="1" si="656"/>
        <v>0</v>
      </c>
      <c r="FV95" s="135">
        <f t="shared" ca="1" si="657"/>
        <v>0</v>
      </c>
      <c r="FW95" s="135">
        <f t="shared" ca="1" si="658"/>
        <v>0</v>
      </c>
      <c r="FX95" s="135">
        <f t="shared" ca="1" si="659"/>
        <v>0</v>
      </c>
      <c r="FY95" s="135">
        <f t="shared" ca="1" si="660"/>
        <v>0</v>
      </c>
      <c r="FZ95" s="140">
        <f ca="1">SUMIFS(RZ[Úroveň 1 (P6)],RZ[0],AX95)</f>
        <v>1</v>
      </c>
      <c r="GA95" s="140">
        <f ca="1">SUMIFS(RZ[Úroveň 2 (P6)],RZ[0],AX95,RZ[Úroveň 2 (P0)],AY95)</f>
        <v>3</v>
      </c>
      <c r="GB95" s="140">
        <f ca="1">SUMIFS(RZ[Úroveň 3 (P6)],RZ[0],AX95,RZ[Úroveň 2 (P0)],AY95,RZ[Úroveň 3 (P0)],AZ95)</f>
        <v>58.24</v>
      </c>
      <c r="GC95" s="140">
        <f ca="1">SUMIFS(RZ[Úroveň 4 (P6)],RZ[0],AX95,RZ[Úroveň 2 (P0)],AY95,RZ[Úroveň 3 (P0)],AZ95,RZ[Úroveň 4 (P0)],BA95)</f>
        <v>0</v>
      </c>
      <c r="GD95" s="140">
        <f ca="1">SUMIFS(RZ[Úroveň 5 (P6)],RZ[0],AX95,RZ[Úroveň 2 (P0)],AY95,RZ[Úroveň 3 (P0)],AZ95,RZ[Úroveň 4 (P0)],BA95,RZ[Úroveň 5 (P0)],BB95)</f>
        <v>0</v>
      </c>
      <c r="GE95" s="140">
        <f ca="1">SUMIFS(RZ[Úroveň 6 (P6)],RZ[0],AX95,RZ[Úroveň 2 (P0)],AY95,RZ[Úroveň 3 (P0)],AZ95,RZ[Úroveň 4 (P0)],BA95,RZ[Úroveň 5 (P0)],BB95,RZ[Úroveň 6 (P0)],BC95)</f>
        <v>0</v>
      </c>
      <c r="GF95" s="140">
        <f ca="1">SUMIFS(RZ[Úroveň 7 (P6)],RZ[0],AX95,RZ[Úroveň 2 (P0)],AY95,RZ[Úroveň 3 (P0)],AZ95,RZ[Úroveň 4 (P0)],BA95,RZ[Úroveň 5 (P0)],BB95,RZ[Úroveň 6 (P0)],BC95,RZ[Úroveň 7 (P0)],BD95)</f>
        <v>0</v>
      </c>
      <c r="GG95" s="140">
        <f ca="1">SUMIFS(RZ[Úroveň 8 (P6)],RZ[0],AX95,RZ[Úroveň 2 (P0)],AY95,RZ[Úroveň 3 (P0)],AZ95,RZ[Úroveň 4 (P0)],BA95,RZ[Úroveň 5 (P0)],BB95,RZ[Úroveň 6 (P0)],BC95,RZ[Úroveň 7 (P0)],BD95,RZ[Úroveň 8 (P0)],BE95)</f>
        <v>0</v>
      </c>
      <c r="GH95" s="140">
        <f ca="1">SUMIFS(RZ[Úroveň 9 (P6)],RZ[0],AX95,RZ[Úroveň 2 (P0)],AY95,RZ[Úroveň 3 (P0)],AZ95,RZ[Úroveň 4 (P0)],BA95,RZ[Úroveň 5 (P0)],BB95,RZ[Úroveň 6 (P0)],BC95,RZ[Úroveň 7 (P0)],BD95,RZ[Úroveň 8 (P0)],BE95,RZ[Úroveň 9 (P0)],BF95)</f>
        <v>0</v>
      </c>
      <c r="GI95" s="140">
        <f ca="1">SUMIFS(RZ[Úroveň 10 (P6)],RZ[0],AX95,RZ[Úroveň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GJ95" s="918">
        <f t="shared" ca="1" si="661"/>
        <v>174.72</v>
      </c>
      <c r="GK95" s="808">
        <f t="shared" si="662"/>
        <v>0</v>
      </c>
      <c r="GL95" s="808">
        <f t="shared" si="663"/>
        <v>0</v>
      </c>
      <c r="GM95" s="808">
        <f t="shared" si="664"/>
        <v>1</v>
      </c>
      <c r="GN95" s="808">
        <f t="shared" si="665"/>
        <v>0</v>
      </c>
      <c r="GO95" s="808">
        <f t="shared" si="666"/>
        <v>0</v>
      </c>
      <c r="GP95" s="808">
        <f t="shared" si="667"/>
        <v>0</v>
      </c>
      <c r="GQ95" s="808">
        <f t="shared" si="668"/>
        <v>0</v>
      </c>
      <c r="GR95" s="808">
        <f t="shared" si="669"/>
        <v>0</v>
      </c>
      <c r="GS95" s="808">
        <f t="shared" si="670"/>
        <v>0</v>
      </c>
      <c r="GT95" s="808">
        <f t="shared" si="671"/>
        <v>0</v>
      </c>
      <c r="GU95" s="809">
        <f ca="1">SUMIFS(RZ[Sloupec1],RZ[0],AX95)</f>
        <v>1</v>
      </c>
      <c r="GV95" s="809">
        <f ca="1">SUMIFS(RZ[Sloupec2],RZ[0],AX95,RZ[Úroveň 2 (P0)],AY95)</f>
        <v>1</v>
      </c>
      <c r="GW95" s="809">
        <f ca="1">SUMIFS(RZ[Sloupec3],RZ[0],AX95,RZ[Úroveň 2 (P0)],AY95,RZ[Úroveň 3 (P0)],AZ95)</f>
        <v>1</v>
      </c>
      <c r="GX95" s="809">
        <f ca="1">SUMIFS(RZ[Sloupec4],RZ[0],AX95,RZ[Úroveň 2 (P0)],AY95,RZ[Úroveň 3 (P0)],AZ95,RZ[Úroveň 4 (P0)],BA95)</f>
        <v>0</v>
      </c>
      <c r="GY95" s="809">
        <f ca="1">SUMIFS(RZ[Sloupec5],RZ[0],AX95,RZ[Úroveň 2 (P0)],AY95,RZ[Úroveň 3 (P0)],AZ95,RZ[Úroveň 4 (P0)],BA95,RZ[Úroveň 5 (P0)],BB95)</f>
        <v>0</v>
      </c>
      <c r="GZ95" s="809">
        <f ca="1">SUMIFS(RZ[Sloupec6],RZ[0],AX95,RZ[Úroveň 2 (P0)],AY95,RZ[Úroveň 3 (P0)],AZ95,RZ[Úroveň 4 (P0)],BA95,RZ[Úroveň 5 (P0)],BB95,RZ[Úroveň 6 (P0)],BC95)</f>
        <v>0</v>
      </c>
      <c r="HA95" s="809">
        <f ca="1">SUMIFS(RZ[Sloupec62],RZ[0],AX95,RZ[Úroveň 2 (P0)],AY95,RZ[Úroveň 3 (P0)],AZ95,RZ[Úroveň 4 (P0)],BA95,RZ[Úroveň 5 (P0)],BB95,RZ[Úroveň 6 (P0)],BC95,RZ[Úroveň 7 (P0)],BD95)</f>
        <v>0</v>
      </c>
      <c r="HB95" s="809">
        <f ca="1">SUMIFS(RZ[Sloupec63],RZ[0],AX95,RZ[Úroveň 2 (P0)],AY95,RZ[Úroveň 3 (P0)],AZ95,RZ[Úroveň 4 (P0)],BA95,RZ[Úroveň 5 (P0)],BB95,RZ[Úroveň 6 (P0)],BC95,RZ[Úroveň 7 (P0)],BD95,RZ[Úroveň 8 (P0)],BE95)</f>
        <v>0</v>
      </c>
      <c r="HC95" s="809">
        <f ca="1">SUMIFS(RZ[Sloupec64],RZ[0],AX95,RZ[Úroveň 2 (P0)],AY95,RZ[Úroveň 3 (P0)],AZ95,RZ[Úroveň 4 (P0)],BA95,RZ[Úroveň 5 (P0)],BB95,RZ[Úroveň 6 (P0)],BC95,RZ[Úroveň 7 (P0)],BD95,RZ[Úroveň 8 (P0)],BE95,RZ[Úroveň 9 (P0)],BF95)</f>
        <v>0</v>
      </c>
      <c r="HD95" s="809">
        <f ca="1">SUMIFS(RZ[Sloupec65],RZ[0],AX95,RZ[Úroveň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HE95" s="919">
        <f t="shared" ca="1" si="672"/>
        <v>1</v>
      </c>
      <c r="HF95" s="920" t="str">
        <f t="shared" si="673"/>
        <v/>
      </c>
      <c r="HG95" s="94" t="str">
        <f t="shared" si="674"/>
        <v/>
      </c>
      <c r="HH95" s="95" t="str">
        <f t="shared" si="675"/>
        <v/>
      </c>
      <c r="HI95" s="95" t="str">
        <f t="shared" si="676"/>
        <v>Spojovací materiál</v>
      </c>
      <c r="HJ95" s="96" t="str">
        <f t="shared" si="677"/>
        <v/>
      </c>
      <c r="HK95" s="96" t="str">
        <f t="shared" si="678"/>
        <v/>
      </c>
      <c r="HL95" s="96" t="str">
        <f t="shared" si="679"/>
        <v/>
      </c>
      <c r="HM95" s="96" t="str">
        <f t="shared" si="680"/>
        <v/>
      </c>
      <c r="HN95" s="96" t="str">
        <f t="shared" si="681"/>
        <v/>
      </c>
      <c r="HO95" s="96" t="str">
        <f t="shared" si="682"/>
        <v/>
      </c>
      <c r="HP95" s="96" t="str">
        <f t="shared" si="683"/>
        <v/>
      </c>
      <c r="HQ95" s="145" t="str">
        <f t="shared" si="684"/>
        <v>STSM</v>
      </c>
      <c r="HR95" s="921" t="str">
        <f t="shared" si="685"/>
        <v/>
      </c>
      <c r="HS95" s="173">
        <f t="shared" si="686"/>
        <v>0</v>
      </c>
      <c r="HT95" s="100">
        <f t="shared" si="687"/>
        <v>0</v>
      </c>
      <c r="HU95" s="100">
        <f t="shared" si="688"/>
        <v>0</v>
      </c>
      <c r="HV95" s="908">
        <f t="shared" si="689"/>
        <v>0</v>
      </c>
      <c r="HW95" s="922">
        <f t="shared" si="690"/>
        <v>0</v>
      </c>
      <c r="HX95" s="224">
        <f t="shared" si="691"/>
        <v>0</v>
      </c>
      <c r="HY95" s="263" t="str">
        <f t="shared" si="692"/>
        <v>S</v>
      </c>
      <c r="HZ95" s="263">
        <f t="shared" si="693"/>
        <v>0</v>
      </c>
      <c r="IA95" s="150">
        <f t="shared" si="694"/>
        <v>1</v>
      </c>
      <c r="IB95" s="319">
        <f t="shared" si="695"/>
        <v>0</v>
      </c>
      <c r="IC95" s="923">
        <f t="shared" si="696"/>
        <v>0</v>
      </c>
      <c r="ID95" s="924" t="str">
        <f t="shared" ca="1" si="697"/>
        <v>OK</v>
      </c>
      <c r="IE95" s="201" t="str">
        <f t="shared" si="698"/>
        <v>ks</v>
      </c>
      <c r="IF95" s="145">
        <f t="shared" si="699"/>
        <v>1</v>
      </c>
      <c r="IG95" s="216">
        <f t="shared" si="700"/>
        <v>58.24</v>
      </c>
      <c r="IH95" s="217">
        <f t="shared" si="701"/>
        <v>1</v>
      </c>
      <c r="II95" s="224" t="str">
        <f ca="1">IF(RZ[[#This Row],[Rozhodný sloupec indikativní ceny]]=1,"kg",IF($IW95=$JL$15,IF(JX95=0,JO95,JX95),IF($IW95=$KE$15,IF(KQ95=0,KH95,KQ95),IF($IW95=$KX$15,IF(LJ95=0,LA95,LJ95),IF($IW95=$LQ$15,IF(MC95=0,LT95,MC95),IF($IW95=$MJ$15,IF(NQ95=0,NH95,NQ95),0))))))</f>
        <v>kg</v>
      </c>
      <c r="IJ95" s="224">
        <f ca="1">IF((BH95+OFFSET(BH95,1,1,1,1))=2,RZ[[#This Row],[Počet MJHR (P0)]],IF((BI95+OFFSET(BI95,1,1,1,1))=2,RZ[[#This Row],[Počet MJHR (P0)]],IF((BJ95+OFFSET(BJ95,1,1,1,1))=2,RZ[[#This Row],[Počet MJHR (P0)]],IF((BK95+OFFSET(BK95,1,1,1,1))=2,RZ[[#This Row],[Počet MJHR (P0)]],IF((BL95+OFFSET(BL95,1,1,1,1))=2,RZ[[#This Row],[Počet MJHR (P0)]],IF((BM95+OFFSET(BM95,1,1,1,1))=2,RZ[[#This Row],[Počet MJHR (P0)]],IF((BN95+OFFSET(BN95,1,1,1,1))=2,RZ[[#This Row],[Počet MJHR (P0)]],IF((BO95+OFFSET(BO95,1,1,1,1))=2,RZ[[#This Row],[Počet MJHR (P0)]],IF((BP95+OFFSET(BP95,1,1,1,1))=2,RZ[[#This Row],[Počet MJHR (P0)]],IF((BQ95+OFFSET(BQ95,1,1,1,1))=2,RZ[[#This Row],[Počet MJHR (P0)]],IF(RZ[[#This Row],[Měrná jednotka CR (MJCR) (P0)]]=RZ[[#This Row],[Měrná jednotka HR '[MJHR'] (P0)]],RZ[[#This Row],[Počet MJHR (P0)]],IF($IW95=$JL$15,JY95,IF($IW95=$KE$15,KR95,IF($IW95=$KX$15,LK95,IF($IW95=$LQ$15,MD95,IF($IW95=$MJ$15,NR95,0))))))))))))))))</f>
        <v>0</v>
      </c>
      <c r="IK9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58.24</v>
      </c>
      <c r="IL95" s="145">
        <f ca="1">IF(AND(RZ[[#This Row],[Jednotková cena bez DPH '[cena/MJCR'] (P0)]]=0,RZ[[#This Row],[Indikativní jednotková cena '[CZK/kg'] (P1)]]&lt;&gt;0),1,0)</f>
        <v>1</v>
      </c>
      <c r="IM95" s="217">
        <f ca="1">VLOOKUP(RZ[[#This Row],[Kód položek]],INDIKAT_CENA,2,FALSE)</f>
        <v>110</v>
      </c>
      <c r="IN95" s="222">
        <f ca="1">IF(RZ[[#This Row],[Rozhodný sloupec indikativní ceny]]=1,RZ[[#This Row],[Indikativní jednotková cena '[CZK/kg'] (P1)]],RZ[[#This Row],[Jednotková cena bez DPH '[cena/MJCR'] (P0)]])</f>
        <v>110</v>
      </c>
      <c r="IO95" s="222">
        <f t="shared" si="702"/>
        <v>1</v>
      </c>
      <c r="IP95" s="224">
        <f ca="1">IF(RZ[[#This Row],[Rozhodný sloupec indikativní ceny]]=1,1,IF($IW95=$JL$15,KA95,IF($IW95=$KE$15,KT95,IF($IW95=$KX$15,LM95,IF($IW95=$LQ$15,MF95,IF($IW95=$MJ$15,NT95,0))))))</f>
        <v>1</v>
      </c>
      <c r="IQ95" s="225">
        <f ca="1">IF(RZ[[#This Row],[Jednotková cena bez DPH '[cena/MJCR'] (P1)]]="",0,IF(IP95=0,0,(RZ[[#This Row],[Jednotková cena bez DPH '[cena/MJCR'] (P1)]]*VLOOKUP(IP95,$BR$7:$BT$10,3))))</f>
        <v>110</v>
      </c>
      <c r="IR95" s="737"/>
      <c r="IS95" s="627">
        <f>IF(HY95=0,"",VLOOKUP(RZ[[#This Row],[Stav Projekce (P0)]],Vstupy!$E$11:'Vstupy'!$E$11:$H$17,4,FALSE))</f>
        <v>100</v>
      </c>
      <c r="IT95" s="925" t="str">
        <f>IF(RZ[[#This Row],[Stav Projekce (P0)]]=0,"",RZ[[#This Row],[Stav Projekce (P0)]])</f>
        <v>S</v>
      </c>
      <c r="IU95" s="925" t="str">
        <f>IF(RZ[[#This Row],[Stav Nákup (P0)]]=0,"",RZ[[#This Row],[Stav Nákup (P0)]])</f>
        <v/>
      </c>
      <c r="IV95" s="926" t="str">
        <f t="shared" si="703"/>
        <v/>
      </c>
      <c r="IW95" s="641">
        <v>1</v>
      </c>
      <c r="IX95" s="630"/>
      <c r="IY95" s="264"/>
      <c r="IZ95" s="648"/>
      <c r="JA95" s="100"/>
      <c r="JB95" s="100" t="s">
        <v>36</v>
      </c>
      <c r="JC95" s="100"/>
      <c r="JD95" s="100"/>
      <c r="JE95" s="100"/>
      <c r="JF95" s="100"/>
      <c r="JG95" s="100"/>
      <c r="JH95" s="100"/>
      <c r="JI95" s="100"/>
      <c r="JJ95" s="145" t="s">
        <v>766</v>
      </c>
      <c r="JK95" s="529"/>
      <c r="JL95" s="286"/>
      <c r="JM95" s="100"/>
      <c r="JN95" s="100"/>
      <c r="JO95" s="145" t="s">
        <v>35</v>
      </c>
      <c r="JP95" s="117">
        <v>1</v>
      </c>
      <c r="JQ95" s="117">
        <v>58.24</v>
      </c>
      <c r="JR95" s="148">
        <v>1</v>
      </c>
      <c r="JS95" s="145" t="s">
        <v>602</v>
      </c>
      <c r="JT95" s="631"/>
      <c r="JU95" s="148"/>
      <c r="JV95" s="154"/>
      <c r="JW95" s="145"/>
      <c r="JX95" s="210"/>
      <c r="JY95" s="117"/>
      <c r="JZ95" s="662"/>
      <c r="KA95" s="145"/>
      <c r="KB95" s="148"/>
      <c r="KC95" s="148"/>
      <c r="KD95" s="644"/>
      <c r="KE95" s="286"/>
      <c r="KF95" s="100"/>
      <c r="KG95" s="100"/>
      <c r="KH95" s="210"/>
      <c r="KI95" s="117"/>
      <c r="KJ95" s="117"/>
      <c r="KK95" s="148"/>
      <c r="KL95" s="145"/>
      <c r="KM95" s="632"/>
      <c r="KN95" s="148"/>
      <c r="KO95" s="154"/>
      <c r="KP95" s="154"/>
      <c r="KQ95" s="210"/>
      <c r="KR95" s="117"/>
      <c r="KS95" s="211"/>
      <c r="KT95" s="145"/>
      <c r="KU95" s="148"/>
      <c r="KV95" s="148"/>
      <c r="KW95" s="265"/>
      <c r="KX95" s="286"/>
      <c r="KY95" s="100"/>
      <c r="KZ95" s="100"/>
      <c r="LA95" s="210"/>
      <c r="LB95" s="117"/>
      <c r="LC95" s="117"/>
      <c r="LD95" s="148"/>
      <c r="LE95" s="145"/>
      <c r="LF95" s="632"/>
      <c r="LG95" s="148"/>
      <c r="LH95" s="154"/>
      <c r="LI95" s="154"/>
      <c r="LJ95" s="154"/>
      <c r="LK95" s="117"/>
      <c r="LL95" s="211"/>
      <c r="LM95" s="210"/>
      <c r="LN95" s="148"/>
      <c r="LO95" s="148"/>
      <c r="LP95" s="265"/>
      <c r="LQ95" s="286"/>
      <c r="LR95" s="100"/>
      <c r="LS95" s="100"/>
      <c r="LT95" s="210"/>
      <c r="LU95" s="117"/>
      <c r="LV95" s="117"/>
      <c r="LW95" s="148"/>
      <c r="LX95" s="145"/>
      <c r="LY95" s="632"/>
      <c r="LZ95" s="148"/>
      <c r="MA95" s="154"/>
      <c r="MB95" s="154"/>
      <c r="MC95" s="145"/>
      <c r="MD95" s="117"/>
      <c r="ME95" s="211"/>
      <c r="MF95" s="210"/>
      <c r="MG95" s="148"/>
      <c r="MH95" s="148"/>
      <c r="MI95" s="265"/>
      <c r="MJ95" s="647"/>
      <c r="MK95" s="264"/>
      <c r="ML95" s="153"/>
      <c r="MM95" s="153"/>
      <c r="MN95" s="153"/>
      <c r="MO95" s="153"/>
      <c r="MP95" s="153"/>
      <c r="MQ95" s="153"/>
      <c r="MR95" s="153"/>
      <c r="MS95" s="99"/>
      <c r="MT95" s="99"/>
      <c r="MU95" s="99"/>
      <c r="MV95" s="99"/>
      <c r="MW95" s="99"/>
      <c r="MX95" s="99"/>
      <c r="MY95" s="153"/>
      <c r="MZ95" s="153"/>
      <c r="NA95" s="153"/>
      <c r="NB95" s="153"/>
      <c r="NC95" s="153"/>
      <c r="ND95" s="153"/>
      <c r="NE95" s="148"/>
      <c r="NF95" s="153"/>
      <c r="NG95" s="153"/>
      <c r="NH95" s="330" t="str">
        <f t="shared" si="704"/>
        <v>ks</v>
      </c>
      <c r="NI95" s="797">
        <f>RZ[[#This Row],[Počet ks (K)]]</f>
        <v>0</v>
      </c>
      <c r="NJ95" s="798">
        <f>RZ[[#This Row],[Hmotnost '[kg/ks'] (K)]]</f>
        <v>0</v>
      </c>
      <c r="NK95" s="148"/>
      <c r="NL95" s="145"/>
      <c r="NM95" s="632"/>
      <c r="NN95" s="148"/>
      <c r="NO95" s="154"/>
      <c r="NP95" s="153"/>
      <c r="NQ95" s="153"/>
      <c r="NR95" s="210"/>
      <c r="NS95" s="148"/>
      <c r="NT95" s="210"/>
      <c r="NU95" s="148"/>
      <c r="NV95" s="148"/>
      <c r="NW95" s="175"/>
    </row>
    <row r="96" spans="2:387" ht="15.95" customHeight="1" thickBot="1" x14ac:dyDescent="0.4">
      <c r="B96" s="118" t="str">
        <f t="shared" si="597"/>
        <v/>
      </c>
      <c r="C9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6" s="262" t="str">
        <f t="shared" si="598"/>
        <v xml:space="preserve">    Ocelové profily</v>
      </c>
      <c r="E96" s="120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Row],[Kód položek (P2)]]))))))))))</f>
        <v>OKHM</v>
      </c>
      <c r="F96" s="791" t="str">
        <f t="shared" si="599"/>
        <v>N/A</v>
      </c>
      <c r="G96" s="792" t="str">
        <f t="shared" si="600"/>
        <v/>
      </c>
      <c r="H96" s="262" t="str">
        <f t="shared" si="601"/>
        <v/>
      </c>
      <c r="I96" s="123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HR '[MJHR'] (P0)]]))))))))))</f>
        <v>ks</v>
      </c>
      <c r="J96" s="123">
        <f t="shared" si="602"/>
        <v>1</v>
      </c>
      <c r="K96" s="793">
        <f>RZ[[#This Row],[Koeficient odhadu HR '[-'] (P1)]]</f>
        <v>1</v>
      </c>
      <c r="L96" s="124">
        <f ca="1">RZ[[#This Row],[Jednotková hmotnost s koef. '[kg/MJHR'] (P0)]]</f>
        <v>5.94</v>
      </c>
      <c r="M96" s="794">
        <f t="shared" ca="1" si="603"/>
        <v>0</v>
      </c>
      <c r="N96" s="125">
        <f t="shared" ca="1" si="604"/>
        <v>5.94</v>
      </c>
      <c r="O96" s="125">
        <f t="shared" ca="1" si="605"/>
        <v>0</v>
      </c>
      <c r="P96" s="126" t="str">
        <f t="shared" si="606"/>
        <v/>
      </c>
      <c r="Q96" s="795">
        <f ca="1">RZ[[#This Row],[Počet MJHR v rozpadu (P0)]]</f>
        <v>3</v>
      </c>
      <c r="R96" s="439" t="str">
        <f t="shared" si="607"/>
        <v/>
      </c>
      <c r="S96" s="129" t="str">
        <f t="shared" si="608"/>
        <v/>
      </c>
      <c r="T96" s="126" t="str">
        <f t="shared" si="609"/>
        <v/>
      </c>
      <c r="U96" s="126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CR (MJCR) (P0)]]))))))))))</f>
        <v>kg</v>
      </c>
      <c r="V96" s="575">
        <f t="shared" ca="1" si="610"/>
        <v>5.94</v>
      </c>
      <c r="W96" s="322">
        <f>RZ[[#This Row],[Koeficient odhadu CR '[-'] (P1)]]</f>
        <v>1</v>
      </c>
      <c r="X96" s="440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Row],[Jednotková cena bez DPH '[cena/MJCR'] (P1)]]*RZ[[#This Row],[Koeficient odhadu CR '[-']]]))))))))))</f>
        <v>40</v>
      </c>
      <c r="Y96" s="440">
        <f t="shared" ca="1" si="611"/>
        <v>0</v>
      </c>
      <c r="Z96" s="142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VLOOKUP(IP96,$BR$7:$BS$11,2,FALSE)))))))))))</f>
        <v>CZK</v>
      </c>
      <c r="AA96" s="909">
        <f t="shared" ca="1" si="612"/>
        <v>17.82</v>
      </c>
      <c r="AB96" s="910">
        <f ca="1">RZ[[#This Row],[Kumulovaný koeficient v rozpadu (P0)]]</f>
        <v>1</v>
      </c>
      <c r="AC96" s="261"/>
      <c r="AD96" s="796">
        <f ca="1">RZ[[#This Row],[Jednotková cena bez DPH '[cena/MJCR'] s koef. (P0)]]/RZ[[#This Row],[Koeficient odhadu CR '[-']]]*RZ[[#This Row],[Kumulovaný koeficient odhadu CR  '[-']]]</f>
        <v>40</v>
      </c>
      <c r="AE96" s="796">
        <f t="shared" ca="1" si="613"/>
        <v>712.8</v>
      </c>
      <c r="AF96" s="796">
        <f ca="1">-IF(ISNUMBER(AA96),RZ[[#This Row],[Celková cena bez DPH (1)]]-RZ[[#This Row],[Jednotková cena bez DPH '[cena/MJCR'] bez koef. (P0)]]*AA96,0)</f>
        <v>0</v>
      </c>
      <c r="AG9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39.999999999999993</v>
      </c>
      <c r="AH96" s="261"/>
      <c r="AI96" s="796">
        <f ca="1">AD96/VLOOKUP($AJ$13,KURZY,3,FALSE)</f>
        <v>1.4814814814814814</v>
      </c>
      <c r="AJ96" s="796">
        <f ca="1">AE96/VLOOKUP($AJ$13,KURZY,3,FALSE)*IF(V96="",0,1)</f>
        <v>26.4</v>
      </c>
      <c r="AK96" s="796">
        <f ca="1">AF96/VLOOKUP($AJ$13,KURZY,3,FALSE)</f>
        <v>0</v>
      </c>
      <c r="AL96" s="753">
        <f ca="1">RZ[[#This Row],[Kilogramová cena bez DPH '[cena/kg'] (1)]]/$AK$13</f>
        <v>1.4814814814814812</v>
      </c>
      <c r="AM96" s="261"/>
      <c r="AN96" s="796">
        <f ca="1">AD96/VLOOKUP($AO$13,KURZY,3,FALSE)</f>
        <v>1.9323671497584543</v>
      </c>
      <c r="AO96" s="796">
        <f ca="1">AE96/VLOOKUP($AO$13,KURZY,3,FALSE)*IF(V96="",0,1)</f>
        <v>34.434782608695649</v>
      </c>
      <c r="AP96" s="796">
        <f ca="1">AF96/VLOOKUP($AO$13,KURZY,3,FALSE)</f>
        <v>0</v>
      </c>
      <c r="AQ96" s="753">
        <f ca="1">RZ[[#This Row],[Kilogramová cena bez DPH '[cena/kg'] (1)]]/$AP$13</f>
        <v>1.9323671497584538</v>
      </c>
      <c r="AR96" s="261"/>
      <c r="AS96" s="796">
        <f ca="1">AD96/VLOOKUP($AT$13,KURZY,3,FALSE)</f>
        <v>1.0940919037199124</v>
      </c>
      <c r="AT96" s="796">
        <f ca="1">AE96/VLOOKUP($AT$13,KURZY,3,FALSE)*IF(V96="",0,1)</f>
        <v>19.496717724288839</v>
      </c>
      <c r="AU96" s="789">
        <f ca="1">AF96/VLOOKUP($AT$13,KURZY,3,FALSE)</f>
        <v>0</v>
      </c>
      <c r="AV96" s="767">
        <f ca="1">RZ[[#This Row],[Kilogramová cena bez DPH '[cena/kg'] (1)]]/$AU$13</f>
        <v>1.0940919037199122</v>
      </c>
      <c r="AW96" s="165"/>
      <c r="AX96" s="911">
        <f t="shared" ca="1" si="614"/>
        <v>2</v>
      </c>
      <c r="AY96" s="111">
        <f t="shared" ca="1" si="615"/>
        <v>4</v>
      </c>
      <c r="AZ96" s="111">
        <f t="shared" ca="1" si="616"/>
        <v>4</v>
      </c>
      <c r="BA96" s="111">
        <f t="shared" ca="1" si="617"/>
        <v>0</v>
      </c>
      <c r="BB96" s="111">
        <f t="shared" ca="1" si="618"/>
        <v>0</v>
      </c>
      <c r="BC96" s="111">
        <f t="shared" ca="1" si="619"/>
        <v>0</v>
      </c>
      <c r="BD96" s="111">
        <f t="shared" ca="1" si="620"/>
        <v>0</v>
      </c>
      <c r="BE96" s="111">
        <f t="shared" ca="1" si="621"/>
        <v>0</v>
      </c>
      <c r="BF96" s="111">
        <f t="shared" ca="1" si="622"/>
        <v>0</v>
      </c>
      <c r="BG96" s="112">
        <f t="shared" ca="1" si="623"/>
        <v>0</v>
      </c>
      <c r="BH96" s="911">
        <f t="shared" si="624"/>
        <v>0</v>
      </c>
      <c r="BI96" s="111">
        <f t="shared" si="625"/>
        <v>0</v>
      </c>
      <c r="BJ96" s="111">
        <f t="shared" si="626"/>
        <v>1</v>
      </c>
      <c r="BK96" s="111">
        <f t="shared" si="627"/>
        <v>0</v>
      </c>
      <c r="BL96" s="111">
        <f t="shared" si="628"/>
        <v>0</v>
      </c>
      <c r="BM96" s="111">
        <f t="shared" si="629"/>
        <v>0</v>
      </c>
      <c r="BN96" s="111">
        <f t="shared" si="630"/>
        <v>0</v>
      </c>
      <c r="BO96" s="111">
        <f t="shared" si="631"/>
        <v>0</v>
      </c>
      <c r="BP96" s="111">
        <f t="shared" si="632"/>
        <v>0</v>
      </c>
      <c r="BQ96" s="112">
        <f t="shared" si="633"/>
        <v>0</v>
      </c>
      <c r="BR96" s="132">
        <f ca="1">IF(OFFSET(AY96,1,0,1,1)&lt;&gt;0,RZ[[#This Row],[Koeficient odhadu HR '[-'] (P1)]]*$BH96*SUMIFS(RZ[Úroveň 2 s koef. (P2)],RZ[0],AX96),RZ[[#This Row],[Koeficient odhadu HR '[-'] (P1)]]*$BH96*$IG96)</f>
        <v>0</v>
      </c>
      <c r="BS96" s="186">
        <f ca="1">IF(OFFSET(AY96,1,0,1,1)&lt;&gt;0,$BH96*SUMIFS(RZ[Úroveň 2 bez koef. (P2)],RZ[0],AX96),$BH96*$IG96)</f>
        <v>0</v>
      </c>
      <c r="BT96" s="138">
        <f ca="1">RZ[[#This Row],[Úroveň 2 s koef. (P2a)]]*RZ[[#This Row],[Počet MJHR (P0)]]</f>
        <v>0</v>
      </c>
      <c r="BU96" s="138">
        <f ca="1">RZ[[#This Row],[Úroveň 2 bez koef. (P2a)]]*RZ[[#This Row],[Počet MJHR (P0)]]</f>
        <v>0</v>
      </c>
      <c r="BV96" s="138">
        <f ca="1">IF(OFFSET(AZ96,1,0,1,1)&lt;&gt;0,RZ[[#This Row],[Koeficient odhadu HR '[-'] (P1)]]*$BI96*SUMIFS(RZ[Úroveň 3 s koef. (P2)],RZ[0],AX96,RZ[Úroveň 2 (P0)],AY96),RZ[[#This Row],[Koeficient odhadu HR '[-'] (P1)]]*$BI96*$IG96)</f>
        <v>0</v>
      </c>
      <c r="BW96" s="138">
        <f ca="1">IF(OFFSET(AZ96,1,0,1,1)&lt;&gt;0,$BI96*SUMIFS(RZ[Úroveň 3 bez koef. (P2)],RZ[0],AX96,RZ[Úroveň 2 (P0)],AY96),$BI96*$IG96)</f>
        <v>0</v>
      </c>
      <c r="BX96" s="132">
        <f ca="1">RZ[[#This Row],[Úroveň 3 s koef. (P2a)]]*RZ[[#This Row],[Počet MJHR (P0)]]</f>
        <v>5.94</v>
      </c>
      <c r="BY96" s="132">
        <f ca="1">RZ[Úroveň 3 bez koef. (P2a)]*RZ[[#This Row],[Počet MJHR (P0)]]</f>
        <v>5.94</v>
      </c>
      <c r="BZ96" s="132">
        <f ca="1">IF(OFFSET(BA96,1,0,1,1)&lt;&gt;0,RZ[[#This Row],[Koeficient odhadu HR '[-'] (P1)]]*$BJ96*SUMIFS(RZ[Úroveň 4 s koef. (P2)],RZ[0],AX96,RZ[Úroveň 2 (P0)],AY96,RZ[Úroveň 3 (P0)],AZ96),RZ[[#This Row],[Koeficient odhadu HR '[-'] (P1)]]*$BJ96*$IG96)</f>
        <v>5.94</v>
      </c>
      <c r="CA96" s="132">
        <f ca="1">IF(OFFSET(BA96,1,0,1,1)&lt;&gt;0,$BJ96*SUMIFS(RZ[Úroveň 4 bez koef. (P2)],RZ[0],AX96,RZ[Úroveň 2 (P0)],AY96,RZ[Úroveň 3 (P0)],AZ96),$BJ96*$IG96)</f>
        <v>5.94</v>
      </c>
      <c r="CB96" s="138">
        <f ca="1">RZ[[#This Row],[Úroveň 4 s koef. (P2a)]]*RZ[[#This Row],[Počet MJHR (P0)]]</f>
        <v>0</v>
      </c>
      <c r="CC96" s="138">
        <f ca="1">RZ[Úroveň 4 bez koef. (P2a)]*RZ[[#This Row],[Počet MJHR (P0)]]</f>
        <v>0</v>
      </c>
      <c r="CD96" s="138">
        <f ca="1">IF(OFFSET(BB96,1,0,1,1)&lt;&gt;0,RZ[[#This Row],[Koeficient odhadu HR '[-'] (P1)]]*$BK96*SUMIFS(RZ[Úroveň 5 s koef. (P2)],RZ[0],AX96,RZ[Úroveň 2 (P0)],AY96,RZ[Úroveň 3 (P0)],AZ96,RZ[Úroveň 4 (P0)],BA96),RZ[[#This Row],[Koeficient odhadu HR '[-'] (P1)]]*$BK96*$IG96)</f>
        <v>0</v>
      </c>
      <c r="CE96" s="138">
        <f ca="1">IF(OFFSET(BB96,1,0,1,1)&lt;&gt;0,$BK96*SUMIFS(RZ[Úroveň 5 bez koef. (P2)],RZ[0],AX96,RZ[Úroveň 2 (P0)],AY96,RZ[Úroveň 3 (P0)],AZ96,RZ[Úroveň 4 (P0)],BA96),$BK96*$IG96)</f>
        <v>0</v>
      </c>
      <c r="CF96" s="132">
        <f ca="1">RZ[[#This Row],[Úroveň 5 s koef. (P2a)]]*RZ[[#This Row],[Počet MJHR (P0)]]</f>
        <v>0</v>
      </c>
      <c r="CG96" s="132">
        <f ca="1">RZ[Úroveň 5 bez koef. (P2a)]*RZ[[#This Row],[Počet MJHR (P0)]]</f>
        <v>0</v>
      </c>
      <c r="CH96" s="132">
        <f ca="1">IF(OFFSET(BC96,1,0,1,1)&lt;&gt;0,RZ[[#This Row],[Koeficient odhadu HR '[-'] (P1)]]*$BL96*SUMIFS(RZ[Úroveň 6 s koef. (P2)],RZ[0],AX96,RZ[Úroveň 2 (P0)],AY96,RZ[Úroveň 3 (P0)],AZ96,RZ[Úroveň 4 (P0)],BA96,RZ[Úroveň 5 (P0)],BB96),RZ[[#This Row],[Koeficient odhadu HR '[-'] (P1)]]*$BL96*$IG96)</f>
        <v>0</v>
      </c>
      <c r="CI96" s="132">
        <f ca="1">IF(OFFSET(BC96,1,0,1,1)&lt;&gt;0,$BL96*SUMIFS(RZ[Úroveň 6 bez koef. (P2)],RZ[0],AX96,RZ[Úroveň 2 (P0)],AY96,RZ[Úroveň 3 (P0)],AZ96,RZ[Úroveň 4 (P0)],BA96,RZ[Úroveň 5 (P0)],BB96),$BL96*$IG96)</f>
        <v>0</v>
      </c>
      <c r="CJ96" s="138">
        <f ca="1">RZ[[#This Row],[Úroveň 6 s koef. (P2a)]]*RZ[[#This Row],[Počet MJHR (P0)]]</f>
        <v>0</v>
      </c>
      <c r="CK96" s="138">
        <f ca="1">RZ[Úroveň 6 bez koef. (P2a)]*RZ[[#This Row],[Počet MJHR (P0)]]</f>
        <v>0</v>
      </c>
      <c r="CL96" s="138">
        <f ca="1">IF(OFFSET(BD96,1,0,1,1)&lt;&gt;0,RZ[[#This Row],[Koeficient odhadu HR '[-'] (P1)]]*$BM96*SUMIFS(RZ[Úroveň 7 s koef. (P2)],RZ[0],AX96,RZ[Úroveň 2 (P0)],AY96,RZ[Úroveň 3 (P0)],AZ96,RZ[Úroveň 4 (P0)],BA96,RZ[Úroveň 5 (P0)],BB96,RZ[Úroveň 6 (P0)],BC96),RZ[[#This Row],[Koeficient odhadu HR '[-'] (P1)]]*$BM96*$IG96)</f>
        <v>0</v>
      </c>
      <c r="CM96" s="138">
        <f ca="1">IF(OFFSET(BD96,1,0,1,1)&lt;&gt;0,$BM96*SUMIFS(RZ[Úroveň 7 bez koef. (P2)],RZ[0],AX96,RZ[Úroveň 2 (P0)],AY96,RZ[Úroveň 3 (P0)],AZ96,RZ[Úroveň 4 (P0)],BA96,RZ[Úroveň 5 (P0)],BB96,RZ[Úroveň 6 (P0)],BC96),$BM96*$IG96)</f>
        <v>0</v>
      </c>
      <c r="CN96" s="132">
        <f ca="1">RZ[[#This Row],[Úroveň 7 s koef. (P2a)]]*RZ[[#This Row],[Počet MJHR (P0)]]</f>
        <v>0</v>
      </c>
      <c r="CO96" s="132">
        <f ca="1">RZ[Úroveň 7 bez koef. (P2a)]*RZ[[#This Row],[Počet MJHR (P0)]]</f>
        <v>0</v>
      </c>
      <c r="CP96" s="132">
        <f ca="1">IF(OFFSET(BE96,1,0,1,1)&lt;&gt;0,RZ[[#This Row],[Koeficient odhadu HR '[-'] (P1)]]*$BN96*SUMIFS(RZ[Úroveň 8 s koef. (P2)],RZ[0],AX96,RZ[Úroveň 2 (P0)],AY96,RZ[Úroveň 3 (P0)],AZ96,RZ[Úroveň 4 (P0)],BA96,RZ[Úroveň 5 (P0)],BB96,RZ[Úroveň 6 (P0)],BC96,RZ[Úroveň 7 (P0)],BD96),RZ[[#This Row],[Koeficient odhadu HR '[-'] (P1)]]*$BN96*$IG96)</f>
        <v>0</v>
      </c>
      <c r="CQ96" s="132">
        <f ca="1">IF(OFFSET(BE96,1,0,1,1)&lt;&gt;0,$BN96*SUMIFS(RZ[Úroveň 8 bez koef. (P2)],RZ[0],AX96,RZ[Úroveň 2 (P0)],AY96,RZ[Úroveň 3 (P0)],AZ96,RZ[Úroveň 4 (P0)],BA96,RZ[Úroveň 5 (P0)],BB96,RZ[Úroveň 6 (P0)],BC96,RZ[Úroveň 7 (P0)],BD96),$BN96*$IG96)</f>
        <v>0</v>
      </c>
      <c r="CR96" s="138">
        <f ca="1">RZ[[#This Row],[Úroveň 8 s koef. (P2a)]]*RZ[[#This Row],[Počet MJHR (P0)]]</f>
        <v>0</v>
      </c>
      <c r="CS96" s="138">
        <f ca="1">RZ[Úroveň 8 bez koef. (P2a)]*RZ[[#This Row],[Počet MJHR (P0)]]</f>
        <v>0</v>
      </c>
      <c r="CT96" s="138">
        <f ca="1">IF(OFFSET(BF96,1,0,1,1)&lt;&gt;0,RZ[[#This Row],[Koeficient odhadu HR '[-'] (P1)]]*$BO96*SUMIFS(RZ[Úroveň 9 s koef. (P2)],RZ[0],AX96,RZ[Úroveň 2 (P0)],AY96,RZ[Úroveň 3 (P0)],AZ96,RZ[Úroveň 4 (P0)],BA96,RZ[Úroveň 5 (P0)],BB96,RZ[Úroveň 6 (P0)],BC96,RZ[Úroveň 7 (P0)],BD96,RZ[Úroveň 8 (P0)],BE96),RZ[[#This Row],[Koeficient odhadu HR '[-'] (P1)]]*$BO96*$IG96)</f>
        <v>0</v>
      </c>
      <c r="CU96" s="138">
        <f ca="1">IF(OFFSET(BF96,1,0,1,1)&lt;&gt;0,$BO96*SUMIFS(RZ[Úroveň 9 bez koef. (P2)],RZ[0],AX96,RZ[Úroveň 2 (P0)],AY96,RZ[Úroveň 3 (P0)],AZ96,RZ[Úroveň 4 (P0)],BA96,RZ[Úroveň 5 (P0)],BB96,RZ[Úroveň 6 (P0)],BC96,RZ[Úroveň 7 (P0)],BD96,RZ[Úroveň 8 (P0)],BE96),$BO96*$IG96)</f>
        <v>0</v>
      </c>
      <c r="CV96" s="132">
        <f ca="1">RZ[[#This Row],[Úroveň 9 s koef. (P2a)]]*RZ[[#This Row],[Počet MJHR (P0)]]</f>
        <v>0</v>
      </c>
      <c r="CW96" s="132">
        <f ca="1">RZ[Úroveň 9 bez koef. (P2a)]*RZ[[#This Row],[Počet MJHR (P0)]]</f>
        <v>0</v>
      </c>
      <c r="CX96" s="132">
        <f ca="1">IF(OFFSET(BG96,1,0,1,1)&lt;&gt;0,RZ[[#This Row],[Koeficient odhadu HR '[-'] (P1)]]*$BP96*SUMIFS(RZ[Úroveň 10 s koef. (P2)],RZ[0],AX96,RZ[Úroveň 2 (P0)],AY96,RZ[Úroveň 3 (P0)],AZ96,RZ[Úroveň 4 (P0)],BA96,RZ[Úroveň 5 (P0)],BB96,RZ[Úroveň 6 (P0)],BC96,RZ[Úroveň 7 (P0)],BD96,RZ[Úroveň 8 (P0)],BE96,RZ[Úroveň 9 (P0)],BF96),RZ[[#This Row],[Koeficient odhadu HR '[-'] (P1)]]*$BP96*$IG96)</f>
        <v>0</v>
      </c>
      <c r="CY96" s="132">
        <f ca="1">IF(OFFSET(BG96,1,0,1,1)&lt;&gt;0,$BP96*SUMIFS(RZ[Úroveň 10 bez koef. (P2)],RZ[0],AX96,RZ[Úroveň 2 (P0)],AY96,RZ[Úroveň 3 (P0)],AZ96,RZ[Úroveň 4 (P0)],BA96,RZ[Úroveň 5 (P0)],BB96,RZ[Úroveň 6 (P0)],BC96,RZ[Úroveň 7 (P0)],BD96,RZ[Úroveň 8 (P0)],BE96,RZ[Úroveň 9 (P0)],BF96),$BP96*$IG96)</f>
        <v>0</v>
      </c>
      <c r="CZ96" s="138">
        <f>RZ[[#This Row],[Úroveň 10 s koef. (P2a)]]*RZ[[#This Row],[Počet MJHR (P0)]]</f>
        <v>0</v>
      </c>
      <c r="DA96" s="138">
        <f>RZ[Úroveň 10 bez koef. (P2a)]*RZ[[#This Row],[Počet MJHR (P0)]]</f>
        <v>0</v>
      </c>
      <c r="DB96" s="138">
        <f>RZ[[#This Row],[Koeficient odhadu HR '[-'] (P1)]]*$BQ96*IG96</f>
        <v>0</v>
      </c>
      <c r="DC96" s="231">
        <f t="shared" si="634"/>
        <v>0</v>
      </c>
      <c r="DD96" s="241">
        <f t="shared" ca="1" si="635"/>
        <v>5.94</v>
      </c>
      <c r="DE96" s="229">
        <f t="shared" ca="1" si="636"/>
        <v>5.94</v>
      </c>
      <c r="DF96" s="912">
        <f t="shared" si="637"/>
        <v>0</v>
      </c>
      <c r="DG96" s="913">
        <f t="shared" si="638"/>
        <v>0</v>
      </c>
      <c r="DH96" s="913">
        <f t="shared" si="639"/>
        <v>1</v>
      </c>
      <c r="DI96" s="913">
        <f t="shared" si="640"/>
        <v>0</v>
      </c>
      <c r="DJ96" s="913">
        <f t="shared" si="641"/>
        <v>0</v>
      </c>
      <c r="DK96" s="913">
        <f t="shared" si="642"/>
        <v>0</v>
      </c>
      <c r="DL96" s="913">
        <f t="shared" si="643"/>
        <v>0</v>
      </c>
      <c r="DM96" s="913">
        <f t="shared" si="644"/>
        <v>0</v>
      </c>
      <c r="DN96" s="913">
        <f t="shared" si="645"/>
        <v>0</v>
      </c>
      <c r="DO96" s="913">
        <f t="shared" si="646"/>
        <v>0</v>
      </c>
      <c r="DP96" s="914">
        <f ca="1">SUMIFS(RZ[Úroveň 1 (P4)],RZ[0],AX96)</f>
        <v>1</v>
      </c>
      <c r="DQ96" s="914">
        <f ca="1">SUMIFS(RZ[Úroveň 2 (P4)],RZ[0],AX96,RZ[Úroveň 2 (P0)],AY96)</f>
        <v>3</v>
      </c>
      <c r="DR96" s="914">
        <f ca="1">SUMIFS(RZ[Úroveň 3 (P4)],RZ[0],AX96,RZ[Úroveň 2 (P0)],AY96,RZ[Úroveň 3 (P0)],AZ96)</f>
        <v>1</v>
      </c>
      <c r="DS96" s="914">
        <f ca="1">SUMIFS(RZ[Úroveň 4 (P4)],RZ[0],AX96,RZ[Úroveň 2 (P0)],AY96,RZ[Úroveň 3 (P0)],AZ96,RZ[Úroveň 4 (P0)],BA96)</f>
        <v>0</v>
      </c>
      <c r="DT96" s="914">
        <f ca="1">SUMIFS(RZ[Úroveň 5 (P4)],RZ[0],AX96,RZ[Úroveň 2 (P0)],AY96,RZ[Úroveň 3 (P0)],AZ96,RZ[Úroveň 4 (P0)],BA96,RZ[Úroveň 5 (P0)],BB96)</f>
        <v>0</v>
      </c>
      <c r="DU96" s="914">
        <f ca="1">SUMIFS(RZ[Úroveň 6 (P4)],RZ[0],AX96,RZ[Úroveň 2 (P0)],AY96,RZ[Úroveň 3 (P0)],AZ96,RZ[Úroveň 4 (P0)],BA96,RZ[Úroveň 5 (P0)],BB96,RZ[Úroveň 6 (P0)],BC96)</f>
        <v>0</v>
      </c>
      <c r="DV96" s="914">
        <f ca="1">SUMIFS(RZ[Úroveň 7 (P4)],RZ[0],AX96,RZ[Úroveň 2 (P0)],AY96,RZ[Úroveň 3 (P0)],AZ96,RZ[Úroveň 4 (P0)],BA96,RZ[Úroveň 5 (P0)],BB96,RZ[Úroveň 6 (P0)],BC96,RZ[Úroveň 7 (P0)],BD96)</f>
        <v>0</v>
      </c>
      <c r="DW96" s="914">
        <f ca="1">SUMIFS(RZ[Úroveň 8 (P4)],RZ[0],AX96,RZ[Úroveň 2 (P0)],AY96,RZ[Úroveň 3 (P0)],AZ96,RZ[Úroveň 4 (P0)],BA96,RZ[Úroveň 5 (P0)],BB96,RZ[Úroveň 6 (P0)],BC96,RZ[Úroveň 7 (P0)],BD96,RZ[Úroveň 8 (P0)],BE96)</f>
        <v>0</v>
      </c>
      <c r="DX96" s="914">
        <f ca="1">SUMIFS(RZ[Úroveň 9 (P4)],RZ[0],AX96,RZ[Úroveň 2 (P0)],AY96,RZ[Úroveň 3 (P0)],AZ96,RZ[Úroveň 4 (P0)],BA96,RZ[Úroveň 5 (P0)],BB96,RZ[Úroveň 6 (P0)],BC96,RZ[Úroveň 7 (P0)],BD96,RZ[Úroveň 8 (P0)],BE96,RZ[Úroveň 9 (P0)],BF96)</f>
        <v>0</v>
      </c>
      <c r="DY96" s="914">
        <f ca="1">SUMIFS(RZ[Úroveň 10 (P4)],RZ[0],AX96,RZ[Úroveň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DZ96" s="915">
        <f t="shared" ca="1" si="647"/>
        <v>3</v>
      </c>
      <c r="EA96" s="916">
        <f ca="1">RZ[[#This Row],[Jednotková hmotnost bez koef. '[kg/MJHR'] (P0)]]*RZ[[#This Row],[Počet MJHR v rozpadu (P0)]]</f>
        <v>17.82</v>
      </c>
      <c r="EB96" s="917">
        <f ca="1">IF(OFFSET(AY96,1,0,1,1)&lt;&gt;0,RZ[[#This Row],[Koeficient odhadu CR '[-'] (P1)]]*$BH96*SUMIFS(RZ[Úroveň 2 s koef. (P3)],RZ[0],AX96),RZ[[#This Row],[Koeficient odhadu CR '[-'] (P1)]]*$BH96*$IQ96)</f>
        <v>0</v>
      </c>
      <c r="EC96" s="191">
        <f ca="1">IF(OFFSET(AY96,1,0,1,1)&lt;&gt;0,$BH96*SUMIFS(RZ[Úroveň 2 bez koef. (P3)],RZ[0],AX96),$BH96*$IQ96)</f>
        <v>0</v>
      </c>
      <c r="ED96" s="140">
        <f ca="1">RZ[[#This Row],[Úroveň 2 s koef. (P3a)]]*RZ[[#This Row],[Počet MJCR (P0) pro "kg"]]</f>
        <v>0</v>
      </c>
      <c r="EE96" s="140">
        <f ca="1">RZ[Úroveň 2 bez koef. (P3a)]*RZ[[#This Row],[Počet MJCR (P0) pro "kg"]]</f>
        <v>0</v>
      </c>
      <c r="EF96" s="140">
        <f ca="1">IF(OFFSET(AZ96,1,0,1,1)&lt;&gt;0,RZ[[#This Row],[Koeficient odhadu CR '[-'] (P1)]]*$BI96*SUMIFS(RZ[Úroveň 3 s koef. (P3)],RZ[0],AX96,RZ[Úroveň 2 (P0)],AY96),RZ[[#This Row],[Koeficient odhadu CR '[-'] (P1)]]*$BI96*$IQ96)</f>
        <v>0</v>
      </c>
      <c r="EG96" s="140">
        <f ca="1">IF(OFFSET(AZ96,1,0,1,1)&lt;&gt;0,$BI96*SUMIFS(RZ[Úroveň 3 bez koef. (P3)],RZ[0],AX96,RZ[Úroveň 2 (P0)],AY96),$BI96*$IQ96)</f>
        <v>0</v>
      </c>
      <c r="EH96" s="135">
        <f ca="1">RZ[[#This Row],[Úroveň 3 s koef. (P3a)]]*RZ[[#This Row],[Počet MJCR (P0) pro "kg"]]</f>
        <v>237.60000000000002</v>
      </c>
      <c r="EI96" s="135">
        <f ca="1">RZ[Úroveň 3 bez koef. (P3a)]*RZ[[#This Row],[Počet MJCR (P0) pro "kg"]]</f>
        <v>237.60000000000002</v>
      </c>
      <c r="EJ96" s="135">
        <f ca="1">IF(OFFSET(BA96,1,0,1,1)&lt;&gt;0,RZ[[#This Row],[Koeficient odhadu CR '[-'] (P1)]]*$BJ96*SUMIFS(RZ[Úroveň 4 s koef. (P3)],RZ[0],AX96,RZ[Úroveň 2 (P0)],AY96,RZ[Úroveň 3 (P0)],AZ96),RZ[[#This Row],[Koeficient odhadu CR '[-'] (P1)]]*$BJ96*$IQ96)</f>
        <v>40</v>
      </c>
      <c r="EK96" s="135">
        <f ca="1">IF(OFFSET(BA96,1,0,1,1)&lt;&gt;0,$BJ96*SUMIFS(RZ[Úroveň 4 bez koef. (P3)],RZ[0],AX96,RZ[Úroveň 2 (P0)],AY96,RZ[Úroveň 3 (P0)],AZ96),$BJ96*$IQ96)</f>
        <v>40</v>
      </c>
      <c r="EL96" s="140">
        <f ca="1">RZ[[#This Row],[Úroveň 4 s koef. (P3a)]]*RZ[[#This Row],[Počet MJCR (P0) pro "kg"]]</f>
        <v>0</v>
      </c>
      <c r="EM96" s="140">
        <f ca="1">RZ[Úroveň 4 bez koef. (P3a)]*RZ[[#This Row],[Počet MJCR (P0) pro "kg"]]</f>
        <v>0</v>
      </c>
      <c r="EN96" s="140">
        <f ca="1">IF(OFFSET(BB96,1,0,1,1)&lt;&gt;0,RZ[[#This Row],[Koeficient odhadu CR '[-'] (P1)]]*$BK96*SUMIFS(RZ[Úroveň 5 s koef. (P3)],RZ[0],AX96,RZ[Úroveň 2 (P0)],AY96,RZ[Úroveň 3 (P0)],AZ96,RZ[Úroveň 4 (P0)],BA96),RZ[[#This Row],[Koeficient odhadu CR '[-'] (P1)]]*$BK96*$IQ96)</f>
        <v>0</v>
      </c>
      <c r="EO96" s="140">
        <f ca="1">IF(OFFSET(BB96,1,0,1,1)&lt;&gt;0,$BK96*SUMIFS(RZ[Úroveň 5 bez koef. (P3)],RZ[0],AX96,RZ[Úroveň 2 (P0)],AY96,RZ[Úroveň 3 (P0)],AZ96,RZ[Úroveň 4 (P0)],BA96),$BK96*$IQ96)</f>
        <v>0</v>
      </c>
      <c r="EP96" s="135">
        <f ca="1">RZ[[#This Row],[Úroveň 5 s koef. (P3a)]]*RZ[[#This Row],[Počet MJCR (P0) pro "kg"]]</f>
        <v>0</v>
      </c>
      <c r="EQ96" s="135">
        <f ca="1">RZ[Úroveň 5 bez koef. (P3a)]*RZ[[#This Row],[Počet MJCR (P0) pro "kg"]]</f>
        <v>0</v>
      </c>
      <c r="ER96" s="135">
        <f ca="1">IF(OFFSET(BC96,1,0,1,1)&lt;&gt;0,RZ[[#This Row],[Koeficient odhadu CR '[-'] (P1)]]*$BL96*SUMIFS(RZ[Úroveň 6 s koef. (P3)],RZ[0],AX96,RZ[Úroveň 2 (P0)],AY96,RZ[Úroveň 3 (P0)],AZ96,RZ[Úroveň 4 (P0)],BA96,RZ[Úroveň 5 (P0)],BB96),RZ[[#This Row],[Koeficient odhadu CR '[-'] (P1)]]*$BL96*$IQ96)</f>
        <v>0</v>
      </c>
      <c r="ES96" s="135">
        <f ca="1">IF(OFFSET(BC96,1,0,1,1)&lt;&gt;0,$BL96*SUMIFS(RZ[Úroveň 6 bez koef. (P3)],RZ[0],AX96,RZ[Úroveň 2 (P0)],AY96,RZ[Úroveň 3 (P0)],AZ96,RZ[Úroveň 4 (P0)],BA96,RZ[Úroveň 5 (P0)],BB96),$BL96*$IQ96)</f>
        <v>0</v>
      </c>
      <c r="ET96" s="140">
        <f ca="1">RZ[[#This Row],[Úroveň 6 s koef. (P3a)]]*RZ[[#This Row],[Počet MJCR (P0) pro "kg"]]</f>
        <v>0</v>
      </c>
      <c r="EU96" s="140">
        <f ca="1">RZ[Úroveň 6 bez koef. (P3a)]*RZ[[#This Row],[Počet MJCR (P0) pro "kg"]]</f>
        <v>0</v>
      </c>
      <c r="EV96" s="140">
        <f ca="1">IF(OFFSET(BD96,1,0,1,1)&lt;&gt;0,RZ[[#This Row],[Koeficient odhadu CR '[-'] (P1)]]*$BM96*SUMIFS(RZ[Úroveň 7 s koef. (P3)],RZ[0],AX96,RZ[Úroveň 2 (P0)],AY96,RZ[Úroveň 3 (P0)],AZ96,RZ[Úroveň 4 (P0)],BA96,RZ[Úroveň 5 (P0)],BB96,RZ[Úroveň 6 (P0)],BC96),RZ[[#This Row],[Koeficient odhadu CR '[-'] (P1)]]*$BM96*$IQ96)</f>
        <v>0</v>
      </c>
      <c r="EW96" s="140">
        <f ca="1">IF(OFFSET(BD96,1,0,1,1)&lt;&gt;0,$BM96*SUMIFS(RZ[Úroveň 7 bez koef. (P3)],RZ[0],AX96,RZ[Úroveň 2 (P0)],AY96,RZ[Úroveň 3 (P0)],AZ96,RZ[Úroveň 4 (P0)],BA96,RZ[Úroveň 5 (P0)],BB96,RZ[Úroveň 6 (P0)],BC96),$BM96*$IQ96)</f>
        <v>0</v>
      </c>
      <c r="EX96" s="135">
        <f ca="1">RZ[[#This Row],[Úroveň 7 s koef. (P3a)]]*RZ[[#This Row],[Počet MJCR (P0) pro "kg"]]</f>
        <v>0</v>
      </c>
      <c r="EY96" s="135">
        <f ca="1">RZ[Úroveň 7 bez koef. (P3a)]*RZ[[#This Row],[Počet MJCR (P0) pro "kg"]]</f>
        <v>0</v>
      </c>
      <c r="EZ96" s="135">
        <f ca="1">IF(OFFSET(BE96,1,0,1,1)&lt;&gt;0,RZ[[#This Row],[Koeficient odhadu CR '[-'] (P1)]]*$BN96*SUMIFS(RZ[Úroveň 8 s koef. (P3)],RZ[0],AX96,RZ[Úroveň 2 (P0)],AY96,RZ[Úroveň 3 (P0)],AZ96,RZ[Úroveň 4 (P0)],BA96,RZ[Úroveň 5 (P0)],BB96,RZ[Úroveň 6 (P0)],BC96,RZ[Úroveň 7 (P0)],BD96),RZ[[#This Row],[Koeficient odhadu CR '[-'] (P1)]]*$BN96*$IQ96)</f>
        <v>0</v>
      </c>
      <c r="FA96" s="135">
        <f ca="1">IF(OFFSET(BE96,1,0,1,1)&lt;&gt;0,$BN96*SUMIFS(RZ[Úroveň 8 bez koef. (P3)],RZ[0],AX96,RZ[Úroveň 2 (P0)],AY96,RZ[Úroveň 3 (P0)],AZ96,RZ[Úroveň 4 (P0)],BA96,RZ[Úroveň 5 (P0)],BB96,RZ[Úroveň 6 (P0)],BC96,RZ[Úroveň 7 (P0)],BD96),$BN96*$IQ96)</f>
        <v>0</v>
      </c>
      <c r="FB96" s="140">
        <f ca="1">RZ[[#This Row],[Úroveň 8 s koef. (P3a)]]*RZ[[#This Row],[Počet MJCR (P0) pro "kg"]]</f>
        <v>0</v>
      </c>
      <c r="FC96" s="140">
        <f ca="1">RZ[Úroveň 8 bez koef. (P3a)]*RZ[[#This Row],[Počet MJCR (P0) pro "kg"]]</f>
        <v>0</v>
      </c>
      <c r="FD96" s="140">
        <f ca="1">IF(OFFSET(BF96,1,0,1,1)&lt;&gt;0,RZ[[#This Row],[Koeficient odhadu CR '[-'] (P1)]]*$BO96*SUMIFS(RZ[Úroveň 9 s koef. (P3)],RZ[0],AX96,RZ[Úroveň 2 (P0)],AY96,RZ[Úroveň 3 (P0)],AZ96,RZ[Úroveň 4 (P0)],BA96,RZ[Úroveň 5 (P0)],BB96,RZ[Úroveň 6 (P0)],BC96,RZ[Úroveň 7 (P0)],BD96,RZ[Úroveň 8 (P0)],BE96),RZ[[#This Row],[Koeficient odhadu CR '[-'] (P1)]]*$BO96*$IQ96)</f>
        <v>0</v>
      </c>
      <c r="FE96" s="140">
        <f ca="1">IF(OFFSET(BF96,1,0,1,1)&lt;&gt;0,$BO96*SUMIFS(RZ[Úroveň 9 bez koef. (P3)],RZ[0],AX96,RZ[Úroveň 2 (P0)],AY96,RZ[Úroveň 3 (P0)],AZ96,RZ[Úroveň 4 (P0)],BA96,RZ[Úroveň 5 (P0)],BB96,RZ[Úroveň 6 (P0)],BC96,RZ[Úroveň 7 (P0)],BD96,RZ[Úroveň 8 (P0)],BE96),$BO96*$IQ96)</f>
        <v>0</v>
      </c>
      <c r="FF96" s="135">
        <f ca="1">RZ[[#This Row],[Úroveň 9 s koef. (P3a)]]*RZ[[#This Row],[Počet MJCR (P0) pro "kg"]]</f>
        <v>0</v>
      </c>
      <c r="FG96" s="135">
        <f ca="1">RZ[Úroveň 9 bez koef. (P3a)]*RZ[[#This Row],[Počet MJCR (P0) pro "kg"]]</f>
        <v>0</v>
      </c>
      <c r="FH96" s="135">
        <f ca="1">IF(OFFSET(BG96,1,0,1,1)&lt;&gt;0,RZ[[#This Row],[Koeficient odhadu CR '[-'] (P1)]]*$BP96*SUMIFS(RZ[Úroveň 10 s koef. (P3)],RZ[0],AX96,RZ[Úroveň 2 (P0)],AY96,RZ[Úroveň 3 (P0)],AZ96,RZ[Úroveň 4 (P0)],BA96,RZ[Úroveň 5 (P0)],BB96,RZ[Úroveň 6 (P0)],BC96,RZ[Úroveň 7 (P0)],BD96,RZ[Úroveň 8 (P0)],BE96,RZ[Úroveň 9 (P0)],BF96),RZ[[#This Row],[Koeficient odhadu CR '[-'] (P1)]]*$BP96*$IQ96)</f>
        <v>0</v>
      </c>
      <c r="FI96" s="135">
        <f ca="1">IF(OFFSET(BG96,1,0,1,1)&lt;&gt;0,$BP96*SUMIFS(RZ[Úroveň 10 bez koef. (P3)],RZ[0],AX96,RZ[Úroveň 2 (P0)],AY96,RZ[Úroveň 3 (P0)],AZ96,RZ[Úroveň 4 (P0)],BA96,RZ[Úroveň 5 (P0)],BB96,RZ[Úroveň 6 (P0)],BC96,RZ[Úroveň 7 (P0)],BD96,RZ[Úroveň 8 (P0)],BE96,RZ[Úroveň 9 (P0)],BF96),$BP96*$IQ96)</f>
        <v>0</v>
      </c>
      <c r="FJ96" s="140">
        <f ca="1">RZ[[#This Row],[Úroveň 10 s koef. (P3a)]]*RZ[[#This Row],[Počet MJCR (P0) pro "kg"]]</f>
        <v>0</v>
      </c>
      <c r="FK96" s="140">
        <f ca="1">RZ[Úroveň 10 bez koef. (P3a)]*RZ[[#This Row],[Počet MJCR (P0) pro "kg"]]</f>
        <v>0</v>
      </c>
      <c r="FL96" s="140">
        <f ca="1">RZ[[#This Row],[Koeficient odhadu CR '[-'] (P1)]]*$BQ96*IQ96</f>
        <v>0</v>
      </c>
      <c r="FM96" s="236">
        <f t="shared" ca="1" si="648"/>
        <v>0</v>
      </c>
      <c r="FN96" s="194">
        <f t="shared" ca="1" si="649"/>
        <v>40</v>
      </c>
      <c r="FO96" s="238">
        <f t="shared" ca="1" si="650"/>
        <v>40</v>
      </c>
      <c r="FP96" s="135">
        <f t="shared" ca="1" si="651"/>
        <v>0</v>
      </c>
      <c r="FQ96" s="135">
        <f t="shared" ca="1" si="652"/>
        <v>0</v>
      </c>
      <c r="FR96" s="135">
        <f t="shared" ca="1" si="653"/>
        <v>5.94</v>
      </c>
      <c r="FS96" s="135">
        <f t="shared" ca="1" si="654"/>
        <v>0</v>
      </c>
      <c r="FT96" s="135">
        <f t="shared" ca="1" si="655"/>
        <v>0</v>
      </c>
      <c r="FU96" s="135">
        <f t="shared" ca="1" si="656"/>
        <v>0</v>
      </c>
      <c r="FV96" s="135">
        <f t="shared" ca="1" si="657"/>
        <v>0</v>
      </c>
      <c r="FW96" s="135">
        <f t="shared" ca="1" si="658"/>
        <v>0</v>
      </c>
      <c r="FX96" s="135">
        <f t="shared" ca="1" si="659"/>
        <v>0</v>
      </c>
      <c r="FY96" s="135">
        <f t="shared" ca="1" si="660"/>
        <v>0</v>
      </c>
      <c r="FZ96" s="140">
        <f ca="1">SUMIFS(RZ[Úroveň 1 (P6)],RZ[0],AX96)</f>
        <v>1</v>
      </c>
      <c r="GA96" s="140">
        <f ca="1">SUMIFS(RZ[Úroveň 2 (P6)],RZ[0],AX96,RZ[Úroveň 2 (P0)],AY96)</f>
        <v>3</v>
      </c>
      <c r="GB96" s="140">
        <f ca="1">SUMIFS(RZ[Úroveň 3 (P6)],RZ[0],AX96,RZ[Úroveň 2 (P0)],AY96,RZ[Úroveň 3 (P0)],AZ96)</f>
        <v>5.94</v>
      </c>
      <c r="GC96" s="140">
        <f ca="1">SUMIFS(RZ[Úroveň 4 (P6)],RZ[0],AX96,RZ[Úroveň 2 (P0)],AY96,RZ[Úroveň 3 (P0)],AZ96,RZ[Úroveň 4 (P0)],BA96)</f>
        <v>0</v>
      </c>
      <c r="GD96" s="140">
        <f ca="1">SUMIFS(RZ[Úroveň 5 (P6)],RZ[0],AX96,RZ[Úroveň 2 (P0)],AY96,RZ[Úroveň 3 (P0)],AZ96,RZ[Úroveň 4 (P0)],BA96,RZ[Úroveň 5 (P0)],BB96)</f>
        <v>0</v>
      </c>
      <c r="GE96" s="140">
        <f ca="1">SUMIFS(RZ[Úroveň 6 (P6)],RZ[0],AX96,RZ[Úroveň 2 (P0)],AY96,RZ[Úroveň 3 (P0)],AZ96,RZ[Úroveň 4 (P0)],BA96,RZ[Úroveň 5 (P0)],BB96,RZ[Úroveň 6 (P0)],BC96)</f>
        <v>0</v>
      </c>
      <c r="GF96" s="140">
        <f ca="1">SUMIFS(RZ[Úroveň 7 (P6)],RZ[0],AX96,RZ[Úroveň 2 (P0)],AY96,RZ[Úroveň 3 (P0)],AZ96,RZ[Úroveň 4 (P0)],BA96,RZ[Úroveň 5 (P0)],BB96,RZ[Úroveň 6 (P0)],BC96,RZ[Úroveň 7 (P0)],BD96)</f>
        <v>0</v>
      </c>
      <c r="GG96" s="140">
        <f ca="1">SUMIFS(RZ[Úroveň 8 (P6)],RZ[0],AX96,RZ[Úroveň 2 (P0)],AY96,RZ[Úroveň 3 (P0)],AZ96,RZ[Úroveň 4 (P0)],BA96,RZ[Úroveň 5 (P0)],BB96,RZ[Úroveň 6 (P0)],BC96,RZ[Úroveň 7 (P0)],BD96,RZ[Úroveň 8 (P0)],BE96)</f>
        <v>0</v>
      </c>
      <c r="GH96" s="140">
        <f ca="1">SUMIFS(RZ[Úroveň 9 (P6)],RZ[0],AX96,RZ[Úroveň 2 (P0)],AY96,RZ[Úroveň 3 (P0)],AZ96,RZ[Úroveň 4 (P0)],BA96,RZ[Úroveň 5 (P0)],BB96,RZ[Úroveň 6 (P0)],BC96,RZ[Úroveň 7 (P0)],BD96,RZ[Úroveň 8 (P0)],BE96,RZ[Úroveň 9 (P0)],BF96)</f>
        <v>0</v>
      </c>
      <c r="GI96" s="140">
        <f ca="1">SUMIFS(RZ[Úroveň 10 (P6)],RZ[0],AX96,RZ[Úroveň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GJ96" s="918">
        <f t="shared" ca="1" si="661"/>
        <v>17.82</v>
      </c>
      <c r="GK96" s="808">
        <f t="shared" si="662"/>
        <v>0</v>
      </c>
      <c r="GL96" s="808">
        <f t="shared" si="663"/>
        <v>0</v>
      </c>
      <c r="GM96" s="808">
        <f t="shared" si="664"/>
        <v>1</v>
      </c>
      <c r="GN96" s="808">
        <f t="shared" si="665"/>
        <v>0</v>
      </c>
      <c r="GO96" s="808">
        <f t="shared" si="666"/>
        <v>0</v>
      </c>
      <c r="GP96" s="808">
        <f t="shared" si="667"/>
        <v>0</v>
      </c>
      <c r="GQ96" s="808">
        <f t="shared" si="668"/>
        <v>0</v>
      </c>
      <c r="GR96" s="808">
        <f t="shared" si="669"/>
        <v>0</v>
      </c>
      <c r="GS96" s="808">
        <f t="shared" si="670"/>
        <v>0</v>
      </c>
      <c r="GT96" s="808">
        <f t="shared" si="671"/>
        <v>0</v>
      </c>
      <c r="GU96" s="809">
        <f ca="1">SUMIFS(RZ[Sloupec1],RZ[0],AX96)</f>
        <v>1</v>
      </c>
      <c r="GV96" s="809">
        <f ca="1">SUMIFS(RZ[Sloupec2],RZ[0],AX96,RZ[Úroveň 2 (P0)],AY96)</f>
        <v>1</v>
      </c>
      <c r="GW96" s="809">
        <f ca="1">SUMIFS(RZ[Sloupec3],RZ[0],AX96,RZ[Úroveň 2 (P0)],AY96,RZ[Úroveň 3 (P0)],AZ96)</f>
        <v>1</v>
      </c>
      <c r="GX96" s="809">
        <f ca="1">SUMIFS(RZ[Sloupec4],RZ[0],AX96,RZ[Úroveň 2 (P0)],AY96,RZ[Úroveň 3 (P0)],AZ96,RZ[Úroveň 4 (P0)],BA96)</f>
        <v>0</v>
      </c>
      <c r="GY96" s="809">
        <f ca="1">SUMIFS(RZ[Sloupec5],RZ[0],AX96,RZ[Úroveň 2 (P0)],AY96,RZ[Úroveň 3 (P0)],AZ96,RZ[Úroveň 4 (P0)],BA96,RZ[Úroveň 5 (P0)],BB96)</f>
        <v>0</v>
      </c>
      <c r="GZ96" s="809">
        <f ca="1">SUMIFS(RZ[Sloupec6],RZ[0],AX96,RZ[Úroveň 2 (P0)],AY96,RZ[Úroveň 3 (P0)],AZ96,RZ[Úroveň 4 (P0)],BA96,RZ[Úroveň 5 (P0)],BB96,RZ[Úroveň 6 (P0)],BC96)</f>
        <v>0</v>
      </c>
      <c r="HA96" s="809">
        <f ca="1">SUMIFS(RZ[Sloupec62],RZ[0],AX96,RZ[Úroveň 2 (P0)],AY96,RZ[Úroveň 3 (P0)],AZ96,RZ[Úroveň 4 (P0)],BA96,RZ[Úroveň 5 (P0)],BB96,RZ[Úroveň 6 (P0)],BC96,RZ[Úroveň 7 (P0)],BD96)</f>
        <v>0</v>
      </c>
      <c r="HB96" s="809">
        <f ca="1">SUMIFS(RZ[Sloupec63],RZ[0],AX96,RZ[Úroveň 2 (P0)],AY96,RZ[Úroveň 3 (P0)],AZ96,RZ[Úroveň 4 (P0)],BA96,RZ[Úroveň 5 (P0)],BB96,RZ[Úroveň 6 (P0)],BC96,RZ[Úroveň 7 (P0)],BD96,RZ[Úroveň 8 (P0)],BE96)</f>
        <v>0</v>
      </c>
      <c r="HC96" s="809">
        <f ca="1">SUMIFS(RZ[Sloupec64],RZ[0],AX96,RZ[Úroveň 2 (P0)],AY96,RZ[Úroveň 3 (P0)],AZ96,RZ[Úroveň 4 (P0)],BA96,RZ[Úroveň 5 (P0)],BB96,RZ[Úroveň 6 (P0)],BC96,RZ[Úroveň 7 (P0)],BD96,RZ[Úroveň 8 (P0)],BE96,RZ[Úroveň 9 (P0)],BF96)</f>
        <v>0</v>
      </c>
      <c r="HD96" s="809">
        <f ca="1">SUMIFS(RZ[Sloupec65],RZ[0],AX96,RZ[Úroveň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HE96" s="919">
        <f t="shared" ca="1" si="672"/>
        <v>1</v>
      </c>
      <c r="HF96" s="920" t="str">
        <f t="shared" si="673"/>
        <v/>
      </c>
      <c r="HG96" s="94" t="str">
        <f t="shared" si="674"/>
        <v/>
      </c>
      <c r="HH96" s="95" t="str">
        <f t="shared" si="675"/>
        <v/>
      </c>
      <c r="HI96" s="95" t="str">
        <f t="shared" si="676"/>
        <v>Ocelové profily</v>
      </c>
      <c r="HJ96" s="96" t="str">
        <f t="shared" si="677"/>
        <v/>
      </c>
      <c r="HK96" s="96" t="str">
        <f t="shared" si="678"/>
        <v/>
      </c>
      <c r="HL96" s="96" t="str">
        <f t="shared" si="679"/>
        <v/>
      </c>
      <c r="HM96" s="96" t="str">
        <f t="shared" si="680"/>
        <v/>
      </c>
      <c r="HN96" s="96" t="str">
        <f t="shared" si="681"/>
        <v/>
      </c>
      <c r="HO96" s="96" t="str">
        <f t="shared" si="682"/>
        <v/>
      </c>
      <c r="HP96" s="96" t="str">
        <f t="shared" si="683"/>
        <v/>
      </c>
      <c r="HQ96" s="145" t="str">
        <f t="shared" si="684"/>
        <v>OKHM</v>
      </c>
      <c r="HR96" s="921" t="str">
        <f t="shared" si="685"/>
        <v/>
      </c>
      <c r="HS96" s="173">
        <f t="shared" si="686"/>
        <v>0</v>
      </c>
      <c r="HT96" s="100">
        <f t="shared" si="687"/>
        <v>0</v>
      </c>
      <c r="HU96" s="100">
        <f t="shared" si="688"/>
        <v>0</v>
      </c>
      <c r="HV96" s="908">
        <f t="shared" si="689"/>
        <v>0</v>
      </c>
      <c r="HW96" s="922">
        <f t="shared" si="690"/>
        <v>0</v>
      </c>
      <c r="HX96" s="224">
        <f t="shared" si="691"/>
        <v>0</v>
      </c>
      <c r="HY96" s="263" t="str">
        <f t="shared" si="692"/>
        <v>S</v>
      </c>
      <c r="HZ96" s="263">
        <f t="shared" si="693"/>
        <v>0</v>
      </c>
      <c r="IA96" s="150">
        <f t="shared" si="694"/>
        <v>1</v>
      </c>
      <c r="IB96" s="319">
        <f t="shared" si="695"/>
        <v>0</v>
      </c>
      <c r="IC96" s="923">
        <f t="shared" si="696"/>
        <v>0</v>
      </c>
      <c r="ID96" s="924" t="str">
        <f t="shared" ca="1" si="697"/>
        <v>OK</v>
      </c>
      <c r="IE96" s="201" t="str">
        <f t="shared" si="698"/>
        <v>ks</v>
      </c>
      <c r="IF96" s="145">
        <f t="shared" si="699"/>
        <v>1</v>
      </c>
      <c r="IG96" s="216">
        <f t="shared" si="700"/>
        <v>5.94</v>
      </c>
      <c r="IH96" s="217">
        <f t="shared" si="701"/>
        <v>1</v>
      </c>
      <c r="II96" s="224" t="str">
        <f ca="1">IF(RZ[[#This Row],[Rozhodný sloupec indikativní ceny]]=1,"kg",IF($IW96=$JL$15,IF(JX96=0,JO96,JX96),IF($IW96=$KE$15,IF(KQ96=0,KH96,KQ96),IF($IW96=$KX$15,IF(LJ96=0,LA96,LJ96),IF($IW96=$LQ$15,IF(MC96=0,LT96,MC96),IF($IW96=$MJ$15,IF(NQ96=0,NH96,NQ96),0))))))</f>
        <v>kg</v>
      </c>
      <c r="IJ96" s="224">
        <f ca="1">IF((BH96+OFFSET(BH96,1,1,1,1))=2,RZ[[#This Row],[Počet MJHR (P0)]],IF((BI96+OFFSET(BI96,1,1,1,1))=2,RZ[[#This Row],[Počet MJHR (P0)]],IF((BJ96+OFFSET(BJ96,1,1,1,1))=2,RZ[[#This Row],[Počet MJHR (P0)]],IF((BK96+OFFSET(BK96,1,1,1,1))=2,RZ[[#This Row],[Počet MJHR (P0)]],IF((BL96+OFFSET(BL96,1,1,1,1))=2,RZ[[#This Row],[Počet MJHR (P0)]],IF((BM96+OFFSET(BM96,1,1,1,1))=2,RZ[[#This Row],[Počet MJHR (P0)]],IF((BN96+OFFSET(BN96,1,1,1,1))=2,RZ[[#This Row],[Počet MJHR (P0)]],IF((BO96+OFFSET(BO96,1,1,1,1))=2,RZ[[#This Row],[Počet MJHR (P0)]],IF((BP96+OFFSET(BP96,1,1,1,1))=2,RZ[[#This Row],[Počet MJHR (P0)]],IF((BQ96+OFFSET(BQ96,1,1,1,1))=2,RZ[[#This Row],[Počet MJHR (P0)]],IF(RZ[[#This Row],[Měrná jednotka CR (MJCR) (P0)]]=RZ[[#This Row],[Měrná jednotka HR '[MJHR'] (P0)]],RZ[[#This Row],[Počet MJHR (P0)]],IF($IW96=$JL$15,JY96,IF($IW96=$KE$15,KR96,IF($IW96=$KX$15,LK96,IF($IW96=$LQ$15,MD96,IF($IW96=$MJ$15,NR96,0))))))))))))))))</f>
        <v>0</v>
      </c>
      <c r="IK9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5.94</v>
      </c>
      <c r="IL96" s="145">
        <f ca="1">IF(AND(RZ[[#This Row],[Jednotková cena bez DPH '[cena/MJCR'] (P0)]]=0,RZ[[#This Row],[Indikativní jednotková cena '[CZK/kg'] (P1)]]&lt;&gt;0),1,0)</f>
        <v>1</v>
      </c>
      <c r="IM96" s="217">
        <f ca="1">VLOOKUP(RZ[[#This Row],[Kód položek]],INDIKAT_CENA,2,FALSE)</f>
        <v>40</v>
      </c>
      <c r="IN96" s="222">
        <f ca="1">IF(RZ[[#This Row],[Rozhodný sloupec indikativní ceny]]=1,RZ[[#This Row],[Indikativní jednotková cena '[CZK/kg'] (P1)]],RZ[[#This Row],[Jednotková cena bez DPH '[cena/MJCR'] (P0)]])</f>
        <v>40</v>
      </c>
      <c r="IO96" s="222">
        <f t="shared" si="702"/>
        <v>1</v>
      </c>
      <c r="IP96" s="224">
        <f ca="1">IF(RZ[[#This Row],[Rozhodný sloupec indikativní ceny]]=1,1,IF($IW96=$JL$15,KA96,IF($IW96=$KE$15,KT96,IF($IW96=$KX$15,LM96,IF($IW96=$LQ$15,MF96,IF($IW96=$MJ$15,NT96,0))))))</f>
        <v>1</v>
      </c>
      <c r="IQ96" s="225">
        <f ca="1">IF(RZ[[#This Row],[Jednotková cena bez DPH '[cena/MJCR'] (P1)]]="",0,IF(IP96=0,0,(RZ[[#This Row],[Jednotková cena bez DPH '[cena/MJCR'] (P1)]]*VLOOKUP(IP96,$BR$7:$BT$10,3))))</f>
        <v>40</v>
      </c>
      <c r="IR96" s="737"/>
      <c r="IS96" s="627">
        <f>IF(HY96=0,"",VLOOKUP(RZ[[#This Row],[Stav Projekce (P0)]],Vstupy!$E$11:'Vstupy'!$E$11:$H$17,4,FALSE))</f>
        <v>100</v>
      </c>
      <c r="IT96" s="925" t="str">
        <f>IF(RZ[[#This Row],[Stav Projekce (P0)]]=0,"",RZ[[#This Row],[Stav Projekce (P0)]])</f>
        <v>S</v>
      </c>
      <c r="IU96" s="925" t="str">
        <f>IF(RZ[[#This Row],[Stav Nákup (P0)]]=0,"",RZ[[#This Row],[Stav Nákup (P0)]])</f>
        <v/>
      </c>
      <c r="IV96" s="926" t="str">
        <f t="shared" si="703"/>
        <v/>
      </c>
      <c r="IW96" s="641">
        <v>1</v>
      </c>
      <c r="IX96" s="630"/>
      <c r="IY96" s="264"/>
      <c r="IZ96" s="648"/>
      <c r="JA96" s="100"/>
      <c r="JB96" s="100" t="s">
        <v>758</v>
      </c>
      <c r="JC96" s="100"/>
      <c r="JD96" s="100"/>
      <c r="JE96" s="100"/>
      <c r="JF96" s="100"/>
      <c r="JG96" s="100"/>
      <c r="JH96" s="100"/>
      <c r="JI96" s="100"/>
      <c r="JJ96" s="145" t="s">
        <v>767</v>
      </c>
      <c r="JK96" s="529"/>
      <c r="JL96" s="286"/>
      <c r="JM96" s="100"/>
      <c r="JN96" s="100"/>
      <c r="JO96" s="145" t="s">
        <v>35</v>
      </c>
      <c r="JP96" s="117">
        <v>1</v>
      </c>
      <c r="JQ96" s="117">
        <v>5.94</v>
      </c>
      <c r="JR96" s="148">
        <v>1</v>
      </c>
      <c r="JS96" s="145" t="s">
        <v>602</v>
      </c>
      <c r="JT96" s="631"/>
      <c r="JU96" s="148"/>
      <c r="JV96" s="154"/>
      <c r="JW96" s="145"/>
      <c r="JX96" s="210"/>
      <c r="JY96" s="117"/>
      <c r="JZ96" s="662"/>
      <c r="KA96" s="145"/>
      <c r="KB96" s="148"/>
      <c r="KC96" s="148"/>
      <c r="KD96" s="644"/>
      <c r="KE96" s="286"/>
      <c r="KF96" s="100"/>
      <c r="KG96" s="100"/>
      <c r="KH96" s="210"/>
      <c r="KI96" s="117"/>
      <c r="KJ96" s="117"/>
      <c r="KK96" s="148"/>
      <c r="KL96" s="145"/>
      <c r="KM96" s="632"/>
      <c r="KN96" s="148"/>
      <c r="KO96" s="154"/>
      <c r="KP96" s="154"/>
      <c r="KQ96" s="210"/>
      <c r="KR96" s="117"/>
      <c r="KS96" s="211"/>
      <c r="KT96" s="145"/>
      <c r="KU96" s="148"/>
      <c r="KV96" s="148"/>
      <c r="KW96" s="265"/>
      <c r="KX96" s="286"/>
      <c r="KY96" s="100"/>
      <c r="KZ96" s="100"/>
      <c r="LA96" s="210"/>
      <c r="LB96" s="117"/>
      <c r="LC96" s="117"/>
      <c r="LD96" s="148"/>
      <c r="LE96" s="145"/>
      <c r="LF96" s="632"/>
      <c r="LG96" s="148"/>
      <c r="LH96" s="154"/>
      <c r="LI96" s="154"/>
      <c r="LJ96" s="154"/>
      <c r="LK96" s="117"/>
      <c r="LL96" s="211"/>
      <c r="LM96" s="210"/>
      <c r="LN96" s="148"/>
      <c r="LO96" s="148"/>
      <c r="LP96" s="265"/>
      <c r="LQ96" s="286"/>
      <c r="LR96" s="100"/>
      <c r="LS96" s="100"/>
      <c r="LT96" s="210"/>
      <c r="LU96" s="117"/>
      <c r="LV96" s="117"/>
      <c r="LW96" s="148"/>
      <c r="LX96" s="145"/>
      <c r="LY96" s="632"/>
      <c r="LZ96" s="148"/>
      <c r="MA96" s="154"/>
      <c r="MB96" s="154"/>
      <c r="MC96" s="145"/>
      <c r="MD96" s="117"/>
      <c r="ME96" s="211"/>
      <c r="MF96" s="210"/>
      <c r="MG96" s="148"/>
      <c r="MH96" s="148"/>
      <c r="MI96" s="265"/>
      <c r="MJ96" s="647"/>
      <c r="MK96" s="264"/>
      <c r="ML96" s="153"/>
      <c r="MM96" s="153"/>
      <c r="MN96" s="153"/>
      <c r="MO96" s="153"/>
      <c r="MP96" s="153"/>
      <c r="MQ96" s="153"/>
      <c r="MR96" s="153"/>
      <c r="MS96" s="99"/>
      <c r="MT96" s="99"/>
      <c r="MU96" s="99"/>
      <c r="MV96" s="99"/>
      <c r="MW96" s="99"/>
      <c r="MX96" s="99"/>
      <c r="MY96" s="153"/>
      <c r="MZ96" s="153"/>
      <c r="NA96" s="153"/>
      <c r="NB96" s="153"/>
      <c r="NC96" s="153"/>
      <c r="ND96" s="153"/>
      <c r="NE96" s="148"/>
      <c r="NF96" s="153"/>
      <c r="NG96" s="153"/>
      <c r="NH96" s="330" t="str">
        <f t="shared" si="704"/>
        <v>ks</v>
      </c>
      <c r="NI96" s="797">
        <f>RZ[[#This Row],[Počet ks (K)]]</f>
        <v>0</v>
      </c>
      <c r="NJ96" s="798">
        <f>RZ[[#This Row],[Hmotnost '[kg/ks'] (K)]]</f>
        <v>0</v>
      </c>
      <c r="NK96" s="148"/>
      <c r="NL96" s="145"/>
      <c r="NM96" s="632"/>
      <c r="NN96" s="148"/>
      <c r="NO96" s="154"/>
      <c r="NP96" s="153"/>
      <c r="NQ96" s="153"/>
      <c r="NR96" s="210"/>
      <c r="NS96" s="148"/>
      <c r="NT96" s="210"/>
      <c r="NU96" s="148"/>
      <c r="NV96" s="148"/>
      <c r="NW96" s="175"/>
    </row>
    <row r="97" spans="2:387" ht="15.95" customHeight="1" thickBot="1" x14ac:dyDescent="0.4">
      <c r="B97" s="118" t="str">
        <f t="shared" si="1"/>
        <v/>
      </c>
      <c r="C9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7" s="262" t="str">
        <f t="shared" si="2"/>
        <v xml:space="preserve">  Céva</v>
      </c>
      <c r="E97" s="120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Row],[Kód položek (P2)]]))))))))))</f>
        <v>STO1</v>
      </c>
      <c r="F97" s="122" t="str">
        <f t="shared" si="3"/>
        <v>N/A</v>
      </c>
      <c r="G97" s="121" t="str">
        <f t="shared" si="4"/>
        <v/>
      </c>
      <c r="H97" s="122" t="str">
        <f t="shared" si="5"/>
        <v/>
      </c>
      <c r="I97" s="123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HR '[MJHR'] (P0)]]))))))))))</f>
        <v>0</v>
      </c>
      <c r="J97" s="123">
        <f t="shared" si="6"/>
        <v>200</v>
      </c>
      <c r="K97" s="151">
        <f>RZ[[#This Row],[Koeficient odhadu HR '[-'] (P1)]]</f>
        <v>1</v>
      </c>
      <c r="L97" s="124">
        <f ca="1">RZ[[#This Row],[Jednotková hmotnost s koef. '[kg/MJHR'] (P0)]]</f>
        <v>5.4</v>
      </c>
      <c r="M97" s="124">
        <f t="shared" ca="1" si="7"/>
        <v>0</v>
      </c>
      <c r="N97" s="125">
        <f t="shared" ca="1" si="8"/>
        <v>1080</v>
      </c>
      <c r="O97" s="125">
        <f t="shared" ca="1" si="9"/>
        <v>0</v>
      </c>
      <c r="P97" s="328" t="str">
        <f t="shared" si="10"/>
        <v/>
      </c>
      <c r="Q97" s="743">
        <f ca="1">RZ[[#This Row],[Počet MJHR v rozpadu (P0)]]</f>
        <v>200</v>
      </c>
      <c r="R97" s="439" t="str">
        <f t="shared" si="11"/>
        <v/>
      </c>
      <c r="S97" s="129" t="str">
        <f t="shared" si="12"/>
        <v/>
      </c>
      <c r="T97" s="130" t="str">
        <f t="shared" si="13"/>
        <v/>
      </c>
      <c r="U97" s="126" t="str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CR (MJCR) (P0)]]))))))))))</f>
        <v>kg</v>
      </c>
      <c r="V97" s="575">
        <f t="shared" ca="1" si="14"/>
        <v>1080</v>
      </c>
      <c r="W97" s="322">
        <f>RZ[[#This Row],[Koeficient odhadu CR '[-'] (P1)]]</f>
        <v>1</v>
      </c>
      <c r="X97" s="440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Row],[Jednotková cena bez DPH '[cena/MJCR'] (P1)]]*RZ[[#This Row],[Koeficient odhadu CR '[-']]]))))))))))</f>
        <v>145</v>
      </c>
      <c r="Y97" s="440">
        <f t="shared" ca="1" si="108"/>
        <v>0</v>
      </c>
      <c r="Z97" s="142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VLOOKUP(IP97,$BR$7:$BS$11,2,FALSE)))))))))))</f>
        <v>CZK</v>
      </c>
      <c r="AA97" s="811">
        <f t="shared" ca="1" si="16"/>
        <v>1080</v>
      </c>
      <c r="AB97" s="814">
        <f ca="1">RZ[[#This Row],[Kumulovaný koeficient v rozpadu (P0)]]</f>
        <v>1</v>
      </c>
      <c r="AC97" s="260"/>
      <c r="AD97" s="510">
        <f ca="1">RZ[[#This Row],[Jednotková cena bez DPH '[cena/MJCR'] s koef. (P0)]]/RZ[[#This Row],[Koeficient odhadu CR '[-']]]*RZ[[#This Row],[Kumulovaný koeficient odhadu CR  '[-']]]</f>
        <v>145</v>
      </c>
      <c r="AE97" s="511">
        <f t="shared" ca="1" si="17"/>
        <v>156600</v>
      </c>
      <c r="AF97" s="512">
        <f ca="1">-IF(ISNUMBER(AA97),RZ[[#This Row],[Celková cena bez DPH (1)]]-RZ[[#This Row],[Jednotková cena bez DPH '[cena/MJCR'] bez koef. (P0)]]*AA97,0)</f>
        <v>0</v>
      </c>
      <c r="AG9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144.99999999999997</v>
      </c>
      <c r="AH97" s="261"/>
      <c r="AI97" s="510">
        <f t="shared" ca="1" si="18"/>
        <v>5.3703703703703702</v>
      </c>
      <c r="AJ97" s="511">
        <f t="shared" ca="1" si="19"/>
        <v>5800</v>
      </c>
      <c r="AK97" s="512">
        <f t="shared" ca="1" si="20"/>
        <v>0</v>
      </c>
      <c r="AL97" s="753">
        <f ca="1">RZ[[#This Row],[Kilogramová cena bez DPH '[cena/kg'] (1)]]/$AK$13</f>
        <v>5.3703703703703694</v>
      </c>
      <c r="AM97" s="261"/>
      <c r="AN97" s="510">
        <f t="shared" ca="1" si="21"/>
        <v>7.0048309178743962</v>
      </c>
      <c r="AO97" s="511">
        <f t="shared" ca="1" si="22"/>
        <v>7565.217391304348</v>
      </c>
      <c r="AP97" s="512">
        <f t="shared" ca="1" si="23"/>
        <v>0</v>
      </c>
      <c r="AQ97" s="753">
        <f ca="1">RZ[[#This Row],[Kilogramová cena bez DPH '[cena/kg'] (1)]]/$AP$13</f>
        <v>7.0048309178743953</v>
      </c>
      <c r="AR97" s="261"/>
      <c r="AS97" s="510">
        <f t="shared" ca="1" si="24"/>
        <v>3.9660831509846823</v>
      </c>
      <c r="AT97" s="511">
        <f t="shared" ca="1" si="25"/>
        <v>4283.3698030634569</v>
      </c>
      <c r="AU97" s="511">
        <f t="shared" ca="1" si="26"/>
        <v>0</v>
      </c>
      <c r="AV97" s="767">
        <f ca="1">RZ[[#This Row],[Kilogramová cena bez DPH '[cena/kg'] (1)]]/$AU$13</f>
        <v>3.9660831509846819</v>
      </c>
      <c r="AW97" s="165"/>
      <c r="AX97" s="110">
        <f t="shared" ca="1" si="27"/>
        <v>2</v>
      </c>
      <c r="AY97" s="55">
        <f t="shared" ca="1" si="28"/>
        <v>5</v>
      </c>
      <c r="AZ97" s="111">
        <f t="shared" ca="1" si="29"/>
        <v>0</v>
      </c>
      <c r="BA97" s="111">
        <f t="shared" ca="1" si="30"/>
        <v>0</v>
      </c>
      <c r="BB97" s="111">
        <f t="shared" ca="1" si="31"/>
        <v>0</v>
      </c>
      <c r="BC97" s="111">
        <f t="shared" ca="1" si="32"/>
        <v>0</v>
      </c>
      <c r="BD97" s="111">
        <f t="shared" ca="1" si="33"/>
        <v>0</v>
      </c>
      <c r="BE97" s="111">
        <f t="shared" ca="1" si="109"/>
        <v>0</v>
      </c>
      <c r="BF97" s="111">
        <f t="shared" ca="1" si="34"/>
        <v>0</v>
      </c>
      <c r="BG97" s="112">
        <f t="shared" ca="1" si="35"/>
        <v>0</v>
      </c>
      <c r="BH97" s="110">
        <f t="shared" si="110"/>
        <v>0</v>
      </c>
      <c r="BI97" s="55">
        <f t="shared" si="111"/>
        <v>1</v>
      </c>
      <c r="BJ97" s="55">
        <f t="shared" si="112"/>
        <v>0</v>
      </c>
      <c r="BK97" s="111">
        <f t="shared" si="113"/>
        <v>0</v>
      </c>
      <c r="BL97" s="111">
        <f t="shared" si="114"/>
        <v>0</v>
      </c>
      <c r="BM97" s="111">
        <f t="shared" si="115"/>
        <v>0</v>
      </c>
      <c r="BN97" s="111">
        <f t="shared" si="116"/>
        <v>0</v>
      </c>
      <c r="BO97" s="111">
        <f t="shared" si="117"/>
        <v>0</v>
      </c>
      <c r="BP97" s="111">
        <f t="shared" si="118"/>
        <v>0</v>
      </c>
      <c r="BQ97" s="112">
        <f t="shared" si="119"/>
        <v>0</v>
      </c>
      <c r="BR97" s="186">
        <f ca="1">IF(OFFSET(AY97,1,0,1,1)&lt;&gt;0,RZ[[#This Row],[Koeficient odhadu HR '[-'] (P1)]]*$BH97*SUMIFS(RZ[Úroveň 2 s koef. (P2)],RZ[0],AX97),RZ[[#This Row],[Koeficient odhadu HR '[-'] (P1)]]*$BH97*$IG97)</f>
        <v>0</v>
      </c>
      <c r="BS97" s="186">
        <f ca="1">IF(OFFSET(AY97,1,0,1,1)&lt;&gt;0,$BH97*SUMIFS(RZ[Úroveň 2 bez koef. (P2)],RZ[0],AX97),$BH97*$IG97)</f>
        <v>0</v>
      </c>
      <c r="BT97" s="138">
        <f ca="1">RZ[[#This Row],[Úroveň 2 s koef. (P2a)]]*RZ[[#This Row],[Počet MJHR (P0)]]</f>
        <v>1080</v>
      </c>
      <c r="BU97" s="138">
        <f ca="1">RZ[[#This Row],[Úroveň 2 bez koef. (P2a)]]*RZ[[#This Row],[Počet MJHR (P0)]]</f>
        <v>1080</v>
      </c>
      <c r="BV97" s="138">
        <f ca="1">IF(OFFSET(AZ97,1,0,1,1)&lt;&gt;0,RZ[[#This Row],[Koeficient odhadu HR '[-'] (P1)]]*$BI97*SUMIFS(RZ[Úroveň 3 s koef. (P2)],RZ[0],AX97,RZ[Úroveň 2 (P0)],AY97),RZ[[#This Row],[Koeficient odhadu HR '[-'] (P1)]]*$BI97*$IG97)</f>
        <v>5.4</v>
      </c>
      <c r="BW97" s="138">
        <f ca="1">IF(OFFSET(AZ97,1,0,1,1)&lt;&gt;0,$BI97*SUMIFS(RZ[Úroveň 3 bez koef. (P2)],RZ[0],AX97,RZ[Úroveň 2 (P0)],AY97),$BI97*$IG97)</f>
        <v>5.4</v>
      </c>
      <c r="BX97" s="132">
        <f ca="1">RZ[[#This Row],[Úroveň 3 s koef. (P2a)]]*RZ[[#This Row],[Počet MJHR (P0)]]</f>
        <v>0</v>
      </c>
      <c r="BY97" s="132">
        <f ca="1">RZ[Úroveň 3 bez koef. (P2a)]*RZ[[#This Row],[Počet MJHR (P0)]]</f>
        <v>0</v>
      </c>
      <c r="BZ97" s="132">
        <f ca="1">IF(OFFSET(BA97,1,0,1,1)&lt;&gt;0,RZ[[#This Row],[Koeficient odhadu HR '[-'] (P1)]]*$BJ97*SUMIFS(RZ[Úroveň 4 s koef. (P2)],RZ[0],AX97,RZ[Úroveň 2 (P0)],AY97,RZ[Úroveň 3 (P0)],AZ97),RZ[[#This Row],[Koeficient odhadu HR '[-'] (P1)]]*$BJ97*$IG97)</f>
        <v>0</v>
      </c>
      <c r="CA97" s="132">
        <f ca="1">IF(OFFSET(BA97,1,0,1,1)&lt;&gt;0,$BJ97*SUMIFS(RZ[Úroveň 4 bez koef. (P2)],RZ[0],AX97,RZ[Úroveň 2 (P0)],AY97,RZ[Úroveň 3 (P0)],AZ97),$BJ97*$IG97)</f>
        <v>0</v>
      </c>
      <c r="CB97" s="138">
        <f ca="1">RZ[[#This Row],[Úroveň 4 s koef. (P2a)]]*RZ[[#This Row],[Počet MJHR (P0)]]</f>
        <v>0</v>
      </c>
      <c r="CC97" s="138">
        <f ca="1">RZ[Úroveň 4 bez koef. (P2a)]*RZ[[#This Row],[Počet MJHR (P0)]]</f>
        <v>0</v>
      </c>
      <c r="CD97" s="138">
        <f ca="1">IF(OFFSET(BB97,1,0,1,1)&lt;&gt;0,RZ[[#This Row],[Koeficient odhadu HR '[-'] (P1)]]*$BK97*SUMIFS(RZ[Úroveň 5 s koef. (P2)],RZ[0],AX97,RZ[Úroveň 2 (P0)],AY97,RZ[Úroveň 3 (P0)],AZ97,RZ[Úroveň 4 (P0)],BA97),RZ[[#This Row],[Koeficient odhadu HR '[-'] (P1)]]*$BK97*$IG97)</f>
        <v>0</v>
      </c>
      <c r="CE97" s="138">
        <f ca="1">IF(OFFSET(BB97,1,0,1,1)&lt;&gt;0,$BK97*SUMIFS(RZ[Úroveň 5 bez koef. (P2)],RZ[0],AX97,RZ[Úroveň 2 (P0)],AY97,RZ[Úroveň 3 (P0)],AZ97,RZ[Úroveň 4 (P0)],BA97),$BK97*$IG97)</f>
        <v>0</v>
      </c>
      <c r="CF97" s="132">
        <f ca="1">RZ[[#This Row],[Úroveň 5 s koef. (P2a)]]*RZ[[#This Row],[Počet MJHR (P0)]]</f>
        <v>0</v>
      </c>
      <c r="CG97" s="132">
        <f ca="1">RZ[Úroveň 5 bez koef. (P2a)]*RZ[[#This Row],[Počet MJHR (P0)]]</f>
        <v>0</v>
      </c>
      <c r="CH97" s="132">
        <f ca="1">IF(OFFSET(BC97,1,0,1,1)&lt;&gt;0,RZ[[#This Row],[Koeficient odhadu HR '[-'] (P1)]]*$BL97*SUMIFS(RZ[Úroveň 6 s koef. (P2)],RZ[0],AX97,RZ[Úroveň 2 (P0)],AY97,RZ[Úroveň 3 (P0)],AZ97,RZ[Úroveň 4 (P0)],BA97,RZ[Úroveň 5 (P0)],BB97),RZ[[#This Row],[Koeficient odhadu HR '[-'] (P1)]]*$BL97*$IG97)</f>
        <v>0</v>
      </c>
      <c r="CI97" s="132">
        <f ca="1">IF(OFFSET(BC97,1,0,1,1)&lt;&gt;0,$BL97*SUMIFS(RZ[Úroveň 6 bez koef. (P2)],RZ[0],AX97,RZ[Úroveň 2 (P0)],AY97,RZ[Úroveň 3 (P0)],AZ97,RZ[Úroveň 4 (P0)],BA97,RZ[Úroveň 5 (P0)],BB97),$BL97*$IG97)</f>
        <v>0</v>
      </c>
      <c r="CJ97" s="138">
        <f ca="1">RZ[[#This Row],[Úroveň 6 s koef. (P2a)]]*RZ[[#This Row],[Počet MJHR (P0)]]</f>
        <v>0</v>
      </c>
      <c r="CK97" s="138">
        <f ca="1">RZ[Úroveň 6 bez koef. (P2a)]*RZ[[#This Row],[Počet MJHR (P0)]]</f>
        <v>0</v>
      </c>
      <c r="CL97" s="138">
        <f ca="1">IF(OFFSET(BD97,1,0,1,1)&lt;&gt;0,RZ[[#This Row],[Koeficient odhadu HR '[-'] (P1)]]*$BM97*SUMIFS(RZ[Úroveň 7 s koef. (P2)],RZ[0],AX97,RZ[Úroveň 2 (P0)],AY97,RZ[Úroveň 3 (P0)],AZ97,RZ[Úroveň 4 (P0)],BA97,RZ[Úroveň 5 (P0)],BB97,RZ[Úroveň 6 (P0)],BC97),RZ[[#This Row],[Koeficient odhadu HR '[-'] (P1)]]*$BM97*$IG97)</f>
        <v>0</v>
      </c>
      <c r="CM97" s="138">
        <f ca="1">IF(OFFSET(BD97,1,0,1,1)&lt;&gt;0,$BM97*SUMIFS(RZ[Úroveň 7 bez koef. (P2)],RZ[0],AX97,RZ[Úroveň 2 (P0)],AY97,RZ[Úroveň 3 (P0)],AZ97,RZ[Úroveň 4 (P0)],BA97,RZ[Úroveň 5 (P0)],BB97,RZ[Úroveň 6 (P0)],BC97),$BM97*$IG97)</f>
        <v>0</v>
      </c>
      <c r="CN97" s="132">
        <f ca="1">RZ[[#This Row],[Úroveň 7 s koef. (P2a)]]*RZ[[#This Row],[Počet MJHR (P0)]]</f>
        <v>0</v>
      </c>
      <c r="CO97" s="132">
        <f ca="1">RZ[Úroveň 7 bez koef. (P2a)]*RZ[[#This Row],[Počet MJHR (P0)]]</f>
        <v>0</v>
      </c>
      <c r="CP97" s="132">
        <f ca="1">IF(OFFSET(BE97,1,0,1,1)&lt;&gt;0,RZ[[#This Row],[Koeficient odhadu HR '[-'] (P1)]]*$BN97*SUMIFS(RZ[Úroveň 8 s koef. (P2)],RZ[0],AX97,RZ[Úroveň 2 (P0)],AY97,RZ[Úroveň 3 (P0)],AZ97,RZ[Úroveň 4 (P0)],BA97,RZ[Úroveň 5 (P0)],BB97,RZ[Úroveň 6 (P0)],BC97,RZ[Úroveň 7 (P0)],BD97),RZ[[#This Row],[Koeficient odhadu HR '[-'] (P1)]]*$BN97*$IG97)</f>
        <v>0</v>
      </c>
      <c r="CQ97" s="132">
        <f ca="1">IF(OFFSET(BE97,1,0,1,1)&lt;&gt;0,$BN97*SUMIFS(RZ[Úroveň 8 bez koef. (P2)],RZ[0],AX97,RZ[Úroveň 2 (P0)],AY97,RZ[Úroveň 3 (P0)],AZ97,RZ[Úroveň 4 (P0)],BA97,RZ[Úroveň 5 (P0)],BB97,RZ[Úroveň 6 (P0)],BC97,RZ[Úroveň 7 (P0)],BD97),$BN97*$IG97)</f>
        <v>0</v>
      </c>
      <c r="CR97" s="138">
        <f ca="1">RZ[[#This Row],[Úroveň 8 s koef. (P2a)]]*RZ[[#This Row],[Počet MJHR (P0)]]</f>
        <v>0</v>
      </c>
      <c r="CS97" s="138">
        <f ca="1">RZ[Úroveň 8 bez koef. (P2a)]*RZ[[#This Row],[Počet MJHR (P0)]]</f>
        <v>0</v>
      </c>
      <c r="CT97" s="138">
        <f ca="1">IF(OFFSET(BF97,1,0,1,1)&lt;&gt;0,RZ[[#This Row],[Koeficient odhadu HR '[-'] (P1)]]*$BO97*SUMIFS(RZ[Úroveň 9 s koef. (P2)],RZ[0],AX97,RZ[Úroveň 2 (P0)],AY97,RZ[Úroveň 3 (P0)],AZ97,RZ[Úroveň 4 (P0)],BA97,RZ[Úroveň 5 (P0)],BB97,RZ[Úroveň 6 (P0)],BC97,RZ[Úroveň 7 (P0)],BD97,RZ[Úroveň 8 (P0)],BE97),RZ[[#This Row],[Koeficient odhadu HR '[-'] (P1)]]*$BO97*$IG97)</f>
        <v>0</v>
      </c>
      <c r="CU97" s="138">
        <f ca="1">IF(OFFSET(BF97,1,0,1,1)&lt;&gt;0,$BO97*SUMIFS(RZ[Úroveň 9 bez koef. (P2)],RZ[0],AX97,RZ[Úroveň 2 (P0)],AY97,RZ[Úroveň 3 (P0)],AZ97,RZ[Úroveň 4 (P0)],BA97,RZ[Úroveň 5 (P0)],BB97,RZ[Úroveň 6 (P0)],BC97,RZ[Úroveň 7 (P0)],BD97,RZ[Úroveň 8 (P0)],BE97),$BO97*$IG97)</f>
        <v>0</v>
      </c>
      <c r="CV97" s="132">
        <f ca="1">RZ[[#This Row],[Úroveň 9 s koef. (P2a)]]*RZ[[#This Row],[Počet MJHR (P0)]]</f>
        <v>0</v>
      </c>
      <c r="CW97" s="132">
        <f ca="1">RZ[Úroveň 9 bez koef. (P2a)]*RZ[[#This Row],[Počet MJHR (P0)]]</f>
        <v>0</v>
      </c>
      <c r="CX97" s="132">
        <f ca="1">IF(OFFSET(BG97,1,0,1,1)&lt;&gt;0,RZ[[#This Row],[Koeficient odhadu HR '[-'] (P1)]]*$BP97*SUMIFS(RZ[Úroveň 10 s koef. (P2)],RZ[0],AX97,RZ[Úroveň 2 (P0)],AY97,RZ[Úroveň 3 (P0)],AZ97,RZ[Úroveň 4 (P0)],BA97,RZ[Úroveň 5 (P0)],BB97,RZ[Úroveň 6 (P0)],BC97,RZ[Úroveň 7 (P0)],BD97,RZ[Úroveň 8 (P0)],BE97,RZ[Úroveň 9 (P0)],BF97),RZ[[#This Row],[Koeficient odhadu HR '[-'] (P1)]]*$BP97*$IG97)</f>
        <v>0</v>
      </c>
      <c r="CY97" s="132">
        <f ca="1">IF(OFFSET(BG97,1,0,1,1)&lt;&gt;0,$BP97*SUMIFS(RZ[Úroveň 10 bez koef. (P2)],RZ[0],AX97,RZ[Úroveň 2 (P0)],AY97,RZ[Úroveň 3 (P0)],AZ97,RZ[Úroveň 4 (P0)],BA97,RZ[Úroveň 5 (P0)],BB97,RZ[Úroveň 6 (P0)],BC97,RZ[Úroveň 7 (P0)],BD97,RZ[Úroveň 8 (P0)],BE97,RZ[Úroveň 9 (P0)],BF97),$BP97*$IG97)</f>
        <v>0</v>
      </c>
      <c r="CZ97" s="138">
        <f>RZ[[#This Row],[Úroveň 10 s koef. (P2a)]]*RZ[[#This Row],[Počet MJHR (P0)]]</f>
        <v>0</v>
      </c>
      <c r="DA97" s="138">
        <f>RZ[Úroveň 10 bez koef. (P2a)]*RZ[[#This Row],[Počet MJHR (P0)]]</f>
        <v>0</v>
      </c>
      <c r="DB97" s="138">
        <f>RZ[[#This Row],[Koeficient odhadu HR '[-'] (P1)]]*$BQ97*IG97</f>
        <v>0</v>
      </c>
      <c r="DC97" s="231">
        <f t="shared" si="37"/>
        <v>0</v>
      </c>
      <c r="DD97" s="241">
        <f t="shared" ca="1" si="120"/>
        <v>5.4</v>
      </c>
      <c r="DE97" s="229">
        <f t="shared" ca="1" si="121"/>
        <v>5.4</v>
      </c>
      <c r="DF97" s="521">
        <f t="shared" si="40"/>
        <v>0</v>
      </c>
      <c r="DG97" s="522">
        <f t="shared" si="41"/>
        <v>200</v>
      </c>
      <c r="DH97" s="522">
        <f t="shared" si="42"/>
        <v>0</v>
      </c>
      <c r="DI97" s="523">
        <f t="shared" si="43"/>
        <v>0</v>
      </c>
      <c r="DJ97" s="524">
        <f t="shared" si="44"/>
        <v>0</v>
      </c>
      <c r="DK97" s="524">
        <f t="shared" si="45"/>
        <v>0</v>
      </c>
      <c r="DL97" s="524">
        <f t="shared" si="46"/>
        <v>0</v>
      </c>
      <c r="DM97" s="524">
        <f t="shared" si="47"/>
        <v>0</v>
      </c>
      <c r="DN97" s="524">
        <f t="shared" si="48"/>
        <v>0</v>
      </c>
      <c r="DO97" s="523">
        <f t="shared" si="49"/>
        <v>0</v>
      </c>
      <c r="DP97" s="525">
        <f ca="1">SUMIFS(RZ[Úroveň 1 (P4)],RZ[0],AX97)</f>
        <v>1</v>
      </c>
      <c r="DQ97" s="525">
        <f ca="1">SUMIFS(RZ[Úroveň 2 (P4)],RZ[0],AX97,RZ[Úroveň 2 (P0)],AY97)</f>
        <v>200</v>
      </c>
      <c r="DR97" s="525">
        <f ca="1">SUMIFS(RZ[Úroveň 3 (P4)],RZ[0],AX97,RZ[Úroveň 2 (P0)],AY97,RZ[Úroveň 3 (P0)],AZ97)</f>
        <v>0</v>
      </c>
      <c r="DS97" s="525">
        <f ca="1">SUMIFS(RZ[Úroveň 4 (P4)],RZ[0],AX97,RZ[Úroveň 2 (P0)],AY97,RZ[Úroveň 3 (P0)],AZ97,RZ[Úroveň 4 (P0)],BA97)</f>
        <v>0</v>
      </c>
      <c r="DT97" s="526">
        <f ca="1">SUMIFS(RZ[Úroveň 5 (P4)],RZ[0],AX97,RZ[Úroveň 2 (P0)],AY97,RZ[Úroveň 3 (P0)],AZ97,RZ[Úroveň 4 (P0)],BA97,RZ[Úroveň 5 (P0)],BB97)</f>
        <v>0</v>
      </c>
      <c r="DU97" s="526">
        <f ca="1">SUMIFS(RZ[Úroveň 6 (P4)],RZ[0],AX97,RZ[Úroveň 2 (P0)],AY97,RZ[Úroveň 3 (P0)],AZ97,RZ[Úroveň 4 (P0)],BA97,RZ[Úroveň 5 (P0)],BB97,RZ[Úroveň 6 (P0)],BC97)</f>
        <v>0</v>
      </c>
      <c r="DV97" s="526">
        <f ca="1">SUMIFS(RZ[Úroveň 7 (P4)],RZ[0],AX97,RZ[Úroveň 2 (P0)],AY97,RZ[Úroveň 3 (P0)],AZ97,RZ[Úroveň 4 (P0)],BA97,RZ[Úroveň 5 (P0)],BB97,RZ[Úroveň 6 (P0)],BC97,RZ[Úroveň 7 (P0)],BD97)</f>
        <v>0</v>
      </c>
      <c r="DW97" s="526">
        <f ca="1">SUMIFS(RZ[Úroveň 8 (P4)],RZ[0],AX97,RZ[Úroveň 2 (P0)],AY97,RZ[Úroveň 3 (P0)],AZ97,RZ[Úroveň 4 (P0)],BA97,RZ[Úroveň 5 (P0)],BB97,RZ[Úroveň 6 (P0)],BC97,RZ[Úroveň 7 (P0)],BD97,RZ[Úroveň 8 (P0)],BE97)</f>
        <v>0</v>
      </c>
      <c r="DX97" s="526">
        <f ca="1">SUMIFS(RZ[Úroveň 9 (P4)],RZ[0],AX97,RZ[Úroveň 2 (P0)],AY97,RZ[Úroveň 3 (P0)],AZ97,RZ[Úroveň 4 (P0)],BA97,RZ[Úroveň 5 (P0)],BB97,RZ[Úroveň 6 (P0)],BC97,RZ[Úroveň 7 (P0)],BD97,RZ[Úroveň 8 (P0)],BE97,RZ[Úroveň 9 (P0)],BF97)</f>
        <v>0</v>
      </c>
      <c r="DY97" s="526">
        <f ca="1">SUMIFS(RZ[Úroveň 10 (P4)],RZ[0],AX97,RZ[Úroveň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DZ97" s="527">
        <f t="shared" ca="1" si="122"/>
        <v>200</v>
      </c>
      <c r="EA97" s="528">
        <f ca="1">RZ[[#This Row],[Jednotková hmotnost bez koef. '[kg/MJHR'] (P0)]]*RZ[[#This Row],[Počet MJHR v rozpadu (P0)]]</f>
        <v>1080</v>
      </c>
      <c r="EB97" s="191">
        <f ca="1">IF(OFFSET(AY97,1,0,1,1)&lt;&gt;0,RZ[[#This Row],[Koeficient odhadu CR '[-'] (P1)]]*$BH97*SUMIFS(RZ[Úroveň 2 s koef. (P3)],RZ[0],AX97),RZ[[#This Row],[Koeficient odhadu CR '[-'] (P1)]]*$BH97*$IQ97)</f>
        <v>0</v>
      </c>
      <c r="EC97" s="191">
        <f ca="1">IF(OFFSET(AY97,1,0,1,1)&lt;&gt;0,$BH97*SUMIFS(RZ[Úroveň 2 bez koef. (P3)],RZ[0],AX97),$BH97*$IQ97)</f>
        <v>0</v>
      </c>
      <c r="ED97" s="140">
        <f ca="1">RZ[[#This Row],[Úroveň 2 s koef. (P3a)]]*RZ[[#This Row],[Počet MJCR (P0) pro "kg"]]</f>
        <v>156600</v>
      </c>
      <c r="EE97" s="140">
        <f ca="1">RZ[Úroveň 2 bez koef. (P3a)]*RZ[[#This Row],[Počet MJCR (P0) pro "kg"]]</f>
        <v>156600</v>
      </c>
      <c r="EF97" s="140">
        <f ca="1">IF(OFFSET(AZ97,1,0,1,1)&lt;&gt;0,RZ[[#This Row],[Koeficient odhadu CR '[-'] (P1)]]*$BI97*SUMIFS(RZ[Úroveň 3 s koef. (P3)],RZ[0],AX97,RZ[Úroveň 2 (P0)],AY97),RZ[[#This Row],[Koeficient odhadu CR '[-'] (P1)]]*$BI97*$IQ97)</f>
        <v>145</v>
      </c>
      <c r="EG97" s="140">
        <f ca="1">IF(OFFSET(AZ97,1,0,1,1)&lt;&gt;0,$BI97*SUMIFS(RZ[Úroveň 3 bez koef. (P3)],RZ[0],AX97,RZ[Úroveň 2 (P0)],AY97),$BI97*$IQ97)</f>
        <v>145</v>
      </c>
      <c r="EH97" s="135">
        <f ca="1">RZ[[#This Row],[Úroveň 3 s koef. (P3a)]]*RZ[[#This Row],[Počet MJCR (P0) pro "kg"]]</f>
        <v>0</v>
      </c>
      <c r="EI97" s="135">
        <f ca="1">RZ[Úroveň 3 bez koef. (P3a)]*RZ[[#This Row],[Počet MJCR (P0) pro "kg"]]</f>
        <v>0</v>
      </c>
      <c r="EJ97" s="135">
        <f ca="1">IF(OFFSET(BA97,1,0,1,1)&lt;&gt;0,RZ[[#This Row],[Koeficient odhadu CR '[-'] (P1)]]*$BJ97*SUMIFS(RZ[Úroveň 4 s koef. (P3)],RZ[0],AX97,RZ[Úroveň 2 (P0)],AY97,RZ[Úroveň 3 (P0)],AZ97),RZ[[#This Row],[Koeficient odhadu CR '[-'] (P1)]]*$BJ97*$IQ97)</f>
        <v>0</v>
      </c>
      <c r="EK97" s="135">
        <f ca="1">IF(OFFSET(BA97,1,0,1,1)&lt;&gt;0,$BJ97*SUMIFS(RZ[Úroveň 4 bez koef. (P3)],RZ[0],AX97,RZ[Úroveň 2 (P0)],AY97,RZ[Úroveň 3 (P0)],AZ97),$BJ97*$IQ97)</f>
        <v>0</v>
      </c>
      <c r="EL97" s="140">
        <f ca="1">RZ[[#This Row],[Úroveň 4 s koef. (P3a)]]*RZ[[#This Row],[Počet MJCR (P0) pro "kg"]]</f>
        <v>0</v>
      </c>
      <c r="EM97" s="140">
        <f ca="1">RZ[Úroveň 4 bez koef. (P3a)]*RZ[[#This Row],[Počet MJCR (P0) pro "kg"]]</f>
        <v>0</v>
      </c>
      <c r="EN97" s="140">
        <f ca="1">IF(OFFSET(BB97,1,0,1,1)&lt;&gt;0,RZ[[#This Row],[Koeficient odhadu CR '[-'] (P1)]]*$BK97*SUMIFS(RZ[Úroveň 5 s koef. (P3)],RZ[0],AX97,RZ[Úroveň 2 (P0)],AY97,RZ[Úroveň 3 (P0)],AZ97,RZ[Úroveň 4 (P0)],BA97),RZ[[#This Row],[Koeficient odhadu CR '[-'] (P1)]]*$BK97*$IQ97)</f>
        <v>0</v>
      </c>
      <c r="EO97" s="140">
        <f ca="1">IF(OFFSET(BB97,1,0,1,1)&lt;&gt;0,$BK97*SUMIFS(RZ[Úroveň 5 bez koef. (P3)],RZ[0],AX97,RZ[Úroveň 2 (P0)],AY97,RZ[Úroveň 3 (P0)],AZ97,RZ[Úroveň 4 (P0)],BA97),$BK97*$IQ97)</f>
        <v>0</v>
      </c>
      <c r="EP97" s="135">
        <f ca="1">RZ[[#This Row],[Úroveň 5 s koef. (P3a)]]*RZ[[#This Row],[Počet MJCR (P0) pro "kg"]]</f>
        <v>0</v>
      </c>
      <c r="EQ97" s="135">
        <f ca="1">RZ[Úroveň 5 bez koef. (P3a)]*RZ[[#This Row],[Počet MJCR (P0) pro "kg"]]</f>
        <v>0</v>
      </c>
      <c r="ER97" s="135">
        <f ca="1">IF(OFFSET(BC97,1,0,1,1)&lt;&gt;0,RZ[[#This Row],[Koeficient odhadu CR '[-'] (P1)]]*$BL97*SUMIFS(RZ[Úroveň 6 s koef. (P3)],RZ[0],AX97,RZ[Úroveň 2 (P0)],AY97,RZ[Úroveň 3 (P0)],AZ97,RZ[Úroveň 4 (P0)],BA97,RZ[Úroveň 5 (P0)],BB97),RZ[[#This Row],[Koeficient odhadu CR '[-'] (P1)]]*$BL97*$IQ97)</f>
        <v>0</v>
      </c>
      <c r="ES97" s="135">
        <f ca="1">IF(OFFSET(BC97,1,0,1,1)&lt;&gt;0,$BL97*SUMIFS(RZ[Úroveň 6 bez koef. (P3)],RZ[0],AX97,RZ[Úroveň 2 (P0)],AY97,RZ[Úroveň 3 (P0)],AZ97,RZ[Úroveň 4 (P0)],BA97,RZ[Úroveň 5 (P0)],BB97),$BL97*$IQ97)</f>
        <v>0</v>
      </c>
      <c r="ET97" s="140">
        <f ca="1">RZ[[#This Row],[Úroveň 6 s koef. (P3a)]]*RZ[[#This Row],[Počet MJCR (P0) pro "kg"]]</f>
        <v>0</v>
      </c>
      <c r="EU97" s="140">
        <f ca="1">RZ[Úroveň 6 bez koef. (P3a)]*RZ[[#This Row],[Počet MJCR (P0) pro "kg"]]</f>
        <v>0</v>
      </c>
      <c r="EV97" s="140">
        <f ca="1">IF(OFFSET(BD97,1,0,1,1)&lt;&gt;0,RZ[[#This Row],[Koeficient odhadu CR '[-'] (P1)]]*$BM97*SUMIFS(RZ[Úroveň 7 s koef. (P3)],RZ[0],AX97,RZ[Úroveň 2 (P0)],AY97,RZ[Úroveň 3 (P0)],AZ97,RZ[Úroveň 4 (P0)],BA97,RZ[Úroveň 5 (P0)],BB97,RZ[Úroveň 6 (P0)],BC97),RZ[[#This Row],[Koeficient odhadu CR '[-'] (P1)]]*$BM97*$IQ97)</f>
        <v>0</v>
      </c>
      <c r="EW97" s="140">
        <f ca="1">IF(OFFSET(BD97,1,0,1,1)&lt;&gt;0,$BM97*SUMIFS(RZ[Úroveň 7 bez koef. (P3)],RZ[0],AX97,RZ[Úroveň 2 (P0)],AY97,RZ[Úroveň 3 (P0)],AZ97,RZ[Úroveň 4 (P0)],BA97,RZ[Úroveň 5 (P0)],BB97,RZ[Úroveň 6 (P0)],BC97),$BM97*$IQ97)</f>
        <v>0</v>
      </c>
      <c r="EX97" s="135">
        <f ca="1">RZ[[#This Row],[Úroveň 7 s koef. (P3a)]]*RZ[[#This Row],[Počet MJCR (P0) pro "kg"]]</f>
        <v>0</v>
      </c>
      <c r="EY97" s="135">
        <f ca="1">RZ[Úroveň 7 bez koef. (P3a)]*RZ[[#This Row],[Počet MJCR (P0) pro "kg"]]</f>
        <v>0</v>
      </c>
      <c r="EZ97" s="135">
        <f ca="1">IF(OFFSET(BE97,1,0,1,1)&lt;&gt;0,RZ[[#This Row],[Koeficient odhadu CR '[-'] (P1)]]*$BN97*SUMIFS(RZ[Úroveň 8 s koef. (P3)],RZ[0],AX97,RZ[Úroveň 2 (P0)],AY97,RZ[Úroveň 3 (P0)],AZ97,RZ[Úroveň 4 (P0)],BA97,RZ[Úroveň 5 (P0)],BB97,RZ[Úroveň 6 (P0)],BC97,RZ[Úroveň 7 (P0)],BD97),RZ[[#This Row],[Koeficient odhadu CR '[-'] (P1)]]*$BN97*$IQ97)</f>
        <v>0</v>
      </c>
      <c r="FA97" s="135">
        <f ca="1">IF(OFFSET(BE97,1,0,1,1)&lt;&gt;0,$BN97*SUMIFS(RZ[Úroveň 8 bez koef. (P3)],RZ[0],AX97,RZ[Úroveň 2 (P0)],AY97,RZ[Úroveň 3 (P0)],AZ97,RZ[Úroveň 4 (P0)],BA97,RZ[Úroveň 5 (P0)],BB97,RZ[Úroveň 6 (P0)],BC97,RZ[Úroveň 7 (P0)],BD97),$BN97*$IQ97)</f>
        <v>0</v>
      </c>
      <c r="FB97" s="140">
        <f ca="1">RZ[[#This Row],[Úroveň 8 s koef. (P3a)]]*RZ[[#This Row],[Počet MJCR (P0) pro "kg"]]</f>
        <v>0</v>
      </c>
      <c r="FC97" s="140">
        <f ca="1">RZ[Úroveň 8 bez koef. (P3a)]*RZ[[#This Row],[Počet MJCR (P0) pro "kg"]]</f>
        <v>0</v>
      </c>
      <c r="FD97" s="140">
        <f ca="1">IF(OFFSET(BF97,1,0,1,1)&lt;&gt;0,RZ[[#This Row],[Koeficient odhadu CR '[-'] (P1)]]*$BO97*SUMIFS(RZ[Úroveň 9 s koef. (P3)],RZ[0],AX97,RZ[Úroveň 2 (P0)],AY97,RZ[Úroveň 3 (P0)],AZ97,RZ[Úroveň 4 (P0)],BA97,RZ[Úroveň 5 (P0)],BB97,RZ[Úroveň 6 (P0)],BC97,RZ[Úroveň 7 (P0)],BD97,RZ[Úroveň 8 (P0)],BE97),RZ[[#This Row],[Koeficient odhadu CR '[-'] (P1)]]*$BO97*$IQ97)</f>
        <v>0</v>
      </c>
      <c r="FE97" s="140">
        <f ca="1">IF(OFFSET(BF97,1,0,1,1)&lt;&gt;0,$BO97*SUMIFS(RZ[Úroveň 9 bez koef. (P3)],RZ[0],AX97,RZ[Úroveň 2 (P0)],AY97,RZ[Úroveň 3 (P0)],AZ97,RZ[Úroveň 4 (P0)],BA97,RZ[Úroveň 5 (P0)],BB97,RZ[Úroveň 6 (P0)],BC97,RZ[Úroveň 7 (P0)],BD97,RZ[Úroveň 8 (P0)],BE97),$BO97*$IQ97)</f>
        <v>0</v>
      </c>
      <c r="FF97" s="135">
        <f ca="1">RZ[[#This Row],[Úroveň 9 s koef. (P3a)]]*RZ[[#This Row],[Počet MJCR (P0) pro "kg"]]</f>
        <v>0</v>
      </c>
      <c r="FG97" s="135">
        <f ca="1">RZ[Úroveň 9 bez koef. (P3a)]*RZ[[#This Row],[Počet MJCR (P0) pro "kg"]]</f>
        <v>0</v>
      </c>
      <c r="FH97" s="135">
        <f ca="1">IF(OFFSET(BG97,1,0,1,1)&lt;&gt;0,RZ[[#This Row],[Koeficient odhadu CR '[-'] (P1)]]*$BP97*SUMIFS(RZ[Úroveň 10 s koef. (P3)],RZ[0],AX97,RZ[Úroveň 2 (P0)],AY97,RZ[Úroveň 3 (P0)],AZ97,RZ[Úroveň 4 (P0)],BA97,RZ[Úroveň 5 (P0)],BB97,RZ[Úroveň 6 (P0)],BC97,RZ[Úroveň 7 (P0)],BD97,RZ[Úroveň 8 (P0)],BE97,RZ[Úroveň 9 (P0)],BF97),RZ[[#This Row],[Koeficient odhadu CR '[-'] (P1)]]*$BP97*$IQ97)</f>
        <v>0</v>
      </c>
      <c r="FI97" s="135">
        <f ca="1">IF(OFFSET(BG97,1,0,1,1)&lt;&gt;0,$BP97*SUMIFS(RZ[Úroveň 10 bez koef. (P3)],RZ[0],AX97,RZ[Úroveň 2 (P0)],AY97,RZ[Úroveň 3 (P0)],AZ97,RZ[Úroveň 4 (P0)],BA97,RZ[Úroveň 5 (P0)],BB97,RZ[Úroveň 6 (P0)],BC97,RZ[Úroveň 7 (P0)],BD97,RZ[Úroveň 8 (P0)],BE97,RZ[Úroveň 9 (P0)],BF97),$BP97*$IQ97)</f>
        <v>0</v>
      </c>
      <c r="FJ97" s="140">
        <f ca="1">RZ[[#This Row],[Úroveň 10 s koef. (P3a)]]*RZ[[#This Row],[Počet MJCR (P0) pro "kg"]]</f>
        <v>0</v>
      </c>
      <c r="FK97" s="140">
        <f ca="1">RZ[Úroveň 10 bez koef. (P3a)]*RZ[[#This Row],[Počet MJCR (P0) pro "kg"]]</f>
        <v>0</v>
      </c>
      <c r="FL97" s="140">
        <f ca="1">RZ[[#This Row],[Koeficient odhadu CR '[-'] (P1)]]*$BQ97*IQ97</f>
        <v>0</v>
      </c>
      <c r="FM97" s="236">
        <f t="shared" ca="1" si="51"/>
        <v>0</v>
      </c>
      <c r="FN97" s="194">
        <f t="shared" ca="1" si="123"/>
        <v>145</v>
      </c>
      <c r="FO97" s="238">
        <f t="shared" ca="1" si="124"/>
        <v>145</v>
      </c>
      <c r="FP97" s="191">
        <f t="shared" ca="1" si="54"/>
        <v>0</v>
      </c>
      <c r="FQ97" s="135">
        <f t="shared" ca="1" si="55"/>
        <v>1080</v>
      </c>
      <c r="FR97" s="135">
        <f t="shared" ca="1" si="56"/>
        <v>0</v>
      </c>
      <c r="FS97" s="135">
        <f t="shared" ca="1" si="57"/>
        <v>0</v>
      </c>
      <c r="FT97" s="135">
        <f t="shared" ca="1" si="58"/>
        <v>0</v>
      </c>
      <c r="FU97" s="135">
        <f t="shared" ca="1" si="59"/>
        <v>0</v>
      </c>
      <c r="FV97" s="135">
        <f t="shared" ca="1" si="60"/>
        <v>0</v>
      </c>
      <c r="FW97" s="135">
        <f t="shared" ca="1" si="61"/>
        <v>0</v>
      </c>
      <c r="FX97" s="135">
        <f t="shared" ca="1" si="62"/>
        <v>0</v>
      </c>
      <c r="FY97" s="135">
        <f t="shared" ca="1" si="63"/>
        <v>0</v>
      </c>
      <c r="FZ97" s="140">
        <f ca="1">SUMIFS(RZ[Úroveň 1 (P6)],RZ[0],AX97)</f>
        <v>1</v>
      </c>
      <c r="GA97" s="140">
        <f ca="1">SUMIFS(RZ[Úroveň 2 (P6)],RZ[0],AX97,RZ[Úroveň 2 (P0)],AY97)</f>
        <v>1080</v>
      </c>
      <c r="GB97" s="140">
        <f ca="1">SUMIFS(RZ[Úroveň 3 (P6)],RZ[0],AX97,RZ[Úroveň 2 (P0)],AY97,RZ[Úroveň 3 (P0)],AZ97)</f>
        <v>0</v>
      </c>
      <c r="GC97" s="140">
        <f ca="1">SUMIFS(RZ[Úroveň 4 (P6)],RZ[0],AX97,RZ[Úroveň 2 (P0)],AY97,RZ[Úroveň 3 (P0)],AZ97,RZ[Úroveň 4 (P0)],BA97)</f>
        <v>0</v>
      </c>
      <c r="GD97" s="140">
        <f ca="1">SUMIFS(RZ[Úroveň 5 (P6)],RZ[0],AX97,RZ[Úroveň 2 (P0)],AY97,RZ[Úroveň 3 (P0)],AZ97,RZ[Úroveň 4 (P0)],BA97,RZ[Úroveň 5 (P0)],BB97)</f>
        <v>0</v>
      </c>
      <c r="GE97" s="140">
        <f ca="1">SUMIFS(RZ[Úroveň 6 (P6)],RZ[0],AX97,RZ[Úroveň 2 (P0)],AY97,RZ[Úroveň 3 (P0)],AZ97,RZ[Úroveň 4 (P0)],BA97,RZ[Úroveň 5 (P0)],BB97,RZ[Úroveň 6 (P0)],BC97)</f>
        <v>0</v>
      </c>
      <c r="GF97" s="140">
        <f ca="1">SUMIFS(RZ[Úroveň 7 (P6)],RZ[0],AX97,RZ[Úroveň 2 (P0)],AY97,RZ[Úroveň 3 (P0)],AZ97,RZ[Úroveň 4 (P0)],BA97,RZ[Úroveň 5 (P0)],BB97,RZ[Úroveň 6 (P0)],BC97,RZ[Úroveň 7 (P0)],BD97)</f>
        <v>0</v>
      </c>
      <c r="GG97" s="140">
        <f ca="1">SUMIFS(RZ[Úroveň 8 (P6)],RZ[0],AX97,RZ[Úroveň 2 (P0)],AY97,RZ[Úroveň 3 (P0)],AZ97,RZ[Úroveň 4 (P0)],BA97,RZ[Úroveň 5 (P0)],BB97,RZ[Úroveň 6 (P0)],BC97,RZ[Úroveň 7 (P0)],BD97,RZ[Úroveň 8 (P0)],BE97)</f>
        <v>0</v>
      </c>
      <c r="GH97" s="140">
        <f ca="1">SUMIFS(RZ[Úroveň 9 (P6)],RZ[0],AX97,RZ[Úroveň 2 (P0)],AY97,RZ[Úroveň 3 (P0)],AZ97,RZ[Úroveň 4 (P0)],BA97,RZ[Úroveň 5 (P0)],BB97,RZ[Úroveň 6 (P0)],BC97,RZ[Úroveň 7 (P0)],BD97,RZ[Úroveň 8 (P0)],BE97,RZ[Úroveň 9 (P0)],BF97)</f>
        <v>0</v>
      </c>
      <c r="GI97" s="140">
        <f ca="1">SUMIFS(RZ[Úroveň 10 (P6)],RZ[0],AX97,RZ[Úroveň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GJ97" s="194">
        <f t="shared" ca="1" si="125"/>
        <v>1080</v>
      </c>
      <c r="GK97" s="807">
        <f t="shared" si="65"/>
        <v>0</v>
      </c>
      <c r="GL97" s="808">
        <f t="shared" si="66"/>
        <v>1</v>
      </c>
      <c r="GM97" s="808">
        <f t="shared" si="67"/>
        <v>0</v>
      </c>
      <c r="GN97" s="808">
        <f t="shared" si="68"/>
        <v>0</v>
      </c>
      <c r="GO97" s="808">
        <f t="shared" si="69"/>
        <v>0</v>
      </c>
      <c r="GP97" s="808">
        <f t="shared" si="70"/>
        <v>0</v>
      </c>
      <c r="GQ97" s="808">
        <f t="shared" si="71"/>
        <v>0</v>
      </c>
      <c r="GR97" s="808">
        <f t="shared" si="72"/>
        <v>0</v>
      </c>
      <c r="GS97" s="808">
        <f t="shared" si="73"/>
        <v>0</v>
      </c>
      <c r="GT97" s="808">
        <f t="shared" si="74"/>
        <v>0</v>
      </c>
      <c r="GU97" s="809">
        <f ca="1">SUMIFS(RZ[Sloupec1],RZ[0],AX97)</f>
        <v>1</v>
      </c>
      <c r="GV97" s="809">
        <f ca="1">SUMIFS(RZ[Sloupec2],RZ[0],AX97,RZ[Úroveň 2 (P0)],AY97)</f>
        <v>1</v>
      </c>
      <c r="GW97" s="809">
        <f ca="1">SUMIFS(RZ[Sloupec3],RZ[0],AX97,RZ[Úroveň 2 (P0)],AY97,RZ[Úroveň 3 (P0)],AZ97)</f>
        <v>0</v>
      </c>
      <c r="GX97" s="809">
        <f ca="1">SUMIFS(RZ[Sloupec4],RZ[0],AX97,RZ[Úroveň 2 (P0)],AY97,RZ[Úroveň 3 (P0)],AZ97,RZ[Úroveň 4 (P0)],BA97)</f>
        <v>0</v>
      </c>
      <c r="GY97" s="809">
        <f ca="1">SUMIFS(RZ[Sloupec5],RZ[0],AX97,RZ[Úroveň 2 (P0)],AY97,RZ[Úroveň 3 (P0)],AZ97,RZ[Úroveň 4 (P0)],BA97,RZ[Úroveň 5 (P0)],BB97)</f>
        <v>0</v>
      </c>
      <c r="GZ97" s="809">
        <f ca="1">SUMIFS(RZ[Sloupec6],RZ[0],AX97,RZ[Úroveň 2 (P0)],AY97,RZ[Úroveň 3 (P0)],AZ97,RZ[Úroveň 4 (P0)],BA97,RZ[Úroveň 5 (P0)],BB97,RZ[Úroveň 6 (P0)],BC97)</f>
        <v>0</v>
      </c>
      <c r="HA97" s="809">
        <f ca="1">SUMIFS(RZ[Sloupec62],RZ[0],AX97,RZ[Úroveň 2 (P0)],AY97,RZ[Úroveň 3 (P0)],AZ97,RZ[Úroveň 4 (P0)],BA97,RZ[Úroveň 5 (P0)],BB97,RZ[Úroveň 6 (P0)],BC97,RZ[Úroveň 7 (P0)],BD97)</f>
        <v>0</v>
      </c>
      <c r="HB97" s="809">
        <f ca="1">SUMIFS(RZ[Sloupec63],RZ[0],AX97,RZ[Úroveň 2 (P0)],AY97,RZ[Úroveň 3 (P0)],AZ97,RZ[Úroveň 4 (P0)],BA97,RZ[Úroveň 5 (P0)],BB97,RZ[Úroveň 6 (P0)],BC97,RZ[Úroveň 7 (P0)],BD97,RZ[Úroveň 8 (P0)],BE97)</f>
        <v>0</v>
      </c>
      <c r="HC97" s="809">
        <f ca="1">SUMIFS(RZ[Sloupec64],RZ[0],AX97,RZ[Úroveň 2 (P0)],AY97,RZ[Úroveň 3 (P0)],AZ97,RZ[Úroveň 4 (P0)],BA97,RZ[Úroveň 5 (P0)],BB97,RZ[Úroveň 6 (P0)],BC97,RZ[Úroveň 7 (P0)],BD97,RZ[Úroveň 8 (P0)],BE97,RZ[Úroveň 9 (P0)],BF97)</f>
        <v>0</v>
      </c>
      <c r="HD97" s="809">
        <f ca="1">SUMIFS(RZ[Sloupec65],RZ[0],AX97,RZ[Úroveň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HE97" s="803">
        <f t="shared" ca="1" si="75"/>
        <v>1</v>
      </c>
      <c r="HF97" s="48" t="str">
        <f t="shared" si="76"/>
        <v/>
      </c>
      <c r="HG97" s="94" t="str">
        <f t="shared" si="77"/>
        <v/>
      </c>
      <c r="HH97" s="95" t="str">
        <f t="shared" si="78"/>
        <v>Céva</v>
      </c>
      <c r="HI97" s="95" t="str">
        <f t="shared" si="79"/>
        <v/>
      </c>
      <c r="HJ97" s="96" t="str">
        <f t="shared" si="80"/>
        <v/>
      </c>
      <c r="HK97" s="96" t="str">
        <f t="shared" si="81"/>
        <v/>
      </c>
      <c r="HL97" s="96" t="str">
        <f t="shared" si="82"/>
        <v/>
      </c>
      <c r="HM97" s="96" t="str">
        <f t="shared" si="83"/>
        <v/>
      </c>
      <c r="HN97" s="96" t="str">
        <f t="shared" si="84"/>
        <v/>
      </c>
      <c r="HO97" s="96" t="str">
        <f t="shared" si="85"/>
        <v/>
      </c>
      <c r="HP97" s="96" t="str">
        <f t="shared" si="86"/>
        <v/>
      </c>
      <c r="HQ97" s="145" t="str">
        <f t="shared" si="87"/>
        <v>STO1</v>
      </c>
      <c r="HR97" s="175" t="str">
        <f t="shared" si="88"/>
        <v/>
      </c>
      <c r="HS97" s="173">
        <f t="shared" si="89"/>
        <v>0</v>
      </c>
      <c r="HT97" s="99">
        <f t="shared" si="90"/>
        <v>0</v>
      </c>
      <c r="HU97" s="99">
        <f t="shared" si="91"/>
        <v>0</v>
      </c>
      <c r="HV97" s="209">
        <f t="shared" si="92"/>
        <v>0</v>
      </c>
      <c r="HW97" s="47">
        <f t="shared" si="93"/>
        <v>0</v>
      </c>
      <c r="HX97" s="46">
        <f t="shared" si="94"/>
        <v>0</v>
      </c>
      <c r="HY97" s="149" t="str">
        <f t="shared" si="95"/>
        <v>S</v>
      </c>
      <c r="HZ97" s="263">
        <f t="shared" si="96"/>
        <v>0</v>
      </c>
      <c r="IA97" s="150">
        <f t="shared" si="97"/>
        <v>1</v>
      </c>
      <c r="IB97" s="319">
        <f t="shared" si="98"/>
        <v>0</v>
      </c>
      <c r="IC97" s="220">
        <f t="shared" si="99"/>
        <v>0</v>
      </c>
      <c r="ID97" s="200" t="str">
        <f t="shared" ca="1" si="100"/>
        <v>OK</v>
      </c>
      <c r="IE97" s="201">
        <f t="shared" si="101"/>
        <v>0</v>
      </c>
      <c r="IF97" s="145">
        <f t="shared" si="102"/>
        <v>200</v>
      </c>
      <c r="IG97" s="216">
        <f t="shared" si="103"/>
        <v>5.4</v>
      </c>
      <c r="IH97" s="217">
        <f t="shared" si="126"/>
        <v>1</v>
      </c>
      <c r="II97" s="224" t="str">
        <f ca="1">IF(RZ[[#This Row],[Rozhodný sloupec indikativní ceny]]=1,"kg",IF($IW97=$JL$15,IF(JX97=0,JO97,JX97),IF($IW97=$KE$15,IF(KQ97=0,KH97,KQ97),IF($IW97=$KX$15,IF(LJ97=0,LA97,LJ97),IF($IW97=$LQ$15,IF(MC97=0,LT97,MC97),IF($IW97=$MJ$15,IF(NQ97=0,NH97,NQ97),0))))))</f>
        <v>kg</v>
      </c>
      <c r="IJ97" s="224">
        <f ca="1">IF((BH97+OFFSET(BH97,1,1,1,1))=2,RZ[[#This Row],[Počet MJHR (P0)]],IF((BI97+OFFSET(BI97,1,1,1,1))=2,RZ[[#This Row],[Počet MJHR (P0)]],IF((BJ97+OFFSET(BJ97,1,1,1,1))=2,RZ[[#This Row],[Počet MJHR (P0)]],IF((BK97+OFFSET(BK97,1,1,1,1))=2,RZ[[#This Row],[Počet MJHR (P0)]],IF((BL97+OFFSET(BL97,1,1,1,1))=2,RZ[[#This Row],[Počet MJHR (P0)]],IF((BM97+OFFSET(BM97,1,1,1,1))=2,RZ[[#This Row],[Počet MJHR (P0)]],IF((BN97+OFFSET(BN97,1,1,1,1))=2,RZ[[#This Row],[Počet MJHR (P0)]],IF((BO97+OFFSET(BO97,1,1,1,1))=2,RZ[[#This Row],[Počet MJHR (P0)]],IF((BP97+OFFSET(BP97,1,1,1,1))=2,RZ[[#This Row],[Počet MJHR (P0)]],IF((BQ97+OFFSET(BQ97,1,1,1,1))=2,RZ[[#This Row],[Počet MJHR (P0)]],IF(RZ[[#This Row],[Měrná jednotka CR (MJCR) (P0)]]=RZ[[#This Row],[Měrná jednotka HR '[MJHR'] (P0)]],RZ[[#This Row],[Počet MJHR (P0)]],IF($IW97=$JL$15,JY97,IF($IW97=$KE$15,KR97,IF($IW97=$KX$15,LK97,IF($IW97=$LQ$15,MD97,IF($IW97=$MJ$15,NR97,0))))))))))))))))</f>
        <v>0</v>
      </c>
      <c r="IK9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1080</v>
      </c>
      <c r="IL97" s="330">
        <f ca="1">IF(AND(RZ[[#This Row],[Jednotková cena bez DPH '[cena/MJCR'] (P0)]]=0,RZ[[#This Row],[Indikativní jednotková cena '[CZK/kg'] (P1)]]&lt;&gt;0),1,0)</f>
        <v>1</v>
      </c>
      <c r="IM97" s="217">
        <f ca="1">VLOOKUP(RZ[[#This Row],[Kód položek]],INDIKAT_CENA,2,FALSE)</f>
        <v>145</v>
      </c>
      <c r="IN97" s="222">
        <f ca="1">IF(RZ[[#This Row],[Rozhodný sloupec indikativní ceny]]=1,RZ[[#This Row],[Indikativní jednotková cena '[CZK/kg'] (P1)]],RZ[[#This Row],[Jednotková cena bez DPH '[cena/MJCR'] (P0)]])</f>
        <v>145</v>
      </c>
      <c r="IO97" s="222">
        <f t="shared" si="127"/>
        <v>1</v>
      </c>
      <c r="IP97" s="223">
        <f ca="1">IF(RZ[[#This Row],[Rozhodný sloupec indikativní ceny]]=1,1,IF($IW97=$JL$15,KA97,IF($IW97=$KE$15,KT97,IF($IW97=$KX$15,LM97,IF($IW97=$LQ$15,MF97,IF($IW97=$MJ$15,NT97,0))))))</f>
        <v>1</v>
      </c>
      <c r="IQ97" s="225">
        <f ca="1">IF(RZ[[#This Row],[Jednotková cena bez DPH '[cena/MJCR'] (P1)]]="",0,IF(IP97=0,0,(RZ[[#This Row],[Jednotková cena bez DPH '[cena/MJCR'] (P1)]]*VLOOKUP(IP97,$BR$7:$BT$10,3))))</f>
        <v>145</v>
      </c>
      <c r="IR97" s="737"/>
      <c r="IS97" s="627">
        <f>IF(HY97=0,"",VLOOKUP(RZ[[#This Row],[Stav Projekce (P0)]],Vstupy!$E$11:'Vstupy'!$E$11:$H$17,4,FALSE))</f>
        <v>100</v>
      </c>
      <c r="IT97" s="628" t="str">
        <f>IF(RZ[[#This Row],[Stav Projekce (P0)]]=0,"",RZ[[#This Row],[Stav Projekce (P0)]])</f>
        <v>S</v>
      </c>
      <c r="IU97" s="628" t="str">
        <f>IF(RZ[[#This Row],[Stav Nákup (P0)]]=0,"",RZ[[#This Row],[Stav Nákup (P0)]])</f>
        <v/>
      </c>
      <c r="IV97" s="636" t="str">
        <f t="shared" si="128"/>
        <v/>
      </c>
      <c r="IW97" s="641">
        <v>1</v>
      </c>
      <c r="IX97" s="630"/>
      <c r="IY97" s="264"/>
      <c r="IZ97" s="648"/>
      <c r="JA97" s="100" t="s">
        <v>741</v>
      </c>
      <c r="JB97" s="100"/>
      <c r="JC97" s="100"/>
      <c r="JD97" s="100"/>
      <c r="JE97" s="100"/>
      <c r="JF97" s="100"/>
      <c r="JG97" s="100"/>
      <c r="JH97" s="100"/>
      <c r="JI97" s="100"/>
      <c r="JJ97" s="145" t="s">
        <v>829</v>
      </c>
      <c r="JK97" s="529"/>
      <c r="JL97" s="286"/>
      <c r="JM97" s="100"/>
      <c r="JN97" s="100"/>
      <c r="JO97" s="145"/>
      <c r="JP97" s="117">
        <v>200</v>
      </c>
      <c r="JQ97" s="117">
        <v>5.4</v>
      </c>
      <c r="JR97" s="148">
        <v>1</v>
      </c>
      <c r="JS97" s="145" t="s">
        <v>602</v>
      </c>
      <c r="JT97" s="631"/>
      <c r="JU97" s="148"/>
      <c r="JV97" s="154"/>
      <c r="JW97" s="145"/>
      <c r="JX97" s="210"/>
      <c r="JY97" s="117"/>
      <c r="JZ97" s="662"/>
      <c r="KA97" s="145"/>
      <c r="KB97" s="148"/>
      <c r="KC97" s="148"/>
      <c r="KD97" s="644"/>
      <c r="KE97" s="286"/>
      <c r="KF97" s="100"/>
      <c r="KG97" s="100"/>
      <c r="KH97" s="210"/>
      <c r="KI97" s="117"/>
      <c r="KJ97" s="117"/>
      <c r="KK97" s="148"/>
      <c r="KL97" s="145"/>
      <c r="KM97" s="632"/>
      <c r="KN97" s="148"/>
      <c r="KO97" s="154"/>
      <c r="KP97" s="154"/>
      <c r="KQ97" s="210"/>
      <c r="KR97" s="117"/>
      <c r="KS97" s="211"/>
      <c r="KT97" s="145"/>
      <c r="KU97" s="148"/>
      <c r="KV97" s="148"/>
      <c r="KW97" s="265"/>
      <c r="KX97" s="286"/>
      <c r="KY97" s="100"/>
      <c r="KZ97" s="100"/>
      <c r="LA97" s="210"/>
      <c r="LB97" s="117"/>
      <c r="LC97" s="117"/>
      <c r="LD97" s="148"/>
      <c r="LE97" s="145"/>
      <c r="LF97" s="632"/>
      <c r="LG97" s="148"/>
      <c r="LH97" s="154"/>
      <c r="LI97" s="154"/>
      <c r="LJ97" s="154"/>
      <c r="LK97" s="117"/>
      <c r="LL97" s="211"/>
      <c r="LM97" s="210"/>
      <c r="LN97" s="148"/>
      <c r="LO97" s="148"/>
      <c r="LP97" s="265"/>
      <c r="LQ97" s="286"/>
      <c r="LR97" s="100"/>
      <c r="LS97" s="100"/>
      <c r="LT97" s="210"/>
      <c r="LU97" s="117"/>
      <c r="LV97" s="117"/>
      <c r="LW97" s="148"/>
      <c r="LX97" s="145"/>
      <c r="LY97" s="632"/>
      <c r="LZ97" s="148"/>
      <c r="MA97" s="154"/>
      <c r="MB97" s="154"/>
      <c r="MC97" s="145"/>
      <c r="MD97" s="117"/>
      <c r="ME97" s="211"/>
      <c r="MF97" s="210"/>
      <c r="MG97" s="148"/>
      <c r="MH97" s="148"/>
      <c r="MI97" s="265"/>
      <c r="MJ97" s="647"/>
      <c r="MK97" s="264"/>
      <c r="ML97" s="153"/>
      <c r="MM97" s="153"/>
      <c r="MN97" s="153"/>
      <c r="MO97" s="153"/>
      <c r="MP97" s="153"/>
      <c r="MQ97" s="153"/>
      <c r="MR97" s="153"/>
      <c r="MS97" s="99"/>
      <c r="MT97" s="99"/>
      <c r="MU97" s="99"/>
      <c r="MV97" s="99"/>
      <c r="MW97" s="99"/>
      <c r="MX97" s="99"/>
      <c r="MY97" s="153"/>
      <c r="MZ97" s="153"/>
      <c r="NA97" s="153"/>
      <c r="NB97" s="153"/>
      <c r="NC97" s="153"/>
      <c r="ND97" s="153"/>
      <c r="NE97" s="148"/>
      <c r="NF97" s="153"/>
      <c r="NG97" s="153"/>
      <c r="NH97" s="145" t="str">
        <f t="shared" ref="NH97:NH98" si="705">"ks"</f>
        <v>ks</v>
      </c>
      <c r="NI97" s="779">
        <f>RZ[[#This Row],[Počet ks (K)]]</f>
        <v>0</v>
      </c>
      <c r="NJ97" s="210">
        <f>RZ[[#This Row],[Hmotnost '[kg/ks'] (K)]]</f>
        <v>0</v>
      </c>
      <c r="NK97" s="148"/>
      <c r="NL97" s="145"/>
      <c r="NM97" s="632"/>
      <c r="NN97" s="148"/>
      <c r="NO97" s="154"/>
      <c r="NP97" s="153"/>
      <c r="NQ97" s="153"/>
      <c r="NR97" s="210"/>
      <c r="NS97" s="148"/>
      <c r="NT97" s="210"/>
      <c r="NU97" s="148"/>
      <c r="NV97" s="148"/>
      <c r="NW97" s="175"/>
    </row>
    <row r="98" spans="2:387" ht="15.95" customHeight="1" thickBot="1" x14ac:dyDescent="0.4">
      <c r="B98" s="118" t="str">
        <f t="shared" si="1"/>
        <v/>
      </c>
      <c r="C9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8" s="262" t="str">
        <f t="shared" si="2"/>
        <v xml:space="preserve">  Příložka</v>
      </c>
      <c r="E98" s="120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Row],[Kód položek (P2)]]))))))))))</f>
        <v>OKS3</v>
      </c>
      <c r="F98" s="122" t="str">
        <f t="shared" si="3"/>
        <v>N/A</v>
      </c>
      <c r="G98" s="121" t="str">
        <f t="shared" si="4"/>
        <v/>
      </c>
      <c r="H98" s="122" t="str">
        <f t="shared" si="5"/>
        <v/>
      </c>
      <c r="I98" s="123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HR '[MJHR'] (P0)]]))))))))))</f>
        <v>0</v>
      </c>
      <c r="J98" s="123">
        <f t="shared" si="6"/>
        <v>100</v>
      </c>
      <c r="K98" s="151">
        <f>RZ[[#This Row],[Koeficient odhadu HR '[-'] (P1)]]</f>
        <v>1</v>
      </c>
      <c r="L98" s="124">
        <f ca="1">RZ[[#This Row],[Jednotková hmotnost s koef. '[kg/MJHR'] (P0)]]</f>
        <v>0.6</v>
      </c>
      <c r="M98" s="124">
        <f t="shared" ca="1" si="7"/>
        <v>0</v>
      </c>
      <c r="N98" s="125">
        <f t="shared" ca="1" si="8"/>
        <v>60</v>
      </c>
      <c r="O98" s="125">
        <f t="shared" ca="1" si="9"/>
        <v>0</v>
      </c>
      <c r="P98" s="328" t="str">
        <f t="shared" si="10"/>
        <v/>
      </c>
      <c r="Q98" s="743">
        <f ca="1">RZ[[#This Row],[Počet MJHR v rozpadu (P0)]]</f>
        <v>100</v>
      </c>
      <c r="R98" s="439" t="str">
        <f t="shared" si="11"/>
        <v/>
      </c>
      <c r="S98" s="129" t="str">
        <f t="shared" si="12"/>
        <v/>
      </c>
      <c r="T98" s="130" t="str">
        <f t="shared" si="13"/>
        <v/>
      </c>
      <c r="U98" s="126" t="str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CR (MJCR) (P0)]]))))))))))</f>
        <v>kg</v>
      </c>
      <c r="V98" s="575">
        <f t="shared" ca="1" si="14"/>
        <v>60</v>
      </c>
      <c r="W98" s="322">
        <f>RZ[[#This Row],[Koeficient odhadu CR '[-'] (P1)]]</f>
        <v>1</v>
      </c>
      <c r="X98" s="440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Row],[Jednotková cena bez DPH '[cena/MJCR'] (P1)]]*RZ[[#This Row],[Koeficient odhadu CR '[-']]]))))))))))</f>
        <v>80</v>
      </c>
      <c r="Y98" s="440">
        <f t="shared" ca="1" si="108"/>
        <v>0</v>
      </c>
      <c r="Z98" s="142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VLOOKUP(IP98,$BR$7:$BS$11,2,FALSE)))))))))))</f>
        <v>CZK</v>
      </c>
      <c r="AA98" s="811">
        <f t="shared" ca="1" si="16"/>
        <v>60</v>
      </c>
      <c r="AB98" s="814">
        <f ca="1">RZ[[#This Row],[Kumulovaný koeficient v rozpadu (P0)]]</f>
        <v>1</v>
      </c>
      <c r="AC98" s="260"/>
      <c r="AD98" s="510">
        <f ca="1">RZ[[#This Row],[Jednotková cena bez DPH '[cena/MJCR'] s koef. (P0)]]/RZ[[#This Row],[Koeficient odhadu CR '[-']]]*RZ[[#This Row],[Kumulovaný koeficient odhadu CR  '[-']]]</f>
        <v>80</v>
      </c>
      <c r="AE98" s="511">
        <f t="shared" ca="1" si="17"/>
        <v>4800</v>
      </c>
      <c r="AF98" s="512">
        <f ca="1">-IF(ISNUMBER(AA98),RZ[[#This Row],[Celková cena bez DPH (1)]]-RZ[[#This Row],[Jednotková cena bez DPH '[cena/MJCR'] bez koef. (P0)]]*AA98,0)</f>
        <v>0</v>
      </c>
      <c r="AG9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98" s="261"/>
      <c r="AI98" s="510">
        <f t="shared" ca="1" si="18"/>
        <v>2.9629629629629628</v>
      </c>
      <c r="AJ98" s="511">
        <f t="shared" ca="1" si="19"/>
        <v>177.77777777777777</v>
      </c>
      <c r="AK98" s="512">
        <f t="shared" ca="1" si="20"/>
        <v>0</v>
      </c>
      <c r="AL98" s="753">
        <f ca="1">RZ[[#This Row],[Kilogramová cena bez DPH '[cena/kg'] (1)]]/$AK$13</f>
        <v>2.9629629629629628</v>
      </c>
      <c r="AM98" s="261"/>
      <c r="AN98" s="510">
        <f t="shared" ca="1" si="21"/>
        <v>3.8647342995169085</v>
      </c>
      <c r="AO98" s="511">
        <f t="shared" ca="1" si="22"/>
        <v>231.8840579710145</v>
      </c>
      <c r="AP98" s="512">
        <f t="shared" ca="1" si="23"/>
        <v>0</v>
      </c>
      <c r="AQ98" s="753">
        <f ca="1">RZ[[#This Row],[Kilogramová cena bez DPH '[cena/kg'] (1)]]/$AP$13</f>
        <v>3.8647342995169085</v>
      </c>
      <c r="AR98" s="261"/>
      <c r="AS98" s="510">
        <f t="shared" ca="1" si="24"/>
        <v>2.1881838074398248</v>
      </c>
      <c r="AT98" s="511">
        <f t="shared" ca="1" si="25"/>
        <v>131.29102844638948</v>
      </c>
      <c r="AU98" s="511">
        <f t="shared" ca="1" si="26"/>
        <v>0</v>
      </c>
      <c r="AV98" s="767">
        <f ca="1">RZ[[#This Row],[Kilogramová cena bez DPH '[cena/kg'] (1)]]/$AU$13</f>
        <v>2.1881838074398248</v>
      </c>
      <c r="AW98" s="165"/>
      <c r="AX98" s="110">
        <f t="shared" ca="1" si="27"/>
        <v>2</v>
      </c>
      <c r="AY98" s="55">
        <f t="shared" ca="1" si="28"/>
        <v>6</v>
      </c>
      <c r="AZ98" s="111">
        <f t="shared" ca="1" si="29"/>
        <v>0</v>
      </c>
      <c r="BA98" s="111">
        <f t="shared" ca="1" si="30"/>
        <v>0</v>
      </c>
      <c r="BB98" s="111">
        <f t="shared" ca="1" si="31"/>
        <v>0</v>
      </c>
      <c r="BC98" s="111">
        <f t="shared" ca="1" si="32"/>
        <v>0</v>
      </c>
      <c r="BD98" s="111">
        <f t="shared" ca="1" si="33"/>
        <v>0</v>
      </c>
      <c r="BE98" s="111">
        <f t="shared" ca="1" si="109"/>
        <v>0</v>
      </c>
      <c r="BF98" s="111">
        <f t="shared" ca="1" si="34"/>
        <v>0</v>
      </c>
      <c r="BG98" s="112">
        <f t="shared" ca="1" si="35"/>
        <v>0</v>
      </c>
      <c r="BH98" s="110">
        <f t="shared" si="110"/>
        <v>0</v>
      </c>
      <c r="BI98" s="55">
        <f t="shared" si="111"/>
        <v>1</v>
      </c>
      <c r="BJ98" s="55">
        <f t="shared" si="112"/>
        <v>0</v>
      </c>
      <c r="BK98" s="111">
        <f t="shared" si="113"/>
        <v>0</v>
      </c>
      <c r="BL98" s="111">
        <f t="shared" si="114"/>
        <v>0</v>
      </c>
      <c r="BM98" s="111">
        <f t="shared" si="115"/>
        <v>0</v>
      </c>
      <c r="BN98" s="111">
        <f t="shared" si="116"/>
        <v>0</v>
      </c>
      <c r="BO98" s="111">
        <f t="shared" si="117"/>
        <v>0</v>
      </c>
      <c r="BP98" s="111">
        <f t="shared" si="118"/>
        <v>0</v>
      </c>
      <c r="BQ98" s="112">
        <f t="shared" si="119"/>
        <v>0</v>
      </c>
      <c r="BR98" s="186">
        <f ca="1">IF(OFFSET(AY98,1,0,1,1)&lt;&gt;0,RZ[[#This Row],[Koeficient odhadu HR '[-'] (P1)]]*$BH98*SUMIFS(RZ[Úroveň 2 s koef. (P2)],RZ[0],AX98),RZ[[#This Row],[Koeficient odhadu HR '[-'] (P1)]]*$BH98*$IG98)</f>
        <v>0</v>
      </c>
      <c r="BS98" s="186">
        <f ca="1">IF(OFFSET(AY98,1,0,1,1)&lt;&gt;0,$BH98*SUMIFS(RZ[Úroveň 2 bez koef. (P2)],RZ[0],AX98),$BH98*$IG98)</f>
        <v>0</v>
      </c>
      <c r="BT98" s="138">
        <f ca="1">RZ[[#This Row],[Úroveň 2 s koef. (P2a)]]*RZ[[#This Row],[Počet MJHR (P0)]]</f>
        <v>60</v>
      </c>
      <c r="BU98" s="138">
        <f ca="1">RZ[[#This Row],[Úroveň 2 bez koef. (P2a)]]*RZ[[#This Row],[Počet MJHR (P0)]]</f>
        <v>60</v>
      </c>
      <c r="BV98" s="138">
        <f ca="1">IF(OFFSET(AZ98,1,0,1,1)&lt;&gt;0,RZ[[#This Row],[Koeficient odhadu HR '[-'] (P1)]]*$BI98*SUMIFS(RZ[Úroveň 3 s koef. (P2)],RZ[0],AX98,RZ[Úroveň 2 (P0)],AY98),RZ[[#This Row],[Koeficient odhadu HR '[-'] (P1)]]*$BI98*$IG98)</f>
        <v>0.6</v>
      </c>
      <c r="BW98" s="138">
        <f ca="1">IF(OFFSET(AZ98,1,0,1,1)&lt;&gt;0,$BI98*SUMIFS(RZ[Úroveň 3 bez koef. (P2)],RZ[0],AX98,RZ[Úroveň 2 (P0)],AY98),$BI98*$IG98)</f>
        <v>0.6</v>
      </c>
      <c r="BX98" s="132">
        <f ca="1">RZ[[#This Row],[Úroveň 3 s koef. (P2a)]]*RZ[[#This Row],[Počet MJHR (P0)]]</f>
        <v>0</v>
      </c>
      <c r="BY98" s="132">
        <f ca="1">RZ[Úroveň 3 bez koef. (P2a)]*RZ[[#This Row],[Počet MJHR (P0)]]</f>
        <v>0</v>
      </c>
      <c r="BZ98" s="132">
        <f ca="1">IF(OFFSET(BA98,1,0,1,1)&lt;&gt;0,RZ[[#This Row],[Koeficient odhadu HR '[-'] (P1)]]*$BJ98*SUMIFS(RZ[Úroveň 4 s koef. (P2)],RZ[0],AX98,RZ[Úroveň 2 (P0)],AY98,RZ[Úroveň 3 (P0)],AZ98),RZ[[#This Row],[Koeficient odhadu HR '[-'] (P1)]]*$BJ98*$IG98)</f>
        <v>0</v>
      </c>
      <c r="CA98" s="132">
        <f ca="1">IF(OFFSET(BA98,1,0,1,1)&lt;&gt;0,$BJ98*SUMIFS(RZ[Úroveň 4 bez koef. (P2)],RZ[0],AX98,RZ[Úroveň 2 (P0)],AY98,RZ[Úroveň 3 (P0)],AZ98),$BJ98*$IG98)</f>
        <v>0</v>
      </c>
      <c r="CB98" s="138">
        <f ca="1">RZ[[#This Row],[Úroveň 4 s koef. (P2a)]]*RZ[[#This Row],[Počet MJHR (P0)]]</f>
        <v>0</v>
      </c>
      <c r="CC98" s="138">
        <f ca="1">RZ[Úroveň 4 bez koef. (P2a)]*RZ[[#This Row],[Počet MJHR (P0)]]</f>
        <v>0</v>
      </c>
      <c r="CD98" s="138">
        <f ca="1">IF(OFFSET(BB98,1,0,1,1)&lt;&gt;0,RZ[[#This Row],[Koeficient odhadu HR '[-'] (P1)]]*$BK98*SUMIFS(RZ[Úroveň 5 s koef. (P2)],RZ[0],AX98,RZ[Úroveň 2 (P0)],AY98,RZ[Úroveň 3 (P0)],AZ98,RZ[Úroveň 4 (P0)],BA98),RZ[[#This Row],[Koeficient odhadu HR '[-'] (P1)]]*$BK98*$IG98)</f>
        <v>0</v>
      </c>
      <c r="CE98" s="138">
        <f ca="1">IF(OFFSET(BB98,1,0,1,1)&lt;&gt;0,$BK98*SUMIFS(RZ[Úroveň 5 bez koef. (P2)],RZ[0],AX98,RZ[Úroveň 2 (P0)],AY98,RZ[Úroveň 3 (P0)],AZ98,RZ[Úroveň 4 (P0)],BA98),$BK98*$IG98)</f>
        <v>0</v>
      </c>
      <c r="CF98" s="132">
        <f ca="1">RZ[[#This Row],[Úroveň 5 s koef. (P2a)]]*RZ[[#This Row],[Počet MJHR (P0)]]</f>
        <v>0</v>
      </c>
      <c r="CG98" s="132">
        <f ca="1">RZ[Úroveň 5 bez koef. (P2a)]*RZ[[#This Row],[Počet MJHR (P0)]]</f>
        <v>0</v>
      </c>
      <c r="CH98" s="132">
        <f ca="1">IF(OFFSET(BC98,1,0,1,1)&lt;&gt;0,RZ[[#This Row],[Koeficient odhadu HR '[-'] (P1)]]*$BL98*SUMIFS(RZ[Úroveň 6 s koef. (P2)],RZ[0],AX98,RZ[Úroveň 2 (P0)],AY98,RZ[Úroveň 3 (P0)],AZ98,RZ[Úroveň 4 (P0)],BA98,RZ[Úroveň 5 (P0)],BB98),RZ[[#This Row],[Koeficient odhadu HR '[-'] (P1)]]*$BL98*$IG98)</f>
        <v>0</v>
      </c>
      <c r="CI98" s="132">
        <f ca="1">IF(OFFSET(BC98,1,0,1,1)&lt;&gt;0,$BL98*SUMIFS(RZ[Úroveň 6 bez koef. (P2)],RZ[0],AX98,RZ[Úroveň 2 (P0)],AY98,RZ[Úroveň 3 (P0)],AZ98,RZ[Úroveň 4 (P0)],BA98,RZ[Úroveň 5 (P0)],BB98),$BL98*$IG98)</f>
        <v>0</v>
      </c>
      <c r="CJ98" s="138">
        <f ca="1">RZ[[#This Row],[Úroveň 6 s koef. (P2a)]]*RZ[[#This Row],[Počet MJHR (P0)]]</f>
        <v>0</v>
      </c>
      <c r="CK98" s="138">
        <f ca="1">RZ[Úroveň 6 bez koef. (P2a)]*RZ[[#This Row],[Počet MJHR (P0)]]</f>
        <v>0</v>
      </c>
      <c r="CL98" s="138">
        <f ca="1">IF(OFFSET(BD98,1,0,1,1)&lt;&gt;0,RZ[[#This Row],[Koeficient odhadu HR '[-'] (P1)]]*$BM98*SUMIFS(RZ[Úroveň 7 s koef. (P2)],RZ[0],AX98,RZ[Úroveň 2 (P0)],AY98,RZ[Úroveň 3 (P0)],AZ98,RZ[Úroveň 4 (P0)],BA98,RZ[Úroveň 5 (P0)],BB98,RZ[Úroveň 6 (P0)],BC98),RZ[[#This Row],[Koeficient odhadu HR '[-'] (P1)]]*$BM98*$IG98)</f>
        <v>0</v>
      </c>
      <c r="CM98" s="138">
        <f ca="1">IF(OFFSET(BD98,1,0,1,1)&lt;&gt;0,$BM98*SUMIFS(RZ[Úroveň 7 bez koef. (P2)],RZ[0],AX98,RZ[Úroveň 2 (P0)],AY98,RZ[Úroveň 3 (P0)],AZ98,RZ[Úroveň 4 (P0)],BA98,RZ[Úroveň 5 (P0)],BB98,RZ[Úroveň 6 (P0)],BC98),$BM98*$IG98)</f>
        <v>0</v>
      </c>
      <c r="CN98" s="132">
        <f ca="1">RZ[[#This Row],[Úroveň 7 s koef. (P2a)]]*RZ[[#This Row],[Počet MJHR (P0)]]</f>
        <v>0</v>
      </c>
      <c r="CO98" s="132">
        <f ca="1">RZ[Úroveň 7 bez koef. (P2a)]*RZ[[#This Row],[Počet MJHR (P0)]]</f>
        <v>0</v>
      </c>
      <c r="CP98" s="132">
        <f ca="1">IF(OFFSET(BE98,1,0,1,1)&lt;&gt;0,RZ[[#This Row],[Koeficient odhadu HR '[-'] (P1)]]*$BN98*SUMIFS(RZ[Úroveň 8 s koef. (P2)],RZ[0],AX98,RZ[Úroveň 2 (P0)],AY98,RZ[Úroveň 3 (P0)],AZ98,RZ[Úroveň 4 (P0)],BA98,RZ[Úroveň 5 (P0)],BB98,RZ[Úroveň 6 (P0)],BC98,RZ[Úroveň 7 (P0)],BD98),RZ[[#This Row],[Koeficient odhadu HR '[-'] (P1)]]*$BN98*$IG98)</f>
        <v>0</v>
      </c>
      <c r="CQ98" s="132">
        <f ca="1">IF(OFFSET(BE98,1,0,1,1)&lt;&gt;0,$BN98*SUMIFS(RZ[Úroveň 8 bez koef. (P2)],RZ[0],AX98,RZ[Úroveň 2 (P0)],AY98,RZ[Úroveň 3 (P0)],AZ98,RZ[Úroveň 4 (P0)],BA98,RZ[Úroveň 5 (P0)],BB98,RZ[Úroveň 6 (P0)],BC98,RZ[Úroveň 7 (P0)],BD98),$BN98*$IG98)</f>
        <v>0</v>
      </c>
      <c r="CR98" s="138">
        <f ca="1">RZ[[#This Row],[Úroveň 8 s koef. (P2a)]]*RZ[[#This Row],[Počet MJHR (P0)]]</f>
        <v>0</v>
      </c>
      <c r="CS98" s="138">
        <f ca="1">RZ[Úroveň 8 bez koef. (P2a)]*RZ[[#This Row],[Počet MJHR (P0)]]</f>
        <v>0</v>
      </c>
      <c r="CT98" s="138">
        <f ca="1">IF(OFFSET(BF98,1,0,1,1)&lt;&gt;0,RZ[[#This Row],[Koeficient odhadu HR '[-'] (P1)]]*$BO98*SUMIFS(RZ[Úroveň 9 s koef. (P2)],RZ[0],AX98,RZ[Úroveň 2 (P0)],AY98,RZ[Úroveň 3 (P0)],AZ98,RZ[Úroveň 4 (P0)],BA98,RZ[Úroveň 5 (P0)],BB98,RZ[Úroveň 6 (P0)],BC98,RZ[Úroveň 7 (P0)],BD98,RZ[Úroveň 8 (P0)],BE98),RZ[[#This Row],[Koeficient odhadu HR '[-'] (P1)]]*$BO98*$IG98)</f>
        <v>0</v>
      </c>
      <c r="CU98" s="138">
        <f ca="1">IF(OFFSET(BF98,1,0,1,1)&lt;&gt;0,$BO98*SUMIFS(RZ[Úroveň 9 bez koef. (P2)],RZ[0],AX98,RZ[Úroveň 2 (P0)],AY98,RZ[Úroveň 3 (P0)],AZ98,RZ[Úroveň 4 (P0)],BA98,RZ[Úroveň 5 (P0)],BB98,RZ[Úroveň 6 (P0)],BC98,RZ[Úroveň 7 (P0)],BD98,RZ[Úroveň 8 (P0)],BE98),$BO98*$IG98)</f>
        <v>0</v>
      </c>
      <c r="CV98" s="132">
        <f ca="1">RZ[[#This Row],[Úroveň 9 s koef. (P2a)]]*RZ[[#This Row],[Počet MJHR (P0)]]</f>
        <v>0</v>
      </c>
      <c r="CW98" s="132">
        <f ca="1">RZ[Úroveň 9 bez koef. (P2a)]*RZ[[#This Row],[Počet MJHR (P0)]]</f>
        <v>0</v>
      </c>
      <c r="CX98" s="132">
        <f ca="1">IF(OFFSET(BG98,1,0,1,1)&lt;&gt;0,RZ[[#This Row],[Koeficient odhadu HR '[-'] (P1)]]*$BP98*SUMIFS(RZ[Úroveň 10 s koef. (P2)],RZ[0],AX98,RZ[Úroveň 2 (P0)],AY98,RZ[Úroveň 3 (P0)],AZ98,RZ[Úroveň 4 (P0)],BA98,RZ[Úroveň 5 (P0)],BB98,RZ[Úroveň 6 (P0)],BC98,RZ[Úroveň 7 (P0)],BD98,RZ[Úroveň 8 (P0)],BE98,RZ[Úroveň 9 (P0)],BF98),RZ[[#This Row],[Koeficient odhadu HR '[-'] (P1)]]*$BP98*$IG98)</f>
        <v>0</v>
      </c>
      <c r="CY98" s="132">
        <f ca="1">IF(OFFSET(BG98,1,0,1,1)&lt;&gt;0,$BP98*SUMIFS(RZ[Úroveň 10 bez koef. (P2)],RZ[0],AX98,RZ[Úroveň 2 (P0)],AY98,RZ[Úroveň 3 (P0)],AZ98,RZ[Úroveň 4 (P0)],BA98,RZ[Úroveň 5 (P0)],BB98,RZ[Úroveň 6 (P0)],BC98,RZ[Úroveň 7 (P0)],BD98,RZ[Úroveň 8 (P0)],BE98,RZ[Úroveň 9 (P0)],BF98),$BP98*$IG98)</f>
        <v>0</v>
      </c>
      <c r="CZ98" s="138">
        <f>RZ[[#This Row],[Úroveň 10 s koef. (P2a)]]*RZ[[#This Row],[Počet MJHR (P0)]]</f>
        <v>0</v>
      </c>
      <c r="DA98" s="138">
        <f>RZ[Úroveň 10 bez koef. (P2a)]*RZ[[#This Row],[Počet MJHR (P0)]]</f>
        <v>0</v>
      </c>
      <c r="DB98" s="138">
        <f>RZ[[#This Row],[Koeficient odhadu HR '[-'] (P1)]]*$BQ98*IG98</f>
        <v>0</v>
      </c>
      <c r="DC98" s="231">
        <f t="shared" si="37"/>
        <v>0</v>
      </c>
      <c r="DD98" s="241">
        <f t="shared" ca="1" si="120"/>
        <v>0.6</v>
      </c>
      <c r="DE98" s="229">
        <f t="shared" ca="1" si="121"/>
        <v>0.6</v>
      </c>
      <c r="DF98" s="521">
        <f t="shared" si="40"/>
        <v>0</v>
      </c>
      <c r="DG98" s="522">
        <f t="shared" si="41"/>
        <v>100</v>
      </c>
      <c r="DH98" s="522">
        <f t="shared" si="42"/>
        <v>0</v>
      </c>
      <c r="DI98" s="523">
        <f t="shared" si="43"/>
        <v>0</v>
      </c>
      <c r="DJ98" s="524">
        <f t="shared" si="44"/>
        <v>0</v>
      </c>
      <c r="DK98" s="524">
        <f t="shared" si="45"/>
        <v>0</v>
      </c>
      <c r="DL98" s="524">
        <f t="shared" si="46"/>
        <v>0</v>
      </c>
      <c r="DM98" s="524">
        <f t="shared" si="47"/>
        <v>0</v>
      </c>
      <c r="DN98" s="524">
        <f t="shared" si="48"/>
        <v>0</v>
      </c>
      <c r="DO98" s="523">
        <f t="shared" si="49"/>
        <v>0</v>
      </c>
      <c r="DP98" s="525">
        <f ca="1">SUMIFS(RZ[Úroveň 1 (P4)],RZ[0],AX98)</f>
        <v>1</v>
      </c>
      <c r="DQ98" s="525">
        <f ca="1">SUMIFS(RZ[Úroveň 2 (P4)],RZ[0],AX98,RZ[Úroveň 2 (P0)],AY98)</f>
        <v>100</v>
      </c>
      <c r="DR98" s="525">
        <f ca="1">SUMIFS(RZ[Úroveň 3 (P4)],RZ[0],AX98,RZ[Úroveň 2 (P0)],AY98,RZ[Úroveň 3 (P0)],AZ98)</f>
        <v>0</v>
      </c>
      <c r="DS98" s="525">
        <f ca="1">SUMIFS(RZ[Úroveň 4 (P4)],RZ[0],AX98,RZ[Úroveň 2 (P0)],AY98,RZ[Úroveň 3 (P0)],AZ98,RZ[Úroveň 4 (P0)],BA98)</f>
        <v>0</v>
      </c>
      <c r="DT98" s="526">
        <f ca="1">SUMIFS(RZ[Úroveň 5 (P4)],RZ[0],AX98,RZ[Úroveň 2 (P0)],AY98,RZ[Úroveň 3 (P0)],AZ98,RZ[Úroveň 4 (P0)],BA98,RZ[Úroveň 5 (P0)],BB98)</f>
        <v>0</v>
      </c>
      <c r="DU98" s="526">
        <f ca="1">SUMIFS(RZ[Úroveň 6 (P4)],RZ[0],AX98,RZ[Úroveň 2 (P0)],AY98,RZ[Úroveň 3 (P0)],AZ98,RZ[Úroveň 4 (P0)],BA98,RZ[Úroveň 5 (P0)],BB98,RZ[Úroveň 6 (P0)],BC98)</f>
        <v>0</v>
      </c>
      <c r="DV98" s="526">
        <f ca="1">SUMIFS(RZ[Úroveň 7 (P4)],RZ[0],AX98,RZ[Úroveň 2 (P0)],AY98,RZ[Úroveň 3 (P0)],AZ98,RZ[Úroveň 4 (P0)],BA98,RZ[Úroveň 5 (P0)],BB98,RZ[Úroveň 6 (P0)],BC98,RZ[Úroveň 7 (P0)],BD98)</f>
        <v>0</v>
      </c>
      <c r="DW98" s="526">
        <f ca="1">SUMIFS(RZ[Úroveň 8 (P4)],RZ[0],AX98,RZ[Úroveň 2 (P0)],AY98,RZ[Úroveň 3 (P0)],AZ98,RZ[Úroveň 4 (P0)],BA98,RZ[Úroveň 5 (P0)],BB98,RZ[Úroveň 6 (P0)],BC98,RZ[Úroveň 7 (P0)],BD98,RZ[Úroveň 8 (P0)],BE98)</f>
        <v>0</v>
      </c>
      <c r="DX98" s="526">
        <f ca="1">SUMIFS(RZ[Úroveň 9 (P4)],RZ[0],AX98,RZ[Úroveň 2 (P0)],AY98,RZ[Úroveň 3 (P0)],AZ98,RZ[Úroveň 4 (P0)],BA98,RZ[Úroveň 5 (P0)],BB98,RZ[Úroveň 6 (P0)],BC98,RZ[Úroveň 7 (P0)],BD98,RZ[Úroveň 8 (P0)],BE98,RZ[Úroveň 9 (P0)],BF98)</f>
        <v>0</v>
      </c>
      <c r="DY98" s="526">
        <f ca="1">SUMIFS(RZ[Úroveň 10 (P4)],RZ[0],AX98,RZ[Úroveň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DZ98" s="527">
        <f t="shared" ca="1" si="122"/>
        <v>100</v>
      </c>
      <c r="EA98" s="528">
        <f ca="1">RZ[[#This Row],[Jednotková hmotnost bez koef. '[kg/MJHR'] (P0)]]*RZ[[#This Row],[Počet MJHR v rozpadu (P0)]]</f>
        <v>60</v>
      </c>
      <c r="EB98" s="191">
        <f ca="1">IF(OFFSET(AY98,1,0,1,1)&lt;&gt;0,RZ[[#This Row],[Koeficient odhadu CR '[-'] (P1)]]*$BH98*SUMIFS(RZ[Úroveň 2 s koef. (P3)],RZ[0],AX98),RZ[[#This Row],[Koeficient odhadu CR '[-'] (P1)]]*$BH98*$IQ98)</f>
        <v>0</v>
      </c>
      <c r="EC98" s="191">
        <f ca="1">IF(OFFSET(AY98,1,0,1,1)&lt;&gt;0,$BH98*SUMIFS(RZ[Úroveň 2 bez koef. (P3)],RZ[0],AX98),$BH98*$IQ98)</f>
        <v>0</v>
      </c>
      <c r="ED98" s="140">
        <f ca="1">RZ[[#This Row],[Úroveň 2 s koef. (P3a)]]*RZ[[#This Row],[Počet MJCR (P0) pro "kg"]]</f>
        <v>4800</v>
      </c>
      <c r="EE98" s="140">
        <f ca="1">RZ[Úroveň 2 bez koef. (P3a)]*RZ[[#This Row],[Počet MJCR (P0) pro "kg"]]</f>
        <v>4800</v>
      </c>
      <c r="EF98" s="140">
        <f ca="1">IF(OFFSET(AZ98,1,0,1,1)&lt;&gt;0,RZ[[#This Row],[Koeficient odhadu CR '[-'] (P1)]]*$BI98*SUMIFS(RZ[Úroveň 3 s koef. (P3)],RZ[0],AX98,RZ[Úroveň 2 (P0)],AY98),RZ[[#This Row],[Koeficient odhadu CR '[-'] (P1)]]*$BI98*$IQ98)</f>
        <v>80</v>
      </c>
      <c r="EG98" s="140">
        <f ca="1">IF(OFFSET(AZ98,1,0,1,1)&lt;&gt;0,$BI98*SUMIFS(RZ[Úroveň 3 bez koef. (P3)],RZ[0],AX98,RZ[Úroveň 2 (P0)],AY98),$BI98*$IQ98)</f>
        <v>80</v>
      </c>
      <c r="EH98" s="135">
        <f ca="1">RZ[[#This Row],[Úroveň 3 s koef. (P3a)]]*RZ[[#This Row],[Počet MJCR (P0) pro "kg"]]</f>
        <v>0</v>
      </c>
      <c r="EI98" s="135">
        <f ca="1">RZ[Úroveň 3 bez koef. (P3a)]*RZ[[#This Row],[Počet MJCR (P0) pro "kg"]]</f>
        <v>0</v>
      </c>
      <c r="EJ98" s="135">
        <f ca="1">IF(OFFSET(BA98,1,0,1,1)&lt;&gt;0,RZ[[#This Row],[Koeficient odhadu CR '[-'] (P1)]]*$BJ98*SUMIFS(RZ[Úroveň 4 s koef. (P3)],RZ[0],AX98,RZ[Úroveň 2 (P0)],AY98,RZ[Úroveň 3 (P0)],AZ98),RZ[[#This Row],[Koeficient odhadu CR '[-'] (P1)]]*$BJ98*$IQ98)</f>
        <v>0</v>
      </c>
      <c r="EK98" s="135">
        <f ca="1">IF(OFFSET(BA98,1,0,1,1)&lt;&gt;0,$BJ98*SUMIFS(RZ[Úroveň 4 bez koef. (P3)],RZ[0],AX98,RZ[Úroveň 2 (P0)],AY98,RZ[Úroveň 3 (P0)],AZ98),$BJ98*$IQ98)</f>
        <v>0</v>
      </c>
      <c r="EL98" s="140">
        <f ca="1">RZ[[#This Row],[Úroveň 4 s koef. (P3a)]]*RZ[[#This Row],[Počet MJCR (P0) pro "kg"]]</f>
        <v>0</v>
      </c>
      <c r="EM98" s="140">
        <f ca="1">RZ[Úroveň 4 bez koef. (P3a)]*RZ[[#This Row],[Počet MJCR (P0) pro "kg"]]</f>
        <v>0</v>
      </c>
      <c r="EN98" s="140">
        <f ca="1">IF(OFFSET(BB98,1,0,1,1)&lt;&gt;0,RZ[[#This Row],[Koeficient odhadu CR '[-'] (P1)]]*$BK98*SUMIFS(RZ[Úroveň 5 s koef. (P3)],RZ[0],AX98,RZ[Úroveň 2 (P0)],AY98,RZ[Úroveň 3 (P0)],AZ98,RZ[Úroveň 4 (P0)],BA98),RZ[[#This Row],[Koeficient odhadu CR '[-'] (P1)]]*$BK98*$IQ98)</f>
        <v>0</v>
      </c>
      <c r="EO98" s="140">
        <f ca="1">IF(OFFSET(BB98,1,0,1,1)&lt;&gt;0,$BK98*SUMIFS(RZ[Úroveň 5 bez koef. (P3)],RZ[0],AX98,RZ[Úroveň 2 (P0)],AY98,RZ[Úroveň 3 (P0)],AZ98,RZ[Úroveň 4 (P0)],BA98),$BK98*$IQ98)</f>
        <v>0</v>
      </c>
      <c r="EP98" s="135">
        <f ca="1">RZ[[#This Row],[Úroveň 5 s koef. (P3a)]]*RZ[[#This Row],[Počet MJCR (P0) pro "kg"]]</f>
        <v>0</v>
      </c>
      <c r="EQ98" s="135">
        <f ca="1">RZ[Úroveň 5 bez koef. (P3a)]*RZ[[#This Row],[Počet MJCR (P0) pro "kg"]]</f>
        <v>0</v>
      </c>
      <c r="ER98" s="135">
        <f ca="1">IF(OFFSET(BC98,1,0,1,1)&lt;&gt;0,RZ[[#This Row],[Koeficient odhadu CR '[-'] (P1)]]*$BL98*SUMIFS(RZ[Úroveň 6 s koef. (P3)],RZ[0],AX98,RZ[Úroveň 2 (P0)],AY98,RZ[Úroveň 3 (P0)],AZ98,RZ[Úroveň 4 (P0)],BA98,RZ[Úroveň 5 (P0)],BB98),RZ[[#This Row],[Koeficient odhadu CR '[-'] (P1)]]*$BL98*$IQ98)</f>
        <v>0</v>
      </c>
      <c r="ES98" s="135">
        <f ca="1">IF(OFFSET(BC98,1,0,1,1)&lt;&gt;0,$BL98*SUMIFS(RZ[Úroveň 6 bez koef. (P3)],RZ[0],AX98,RZ[Úroveň 2 (P0)],AY98,RZ[Úroveň 3 (P0)],AZ98,RZ[Úroveň 4 (P0)],BA98,RZ[Úroveň 5 (P0)],BB98),$BL98*$IQ98)</f>
        <v>0</v>
      </c>
      <c r="ET98" s="140">
        <f ca="1">RZ[[#This Row],[Úroveň 6 s koef. (P3a)]]*RZ[[#This Row],[Počet MJCR (P0) pro "kg"]]</f>
        <v>0</v>
      </c>
      <c r="EU98" s="140">
        <f ca="1">RZ[Úroveň 6 bez koef. (P3a)]*RZ[[#This Row],[Počet MJCR (P0) pro "kg"]]</f>
        <v>0</v>
      </c>
      <c r="EV98" s="140">
        <f ca="1">IF(OFFSET(BD98,1,0,1,1)&lt;&gt;0,RZ[[#This Row],[Koeficient odhadu CR '[-'] (P1)]]*$BM98*SUMIFS(RZ[Úroveň 7 s koef. (P3)],RZ[0],AX98,RZ[Úroveň 2 (P0)],AY98,RZ[Úroveň 3 (P0)],AZ98,RZ[Úroveň 4 (P0)],BA98,RZ[Úroveň 5 (P0)],BB98,RZ[Úroveň 6 (P0)],BC98),RZ[[#This Row],[Koeficient odhadu CR '[-'] (P1)]]*$BM98*$IQ98)</f>
        <v>0</v>
      </c>
      <c r="EW98" s="140">
        <f ca="1">IF(OFFSET(BD98,1,0,1,1)&lt;&gt;0,$BM98*SUMIFS(RZ[Úroveň 7 bez koef. (P3)],RZ[0],AX98,RZ[Úroveň 2 (P0)],AY98,RZ[Úroveň 3 (P0)],AZ98,RZ[Úroveň 4 (P0)],BA98,RZ[Úroveň 5 (P0)],BB98,RZ[Úroveň 6 (P0)],BC98),$BM98*$IQ98)</f>
        <v>0</v>
      </c>
      <c r="EX98" s="135">
        <f ca="1">RZ[[#This Row],[Úroveň 7 s koef. (P3a)]]*RZ[[#This Row],[Počet MJCR (P0) pro "kg"]]</f>
        <v>0</v>
      </c>
      <c r="EY98" s="135">
        <f ca="1">RZ[Úroveň 7 bez koef. (P3a)]*RZ[[#This Row],[Počet MJCR (P0) pro "kg"]]</f>
        <v>0</v>
      </c>
      <c r="EZ98" s="135">
        <f ca="1">IF(OFFSET(BE98,1,0,1,1)&lt;&gt;0,RZ[[#This Row],[Koeficient odhadu CR '[-'] (P1)]]*$BN98*SUMIFS(RZ[Úroveň 8 s koef. (P3)],RZ[0],AX98,RZ[Úroveň 2 (P0)],AY98,RZ[Úroveň 3 (P0)],AZ98,RZ[Úroveň 4 (P0)],BA98,RZ[Úroveň 5 (P0)],BB98,RZ[Úroveň 6 (P0)],BC98,RZ[Úroveň 7 (P0)],BD98),RZ[[#This Row],[Koeficient odhadu CR '[-'] (P1)]]*$BN98*$IQ98)</f>
        <v>0</v>
      </c>
      <c r="FA98" s="135">
        <f ca="1">IF(OFFSET(BE98,1,0,1,1)&lt;&gt;0,$BN98*SUMIFS(RZ[Úroveň 8 bez koef. (P3)],RZ[0],AX98,RZ[Úroveň 2 (P0)],AY98,RZ[Úroveň 3 (P0)],AZ98,RZ[Úroveň 4 (P0)],BA98,RZ[Úroveň 5 (P0)],BB98,RZ[Úroveň 6 (P0)],BC98,RZ[Úroveň 7 (P0)],BD98),$BN98*$IQ98)</f>
        <v>0</v>
      </c>
      <c r="FB98" s="140">
        <f ca="1">RZ[[#This Row],[Úroveň 8 s koef. (P3a)]]*RZ[[#This Row],[Počet MJCR (P0) pro "kg"]]</f>
        <v>0</v>
      </c>
      <c r="FC98" s="140">
        <f ca="1">RZ[Úroveň 8 bez koef. (P3a)]*RZ[[#This Row],[Počet MJCR (P0) pro "kg"]]</f>
        <v>0</v>
      </c>
      <c r="FD98" s="140">
        <f ca="1">IF(OFFSET(BF98,1,0,1,1)&lt;&gt;0,RZ[[#This Row],[Koeficient odhadu CR '[-'] (P1)]]*$BO98*SUMIFS(RZ[Úroveň 9 s koef. (P3)],RZ[0],AX98,RZ[Úroveň 2 (P0)],AY98,RZ[Úroveň 3 (P0)],AZ98,RZ[Úroveň 4 (P0)],BA98,RZ[Úroveň 5 (P0)],BB98,RZ[Úroveň 6 (P0)],BC98,RZ[Úroveň 7 (P0)],BD98,RZ[Úroveň 8 (P0)],BE98),RZ[[#This Row],[Koeficient odhadu CR '[-'] (P1)]]*$BO98*$IQ98)</f>
        <v>0</v>
      </c>
      <c r="FE98" s="140">
        <f ca="1">IF(OFFSET(BF98,1,0,1,1)&lt;&gt;0,$BO98*SUMIFS(RZ[Úroveň 9 bez koef. (P3)],RZ[0],AX98,RZ[Úroveň 2 (P0)],AY98,RZ[Úroveň 3 (P0)],AZ98,RZ[Úroveň 4 (P0)],BA98,RZ[Úroveň 5 (P0)],BB98,RZ[Úroveň 6 (P0)],BC98,RZ[Úroveň 7 (P0)],BD98,RZ[Úroveň 8 (P0)],BE98),$BO98*$IQ98)</f>
        <v>0</v>
      </c>
      <c r="FF98" s="135">
        <f ca="1">RZ[[#This Row],[Úroveň 9 s koef. (P3a)]]*RZ[[#This Row],[Počet MJCR (P0) pro "kg"]]</f>
        <v>0</v>
      </c>
      <c r="FG98" s="135">
        <f ca="1">RZ[Úroveň 9 bez koef. (P3a)]*RZ[[#This Row],[Počet MJCR (P0) pro "kg"]]</f>
        <v>0</v>
      </c>
      <c r="FH98" s="135">
        <f ca="1">IF(OFFSET(BG98,1,0,1,1)&lt;&gt;0,RZ[[#This Row],[Koeficient odhadu CR '[-'] (P1)]]*$BP98*SUMIFS(RZ[Úroveň 10 s koef. (P3)],RZ[0],AX98,RZ[Úroveň 2 (P0)],AY98,RZ[Úroveň 3 (P0)],AZ98,RZ[Úroveň 4 (P0)],BA98,RZ[Úroveň 5 (P0)],BB98,RZ[Úroveň 6 (P0)],BC98,RZ[Úroveň 7 (P0)],BD98,RZ[Úroveň 8 (P0)],BE98,RZ[Úroveň 9 (P0)],BF98),RZ[[#This Row],[Koeficient odhadu CR '[-'] (P1)]]*$BP98*$IQ98)</f>
        <v>0</v>
      </c>
      <c r="FI98" s="135">
        <f ca="1">IF(OFFSET(BG98,1,0,1,1)&lt;&gt;0,$BP98*SUMIFS(RZ[Úroveň 10 bez koef. (P3)],RZ[0],AX98,RZ[Úroveň 2 (P0)],AY98,RZ[Úroveň 3 (P0)],AZ98,RZ[Úroveň 4 (P0)],BA98,RZ[Úroveň 5 (P0)],BB98,RZ[Úroveň 6 (P0)],BC98,RZ[Úroveň 7 (P0)],BD98,RZ[Úroveň 8 (P0)],BE98,RZ[Úroveň 9 (P0)],BF98),$BP98*$IQ98)</f>
        <v>0</v>
      </c>
      <c r="FJ98" s="140">
        <f ca="1">RZ[[#This Row],[Úroveň 10 s koef. (P3a)]]*RZ[[#This Row],[Počet MJCR (P0) pro "kg"]]</f>
        <v>0</v>
      </c>
      <c r="FK98" s="140">
        <f ca="1">RZ[Úroveň 10 bez koef. (P3a)]*RZ[[#This Row],[Počet MJCR (P0) pro "kg"]]</f>
        <v>0</v>
      </c>
      <c r="FL98" s="140">
        <f ca="1">RZ[[#This Row],[Koeficient odhadu CR '[-'] (P1)]]*$BQ98*IQ98</f>
        <v>0</v>
      </c>
      <c r="FM98" s="236">
        <f t="shared" ca="1" si="51"/>
        <v>0</v>
      </c>
      <c r="FN98" s="194">
        <f t="shared" ca="1" si="123"/>
        <v>80</v>
      </c>
      <c r="FO98" s="238">
        <f t="shared" ca="1" si="124"/>
        <v>80</v>
      </c>
      <c r="FP98" s="191">
        <f t="shared" ca="1" si="54"/>
        <v>0</v>
      </c>
      <c r="FQ98" s="135">
        <f t="shared" ca="1" si="55"/>
        <v>60</v>
      </c>
      <c r="FR98" s="135">
        <f t="shared" ca="1" si="56"/>
        <v>0</v>
      </c>
      <c r="FS98" s="135">
        <f t="shared" ca="1" si="57"/>
        <v>0</v>
      </c>
      <c r="FT98" s="135">
        <f t="shared" ca="1" si="58"/>
        <v>0</v>
      </c>
      <c r="FU98" s="135">
        <f t="shared" ca="1" si="59"/>
        <v>0</v>
      </c>
      <c r="FV98" s="135">
        <f t="shared" ca="1" si="60"/>
        <v>0</v>
      </c>
      <c r="FW98" s="135">
        <f t="shared" ca="1" si="61"/>
        <v>0</v>
      </c>
      <c r="FX98" s="135">
        <f t="shared" ca="1" si="62"/>
        <v>0</v>
      </c>
      <c r="FY98" s="135">
        <f t="shared" ca="1" si="63"/>
        <v>0</v>
      </c>
      <c r="FZ98" s="140">
        <f ca="1">SUMIFS(RZ[Úroveň 1 (P6)],RZ[0],AX98)</f>
        <v>1</v>
      </c>
      <c r="GA98" s="140">
        <f ca="1">SUMIFS(RZ[Úroveň 2 (P6)],RZ[0],AX98,RZ[Úroveň 2 (P0)],AY98)</f>
        <v>60</v>
      </c>
      <c r="GB98" s="140">
        <f ca="1">SUMIFS(RZ[Úroveň 3 (P6)],RZ[0],AX98,RZ[Úroveň 2 (P0)],AY98,RZ[Úroveň 3 (P0)],AZ98)</f>
        <v>0</v>
      </c>
      <c r="GC98" s="140">
        <f ca="1">SUMIFS(RZ[Úroveň 4 (P6)],RZ[0],AX98,RZ[Úroveň 2 (P0)],AY98,RZ[Úroveň 3 (P0)],AZ98,RZ[Úroveň 4 (P0)],BA98)</f>
        <v>0</v>
      </c>
      <c r="GD98" s="140">
        <f ca="1">SUMIFS(RZ[Úroveň 5 (P6)],RZ[0],AX98,RZ[Úroveň 2 (P0)],AY98,RZ[Úroveň 3 (P0)],AZ98,RZ[Úroveň 4 (P0)],BA98,RZ[Úroveň 5 (P0)],BB98)</f>
        <v>0</v>
      </c>
      <c r="GE98" s="140">
        <f ca="1">SUMIFS(RZ[Úroveň 6 (P6)],RZ[0],AX98,RZ[Úroveň 2 (P0)],AY98,RZ[Úroveň 3 (P0)],AZ98,RZ[Úroveň 4 (P0)],BA98,RZ[Úroveň 5 (P0)],BB98,RZ[Úroveň 6 (P0)],BC98)</f>
        <v>0</v>
      </c>
      <c r="GF98" s="140">
        <f ca="1">SUMIFS(RZ[Úroveň 7 (P6)],RZ[0],AX98,RZ[Úroveň 2 (P0)],AY98,RZ[Úroveň 3 (P0)],AZ98,RZ[Úroveň 4 (P0)],BA98,RZ[Úroveň 5 (P0)],BB98,RZ[Úroveň 6 (P0)],BC98,RZ[Úroveň 7 (P0)],BD98)</f>
        <v>0</v>
      </c>
      <c r="GG98" s="140">
        <f ca="1">SUMIFS(RZ[Úroveň 8 (P6)],RZ[0],AX98,RZ[Úroveň 2 (P0)],AY98,RZ[Úroveň 3 (P0)],AZ98,RZ[Úroveň 4 (P0)],BA98,RZ[Úroveň 5 (P0)],BB98,RZ[Úroveň 6 (P0)],BC98,RZ[Úroveň 7 (P0)],BD98,RZ[Úroveň 8 (P0)],BE98)</f>
        <v>0</v>
      </c>
      <c r="GH98" s="140">
        <f ca="1">SUMIFS(RZ[Úroveň 9 (P6)],RZ[0],AX98,RZ[Úroveň 2 (P0)],AY98,RZ[Úroveň 3 (P0)],AZ98,RZ[Úroveň 4 (P0)],BA98,RZ[Úroveň 5 (P0)],BB98,RZ[Úroveň 6 (P0)],BC98,RZ[Úroveň 7 (P0)],BD98,RZ[Úroveň 8 (P0)],BE98,RZ[Úroveň 9 (P0)],BF98)</f>
        <v>0</v>
      </c>
      <c r="GI98" s="140">
        <f ca="1">SUMIFS(RZ[Úroveň 10 (P6)],RZ[0],AX98,RZ[Úroveň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GJ98" s="194">
        <f t="shared" ca="1" si="125"/>
        <v>60</v>
      </c>
      <c r="GK98" s="807">
        <f t="shared" si="65"/>
        <v>0</v>
      </c>
      <c r="GL98" s="808">
        <f t="shared" si="66"/>
        <v>1</v>
      </c>
      <c r="GM98" s="808">
        <f t="shared" si="67"/>
        <v>0</v>
      </c>
      <c r="GN98" s="808">
        <f t="shared" si="68"/>
        <v>0</v>
      </c>
      <c r="GO98" s="808">
        <f t="shared" si="69"/>
        <v>0</v>
      </c>
      <c r="GP98" s="808">
        <f t="shared" si="70"/>
        <v>0</v>
      </c>
      <c r="GQ98" s="808">
        <f t="shared" si="71"/>
        <v>0</v>
      </c>
      <c r="GR98" s="808">
        <f t="shared" si="72"/>
        <v>0</v>
      </c>
      <c r="GS98" s="808">
        <f t="shared" si="73"/>
        <v>0</v>
      </c>
      <c r="GT98" s="808">
        <f t="shared" si="74"/>
        <v>0</v>
      </c>
      <c r="GU98" s="809">
        <f ca="1">SUMIFS(RZ[Sloupec1],RZ[0],AX98)</f>
        <v>1</v>
      </c>
      <c r="GV98" s="809">
        <f ca="1">SUMIFS(RZ[Sloupec2],RZ[0],AX98,RZ[Úroveň 2 (P0)],AY98)</f>
        <v>1</v>
      </c>
      <c r="GW98" s="809">
        <f ca="1">SUMIFS(RZ[Sloupec3],RZ[0],AX98,RZ[Úroveň 2 (P0)],AY98,RZ[Úroveň 3 (P0)],AZ98)</f>
        <v>0</v>
      </c>
      <c r="GX98" s="809">
        <f ca="1">SUMIFS(RZ[Sloupec4],RZ[0],AX98,RZ[Úroveň 2 (P0)],AY98,RZ[Úroveň 3 (P0)],AZ98,RZ[Úroveň 4 (P0)],BA98)</f>
        <v>0</v>
      </c>
      <c r="GY98" s="809">
        <f ca="1">SUMIFS(RZ[Sloupec5],RZ[0],AX98,RZ[Úroveň 2 (P0)],AY98,RZ[Úroveň 3 (P0)],AZ98,RZ[Úroveň 4 (P0)],BA98,RZ[Úroveň 5 (P0)],BB98)</f>
        <v>0</v>
      </c>
      <c r="GZ98" s="809">
        <f ca="1">SUMIFS(RZ[Sloupec6],RZ[0],AX98,RZ[Úroveň 2 (P0)],AY98,RZ[Úroveň 3 (P0)],AZ98,RZ[Úroveň 4 (P0)],BA98,RZ[Úroveň 5 (P0)],BB98,RZ[Úroveň 6 (P0)],BC98)</f>
        <v>0</v>
      </c>
      <c r="HA98" s="809">
        <f ca="1">SUMIFS(RZ[Sloupec62],RZ[0],AX98,RZ[Úroveň 2 (P0)],AY98,RZ[Úroveň 3 (P0)],AZ98,RZ[Úroveň 4 (P0)],BA98,RZ[Úroveň 5 (P0)],BB98,RZ[Úroveň 6 (P0)],BC98,RZ[Úroveň 7 (P0)],BD98)</f>
        <v>0</v>
      </c>
      <c r="HB98" s="809">
        <f ca="1">SUMIFS(RZ[Sloupec63],RZ[0],AX98,RZ[Úroveň 2 (P0)],AY98,RZ[Úroveň 3 (P0)],AZ98,RZ[Úroveň 4 (P0)],BA98,RZ[Úroveň 5 (P0)],BB98,RZ[Úroveň 6 (P0)],BC98,RZ[Úroveň 7 (P0)],BD98,RZ[Úroveň 8 (P0)],BE98)</f>
        <v>0</v>
      </c>
      <c r="HC98" s="809">
        <f ca="1">SUMIFS(RZ[Sloupec64],RZ[0],AX98,RZ[Úroveň 2 (P0)],AY98,RZ[Úroveň 3 (P0)],AZ98,RZ[Úroveň 4 (P0)],BA98,RZ[Úroveň 5 (P0)],BB98,RZ[Úroveň 6 (P0)],BC98,RZ[Úroveň 7 (P0)],BD98,RZ[Úroveň 8 (P0)],BE98,RZ[Úroveň 9 (P0)],BF98)</f>
        <v>0</v>
      </c>
      <c r="HD98" s="809">
        <f ca="1">SUMIFS(RZ[Sloupec65],RZ[0],AX98,RZ[Úroveň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HE98" s="803">
        <f t="shared" ca="1" si="75"/>
        <v>1</v>
      </c>
      <c r="HF98" s="48" t="str">
        <f t="shared" si="76"/>
        <v/>
      </c>
      <c r="HG98" s="94" t="str">
        <f t="shared" si="77"/>
        <v/>
      </c>
      <c r="HH98" s="95" t="str">
        <f t="shared" si="78"/>
        <v>Příložka</v>
      </c>
      <c r="HI98" s="95" t="str">
        <f t="shared" si="79"/>
        <v/>
      </c>
      <c r="HJ98" s="96" t="str">
        <f t="shared" si="80"/>
        <v/>
      </c>
      <c r="HK98" s="96" t="str">
        <f t="shared" si="81"/>
        <v/>
      </c>
      <c r="HL98" s="96" t="str">
        <f t="shared" si="82"/>
        <v/>
      </c>
      <c r="HM98" s="96" t="str">
        <f t="shared" si="83"/>
        <v/>
      </c>
      <c r="HN98" s="96" t="str">
        <f t="shared" si="84"/>
        <v/>
      </c>
      <c r="HO98" s="96" t="str">
        <f t="shared" si="85"/>
        <v/>
      </c>
      <c r="HP98" s="96" t="str">
        <f t="shared" si="86"/>
        <v/>
      </c>
      <c r="HQ98" s="145" t="str">
        <f t="shared" si="87"/>
        <v>OKS3</v>
      </c>
      <c r="HR98" s="175" t="str">
        <f t="shared" si="88"/>
        <v/>
      </c>
      <c r="HS98" s="173">
        <f t="shared" si="89"/>
        <v>0</v>
      </c>
      <c r="HT98" s="99">
        <f t="shared" si="90"/>
        <v>0</v>
      </c>
      <c r="HU98" s="99">
        <f t="shared" si="91"/>
        <v>0</v>
      </c>
      <c r="HV98" s="209">
        <f t="shared" si="92"/>
        <v>0</v>
      </c>
      <c r="HW98" s="47">
        <f t="shared" si="93"/>
        <v>0</v>
      </c>
      <c r="HX98" s="46">
        <f t="shared" si="94"/>
        <v>0</v>
      </c>
      <c r="HY98" s="149" t="str">
        <f t="shared" si="95"/>
        <v>S</v>
      </c>
      <c r="HZ98" s="263">
        <f t="shared" si="96"/>
        <v>0</v>
      </c>
      <c r="IA98" s="150">
        <f t="shared" si="97"/>
        <v>1</v>
      </c>
      <c r="IB98" s="319">
        <f t="shared" si="98"/>
        <v>0</v>
      </c>
      <c r="IC98" s="220">
        <f t="shared" si="99"/>
        <v>0</v>
      </c>
      <c r="ID98" s="200" t="str">
        <f t="shared" ca="1" si="100"/>
        <v>OK</v>
      </c>
      <c r="IE98" s="201">
        <f t="shared" si="101"/>
        <v>0</v>
      </c>
      <c r="IF98" s="145">
        <f t="shared" si="102"/>
        <v>100</v>
      </c>
      <c r="IG98" s="216">
        <f t="shared" si="103"/>
        <v>0.6</v>
      </c>
      <c r="IH98" s="217">
        <f t="shared" si="126"/>
        <v>1</v>
      </c>
      <c r="II98" s="224" t="str">
        <f ca="1">IF(RZ[[#This Row],[Rozhodný sloupec indikativní ceny]]=1,"kg",IF($IW98=$JL$15,IF(JX98=0,JO98,JX98),IF($IW98=$KE$15,IF(KQ98=0,KH98,KQ98),IF($IW98=$KX$15,IF(LJ98=0,LA98,LJ98),IF($IW98=$LQ$15,IF(MC98=0,LT98,MC98),IF($IW98=$MJ$15,IF(NQ98=0,NH98,NQ98),0))))))</f>
        <v>kg</v>
      </c>
      <c r="IJ98" s="224">
        <f ca="1">IF((BH98+OFFSET(BH98,1,1,1,1))=2,RZ[[#This Row],[Počet MJHR (P0)]],IF((BI98+OFFSET(BI98,1,1,1,1))=2,RZ[[#This Row],[Počet MJHR (P0)]],IF((BJ98+OFFSET(BJ98,1,1,1,1))=2,RZ[[#This Row],[Počet MJHR (P0)]],IF((BK98+OFFSET(BK98,1,1,1,1))=2,RZ[[#This Row],[Počet MJHR (P0)]],IF((BL98+OFFSET(BL98,1,1,1,1))=2,RZ[[#This Row],[Počet MJHR (P0)]],IF((BM98+OFFSET(BM98,1,1,1,1))=2,RZ[[#This Row],[Počet MJHR (P0)]],IF((BN98+OFFSET(BN98,1,1,1,1))=2,RZ[[#This Row],[Počet MJHR (P0)]],IF((BO98+OFFSET(BO98,1,1,1,1))=2,RZ[[#This Row],[Počet MJHR (P0)]],IF((BP98+OFFSET(BP98,1,1,1,1))=2,RZ[[#This Row],[Počet MJHR (P0)]],IF((BQ98+OFFSET(BQ98,1,1,1,1))=2,RZ[[#This Row],[Počet MJHR (P0)]],IF(RZ[[#This Row],[Měrná jednotka CR (MJCR) (P0)]]=RZ[[#This Row],[Měrná jednotka HR '[MJHR'] (P0)]],RZ[[#This Row],[Počet MJHR (P0)]],IF($IW98=$JL$15,JY98,IF($IW98=$KE$15,KR98,IF($IW98=$KX$15,LK98,IF($IW98=$LQ$15,MD98,IF($IW98=$MJ$15,NR98,0))))))))))))))))</f>
        <v>0</v>
      </c>
      <c r="IK9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60</v>
      </c>
      <c r="IL98" s="330">
        <f ca="1">IF(AND(RZ[[#This Row],[Jednotková cena bez DPH '[cena/MJCR'] (P0)]]=0,RZ[[#This Row],[Indikativní jednotková cena '[CZK/kg'] (P1)]]&lt;&gt;0),1,0)</f>
        <v>1</v>
      </c>
      <c r="IM98" s="217">
        <f ca="1">VLOOKUP(RZ[[#This Row],[Kód položek]],INDIKAT_CENA,2,FALSE)</f>
        <v>80</v>
      </c>
      <c r="IN98" s="222">
        <f ca="1">IF(RZ[[#This Row],[Rozhodný sloupec indikativní ceny]]=1,RZ[[#This Row],[Indikativní jednotková cena '[CZK/kg'] (P1)]],RZ[[#This Row],[Jednotková cena bez DPH '[cena/MJCR'] (P0)]])</f>
        <v>80</v>
      </c>
      <c r="IO98" s="222">
        <f t="shared" si="127"/>
        <v>1</v>
      </c>
      <c r="IP98" s="223">
        <f ca="1">IF(RZ[[#This Row],[Rozhodný sloupec indikativní ceny]]=1,1,IF($IW98=$JL$15,KA98,IF($IW98=$KE$15,KT98,IF($IW98=$KX$15,LM98,IF($IW98=$LQ$15,MF98,IF($IW98=$MJ$15,NT98,0))))))</f>
        <v>1</v>
      </c>
      <c r="IQ98" s="225">
        <f ca="1">IF(RZ[[#This Row],[Jednotková cena bez DPH '[cena/MJCR'] (P1)]]="",0,IF(IP98=0,0,(RZ[[#This Row],[Jednotková cena bez DPH '[cena/MJCR'] (P1)]]*VLOOKUP(IP98,$BR$7:$BT$10,3))))</f>
        <v>80</v>
      </c>
      <c r="IR98" s="737"/>
      <c r="IS98" s="627">
        <f>IF(HY98=0,"",VLOOKUP(RZ[[#This Row],[Stav Projekce (P0)]],Vstupy!$E$11:'Vstupy'!$E$11:$H$17,4,FALSE))</f>
        <v>100</v>
      </c>
      <c r="IT98" s="628" t="str">
        <f>IF(RZ[[#This Row],[Stav Projekce (P0)]]=0,"",RZ[[#This Row],[Stav Projekce (P0)]])</f>
        <v>S</v>
      </c>
      <c r="IU98" s="628" t="str">
        <f>IF(RZ[[#This Row],[Stav Nákup (P0)]]=0,"",RZ[[#This Row],[Stav Nákup (P0)]])</f>
        <v/>
      </c>
      <c r="IV98" s="636" t="str">
        <f t="shared" si="128"/>
        <v/>
      </c>
      <c r="IW98" s="641">
        <v>1</v>
      </c>
      <c r="IX98" s="630"/>
      <c r="IY98" s="264"/>
      <c r="IZ98" s="776"/>
      <c r="JA98" s="100" t="s">
        <v>742</v>
      </c>
      <c r="JB98" s="100"/>
      <c r="JC98" s="100"/>
      <c r="JD98" s="100"/>
      <c r="JE98" s="100"/>
      <c r="JF98" s="100"/>
      <c r="JG98" s="100"/>
      <c r="JH98" s="100"/>
      <c r="JI98" s="100"/>
      <c r="JJ98" s="145" t="s">
        <v>769</v>
      </c>
      <c r="JK98" s="529"/>
      <c r="JL98" s="286"/>
      <c r="JM98" s="100"/>
      <c r="JN98" s="100"/>
      <c r="JO98" s="145"/>
      <c r="JP98" s="117">
        <v>100</v>
      </c>
      <c r="JQ98" s="117">
        <v>0.6</v>
      </c>
      <c r="JR98" s="148">
        <v>1</v>
      </c>
      <c r="JS98" s="145" t="s">
        <v>602</v>
      </c>
      <c r="JT98" s="631"/>
      <c r="JU98" s="148"/>
      <c r="JV98" s="154"/>
      <c r="JW98" s="145"/>
      <c r="JX98" s="210"/>
      <c r="JY98" s="117"/>
      <c r="JZ98" s="662"/>
      <c r="KA98" s="145"/>
      <c r="KB98" s="148"/>
      <c r="KC98" s="148"/>
      <c r="KD98" s="644"/>
      <c r="KE98" s="286"/>
      <c r="KF98" s="100"/>
      <c r="KG98" s="100"/>
      <c r="KH98" s="210"/>
      <c r="KI98" s="117"/>
      <c r="KJ98" s="117"/>
      <c r="KK98" s="148"/>
      <c r="KL98" s="145"/>
      <c r="KM98" s="632"/>
      <c r="KN98" s="148"/>
      <c r="KO98" s="154"/>
      <c r="KP98" s="154"/>
      <c r="KQ98" s="210"/>
      <c r="KR98" s="117"/>
      <c r="KS98" s="211"/>
      <c r="KT98" s="145"/>
      <c r="KU98" s="148"/>
      <c r="KV98" s="148"/>
      <c r="KW98" s="265"/>
      <c r="KX98" s="286"/>
      <c r="KY98" s="100"/>
      <c r="KZ98" s="100"/>
      <c r="LA98" s="210"/>
      <c r="LB98" s="117"/>
      <c r="LC98" s="117"/>
      <c r="LD98" s="148"/>
      <c r="LE98" s="145"/>
      <c r="LF98" s="632"/>
      <c r="LG98" s="148"/>
      <c r="LH98" s="154"/>
      <c r="LI98" s="154"/>
      <c r="LJ98" s="154"/>
      <c r="LK98" s="117"/>
      <c r="LL98" s="211"/>
      <c r="LM98" s="210"/>
      <c r="LN98" s="148"/>
      <c r="LO98" s="148"/>
      <c r="LP98" s="265"/>
      <c r="LQ98" s="286"/>
      <c r="LR98" s="100"/>
      <c r="LS98" s="100"/>
      <c r="LT98" s="210"/>
      <c r="LU98" s="117"/>
      <c r="LV98" s="117"/>
      <c r="LW98" s="148"/>
      <c r="LX98" s="145"/>
      <c r="LY98" s="632"/>
      <c r="LZ98" s="148"/>
      <c r="MA98" s="154"/>
      <c r="MB98" s="154"/>
      <c r="MC98" s="145"/>
      <c r="MD98" s="117"/>
      <c r="ME98" s="211"/>
      <c r="MF98" s="210"/>
      <c r="MG98" s="148"/>
      <c r="MH98" s="148"/>
      <c r="MI98" s="265"/>
      <c r="MJ98" s="647"/>
      <c r="MK98" s="264"/>
      <c r="ML98" s="153"/>
      <c r="MM98" s="153"/>
      <c r="MN98" s="153"/>
      <c r="MO98" s="153"/>
      <c r="MP98" s="153"/>
      <c r="MQ98" s="153"/>
      <c r="MR98" s="153"/>
      <c r="MS98" s="99"/>
      <c r="MT98" s="99"/>
      <c r="MU98" s="99"/>
      <c r="MV98" s="99"/>
      <c r="MW98" s="99"/>
      <c r="MX98" s="99"/>
      <c r="MY98" s="153"/>
      <c r="MZ98" s="153"/>
      <c r="NA98" s="153"/>
      <c r="NB98" s="153"/>
      <c r="NC98" s="153"/>
      <c r="ND98" s="153"/>
      <c r="NE98" s="148"/>
      <c r="NF98" s="153"/>
      <c r="NG98" s="153"/>
      <c r="NH98" s="145" t="str">
        <f t="shared" si="705"/>
        <v>ks</v>
      </c>
      <c r="NI98" s="779">
        <f>RZ[[#This Row],[Počet ks (K)]]</f>
        <v>0</v>
      </c>
      <c r="NJ98" s="210">
        <f>RZ[[#This Row],[Hmotnost '[kg/ks'] (K)]]</f>
        <v>0</v>
      </c>
      <c r="NK98" s="148"/>
      <c r="NL98" s="145"/>
      <c r="NM98" s="632"/>
      <c r="NN98" s="148"/>
      <c r="NO98" s="154"/>
      <c r="NP98" s="153"/>
      <c r="NQ98" s="153"/>
      <c r="NR98" s="210"/>
      <c r="NS98" s="148"/>
      <c r="NT98" s="210"/>
      <c r="NU98" s="148"/>
      <c r="NV98" s="148"/>
      <c r="NW98" s="175"/>
    </row>
    <row r="99" spans="2:387" ht="15.95" customHeight="1" thickBot="1" x14ac:dyDescent="0.4">
      <c r="B99" s="118" t="str">
        <f t="shared" si="1"/>
        <v/>
      </c>
      <c r="C9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9" s="262" t="str">
        <f t="shared" si="2"/>
        <v xml:space="preserve">  Rám</v>
      </c>
      <c r="E99" s="120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Row],[Kód položek (P2)]]))))))))))</f>
        <v>OKS1</v>
      </c>
      <c r="F99" s="122" t="str">
        <f t="shared" si="3"/>
        <v>Svařenec</v>
      </c>
      <c r="G99" s="121" t="str">
        <f t="shared" si="4"/>
        <v/>
      </c>
      <c r="H99" s="122" t="str">
        <f t="shared" si="5"/>
        <v/>
      </c>
      <c r="I99" s="123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HR '[MJHR'] (P0)]]))))))))))</f>
        <v>0</v>
      </c>
      <c r="J99" s="123">
        <f t="shared" si="6"/>
        <v>6</v>
      </c>
      <c r="K99" s="151">
        <f>RZ[[#This Row],[Koeficient odhadu HR '[-'] (P1)]]</f>
        <v>1</v>
      </c>
      <c r="L99" s="124">
        <f ca="1">RZ[[#This Row],[Jednotková hmotnost s koef. '[kg/MJHR'] (P0)]]</f>
        <v>453.8</v>
      </c>
      <c r="M99" s="124">
        <f t="shared" ca="1" si="7"/>
        <v>0</v>
      </c>
      <c r="N99" s="125">
        <f t="shared" ca="1" si="8"/>
        <v>2722.8</v>
      </c>
      <c r="O99" s="125">
        <f t="shared" ca="1" si="9"/>
        <v>0</v>
      </c>
      <c r="P99" s="328" t="str">
        <f t="shared" si="10"/>
        <v/>
      </c>
      <c r="Q99" s="743">
        <f ca="1">RZ[[#This Row],[Počet MJHR v rozpadu (P0)]]</f>
        <v>6</v>
      </c>
      <c r="R99" s="439" t="str">
        <f t="shared" si="11"/>
        <v/>
      </c>
      <c r="S99" s="129" t="str">
        <f t="shared" si="12"/>
        <v/>
      </c>
      <c r="T99" s="130" t="str">
        <f t="shared" si="13"/>
        <v/>
      </c>
      <c r="U99" s="126" t="str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CR (MJCR) (P0)]]))))))))))</f>
        <v>kg</v>
      </c>
      <c r="V99" s="575">
        <f t="shared" ca="1" si="14"/>
        <v>2722.8</v>
      </c>
      <c r="W99" s="322">
        <f>RZ[[#This Row],[Koeficient odhadu CR '[-'] (P1)]]</f>
        <v>1</v>
      </c>
      <c r="X99" s="440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Row],[Jednotková cena bez DPH '[cena/MJCR'] (P1)]]*RZ[[#This Row],[Koeficient odhadu CR '[-']]]))))))))))</f>
        <v>140</v>
      </c>
      <c r="Y99" s="440">
        <f t="shared" ca="1" si="108"/>
        <v>0</v>
      </c>
      <c r="Z99" s="142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VLOOKUP(IP99,$BR$7:$BS$11,2,FALSE)))))))))))</f>
        <v>CZK</v>
      </c>
      <c r="AA99" s="811">
        <f t="shared" ca="1" si="16"/>
        <v>2722.8</v>
      </c>
      <c r="AB99" s="814">
        <f ca="1">RZ[[#This Row],[Kumulovaný koeficient v rozpadu (P0)]]</f>
        <v>1</v>
      </c>
      <c r="AC99" s="260"/>
      <c r="AD99" s="510">
        <f ca="1">RZ[[#This Row],[Jednotková cena bez DPH '[cena/MJCR'] s koef. (P0)]]/RZ[[#This Row],[Koeficient odhadu CR '[-']]]*RZ[[#This Row],[Kumulovaný koeficient odhadu CR  '[-']]]</f>
        <v>140</v>
      </c>
      <c r="AE99" s="511">
        <f t="shared" ca="1" si="17"/>
        <v>381192</v>
      </c>
      <c r="AF99" s="512">
        <f ca="1">-IF(ISNUMBER(AA99),RZ[[#This Row],[Celková cena bez DPH (1)]]-RZ[[#This Row],[Jednotková cena bez DPH '[cena/MJCR'] bez koef. (P0)]]*AA99,0)</f>
        <v>0</v>
      </c>
      <c r="AG9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9" s="261"/>
      <c r="AI99" s="510">
        <f t="shared" ca="1" si="18"/>
        <v>5.1851851851851851</v>
      </c>
      <c r="AJ99" s="511">
        <f t="shared" ca="1" si="19"/>
        <v>14118.222222222223</v>
      </c>
      <c r="AK99" s="512">
        <f t="shared" ca="1" si="20"/>
        <v>0</v>
      </c>
      <c r="AL99" s="753">
        <f ca="1">RZ[[#This Row],[Kilogramová cena bez DPH '[cena/kg'] (1)]]/$AK$13</f>
        <v>5.1851851851851851</v>
      </c>
      <c r="AM99" s="261"/>
      <c r="AN99" s="510">
        <f t="shared" ca="1" si="21"/>
        <v>6.7632850241545892</v>
      </c>
      <c r="AO99" s="511">
        <f t="shared" ca="1" si="22"/>
        <v>18415.072463768116</v>
      </c>
      <c r="AP99" s="512">
        <f t="shared" ca="1" si="23"/>
        <v>0</v>
      </c>
      <c r="AQ99" s="753">
        <f ca="1">RZ[[#This Row],[Kilogramová cena bez DPH '[cena/kg'] (1)]]/$AP$13</f>
        <v>6.7632850241545892</v>
      </c>
      <c r="AR99" s="261"/>
      <c r="AS99" s="510">
        <f t="shared" ca="1" si="24"/>
        <v>3.8293216630196936</v>
      </c>
      <c r="AT99" s="511">
        <f t="shared" ca="1" si="25"/>
        <v>10426.477024070022</v>
      </c>
      <c r="AU99" s="511">
        <f t="shared" ca="1" si="26"/>
        <v>0</v>
      </c>
      <c r="AV99" s="767">
        <f ca="1">RZ[[#This Row],[Kilogramová cena bez DPH '[cena/kg'] (1)]]/$AU$13</f>
        <v>3.8293216630196936</v>
      </c>
      <c r="AW99" s="165"/>
      <c r="AX99" s="110">
        <f t="shared" ca="1" si="27"/>
        <v>2</v>
      </c>
      <c r="AY99" s="55">
        <f t="shared" ca="1" si="28"/>
        <v>7</v>
      </c>
      <c r="AZ99" s="111">
        <f t="shared" ca="1" si="29"/>
        <v>0</v>
      </c>
      <c r="BA99" s="111">
        <f t="shared" ca="1" si="30"/>
        <v>0</v>
      </c>
      <c r="BB99" s="111">
        <f t="shared" ca="1" si="31"/>
        <v>0</v>
      </c>
      <c r="BC99" s="111">
        <f t="shared" ca="1" si="32"/>
        <v>0</v>
      </c>
      <c r="BD99" s="111">
        <f t="shared" ca="1" si="33"/>
        <v>0</v>
      </c>
      <c r="BE99" s="111">
        <f t="shared" ca="1" si="109"/>
        <v>0</v>
      </c>
      <c r="BF99" s="111">
        <f t="shared" ca="1" si="34"/>
        <v>0</v>
      </c>
      <c r="BG99" s="112">
        <f t="shared" ca="1" si="35"/>
        <v>0</v>
      </c>
      <c r="BH99" s="110">
        <f t="shared" si="110"/>
        <v>0</v>
      </c>
      <c r="BI99" s="55">
        <f t="shared" si="111"/>
        <v>1</v>
      </c>
      <c r="BJ99" s="55">
        <f t="shared" si="112"/>
        <v>0</v>
      </c>
      <c r="BK99" s="111">
        <f t="shared" si="113"/>
        <v>0</v>
      </c>
      <c r="BL99" s="111">
        <f t="shared" si="114"/>
        <v>0</v>
      </c>
      <c r="BM99" s="111">
        <f t="shared" si="115"/>
        <v>0</v>
      </c>
      <c r="BN99" s="111">
        <f t="shared" si="116"/>
        <v>0</v>
      </c>
      <c r="BO99" s="111">
        <f t="shared" si="117"/>
        <v>0</v>
      </c>
      <c r="BP99" s="111">
        <f t="shared" si="118"/>
        <v>0</v>
      </c>
      <c r="BQ99" s="112">
        <f t="shared" si="119"/>
        <v>0</v>
      </c>
      <c r="BR99" s="186">
        <f ca="1">IF(OFFSET(AY99,1,0,1,1)&lt;&gt;0,RZ[[#This Row],[Koeficient odhadu HR '[-'] (P1)]]*$BH99*SUMIFS(RZ[Úroveň 2 s koef. (P2)],RZ[0],AX99),RZ[[#This Row],[Koeficient odhadu HR '[-'] (P1)]]*$BH99*$IG99)</f>
        <v>0</v>
      </c>
      <c r="BS99" s="186">
        <f ca="1">IF(OFFSET(AY99,1,0,1,1)&lt;&gt;0,$BH99*SUMIFS(RZ[Úroveň 2 bez koef. (P2)],RZ[0],AX99),$BH99*$IG99)</f>
        <v>0</v>
      </c>
      <c r="BT99" s="138">
        <f ca="1">RZ[[#This Row],[Úroveň 2 s koef. (P2a)]]*RZ[[#This Row],[Počet MJHR (P0)]]</f>
        <v>2722.8</v>
      </c>
      <c r="BU99" s="138">
        <f ca="1">RZ[[#This Row],[Úroveň 2 bez koef. (P2a)]]*RZ[[#This Row],[Počet MJHR (P0)]]</f>
        <v>2722.8</v>
      </c>
      <c r="BV99" s="138">
        <f ca="1">IF(OFFSET(AZ99,1,0,1,1)&lt;&gt;0,RZ[[#This Row],[Koeficient odhadu HR '[-'] (P1)]]*$BI99*SUMIFS(RZ[Úroveň 3 s koef. (P2)],RZ[0],AX99,RZ[Úroveň 2 (P0)],AY99),RZ[[#This Row],[Koeficient odhadu HR '[-'] (P1)]]*$BI99*$IG99)</f>
        <v>453.8</v>
      </c>
      <c r="BW99" s="138">
        <f ca="1">IF(OFFSET(AZ99,1,0,1,1)&lt;&gt;0,$BI99*SUMIFS(RZ[Úroveň 3 bez koef. (P2)],RZ[0],AX99,RZ[Úroveň 2 (P0)],AY99),$BI99*$IG99)</f>
        <v>453.8</v>
      </c>
      <c r="BX99" s="132">
        <f ca="1">RZ[[#This Row],[Úroveň 3 s koef. (P2a)]]*RZ[[#This Row],[Počet MJHR (P0)]]</f>
        <v>0</v>
      </c>
      <c r="BY99" s="132">
        <f ca="1">RZ[Úroveň 3 bez koef. (P2a)]*RZ[[#This Row],[Počet MJHR (P0)]]</f>
        <v>0</v>
      </c>
      <c r="BZ99" s="132">
        <f ca="1">IF(OFFSET(BA99,1,0,1,1)&lt;&gt;0,RZ[[#This Row],[Koeficient odhadu HR '[-'] (P1)]]*$BJ99*SUMIFS(RZ[Úroveň 4 s koef. (P2)],RZ[0],AX99,RZ[Úroveň 2 (P0)],AY99,RZ[Úroveň 3 (P0)],AZ99),RZ[[#This Row],[Koeficient odhadu HR '[-'] (P1)]]*$BJ99*$IG99)</f>
        <v>0</v>
      </c>
      <c r="CA99" s="132">
        <f ca="1">IF(OFFSET(BA99,1,0,1,1)&lt;&gt;0,$BJ99*SUMIFS(RZ[Úroveň 4 bez koef. (P2)],RZ[0],AX99,RZ[Úroveň 2 (P0)],AY99,RZ[Úroveň 3 (P0)],AZ99),$BJ99*$IG99)</f>
        <v>0</v>
      </c>
      <c r="CB99" s="138">
        <f ca="1">RZ[[#This Row],[Úroveň 4 s koef. (P2a)]]*RZ[[#This Row],[Počet MJHR (P0)]]</f>
        <v>0</v>
      </c>
      <c r="CC99" s="138">
        <f ca="1">RZ[Úroveň 4 bez koef. (P2a)]*RZ[[#This Row],[Počet MJHR (P0)]]</f>
        <v>0</v>
      </c>
      <c r="CD99" s="138">
        <f ca="1">IF(OFFSET(BB99,1,0,1,1)&lt;&gt;0,RZ[[#This Row],[Koeficient odhadu HR '[-'] (P1)]]*$BK99*SUMIFS(RZ[Úroveň 5 s koef. (P2)],RZ[0],AX99,RZ[Úroveň 2 (P0)],AY99,RZ[Úroveň 3 (P0)],AZ99,RZ[Úroveň 4 (P0)],BA99),RZ[[#This Row],[Koeficient odhadu HR '[-'] (P1)]]*$BK99*$IG99)</f>
        <v>0</v>
      </c>
      <c r="CE99" s="138">
        <f ca="1">IF(OFFSET(BB99,1,0,1,1)&lt;&gt;0,$BK99*SUMIFS(RZ[Úroveň 5 bez koef. (P2)],RZ[0],AX99,RZ[Úroveň 2 (P0)],AY99,RZ[Úroveň 3 (P0)],AZ99,RZ[Úroveň 4 (P0)],BA99),$BK99*$IG99)</f>
        <v>0</v>
      </c>
      <c r="CF99" s="132">
        <f ca="1">RZ[[#This Row],[Úroveň 5 s koef. (P2a)]]*RZ[[#This Row],[Počet MJHR (P0)]]</f>
        <v>0</v>
      </c>
      <c r="CG99" s="132">
        <f ca="1">RZ[Úroveň 5 bez koef. (P2a)]*RZ[[#This Row],[Počet MJHR (P0)]]</f>
        <v>0</v>
      </c>
      <c r="CH99" s="132">
        <f ca="1">IF(OFFSET(BC99,1,0,1,1)&lt;&gt;0,RZ[[#This Row],[Koeficient odhadu HR '[-'] (P1)]]*$BL99*SUMIFS(RZ[Úroveň 6 s koef. (P2)],RZ[0],AX99,RZ[Úroveň 2 (P0)],AY99,RZ[Úroveň 3 (P0)],AZ99,RZ[Úroveň 4 (P0)],BA99,RZ[Úroveň 5 (P0)],BB99),RZ[[#This Row],[Koeficient odhadu HR '[-'] (P1)]]*$BL99*$IG99)</f>
        <v>0</v>
      </c>
      <c r="CI99" s="132">
        <f ca="1">IF(OFFSET(BC99,1,0,1,1)&lt;&gt;0,$BL99*SUMIFS(RZ[Úroveň 6 bez koef. (P2)],RZ[0],AX99,RZ[Úroveň 2 (P0)],AY99,RZ[Úroveň 3 (P0)],AZ99,RZ[Úroveň 4 (P0)],BA99,RZ[Úroveň 5 (P0)],BB99),$BL99*$IG99)</f>
        <v>0</v>
      </c>
      <c r="CJ99" s="138">
        <f ca="1">RZ[[#This Row],[Úroveň 6 s koef. (P2a)]]*RZ[[#This Row],[Počet MJHR (P0)]]</f>
        <v>0</v>
      </c>
      <c r="CK99" s="138">
        <f ca="1">RZ[Úroveň 6 bez koef. (P2a)]*RZ[[#This Row],[Počet MJHR (P0)]]</f>
        <v>0</v>
      </c>
      <c r="CL99" s="138">
        <f ca="1">IF(OFFSET(BD99,1,0,1,1)&lt;&gt;0,RZ[[#This Row],[Koeficient odhadu HR '[-'] (P1)]]*$BM99*SUMIFS(RZ[Úroveň 7 s koef. (P2)],RZ[0],AX99,RZ[Úroveň 2 (P0)],AY99,RZ[Úroveň 3 (P0)],AZ99,RZ[Úroveň 4 (P0)],BA99,RZ[Úroveň 5 (P0)],BB99,RZ[Úroveň 6 (P0)],BC99),RZ[[#This Row],[Koeficient odhadu HR '[-'] (P1)]]*$BM99*$IG99)</f>
        <v>0</v>
      </c>
      <c r="CM99" s="138">
        <f ca="1">IF(OFFSET(BD99,1,0,1,1)&lt;&gt;0,$BM99*SUMIFS(RZ[Úroveň 7 bez koef. (P2)],RZ[0],AX99,RZ[Úroveň 2 (P0)],AY99,RZ[Úroveň 3 (P0)],AZ99,RZ[Úroveň 4 (P0)],BA99,RZ[Úroveň 5 (P0)],BB99,RZ[Úroveň 6 (P0)],BC99),$BM99*$IG99)</f>
        <v>0</v>
      </c>
      <c r="CN99" s="132">
        <f ca="1">RZ[[#This Row],[Úroveň 7 s koef. (P2a)]]*RZ[[#This Row],[Počet MJHR (P0)]]</f>
        <v>0</v>
      </c>
      <c r="CO99" s="132">
        <f ca="1">RZ[Úroveň 7 bez koef. (P2a)]*RZ[[#This Row],[Počet MJHR (P0)]]</f>
        <v>0</v>
      </c>
      <c r="CP99" s="132">
        <f ca="1">IF(OFFSET(BE99,1,0,1,1)&lt;&gt;0,RZ[[#This Row],[Koeficient odhadu HR '[-'] (P1)]]*$BN99*SUMIFS(RZ[Úroveň 8 s koef. (P2)],RZ[0],AX99,RZ[Úroveň 2 (P0)],AY99,RZ[Úroveň 3 (P0)],AZ99,RZ[Úroveň 4 (P0)],BA99,RZ[Úroveň 5 (P0)],BB99,RZ[Úroveň 6 (P0)],BC99,RZ[Úroveň 7 (P0)],BD99),RZ[[#This Row],[Koeficient odhadu HR '[-'] (P1)]]*$BN99*$IG99)</f>
        <v>0</v>
      </c>
      <c r="CQ99" s="132">
        <f ca="1">IF(OFFSET(BE99,1,0,1,1)&lt;&gt;0,$BN99*SUMIFS(RZ[Úroveň 8 bez koef. (P2)],RZ[0],AX99,RZ[Úroveň 2 (P0)],AY99,RZ[Úroveň 3 (P0)],AZ99,RZ[Úroveň 4 (P0)],BA99,RZ[Úroveň 5 (P0)],BB99,RZ[Úroveň 6 (P0)],BC99,RZ[Úroveň 7 (P0)],BD99),$BN99*$IG99)</f>
        <v>0</v>
      </c>
      <c r="CR99" s="138">
        <f ca="1">RZ[[#This Row],[Úroveň 8 s koef. (P2a)]]*RZ[[#This Row],[Počet MJHR (P0)]]</f>
        <v>0</v>
      </c>
      <c r="CS99" s="138">
        <f ca="1">RZ[Úroveň 8 bez koef. (P2a)]*RZ[[#This Row],[Počet MJHR (P0)]]</f>
        <v>0</v>
      </c>
      <c r="CT99" s="138">
        <f ca="1">IF(OFFSET(BF99,1,0,1,1)&lt;&gt;0,RZ[[#This Row],[Koeficient odhadu HR '[-'] (P1)]]*$BO99*SUMIFS(RZ[Úroveň 9 s koef. (P2)],RZ[0],AX99,RZ[Úroveň 2 (P0)],AY99,RZ[Úroveň 3 (P0)],AZ99,RZ[Úroveň 4 (P0)],BA99,RZ[Úroveň 5 (P0)],BB99,RZ[Úroveň 6 (P0)],BC99,RZ[Úroveň 7 (P0)],BD99,RZ[Úroveň 8 (P0)],BE99),RZ[[#This Row],[Koeficient odhadu HR '[-'] (P1)]]*$BO99*$IG99)</f>
        <v>0</v>
      </c>
      <c r="CU99" s="138">
        <f ca="1">IF(OFFSET(BF99,1,0,1,1)&lt;&gt;0,$BO99*SUMIFS(RZ[Úroveň 9 bez koef. (P2)],RZ[0],AX99,RZ[Úroveň 2 (P0)],AY99,RZ[Úroveň 3 (P0)],AZ99,RZ[Úroveň 4 (P0)],BA99,RZ[Úroveň 5 (P0)],BB99,RZ[Úroveň 6 (P0)],BC99,RZ[Úroveň 7 (P0)],BD99,RZ[Úroveň 8 (P0)],BE99),$BO99*$IG99)</f>
        <v>0</v>
      </c>
      <c r="CV99" s="132">
        <f ca="1">RZ[[#This Row],[Úroveň 9 s koef. (P2a)]]*RZ[[#This Row],[Počet MJHR (P0)]]</f>
        <v>0</v>
      </c>
      <c r="CW99" s="132">
        <f ca="1">RZ[Úroveň 9 bez koef. (P2a)]*RZ[[#This Row],[Počet MJHR (P0)]]</f>
        <v>0</v>
      </c>
      <c r="CX99" s="132">
        <f ca="1">IF(OFFSET(BG99,1,0,1,1)&lt;&gt;0,RZ[[#This Row],[Koeficient odhadu HR '[-'] (P1)]]*$BP99*SUMIFS(RZ[Úroveň 10 s koef. (P2)],RZ[0],AX99,RZ[Úroveň 2 (P0)],AY99,RZ[Úroveň 3 (P0)],AZ99,RZ[Úroveň 4 (P0)],BA99,RZ[Úroveň 5 (P0)],BB99,RZ[Úroveň 6 (P0)],BC99,RZ[Úroveň 7 (P0)],BD99,RZ[Úroveň 8 (P0)],BE99,RZ[Úroveň 9 (P0)],BF99),RZ[[#This Row],[Koeficient odhadu HR '[-'] (P1)]]*$BP99*$IG99)</f>
        <v>0</v>
      </c>
      <c r="CY99" s="132">
        <f ca="1">IF(OFFSET(BG99,1,0,1,1)&lt;&gt;0,$BP99*SUMIFS(RZ[Úroveň 10 bez koef. (P2)],RZ[0],AX99,RZ[Úroveň 2 (P0)],AY99,RZ[Úroveň 3 (P0)],AZ99,RZ[Úroveň 4 (P0)],BA99,RZ[Úroveň 5 (P0)],BB99,RZ[Úroveň 6 (P0)],BC99,RZ[Úroveň 7 (P0)],BD99,RZ[Úroveň 8 (P0)],BE99,RZ[Úroveň 9 (P0)],BF99),$BP99*$IG99)</f>
        <v>0</v>
      </c>
      <c r="CZ99" s="138">
        <f>RZ[[#This Row],[Úroveň 10 s koef. (P2a)]]*RZ[[#This Row],[Počet MJHR (P0)]]</f>
        <v>0</v>
      </c>
      <c r="DA99" s="138">
        <f>RZ[Úroveň 10 bez koef. (P2a)]*RZ[[#This Row],[Počet MJHR (P0)]]</f>
        <v>0</v>
      </c>
      <c r="DB99" s="138">
        <f>RZ[[#This Row],[Koeficient odhadu HR '[-'] (P1)]]*$BQ99*IG99</f>
        <v>0</v>
      </c>
      <c r="DC99" s="231">
        <f t="shared" si="37"/>
        <v>0</v>
      </c>
      <c r="DD99" s="241">
        <f t="shared" ca="1" si="120"/>
        <v>453.8</v>
      </c>
      <c r="DE99" s="229">
        <f t="shared" ca="1" si="121"/>
        <v>453.8</v>
      </c>
      <c r="DF99" s="521">
        <f t="shared" si="40"/>
        <v>0</v>
      </c>
      <c r="DG99" s="522">
        <f t="shared" si="41"/>
        <v>6</v>
      </c>
      <c r="DH99" s="522">
        <f t="shared" si="42"/>
        <v>0</v>
      </c>
      <c r="DI99" s="523">
        <f t="shared" si="43"/>
        <v>0</v>
      </c>
      <c r="DJ99" s="524">
        <f t="shared" si="44"/>
        <v>0</v>
      </c>
      <c r="DK99" s="524">
        <f t="shared" si="45"/>
        <v>0</v>
      </c>
      <c r="DL99" s="524">
        <f t="shared" si="46"/>
        <v>0</v>
      </c>
      <c r="DM99" s="524">
        <f t="shared" si="47"/>
        <v>0</v>
      </c>
      <c r="DN99" s="524">
        <f t="shared" si="48"/>
        <v>0</v>
      </c>
      <c r="DO99" s="523">
        <f t="shared" si="49"/>
        <v>0</v>
      </c>
      <c r="DP99" s="525">
        <f ca="1">SUMIFS(RZ[Úroveň 1 (P4)],RZ[0],AX99)</f>
        <v>1</v>
      </c>
      <c r="DQ99" s="525">
        <f ca="1">SUMIFS(RZ[Úroveň 2 (P4)],RZ[0],AX99,RZ[Úroveň 2 (P0)],AY99)</f>
        <v>6</v>
      </c>
      <c r="DR99" s="525">
        <f ca="1">SUMIFS(RZ[Úroveň 3 (P4)],RZ[0],AX99,RZ[Úroveň 2 (P0)],AY99,RZ[Úroveň 3 (P0)],AZ99)</f>
        <v>0</v>
      </c>
      <c r="DS99" s="525">
        <f ca="1">SUMIFS(RZ[Úroveň 4 (P4)],RZ[0],AX99,RZ[Úroveň 2 (P0)],AY99,RZ[Úroveň 3 (P0)],AZ99,RZ[Úroveň 4 (P0)],BA99)</f>
        <v>0</v>
      </c>
      <c r="DT99" s="526">
        <f ca="1">SUMIFS(RZ[Úroveň 5 (P4)],RZ[0],AX99,RZ[Úroveň 2 (P0)],AY99,RZ[Úroveň 3 (P0)],AZ99,RZ[Úroveň 4 (P0)],BA99,RZ[Úroveň 5 (P0)],BB99)</f>
        <v>0</v>
      </c>
      <c r="DU99" s="526">
        <f ca="1">SUMIFS(RZ[Úroveň 6 (P4)],RZ[0],AX99,RZ[Úroveň 2 (P0)],AY99,RZ[Úroveň 3 (P0)],AZ99,RZ[Úroveň 4 (P0)],BA99,RZ[Úroveň 5 (P0)],BB99,RZ[Úroveň 6 (P0)],BC99)</f>
        <v>0</v>
      </c>
      <c r="DV99" s="526">
        <f ca="1">SUMIFS(RZ[Úroveň 7 (P4)],RZ[0],AX99,RZ[Úroveň 2 (P0)],AY99,RZ[Úroveň 3 (P0)],AZ99,RZ[Úroveň 4 (P0)],BA99,RZ[Úroveň 5 (P0)],BB99,RZ[Úroveň 6 (P0)],BC99,RZ[Úroveň 7 (P0)],BD99)</f>
        <v>0</v>
      </c>
      <c r="DW99" s="526">
        <f ca="1">SUMIFS(RZ[Úroveň 8 (P4)],RZ[0],AX99,RZ[Úroveň 2 (P0)],AY99,RZ[Úroveň 3 (P0)],AZ99,RZ[Úroveň 4 (P0)],BA99,RZ[Úroveň 5 (P0)],BB99,RZ[Úroveň 6 (P0)],BC99,RZ[Úroveň 7 (P0)],BD99,RZ[Úroveň 8 (P0)],BE99)</f>
        <v>0</v>
      </c>
      <c r="DX99" s="526">
        <f ca="1">SUMIFS(RZ[Úroveň 9 (P4)],RZ[0],AX99,RZ[Úroveň 2 (P0)],AY99,RZ[Úroveň 3 (P0)],AZ99,RZ[Úroveň 4 (P0)],BA99,RZ[Úroveň 5 (P0)],BB99,RZ[Úroveň 6 (P0)],BC99,RZ[Úroveň 7 (P0)],BD99,RZ[Úroveň 8 (P0)],BE99,RZ[Úroveň 9 (P0)],BF99)</f>
        <v>0</v>
      </c>
      <c r="DY99" s="526">
        <f ca="1">SUMIFS(RZ[Úroveň 10 (P4)],RZ[0],AX99,RZ[Úroveň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DZ99" s="527">
        <f t="shared" ca="1" si="122"/>
        <v>6</v>
      </c>
      <c r="EA99" s="528">
        <f ca="1">RZ[[#This Row],[Jednotková hmotnost bez koef. '[kg/MJHR'] (P0)]]*RZ[[#This Row],[Počet MJHR v rozpadu (P0)]]</f>
        <v>2722.8</v>
      </c>
      <c r="EB99" s="191">
        <f ca="1">IF(OFFSET(AY99,1,0,1,1)&lt;&gt;0,RZ[[#This Row],[Koeficient odhadu CR '[-'] (P1)]]*$BH99*SUMIFS(RZ[Úroveň 2 s koef. (P3)],RZ[0],AX99),RZ[[#This Row],[Koeficient odhadu CR '[-'] (P1)]]*$BH99*$IQ99)</f>
        <v>0</v>
      </c>
      <c r="EC99" s="191">
        <f ca="1">IF(OFFSET(AY99,1,0,1,1)&lt;&gt;0,$BH99*SUMIFS(RZ[Úroveň 2 bez koef. (P3)],RZ[0],AX99),$BH99*$IQ99)</f>
        <v>0</v>
      </c>
      <c r="ED99" s="140">
        <f ca="1">RZ[[#This Row],[Úroveň 2 s koef. (P3a)]]*RZ[[#This Row],[Počet MJCR (P0) pro "kg"]]</f>
        <v>381192</v>
      </c>
      <c r="EE99" s="140">
        <f ca="1">RZ[Úroveň 2 bez koef. (P3a)]*RZ[[#This Row],[Počet MJCR (P0) pro "kg"]]</f>
        <v>381192</v>
      </c>
      <c r="EF99" s="140">
        <f ca="1">IF(OFFSET(AZ99,1,0,1,1)&lt;&gt;0,RZ[[#This Row],[Koeficient odhadu CR '[-'] (P1)]]*$BI99*SUMIFS(RZ[Úroveň 3 s koef. (P3)],RZ[0],AX99,RZ[Úroveň 2 (P0)],AY99),RZ[[#This Row],[Koeficient odhadu CR '[-'] (P1)]]*$BI99*$IQ99)</f>
        <v>140</v>
      </c>
      <c r="EG99" s="140">
        <f ca="1">IF(OFFSET(AZ99,1,0,1,1)&lt;&gt;0,$BI99*SUMIFS(RZ[Úroveň 3 bez koef. (P3)],RZ[0],AX99,RZ[Úroveň 2 (P0)],AY99),$BI99*$IQ99)</f>
        <v>140</v>
      </c>
      <c r="EH99" s="135">
        <f ca="1">RZ[[#This Row],[Úroveň 3 s koef. (P3a)]]*RZ[[#This Row],[Počet MJCR (P0) pro "kg"]]</f>
        <v>0</v>
      </c>
      <c r="EI99" s="135">
        <f ca="1">RZ[Úroveň 3 bez koef. (P3a)]*RZ[[#This Row],[Počet MJCR (P0) pro "kg"]]</f>
        <v>0</v>
      </c>
      <c r="EJ99" s="135">
        <f ca="1">IF(OFFSET(BA99,1,0,1,1)&lt;&gt;0,RZ[[#This Row],[Koeficient odhadu CR '[-'] (P1)]]*$BJ99*SUMIFS(RZ[Úroveň 4 s koef. (P3)],RZ[0],AX99,RZ[Úroveň 2 (P0)],AY99,RZ[Úroveň 3 (P0)],AZ99),RZ[[#This Row],[Koeficient odhadu CR '[-'] (P1)]]*$BJ99*$IQ99)</f>
        <v>0</v>
      </c>
      <c r="EK99" s="135">
        <f ca="1">IF(OFFSET(BA99,1,0,1,1)&lt;&gt;0,$BJ99*SUMIFS(RZ[Úroveň 4 bez koef. (P3)],RZ[0],AX99,RZ[Úroveň 2 (P0)],AY99,RZ[Úroveň 3 (P0)],AZ99),$BJ99*$IQ99)</f>
        <v>0</v>
      </c>
      <c r="EL99" s="140">
        <f ca="1">RZ[[#This Row],[Úroveň 4 s koef. (P3a)]]*RZ[[#This Row],[Počet MJCR (P0) pro "kg"]]</f>
        <v>0</v>
      </c>
      <c r="EM99" s="140">
        <f ca="1">RZ[Úroveň 4 bez koef. (P3a)]*RZ[[#This Row],[Počet MJCR (P0) pro "kg"]]</f>
        <v>0</v>
      </c>
      <c r="EN99" s="140">
        <f ca="1">IF(OFFSET(BB99,1,0,1,1)&lt;&gt;0,RZ[[#This Row],[Koeficient odhadu CR '[-'] (P1)]]*$BK99*SUMIFS(RZ[Úroveň 5 s koef. (P3)],RZ[0],AX99,RZ[Úroveň 2 (P0)],AY99,RZ[Úroveň 3 (P0)],AZ99,RZ[Úroveň 4 (P0)],BA99),RZ[[#This Row],[Koeficient odhadu CR '[-'] (P1)]]*$BK99*$IQ99)</f>
        <v>0</v>
      </c>
      <c r="EO99" s="140">
        <f ca="1">IF(OFFSET(BB99,1,0,1,1)&lt;&gt;0,$BK99*SUMIFS(RZ[Úroveň 5 bez koef. (P3)],RZ[0],AX99,RZ[Úroveň 2 (P0)],AY99,RZ[Úroveň 3 (P0)],AZ99,RZ[Úroveň 4 (P0)],BA99),$BK99*$IQ99)</f>
        <v>0</v>
      </c>
      <c r="EP99" s="135">
        <f ca="1">RZ[[#This Row],[Úroveň 5 s koef. (P3a)]]*RZ[[#This Row],[Počet MJCR (P0) pro "kg"]]</f>
        <v>0</v>
      </c>
      <c r="EQ99" s="135">
        <f ca="1">RZ[Úroveň 5 bez koef. (P3a)]*RZ[[#This Row],[Počet MJCR (P0) pro "kg"]]</f>
        <v>0</v>
      </c>
      <c r="ER99" s="135">
        <f ca="1">IF(OFFSET(BC99,1,0,1,1)&lt;&gt;0,RZ[[#This Row],[Koeficient odhadu CR '[-'] (P1)]]*$BL99*SUMIFS(RZ[Úroveň 6 s koef. (P3)],RZ[0],AX99,RZ[Úroveň 2 (P0)],AY99,RZ[Úroveň 3 (P0)],AZ99,RZ[Úroveň 4 (P0)],BA99,RZ[Úroveň 5 (P0)],BB99),RZ[[#This Row],[Koeficient odhadu CR '[-'] (P1)]]*$BL99*$IQ99)</f>
        <v>0</v>
      </c>
      <c r="ES99" s="135">
        <f ca="1">IF(OFFSET(BC99,1,0,1,1)&lt;&gt;0,$BL99*SUMIFS(RZ[Úroveň 6 bez koef. (P3)],RZ[0],AX99,RZ[Úroveň 2 (P0)],AY99,RZ[Úroveň 3 (P0)],AZ99,RZ[Úroveň 4 (P0)],BA99,RZ[Úroveň 5 (P0)],BB99),$BL99*$IQ99)</f>
        <v>0</v>
      </c>
      <c r="ET99" s="140">
        <f ca="1">RZ[[#This Row],[Úroveň 6 s koef. (P3a)]]*RZ[[#This Row],[Počet MJCR (P0) pro "kg"]]</f>
        <v>0</v>
      </c>
      <c r="EU99" s="140">
        <f ca="1">RZ[Úroveň 6 bez koef. (P3a)]*RZ[[#This Row],[Počet MJCR (P0) pro "kg"]]</f>
        <v>0</v>
      </c>
      <c r="EV99" s="140">
        <f ca="1">IF(OFFSET(BD99,1,0,1,1)&lt;&gt;0,RZ[[#This Row],[Koeficient odhadu CR '[-'] (P1)]]*$BM99*SUMIFS(RZ[Úroveň 7 s koef. (P3)],RZ[0],AX99,RZ[Úroveň 2 (P0)],AY99,RZ[Úroveň 3 (P0)],AZ99,RZ[Úroveň 4 (P0)],BA99,RZ[Úroveň 5 (P0)],BB99,RZ[Úroveň 6 (P0)],BC99),RZ[[#This Row],[Koeficient odhadu CR '[-'] (P1)]]*$BM99*$IQ99)</f>
        <v>0</v>
      </c>
      <c r="EW99" s="140">
        <f ca="1">IF(OFFSET(BD99,1,0,1,1)&lt;&gt;0,$BM99*SUMIFS(RZ[Úroveň 7 bez koef. (P3)],RZ[0],AX99,RZ[Úroveň 2 (P0)],AY99,RZ[Úroveň 3 (P0)],AZ99,RZ[Úroveň 4 (P0)],BA99,RZ[Úroveň 5 (P0)],BB99,RZ[Úroveň 6 (P0)],BC99),$BM99*$IQ99)</f>
        <v>0</v>
      </c>
      <c r="EX99" s="135">
        <f ca="1">RZ[[#This Row],[Úroveň 7 s koef. (P3a)]]*RZ[[#This Row],[Počet MJCR (P0) pro "kg"]]</f>
        <v>0</v>
      </c>
      <c r="EY99" s="135">
        <f ca="1">RZ[Úroveň 7 bez koef. (P3a)]*RZ[[#This Row],[Počet MJCR (P0) pro "kg"]]</f>
        <v>0</v>
      </c>
      <c r="EZ99" s="135">
        <f ca="1">IF(OFFSET(BE99,1,0,1,1)&lt;&gt;0,RZ[[#This Row],[Koeficient odhadu CR '[-'] (P1)]]*$BN99*SUMIFS(RZ[Úroveň 8 s koef. (P3)],RZ[0],AX99,RZ[Úroveň 2 (P0)],AY99,RZ[Úroveň 3 (P0)],AZ99,RZ[Úroveň 4 (P0)],BA99,RZ[Úroveň 5 (P0)],BB99,RZ[Úroveň 6 (P0)],BC99,RZ[Úroveň 7 (P0)],BD99),RZ[[#This Row],[Koeficient odhadu CR '[-'] (P1)]]*$BN99*$IQ99)</f>
        <v>0</v>
      </c>
      <c r="FA99" s="135">
        <f ca="1">IF(OFFSET(BE99,1,0,1,1)&lt;&gt;0,$BN99*SUMIFS(RZ[Úroveň 8 bez koef. (P3)],RZ[0],AX99,RZ[Úroveň 2 (P0)],AY99,RZ[Úroveň 3 (P0)],AZ99,RZ[Úroveň 4 (P0)],BA99,RZ[Úroveň 5 (P0)],BB99,RZ[Úroveň 6 (P0)],BC99,RZ[Úroveň 7 (P0)],BD99),$BN99*$IQ99)</f>
        <v>0</v>
      </c>
      <c r="FB99" s="140">
        <f ca="1">RZ[[#This Row],[Úroveň 8 s koef. (P3a)]]*RZ[[#This Row],[Počet MJCR (P0) pro "kg"]]</f>
        <v>0</v>
      </c>
      <c r="FC99" s="140">
        <f ca="1">RZ[Úroveň 8 bez koef. (P3a)]*RZ[[#This Row],[Počet MJCR (P0) pro "kg"]]</f>
        <v>0</v>
      </c>
      <c r="FD99" s="140">
        <f ca="1">IF(OFFSET(BF99,1,0,1,1)&lt;&gt;0,RZ[[#This Row],[Koeficient odhadu CR '[-'] (P1)]]*$BO99*SUMIFS(RZ[Úroveň 9 s koef. (P3)],RZ[0],AX99,RZ[Úroveň 2 (P0)],AY99,RZ[Úroveň 3 (P0)],AZ99,RZ[Úroveň 4 (P0)],BA99,RZ[Úroveň 5 (P0)],BB99,RZ[Úroveň 6 (P0)],BC99,RZ[Úroveň 7 (P0)],BD99,RZ[Úroveň 8 (P0)],BE99),RZ[[#This Row],[Koeficient odhadu CR '[-'] (P1)]]*$BO99*$IQ99)</f>
        <v>0</v>
      </c>
      <c r="FE99" s="140">
        <f ca="1">IF(OFFSET(BF99,1,0,1,1)&lt;&gt;0,$BO99*SUMIFS(RZ[Úroveň 9 bez koef. (P3)],RZ[0],AX99,RZ[Úroveň 2 (P0)],AY99,RZ[Úroveň 3 (P0)],AZ99,RZ[Úroveň 4 (P0)],BA99,RZ[Úroveň 5 (P0)],BB99,RZ[Úroveň 6 (P0)],BC99,RZ[Úroveň 7 (P0)],BD99,RZ[Úroveň 8 (P0)],BE99),$BO99*$IQ99)</f>
        <v>0</v>
      </c>
      <c r="FF99" s="135">
        <f ca="1">RZ[[#This Row],[Úroveň 9 s koef. (P3a)]]*RZ[[#This Row],[Počet MJCR (P0) pro "kg"]]</f>
        <v>0</v>
      </c>
      <c r="FG99" s="135">
        <f ca="1">RZ[Úroveň 9 bez koef. (P3a)]*RZ[[#This Row],[Počet MJCR (P0) pro "kg"]]</f>
        <v>0</v>
      </c>
      <c r="FH99" s="135">
        <f ca="1">IF(OFFSET(BG99,1,0,1,1)&lt;&gt;0,RZ[[#This Row],[Koeficient odhadu CR '[-'] (P1)]]*$BP99*SUMIFS(RZ[Úroveň 10 s koef. (P3)],RZ[0],AX99,RZ[Úroveň 2 (P0)],AY99,RZ[Úroveň 3 (P0)],AZ99,RZ[Úroveň 4 (P0)],BA99,RZ[Úroveň 5 (P0)],BB99,RZ[Úroveň 6 (P0)],BC99,RZ[Úroveň 7 (P0)],BD99,RZ[Úroveň 8 (P0)],BE99,RZ[Úroveň 9 (P0)],BF99),RZ[[#This Row],[Koeficient odhadu CR '[-'] (P1)]]*$BP99*$IQ99)</f>
        <v>0</v>
      </c>
      <c r="FI99" s="135">
        <f ca="1">IF(OFFSET(BG99,1,0,1,1)&lt;&gt;0,$BP99*SUMIFS(RZ[Úroveň 10 bez koef. (P3)],RZ[0],AX99,RZ[Úroveň 2 (P0)],AY99,RZ[Úroveň 3 (P0)],AZ99,RZ[Úroveň 4 (P0)],BA99,RZ[Úroveň 5 (P0)],BB99,RZ[Úroveň 6 (P0)],BC99,RZ[Úroveň 7 (P0)],BD99,RZ[Úroveň 8 (P0)],BE99,RZ[Úroveň 9 (P0)],BF99),$BP99*$IQ99)</f>
        <v>0</v>
      </c>
      <c r="FJ99" s="140">
        <f ca="1">RZ[[#This Row],[Úroveň 10 s koef. (P3a)]]*RZ[[#This Row],[Počet MJCR (P0) pro "kg"]]</f>
        <v>0</v>
      </c>
      <c r="FK99" s="140">
        <f ca="1">RZ[Úroveň 10 bez koef. (P3a)]*RZ[[#This Row],[Počet MJCR (P0) pro "kg"]]</f>
        <v>0</v>
      </c>
      <c r="FL99" s="140">
        <f ca="1">RZ[[#This Row],[Koeficient odhadu CR '[-'] (P1)]]*$BQ99*IQ99</f>
        <v>0</v>
      </c>
      <c r="FM99" s="236">
        <f t="shared" ca="1" si="51"/>
        <v>0</v>
      </c>
      <c r="FN99" s="194">
        <f t="shared" ca="1" si="123"/>
        <v>140</v>
      </c>
      <c r="FO99" s="238">
        <f t="shared" ca="1" si="124"/>
        <v>140</v>
      </c>
      <c r="FP99" s="191">
        <f t="shared" ca="1" si="54"/>
        <v>0</v>
      </c>
      <c r="FQ99" s="135">
        <f t="shared" ca="1" si="55"/>
        <v>2722.8</v>
      </c>
      <c r="FR99" s="135">
        <f t="shared" ca="1" si="56"/>
        <v>0</v>
      </c>
      <c r="FS99" s="135">
        <f t="shared" ca="1" si="57"/>
        <v>0</v>
      </c>
      <c r="FT99" s="135">
        <f t="shared" ca="1" si="58"/>
        <v>0</v>
      </c>
      <c r="FU99" s="135">
        <f t="shared" ca="1" si="59"/>
        <v>0</v>
      </c>
      <c r="FV99" s="135">
        <f t="shared" ca="1" si="60"/>
        <v>0</v>
      </c>
      <c r="FW99" s="135">
        <f t="shared" ca="1" si="61"/>
        <v>0</v>
      </c>
      <c r="FX99" s="135">
        <f t="shared" ca="1" si="62"/>
        <v>0</v>
      </c>
      <c r="FY99" s="135">
        <f t="shared" ca="1" si="63"/>
        <v>0</v>
      </c>
      <c r="FZ99" s="140">
        <f ca="1">SUMIFS(RZ[Úroveň 1 (P6)],RZ[0],AX99)</f>
        <v>1</v>
      </c>
      <c r="GA99" s="140">
        <f ca="1">SUMIFS(RZ[Úroveň 2 (P6)],RZ[0],AX99,RZ[Úroveň 2 (P0)],AY99)</f>
        <v>2722.8</v>
      </c>
      <c r="GB99" s="140">
        <f ca="1">SUMIFS(RZ[Úroveň 3 (P6)],RZ[0],AX99,RZ[Úroveň 2 (P0)],AY99,RZ[Úroveň 3 (P0)],AZ99)</f>
        <v>0</v>
      </c>
      <c r="GC99" s="140">
        <f ca="1">SUMIFS(RZ[Úroveň 4 (P6)],RZ[0],AX99,RZ[Úroveň 2 (P0)],AY99,RZ[Úroveň 3 (P0)],AZ99,RZ[Úroveň 4 (P0)],BA99)</f>
        <v>0</v>
      </c>
      <c r="GD99" s="140">
        <f ca="1">SUMIFS(RZ[Úroveň 5 (P6)],RZ[0],AX99,RZ[Úroveň 2 (P0)],AY99,RZ[Úroveň 3 (P0)],AZ99,RZ[Úroveň 4 (P0)],BA99,RZ[Úroveň 5 (P0)],BB99)</f>
        <v>0</v>
      </c>
      <c r="GE99" s="140">
        <f ca="1">SUMIFS(RZ[Úroveň 6 (P6)],RZ[0],AX99,RZ[Úroveň 2 (P0)],AY99,RZ[Úroveň 3 (P0)],AZ99,RZ[Úroveň 4 (P0)],BA99,RZ[Úroveň 5 (P0)],BB99,RZ[Úroveň 6 (P0)],BC99)</f>
        <v>0</v>
      </c>
      <c r="GF99" s="140">
        <f ca="1">SUMIFS(RZ[Úroveň 7 (P6)],RZ[0],AX99,RZ[Úroveň 2 (P0)],AY99,RZ[Úroveň 3 (P0)],AZ99,RZ[Úroveň 4 (P0)],BA99,RZ[Úroveň 5 (P0)],BB99,RZ[Úroveň 6 (P0)],BC99,RZ[Úroveň 7 (P0)],BD99)</f>
        <v>0</v>
      </c>
      <c r="GG99" s="140">
        <f ca="1">SUMIFS(RZ[Úroveň 8 (P6)],RZ[0],AX99,RZ[Úroveň 2 (P0)],AY99,RZ[Úroveň 3 (P0)],AZ99,RZ[Úroveň 4 (P0)],BA99,RZ[Úroveň 5 (P0)],BB99,RZ[Úroveň 6 (P0)],BC99,RZ[Úroveň 7 (P0)],BD99,RZ[Úroveň 8 (P0)],BE99)</f>
        <v>0</v>
      </c>
      <c r="GH99" s="140">
        <f ca="1">SUMIFS(RZ[Úroveň 9 (P6)],RZ[0],AX99,RZ[Úroveň 2 (P0)],AY99,RZ[Úroveň 3 (P0)],AZ99,RZ[Úroveň 4 (P0)],BA99,RZ[Úroveň 5 (P0)],BB99,RZ[Úroveň 6 (P0)],BC99,RZ[Úroveň 7 (P0)],BD99,RZ[Úroveň 8 (P0)],BE99,RZ[Úroveň 9 (P0)],BF99)</f>
        <v>0</v>
      </c>
      <c r="GI99" s="140">
        <f ca="1">SUMIFS(RZ[Úroveň 10 (P6)],RZ[0],AX99,RZ[Úroveň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GJ99" s="194">
        <f t="shared" ca="1" si="125"/>
        <v>2722.8</v>
      </c>
      <c r="GK99" s="807">
        <f t="shared" si="65"/>
        <v>0</v>
      </c>
      <c r="GL99" s="808">
        <f t="shared" si="66"/>
        <v>1</v>
      </c>
      <c r="GM99" s="808">
        <f t="shared" si="67"/>
        <v>0</v>
      </c>
      <c r="GN99" s="808">
        <f t="shared" si="68"/>
        <v>0</v>
      </c>
      <c r="GO99" s="808">
        <f t="shared" si="69"/>
        <v>0</v>
      </c>
      <c r="GP99" s="808">
        <f t="shared" si="70"/>
        <v>0</v>
      </c>
      <c r="GQ99" s="808">
        <f t="shared" si="71"/>
        <v>0</v>
      </c>
      <c r="GR99" s="808">
        <f t="shared" si="72"/>
        <v>0</v>
      </c>
      <c r="GS99" s="808">
        <f t="shared" si="73"/>
        <v>0</v>
      </c>
      <c r="GT99" s="808">
        <f t="shared" si="74"/>
        <v>0</v>
      </c>
      <c r="GU99" s="809">
        <f ca="1">SUMIFS(RZ[Sloupec1],RZ[0],AX99)</f>
        <v>1</v>
      </c>
      <c r="GV99" s="809">
        <f ca="1">SUMIFS(RZ[Sloupec2],RZ[0],AX99,RZ[Úroveň 2 (P0)],AY99)</f>
        <v>1</v>
      </c>
      <c r="GW99" s="809">
        <f ca="1">SUMIFS(RZ[Sloupec3],RZ[0],AX99,RZ[Úroveň 2 (P0)],AY99,RZ[Úroveň 3 (P0)],AZ99)</f>
        <v>0</v>
      </c>
      <c r="GX99" s="809">
        <f ca="1">SUMIFS(RZ[Sloupec4],RZ[0],AX99,RZ[Úroveň 2 (P0)],AY99,RZ[Úroveň 3 (P0)],AZ99,RZ[Úroveň 4 (P0)],BA99)</f>
        <v>0</v>
      </c>
      <c r="GY99" s="809">
        <f ca="1">SUMIFS(RZ[Sloupec5],RZ[0],AX99,RZ[Úroveň 2 (P0)],AY99,RZ[Úroveň 3 (P0)],AZ99,RZ[Úroveň 4 (P0)],BA99,RZ[Úroveň 5 (P0)],BB99)</f>
        <v>0</v>
      </c>
      <c r="GZ99" s="809">
        <f ca="1">SUMIFS(RZ[Sloupec6],RZ[0],AX99,RZ[Úroveň 2 (P0)],AY99,RZ[Úroveň 3 (P0)],AZ99,RZ[Úroveň 4 (P0)],BA99,RZ[Úroveň 5 (P0)],BB99,RZ[Úroveň 6 (P0)],BC99)</f>
        <v>0</v>
      </c>
      <c r="HA99" s="809">
        <f ca="1">SUMIFS(RZ[Sloupec62],RZ[0],AX99,RZ[Úroveň 2 (P0)],AY99,RZ[Úroveň 3 (P0)],AZ99,RZ[Úroveň 4 (P0)],BA99,RZ[Úroveň 5 (P0)],BB99,RZ[Úroveň 6 (P0)],BC99,RZ[Úroveň 7 (P0)],BD99)</f>
        <v>0</v>
      </c>
      <c r="HB99" s="809">
        <f ca="1">SUMIFS(RZ[Sloupec63],RZ[0],AX99,RZ[Úroveň 2 (P0)],AY99,RZ[Úroveň 3 (P0)],AZ99,RZ[Úroveň 4 (P0)],BA99,RZ[Úroveň 5 (P0)],BB99,RZ[Úroveň 6 (P0)],BC99,RZ[Úroveň 7 (P0)],BD99,RZ[Úroveň 8 (P0)],BE99)</f>
        <v>0</v>
      </c>
      <c r="HC99" s="809">
        <f ca="1">SUMIFS(RZ[Sloupec64],RZ[0],AX99,RZ[Úroveň 2 (P0)],AY99,RZ[Úroveň 3 (P0)],AZ99,RZ[Úroveň 4 (P0)],BA99,RZ[Úroveň 5 (P0)],BB99,RZ[Úroveň 6 (P0)],BC99,RZ[Úroveň 7 (P0)],BD99,RZ[Úroveň 8 (P0)],BE99,RZ[Úroveň 9 (P0)],BF99)</f>
        <v>0</v>
      </c>
      <c r="HD99" s="809">
        <f ca="1">SUMIFS(RZ[Sloupec65],RZ[0],AX99,RZ[Úroveň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HE99" s="803">
        <f t="shared" ca="1" si="75"/>
        <v>1</v>
      </c>
      <c r="HF99" s="48" t="str">
        <f t="shared" si="76"/>
        <v/>
      </c>
      <c r="HG99" s="94" t="str">
        <f t="shared" si="77"/>
        <v/>
      </c>
      <c r="HH99" s="95" t="str">
        <f t="shared" si="78"/>
        <v>Rám</v>
      </c>
      <c r="HI99" s="95" t="str">
        <f t="shared" si="79"/>
        <v/>
      </c>
      <c r="HJ99" s="96" t="str">
        <f t="shared" si="80"/>
        <v/>
      </c>
      <c r="HK99" s="96" t="str">
        <f t="shared" si="81"/>
        <v/>
      </c>
      <c r="HL99" s="96" t="str">
        <f t="shared" si="82"/>
        <v/>
      </c>
      <c r="HM99" s="96" t="str">
        <f t="shared" si="83"/>
        <v/>
      </c>
      <c r="HN99" s="96" t="str">
        <f t="shared" si="84"/>
        <v/>
      </c>
      <c r="HO99" s="96" t="str">
        <f t="shared" si="85"/>
        <v/>
      </c>
      <c r="HP99" s="96" t="str">
        <f t="shared" si="86"/>
        <v/>
      </c>
      <c r="HQ99" s="145" t="str">
        <f t="shared" si="87"/>
        <v>OKS1</v>
      </c>
      <c r="HR99" s="175" t="str">
        <f t="shared" si="88"/>
        <v/>
      </c>
      <c r="HS99" s="173" t="str">
        <f t="shared" si="89"/>
        <v>Svařenec</v>
      </c>
      <c r="HT99" s="99">
        <f t="shared" si="90"/>
        <v>0</v>
      </c>
      <c r="HU99" s="99">
        <f t="shared" si="91"/>
        <v>0</v>
      </c>
      <c r="HV99" s="209">
        <f t="shared" si="92"/>
        <v>0</v>
      </c>
      <c r="HW99" s="47">
        <f t="shared" si="93"/>
        <v>0</v>
      </c>
      <c r="HX99" s="46">
        <f t="shared" si="94"/>
        <v>0</v>
      </c>
      <c r="HY99" s="149" t="str">
        <f t="shared" si="95"/>
        <v>S</v>
      </c>
      <c r="HZ99" s="263">
        <f t="shared" si="96"/>
        <v>0</v>
      </c>
      <c r="IA99" s="150">
        <f t="shared" si="97"/>
        <v>1</v>
      </c>
      <c r="IB99" s="319">
        <f t="shared" si="98"/>
        <v>0</v>
      </c>
      <c r="IC99" s="220">
        <f t="shared" si="99"/>
        <v>0</v>
      </c>
      <c r="ID99" s="200" t="str">
        <f t="shared" ca="1" si="100"/>
        <v>OK</v>
      </c>
      <c r="IE99" s="201">
        <f t="shared" si="101"/>
        <v>0</v>
      </c>
      <c r="IF99" s="145">
        <f t="shared" si="102"/>
        <v>6</v>
      </c>
      <c r="IG99" s="216">
        <f t="shared" si="103"/>
        <v>453.8</v>
      </c>
      <c r="IH99" s="217">
        <f t="shared" si="126"/>
        <v>1</v>
      </c>
      <c r="II99" s="224" t="str">
        <f ca="1">IF(RZ[[#This Row],[Rozhodný sloupec indikativní ceny]]=1,"kg",IF($IW99=$JL$15,IF(JX99=0,JO99,JX99),IF($IW99=$KE$15,IF(KQ99=0,KH99,KQ99),IF($IW99=$KX$15,IF(LJ99=0,LA99,LJ99),IF($IW99=$LQ$15,IF(MC99=0,LT99,MC99),IF($IW99=$MJ$15,IF(NQ99=0,NH99,NQ99),0))))))</f>
        <v>kg</v>
      </c>
      <c r="IJ99" s="224">
        <f ca="1">IF((BH99+OFFSET(BH99,1,1,1,1))=2,RZ[[#This Row],[Počet MJHR (P0)]],IF((BI99+OFFSET(BI99,1,1,1,1))=2,RZ[[#This Row],[Počet MJHR (P0)]],IF((BJ99+OFFSET(BJ99,1,1,1,1))=2,RZ[[#This Row],[Počet MJHR (P0)]],IF((BK99+OFFSET(BK99,1,1,1,1))=2,RZ[[#This Row],[Počet MJHR (P0)]],IF((BL99+OFFSET(BL99,1,1,1,1))=2,RZ[[#This Row],[Počet MJHR (P0)]],IF((BM99+OFFSET(BM99,1,1,1,1))=2,RZ[[#This Row],[Počet MJHR (P0)]],IF((BN99+OFFSET(BN99,1,1,1,1))=2,RZ[[#This Row],[Počet MJHR (P0)]],IF((BO99+OFFSET(BO99,1,1,1,1))=2,RZ[[#This Row],[Počet MJHR (P0)]],IF((BP99+OFFSET(BP99,1,1,1,1))=2,RZ[[#This Row],[Počet MJHR (P0)]],IF((BQ99+OFFSET(BQ99,1,1,1,1))=2,RZ[[#This Row],[Počet MJHR (P0)]],IF(RZ[[#This Row],[Měrná jednotka CR (MJCR) (P0)]]=RZ[[#This Row],[Měrná jednotka HR '[MJHR'] (P0)]],RZ[[#This Row],[Počet MJHR (P0)]],IF($IW99=$JL$15,JY99,IF($IW99=$KE$15,KR99,IF($IW99=$KX$15,LK99,IF($IW99=$LQ$15,MD99,IF($IW99=$MJ$15,NR99,0))))))))))))))))</f>
        <v>0</v>
      </c>
      <c r="IK9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2722.8</v>
      </c>
      <c r="IL99" s="330">
        <f ca="1">IF(AND(RZ[[#This Row],[Jednotková cena bez DPH '[cena/MJCR'] (P0)]]=0,RZ[[#This Row],[Indikativní jednotková cena '[CZK/kg'] (P1)]]&lt;&gt;0),1,0)</f>
        <v>1</v>
      </c>
      <c r="IM99" s="217">
        <f ca="1">VLOOKUP(RZ[[#This Row],[Kód položek]],INDIKAT_CENA,2,FALSE)</f>
        <v>140</v>
      </c>
      <c r="IN99" s="222">
        <f ca="1">IF(RZ[[#This Row],[Rozhodný sloupec indikativní ceny]]=1,RZ[[#This Row],[Indikativní jednotková cena '[CZK/kg'] (P1)]],RZ[[#This Row],[Jednotková cena bez DPH '[cena/MJCR'] (P0)]])</f>
        <v>140</v>
      </c>
      <c r="IO99" s="222">
        <f t="shared" si="127"/>
        <v>1</v>
      </c>
      <c r="IP99" s="223">
        <f ca="1">IF(RZ[[#This Row],[Rozhodný sloupec indikativní ceny]]=1,1,IF($IW99=$JL$15,KA99,IF($IW99=$KE$15,KT99,IF($IW99=$KX$15,LM99,IF($IW99=$LQ$15,MF99,IF($IW99=$MJ$15,NT99,0))))))</f>
        <v>1</v>
      </c>
      <c r="IQ99" s="225">
        <f ca="1">IF(RZ[[#This Row],[Jednotková cena bez DPH '[cena/MJCR'] (P1)]]="",0,IF(IP99=0,0,(RZ[[#This Row],[Jednotková cena bez DPH '[cena/MJCR'] (P1)]]*VLOOKUP(IP99,$BR$7:$BT$10,3))))</f>
        <v>140</v>
      </c>
      <c r="IR99" s="737"/>
      <c r="IS99" s="627">
        <f>IF(HY99=0,"",VLOOKUP(RZ[[#This Row],[Stav Projekce (P0)]],Vstupy!$E$11:'Vstupy'!$E$11:$H$17,4,FALSE))</f>
        <v>100</v>
      </c>
      <c r="IT99" s="628" t="str">
        <f>IF(RZ[[#This Row],[Stav Projekce (P0)]]=0,"",RZ[[#This Row],[Stav Projekce (P0)]])</f>
        <v>S</v>
      </c>
      <c r="IU99" s="628" t="str">
        <f>IF(RZ[[#This Row],[Stav Nákup (P0)]]=0,"",RZ[[#This Row],[Stav Nákup (P0)]])</f>
        <v/>
      </c>
      <c r="IV99" s="636" t="str">
        <f t="shared" si="128"/>
        <v/>
      </c>
      <c r="IW99" s="641">
        <v>1</v>
      </c>
      <c r="IX99" s="630"/>
      <c r="IY99" s="264"/>
      <c r="IZ99" s="776"/>
      <c r="JA99" s="100" t="s">
        <v>743</v>
      </c>
      <c r="JB99" s="100"/>
      <c r="JC99" s="100"/>
      <c r="JD99" s="100"/>
      <c r="JE99" s="100"/>
      <c r="JF99" s="100"/>
      <c r="JG99" s="100"/>
      <c r="JH99" s="100"/>
      <c r="JI99" s="100"/>
      <c r="JJ99" s="145" t="s">
        <v>764</v>
      </c>
      <c r="JK99" s="175"/>
      <c r="JL99" s="286" t="s">
        <v>763</v>
      </c>
      <c r="JM99" s="100"/>
      <c r="JN99" s="799"/>
      <c r="JO99" s="210"/>
      <c r="JP99" s="117">
        <v>6</v>
      </c>
      <c r="JQ99" s="117">
        <v>453.8</v>
      </c>
      <c r="JR99" s="148">
        <v>1</v>
      </c>
      <c r="JS99" s="145" t="s">
        <v>602</v>
      </c>
      <c r="JT99" s="631"/>
      <c r="JU99" s="148"/>
      <c r="JV99" s="154"/>
      <c r="JW99" s="145"/>
      <c r="JX99" s="210"/>
      <c r="JY99" s="117"/>
      <c r="JZ99" s="662"/>
      <c r="KA99" s="145"/>
      <c r="KB99" s="148"/>
      <c r="KC99" s="148"/>
      <c r="KD99" s="644"/>
      <c r="KE99" s="286"/>
      <c r="KF99" s="100"/>
      <c r="KG99" s="100"/>
      <c r="KH99" s="210"/>
      <c r="KI99" s="117"/>
      <c r="KJ99" s="117"/>
      <c r="KK99" s="148"/>
      <c r="KL99" s="145"/>
      <c r="KM99" s="632"/>
      <c r="KN99" s="148"/>
      <c r="KO99" s="154"/>
      <c r="KP99" s="154"/>
      <c r="KQ99" s="210"/>
      <c r="KR99" s="117"/>
      <c r="KS99" s="211"/>
      <c r="KT99" s="145"/>
      <c r="KU99" s="148"/>
      <c r="KV99" s="148"/>
      <c r="KW99" s="265"/>
      <c r="KX99" s="286"/>
      <c r="KY99" s="100"/>
      <c r="KZ99" s="100"/>
      <c r="LA99" s="210"/>
      <c r="LB99" s="117"/>
      <c r="LC99" s="117"/>
      <c r="LD99" s="148"/>
      <c r="LE99" s="145"/>
      <c r="LF99" s="632"/>
      <c r="LG99" s="148"/>
      <c r="LH99" s="154"/>
      <c r="LI99" s="154"/>
      <c r="LJ99" s="154"/>
      <c r="LK99" s="117"/>
      <c r="LL99" s="211"/>
      <c r="LM99" s="210"/>
      <c r="LN99" s="148"/>
      <c r="LO99" s="148"/>
      <c r="LP99" s="265"/>
      <c r="LQ99" s="286"/>
      <c r="LR99" s="100"/>
      <c r="LS99" s="100"/>
      <c r="LT99" s="210"/>
      <c r="LU99" s="117"/>
      <c r="LV99" s="117"/>
      <c r="LW99" s="148"/>
      <c r="LX99" s="145"/>
      <c r="LY99" s="632"/>
      <c r="LZ99" s="148"/>
      <c r="MA99" s="154"/>
      <c r="MB99" s="154"/>
      <c r="MC99" s="145"/>
      <c r="MD99" s="117"/>
      <c r="ME99" s="211"/>
      <c r="MF99" s="210"/>
      <c r="MG99" s="148"/>
      <c r="MH99" s="148"/>
      <c r="MI99" s="265"/>
      <c r="MJ99" s="647"/>
      <c r="MK99" s="264"/>
      <c r="ML99" s="153"/>
      <c r="MM99" s="153"/>
      <c r="MN99" s="153"/>
      <c r="MO99" s="153"/>
      <c r="MP99" s="153"/>
      <c r="MQ99" s="153"/>
      <c r="MR99" s="153"/>
      <c r="MS99" s="99"/>
      <c r="MT99" s="99"/>
      <c r="MU99" s="99"/>
      <c r="MV99" s="99"/>
      <c r="MW99" s="99"/>
      <c r="MX99" s="99"/>
      <c r="MY99" s="153"/>
      <c r="MZ99" s="153"/>
      <c r="NA99" s="153"/>
      <c r="NB99" s="153"/>
      <c r="NC99" s="153"/>
      <c r="ND99" s="153"/>
      <c r="NE99" s="148"/>
      <c r="NF99" s="145"/>
      <c r="NG99" s="145"/>
      <c r="NH99" s="145" t="str">
        <f t="shared" si="107"/>
        <v>ks</v>
      </c>
      <c r="NI99" s="779">
        <f>RZ[[#This Row],[Počet ks (K)]]</f>
        <v>0</v>
      </c>
      <c r="NJ99" s="210">
        <f>RZ[[#This Row],[Hmotnost '[kg/ks'] (K)]]</f>
        <v>0</v>
      </c>
      <c r="NK99" s="148"/>
      <c r="NL99" s="145"/>
      <c r="NM99" s="632"/>
      <c r="NN99" s="148"/>
      <c r="NO99" s="154"/>
      <c r="NP99" s="154"/>
      <c r="NQ99" s="154"/>
      <c r="NR99" s="210"/>
      <c r="NS99" s="148"/>
      <c r="NT99" s="210"/>
      <c r="NU99" s="148"/>
      <c r="NV99" s="148"/>
      <c r="NW99" s="265"/>
    </row>
    <row r="100" spans="2:387" ht="15.95" customHeight="1" x14ac:dyDescent="0.35">
      <c r="B100" s="118" t="str">
        <f t="shared" si="1"/>
        <v/>
      </c>
      <c r="C10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00" s="262" t="str">
        <f t="shared" si="2"/>
        <v xml:space="preserve">  Plošina s kolébkou</v>
      </c>
      <c r="E100" s="12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Row],[Kód položek (P2)]]))))))))))</f>
        <v>-</v>
      </c>
      <c r="F100" s="122" t="str">
        <f t="shared" si="3"/>
        <v>N/A</v>
      </c>
      <c r="G100" s="121" t="str">
        <f t="shared" si="4"/>
        <v/>
      </c>
      <c r="H100" s="122" t="str">
        <f t="shared" si="5"/>
        <v/>
      </c>
      <c r="I100" s="123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HR '[MJHR'] (P0)]]))))))))))</f>
        <v>sest</v>
      </c>
      <c r="J100" s="123">
        <f t="shared" si="6"/>
        <v>1</v>
      </c>
      <c r="K100" s="151">
        <f>RZ[[#This Row],[Koeficient odhadu HR '[-'] (P1)]]</f>
        <v>1</v>
      </c>
      <c r="L100" s="124">
        <f ca="1">RZ[[#This Row],[Jednotková hmotnost s koef. '[kg/MJHR'] (P0)]]</f>
        <v>14924.590000000002</v>
      </c>
      <c r="M100" s="124">
        <f t="shared" ca="1" si="7"/>
        <v>0</v>
      </c>
      <c r="N100" s="125">
        <f t="shared" ca="1" si="8"/>
        <v>14924.590000000002</v>
      </c>
      <c r="O100" s="125">
        <f t="shared" ca="1" si="9"/>
        <v>0</v>
      </c>
      <c r="P100" s="328" t="str">
        <f t="shared" si="10"/>
        <v/>
      </c>
      <c r="Q100" s="743">
        <f ca="1">RZ[[#This Row],[Počet MJHR v rozpadu (P0)]]</f>
        <v>1</v>
      </c>
      <c r="R100" s="439" t="str">
        <f t="shared" si="11"/>
        <v/>
      </c>
      <c r="S100" s="129" t="str">
        <f t="shared" si="12"/>
        <v/>
      </c>
      <c r="T100" s="130" t="str">
        <f t="shared" si="13"/>
        <v/>
      </c>
      <c r="U100" s="126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CR (MJCR) (P0)]]))))))))))</f>
        <v>sest</v>
      </c>
      <c r="V100" s="575">
        <f t="shared" ca="1" si="14"/>
        <v>1</v>
      </c>
      <c r="W100" s="322">
        <f>RZ[[#This Row],[Koeficient odhadu CR '[-'] (P1)]]</f>
        <v>1</v>
      </c>
      <c r="X100" s="44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Row],[Jednotková cena bez DPH '[cena/MJCR'] (P1)]]*RZ[[#This Row],[Koeficient odhadu CR '[-']]]))))))))))</f>
        <v>-</v>
      </c>
      <c r="Y100" s="440">
        <f t="shared" ca="1" si="108"/>
        <v>0</v>
      </c>
      <c r="Z100" s="142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VLOOKUP(IP100,$BR$7:$BS$11,2,FALSE)))))))))))</f>
        <v>-</v>
      </c>
      <c r="AA100" s="811">
        <f t="shared" ca="1" si="16"/>
        <v>1</v>
      </c>
      <c r="AB100" s="814">
        <f ca="1">RZ[[#This Row],[Kumulovaný koeficient v rozpadu (P0)]]</f>
        <v>1</v>
      </c>
      <c r="AC100" s="260"/>
      <c r="AD100" s="510">
        <f ca="1">RZ[[#This Row],[Jednotková cena bez DPH '[cena/MJCR'] s koef. (P0)]]/RZ[[#This Row],[Koeficient odhadu CR '[-']]]*RZ[[#This Row],[Kumulovaný koeficient odhadu CR  '[-']]]</f>
        <v>2102195.9000000004</v>
      </c>
      <c r="AE100" s="511">
        <f t="shared" ca="1" si="17"/>
        <v>2102195.9000000004</v>
      </c>
      <c r="AF100" s="512">
        <f ca="1">-IF(ISNUMBER(AA100),RZ[[#This Row],[Celková cena bez DPH (1)]]-RZ[[#This Row],[Jednotková cena bez DPH '[cena/MJCR'] bez koef. (P0)]]*AA100,0)</f>
        <v>0</v>
      </c>
      <c r="AG10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140.85451593645118</v>
      </c>
      <c r="AH100" s="261"/>
      <c r="AI100" s="510">
        <f t="shared" ca="1" si="18"/>
        <v>77859.107407407428</v>
      </c>
      <c r="AJ100" s="511">
        <f t="shared" ca="1" si="19"/>
        <v>77859.107407407428</v>
      </c>
      <c r="AK100" s="512">
        <f t="shared" ca="1" si="20"/>
        <v>0</v>
      </c>
      <c r="AL100" s="753">
        <f ca="1">RZ[[#This Row],[Kilogramová cena bez DPH '[cena/kg'] (1)]]/$AK$13</f>
        <v>5.2168339235722661</v>
      </c>
      <c r="AM100" s="261"/>
      <c r="AN100" s="510">
        <f t="shared" ca="1" si="21"/>
        <v>101555.35748792272</v>
      </c>
      <c r="AO100" s="511">
        <f t="shared" ca="1" si="22"/>
        <v>101555.35748792272</v>
      </c>
      <c r="AP100" s="512">
        <f t="shared" ca="1" si="23"/>
        <v>0</v>
      </c>
      <c r="AQ100" s="753">
        <f ca="1">RZ[[#This Row],[Kilogramová cena bez DPH '[cena/kg'] (1)]]/$AP$13</f>
        <v>6.8045659872681732</v>
      </c>
      <c r="AR100" s="261"/>
      <c r="AS100" s="510">
        <f t="shared" ca="1" si="24"/>
        <v>57499.887855579873</v>
      </c>
      <c r="AT100" s="511">
        <f t="shared" ca="1" si="25"/>
        <v>57499.887855579873</v>
      </c>
      <c r="AU100" s="511">
        <f t="shared" ca="1" si="26"/>
        <v>0</v>
      </c>
      <c r="AV100" s="767">
        <f ca="1">RZ[[#This Row],[Kilogramová cena bez DPH '[cena/kg'] (1)]]/$AU$13</f>
        <v>3.8526946372114654</v>
      </c>
      <c r="AW100" s="165"/>
      <c r="AX100" s="110">
        <f t="shared" ca="1" si="27"/>
        <v>2</v>
      </c>
      <c r="AY100" s="55">
        <f t="shared" ca="1" si="28"/>
        <v>8</v>
      </c>
      <c r="AZ100" s="111">
        <f t="shared" ca="1" si="29"/>
        <v>0</v>
      </c>
      <c r="BA100" s="111">
        <f t="shared" ca="1" si="30"/>
        <v>0</v>
      </c>
      <c r="BB100" s="111">
        <f t="shared" ca="1" si="31"/>
        <v>0</v>
      </c>
      <c r="BC100" s="111">
        <f t="shared" ca="1" si="32"/>
        <v>0</v>
      </c>
      <c r="BD100" s="111">
        <f t="shared" ca="1" si="33"/>
        <v>0</v>
      </c>
      <c r="BE100" s="111">
        <f t="shared" ca="1" si="109"/>
        <v>0</v>
      </c>
      <c r="BF100" s="111">
        <f t="shared" ca="1" si="34"/>
        <v>0</v>
      </c>
      <c r="BG100" s="112">
        <f t="shared" ca="1" si="35"/>
        <v>0</v>
      </c>
      <c r="BH100" s="110">
        <f t="shared" si="110"/>
        <v>0</v>
      </c>
      <c r="BI100" s="55">
        <f t="shared" si="111"/>
        <v>1</v>
      </c>
      <c r="BJ100" s="55">
        <f t="shared" si="112"/>
        <v>0</v>
      </c>
      <c r="BK100" s="111">
        <f t="shared" si="113"/>
        <v>0</v>
      </c>
      <c r="BL100" s="111">
        <f t="shared" si="114"/>
        <v>0</v>
      </c>
      <c r="BM100" s="111">
        <f t="shared" si="115"/>
        <v>0</v>
      </c>
      <c r="BN100" s="111">
        <f t="shared" si="116"/>
        <v>0</v>
      </c>
      <c r="BO100" s="111">
        <f t="shared" si="117"/>
        <v>0</v>
      </c>
      <c r="BP100" s="111">
        <f t="shared" si="118"/>
        <v>0</v>
      </c>
      <c r="BQ100" s="112">
        <f t="shared" si="119"/>
        <v>0</v>
      </c>
      <c r="BR100" s="186">
        <f ca="1">IF(OFFSET(AY100,1,0,1,1)&lt;&gt;0,RZ[[#This Row],[Koeficient odhadu HR '[-'] (P1)]]*$BH100*SUMIFS(RZ[Úroveň 2 s koef. (P2)],RZ[0],AX100),RZ[[#This Row],[Koeficient odhadu HR '[-'] (P1)]]*$BH100*$IG100)</f>
        <v>0</v>
      </c>
      <c r="BS100" s="186">
        <f ca="1">IF(OFFSET(AY100,1,0,1,1)&lt;&gt;0,$BH100*SUMIFS(RZ[Úroveň 2 bez koef. (P2)],RZ[0],AX100),$BH100*$IG100)</f>
        <v>0</v>
      </c>
      <c r="BT100" s="138">
        <f ca="1">RZ[[#This Row],[Úroveň 2 s koef. (P2a)]]*RZ[[#This Row],[Počet MJHR (P0)]]</f>
        <v>14924.590000000002</v>
      </c>
      <c r="BU100" s="138">
        <f ca="1">RZ[[#This Row],[Úroveň 2 bez koef. (P2a)]]*RZ[[#This Row],[Počet MJHR (P0)]]</f>
        <v>14924.590000000002</v>
      </c>
      <c r="BV100" s="138">
        <f ca="1">IF(OFFSET(AZ100,1,0,1,1)&lt;&gt;0,RZ[[#This Row],[Koeficient odhadu HR '[-'] (P1)]]*$BI100*SUMIFS(RZ[Úroveň 3 s koef. (P2)],RZ[0],AX100,RZ[Úroveň 2 (P0)],AY100),RZ[[#This Row],[Koeficient odhadu HR '[-'] (P1)]]*$BI100*$IG100)</f>
        <v>14924.590000000002</v>
      </c>
      <c r="BW100" s="138">
        <f ca="1">IF(OFFSET(AZ100,1,0,1,1)&lt;&gt;0,$BI100*SUMIFS(RZ[Úroveň 3 bez koef. (P2)],RZ[0],AX100,RZ[Úroveň 2 (P0)],AY100),$BI100*$IG100)</f>
        <v>14924.590000000002</v>
      </c>
      <c r="BX100" s="132">
        <f ca="1">RZ[[#This Row],[Úroveň 3 s koef. (P2a)]]*RZ[[#This Row],[Počet MJHR (P0)]]</f>
        <v>0</v>
      </c>
      <c r="BY100" s="132">
        <f ca="1">RZ[Úroveň 3 bez koef. (P2a)]*RZ[[#This Row],[Počet MJHR (P0)]]</f>
        <v>0</v>
      </c>
      <c r="BZ100" s="132">
        <f ca="1">IF(OFFSET(BA100,1,0,1,1)&lt;&gt;0,RZ[[#This Row],[Koeficient odhadu HR '[-'] (P1)]]*$BJ100*SUMIFS(RZ[Úroveň 4 s koef. (P2)],RZ[0],AX100,RZ[Úroveň 2 (P0)],AY100,RZ[Úroveň 3 (P0)],AZ100),RZ[[#This Row],[Koeficient odhadu HR '[-'] (P1)]]*$BJ100*$IG100)</f>
        <v>0</v>
      </c>
      <c r="CA100" s="132">
        <f ca="1">IF(OFFSET(BA100,1,0,1,1)&lt;&gt;0,$BJ100*SUMIFS(RZ[Úroveň 4 bez koef. (P2)],RZ[0],AX100,RZ[Úroveň 2 (P0)],AY100,RZ[Úroveň 3 (P0)],AZ100),$BJ100*$IG100)</f>
        <v>0</v>
      </c>
      <c r="CB100" s="138">
        <f ca="1">RZ[[#This Row],[Úroveň 4 s koef. (P2a)]]*RZ[[#This Row],[Počet MJHR (P0)]]</f>
        <v>0</v>
      </c>
      <c r="CC100" s="138">
        <f ca="1">RZ[Úroveň 4 bez koef. (P2a)]*RZ[[#This Row],[Počet MJHR (P0)]]</f>
        <v>0</v>
      </c>
      <c r="CD100" s="138">
        <f ca="1">IF(OFFSET(BB100,1,0,1,1)&lt;&gt;0,RZ[[#This Row],[Koeficient odhadu HR '[-'] (P1)]]*$BK100*SUMIFS(RZ[Úroveň 5 s koef. (P2)],RZ[0],AX100,RZ[Úroveň 2 (P0)],AY100,RZ[Úroveň 3 (P0)],AZ100,RZ[Úroveň 4 (P0)],BA100),RZ[[#This Row],[Koeficient odhadu HR '[-'] (P1)]]*$BK100*$IG100)</f>
        <v>0</v>
      </c>
      <c r="CE100" s="138">
        <f ca="1">IF(OFFSET(BB100,1,0,1,1)&lt;&gt;0,$BK100*SUMIFS(RZ[Úroveň 5 bez koef. (P2)],RZ[0],AX100,RZ[Úroveň 2 (P0)],AY100,RZ[Úroveň 3 (P0)],AZ100,RZ[Úroveň 4 (P0)],BA100),$BK100*$IG100)</f>
        <v>0</v>
      </c>
      <c r="CF100" s="132">
        <f ca="1">RZ[[#This Row],[Úroveň 5 s koef. (P2a)]]*RZ[[#This Row],[Počet MJHR (P0)]]</f>
        <v>0</v>
      </c>
      <c r="CG100" s="132">
        <f ca="1">RZ[Úroveň 5 bez koef. (P2a)]*RZ[[#This Row],[Počet MJHR (P0)]]</f>
        <v>0</v>
      </c>
      <c r="CH100" s="132">
        <f ca="1">IF(OFFSET(BC100,1,0,1,1)&lt;&gt;0,RZ[[#This Row],[Koeficient odhadu HR '[-'] (P1)]]*$BL100*SUMIFS(RZ[Úroveň 6 s koef. (P2)],RZ[0],AX100,RZ[Úroveň 2 (P0)],AY100,RZ[Úroveň 3 (P0)],AZ100,RZ[Úroveň 4 (P0)],BA100,RZ[Úroveň 5 (P0)],BB100),RZ[[#This Row],[Koeficient odhadu HR '[-'] (P1)]]*$BL100*$IG100)</f>
        <v>0</v>
      </c>
      <c r="CI100" s="132">
        <f ca="1">IF(OFFSET(BC100,1,0,1,1)&lt;&gt;0,$BL100*SUMIFS(RZ[Úroveň 6 bez koef. (P2)],RZ[0],AX100,RZ[Úroveň 2 (P0)],AY100,RZ[Úroveň 3 (P0)],AZ100,RZ[Úroveň 4 (P0)],BA100,RZ[Úroveň 5 (P0)],BB100),$BL100*$IG100)</f>
        <v>0</v>
      </c>
      <c r="CJ100" s="138">
        <f ca="1">RZ[[#This Row],[Úroveň 6 s koef. (P2a)]]*RZ[[#This Row],[Počet MJHR (P0)]]</f>
        <v>0</v>
      </c>
      <c r="CK100" s="138">
        <f ca="1">RZ[Úroveň 6 bez koef. (P2a)]*RZ[[#This Row],[Počet MJHR (P0)]]</f>
        <v>0</v>
      </c>
      <c r="CL100" s="138">
        <f ca="1">IF(OFFSET(BD100,1,0,1,1)&lt;&gt;0,RZ[[#This Row],[Koeficient odhadu HR '[-'] (P1)]]*$BM100*SUMIFS(RZ[Úroveň 7 s koef. (P2)],RZ[0],AX100,RZ[Úroveň 2 (P0)],AY100,RZ[Úroveň 3 (P0)],AZ100,RZ[Úroveň 4 (P0)],BA100,RZ[Úroveň 5 (P0)],BB100,RZ[Úroveň 6 (P0)],BC100),RZ[[#This Row],[Koeficient odhadu HR '[-'] (P1)]]*$BM100*$IG100)</f>
        <v>0</v>
      </c>
      <c r="CM100" s="138">
        <f ca="1">IF(OFFSET(BD100,1,0,1,1)&lt;&gt;0,$BM100*SUMIFS(RZ[Úroveň 7 bez koef. (P2)],RZ[0],AX100,RZ[Úroveň 2 (P0)],AY100,RZ[Úroveň 3 (P0)],AZ100,RZ[Úroveň 4 (P0)],BA100,RZ[Úroveň 5 (P0)],BB100,RZ[Úroveň 6 (P0)],BC100),$BM100*$IG100)</f>
        <v>0</v>
      </c>
      <c r="CN100" s="132">
        <f ca="1">RZ[[#This Row],[Úroveň 7 s koef. (P2a)]]*RZ[[#This Row],[Počet MJHR (P0)]]</f>
        <v>0</v>
      </c>
      <c r="CO100" s="132">
        <f ca="1">RZ[Úroveň 7 bez koef. (P2a)]*RZ[[#This Row],[Počet MJHR (P0)]]</f>
        <v>0</v>
      </c>
      <c r="CP100" s="132">
        <f ca="1">IF(OFFSET(BE100,1,0,1,1)&lt;&gt;0,RZ[[#This Row],[Koeficient odhadu HR '[-'] (P1)]]*$BN100*SUMIFS(RZ[Úroveň 8 s koef. (P2)],RZ[0],AX100,RZ[Úroveň 2 (P0)],AY100,RZ[Úroveň 3 (P0)],AZ100,RZ[Úroveň 4 (P0)],BA100,RZ[Úroveň 5 (P0)],BB100,RZ[Úroveň 6 (P0)],BC100,RZ[Úroveň 7 (P0)],BD100),RZ[[#This Row],[Koeficient odhadu HR '[-'] (P1)]]*$BN100*$IG100)</f>
        <v>0</v>
      </c>
      <c r="CQ100" s="132">
        <f ca="1">IF(OFFSET(BE100,1,0,1,1)&lt;&gt;0,$BN100*SUMIFS(RZ[Úroveň 8 bez koef. (P2)],RZ[0],AX100,RZ[Úroveň 2 (P0)],AY100,RZ[Úroveň 3 (P0)],AZ100,RZ[Úroveň 4 (P0)],BA100,RZ[Úroveň 5 (P0)],BB100,RZ[Úroveň 6 (P0)],BC100,RZ[Úroveň 7 (P0)],BD100),$BN100*$IG100)</f>
        <v>0</v>
      </c>
      <c r="CR100" s="138">
        <f ca="1">RZ[[#This Row],[Úroveň 8 s koef. (P2a)]]*RZ[[#This Row],[Počet MJHR (P0)]]</f>
        <v>0</v>
      </c>
      <c r="CS100" s="138">
        <f ca="1">RZ[Úroveň 8 bez koef. (P2a)]*RZ[[#This Row],[Počet MJHR (P0)]]</f>
        <v>0</v>
      </c>
      <c r="CT100" s="138">
        <f ca="1">IF(OFFSET(BF100,1,0,1,1)&lt;&gt;0,RZ[[#This Row],[Koeficient odhadu HR '[-'] (P1)]]*$BO100*SUMIFS(RZ[Úroveň 9 s koef. (P2)],RZ[0],AX100,RZ[Úroveň 2 (P0)],AY100,RZ[Úroveň 3 (P0)],AZ100,RZ[Úroveň 4 (P0)],BA100,RZ[Úroveň 5 (P0)],BB100,RZ[Úroveň 6 (P0)],BC100,RZ[Úroveň 7 (P0)],BD100,RZ[Úroveň 8 (P0)],BE100),RZ[[#This Row],[Koeficient odhadu HR '[-'] (P1)]]*$BO100*$IG100)</f>
        <v>0</v>
      </c>
      <c r="CU100" s="138">
        <f ca="1">IF(OFFSET(BF100,1,0,1,1)&lt;&gt;0,$BO100*SUMIFS(RZ[Úroveň 9 bez koef. (P2)],RZ[0],AX100,RZ[Úroveň 2 (P0)],AY100,RZ[Úroveň 3 (P0)],AZ100,RZ[Úroveň 4 (P0)],BA100,RZ[Úroveň 5 (P0)],BB100,RZ[Úroveň 6 (P0)],BC100,RZ[Úroveň 7 (P0)],BD100,RZ[Úroveň 8 (P0)],BE100),$BO100*$IG100)</f>
        <v>0</v>
      </c>
      <c r="CV100" s="132">
        <f ca="1">RZ[[#This Row],[Úroveň 9 s koef. (P2a)]]*RZ[[#This Row],[Počet MJHR (P0)]]</f>
        <v>0</v>
      </c>
      <c r="CW100" s="132">
        <f ca="1">RZ[Úroveň 9 bez koef. (P2a)]*RZ[[#This Row],[Počet MJHR (P0)]]</f>
        <v>0</v>
      </c>
      <c r="CX100" s="132">
        <f ca="1">IF(OFFSET(BG100,1,0,1,1)&lt;&gt;0,RZ[[#This Row],[Koeficient odhadu HR '[-'] (P1)]]*$BP100*SUMIFS(RZ[Úroveň 10 s koef. (P2)],RZ[0],AX100,RZ[Úroveň 2 (P0)],AY100,RZ[Úroveň 3 (P0)],AZ100,RZ[Úroveň 4 (P0)],BA100,RZ[Úroveň 5 (P0)],BB100,RZ[Úroveň 6 (P0)],BC100,RZ[Úroveň 7 (P0)],BD100,RZ[Úroveň 8 (P0)],BE100,RZ[Úroveň 9 (P0)],BF100),RZ[[#This Row],[Koeficient odhadu HR '[-'] (P1)]]*$BP100*$IG100)</f>
        <v>0</v>
      </c>
      <c r="CY100" s="132">
        <f ca="1">IF(OFFSET(BG100,1,0,1,1)&lt;&gt;0,$BP100*SUMIFS(RZ[Úroveň 10 bez koef. (P2)],RZ[0],AX100,RZ[Úroveň 2 (P0)],AY100,RZ[Úroveň 3 (P0)],AZ100,RZ[Úroveň 4 (P0)],BA100,RZ[Úroveň 5 (P0)],BB100,RZ[Úroveň 6 (P0)],BC100,RZ[Úroveň 7 (P0)],BD100,RZ[Úroveň 8 (P0)],BE100,RZ[Úroveň 9 (P0)],BF100),$BP100*$IG100)</f>
        <v>0</v>
      </c>
      <c r="CZ100" s="138">
        <f>RZ[[#This Row],[Úroveň 10 s koef. (P2a)]]*RZ[[#This Row],[Počet MJHR (P0)]]</f>
        <v>0</v>
      </c>
      <c r="DA100" s="138">
        <f>RZ[Úroveň 10 bez koef. (P2a)]*RZ[[#This Row],[Počet MJHR (P0)]]</f>
        <v>0</v>
      </c>
      <c r="DB100" s="138">
        <f>RZ[[#This Row],[Koeficient odhadu HR '[-'] (P1)]]*$BQ100*IG100</f>
        <v>0</v>
      </c>
      <c r="DC100" s="231">
        <f t="shared" si="37"/>
        <v>0</v>
      </c>
      <c r="DD100" s="241">
        <f t="shared" ca="1" si="120"/>
        <v>14924.590000000002</v>
      </c>
      <c r="DE100" s="229">
        <f t="shared" ca="1" si="121"/>
        <v>14924.590000000002</v>
      </c>
      <c r="DF100" s="521">
        <f t="shared" si="40"/>
        <v>0</v>
      </c>
      <c r="DG100" s="522">
        <f t="shared" si="41"/>
        <v>1</v>
      </c>
      <c r="DH100" s="522">
        <f t="shared" si="42"/>
        <v>0</v>
      </c>
      <c r="DI100" s="523">
        <f t="shared" si="43"/>
        <v>0</v>
      </c>
      <c r="DJ100" s="524">
        <f t="shared" si="44"/>
        <v>0</v>
      </c>
      <c r="DK100" s="524">
        <f t="shared" si="45"/>
        <v>0</v>
      </c>
      <c r="DL100" s="524">
        <f t="shared" si="46"/>
        <v>0</v>
      </c>
      <c r="DM100" s="524">
        <f t="shared" si="47"/>
        <v>0</v>
      </c>
      <c r="DN100" s="524">
        <f t="shared" si="48"/>
        <v>0</v>
      </c>
      <c r="DO100" s="523">
        <f t="shared" si="49"/>
        <v>0</v>
      </c>
      <c r="DP100" s="525">
        <f ca="1">SUMIFS(RZ[Úroveň 1 (P4)],RZ[0],AX100)</f>
        <v>1</v>
      </c>
      <c r="DQ100" s="525">
        <f ca="1">SUMIFS(RZ[Úroveň 2 (P4)],RZ[0],AX100,RZ[Úroveň 2 (P0)],AY100)</f>
        <v>1</v>
      </c>
      <c r="DR100" s="525">
        <f ca="1">SUMIFS(RZ[Úroveň 3 (P4)],RZ[0],AX100,RZ[Úroveň 2 (P0)],AY100,RZ[Úroveň 3 (P0)],AZ100)</f>
        <v>0</v>
      </c>
      <c r="DS100" s="525">
        <f ca="1">SUMIFS(RZ[Úroveň 4 (P4)],RZ[0],AX100,RZ[Úroveň 2 (P0)],AY100,RZ[Úroveň 3 (P0)],AZ100,RZ[Úroveň 4 (P0)],BA100)</f>
        <v>0</v>
      </c>
      <c r="DT100" s="526">
        <f ca="1">SUMIFS(RZ[Úroveň 5 (P4)],RZ[0],AX100,RZ[Úroveň 2 (P0)],AY100,RZ[Úroveň 3 (P0)],AZ100,RZ[Úroveň 4 (P0)],BA100,RZ[Úroveň 5 (P0)],BB100)</f>
        <v>0</v>
      </c>
      <c r="DU100" s="526">
        <f ca="1">SUMIFS(RZ[Úroveň 6 (P4)],RZ[0],AX100,RZ[Úroveň 2 (P0)],AY100,RZ[Úroveň 3 (P0)],AZ100,RZ[Úroveň 4 (P0)],BA100,RZ[Úroveň 5 (P0)],BB100,RZ[Úroveň 6 (P0)],BC100)</f>
        <v>0</v>
      </c>
      <c r="DV100" s="526">
        <f ca="1">SUMIFS(RZ[Úroveň 7 (P4)],RZ[0],AX100,RZ[Úroveň 2 (P0)],AY100,RZ[Úroveň 3 (P0)],AZ100,RZ[Úroveň 4 (P0)],BA100,RZ[Úroveň 5 (P0)],BB100,RZ[Úroveň 6 (P0)],BC100,RZ[Úroveň 7 (P0)],BD100)</f>
        <v>0</v>
      </c>
      <c r="DW100" s="526">
        <f ca="1">SUMIFS(RZ[Úroveň 8 (P4)],RZ[0],AX100,RZ[Úroveň 2 (P0)],AY100,RZ[Úroveň 3 (P0)],AZ100,RZ[Úroveň 4 (P0)],BA100,RZ[Úroveň 5 (P0)],BB100,RZ[Úroveň 6 (P0)],BC100,RZ[Úroveň 7 (P0)],BD100,RZ[Úroveň 8 (P0)],BE100)</f>
        <v>0</v>
      </c>
      <c r="DX100" s="526">
        <f ca="1">SUMIFS(RZ[Úroveň 9 (P4)],RZ[0],AX100,RZ[Úroveň 2 (P0)],AY100,RZ[Úroveň 3 (P0)],AZ100,RZ[Úroveň 4 (P0)],BA100,RZ[Úroveň 5 (P0)],BB100,RZ[Úroveň 6 (P0)],BC100,RZ[Úroveň 7 (P0)],BD100,RZ[Úroveň 8 (P0)],BE100,RZ[Úroveň 9 (P0)],BF100)</f>
        <v>0</v>
      </c>
      <c r="DY100" s="526">
        <f ca="1">SUMIFS(RZ[Úroveň 10 (P4)],RZ[0],AX100,RZ[Úroveň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DZ100" s="527">
        <f t="shared" ca="1" si="122"/>
        <v>1</v>
      </c>
      <c r="EA100" s="528">
        <f ca="1">RZ[[#This Row],[Jednotková hmotnost bez koef. '[kg/MJHR'] (P0)]]*RZ[[#This Row],[Počet MJHR v rozpadu (P0)]]</f>
        <v>14924.590000000002</v>
      </c>
      <c r="EB100" s="191">
        <f ca="1">IF(OFFSET(AY100,1,0,1,1)&lt;&gt;0,RZ[[#This Row],[Koeficient odhadu CR '[-'] (P1)]]*$BH100*SUMIFS(RZ[Úroveň 2 s koef. (P3)],RZ[0],AX100),RZ[[#This Row],[Koeficient odhadu CR '[-'] (P1)]]*$BH100*$IQ100)</f>
        <v>0</v>
      </c>
      <c r="EC100" s="191">
        <f ca="1">IF(OFFSET(AY100,1,0,1,1)&lt;&gt;0,$BH100*SUMIFS(RZ[Úroveň 2 bez koef. (P3)],RZ[0],AX100),$BH100*$IQ100)</f>
        <v>0</v>
      </c>
      <c r="ED100" s="140">
        <f ca="1">RZ[[#This Row],[Úroveň 2 s koef. (P3a)]]*RZ[[#This Row],[Počet MJCR (P0) pro "kg"]]</f>
        <v>2102195.9000000004</v>
      </c>
      <c r="EE100" s="140">
        <f ca="1">RZ[Úroveň 2 bez koef. (P3a)]*RZ[[#This Row],[Počet MJCR (P0) pro "kg"]]</f>
        <v>2102195.9000000004</v>
      </c>
      <c r="EF100" s="140">
        <f ca="1">IF(OFFSET(AZ100,1,0,1,1)&lt;&gt;0,RZ[[#This Row],[Koeficient odhadu CR '[-'] (P1)]]*$BI100*SUMIFS(RZ[Úroveň 3 s koef. (P3)],RZ[0],AX100,RZ[Úroveň 2 (P0)],AY100),RZ[[#This Row],[Koeficient odhadu CR '[-'] (P1)]]*$BI100*$IQ100)</f>
        <v>2102195.9000000004</v>
      </c>
      <c r="EG100" s="140">
        <f ca="1">IF(OFFSET(AZ100,1,0,1,1)&lt;&gt;0,$BI100*SUMIFS(RZ[Úroveň 3 bez koef. (P3)],RZ[0],AX100,RZ[Úroveň 2 (P0)],AY100),$BI100*$IQ100)</f>
        <v>2102195.9000000004</v>
      </c>
      <c r="EH100" s="135">
        <f ca="1">RZ[[#This Row],[Úroveň 3 s koef. (P3a)]]*RZ[[#This Row],[Počet MJCR (P0) pro "kg"]]</f>
        <v>0</v>
      </c>
      <c r="EI100" s="135">
        <f ca="1">RZ[Úroveň 3 bez koef. (P3a)]*RZ[[#This Row],[Počet MJCR (P0) pro "kg"]]</f>
        <v>0</v>
      </c>
      <c r="EJ100" s="135">
        <f ca="1">IF(OFFSET(BA100,1,0,1,1)&lt;&gt;0,RZ[[#This Row],[Koeficient odhadu CR '[-'] (P1)]]*$BJ100*SUMIFS(RZ[Úroveň 4 s koef. (P3)],RZ[0],AX100,RZ[Úroveň 2 (P0)],AY100,RZ[Úroveň 3 (P0)],AZ100),RZ[[#This Row],[Koeficient odhadu CR '[-'] (P1)]]*$BJ100*$IQ100)</f>
        <v>0</v>
      </c>
      <c r="EK100" s="135">
        <f ca="1">IF(OFFSET(BA100,1,0,1,1)&lt;&gt;0,$BJ100*SUMIFS(RZ[Úroveň 4 bez koef. (P3)],RZ[0],AX100,RZ[Úroveň 2 (P0)],AY100,RZ[Úroveň 3 (P0)],AZ100),$BJ100*$IQ100)</f>
        <v>0</v>
      </c>
      <c r="EL100" s="140">
        <f ca="1">RZ[[#This Row],[Úroveň 4 s koef. (P3a)]]*RZ[[#This Row],[Počet MJCR (P0) pro "kg"]]</f>
        <v>0</v>
      </c>
      <c r="EM100" s="140">
        <f ca="1">RZ[Úroveň 4 bez koef. (P3a)]*RZ[[#This Row],[Počet MJCR (P0) pro "kg"]]</f>
        <v>0</v>
      </c>
      <c r="EN100" s="140">
        <f ca="1">IF(OFFSET(BB100,1,0,1,1)&lt;&gt;0,RZ[[#This Row],[Koeficient odhadu CR '[-'] (P1)]]*$BK100*SUMIFS(RZ[Úroveň 5 s koef. (P3)],RZ[0],AX100,RZ[Úroveň 2 (P0)],AY100,RZ[Úroveň 3 (P0)],AZ100,RZ[Úroveň 4 (P0)],BA100),RZ[[#This Row],[Koeficient odhadu CR '[-'] (P1)]]*$BK100*$IQ100)</f>
        <v>0</v>
      </c>
      <c r="EO100" s="140">
        <f ca="1">IF(OFFSET(BB100,1,0,1,1)&lt;&gt;0,$BK100*SUMIFS(RZ[Úroveň 5 bez koef. (P3)],RZ[0],AX100,RZ[Úroveň 2 (P0)],AY100,RZ[Úroveň 3 (P0)],AZ100,RZ[Úroveň 4 (P0)],BA100),$BK100*$IQ100)</f>
        <v>0</v>
      </c>
      <c r="EP100" s="135">
        <f ca="1">RZ[[#This Row],[Úroveň 5 s koef. (P3a)]]*RZ[[#This Row],[Počet MJCR (P0) pro "kg"]]</f>
        <v>0</v>
      </c>
      <c r="EQ100" s="135">
        <f ca="1">RZ[Úroveň 5 bez koef. (P3a)]*RZ[[#This Row],[Počet MJCR (P0) pro "kg"]]</f>
        <v>0</v>
      </c>
      <c r="ER100" s="135">
        <f ca="1">IF(OFFSET(BC100,1,0,1,1)&lt;&gt;0,RZ[[#This Row],[Koeficient odhadu CR '[-'] (P1)]]*$BL100*SUMIFS(RZ[Úroveň 6 s koef. (P3)],RZ[0],AX100,RZ[Úroveň 2 (P0)],AY100,RZ[Úroveň 3 (P0)],AZ100,RZ[Úroveň 4 (P0)],BA100,RZ[Úroveň 5 (P0)],BB100),RZ[[#This Row],[Koeficient odhadu CR '[-'] (P1)]]*$BL100*$IQ100)</f>
        <v>0</v>
      </c>
      <c r="ES100" s="135">
        <f ca="1">IF(OFFSET(BC100,1,0,1,1)&lt;&gt;0,$BL100*SUMIFS(RZ[Úroveň 6 bez koef. (P3)],RZ[0],AX100,RZ[Úroveň 2 (P0)],AY100,RZ[Úroveň 3 (P0)],AZ100,RZ[Úroveň 4 (P0)],BA100,RZ[Úroveň 5 (P0)],BB100),$BL100*$IQ100)</f>
        <v>0</v>
      </c>
      <c r="ET100" s="140">
        <f ca="1">RZ[[#This Row],[Úroveň 6 s koef. (P3a)]]*RZ[[#This Row],[Počet MJCR (P0) pro "kg"]]</f>
        <v>0</v>
      </c>
      <c r="EU100" s="140">
        <f ca="1">RZ[Úroveň 6 bez koef. (P3a)]*RZ[[#This Row],[Počet MJCR (P0) pro "kg"]]</f>
        <v>0</v>
      </c>
      <c r="EV100" s="140">
        <f ca="1">IF(OFFSET(BD100,1,0,1,1)&lt;&gt;0,RZ[[#This Row],[Koeficient odhadu CR '[-'] (P1)]]*$BM100*SUMIFS(RZ[Úroveň 7 s koef. (P3)],RZ[0],AX100,RZ[Úroveň 2 (P0)],AY100,RZ[Úroveň 3 (P0)],AZ100,RZ[Úroveň 4 (P0)],BA100,RZ[Úroveň 5 (P0)],BB100,RZ[Úroveň 6 (P0)],BC100),RZ[[#This Row],[Koeficient odhadu CR '[-'] (P1)]]*$BM100*$IQ100)</f>
        <v>0</v>
      </c>
      <c r="EW100" s="140">
        <f ca="1">IF(OFFSET(BD100,1,0,1,1)&lt;&gt;0,$BM100*SUMIFS(RZ[Úroveň 7 bez koef. (P3)],RZ[0],AX100,RZ[Úroveň 2 (P0)],AY100,RZ[Úroveň 3 (P0)],AZ100,RZ[Úroveň 4 (P0)],BA100,RZ[Úroveň 5 (P0)],BB100,RZ[Úroveň 6 (P0)],BC100),$BM100*$IQ100)</f>
        <v>0</v>
      </c>
      <c r="EX100" s="135">
        <f ca="1">RZ[[#This Row],[Úroveň 7 s koef. (P3a)]]*RZ[[#This Row],[Počet MJCR (P0) pro "kg"]]</f>
        <v>0</v>
      </c>
      <c r="EY100" s="135">
        <f ca="1">RZ[Úroveň 7 bez koef. (P3a)]*RZ[[#This Row],[Počet MJCR (P0) pro "kg"]]</f>
        <v>0</v>
      </c>
      <c r="EZ100" s="135">
        <f ca="1">IF(OFFSET(BE100,1,0,1,1)&lt;&gt;0,RZ[[#This Row],[Koeficient odhadu CR '[-'] (P1)]]*$BN100*SUMIFS(RZ[Úroveň 8 s koef. (P3)],RZ[0],AX100,RZ[Úroveň 2 (P0)],AY100,RZ[Úroveň 3 (P0)],AZ100,RZ[Úroveň 4 (P0)],BA100,RZ[Úroveň 5 (P0)],BB100,RZ[Úroveň 6 (P0)],BC100,RZ[Úroveň 7 (P0)],BD100),RZ[[#This Row],[Koeficient odhadu CR '[-'] (P1)]]*$BN100*$IQ100)</f>
        <v>0</v>
      </c>
      <c r="FA100" s="135">
        <f ca="1">IF(OFFSET(BE100,1,0,1,1)&lt;&gt;0,$BN100*SUMIFS(RZ[Úroveň 8 bez koef. (P3)],RZ[0],AX100,RZ[Úroveň 2 (P0)],AY100,RZ[Úroveň 3 (P0)],AZ100,RZ[Úroveň 4 (P0)],BA100,RZ[Úroveň 5 (P0)],BB100,RZ[Úroveň 6 (P0)],BC100,RZ[Úroveň 7 (P0)],BD100),$BN100*$IQ100)</f>
        <v>0</v>
      </c>
      <c r="FB100" s="140">
        <f ca="1">RZ[[#This Row],[Úroveň 8 s koef. (P3a)]]*RZ[[#This Row],[Počet MJCR (P0) pro "kg"]]</f>
        <v>0</v>
      </c>
      <c r="FC100" s="140">
        <f ca="1">RZ[Úroveň 8 bez koef. (P3a)]*RZ[[#This Row],[Počet MJCR (P0) pro "kg"]]</f>
        <v>0</v>
      </c>
      <c r="FD100" s="140">
        <f ca="1">IF(OFFSET(BF100,1,0,1,1)&lt;&gt;0,RZ[[#This Row],[Koeficient odhadu CR '[-'] (P1)]]*$BO100*SUMIFS(RZ[Úroveň 9 s koef. (P3)],RZ[0],AX100,RZ[Úroveň 2 (P0)],AY100,RZ[Úroveň 3 (P0)],AZ100,RZ[Úroveň 4 (P0)],BA100,RZ[Úroveň 5 (P0)],BB100,RZ[Úroveň 6 (P0)],BC100,RZ[Úroveň 7 (P0)],BD100,RZ[Úroveň 8 (P0)],BE100),RZ[[#This Row],[Koeficient odhadu CR '[-'] (P1)]]*$BO100*$IQ100)</f>
        <v>0</v>
      </c>
      <c r="FE100" s="140">
        <f ca="1">IF(OFFSET(BF100,1,0,1,1)&lt;&gt;0,$BO100*SUMIFS(RZ[Úroveň 9 bez koef. (P3)],RZ[0],AX100,RZ[Úroveň 2 (P0)],AY100,RZ[Úroveň 3 (P0)],AZ100,RZ[Úroveň 4 (P0)],BA100,RZ[Úroveň 5 (P0)],BB100,RZ[Úroveň 6 (P0)],BC100,RZ[Úroveň 7 (P0)],BD100,RZ[Úroveň 8 (P0)],BE100),$BO100*$IQ100)</f>
        <v>0</v>
      </c>
      <c r="FF100" s="135">
        <f ca="1">RZ[[#This Row],[Úroveň 9 s koef. (P3a)]]*RZ[[#This Row],[Počet MJCR (P0) pro "kg"]]</f>
        <v>0</v>
      </c>
      <c r="FG100" s="135">
        <f ca="1">RZ[Úroveň 9 bez koef. (P3a)]*RZ[[#This Row],[Počet MJCR (P0) pro "kg"]]</f>
        <v>0</v>
      </c>
      <c r="FH100" s="135">
        <f ca="1">IF(OFFSET(BG100,1,0,1,1)&lt;&gt;0,RZ[[#This Row],[Koeficient odhadu CR '[-'] (P1)]]*$BP100*SUMIFS(RZ[Úroveň 10 s koef. (P3)],RZ[0],AX100,RZ[Úroveň 2 (P0)],AY100,RZ[Úroveň 3 (P0)],AZ100,RZ[Úroveň 4 (P0)],BA100,RZ[Úroveň 5 (P0)],BB100,RZ[Úroveň 6 (P0)],BC100,RZ[Úroveň 7 (P0)],BD100,RZ[Úroveň 8 (P0)],BE100,RZ[Úroveň 9 (P0)],BF100),RZ[[#This Row],[Koeficient odhadu CR '[-'] (P1)]]*$BP100*$IQ100)</f>
        <v>0</v>
      </c>
      <c r="FI100" s="135">
        <f ca="1">IF(OFFSET(BG100,1,0,1,1)&lt;&gt;0,$BP100*SUMIFS(RZ[Úroveň 10 bez koef. (P3)],RZ[0],AX100,RZ[Úroveň 2 (P0)],AY100,RZ[Úroveň 3 (P0)],AZ100,RZ[Úroveň 4 (P0)],BA100,RZ[Úroveň 5 (P0)],BB100,RZ[Úroveň 6 (P0)],BC100,RZ[Úroveň 7 (P0)],BD100,RZ[Úroveň 8 (P0)],BE100,RZ[Úroveň 9 (P0)],BF100),$BP100*$IQ100)</f>
        <v>0</v>
      </c>
      <c r="FJ100" s="140">
        <f ca="1">RZ[[#This Row],[Úroveň 10 s koef. (P3a)]]*RZ[[#This Row],[Počet MJCR (P0) pro "kg"]]</f>
        <v>0</v>
      </c>
      <c r="FK100" s="140">
        <f ca="1">RZ[Úroveň 10 bez koef. (P3a)]*RZ[[#This Row],[Počet MJCR (P0) pro "kg"]]</f>
        <v>0</v>
      </c>
      <c r="FL100" s="140">
        <f ca="1">RZ[[#This Row],[Koeficient odhadu CR '[-'] (P1)]]*$BQ100*IQ100</f>
        <v>0</v>
      </c>
      <c r="FM100" s="236">
        <f t="shared" ca="1" si="51"/>
        <v>0</v>
      </c>
      <c r="FN100" s="194">
        <f t="shared" ca="1" si="123"/>
        <v>2102195.9000000004</v>
      </c>
      <c r="FO100" s="238">
        <f t="shared" ca="1" si="124"/>
        <v>2102195.9000000004</v>
      </c>
      <c r="FP100" s="191">
        <f t="shared" ca="1" si="54"/>
        <v>0</v>
      </c>
      <c r="FQ100" s="135">
        <f t="shared" ca="1" si="55"/>
        <v>1</v>
      </c>
      <c r="FR100" s="135">
        <f t="shared" ca="1" si="56"/>
        <v>0</v>
      </c>
      <c r="FS100" s="135">
        <f t="shared" ca="1" si="57"/>
        <v>0</v>
      </c>
      <c r="FT100" s="135">
        <f t="shared" ca="1" si="58"/>
        <v>0</v>
      </c>
      <c r="FU100" s="135">
        <f t="shared" ca="1" si="59"/>
        <v>0</v>
      </c>
      <c r="FV100" s="135">
        <f t="shared" ca="1" si="60"/>
        <v>0</v>
      </c>
      <c r="FW100" s="135">
        <f t="shared" ca="1" si="61"/>
        <v>0</v>
      </c>
      <c r="FX100" s="135">
        <f t="shared" ca="1" si="62"/>
        <v>0</v>
      </c>
      <c r="FY100" s="135">
        <f t="shared" ca="1" si="63"/>
        <v>0</v>
      </c>
      <c r="FZ100" s="140">
        <f ca="1">SUMIFS(RZ[Úroveň 1 (P6)],RZ[0],AX100)</f>
        <v>1</v>
      </c>
      <c r="GA100" s="140">
        <f ca="1">SUMIFS(RZ[Úroveň 2 (P6)],RZ[0],AX100,RZ[Úroveň 2 (P0)],AY100)</f>
        <v>1</v>
      </c>
      <c r="GB100" s="140">
        <f ca="1">SUMIFS(RZ[Úroveň 3 (P6)],RZ[0],AX100,RZ[Úroveň 2 (P0)],AY100,RZ[Úroveň 3 (P0)],AZ100)</f>
        <v>0</v>
      </c>
      <c r="GC100" s="140">
        <f ca="1">SUMIFS(RZ[Úroveň 4 (P6)],RZ[0],AX100,RZ[Úroveň 2 (P0)],AY100,RZ[Úroveň 3 (P0)],AZ100,RZ[Úroveň 4 (P0)],BA100)</f>
        <v>0</v>
      </c>
      <c r="GD100" s="140">
        <f ca="1">SUMIFS(RZ[Úroveň 5 (P6)],RZ[0],AX100,RZ[Úroveň 2 (P0)],AY100,RZ[Úroveň 3 (P0)],AZ100,RZ[Úroveň 4 (P0)],BA100,RZ[Úroveň 5 (P0)],BB100)</f>
        <v>0</v>
      </c>
      <c r="GE100" s="140">
        <f ca="1">SUMIFS(RZ[Úroveň 6 (P6)],RZ[0],AX100,RZ[Úroveň 2 (P0)],AY100,RZ[Úroveň 3 (P0)],AZ100,RZ[Úroveň 4 (P0)],BA100,RZ[Úroveň 5 (P0)],BB100,RZ[Úroveň 6 (P0)],BC100)</f>
        <v>0</v>
      </c>
      <c r="GF100" s="140">
        <f ca="1">SUMIFS(RZ[Úroveň 7 (P6)],RZ[0],AX100,RZ[Úroveň 2 (P0)],AY100,RZ[Úroveň 3 (P0)],AZ100,RZ[Úroveň 4 (P0)],BA100,RZ[Úroveň 5 (P0)],BB100,RZ[Úroveň 6 (P0)],BC100,RZ[Úroveň 7 (P0)],BD100)</f>
        <v>0</v>
      </c>
      <c r="GG100" s="140">
        <f ca="1">SUMIFS(RZ[Úroveň 8 (P6)],RZ[0],AX100,RZ[Úroveň 2 (P0)],AY100,RZ[Úroveň 3 (P0)],AZ100,RZ[Úroveň 4 (P0)],BA100,RZ[Úroveň 5 (P0)],BB100,RZ[Úroveň 6 (P0)],BC100,RZ[Úroveň 7 (P0)],BD100,RZ[Úroveň 8 (P0)],BE100)</f>
        <v>0</v>
      </c>
      <c r="GH100" s="140">
        <f ca="1">SUMIFS(RZ[Úroveň 9 (P6)],RZ[0],AX100,RZ[Úroveň 2 (P0)],AY100,RZ[Úroveň 3 (P0)],AZ100,RZ[Úroveň 4 (P0)],BA100,RZ[Úroveň 5 (P0)],BB100,RZ[Úroveň 6 (P0)],BC100,RZ[Úroveň 7 (P0)],BD100,RZ[Úroveň 8 (P0)],BE100,RZ[Úroveň 9 (P0)],BF100)</f>
        <v>0</v>
      </c>
      <c r="GI100" s="140">
        <f ca="1">SUMIFS(RZ[Úroveň 10 (P6)],RZ[0],AX100,RZ[Úroveň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GJ100" s="194">
        <f t="shared" ca="1" si="125"/>
        <v>1</v>
      </c>
      <c r="GK100" s="807">
        <f t="shared" si="65"/>
        <v>0</v>
      </c>
      <c r="GL100" s="808">
        <f t="shared" si="66"/>
        <v>1</v>
      </c>
      <c r="GM100" s="808">
        <f t="shared" si="67"/>
        <v>0</v>
      </c>
      <c r="GN100" s="808">
        <f t="shared" si="68"/>
        <v>0</v>
      </c>
      <c r="GO100" s="808">
        <f t="shared" si="69"/>
        <v>0</v>
      </c>
      <c r="GP100" s="808">
        <f t="shared" si="70"/>
        <v>0</v>
      </c>
      <c r="GQ100" s="808">
        <f t="shared" si="71"/>
        <v>0</v>
      </c>
      <c r="GR100" s="808">
        <f t="shared" si="72"/>
        <v>0</v>
      </c>
      <c r="GS100" s="808">
        <f t="shared" si="73"/>
        <v>0</v>
      </c>
      <c r="GT100" s="808">
        <f t="shared" si="74"/>
        <v>0</v>
      </c>
      <c r="GU100" s="809">
        <f ca="1">SUMIFS(RZ[Sloupec1],RZ[0],AX100)</f>
        <v>1</v>
      </c>
      <c r="GV100" s="809">
        <f ca="1">SUMIFS(RZ[Sloupec2],RZ[0],AX100,RZ[Úroveň 2 (P0)],AY100)</f>
        <v>1</v>
      </c>
      <c r="GW100" s="809">
        <f ca="1">SUMIFS(RZ[Sloupec3],RZ[0],AX100,RZ[Úroveň 2 (P0)],AY100,RZ[Úroveň 3 (P0)],AZ100)</f>
        <v>0</v>
      </c>
      <c r="GX100" s="809">
        <f ca="1">SUMIFS(RZ[Sloupec4],RZ[0],AX100,RZ[Úroveň 2 (P0)],AY100,RZ[Úroveň 3 (P0)],AZ100,RZ[Úroveň 4 (P0)],BA100)</f>
        <v>0</v>
      </c>
      <c r="GY100" s="809">
        <f ca="1">SUMIFS(RZ[Sloupec5],RZ[0],AX100,RZ[Úroveň 2 (P0)],AY100,RZ[Úroveň 3 (P0)],AZ100,RZ[Úroveň 4 (P0)],BA100,RZ[Úroveň 5 (P0)],BB100)</f>
        <v>0</v>
      </c>
      <c r="GZ100" s="809">
        <f ca="1">SUMIFS(RZ[Sloupec6],RZ[0],AX100,RZ[Úroveň 2 (P0)],AY100,RZ[Úroveň 3 (P0)],AZ100,RZ[Úroveň 4 (P0)],BA100,RZ[Úroveň 5 (P0)],BB100,RZ[Úroveň 6 (P0)],BC100)</f>
        <v>0</v>
      </c>
      <c r="HA100" s="809">
        <f ca="1">SUMIFS(RZ[Sloupec62],RZ[0],AX100,RZ[Úroveň 2 (P0)],AY100,RZ[Úroveň 3 (P0)],AZ100,RZ[Úroveň 4 (P0)],BA100,RZ[Úroveň 5 (P0)],BB100,RZ[Úroveň 6 (P0)],BC100,RZ[Úroveň 7 (P0)],BD100)</f>
        <v>0</v>
      </c>
      <c r="HB100" s="809">
        <f ca="1">SUMIFS(RZ[Sloupec63],RZ[0],AX100,RZ[Úroveň 2 (P0)],AY100,RZ[Úroveň 3 (P0)],AZ100,RZ[Úroveň 4 (P0)],BA100,RZ[Úroveň 5 (P0)],BB100,RZ[Úroveň 6 (P0)],BC100,RZ[Úroveň 7 (P0)],BD100,RZ[Úroveň 8 (P0)],BE100)</f>
        <v>0</v>
      </c>
      <c r="HC100" s="809">
        <f ca="1">SUMIFS(RZ[Sloupec64],RZ[0],AX100,RZ[Úroveň 2 (P0)],AY100,RZ[Úroveň 3 (P0)],AZ100,RZ[Úroveň 4 (P0)],BA100,RZ[Úroveň 5 (P0)],BB100,RZ[Úroveň 6 (P0)],BC100,RZ[Úroveň 7 (P0)],BD100,RZ[Úroveň 8 (P0)],BE100,RZ[Úroveň 9 (P0)],BF100)</f>
        <v>0</v>
      </c>
      <c r="HD100" s="809">
        <f ca="1">SUMIFS(RZ[Sloupec65],RZ[0],AX100,RZ[Úroveň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HE100" s="803">
        <f t="shared" ca="1" si="75"/>
        <v>1</v>
      </c>
      <c r="HF100" s="48" t="str">
        <f t="shared" si="76"/>
        <v/>
      </c>
      <c r="HG100" s="94" t="str">
        <f t="shared" si="77"/>
        <v/>
      </c>
      <c r="HH100" s="95" t="str">
        <f t="shared" si="78"/>
        <v>Plošina s kolébkou</v>
      </c>
      <c r="HI100" s="95" t="str">
        <f t="shared" si="79"/>
        <v/>
      </c>
      <c r="HJ100" s="96" t="str">
        <f t="shared" si="80"/>
        <v/>
      </c>
      <c r="HK100" s="96" t="str">
        <f t="shared" si="81"/>
        <v/>
      </c>
      <c r="HL100" s="96" t="str">
        <f t="shared" si="82"/>
        <v/>
      </c>
      <c r="HM100" s="96" t="str">
        <f t="shared" si="83"/>
        <v/>
      </c>
      <c r="HN100" s="96" t="str">
        <f t="shared" si="84"/>
        <v/>
      </c>
      <c r="HO100" s="96" t="str">
        <f t="shared" si="85"/>
        <v/>
      </c>
      <c r="HP100" s="96" t="str">
        <f t="shared" si="86"/>
        <v/>
      </c>
      <c r="HQ100" s="145" t="str">
        <f t="shared" si="87"/>
        <v>-</v>
      </c>
      <c r="HR100" s="175" t="str">
        <f t="shared" si="88"/>
        <v/>
      </c>
      <c r="HS100" s="173">
        <f t="shared" si="89"/>
        <v>0</v>
      </c>
      <c r="HT100" s="99">
        <f t="shared" si="90"/>
        <v>0</v>
      </c>
      <c r="HU100" s="99">
        <f t="shared" si="91"/>
        <v>0</v>
      </c>
      <c r="HV100" s="209">
        <f t="shared" si="92"/>
        <v>0</v>
      </c>
      <c r="HW100" s="47">
        <f t="shared" si="93"/>
        <v>0</v>
      </c>
      <c r="HX100" s="46">
        <f t="shared" si="94"/>
        <v>0</v>
      </c>
      <c r="HY100" s="149" t="str">
        <f t="shared" si="95"/>
        <v>S</v>
      </c>
      <c r="HZ100" s="263">
        <f t="shared" si="96"/>
        <v>0</v>
      </c>
      <c r="IA100" s="150">
        <f t="shared" si="97"/>
        <v>1</v>
      </c>
      <c r="IB100" s="319">
        <f t="shared" si="98"/>
        <v>0</v>
      </c>
      <c r="IC100" s="220">
        <f t="shared" si="99"/>
        <v>0</v>
      </c>
      <c r="ID100" s="200" t="str">
        <f t="shared" ca="1" si="100"/>
        <v>--</v>
      </c>
      <c r="IE100" s="201">
        <f t="shared" si="101"/>
        <v>0</v>
      </c>
      <c r="IF100" s="145">
        <f t="shared" si="102"/>
        <v>1</v>
      </c>
      <c r="IG100" s="216">
        <f t="shared" si="103"/>
        <v>0</v>
      </c>
      <c r="IH100" s="217">
        <f t="shared" si="126"/>
        <v>1</v>
      </c>
      <c r="II100" s="224">
        <f ca="1">IF(RZ[[#This Row],[Rozhodný sloupec indikativní ceny]]=1,"kg",IF($IW100=$JL$15,IF(JX100=0,JO100,JX100),IF($IW100=$KE$15,IF(KQ100=0,KH100,KQ100),IF($IW100=$KX$15,IF(LJ100=0,LA100,LJ100),IF($IW100=$LQ$15,IF(MC100=0,LT100,MC100),IF($IW100=$MJ$15,IF(NQ100=0,NH100,NQ100),0))))))</f>
        <v>0</v>
      </c>
      <c r="IJ100" s="224">
        <f ca="1">IF((BH100+OFFSET(BH100,1,1,1,1))=2,RZ[[#This Row],[Počet MJHR (P0)]],IF((BI100+OFFSET(BI100,1,1,1,1))=2,RZ[[#This Row],[Počet MJHR (P0)]],IF((BJ100+OFFSET(BJ100,1,1,1,1))=2,RZ[[#This Row],[Počet MJHR (P0)]],IF((BK100+OFFSET(BK100,1,1,1,1))=2,RZ[[#This Row],[Počet MJHR (P0)]],IF((BL100+OFFSET(BL100,1,1,1,1))=2,RZ[[#This Row],[Počet MJHR (P0)]],IF((BM100+OFFSET(BM100,1,1,1,1))=2,RZ[[#This Row],[Počet MJHR (P0)]],IF((BN100+OFFSET(BN100,1,1,1,1))=2,RZ[[#This Row],[Počet MJHR (P0)]],IF((BO100+OFFSET(BO100,1,1,1,1))=2,RZ[[#This Row],[Počet MJHR (P0)]],IF((BP100+OFFSET(BP100,1,1,1,1))=2,RZ[[#This Row],[Počet MJHR (P0)]],IF((BQ100+OFFSET(BQ100,1,1,1,1))=2,RZ[[#This Row],[Počet MJHR (P0)]],IF(RZ[[#This Row],[Měrná jednotka CR (MJCR) (P0)]]=RZ[[#This Row],[Měrná jednotka HR '[MJHR'] (P0)]],RZ[[#This Row],[Počet MJHR (P0)]],IF($IW100=$JL$15,JY100,IF($IW100=$KE$15,KR100,IF($IW100=$KX$15,LK100,IF($IW100=$LQ$15,MD100,IF($IW100=$MJ$15,NR100,0))))))))))))))))</f>
        <v>1</v>
      </c>
      <c r="IK10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00" s="330">
        <f ca="1">IF(AND(RZ[[#This Row],[Jednotková cena bez DPH '[cena/MJCR'] (P0)]]=0,RZ[[#This Row],[Indikativní jednotková cena '[CZK/kg'] (P1)]]&lt;&gt;0),1,0)</f>
        <v>0</v>
      </c>
      <c r="IM100" s="217">
        <f ca="1">VLOOKUP(RZ[[#This Row],[Kód položek]],INDIKAT_CENA,2,FALSE)</f>
        <v>0</v>
      </c>
      <c r="IN100" s="222">
        <f ca="1">IF(RZ[[#This Row],[Rozhodný sloupec indikativní ceny]]=1,RZ[[#This Row],[Indikativní jednotková cena '[CZK/kg'] (P1)]],RZ[[#This Row],[Jednotková cena bez DPH '[cena/MJCR'] (P0)]])</f>
        <v>0</v>
      </c>
      <c r="IO100" s="222">
        <f t="shared" si="127"/>
        <v>1</v>
      </c>
      <c r="IP100" s="223">
        <f ca="1">IF(RZ[[#This Row],[Rozhodný sloupec indikativní ceny]]=1,1,IF($IW100=$JL$15,KA100,IF($IW100=$KE$15,KT100,IF($IW100=$KX$15,LM100,IF($IW100=$LQ$15,MF100,IF($IW100=$MJ$15,NT100,0))))))</f>
        <v>0</v>
      </c>
      <c r="IQ100" s="225">
        <f ca="1">IF(RZ[[#This Row],[Jednotková cena bez DPH '[cena/MJCR'] (P1)]]="",0,IF(IP100=0,0,(RZ[[#This Row],[Jednotková cena bez DPH '[cena/MJCR'] (P1)]]*VLOOKUP(IP100,$BR$7:$BT$10,3))))</f>
        <v>0</v>
      </c>
      <c r="IR100" s="737"/>
      <c r="IS100" s="627">
        <f>IF(HY100=0,"",VLOOKUP(RZ[[#This Row],[Stav Projekce (P0)]],Vstupy!$E$11:'Vstupy'!$E$11:$H$17,4,FALSE))</f>
        <v>100</v>
      </c>
      <c r="IT100" s="628" t="str">
        <f>IF(RZ[[#This Row],[Stav Projekce (P0)]]=0,"",RZ[[#This Row],[Stav Projekce (P0)]])</f>
        <v>S</v>
      </c>
      <c r="IU100" s="628" t="str">
        <f>IF(RZ[[#This Row],[Stav Nákup (P0)]]=0,"",RZ[[#This Row],[Stav Nákup (P0)]])</f>
        <v/>
      </c>
      <c r="IV100" s="636" t="str">
        <f t="shared" si="128"/>
        <v/>
      </c>
      <c r="IW100" s="641">
        <v>1</v>
      </c>
      <c r="IX100" s="630"/>
      <c r="IY100" s="264"/>
      <c r="IZ100" s="776"/>
      <c r="JA100" s="100" t="s">
        <v>744</v>
      </c>
      <c r="JB100" s="100"/>
      <c r="JC100" s="100"/>
      <c r="JD100" s="100"/>
      <c r="JE100" s="100"/>
      <c r="JF100" s="100"/>
      <c r="JG100" s="100"/>
      <c r="JH100" s="100"/>
      <c r="JI100" s="100"/>
      <c r="JJ100" s="145" t="s">
        <v>231</v>
      </c>
      <c r="JK100" s="175"/>
      <c r="JL100" s="286"/>
      <c r="JM100" s="100"/>
      <c r="JN100" s="100"/>
      <c r="JO100" s="210"/>
      <c r="JP100" s="117">
        <v>1</v>
      </c>
      <c r="JQ100" s="117"/>
      <c r="JR100" s="148">
        <v>1</v>
      </c>
      <c r="JS100" s="145" t="s">
        <v>602</v>
      </c>
      <c r="JT100" s="631"/>
      <c r="JU100" s="148"/>
      <c r="JV100" s="154"/>
      <c r="JW100" s="145"/>
      <c r="JX100" s="210"/>
      <c r="JY100" s="117"/>
      <c r="JZ100" s="662"/>
      <c r="KA100" s="145"/>
      <c r="KB100" s="148"/>
      <c r="KC100" s="148"/>
      <c r="KD100" s="644"/>
      <c r="KE100" s="286"/>
      <c r="KF100" s="100"/>
      <c r="KG100" s="100"/>
      <c r="KH100" s="210"/>
      <c r="KI100" s="117"/>
      <c r="KJ100" s="117"/>
      <c r="KK100" s="148"/>
      <c r="KL100" s="145"/>
      <c r="KM100" s="632"/>
      <c r="KN100" s="148"/>
      <c r="KO100" s="154"/>
      <c r="KP100" s="154"/>
      <c r="KQ100" s="210"/>
      <c r="KR100" s="117"/>
      <c r="KS100" s="211"/>
      <c r="KT100" s="145"/>
      <c r="KU100" s="148"/>
      <c r="KV100" s="148"/>
      <c r="KW100" s="265"/>
      <c r="KX100" s="286"/>
      <c r="KY100" s="100"/>
      <c r="KZ100" s="100"/>
      <c r="LA100" s="210"/>
      <c r="LB100" s="117"/>
      <c r="LC100" s="117"/>
      <c r="LD100" s="148"/>
      <c r="LE100" s="145"/>
      <c r="LF100" s="632"/>
      <c r="LG100" s="148"/>
      <c r="LH100" s="154"/>
      <c r="LI100" s="154"/>
      <c r="LJ100" s="154"/>
      <c r="LK100" s="117"/>
      <c r="LL100" s="211"/>
      <c r="LM100" s="210"/>
      <c r="LN100" s="148"/>
      <c r="LO100" s="148"/>
      <c r="LP100" s="265"/>
      <c r="LQ100" s="286"/>
      <c r="LR100" s="100"/>
      <c r="LS100" s="100"/>
      <c r="LT100" s="210"/>
      <c r="LU100" s="117"/>
      <c r="LV100" s="117"/>
      <c r="LW100" s="148"/>
      <c r="LX100" s="145"/>
      <c r="LY100" s="632"/>
      <c r="LZ100" s="148"/>
      <c r="MA100" s="154"/>
      <c r="MB100" s="154"/>
      <c r="MC100" s="145"/>
      <c r="MD100" s="117"/>
      <c r="ME100" s="211"/>
      <c r="MF100" s="210"/>
      <c r="MG100" s="148"/>
      <c r="MH100" s="148"/>
      <c r="MI100" s="265"/>
      <c r="MJ100" s="647"/>
      <c r="MK100" s="264"/>
      <c r="ML100" s="153"/>
      <c r="MM100" s="153"/>
      <c r="MN100" s="153"/>
      <c r="MO100" s="153"/>
      <c r="MP100" s="153"/>
      <c r="MQ100" s="153"/>
      <c r="MR100" s="153"/>
      <c r="MS100" s="99"/>
      <c r="MT100" s="99"/>
      <c r="MU100" s="99"/>
      <c r="MV100" s="99"/>
      <c r="MW100" s="99"/>
      <c r="MX100" s="99"/>
      <c r="MY100" s="153"/>
      <c r="MZ100" s="153"/>
      <c r="NA100" s="153"/>
      <c r="NB100" s="153"/>
      <c r="NC100" s="153"/>
      <c r="ND100" s="153"/>
      <c r="NE100" s="148"/>
      <c r="NF100" s="145"/>
      <c r="NG100" s="145"/>
      <c r="NH100" s="145" t="str">
        <f t="shared" si="107"/>
        <v>ks</v>
      </c>
      <c r="NI100" s="779">
        <f>RZ[[#This Row],[Počet ks (K)]]</f>
        <v>0</v>
      </c>
      <c r="NJ100" s="210">
        <f>RZ[[#This Row],[Hmotnost '[kg/ks'] (K)]]</f>
        <v>0</v>
      </c>
      <c r="NK100" s="148"/>
      <c r="NL100" s="145"/>
      <c r="NM100" s="632"/>
      <c r="NN100" s="148"/>
      <c r="NO100" s="154"/>
      <c r="NP100" s="154"/>
      <c r="NQ100" s="154"/>
      <c r="NR100" s="210"/>
      <c r="NS100" s="148"/>
      <c r="NT100" s="210"/>
      <c r="NU100" s="148"/>
      <c r="NV100" s="148"/>
      <c r="NW100" s="265"/>
    </row>
    <row r="101" spans="2:387" ht="15.95" customHeight="1" x14ac:dyDescent="0.35">
      <c r="B101" s="118" t="str">
        <f t="shared" ref="B101:B112" si="706">IF(HF101=0,"",HF101)</f>
        <v/>
      </c>
      <c r="C10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1" s="262" t="str">
        <f t="shared" ref="D101:D112" si="707">IF(HG101&lt;&gt;"",HG101,IF(HH101&lt;&gt;"","  "&amp;HH101,IF(HI101&lt;&gt;"","  "&amp;"  "&amp;HI101,IF(HJ101&lt;&gt;"","  "&amp;"  "&amp;"  "&amp;HJ101,IF(HK101&lt;&gt;"","  "&amp;"  "&amp;"  "&amp;"  "&amp;HK101,IF(HL101&lt;&gt;"","  "&amp;"  "&amp;"  "&amp;"  "&amp;"  "&amp;HL101,IF(HM101&lt;&gt;"","  "&amp;"  "&amp;"  "&amp;"  "&amp;"  "&amp;"  "&amp;HM101,IF(HN101&lt;&gt;"","  "&amp;"  "&amp;"  "&amp;"  "&amp;"  "&amp;"  "&amp;"  "&amp;HN101,IF(HO101&lt;&gt;"","  "&amp;"  "&amp;"  "&amp;"  "&amp;"  "&amp;"  "&amp;"  "&amp;"  "&amp;HO101,IF(HP101&lt;&gt;"","  "&amp;"  "&amp;"  "&amp;"  "&amp;"  "&amp;"  "&amp;"  "&amp;"  "&amp;"  "&amp;HP101,0))))))))))</f>
        <v xml:space="preserve">    Boční opěra pravá</v>
      </c>
      <c r="E101" s="120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Row],[Kód položek (P2)]]))))))))))</f>
        <v>OKS1</v>
      </c>
      <c r="F101" s="791" t="str">
        <f t="shared" ref="F101:F112" si="708">IF(HS101=0,"N/A",HS101)</f>
        <v>N/A</v>
      </c>
      <c r="G101" s="792" t="str">
        <f t="shared" ref="G101:G112" si="709">IF(HT101=0,"",HT101)</f>
        <v/>
      </c>
      <c r="H101" s="262" t="str">
        <f t="shared" ref="H101:H112" si="710">IF(HU101=0,"",HU101)</f>
        <v/>
      </c>
      <c r="I101" s="123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HR '[MJHR'] (P0)]]))))))))))</f>
        <v>ks</v>
      </c>
      <c r="J101" s="123">
        <f t="shared" ref="J101:J112" si="711">IF(IF101=0,"",IF101)</f>
        <v>1</v>
      </c>
      <c r="K101" s="793">
        <f>RZ[[#This Row],[Koeficient odhadu HR '[-'] (P1)]]</f>
        <v>1</v>
      </c>
      <c r="L101" s="124">
        <f ca="1">RZ[[#This Row],[Jednotková hmotnost s koef. '[kg/MJHR'] (P0)]]</f>
        <v>4417.5</v>
      </c>
      <c r="M101" s="794">
        <f t="shared" ref="M101:M112" ca="1" si="712">IF(ISNUMBER(K101),L101/K101*(K101-1),0)</f>
        <v>0</v>
      </c>
      <c r="N101" s="125">
        <f t="shared" ref="N101:N112" ca="1" si="713">IF(ISNUMBER(J101),J101*L101,0)</f>
        <v>4417.5</v>
      </c>
      <c r="O101" s="125">
        <f t="shared" ref="O101:O112" ca="1" si="714">IF(ISNUMBER(J101),J101*M101,0)</f>
        <v>0</v>
      </c>
      <c r="P101" s="126" t="str">
        <f t="shared" ref="P101:P112" si="715">IF(HR101=0,"",HR101)</f>
        <v/>
      </c>
      <c r="Q101" s="795">
        <f ca="1">RZ[[#This Row],[Počet MJHR v rozpadu (P0)]]</f>
        <v>1</v>
      </c>
      <c r="R101" s="439" t="str">
        <f t="shared" ref="R101:R112" si="716">IF(HV101&lt;&gt;0,HV101,"")</f>
        <v/>
      </c>
      <c r="S101" s="129" t="str">
        <f t="shared" ref="S101:S112" si="717">IF(HW101&lt;&gt;0,HW101,"")</f>
        <v/>
      </c>
      <c r="T101" s="126" t="str">
        <f t="shared" ref="T101:T112" si="718">IF(HX101=0,"",HX101)</f>
        <v/>
      </c>
      <c r="U101" s="126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CR (MJCR) (P0)]]))))))))))</f>
        <v>kg</v>
      </c>
      <c r="V101" s="575">
        <f t="shared" ref="V101:V112" ca="1" si="719">IF(IK101=0,"",IK101)</f>
        <v>4417.5</v>
      </c>
      <c r="W101" s="322">
        <f>RZ[[#This Row],[Koeficient odhadu CR '[-'] (P1)]]</f>
        <v>1</v>
      </c>
      <c r="X101" s="440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Row],[Jednotková cena bez DPH '[cena/MJCR'] (P1)]]*RZ[[#This Row],[Koeficient odhadu CR '[-']]]))))))))))</f>
        <v>140</v>
      </c>
      <c r="Y101" s="440">
        <f t="shared" ref="Y101:Y112" ca="1" si="720">IF(ISNUMBER(X101),-X101/W101*(W101-1),0)</f>
        <v>0</v>
      </c>
      <c r="Z101" s="142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VLOOKUP(IP101,$BR$7:$BS$11,2,FALSE)))))))))))</f>
        <v>CZK</v>
      </c>
      <c r="AA101" s="909">
        <f t="shared" ref="AA101:AA112" ca="1" si="721">GJ101</f>
        <v>4417.5</v>
      </c>
      <c r="AB101" s="910">
        <f ca="1">RZ[[#This Row],[Kumulovaný koeficient v rozpadu (P0)]]</f>
        <v>1</v>
      </c>
      <c r="AC101" s="261"/>
      <c r="AD101" s="796">
        <f ca="1">RZ[[#This Row],[Jednotková cena bez DPH '[cena/MJCR'] s koef. (P0)]]/RZ[[#This Row],[Koeficient odhadu CR '[-']]]*RZ[[#This Row],[Kumulovaný koeficient odhadu CR  '[-']]]</f>
        <v>140</v>
      </c>
      <c r="AE101" s="796">
        <f t="shared" ref="AE101:AE112" ca="1" si="722">IF(ISNUMBER(AA101),AA101*AD101,0)*IF(V101="",0,1)</f>
        <v>618450</v>
      </c>
      <c r="AF101" s="796">
        <f ca="1">-IF(ISNUMBER(AA101),RZ[[#This Row],[Celková cena bez DPH (1)]]-RZ[[#This Row],[Jednotková cena bez DPH '[cena/MJCR'] bez koef. (P0)]]*AA101,0)</f>
        <v>0</v>
      </c>
      <c r="AG10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1" s="261"/>
      <c r="AI101" s="796">
        <f t="shared" ref="AI101:AI112" ca="1" si="723">AD101/VLOOKUP($AJ$13,KURZY,3,FALSE)</f>
        <v>5.1851851851851851</v>
      </c>
      <c r="AJ101" s="796">
        <f t="shared" ref="AJ101:AJ112" ca="1" si="724">AE101/VLOOKUP($AJ$13,KURZY,3,FALSE)*IF(V101="",0,1)</f>
        <v>22905.555555555555</v>
      </c>
      <c r="AK101" s="796">
        <f t="shared" ref="AK101:AK112" ca="1" si="725">AF101/VLOOKUP($AJ$13,KURZY,3,FALSE)</f>
        <v>0</v>
      </c>
      <c r="AL101" s="753">
        <f ca="1">RZ[[#This Row],[Kilogramová cena bez DPH '[cena/kg'] (1)]]/$AK$13</f>
        <v>5.1851851851851851</v>
      </c>
      <c r="AM101" s="261"/>
      <c r="AN101" s="796">
        <f t="shared" ref="AN101:AN112" ca="1" si="726">AD101/VLOOKUP($AO$13,KURZY,3,FALSE)</f>
        <v>6.7632850241545892</v>
      </c>
      <c r="AO101" s="796">
        <f t="shared" ref="AO101:AO112" ca="1" si="727">AE101/VLOOKUP($AO$13,KURZY,3,FALSE)*IF(V101="",0,1)</f>
        <v>29876.8115942029</v>
      </c>
      <c r="AP101" s="796">
        <f t="shared" ref="AP101:AP112" ca="1" si="728">AF101/VLOOKUP($AO$13,KURZY,3,FALSE)</f>
        <v>0</v>
      </c>
      <c r="AQ101" s="753">
        <f ca="1">RZ[[#This Row],[Kilogramová cena bez DPH '[cena/kg'] (1)]]/$AP$13</f>
        <v>6.7632850241545892</v>
      </c>
      <c r="AR101" s="261"/>
      <c r="AS101" s="796">
        <f t="shared" ref="AS101:AS112" ca="1" si="729">AD101/VLOOKUP($AT$13,KURZY,3,FALSE)</f>
        <v>3.8293216630196936</v>
      </c>
      <c r="AT101" s="796">
        <f t="shared" ref="AT101:AT112" ca="1" si="730">AE101/VLOOKUP($AT$13,KURZY,3,FALSE)*IF(V101="",0,1)</f>
        <v>16916.028446389497</v>
      </c>
      <c r="AU101" s="789">
        <f t="shared" ref="AU101:AU112" ca="1" si="731">AF101/VLOOKUP($AT$13,KURZY,3,FALSE)</f>
        <v>0</v>
      </c>
      <c r="AV101" s="767">
        <f ca="1">RZ[[#This Row],[Kilogramová cena bez DPH '[cena/kg'] (1)]]/$AU$13</f>
        <v>3.8293216630196936</v>
      </c>
      <c r="AW101" s="165"/>
      <c r="AX101" s="911">
        <f t="shared" ref="AX101:AX112" ca="1" si="732">IF($BH101=0,IF(AY101&gt;0,OFFSET(AX101,-1,0,1,1),0),OFFSET(AX101,-1,0,1,1)+1)</f>
        <v>2</v>
      </c>
      <c r="AY101" s="111">
        <f t="shared" ref="AY101:AY112" ca="1" si="733">IF($BI101=0,IF(AZ101&gt;0,OFFSET(AY101,-1,0,1,1),0),OFFSET(AY101,-1,0,1,1)+1)</f>
        <v>8</v>
      </c>
      <c r="AZ101" s="111">
        <f t="shared" ref="AZ101:AZ112" ca="1" si="734">IF($BJ101=0,IF(BA101&gt;0,OFFSET(AZ101,-1,0,1,1),0),OFFSET(AZ101,-1,0,1,1)+1)</f>
        <v>1</v>
      </c>
      <c r="BA101" s="111">
        <f t="shared" ref="BA101:BA112" ca="1" si="735">IF($BK101=0,IF(BB101&gt;0,OFFSET(BA101,-1,0,1,1),0),OFFSET(BA101,-1,0,1,1)+1)</f>
        <v>0</v>
      </c>
      <c r="BB101" s="111">
        <f t="shared" ref="BB101:BB112" ca="1" si="736">IF($BL101=0,IF(BC101&gt;0,OFFSET(BB101,-1,0,1,1),0),OFFSET(BB101,-1,0,1,1)+1)</f>
        <v>0</v>
      </c>
      <c r="BC101" s="111">
        <f t="shared" ref="BC101:BC112" ca="1" si="737">IF($BM101=0,IF(BD101&gt;0,OFFSET(BC101,-1,0,1,1),0),OFFSET(BC101,-1,0,1,1)+1)</f>
        <v>0</v>
      </c>
      <c r="BD101" s="111">
        <f t="shared" ref="BD101:BD112" ca="1" si="738">IF($BN101=0,IF(BE101&gt;0,OFFSET(BD101,-1,0,1,1),0),OFFSET(BD101,-1,0,1,1)+1)</f>
        <v>0</v>
      </c>
      <c r="BE101" s="111">
        <f t="shared" ref="BE101:BE112" ca="1" si="739">IF($BO101=0,IF(BF101&gt;0,OFFSET(BE101,-1,0,1,1),0),OFFSET(BE101,-1,0,1,1)+1)</f>
        <v>0</v>
      </c>
      <c r="BF101" s="111">
        <f t="shared" ref="BF101:BF112" ca="1" si="740">IF($BP101=0,IF(BG101&gt;0,OFFSET(BF101,-1,0,1,1),0),OFFSET(BF101,-1,0,1,1)+1)</f>
        <v>0</v>
      </c>
      <c r="BG101" s="112">
        <f t="shared" ref="BG101:BG112" ca="1" si="741">IF($BQ101=0,0,OFFSET($BG101,-1,0,1,1)+1)</f>
        <v>0</v>
      </c>
      <c r="BH101" s="911">
        <f t="shared" ref="BH101:BH112" si="742">IF(HG101="",0,1)</f>
        <v>0</v>
      </c>
      <c r="BI101" s="111">
        <f t="shared" ref="BI101:BI112" si="743">IF(HH101="",0,1)</f>
        <v>0</v>
      </c>
      <c r="BJ101" s="111">
        <f t="shared" ref="BJ101:BJ112" si="744">IF(HI101="",0,1)</f>
        <v>1</v>
      </c>
      <c r="BK101" s="111">
        <f t="shared" ref="BK101:BK112" si="745">IF(HJ101="",0,1)</f>
        <v>0</v>
      </c>
      <c r="BL101" s="111">
        <f t="shared" ref="BL101:BL112" si="746">IF(HK101="",0,1)</f>
        <v>0</v>
      </c>
      <c r="BM101" s="111">
        <f t="shared" ref="BM101:BM112" si="747">IF(HL101="",0,1)</f>
        <v>0</v>
      </c>
      <c r="BN101" s="111">
        <f t="shared" ref="BN101:BN112" si="748">IF(HM101="",0,1)</f>
        <v>0</v>
      </c>
      <c r="BO101" s="111">
        <f t="shared" ref="BO101:BO112" si="749">IF(HN101="",0,1)</f>
        <v>0</v>
      </c>
      <c r="BP101" s="111">
        <f t="shared" ref="BP101:BP112" si="750">IF(HO101="",0,1)</f>
        <v>0</v>
      </c>
      <c r="BQ101" s="112">
        <f t="shared" ref="BQ101:BQ112" si="751">IF(HP101="",0,1)</f>
        <v>0</v>
      </c>
      <c r="BR101" s="132">
        <f ca="1">IF(OFFSET(AY101,1,0,1,1)&lt;&gt;0,RZ[[#This Row],[Koeficient odhadu HR '[-'] (P1)]]*$BH101*SUMIFS(RZ[Úroveň 2 s koef. (P2)],RZ[0],AX101),RZ[[#This Row],[Koeficient odhadu HR '[-'] (P1)]]*$BH101*$IG101)</f>
        <v>0</v>
      </c>
      <c r="BS101" s="186">
        <f ca="1">IF(OFFSET(AY101,1,0,1,1)&lt;&gt;0,$BH101*SUMIFS(RZ[Úroveň 2 bez koef. (P2)],RZ[0],AX101),$BH101*$IG101)</f>
        <v>0</v>
      </c>
      <c r="BT101" s="138">
        <f ca="1">RZ[[#This Row],[Úroveň 2 s koef. (P2a)]]*RZ[[#This Row],[Počet MJHR (P0)]]</f>
        <v>0</v>
      </c>
      <c r="BU101" s="138">
        <f ca="1">RZ[[#This Row],[Úroveň 2 bez koef. (P2a)]]*RZ[[#This Row],[Počet MJHR (P0)]]</f>
        <v>0</v>
      </c>
      <c r="BV101" s="138">
        <f ca="1">IF(OFFSET(AZ101,1,0,1,1)&lt;&gt;0,RZ[[#This Row],[Koeficient odhadu HR '[-'] (P1)]]*$BI101*SUMIFS(RZ[Úroveň 3 s koef. (P2)],RZ[0],AX101,RZ[Úroveň 2 (P0)],AY101),RZ[[#This Row],[Koeficient odhadu HR '[-'] (P1)]]*$BI101*$IG101)</f>
        <v>0</v>
      </c>
      <c r="BW101" s="138">
        <f ca="1">IF(OFFSET(AZ101,1,0,1,1)&lt;&gt;0,$BI101*SUMIFS(RZ[Úroveň 3 bez koef. (P2)],RZ[0],AX101,RZ[Úroveň 2 (P0)],AY101),$BI101*$IG101)</f>
        <v>0</v>
      </c>
      <c r="BX101" s="132">
        <f ca="1">RZ[[#This Row],[Úroveň 3 s koef. (P2a)]]*RZ[[#This Row],[Počet MJHR (P0)]]</f>
        <v>4417.5</v>
      </c>
      <c r="BY101" s="132">
        <f ca="1">RZ[Úroveň 3 bez koef. (P2a)]*RZ[[#This Row],[Počet MJHR (P0)]]</f>
        <v>4417.5</v>
      </c>
      <c r="BZ101" s="132">
        <f ca="1">IF(OFFSET(BA101,1,0,1,1)&lt;&gt;0,RZ[[#This Row],[Koeficient odhadu HR '[-'] (P1)]]*$BJ101*SUMIFS(RZ[Úroveň 4 s koef. (P2)],RZ[0],AX101,RZ[Úroveň 2 (P0)],AY101,RZ[Úroveň 3 (P0)],AZ101),RZ[[#This Row],[Koeficient odhadu HR '[-'] (P1)]]*$BJ101*$IG101)</f>
        <v>4417.5</v>
      </c>
      <c r="CA101" s="132">
        <f ca="1">IF(OFFSET(BA101,1,0,1,1)&lt;&gt;0,$BJ101*SUMIFS(RZ[Úroveň 4 bez koef. (P2)],RZ[0],AX101,RZ[Úroveň 2 (P0)],AY101,RZ[Úroveň 3 (P0)],AZ101),$BJ101*$IG101)</f>
        <v>4417.5</v>
      </c>
      <c r="CB101" s="138">
        <f ca="1">RZ[[#This Row],[Úroveň 4 s koef. (P2a)]]*RZ[[#This Row],[Počet MJHR (P0)]]</f>
        <v>0</v>
      </c>
      <c r="CC101" s="138">
        <f ca="1">RZ[Úroveň 4 bez koef. (P2a)]*RZ[[#This Row],[Počet MJHR (P0)]]</f>
        <v>0</v>
      </c>
      <c r="CD101" s="138">
        <f ca="1">IF(OFFSET(BB101,1,0,1,1)&lt;&gt;0,RZ[[#This Row],[Koeficient odhadu HR '[-'] (P1)]]*$BK101*SUMIFS(RZ[Úroveň 5 s koef. (P2)],RZ[0],AX101,RZ[Úroveň 2 (P0)],AY101,RZ[Úroveň 3 (P0)],AZ101,RZ[Úroveň 4 (P0)],BA101),RZ[[#This Row],[Koeficient odhadu HR '[-'] (P1)]]*$BK101*$IG101)</f>
        <v>0</v>
      </c>
      <c r="CE101" s="138">
        <f ca="1">IF(OFFSET(BB101,1,0,1,1)&lt;&gt;0,$BK101*SUMIFS(RZ[Úroveň 5 bez koef. (P2)],RZ[0],AX101,RZ[Úroveň 2 (P0)],AY101,RZ[Úroveň 3 (P0)],AZ101,RZ[Úroveň 4 (P0)],BA101),$BK101*$IG101)</f>
        <v>0</v>
      </c>
      <c r="CF101" s="132">
        <f ca="1">RZ[[#This Row],[Úroveň 5 s koef. (P2a)]]*RZ[[#This Row],[Počet MJHR (P0)]]</f>
        <v>0</v>
      </c>
      <c r="CG101" s="132">
        <f ca="1">RZ[Úroveň 5 bez koef. (P2a)]*RZ[[#This Row],[Počet MJHR (P0)]]</f>
        <v>0</v>
      </c>
      <c r="CH101" s="132">
        <f ca="1">IF(OFFSET(BC101,1,0,1,1)&lt;&gt;0,RZ[[#This Row],[Koeficient odhadu HR '[-'] (P1)]]*$BL101*SUMIFS(RZ[Úroveň 6 s koef. (P2)],RZ[0],AX101,RZ[Úroveň 2 (P0)],AY101,RZ[Úroveň 3 (P0)],AZ101,RZ[Úroveň 4 (P0)],BA101,RZ[Úroveň 5 (P0)],BB101),RZ[[#This Row],[Koeficient odhadu HR '[-'] (P1)]]*$BL101*$IG101)</f>
        <v>0</v>
      </c>
      <c r="CI101" s="132">
        <f ca="1">IF(OFFSET(BC101,1,0,1,1)&lt;&gt;0,$BL101*SUMIFS(RZ[Úroveň 6 bez koef. (P2)],RZ[0],AX101,RZ[Úroveň 2 (P0)],AY101,RZ[Úroveň 3 (P0)],AZ101,RZ[Úroveň 4 (P0)],BA101,RZ[Úroveň 5 (P0)],BB101),$BL101*$IG101)</f>
        <v>0</v>
      </c>
      <c r="CJ101" s="138">
        <f ca="1">RZ[[#This Row],[Úroveň 6 s koef. (P2a)]]*RZ[[#This Row],[Počet MJHR (P0)]]</f>
        <v>0</v>
      </c>
      <c r="CK101" s="138">
        <f ca="1">RZ[Úroveň 6 bez koef. (P2a)]*RZ[[#This Row],[Počet MJHR (P0)]]</f>
        <v>0</v>
      </c>
      <c r="CL101" s="138">
        <f ca="1">IF(OFFSET(BD101,1,0,1,1)&lt;&gt;0,RZ[[#This Row],[Koeficient odhadu HR '[-'] (P1)]]*$BM101*SUMIFS(RZ[Úroveň 7 s koef. (P2)],RZ[0],AX101,RZ[Úroveň 2 (P0)],AY101,RZ[Úroveň 3 (P0)],AZ101,RZ[Úroveň 4 (P0)],BA101,RZ[Úroveň 5 (P0)],BB101,RZ[Úroveň 6 (P0)],BC101),RZ[[#This Row],[Koeficient odhadu HR '[-'] (P1)]]*$BM101*$IG101)</f>
        <v>0</v>
      </c>
      <c r="CM101" s="138">
        <f ca="1">IF(OFFSET(BD101,1,0,1,1)&lt;&gt;0,$BM101*SUMIFS(RZ[Úroveň 7 bez koef. (P2)],RZ[0],AX101,RZ[Úroveň 2 (P0)],AY101,RZ[Úroveň 3 (P0)],AZ101,RZ[Úroveň 4 (P0)],BA101,RZ[Úroveň 5 (P0)],BB101,RZ[Úroveň 6 (P0)],BC101),$BM101*$IG101)</f>
        <v>0</v>
      </c>
      <c r="CN101" s="132">
        <f ca="1">RZ[[#This Row],[Úroveň 7 s koef. (P2a)]]*RZ[[#This Row],[Počet MJHR (P0)]]</f>
        <v>0</v>
      </c>
      <c r="CO101" s="132">
        <f ca="1">RZ[Úroveň 7 bez koef. (P2a)]*RZ[[#This Row],[Počet MJHR (P0)]]</f>
        <v>0</v>
      </c>
      <c r="CP101" s="132">
        <f ca="1">IF(OFFSET(BE101,1,0,1,1)&lt;&gt;0,RZ[[#This Row],[Koeficient odhadu HR '[-'] (P1)]]*$BN101*SUMIFS(RZ[Úroveň 8 s koef. (P2)],RZ[0],AX101,RZ[Úroveň 2 (P0)],AY101,RZ[Úroveň 3 (P0)],AZ101,RZ[Úroveň 4 (P0)],BA101,RZ[Úroveň 5 (P0)],BB101,RZ[Úroveň 6 (P0)],BC101,RZ[Úroveň 7 (P0)],BD101),RZ[[#This Row],[Koeficient odhadu HR '[-'] (P1)]]*$BN101*$IG101)</f>
        <v>0</v>
      </c>
      <c r="CQ101" s="132">
        <f ca="1">IF(OFFSET(BE101,1,0,1,1)&lt;&gt;0,$BN101*SUMIFS(RZ[Úroveň 8 bez koef. (P2)],RZ[0],AX101,RZ[Úroveň 2 (P0)],AY101,RZ[Úroveň 3 (P0)],AZ101,RZ[Úroveň 4 (P0)],BA101,RZ[Úroveň 5 (P0)],BB101,RZ[Úroveň 6 (P0)],BC101,RZ[Úroveň 7 (P0)],BD101),$BN101*$IG101)</f>
        <v>0</v>
      </c>
      <c r="CR101" s="138">
        <f ca="1">RZ[[#This Row],[Úroveň 8 s koef. (P2a)]]*RZ[[#This Row],[Počet MJHR (P0)]]</f>
        <v>0</v>
      </c>
      <c r="CS101" s="138">
        <f ca="1">RZ[Úroveň 8 bez koef. (P2a)]*RZ[[#This Row],[Počet MJHR (P0)]]</f>
        <v>0</v>
      </c>
      <c r="CT101" s="138">
        <f ca="1">IF(OFFSET(BF101,1,0,1,1)&lt;&gt;0,RZ[[#This Row],[Koeficient odhadu HR '[-'] (P1)]]*$BO101*SUMIFS(RZ[Úroveň 9 s koef. (P2)],RZ[0],AX101,RZ[Úroveň 2 (P0)],AY101,RZ[Úroveň 3 (P0)],AZ101,RZ[Úroveň 4 (P0)],BA101,RZ[Úroveň 5 (P0)],BB101,RZ[Úroveň 6 (P0)],BC101,RZ[Úroveň 7 (P0)],BD101,RZ[Úroveň 8 (P0)],BE101),RZ[[#This Row],[Koeficient odhadu HR '[-'] (P1)]]*$BO101*$IG101)</f>
        <v>0</v>
      </c>
      <c r="CU101" s="138">
        <f ca="1">IF(OFFSET(BF101,1,0,1,1)&lt;&gt;0,$BO101*SUMIFS(RZ[Úroveň 9 bez koef. (P2)],RZ[0],AX101,RZ[Úroveň 2 (P0)],AY101,RZ[Úroveň 3 (P0)],AZ101,RZ[Úroveň 4 (P0)],BA101,RZ[Úroveň 5 (P0)],BB101,RZ[Úroveň 6 (P0)],BC101,RZ[Úroveň 7 (P0)],BD101,RZ[Úroveň 8 (P0)],BE101),$BO101*$IG101)</f>
        <v>0</v>
      </c>
      <c r="CV101" s="132">
        <f ca="1">RZ[[#This Row],[Úroveň 9 s koef. (P2a)]]*RZ[[#This Row],[Počet MJHR (P0)]]</f>
        <v>0</v>
      </c>
      <c r="CW101" s="132">
        <f ca="1">RZ[Úroveň 9 bez koef. (P2a)]*RZ[[#This Row],[Počet MJHR (P0)]]</f>
        <v>0</v>
      </c>
      <c r="CX101" s="132">
        <f ca="1">IF(OFFSET(BG101,1,0,1,1)&lt;&gt;0,RZ[[#This Row],[Koeficient odhadu HR '[-'] (P1)]]*$BP101*SUMIFS(RZ[Úroveň 10 s koef. (P2)],RZ[0],AX101,RZ[Úroveň 2 (P0)],AY101,RZ[Úroveň 3 (P0)],AZ101,RZ[Úroveň 4 (P0)],BA101,RZ[Úroveň 5 (P0)],BB101,RZ[Úroveň 6 (P0)],BC101,RZ[Úroveň 7 (P0)],BD101,RZ[Úroveň 8 (P0)],BE101,RZ[Úroveň 9 (P0)],BF101),RZ[[#This Row],[Koeficient odhadu HR '[-'] (P1)]]*$BP101*$IG101)</f>
        <v>0</v>
      </c>
      <c r="CY101" s="132">
        <f ca="1">IF(OFFSET(BG101,1,0,1,1)&lt;&gt;0,$BP101*SUMIFS(RZ[Úroveň 10 bez koef. (P2)],RZ[0],AX101,RZ[Úroveň 2 (P0)],AY101,RZ[Úroveň 3 (P0)],AZ101,RZ[Úroveň 4 (P0)],BA101,RZ[Úroveň 5 (P0)],BB101,RZ[Úroveň 6 (P0)],BC101,RZ[Úroveň 7 (P0)],BD101,RZ[Úroveň 8 (P0)],BE101,RZ[Úroveň 9 (P0)],BF101),$BP101*$IG101)</f>
        <v>0</v>
      </c>
      <c r="CZ101" s="138">
        <f>RZ[[#This Row],[Úroveň 10 s koef. (P2a)]]*RZ[[#This Row],[Počet MJHR (P0)]]</f>
        <v>0</v>
      </c>
      <c r="DA101" s="138">
        <f>RZ[Úroveň 10 bez koef. (P2a)]*RZ[[#This Row],[Počet MJHR (P0)]]</f>
        <v>0</v>
      </c>
      <c r="DB101" s="138">
        <f>RZ[[#This Row],[Koeficient odhadu HR '[-'] (P1)]]*$BQ101*IG101</f>
        <v>0</v>
      </c>
      <c r="DC101" s="231">
        <f t="shared" ref="DC101:DC112" si="752">$BQ101*IG101</f>
        <v>0</v>
      </c>
      <c r="DD101" s="241">
        <f t="shared" ref="DD101:DD112" ca="1" si="753">IF(BH101=1,BR101,IF(BI101=1,BV101,IF(BJ101=1,BZ101,IF(BK101=1,CD101,IF(BL101=1,CH101,IF(BM101=1,CL101,IF(BN101=1,CP101,IF(BO101=1,CT101,IF(BP101=1,CX101,DB101)))))))))</f>
        <v>4417.5</v>
      </c>
      <c r="DE101" s="229">
        <f t="shared" ref="DE101:DE112" ca="1" si="754">IF(BH101=1,BS101,IF(BI101=1,BW101,IF(BJ101=1,CA101,IF(BK101=1,CE101,IF(BL101=1,CI101,IF(BM101=1,CM101,IF(BN101=1,CQ101,IF(BO101=1,CU101,IF(BP101=1,CY101,DC101)))))))))</f>
        <v>4417.5</v>
      </c>
      <c r="DF101" s="912">
        <f t="shared" ref="DF101:DF112" si="755">BH101*$IF101</f>
        <v>0</v>
      </c>
      <c r="DG101" s="913">
        <f t="shared" ref="DG101:DG112" si="756">BI101*$IF101</f>
        <v>0</v>
      </c>
      <c r="DH101" s="913">
        <f t="shared" ref="DH101:DH112" si="757">BJ101*$IF101</f>
        <v>1</v>
      </c>
      <c r="DI101" s="913">
        <f t="shared" ref="DI101:DI112" si="758">BK101*$IF101</f>
        <v>0</v>
      </c>
      <c r="DJ101" s="913">
        <f t="shared" ref="DJ101:DJ112" si="759">BL101*$IF101</f>
        <v>0</v>
      </c>
      <c r="DK101" s="913">
        <f t="shared" ref="DK101:DK112" si="760">BM101*$IF101</f>
        <v>0</v>
      </c>
      <c r="DL101" s="913">
        <f t="shared" ref="DL101:DL112" si="761">BN101*$IF101</f>
        <v>0</v>
      </c>
      <c r="DM101" s="913">
        <f t="shared" ref="DM101:DM112" si="762">BO101*$IF101</f>
        <v>0</v>
      </c>
      <c r="DN101" s="913">
        <f t="shared" ref="DN101:DN112" si="763">BP101*$IF101</f>
        <v>0</v>
      </c>
      <c r="DO101" s="913">
        <f t="shared" ref="DO101:DO112" si="764">BQ101*$IF101</f>
        <v>0</v>
      </c>
      <c r="DP101" s="914">
        <f ca="1">SUMIFS(RZ[Úroveň 1 (P4)],RZ[0],AX101)</f>
        <v>1</v>
      </c>
      <c r="DQ101" s="914">
        <f ca="1">SUMIFS(RZ[Úroveň 2 (P4)],RZ[0],AX101,RZ[Úroveň 2 (P0)],AY101)</f>
        <v>1</v>
      </c>
      <c r="DR101" s="914">
        <f ca="1">SUMIFS(RZ[Úroveň 3 (P4)],RZ[0],AX101,RZ[Úroveň 2 (P0)],AY101,RZ[Úroveň 3 (P0)],AZ101)</f>
        <v>1</v>
      </c>
      <c r="DS101" s="914">
        <f ca="1">SUMIFS(RZ[Úroveň 4 (P4)],RZ[0],AX101,RZ[Úroveň 2 (P0)],AY101,RZ[Úroveň 3 (P0)],AZ101,RZ[Úroveň 4 (P0)],BA101)</f>
        <v>0</v>
      </c>
      <c r="DT101" s="914">
        <f ca="1">SUMIFS(RZ[Úroveň 5 (P4)],RZ[0],AX101,RZ[Úroveň 2 (P0)],AY101,RZ[Úroveň 3 (P0)],AZ101,RZ[Úroveň 4 (P0)],BA101,RZ[Úroveň 5 (P0)],BB101)</f>
        <v>0</v>
      </c>
      <c r="DU101" s="914">
        <f ca="1">SUMIFS(RZ[Úroveň 6 (P4)],RZ[0],AX101,RZ[Úroveň 2 (P0)],AY101,RZ[Úroveň 3 (P0)],AZ101,RZ[Úroveň 4 (P0)],BA101,RZ[Úroveň 5 (P0)],BB101,RZ[Úroveň 6 (P0)],BC101)</f>
        <v>0</v>
      </c>
      <c r="DV101" s="914">
        <f ca="1">SUMIFS(RZ[Úroveň 7 (P4)],RZ[0],AX101,RZ[Úroveň 2 (P0)],AY101,RZ[Úroveň 3 (P0)],AZ101,RZ[Úroveň 4 (P0)],BA101,RZ[Úroveň 5 (P0)],BB101,RZ[Úroveň 6 (P0)],BC101,RZ[Úroveň 7 (P0)],BD101)</f>
        <v>0</v>
      </c>
      <c r="DW101" s="914">
        <f ca="1">SUMIFS(RZ[Úroveň 8 (P4)],RZ[0],AX101,RZ[Úroveň 2 (P0)],AY101,RZ[Úroveň 3 (P0)],AZ101,RZ[Úroveň 4 (P0)],BA101,RZ[Úroveň 5 (P0)],BB101,RZ[Úroveň 6 (P0)],BC101,RZ[Úroveň 7 (P0)],BD101,RZ[Úroveň 8 (P0)],BE101)</f>
        <v>0</v>
      </c>
      <c r="DX101" s="914">
        <f ca="1">SUMIFS(RZ[Úroveň 9 (P4)],RZ[0],AX101,RZ[Úroveň 2 (P0)],AY101,RZ[Úroveň 3 (P0)],AZ101,RZ[Úroveň 4 (P0)],BA101,RZ[Úroveň 5 (P0)],BB101,RZ[Úroveň 6 (P0)],BC101,RZ[Úroveň 7 (P0)],BD101,RZ[Úroveň 8 (P0)],BE101,RZ[Úroveň 9 (P0)],BF101)</f>
        <v>0</v>
      </c>
      <c r="DY101" s="914">
        <f ca="1">SUMIFS(RZ[Úroveň 10 (P4)],RZ[0],AX101,RZ[Úroveň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DZ101" s="915">
        <f t="shared" ref="DZ101:DZ112" ca="1" si="765">IF(DP101&lt;&gt;0,DP101,1)*IF(DQ101&lt;&gt;0,DQ101,1)*IF(DR101&lt;&gt;0,DR101,1)*IF(DS101&lt;&gt;0,DS101,1)*IF(DT101&lt;&gt;0,DT101,1)*IF(DU101&lt;&gt;0,DU101,1)*IF(DV101&lt;&gt;0,DV101,1)*IF(DW101&lt;&gt;0,DW101,1)*IF(DX101&lt;&gt;0,DX101,1)*IF(DY101&lt;&gt;0,DY101,1)</f>
        <v>1</v>
      </c>
      <c r="EA101" s="916">
        <f ca="1">RZ[[#This Row],[Jednotková hmotnost bez koef. '[kg/MJHR'] (P0)]]*RZ[[#This Row],[Počet MJHR v rozpadu (P0)]]</f>
        <v>4417.5</v>
      </c>
      <c r="EB101" s="917">
        <f ca="1">IF(OFFSET(AY101,1,0,1,1)&lt;&gt;0,RZ[[#This Row],[Koeficient odhadu CR '[-'] (P1)]]*$BH101*SUMIFS(RZ[Úroveň 2 s koef. (P3)],RZ[0],AX101),RZ[[#This Row],[Koeficient odhadu CR '[-'] (P1)]]*$BH101*$IQ101)</f>
        <v>0</v>
      </c>
      <c r="EC101" s="191">
        <f ca="1">IF(OFFSET(AY101,1,0,1,1)&lt;&gt;0,$BH101*SUMIFS(RZ[Úroveň 2 bez koef. (P3)],RZ[0],AX101),$BH101*$IQ101)</f>
        <v>0</v>
      </c>
      <c r="ED101" s="140">
        <f ca="1">RZ[[#This Row],[Úroveň 2 s koef. (P3a)]]*RZ[[#This Row],[Počet MJCR (P0) pro "kg"]]</f>
        <v>0</v>
      </c>
      <c r="EE101" s="140">
        <f ca="1">RZ[Úroveň 2 bez koef. (P3a)]*RZ[[#This Row],[Počet MJCR (P0) pro "kg"]]</f>
        <v>0</v>
      </c>
      <c r="EF101" s="140">
        <f ca="1">IF(OFFSET(AZ101,1,0,1,1)&lt;&gt;0,RZ[[#This Row],[Koeficient odhadu CR '[-'] (P1)]]*$BI101*SUMIFS(RZ[Úroveň 3 s koef. (P3)],RZ[0],AX101,RZ[Úroveň 2 (P0)],AY101),RZ[[#This Row],[Koeficient odhadu CR '[-'] (P1)]]*$BI101*$IQ101)</f>
        <v>0</v>
      </c>
      <c r="EG101" s="140">
        <f ca="1">IF(OFFSET(AZ101,1,0,1,1)&lt;&gt;0,$BI101*SUMIFS(RZ[Úroveň 3 bez koef. (P3)],RZ[0],AX101,RZ[Úroveň 2 (P0)],AY101),$BI101*$IQ101)</f>
        <v>0</v>
      </c>
      <c r="EH101" s="135">
        <f ca="1">RZ[[#This Row],[Úroveň 3 s koef. (P3a)]]*RZ[[#This Row],[Počet MJCR (P0) pro "kg"]]</f>
        <v>618450</v>
      </c>
      <c r="EI101" s="135">
        <f ca="1">RZ[Úroveň 3 bez koef. (P3a)]*RZ[[#This Row],[Počet MJCR (P0) pro "kg"]]</f>
        <v>618450</v>
      </c>
      <c r="EJ101" s="135">
        <f ca="1">IF(OFFSET(BA101,1,0,1,1)&lt;&gt;0,RZ[[#This Row],[Koeficient odhadu CR '[-'] (P1)]]*$BJ101*SUMIFS(RZ[Úroveň 4 s koef. (P3)],RZ[0],AX101,RZ[Úroveň 2 (P0)],AY101,RZ[Úroveň 3 (P0)],AZ101),RZ[[#This Row],[Koeficient odhadu CR '[-'] (P1)]]*$BJ101*$IQ101)</f>
        <v>140</v>
      </c>
      <c r="EK101" s="135">
        <f ca="1">IF(OFFSET(BA101,1,0,1,1)&lt;&gt;0,$BJ101*SUMIFS(RZ[Úroveň 4 bez koef. (P3)],RZ[0],AX101,RZ[Úroveň 2 (P0)],AY101,RZ[Úroveň 3 (P0)],AZ101),$BJ101*$IQ101)</f>
        <v>140</v>
      </c>
      <c r="EL101" s="140">
        <f ca="1">RZ[[#This Row],[Úroveň 4 s koef. (P3a)]]*RZ[[#This Row],[Počet MJCR (P0) pro "kg"]]</f>
        <v>0</v>
      </c>
      <c r="EM101" s="140">
        <f ca="1">RZ[Úroveň 4 bez koef. (P3a)]*RZ[[#This Row],[Počet MJCR (P0) pro "kg"]]</f>
        <v>0</v>
      </c>
      <c r="EN101" s="140">
        <f ca="1">IF(OFFSET(BB101,1,0,1,1)&lt;&gt;0,RZ[[#This Row],[Koeficient odhadu CR '[-'] (P1)]]*$BK101*SUMIFS(RZ[Úroveň 5 s koef. (P3)],RZ[0],AX101,RZ[Úroveň 2 (P0)],AY101,RZ[Úroveň 3 (P0)],AZ101,RZ[Úroveň 4 (P0)],BA101),RZ[[#This Row],[Koeficient odhadu CR '[-'] (P1)]]*$BK101*$IQ101)</f>
        <v>0</v>
      </c>
      <c r="EO101" s="140">
        <f ca="1">IF(OFFSET(BB101,1,0,1,1)&lt;&gt;0,$BK101*SUMIFS(RZ[Úroveň 5 bez koef. (P3)],RZ[0],AX101,RZ[Úroveň 2 (P0)],AY101,RZ[Úroveň 3 (P0)],AZ101,RZ[Úroveň 4 (P0)],BA101),$BK101*$IQ101)</f>
        <v>0</v>
      </c>
      <c r="EP101" s="135">
        <f ca="1">RZ[[#This Row],[Úroveň 5 s koef. (P3a)]]*RZ[[#This Row],[Počet MJCR (P0) pro "kg"]]</f>
        <v>0</v>
      </c>
      <c r="EQ101" s="135">
        <f ca="1">RZ[Úroveň 5 bez koef. (P3a)]*RZ[[#This Row],[Počet MJCR (P0) pro "kg"]]</f>
        <v>0</v>
      </c>
      <c r="ER101" s="135">
        <f ca="1">IF(OFFSET(BC101,1,0,1,1)&lt;&gt;0,RZ[[#This Row],[Koeficient odhadu CR '[-'] (P1)]]*$BL101*SUMIFS(RZ[Úroveň 6 s koef. (P3)],RZ[0],AX101,RZ[Úroveň 2 (P0)],AY101,RZ[Úroveň 3 (P0)],AZ101,RZ[Úroveň 4 (P0)],BA101,RZ[Úroveň 5 (P0)],BB101),RZ[[#This Row],[Koeficient odhadu CR '[-'] (P1)]]*$BL101*$IQ101)</f>
        <v>0</v>
      </c>
      <c r="ES101" s="135">
        <f ca="1">IF(OFFSET(BC101,1,0,1,1)&lt;&gt;0,$BL101*SUMIFS(RZ[Úroveň 6 bez koef. (P3)],RZ[0],AX101,RZ[Úroveň 2 (P0)],AY101,RZ[Úroveň 3 (P0)],AZ101,RZ[Úroveň 4 (P0)],BA101,RZ[Úroveň 5 (P0)],BB101),$BL101*$IQ101)</f>
        <v>0</v>
      </c>
      <c r="ET101" s="140">
        <f ca="1">RZ[[#This Row],[Úroveň 6 s koef. (P3a)]]*RZ[[#This Row],[Počet MJCR (P0) pro "kg"]]</f>
        <v>0</v>
      </c>
      <c r="EU101" s="140">
        <f ca="1">RZ[Úroveň 6 bez koef. (P3a)]*RZ[[#This Row],[Počet MJCR (P0) pro "kg"]]</f>
        <v>0</v>
      </c>
      <c r="EV101" s="140">
        <f ca="1">IF(OFFSET(BD101,1,0,1,1)&lt;&gt;0,RZ[[#This Row],[Koeficient odhadu CR '[-'] (P1)]]*$BM101*SUMIFS(RZ[Úroveň 7 s koef. (P3)],RZ[0],AX101,RZ[Úroveň 2 (P0)],AY101,RZ[Úroveň 3 (P0)],AZ101,RZ[Úroveň 4 (P0)],BA101,RZ[Úroveň 5 (P0)],BB101,RZ[Úroveň 6 (P0)],BC101),RZ[[#This Row],[Koeficient odhadu CR '[-'] (P1)]]*$BM101*$IQ101)</f>
        <v>0</v>
      </c>
      <c r="EW101" s="140">
        <f ca="1">IF(OFFSET(BD101,1,0,1,1)&lt;&gt;0,$BM101*SUMIFS(RZ[Úroveň 7 bez koef. (P3)],RZ[0],AX101,RZ[Úroveň 2 (P0)],AY101,RZ[Úroveň 3 (P0)],AZ101,RZ[Úroveň 4 (P0)],BA101,RZ[Úroveň 5 (P0)],BB101,RZ[Úroveň 6 (P0)],BC101),$BM101*$IQ101)</f>
        <v>0</v>
      </c>
      <c r="EX101" s="135">
        <f ca="1">RZ[[#This Row],[Úroveň 7 s koef. (P3a)]]*RZ[[#This Row],[Počet MJCR (P0) pro "kg"]]</f>
        <v>0</v>
      </c>
      <c r="EY101" s="135">
        <f ca="1">RZ[Úroveň 7 bez koef. (P3a)]*RZ[[#This Row],[Počet MJCR (P0) pro "kg"]]</f>
        <v>0</v>
      </c>
      <c r="EZ101" s="135">
        <f ca="1">IF(OFFSET(BE101,1,0,1,1)&lt;&gt;0,RZ[[#This Row],[Koeficient odhadu CR '[-'] (P1)]]*$BN101*SUMIFS(RZ[Úroveň 8 s koef. (P3)],RZ[0],AX101,RZ[Úroveň 2 (P0)],AY101,RZ[Úroveň 3 (P0)],AZ101,RZ[Úroveň 4 (P0)],BA101,RZ[Úroveň 5 (P0)],BB101,RZ[Úroveň 6 (P0)],BC101,RZ[Úroveň 7 (P0)],BD101),RZ[[#This Row],[Koeficient odhadu CR '[-'] (P1)]]*$BN101*$IQ101)</f>
        <v>0</v>
      </c>
      <c r="FA101" s="135">
        <f ca="1">IF(OFFSET(BE101,1,0,1,1)&lt;&gt;0,$BN101*SUMIFS(RZ[Úroveň 8 bez koef. (P3)],RZ[0],AX101,RZ[Úroveň 2 (P0)],AY101,RZ[Úroveň 3 (P0)],AZ101,RZ[Úroveň 4 (P0)],BA101,RZ[Úroveň 5 (P0)],BB101,RZ[Úroveň 6 (P0)],BC101,RZ[Úroveň 7 (P0)],BD101),$BN101*$IQ101)</f>
        <v>0</v>
      </c>
      <c r="FB101" s="140">
        <f ca="1">RZ[[#This Row],[Úroveň 8 s koef. (P3a)]]*RZ[[#This Row],[Počet MJCR (P0) pro "kg"]]</f>
        <v>0</v>
      </c>
      <c r="FC101" s="140">
        <f ca="1">RZ[Úroveň 8 bez koef. (P3a)]*RZ[[#This Row],[Počet MJCR (P0) pro "kg"]]</f>
        <v>0</v>
      </c>
      <c r="FD101" s="140">
        <f ca="1">IF(OFFSET(BF101,1,0,1,1)&lt;&gt;0,RZ[[#This Row],[Koeficient odhadu CR '[-'] (P1)]]*$BO101*SUMIFS(RZ[Úroveň 9 s koef. (P3)],RZ[0],AX101,RZ[Úroveň 2 (P0)],AY101,RZ[Úroveň 3 (P0)],AZ101,RZ[Úroveň 4 (P0)],BA101,RZ[Úroveň 5 (P0)],BB101,RZ[Úroveň 6 (P0)],BC101,RZ[Úroveň 7 (P0)],BD101,RZ[Úroveň 8 (P0)],BE101),RZ[[#This Row],[Koeficient odhadu CR '[-'] (P1)]]*$BO101*$IQ101)</f>
        <v>0</v>
      </c>
      <c r="FE101" s="140">
        <f ca="1">IF(OFFSET(BF101,1,0,1,1)&lt;&gt;0,$BO101*SUMIFS(RZ[Úroveň 9 bez koef. (P3)],RZ[0],AX101,RZ[Úroveň 2 (P0)],AY101,RZ[Úroveň 3 (P0)],AZ101,RZ[Úroveň 4 (P0)],BA101,RZ[Úroveň 5 (P0)],BB101,RZ[Úroveň 6 (P0)],BC101,RZ[Úroveň 7 (P0)],BD101,RZ[Úroveň 8 (P0)],BE101),$BO101*$IQ101)</f>
        <v>0</v>
      </c>
      <c r="FF101" s="135">
        <f ca="1">RZ[[#This Row],[Úroveň 9 s koef. (P3a)]]*RZ[[#This Row],[Počet MJCR (P0) pro "kg"]]</f>
        <v>0</v>
      </c>
      <c r="FG101" s="135">
        <f ca="1">RZ[Úroveň 9 bez koef. (P3a)]*RZ[[#This Row],[Počet MJCR (P0) pro "kg"]]</f>
        <v>0</v>
      </c>
      <c r="FH101" s="135">
        <f ca="1">IF(OFFSET(BG101,1,0,1,1)&lt;&gt;0,RZ[[#This Row],[Koeficient odhadu CR '[-'] (P1)]]*$BP101*SUMIFS(RZ[Úroveň 10 s koef. (P3)],RZ[0],AX101,RZ[Úroveň 2 (P0)],AY101,RZ[Úroveň 3 (P0)],AZ101,RZ[Úroveň 4 (P0)],BA101,RZ[Úroveň 5 (P0)],BB101,RZ[Úroveň 6 (P0)],BC101,RZ[Úroveň 7 (P0)],BD101,RZ[Úroveň 8 (P0)],BE101,RZ[Úroveň 9 (P0)],BF101),RZ[[#This Row],[Koeficient odhadu CR '[-'] (P1)]]*$BP101*$IQ101)</f>
        <v>0</v>
      </c>
      <c r="FI101" s="135">
        <f ca="1">IF(OFFSET(BG101,1,0,1,1)&lt;&gt;0,$BP101*SUMIFS(RZ[Úroveň 10 bez koef. (P3)],RZ[0],AX101,RZ[Úroveň 2 (P0)],AY101,RZ[Úroveň 3 (P0)],AZ101,RZ[Úroveň 4 (P0)],BA101,RZ[Úroveň 5 (P0)],BB101,RZ[Úroveň 6 (P0)],BC101,RZ[Úroveň 7 (P0)],BD101,RZ[Úroveň 8 (P0)],BE101,RZ[Úroveň 9 (P0)],BF101),$BP101*$IQ101)</f>
        <v>0</v>
      </c>
      <c r="FJ101" s="140">
        <f ca="1">RZ[[#This Row],[Úroveň 10 s koef. (P3a)]]*RZ[[#This Row],[Počet MJCR (P0) pro "kg"]]</f>
        <v>0</v>
      </c>
      <c r="FK101" s="140">
        <f ca="1">RZ[Úroveň 10 bez koef. (P3a)]*RZ[[#This Row],[Počet MJCR (P0) pro "kg"]]</f>
        <v>0</v>
      </c>
      <c r="FL101" s="140">
        <f ca="1">RZ[[#This Row],[Koeficient odhadu CR '[-'] (P1)]]*$BQ101*IQ101</f>
        <v>0</v>
      </c>
      <c r="FM101" s="236">
        <f t="shared" ref="FM101:FM112" ca="1" si="766">$BQ101*IQ101</f>
        <v>0</v>
      </c>
      <c r="FN101" s="194">
        <f t="shared" ref="FN101:FN112" ca="1" si="767">IF(BH101=1,EB101,IF(BI101=1,EF101,IF(BJ101=1,EJ101,IF(BK101=1,EN101,IF(BL101=1,ER101,IF(BM101=1,EV101,IF(BN101=1,EZ101,IF(BO101=1,FD101,IF(BP101=1,FH101,FL101)))))))))</f>
        <v>140</v>
      </c>
      <c r="FO101" s="238">
        <f t="shared" ref="FO101:FO112" ca="1" si="768">IF(BH101=1,EC101,IF(BI101=1,EG101,IF(BJ101=1,EK101,IF(BK101=1,EO101,IF(BL101=1,ES101,IF(BM101=1,EW101,IF(BN101=1,FA101,IF(BO101=1,FE101,IF(BP101=1,FI101,FM101)))))))))</f>
        <v>140</v>
      </c>
      <c r="FP101" s="135">
        <f t="shared" ref="FP101:FP112" ca="1" si="769">BH101*$IK101</f>
        <v>0</v>
      </c>
      <c r="FQ101" s="135">
        <f t="shared" ref="FQ101:FQ112" ca="1" si="770">BI101*$IK101</f>
        <v>0</v>
      </c>
      <c r="FR101" s="135">
        <f t="shared" ref="FR101:FR112" ca="1" si="771">BJ101*$IK101</f>
        <v>4417.5</v>
      </c>
      <c r="FS101" s="135">
        <f t="shared" ref="FS101:FS112" ca="1" si="772">BK101*$IK101</f>
        <v>0</v>
      </c>
      <c r="FT101" s="135">
        <f t="shared" ref="FT101:FT112" ca="1" si="773">BL101*$IK101</f>
        <v>0</v>
      </c>
      <c r="FU101" s="135">
        <f t="shared" ref="FU101:FU112" ca="1" si="774">BM101*$IK101</f>
        <v>0</v>
      </c>
      <c r="FV101" s="135">
        <f t="shared" ref="FV101:FV112" ca="1" si="775">BN101*$IK101</f>
        <v>0</v>
      </c>
      <c r="FW101" s="135">
        <f t="shared" ref="FW101:FW112" ca="1" si="776">BO101*$IK101</f>
        <v>0</v>
      </c>
      <c r="FX101" s="135">
        <f t="shared" ref="FX101:FX112" ca="1" si="777">BP101*$IK101</f>
        <v>0</v>
      </c>
      <c r="FY101" s="135">
        <f t="shared" ref="FY101:FY112" ca="1" si="778">BQ101*$IK101</f>
        <v>0</v>
      </c>
      <c r="FZ101" s="140">
        <f ca="1">SUMIFS(RZ[Úroveň 1 (P6)],RZ[0],AX101)</f>
        <v>1</v>
      </c>
      <c r="GA101" s="140">
        <f ca="1">SUMIFS(RZ[Úroveň 2 (P6)],RZ[0],AX101,RZ[Úroveň 2 (P0)],AY101)</f>
        <v>1</v>
      </c>
      <c r="GB101" s="140">
        <f ca="1">SUMIFS(RZ[Úroveň 3 (P6)],RZ[0],AX101,RZ[Úroveň 2 (P0)],AY101,RZ[Úroveň 3 (P0)],AZ101)</f>
        <v>4417.5</v>
      </c>
      <c r="GC101" s="140">
        <f ca="1">SUMIFS(RZ[Úroveň 4 (P6)],RZ[0],AX101,RZ[Úroveň 2 (P0)],AY101,RZ[Úroveň 3 (P0)],AZ101,RZ[Úroveň 4 (P0)],BA101)</f>
        <v>0</v>
      </c>
      <c r="GD101" s="140">
        <f ca="1">SUMIFS(RZ[Úroveň 5 (P6)],RZ[0],AX101,RZ[Úroveň 2 (P0)],AY101,RZ[Úroveň 3 (P0)],AZ101,RZ[Úroveň 4 (P0)],BA101,RZ[Úroveň 5 (P0)],BB101)</f>
        <v>0</v>
      </c>
      <c r="GE101" s="140">
        <f ca="1">SUMIFS(RZ[Úroveň 6 (P6)],RZ[0],AX101,RZ[Úroveň 2 (P0)],AY101,RZ[Úroveň 3 (P0)],AZ101,RZ[Úroveň 4 (P0)],BA101,RZ[Úroveň 5 (P0)],BB101,RZ[Úroveň 6 (P0)],BC101)</f>
        <v>0</v>
      </c>
      <c r="GF101" s="140">
        <f ca="1">SUMIFS(RZ[Úroveň 7 (P6)],RZ[0],AX101,RZ[Úroveň 2 (P0)],AY101,RZ[Úroveň 3 (P0)],AZ101,RZ[Úroveň 4 (P0)],BA101,RZ[Úroveň 5 (P0)],BB101,RZ[Úroveň 6 (P0)],BC101,RZ[Úroveň 7 (P0)],BD101)</f>
        <v>0</v>
      </c>
      <c r="GG101" s="140">
        <f ca="1">SUMIFS(RZ[Úroveň 8 (P6)],RZ[0],AX101,RZ[Úroveň 2 (P0)],AY101,RZ[Úroveň 3 (P0)],AZ101,RZ[Úroveň 4 (P0)],BA101,RZ[Úroveň 5 (P0)],BB101,RZ[Úroveň 6 (P0)],BC101,RZ[Úroveň 7 (P0)],BD101,RZ[Úroveň 8 (P0)],BE101)</f>
        <v>0</v>
      </c>
      <c r="GH101" s="140">
        <f ca="1">SUMIFS(RZ[Úroveň 9 (P6)],RZ[0],AX101,RZ[Úroveň 2 (P0)],AY101,RZ[Úroveň 3 (P0)],AZ101,RZ[Úroveň 4 (P0)],BA101,RZ[Úroveň 5 (P0)],BB101,RZ[Úroveň 6 (P0)],BC101,RZ[Úroveň 7 (P0)],BD101,RZ[Úroveň 8 (P0)],BE101,RZ[Úroveň 9 (P0)],BF101)</f>
        <v>0</v>
      </c>
      <c r="GI101" s="140">
        <f ca="1">SUMIFS(RZ[Úroveň 10 (P6)],RZ[0],AX101,RZ[Úroveň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GJ101" s="918">
        <f t="shared" ref="GJ101:GJ112" ca="1" si="779">IF(FZ101&lt;&gt;0,FZ101,1)*IF(GA101&lt;&gt;0,GA101,1)*IF(GB101&lt;&gt;0,GB101,1)*IF(GC101&lt;&gt;0,GC101,1)*IF(GD101&lt;&gt;0,GD101,1)*IF(GE101&lt;&gt;0,GE101,1)*IF(GF101&lt;&gt;0,GF101,1)*IF(GG101&lt;&gt;0,GG101,1)*IF(GH101&lt;&gt;0,GH101,1)*IF(GI101&lt;&gt;0,GI101,1)</f>
        <v>4417.5</v>
      </c>
      <c r="GK101" s="808">
        <f t="shared" ref="GK101:GK112" si="780">BH101*$IO101</f>
        <v>0</v>
      </c>
      <c r="GL101" s="808">
        <f t="shared" ref="GL101:GL112" si="781">BI101*$IO101</f>
        <v>0</v>
      </c>
      <c r="GM101" s="808">
        <f t="shared" ref="GM101:GM112" si="782">BJ101*$IO101</f>
        <v>1</v>
      </c>
      <c r="GN101" s="808">
        <f t="shared" ref="GN101:GN112" si="783">BK101*$IO101</f>
        <v>0</v>
      </c>
      <c r="GO101" s="808">
        <f t="shared" ref="GO101:GO112" si="784">BL101*$IO101</f>
        <v>0</v>
      </c>
      <c r="GP101" s="808">
        <f t="shared" ref="GP101:GP112" si="785">BM101*$IO101</f>
        <v>0</v>
      </c>
      <c r="GQ101" s="808">
        <f t="shared" ref="GQ101:GQ112" si="786">BN101*$IO101</f>
        <v>0</v>
      </c>
      <c r="GR101" s="808">
        <f t="shared" ref="GR101:GR112" si="787">BO101*$IO101</f>
        <v>0</v>
      </c>
      <c r="GS101" s="808">
        <f t="shared" ref="GS101:GS112" si="788">BP101*$IO101</f>
        <v>0</v>
      </c>
      <c r="GT101" s="808">
        <f t="shared" ref="GT101:GT112" si="789">BQ101*$IO101</f>
        <v>0</v>
      </c>
      <c r="GU101" s="809">
        <f ca="1">SUMIFS(RZ[Sloupec1],RZ[0],AX101)</f>
        <v>1</v>
      </c>
      <c r="GV101" s="809">
        <f ca="1">SUMIFS(RZ[Sloupec2],RZ[0],AX101,RZ[Úroveň 2 (P0)],AY101)</f>
        <v>1</v>
      </c>
      <c r="GW101" s="809">
        <f ca="1">SUMIFS(RZ[Sloupec3],RZ[0],AX101,RZ[Úroveň 2 (P0)],AY101,RZ[Úroveň 3 (P0)],AZ101)</f>
        <v>1</v>
      </c>
      <c r="GX101" s="809">
        <f ca="1">SUMIFS(RZ[Sloupec4],RZ[0],AX101,RZ[Úroveň 2 (P0)],AY101,RZ[Úroveň 3 (P0)],AZ101,RZ[Úroveň 4 (P0)],BA101)</f>
        <v>0</v>
      </c>
      <c r="GY101" s="809">
        <f ca="1">SUMIFS(RZ[Sloupec5],RZ[0],AX101,RZ[Úroveň 2 (P0)],AY101,RZ[Úroveň 3 (P0)],AZ101,RZ[Úroveň 4 (P0)],BA101,RZ[Úroveň 5 (P0)],BB101)</f>
        <v>0</v>
      </c>
      <c r="GZ101" s="809">
        <f ca="1">SUMIFS(RZ[Sloupec6],RZ[0],AX101,RZ[Úroveň 2 (P0)],AY101,RZ[Úroveň 3 (P0)],AZ101,RZ[Úroveň 4 (P0)],BA101,RZ[Úroveň 5 (P0)],BB101,RZ[Úroveň 6 (P0)],BC101)</f>
        <v>0</v>
      </c>
      <c r="HA101" s="809">
        <f ca="1">SUMIFS(RZ[Sloupec62],RZ[0],AX101,RZ[Úroveň 2 (P0)],AY101,RZ[Úroveň 3 (P0)],AZ101,RZ[Úroveň 4 (P0)],BA101,RZ[Úroveň 5 (P0)],BB101,RZ[Úroveň 6 (P0)],BC101,RZ[Úroveň 7 (P0)],BD101)</f>
        <v>0</v>
      </c>
      <c r="HB101" s="809">
        <f ca="1">SUMIFS(RZ[Sloupec63],RZ[0],AX101,RZ[Úroveň 2 (P0)],AY101,RZ[Úroveň 3 (P0)],AZ101,RZ[Úroveň 4 (P0)],BA101,RZ[Úroveň 5 (P0)],BB101,RZ[Úroveň 6 (P0)],BC101,RZ[Úroveň 7 (P0)],BD101,RZ[Úroveň 8 (P0)],BE101)</f>
        <v>0</v>
      </c>
      <c r="HC101" s="809">
        <f ca="1">SUMIFS(RZ[Sloupec64],RZ[0],AX101,RZ[Úroveň 2 (P0)],AY101,RZ[Úroveň 3 (P0)],AZ101,RZ[Úroveň 4 (P0)],BA101,RZ[Úroveň 5 (P0)],BB101,RZ[Úroveň 6 (P0)],BC101,RZ[Úroveň 7 (P0)],BD101,RZ[Úroveň 8 (P0)],BE101,RZ[Úroveň 9 (P0)],BF101)</f>
        <v>0</v>
      </c>
      <c r="HD101" s="809">
        <f ca="1">SUMIFS(RZ[Sloupec65],RZ[0],AX101,RZ[Úroveň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HE101" s="919">
        <f t="shared" ref="HE101:HE112" ca="1" si="790">IF(GU101&lt;&gt;0,GU101,1)*IF(GV101&lt;&gt;0,GV101,1)*IF(GW101&lt;&gt;0,GW101,1)*IF(GX101&lt;&gt;0,GX101,1)*IF(GY101&lt;&gt;0,GY101,1)*IF(GZ101&lt;&gt;0,GZ101,1)*IF(HA101&lt;&gt;0,HA101,1)*IF(HB101&lt;&gt;0,HB101,1)*IF(HC101&lt;&gt;0,HC101,1)*IF(HD101&lt;&gt;0,HD101,1)</f>
        <v>1</v>
      </c>
      <c r="HF101" s="920" t="str">
        <f t="shared" ref="HF101:HF112" si="791">IF($IW101=$MJ$15,IF(MK101="","",MK101),IF(IY101="","",IY101))</f>
        <v/>
      </c>
      <c r="HG101" s="94" t="str">
        <f t="shared" ref="HG101:HG112" si="792">IF($IW101=$MJ$15,IF($MJ101=1,$MS101,""),IF(IZ101="","",IZ101))</f>
        <v/>
      </c>
      <c r="HH101" s="95" t="str">
        <f t="shared" ref="HH101:HH112" si="793">IF($IW101=$MJ$15,IF($MJ101=2,$MS101,""),IF(JA101="","",JA101))</f>
        <v/>
      </c>
      <c r="HI101" s="95" t="str">
        <f t="shared" ref="HI101:HI112" si="794">IF($IW101=$MJ$15,IF($MJ101=3,$MS101,""),IF(JB101="","",JB101))</f>
        <v>Boční opěra pravá</v>
      </c>
      <c r="HJ101" s="96" t="str">
        <f t="shared" ref="HJ101:HJ112" si="795">IF($IW101=$MJ$15,IF($MJ101=4,$MS101,""),IF(JC101="","",JC101))</f>
        <v/>
      </c>
      <c r="HK101" s="96" t="str">
        <f t="shared" ref="HK101:HK112" si="796">IF($IW101=$MJ$15,IF($MJ101=5,$MS101,""),IF(JD101="","",JD101))</f>
        <v/>
      </c>
      <c r="HL101" s="96" t="str">
        <f t="shared" ref="HL101:HL112" si="797">IF($IW101=$MJ$15,IF($MJ101=6,$MS101,""),IF(JE101="","",JE101))</f>
        <v/>
      </c>
      <c r="HM101" s="96" t="str">
        <f t="shared" ref="HM101:HM112" si="798">IF($IW101=$MJ$15,IF($MJ101=7,$MS101,""),IF(JF101="","",JF101))</f>
        <v/>
      </c>
      <c r="HN101" s="96" t="str">
        <f t="shared" ref="HN101:HN112" si="799">IF($IW101=$MJ$15,IF($MJ101=8,$MS101,""),IF(JG101="","",JG101))</f>
        <v/>
      </c>
      <c r="HO101" s="96" t="str">
        <f t="shared" ref="HO101:HO112" si="800">IF($IW101=$MJ$15,IF($MJ101=9,$MS101,""),IF(JH101="","",JH101))</f>
        <v/>
      </c>
      <c r="HP101" s="96" t="str">
        <f t="shared" ref="HP101:HP112" si="801">IF($IW101=$MJ$15,IF($MJ101=10,$MS101,""),IF(JI101="","",JI101))</f>
        <v/>
      </c>
      <c r="HQ101" s="145" t="str">
        <f t="shared" ref="HQ101:HQ112" si="802">IF($IW101=$MJ$15,IF(ML101="","N/A",ML101),IF(JJ101="","N/A",JJ101))</f>
        <v>OKS1</v>
      </c>
      <c r="HR101" s="921" t="str">
        <f t="shared" ref="HR101:HR112" si="803">IF($IW101=$MJ$15,IF(MM101="","",MM101),IF(JK101="","",JK101))</f>
        <v/>
      </c>
      <c r="HS101" s="173">
        <f t="shared" ref="HS101:HS112" si="804">IF($IW101=$JL$15,JL101,IF($IW101=$KE$15,KE101,IF($IW101=$KX$15,KX101,IF($IW101=$LQ$15,LQ101,IF($IW101=$MJ$15,NE101,0)))))</f>
        <v>0</v>
      </c>
      <c r="HT101" s="100">
        <f t="shared" ref="HT101:HT112" si="805">IF($IW101=$JL$15,JM101,IF($IW101=$KE$15,KF101,IF($IW101=$KX$15,KY101,IF($IW101=$LQ$15,LR101,IF($IW101=$MJ$15,NF101,0)))))</f>
        <v>0</v>
      </c>
      <c r="HU101" s="100">
        <f t="shared" ref="HU101:HU112" si="806">IF($IW101=$JL$15,JN101,IF($IW101=$KE$15,KG101,IF($IW101=$KX$15,KZ101,IF($IW101=$LQ$15,LS101,IF($IW101=$MJ$15,NG101,0)))))</f>
        <v>0</v>
      </c>
      <c r="HV101" s="908">
        <f t="shared" ref="HV101:HV112" si="807">IF($IW101=$JL$15,JU101,IF($IW101=$KE$15,KN101,IF($IW101=$KX$15,LG101,IF($IW101=$LQ$15,LZ101,IF($IW101=$MJ$15,NN101,0)))))</f>
        <v>0</v>
      </c>
      <c r="HW101" s="922">
        <f t="shared" ref="HW101:HW112" si="808">IF($IW101=$JL$15,JV101,IF($IW101=$KE$15,KO101,IF($IW101=$KX$15,LH101,IF($IW101=$LQ$15,MA101,IF($IW101=$MJ$15,NO101,0)))))</f>
        <v>0</v>
      </c>
      <c r="HX101" s="224">
        <f t="shared" ref="HX101:HX112" si="809">IF($IW101=$JL$15,JW101,IF($IW101=$KE$15,KP101,IF($IW101=$KX$15,LI101,IF($IW101=$LQ$15,MB101,IF($IW101=$MJ$15,NP101,0)))))</f>
        <v>0</v>
      </c>
      <c r="HY101" s="263" t="str">
        <f t="shared" ref="HY101:HY112" si="810">IF($IW101=$JL$15,JS101,IF($IW101=$KE$15,KL101,IF($IW101=$KX$15,LE101,IF($IW101=$LQ$15,LX101,IF($IW101=$MJ$15,NL101,0)))))</f>
        <v>S</v>
      </c>
      <c r="HZ101" s="263">
        <f t="shared" ref="HZ101:HZ112" si="811">IF($IW101=$JL$15,KC101,IF($IW101=$KE$15,KV101,IF($IW101=$KX$15,LO101,IF($IW101=$LQ$15,MH101,IF($IW101=$MJ$15,NV101,0)))))</f>
        <v>0</v>
      </c>
      <c r="IA101" s="150">
        <f t="shared" ref="IA101:IA112" si="812">IF($IW101=$JL$15,JR101,IF($IW101=$KE$15,KK101,IF($IW101=$KX$15,LD101,IF($IW101=$LQ$15,LW101,IF($IW101=$MJ$15,NK101,0)))))</f>
        <v>1</v>
      </c>
      <c r="IB101" s="319">
        <f t="shared" ref="IB101:IB112" si="813">IF($IW101=$JL$15,JZ101,IF($IW101=$KE$15,KS101,IF($IW101=$KX$15,LL101,IF($IW101=$LQ$15,ME101,IF($IW101=$MJ$15,NS101,0)))))</f>
        <v>0</v>
      </c>
      <c r="IC101" s="923">
        <f t="shared" ref="IC101:IC112" si="814">IF($IW101=$JL$15,KB101,IF($IW101=$KE$15,KU101,IF($IW101=$KX$15,LN101,IF($IW101=$LQ$15,MG101,IF($IW101=$MJ$15,NU101,0)))))</f>
        <v>0</v>
      </c>
      <c r="ID101" s="924" t="str">
        <f t="shared" ref="ID101:ID112" ca="1" si="815">IF((BH101+OFFSET(BH101,1,1,1,1))=2,"--",IF((BI101+OFFSET(BI101,1,1,1,1))=2,"--",IF((BJ101+OFFSET(BJ101,1,1,1,1))=2,"--",IF((BK101+OFFSET(BK101,1,1,1,1))=2,"--",IF((BL101+OFFSET(BL101,1,1,1,1))=2,"--",IF((BM101+OFFSET(BM101,1,1,1,1))=2,"--",IF((BN101+OFFSET(BN101,1,1,1,1))=2,"--",IF((BO101+OFFSET(BO101,1,1,1,1))=2,"--",IF((BP101+OFFSET(BP101,1,1,1,1))=2,"--",IF((BQ101+OFFSET(BQ101,1,1,1,1))=2,"--","OK"))))))))))</f>
        <v>OK</v>
      </c>
      <c r="IE101" s="201" t="str">
        <f t="shared" ref="IE101:IE112" si="816">IF($IW101=$JL$15,JO101,IF($IW101=$KE$15,KH101,IF($IW101=$KX$15,LA101,IF($IW101=$LQ$15,LT101,IF($IW101=$MJ$15,NH101,0)))))</f>
        <v>ks</v>
      </c>
      <c r="IF101" s="145">
        <f t="shared" ref="IF101:IF112" si="817">IF($IW101=$JL$15,JP101,IF($IW101=$KE$15,KI101,IF($IW101=$KX$15,LB101,IF($IW101=$LQ$15,LU101,IF($IW101=$MJ$15,NI101,0)))))</f>
        <v>1</v>
      </c>
      <c r="IG101" s="216">
        <f t="shared" ref="IG101:IG112" si="818">IF($IW101=$JL$15,JQ101,IF($IW101=$KE$15,KJ101,IF($IW101=$KX$15,LC101,IF($IW101=$LQ$15,LV101,IF($IW101=$MJ$15,NJ101,0)))))</f>
        <v>4417.5</v>
      </c>
      <c r="IH101" s="217">
        <f t="shared" ref="IH101:IH112" si="819">IF(IA101=0,1,IA101)</f>
        <v>1</v>
      </c>
      <c r="II101" s="224" t="str">
        <f ca="1">IF(RZ[[#This Row],[Rozhodný sloupec indikativní ceny]]=1,"kg",IF($IW101=$JL$15,IF(JX101=0,JO101,JX101),IF($IW101=$KE$15,IF(KQ101=0,KH101,KQ101),IF($IW101=$KX$15,IF(LJ101=0,LA101,LJ101),IF($IW101=$LQ$15,IF(MC101=0,LT101,MC101),IF($IW101=$MJ$15,IF(NQ101=0,NH101,NQ101),0))))))</f>
        <v>kg</v>
      </c>
      <c r="IJ101" s="224">
        <f ca="1">IF((BH101+OFFSET(BH101,1,1,1,1))=2,RZ[[#This Row],[Počet MJHR (P0)]],IF((BI101+OFFSET(BI101,1,1,1,1))=2,RZ[[#This Row],[Počet MJHR (P0)]],IF((BJ101+OFFSET(BJ101,1,1,1,1))=2,RZ[[#This Row],[Počet MJHR (P0)]],IF((BK101+OFFSET(BK101,1,1,1,1))=2,RZ[[#This Row],[Počet MJHR (P0)]],IF((BL101+OFFSET(BL101,1,1,1,1))=2,RZ[[#This Row],[Počet MJHR (P0)]],IF((BM101+OFFSET(BM101,1,1,1,1))=2,RZ[[#This Row],[Počet MJHR (P0)]],IF((BN101+OFFSET(BN101,1,1,1,1))=2,RZ[[#This Row],[Počet MJHR (P0)]],IF((BO101+OFFSET(BO101,1,1,1,1))=2,RZ[[#This Row],[Počet MJHR (P0)]],IF((BP101+OFFSET(BP101,1,1,1,1))=2,RZ[[#This Row],[Počet MJHR (P0)]],IF((BQ101+OFFSET(BQ101,1,1,1,1))=2,RZ[[#This Row],[Počet MJHR (P0)]],IF(RZ[[#This Row],[Měrná jednotka CR (MJCR) (P0)]]=RZ[[#This Row],[Měrná jednotka HR '[MJHR'] (P0)]],RZ[[#This Row],[Počet MJHR (P0)]],IF($IW101=$JL$15,JY101,IF($IW101=$KE$15,KR101,IF($IW101=$KX$15,LK101,IF($IW101=$LQ$15,MD101,IF($IW101=$MJ$15,NR101,0))))))))))))))))</f>
        <v>0</v>
      </c>
      <c r="IK10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4417.5</v>
      </c>
      <c r="IL101" s="145">
        <f ca="1">IF(AND(RZ[[#This Row],[Jednotková cena bez DPH '[cena/MJCR'] (P0)]]=0,RZ[[#This Row],[Indikativní jednotková cena '[CZK/kg'] (P1)]]&lt;&gt;0),1,0)</f>
        <v>1</v>
      </c>
      <c r="IM101" s="217">
        <f ca="1">VLOOKUP(RZ[[#This Row],[Kód položek]],INDIKAT_CENA,2,FALSE)</f>
        <v>140</v>
      </c>
      <c r="IN101" s="222">
        <f ca="1">IF(RZ[[#This Row],[Rozhodný sloupec indikativní ceny]]=1,RZ[[#This Row],[Indikativní jednotková cena '[CZK/kg'] (P1)]],RZ[[#This Row],[Jednotková cena bez DPH '[cena/MJCR'] (P0)]])</f>
        <v>140</v>
      </c>
      <c r="IO101" s="222">
        <f t="shared" ref="IO101:IO112" si="820">IF(IC101=0,1,IC101)</f>
        <v>1</v>
      </c>
      <c r="IP101" s="224">
        <f ca="1">IF(RZ[[#This Row],[Rozhodný sloupec indikativní ceny]]=1,1,IF($IW101=$JL$15,KA101,IF($IW101=$KE$15,KT101,IF($IW101=$KX$15,LM101,IF($IW101=$LQ$15,MF101,IF($IW101=$MJ$15,NT101,0))))))</f>
        <v>1</v>
      </c>
      <c r="IQ101" s="225">
        <f ca="1">IF(RZ[[#This Row],[Jednotková cena bez DPH '[cena/MJCR'] (P1)]]="",0,IF(IP101=0,0,(RZ[[#This Row],[Jednotková cena bez DPH '[cena/MJCR'] (P1)]]*VLOOKUP(IP101,$BR$7:$BT$10,3))))</f>
        <v>140</v>
      </c>
      <c r="IR101" s="737"/>
      <c r="IS101" s="627">
        <f>IF(HY101=0,"",VLOOKUP(RZ[[#This Row],[Stav Projekce (P0)]],Vstupy!$E$11:'Vstupy'!$E$11:$H$17,4,FALSE))</f>
        <v>100</v>
      </c>
      <c r="IT101" s="925" t="str">
        <f>IF(RZ[[#This Row],[Stav Projekce (P0)]]=0,"",RZ[[#This Row],[Stav Projekce (P0)]])</f>
        <v>S</v>
      </c>
      <c r="IU101" s="925" t="str">
        <f>IF(RZ[[#This Row],[Stav Nákup (P0)]]=0,"",RZ[[#This Row],[Stav Nákup (P0)]])</f>
        <v/>
      </c>
      <c r="IV101" s="926" t="str">
        <f t="shared" ref="IV101:IV112" si="821">IF(HV101=0,"",HV101)</f>
        <v/>
      </c>
      <c r="IW101" s="641">
        <v>1</v>
      </c>
      <c r="IX101" s="630"/>
      <c r="IY101" s="264"/>
      <c r="IZ101" s="648"/>
      <c r="JA101" s="100"/>
      <c r="JB101" s="100" t="s">
        <v>774</v>
      </c>
      <c r="JC101" s="100"/>
      <c r="JD101" s="100"/>
      <c r="JE101" s="100"/>
      <c r="JF101" s="100"/>
      <c r="JG101" s="100"/>
      <c r="JH101" s="100"/>
      <c r="JI101" s="100"/>
      <c r="JJ101" s="145" t="s">
        <v>764</v>
      </c>
      <c r="JK101" s="529"/>
      <c r="JL101" s="286"/>
      <c r="JM101" s="100"/>
      <c r="JN101" s="100"/>
      <c r="JO101" s="145" t="s">
        <v>35</v>
      </c>
      <c r="JP101" s="117">
        <v>1</v>
      </c>
      <c r="JQ101" s="117">
        <v>4417.5</v>
      </c>
      <c r="JR101" s="148">
        <v>1</v>
      </c>
      <c r="JS101" s="145" t="s">
        <v>602</v>
      </c>
      <c r="JT101" s="631"/>
      <c r="JU101" s="148"/>
      <c r="JV101" s="154"/>
      <c r="JW101" s="145"/>
      <c r="JX101" s="210"/>
      <c r="JY101" s="117"/>
      <c r="JZ101" s="662"/>
      <c r="KA101" s="145"/>
      <c r="KB101" s="148"/>
      <c r="KC101" s="148"/>
      <c r="KD101" s="644"/>
      <c r="KE101" s="286"/>
      <c r="KF101" s="100"/>
      <c r="KG101" s="100"/>
      <c r="KH101" s="210"/>
      <c r="KI101" s="117"/>
      <c r="KJ101" s="117"/>
      <c r="KK101" s="148"/>
      <c r="KL101" s="145"/>
      <c r="KM101" s="632"/>
      <c r="KN101" s="148"/>
      <c r="KO101" s="154"/>
      <c r="KP101" s="154"/>
      <c r="KQ101" s="210"/>
      <c r="KR101" s="117"/>
      <c r="KS101" s="211"/>
      <c r="KT101" s="145"/>
      <c r="KU101" s="148"/>
      <c r="KV101" s="148"/>
      <c r="KW101" s="265"/>
      <c r="KX101" s="286"/>
      <c r="KY101" s="100"/>
      <c r="KZ101" s="100"/>
      <c r="LA101" s="210"/>
      <c r="LB101" s="117"/>
      <c r="LC101" s="117"/>
      <c r="LD101" s="148"/>
      <c r="LE101" s="145"/>
      <c r="LF101" s="632"/>
      <c r="LG101" s="148"/>
      <c r="LH101" s="154"/>
      <c r="LI101" s="154"/>
      <c r="LJ101" s="154"/>
      <c r="LK101" s="117"/>
      <c r="LL101" s="211"/>
      <c r="LM101" s="210"/>
      <c r="LN101" s="148"/>
      <c r="LO101" s="148"/>
      <c r="LP101" s="265"/>
      <c r="LQ101" s="286"/>
      <c r="LR101" s="100"/>
      <c r="LS101" s="100"/>
      <c r="LT101" s="210"/>
      <c r="LU101" s="117"/>
      <c r="LV101" s="117"/>
      <c r="LW101" s="148"/>
      <c r="LX101" s="145"/>
      <c r="LY101" s="632"/>
      <c r="LZ101" s="148"/>
      <c r="MA101" s="154"/>
      <c r="MB101" s="154"/>
      <c r="MC101" s="145"/>
      <c r="MD101" s="117"/>
      <c r="ME101" s="211"/>
      <c r="MF101" s="210"/>
      <c r="MG101" s="148"/>
      <c r="MH101" s="148"/>
      <c r="MI101" s="265"/>
      <c r="MJ101" s="647"/>
      <c r="MK101" s="264"/>
      <c r="ML101" s="153"/>
      <c r="MM101" s="153"/>
      <c r="MN101" s="153"/>
      <c r="MO101" s="153"/>
      <c r="MP101" s="153"/>
      <c r="MQ101" s="153"/>
      <c r="MR101" s="153"/>
      <c r="MS101" s="99"/>
      <c r="MT101" s="99"/>
      <c r="MU101" s="99"/>
      <c r="MV101" s="99"/>
      <c r="MW101" s="99"/>
      <c r="MX101" s="99"/>
      <c r="MY101" s="153"/>
      <c r="MZ101" s="153"/>
      <c r="NA101" s="153"/>
      <c r="NB101" s="153"/>
      <c r="NC101" s="153"/>
      <c r="ND101" s="153"/>
      <c r="NE101" s="148"/>
      <c r="NF101" s="145"/>
      <c r="NG101" s="145"/>
      <c r="NH101" s="330" t="str">
        <f t="shared" ref="NH101:NH112" si="822">"ks"</f>
        <v>ks</v>
      </c>
      <c r="NI101" s="797">
        <f>RZ[[#This Row],[Počet ks (K)]]</f>
        <v>0</v>
      </c>
      <c r="NJ101" s="798">
        <f>RZ[[#This Row],[Hmotnost '[kg/ks'] (K)]]</f>
        <v>0</v>
      </c>
      <c r="NK101" s="148"/>
      <c r="NL101" s="145"/>
      <c r="NM101" s="632"/>
      <c r="NN101" s="148"/>
      <c r="NO101" s="154"/>
      <c r="NP101" s="154"/>
      <c r="NQ101" s="154"/>
      <c r="NR101" s="210"/>
      <c r="NS101" s="148"/>
      <c r="NT101" s="210"/>
      <c r="NU101" s="148"/>
      <c r="NV101" s="148"/>
      <c r="NW101" s="265"/>
    </row>
    <row r="102" spans="2:387" ht="15.95" customHeight="1" x14ac:dyDescent="0.35">
      <c r="B102" s="118" t="str">
        <f t="shared" si="706"/>
        <v/>
      </c>
      <c r="C10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2" s="262" t="str">
        <f t="shared" si="707"/>
        <v xml:space="preserve">    Boční opěra levá</v>
      </c>
      <c r="E102" s="120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Row],[Kód položek (P2)]]))))))))))</f>
        <v>OKS1</v>
      </c>
      <c r="F102" s="791" t="str">
        <f t="shared" si="708"/>
        <v>N/A</v>
      </c>
      <c r="G102" s="792" t="str">
        <f t="shared" si="709"/>
        <v/>
      </c>
      <c r="H102" s="262" t="str">
        <f t="shared" si="710"/>
        <v/>
      </c>
      <c r="I102" s="123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HR '[MJHR'] (P0)]]))))))))))</f>
        <v>ks</v>
      </c>
      <c r="J102" s="123">
        <f t="shared" si="711"/>
        <v>1</v>
      </c>
      <c r="K102" s="793">
        <f>RZ[[#This Row],[Koeficient odhadu HR '[-'] (P1)]]</f>
        <v>1</v>
      </c>
      <c r="L102" s="124">
        <f ca="1">RZ[[#This Row],[Jednotková hmotnost s koef. '[kg/MJHR'] (P0)]]</f>
        <v>4429.2</v>
      </c>
      <c r="M102" s="794">
        <f t="shared" ca="1" si="712"/>
        <v>0</v>
      </c>
      <c r="N102" s="125">
        <f t="shared" ca="1" si="713"/>
        <v>4429.2</v>
      </c>
      <c r="O102" s="125">
        <f t="shared" ca="1" si="714"/>
        <v>0</v>
      </c>
      <c r="P102" s="126" t="str">
        <f t="shared" si="715"/>
        <v/>
      </c>
      <c r="Q102" s="795">
        <f ca="1">RZ[[#This Row],[Počet MJHR v rozpadu (P0)]]</f>
        <v>1</v>
      </c>
      <c r="R102" s="439" t="str">
        <f t="shared" si="716"/>
        <v/>
      </c>
      <c r="S102" s="129" t="str">
        <f t="shared" si="717"/>
        <v/>
      </c>
      <c r="T102" s="126" t="str">
        <f t="shared" si="718"/>
        <v/>
      </c>
      <c r="U102" s="126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CR (MJCR) (P0)]]))))))))))</f>
        <v>kg</v>
      </c>
      <c r="V102" s="575">
        <f t="shared" ca="1" si="719"/>
        <v>4429.2</v>
      </c>
      <c r="W102" s="322">
        <f>RZ[[#This Row],[Koeficient odhadu CR '[-'] (P1)]]</f>
        <v>1</v>
      </c>
      <c r="X102" s="440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Row],[Jednotková cena bez DPH '[cena/MJCR'] (P1)]]*RZ[[#This Row],[Koeficient odhadu CR '[-']]]))))))))))</f>
        <v>140</v>
      </c>
      <c r="Y102" s="440">
        <f t="shared" ca="1" si="720"/>
        <v>0</v>
      </c>
      <c r="Z102" s="142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VLOOKUP(IP102,$BR$7:$BS$11,2,FALSE)))))))))))</f>
        <v>CZK</v>
      </c>
      <c r="AA102" s="909">
        <f t="shared" ca="1" si="721"/>
        <v>4429.2</v>
      </c>
      <c r="AB102" s="910">
        <f ca="1">RZ[[#This Row],[Kumulovaný koeficient v rozpadu (P0)]]</f>
        <v>1</v>
      </c>
      <c r="AC102" s="261"/>
      <c r="AD102" s="796">
        <f ca="1">RZ[[#This Row],[Jednotková cena bez DPH '[cena/MJCR'] s koef. (P0)]]/RZ[[#This Row],[Koeficient odhadu CR '[-']]]*RZ[[#This Row],[Kumulovaný koeficient odhadu CR  '[-']]]</f>
        <v>140</v>
      </c>
      <c r="AE102" s="796">
        <f t="shared" ca="1" si="722"/>
        <v>620088</v>
      </c>
      <c r="AF102" s="796">
        <f ca="1">-IF(ISNUMBER(AA102),RZ[[#This Row],[Celková cena bez DPH (1)]]-RZ[[#This Row],[Jednotková cena bez DPH '[cena/MJCR'] bez koef. (P0)]]*AA102,0)</f>
        <v>0</v>
      </c>
      <c r="AG10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2" s="261"/>
      <c r="AI102" s="796">
        <f t="shared" ca="1" si="723"/>
        <v>5.1851851851851851</v>
      </c>
      <c r="AJ102" s="796">
        <f t="shared" ca="1" si="724"/>
        <v>22966.222222222223</v>
      </c>
      <c r="AK102" s="796">
        <f t="shared" ca="1" si="725"/>
        <v>0</v>
      </c>
      <c r="AL102" s="753">
        <f ca="1">RZ[[#This Row],[Kilogramová cena bez DPH '[cena/kg'] (1)]]/$AK$13</f>
        <v>5.1851851851851851</v>
      </c>
      <c r="AM102" s="261"/>
      <c r="AN102" s="796">
        <f t="shared" ca="1" si="726"/>
        <v>6.7632850241545892</v>
      </c>
      <c r="AO102" s="796">
        <f t="shared" ca="1" si="727"/>
        <v>29955.942028985508</v>
      </c>
      <c r="AP102" s="796">
        <f t="shared" ca="1" si="728"/>
        <v>0</v>
      </c>
      <c r="AQ102" s="753">
        <f ca="1">RZ[[#This Row],[Kilogramová cena bez DPH '[cena/kg'] (1)]]/$AP$13</f>
        <v>6.7632850241545892</v>
      </c>
      <c r="AR102" s="261"/>
      <c r="AS102" s="796">
        <f t="shared" ca="1" si="729"/>
        <v>3.8293216630196936</v>
      </c>
      <c r="AT102" s="796">
        <f t="shared" ca="1" si="730"/>
        <v>16960.831509846827</v>
      </c>
      <c r="AU102" s="789">
        <f t="shared" ca="1" si="731"/>
        <v>0</v>
      </c>
      <c r="AV102" s="767">
        <f ca="1">RZ[[#This Row],[Kilogramová cena bez DPH '[cena/kg'] (1)]]/$AU$13</f>
        <v>3.8293216630196936</v>
      </c>
      <c r="AW102" s="165"/>
      <c r="AX102" s="911">
        <f t="shared" ca="1" si="732"/>
        <v>2</v>
      </c>
      <c r="AY102" s="111">
        <f t="shared" ca="1" si="733"/>
        <v>8</v>
      </c>
      <c r="AZ102" s="111">
        <f t="shared" ca="1" si="734"/>
        <v>2</v>
      </c>
      <c r="BA102" s="111">
        <f t="shared" ca="1" si="735"/>
        <v>0</v>
      </c>
      <c r="BB102" s="111">
        <f t="shared" ca="1" si="736"/>
        <v>0</v>
      </c>
      <c r="BC102" s="111">
        <f t="shared" ca="1" si="737"/>
        <v>0</v>
      </c>
      <c r="BD102" s="111">
        <f t="shared" ca="1" si="738"/>
        <v>0</v>
      </c>
      <c r="BE102" s="111">
        <f t="shared" ca="1" si="739"/>
        <v>0</v>
      </c>
      <c r="BF102" s="111">
        <f t="shared" ca="1" si="740"/>
        <v>0</v>
      </c>
      <c r="BG102" s="112">
        <f t="shared" ca="1" si="741"/>
        <v>0</v>
      </c>
      <c r="BH102" s="911">
        <f t="shared" si="742"/>
        <v>0</v>
      </c>
      <c r="BI102" s="111">
        <f t="shared" si="743"/>
        <v>0</v>
      </c>
      <c r="BJ102" s="111">
        <f t="shared" si="744"/>
        <v>1</v>
      </c>
      <c r="BK102" s="111">
        <f t="shared" si="745"/>
        <v>0</v>
      </c>
      <c r="BL102" s="111">
        <f t="shared" si="746"/>
        <v>0</v>
      </c>
      <c r="BM102" s="111">
        <f t="shared" si="747"/>
        <v>0</v>
      </c>
      <c r="BN102" s="111">
        <f t="shared" si="748"/>
        <v>0</v>
      </c>
      <c r="BO102" s="111">
        <f t="shared" si="749"/>
        <v>0</v>
      </c>
      <c r="BP102" s="111">
        <f t="shared" si="750"/>
        <v>0</v>
      </c>
      <c r="BQ102" s="112">
        <f t="shared" si="751"/>
        <v>0</v>
      </c>
      <c r="BR102" s="132">
        <f ca="1">IF(OFFSET(AY102,1,0,1,1)&lt;&gt;0,RZ[[#This Row],[Koeficient odhadu HR '[-'] (P1)]]*$BH102*SUMIFS(RZ[Úroveň 2 s koef. (P2)],RZ[0],AX102),RZ[[#This Row],[Koeficient odhadu HR '[-'] (P1)]]*$BH102*$IG102)</f>
        <v>0</v>
      </c>
      <c r="BS102" s="186">
        <f ca="1">IF(OFFSET(AY102,1,0,1,1)&lt;&gt;0,$BH102*SUMIFS(RZ[Úroveň 2 bez koef. (P2)],RZ[0],AX102),$BH102*$IG102)</f>
        <v>0</v>
      </c>
      <c r="BT102" s="138">
        <f ca="1">RZ[[#This Row],[Úroveň 2 s koef. (P2a)]]*RZ[[#This Row],[Počet MJHR (P0)]]</f>
        <v>0</v>
      </c>
      <c r="BU102" s="138">
        <f ca="1">RZ[[#This Row],[Úroveň 2 bez koef. (P2a)]]*RZ[[#This Row],[Počet MJHR (P0)]]</f>
        <v>0</v>
      </c>
      <c r="BV102" s="138">
        <f ca="1">IF(OFFSET(AZ102,1,0,1,1)&lt;&gt;0,RZ[[#This Row],[Koeficient odhadu HR '[-'] (P1)]]*$BI102*SUMIFS(RZ[Úroveň 3 s koef. (P2)],RZ[0],AX102,RZ[Úroveň 2 (P0)],AY102),RZ[[#This Row],[Koeficient odhadu HR '[-'] (P1)]]*$BI102*$IG102)</f>
        <v>0</v>
      </c>
      <c r="BW102" s="138">
        <f ca="1">IF(OFFSET(AZ102,1,0,1,1)&lt;&gt;0,$BI102*SUMIFS(RZ[Úroveň 3 bez koef. (P2)],RZ[0],AX102,RZ[Úroveň 2 (P0)],AY102),$BI102*$IG102)</f>
        <v>0</v>
      </c>
      <c r="BX102" s="132">
        <f ca="1">RZ[[#This Row],[Úroveň 3 s koef. (P2a)]]*RZ[[#This Row],[Počet MJHR (P0)]]</f>
        <v>4429.2</v>
      </c>
      <c r="BY102" s="132">
        <f ca="1">RZ[Úroveň 3 bez koef. (P2a)]*RZ[[#This Row],[Počet MJHR (P0)]]</f>
        <v>4429.2</v>
      </c>
      <c r="BZ102" s="132">
        <f ca="1">IF(OFFSET(BA102,1,0,1,1)&lt;&gt;0,RZ[[#This Row],[Koeficient odhadu HR '[-'] (P1)]]*$BJ102*SUMIFS(RZ[Úroveň 4 s koef. (P2)],RZ[0],AX102,RZ[Úroveň 2 (P0)],AY102,RZ[Úroveň 3 (P0)],AZ102),RZ[[#This Row],[Koeficient odhadu HR '[-'] (P1)]]*$BJ102*$IG102)</f>
        <v>4429.2</v>
      </c>
      <c r="CA102" s="132">
        <f ca="1">IF(OFFSET(BA102,1,0,1,1)&lt;&gt;0,$BJ102*SUMIFS(RZ[Úroveň 4 bez koef. (P2)],RZ[0],AX102,RZ[Úroveň 2 (P0)],AY102,RZ[Úroveň 3 (P0)],AZ102),$BJ102*$IG102)</f>
        <v>4429.2</v>
      </c>
      <c r="CB102" s="138">
        <f ca="1">RZ[[#This Row],[Úroveň 4 s koef. (P2a)]]*RZ[[#This Row],[Počet MJHR (P0)]]</f>
        <v>0</v>
      </c>
      <c r="CC102" s="138">
        <f ca="1">RZ[Úroveň 4 bez koef. (P2a)]*RZ[[#This Row],[Počet MJHR (P0)]]</f>
        <v>0</v>
      </c>
      <c r="CD102" s="138">
        <f ca="1">IF(OFFSET(BB102,1,0,1,1)&lt;&gt;0,RZ[[#This Row],[Koeficient odhadu HR '[-'] (P1)]]*$BK102*SUMIFS(RZ[Úroveň 5 s koef. (P2)],RZ[0],AX102,RZ[Úroveň 2 (P0)],AY102,RZ[Úroveň 3 (P0)],AZ102,RZ[Úroveň 4 (P0)],BA102),RZ[[#This Row],[Koeficient odhadu HR '[-'] (P1)]]*$BK102*$IG102)</f>
        <v>0</v>
      </c>
      <c r="CE102" s="138">
        <f ca="1">IF(OFFSET(BB102,1,0,1,1)&lt;&gt;0,$BK102*SUMIFS(RZ[Úroveň 5 bez koef. (P2)],RZ[0],AX102,RZ[Úroveň 2 (P0)],AY102,RZ[Úroveň 3 (P0)],AZ102,RZ[Úroveň 4 (P0)],BA102),$BK102*$IG102)</f>
        <v>0</v>
      </c>
      <c r="CF102" s="132">
        <f ca="1">RZ[[#This Row],[Úroveň 5 s koef. (P2a)]]*RZ[[#This Row],[Počet MJHR (P0)]]</f>
        <v>0</v>
      </c>
      <c r="CG102" s="132">
        <f ca="1">RZ[Úroveň 5 bez koef. (P2a)]*RZ[[#This Row],[Počet MJHR (P0)]]</f>
        <v>0</v>
      </c>
      <c r="CH102" s="132">
        <f ca="1">IF(OFFSET(BC102,1,0,1,1)&lt;&gt;0,RZ[[#This Row],[Koeficient odhadu HR '[-'] (P1)]]*$BL102*SUMIFS(RZ[Úroveň 6 s koef. (P2)],RZ[0],AX102,RZ[Úroveň 2 (P0)],AY102,RZ[Úroveň 3 (P0)],AZ102,RZ[Úroveň 4 (P0)],BA102,RZ[Úroveň 5 (P0)],BB102),RZ[[#This Row],[Koeficient odhadu HR '[-'] (P1)]]*$BL102*$IG102)</f>
        <v>0</v>
      </c>
      <c r="CI102" s="132">
        <f ca="1">IF(OFFSET(BC102,1,0,1,1)&lt;&gt;0,$BL102*SUMIFS(RZ[Úroveň 6 bez koef. (P2)],RZ[0],AX102,RZ[Úroveň 2 (P0)],AY102,RZ[Úroveň 3 (P0)],AZ102,RZ[Úroveň 4 (P0)],BA102,RZ[Úroveň 5 (P0)],BB102),$BL102*$IG102)</f>
        <v>0</v>
      </c>
      <c r="CJ102" s="138">
        <f ca="1">RZ[[#This Row],[Úroveň 6 s koef. (P2a)]]*RZ[[#This Row],[Počet MJHR (P0)]]</f>
        <v>0</v>
      </c>
      <c r="CK102" s="138">
        <f ca="1">RZ[Úroveň 6 bez koef. (P2a)]*RZ[[#This Row],[Počet MJHR (P0)]]</f>
        <v>0</v>
      </c>
      <c r="CL102" s="138">
        <f ca="1">IF(OFFSET(BD102,1,0,1,1)&lt;&gt;0,RZ[[#This Row],[Koeficient odhadu HR '[-'] (P1)]]*$BM102*SUMIFS(RZ[Úroveň 7 s koef. (P2)],RZ[0],AX102,RZ[Úroveň 2 (P0)],AY102,RZ[Úroveň 3 (P0)],AZ102,RZ[Úroveň 4 (P0)],BA102,RZ[Úroveň 5 (P0)],BB102,RZ[Úroveň 6 (P0)],BC102),RZ[[#This Row],[Koeficient odhadu HR '[-'] (P1)]]*$BM102*$IG102)</f>
        <v>0</v>
      </c>
      <c r="CM102" s="138">
        <f ca="1">IF(OFFSET(BD102,1,0,1,1)&lt;&gt;0,$BM102*SUMIFS(RZ[Úroveň 7 bez koef. (P2)],RZ[0],AX102,RZ[Úroveň 2 (P0)],AY102,RZ[Úroveň 3 (P0)],AZ102,RZ[Úroveň 4 (P0)],BA102,RZ[Úroveň 5 (P0)],BB102,RZ[Úroveň 6 (P0)],BC102),$BM102*$IG102)</f>
        <v>0</v>
      </c>
      <c r="CN102" s="132">
        <f ca="1">RZ[[#This Row],[Úroveň 7 s koef. (P2a)]]*RZ[[#This Row],[Počet MJHR (P0)]]</f>
        <v>0</v>
      </c>
      <c r="CO102" s="132">
        <f ca="1">RZ[Úroveň 7 bez koef. (P2a)]*RZ[[#This Row],[Počet MJHR (P0)]]</f>
        <v>0</v>
      </c>
      <c r="CP102" s="132">
        <f ca="1">IF(OFFSET(BE102,1,0,1,1)&lt;&gt;0,RZ[[#This Row],[Koeficient odhadu HR '[-'] (P1)]]*$BN102*SUMIFS(RZ[Úroveň 8 s koef. (P2)],RZ[0],AX102,RZ[Úroveň 2 (P0)],AY102,RZ[Úroveň 3 (P0)],AZ102,RZ[Úroveň 4 (P0)],BA102,RZ[Úroveň 5 (P0)],BB102,RZ[Úroveň 6 (P0)],BC102,RZ[Úroveň 7 (P0)],BD102),RZ[[#This Row],[Koeficient odhadu HR '[-'] (P1)]]*$BN102*$IG102)</f>
        <v>0</v>
      </c>
      <c r="CQ102" s="132">
        <f ca="1">IF(OFFSET(BE102,1,0,1,1)&lt;&gt;0,$BN102*SUMIFS(RZ[Úroveň 8 bez koef. (P2)],RZ[0],AX102,RZ[Úroveň 2 (P0)],AY102,RZ[Úroveň 3 (P0)],AZ102,RZ[Úroveň 4 (P0)],BA102,RZ[Úroveň 5 (P0)],BB102,RZ[Úroveň 6 (P0)],BC102,RZ[Úroveň 7 (P0)],BD102),$BN102*$IG102)</f>
        <v>0</v>
      </c>
      <c r="CR102" s="138">
        <f ca="1">RZ[[#This Row],[Úroveň 8 s koef. (P2a)]]*RZ[[#This Row],[Počet MJHR (P0)]]</f>
        <v>0</v>
      </c>
      <c r="CS102" s="138">
        <f ca="1">RZ[Úroveň 8 bez koef. (P2a)]*RZ[[#This Row],[Počet MJHR (P0)]]</f>
        <v>0</v>
      </c>
      <c r="CT102" s="138">
        <f ca="1">IF(OFFSET(BF102,1,0,1,1)&lt;&gt;0,RZ[[#This Row],[Koeficient odhadu HR '[-'] (P1)]]*$BO102*SUMIFS(RZ[Úroveň 9 s koef. (P2)],RZ[0],AX102,RZ[Úroveň 2 (P0)],AY102,RZ[Úroveň 3 (P0)],AZ102,RZ[Úroveň 4 (P0)],BA102,RZ[Úroveň 5 (P0)],BB102,RZ[Úroveň 6 (P0)],BC102,RZ[Úroveň 7 (P0)],BD102,RZ[Úroveň 8 (P0)],BE102),RZ[[#This Row],[Koeficient odhadu HR '[-'] (P1)]]*$BO102*$IG102)</f>
        <v>0</v>
      </c>
      <c r="CU102" s="138">
        <f ca="1">IF(OFFSET(BF102,1,0,1,1)&lt;&gt;0,$BO102*SUMIFS(RZ[Úroveň 9 bez koef. (P2)],RZ[0],AX102,RZ[Úroveň 2 (P0)],AY102,RZ[Úroveň 3 (P0)],AZ102,RZ[Úroveň 4 (P0)],BA102,RZ[Úroveň 5 (P0)],BB102,RZ[Úroveň 6 (P0)],BC102,RZ[Úroveň 7 (P0)],BD102,RZ[Úroveň 8 (P0)],BE102),$BO102*$IG102)</f>
        <v>0</v>
      </c>
      <c r="CV102" s="132">
        <f ca="1">RZ[[#This Row],[Úroveň 9 s koef. (P2a)]]*RZ[[#This Row],[Počet MJHR (P0)]]</f>
        <v>0</v>
      </c>
      <c r="CW102" s="132">
        <f ca="1">RZ[Úroveň 9 bez koef. (P2a)]*RZ[[#This Row],[Počet MJHR (P0)]]</f>
        <v>0</v>
      </c>
      <c r="CX102" s="132">
        <f ca="1">IF(OFFSET(BG102,1,0,1,1)&lt;&gt;0,RZ[[#This Row],[Koeficient odhadu HR '[-'] (P1)]]*$BP102*SUMIFS(RZ[Úroveň 10 s koef. (P2)],RZ[0],AX102,RZ[Úroveň 2 (P0)],AY102,RZ[Úroveň 3 (P0)],AZ102,RZ[Úroveň 4 (P0)],BA102,RZ[Úroveň 5 (P0)],BB102,RZ[Úroveň 6 (P0)],BC102,RZ[Úroveň 7 (P0)],BD102,RZ[Úroveň 8 (P0)],BE102,RZ[Úroveň 9 (P0)],BF102),RZ[[#This Row],[Koeficient odhadu HR '[-'] (P1)]]*$BP102*$IG102)</f>
        <v>0</v>
      </c>
      <c r="CY102" s="132">
        <f ca="1">IF(OFFSET(BG102,1,0,1,1)&lt;&gt;0,$BP102*SUMIFS(RZ[Úroveň 10 bez koef. (P2)],RZ[0],AX102,RZ[Úroveň 2 (P0)],AY102,RZ[Úroveň 3 (P0)],AZ102,RZ[Úroveň 4 (P0)],BA102,RZ[Úroveň 5 (P0)],BB102,RZ[Úroveň 6 (P0)],BC102,RZ[Úroveň 7 (P0)],BD102,RZ[Úroveň 8 (P0)],BE102,RZ[Úroveň 9 (P0)],BF102),$BP102*$IG102)</f>
        <v>0</v>
      </c>
      <c r="CZ102" s="138">
        <f>RZ[[#This Row],[Úroveň 10 s koef. (P2a)]]*RZ[[#This Row],[Počet MJHR (P0)]]</f>
        <v>0</v>
      </c>
      <c r="DA102" s="138">
        <f>RZ[Úroveň 10 bez koef. (P2a)]*RZ[[#This Row],[Počet MJHR (P0)]]</f>
        <v>0</v>
      </c>
      <c r="DB102" s="138">
        <f>RZ[[#This Row],[Koeficient odhadu HR '[-'] (P1)]]*$BQ102*IG102</f>
        <v>0</v>
      </c>
      <c r="DC102" s="231">
        <f t="shared" si="752"/>
        <v>0</v>
      </c>
      <c r="DD102" s="241">
        <f t="shared" ca="1" si="753"/>
        <v>4429.2</v>
      </c>
      <c r="DE102" s="229">
        <f t="shared" ca="1" si="754"/>
        <v>4429.2</v>
      </c>
      <c r="DF102" s="912">
        <f t="shared" si="755"/>
        <v>0</v>
      </c>
      <c r="DG102" s="913">
        <f t="shared" si="756"/>
        <v>0</v>
      </c>
      <c r="DH102" s="913">
        <f t="shared" si="757"/>
        <v>1</v>
      </c>
      <c r="DI102" s="913">
        <f t="shared" si="758"/>
        <v>0</v>
      </c>
      <c r="DJ102" s="913">
        <f t="shared" si="759"/>
        <v>0</v>
      </c>
      <c r="DK102" s="913">
        <f t="shared" si="760"/>
        <v>0</v>
      </c>
      <c r="DL102" s="913">
        <f t="shared" si="761"/>
        <v>0</v>
      </c>
      <c r="DM102" s="913">
        <f t="shared" si="762"/>
        <v>0</v>
      </c>
      <c r="DN102" s="913">
        <f t="shared" si="763"/>
        <v>0</v>
      </c>
      <c r="DO102" s="913">
        <f t="shared" si="764"/>
        <v>0</v>
      </c>
      <c r="DP102" s="914">
        <f ca="1">SUMIFS(RZ[Úroveň 1 (P4)],RZ[0],AX102)</f>
        <v>1</v>
      </c>
      <c r="DQ102" s="914">
        <f ca="1">SUMIFS(RZ[Úroveň 2 (P4)],RZ[0],AX102,RZ[Úroveň 2 (P0)],AY102)</f>
        <v>1</v>
      </c>
      <c r="DR102" s="914">
        <f ca="1">SUMIFS(RZ[Úroveň 3 (P4)],RZ[0],AX102,RZ[Úroveň 2 (P0)],AY102,RZ[Úroveň 3 (P0)],AZ102)</f>
        <v>1</v>
      </c>
      <c r="DS102" s="914">
        <f ca="1">SUMIFS(RZ[Úroveň 4 (P4)],RZ[0],AX102,RZ[Úroveň 2 (P0)],AY102,RZ[Úroveň 3 (P0)],AZ102,RZ[Úroveň 4 (P0)],BA102)</f>
        <v>0</v>
      </c>
      <c r="DT102" s="914">
        <f ca="1">SUMIFS(RZ[Úroveň 5 (P4)],RZ[0],AX102,RZ[Úroveň 2 (P0)],AY102,RZ[Úroveň 3 (P0)],AZ102,RZ[Úroveň 4 (P0)],BA102,RZ[Úroveň 5 (P0)],BB102)</f>
        <v>0</v>
      </c>
      <c r="DU102" s="914">
        <f ca="1">SUMIFS(RZ[Úroveň 6 (P4)],RZ[0],AX102,RZ[Úroveň 2 (P0)],AY102,RZ[Úroveň 3 (P0)],AZ102,RZ[Úroveň 4 (P0)],BA102,RZ[Úroveň 5 (P0)],BB102,RZ[Úroveň 6 (P0)],BC102)</f>
        <v>0</v>
      </c>
      <c r="DV102" s="914">
        <f ca="1">SUMIFS(RZ[Úroveň 7 (P4)],RZ[0],AX102,RZ[Úroveň 2 (P0)],AY102,RZ[Úroveň 3 (P0)],AZ102,RZ[Úroveň 4 (P0)],BA102,RZ[Úroveň 5 (P0)],BB102,RZ[Úroveň 6 (P0)],BC102,RZ[Úroveň 7 (P0)],BD102)</f>
        <v>0</v>
      </c>
      <c r="DW102" s="914">
        <f ca="1">SUMIFS(RZ[Úroveň 8 (P4)],RZ[0],AX102,RZ[Úroveň 2 (P0)],AY102,RZ[Úroveň 3 (P0)],AZ102,RZ[Úroveň 4 (P0)],BA102,RZ[Úroveň 5 (P0)],BB102,RZ[Úroveň 6 (P0)],BC102,RZ[Úroveň 7 (P0)],BD102,RZ[Úroveň 8 (P0)],BE102)</f>
        <v>0</v>
      </c>
      <c r="DX102" s="914">
        <f ca="1">SUMIFS(RZ[Úroveň 9 (P4)],RZ[0],AX102,RZ[Úroveň 2 (P0)],AY102,RZ[Úroveň 3 (P0)],AZ102,RZ[Úroveň 4 (P0)],BA102,RZ[Úroveň 5 (P0)],BB102,RZ[Úroveň 6 (P0)],BC102,RZ[Úroveň 7 (P0)],BD102,RZ[Úroveň 8 (P0)],BE102,RZ[Úroveň 9 (P0)],BF102)</f>
        <v>0</v>
      </c>
      <c r="DY102" s="914">
        <f ca="1">SUMIFS(RZ[Úroveň 10 (P4)],RZ[0],AX102,RZ[Úroveň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DZ102" s="915">
        <f t="shared" ca="1" si="765"/>
        <v>1</v>
      </c>
      <c r="EA102" s="916">
        <f ca="1">RZ[[#This Row],[Jednotková hmotnost bez koef. '[kg/MJHR'] (P0)]]*RZ[[#This Row],[Počet MJHR v rozpadu (P0)]]</f>
        <v>4429.2</v>
      </c>
      <c r="EB102" s="917">
        <f ca="1">IF(OFFSET(AY102,1,0,1,1)&lt;&gt;0,RZ[[#This Row],[Koeficient odhadu CR '[-'] (P1)]]*$BH102*SUMIFS(RZ[Úroveň 2 s koef. (P3)],RZ[0],AX102),RZ[[#This Row],[Koeficient odhadu CR '[-'] (P1)]]*$BH102*$IQ102)</f>
        <v>0</v>
      </c>
      <c r="EC102" s="191">
        <f ca="1">IF(OFFSET(AY102,1,0,1,1)&lt;&gt;0,$BH102*SUMIFS(RZ[Úroveň 2 bez koef. (P3)],RZ[0],AX102),$BH102*$IQ102)</f>
        <v>0</v>
      </c>
      <c r="ED102" s="140">
        <f ca="1">RZ[[#This Row],[Úroveň 2 s koef. (P3a)]]*RZ[[#This Row],[Počet MJCR (P0) pro "kg"]]</f>
        <v>0</v>
      </c>
      <c r="EE102" s="140">
        <f ca="1">RZ[Úroveň 2 bez koef. (P3a)]*RZ[[#This Row],[Počet MJCR (P0) pro "kg"]]</f>
        <v>0</v>
      </c>
      <c r="EF102" s="140">
        <f ca="1">IF(OFFSET(AZ102,1,0,1,1)&lt;&gt;0,RZ[[#This Row],[Koeficient odhadu CR '[-'] (P1)]]*$BI102*SUMIFS(RZ[Úroveň 3 s koef. (P3)],RZ[0],AX102,RZ[Úroveň 2 (P0)],AY102),RZ[[#This Row],[Koeficient odhadu CR '[-'] (P1)]]*$BI102*$IQ102)</f>
        <v>0</v>
      </c>
      <c r="EG102" s="140">
        <f ca="1">IF(OFFSET(AZ102,1,0,1,1)&lt;&gt;0,$BI102*SUMIFS(RZ[Úroveň 3 bez koef. (P3)],RZ[0],AX102,RZ[Úroveň 2 (P0)],AY102),$BI102*$IQ102)</f>
        <v>0</v>
      </c>
      <c r="EH102" s="135">
        <f ca="1">RZ[[#This Row],[Úroveň 3 s koef. (P3a)]]*RZ[[#This Row],[Počet MJCR (P0) pro "kg"]]</f>
        <v>620088</v>
      </c>
      <c r="EI102" s="135">
        <f ca="1">RZ[Úroveň 3 bez koef. (P3a)]*RZ[[#This Row],[Počet MJCR (P0) pro "kg"]]</f>
        <v>620088</v>
      </c>
      <c r="EJ102" s="135">
        <f ca="1">IF(OFFSET(BA102,1,0,1,1)&lt;&gt;0,RZ[[#This Row],[Koeficient odhadu CR '[-'] (P1)]]*$BJ102*SUMIFS(RZ[Úroveň 4 s koef. (P3)],RZ[0],AX102,RZ[Úroveň 2 (P0)],AY102,RZ[Úroveň 3 (P0)],AZ102),RZ[[#This Row],[Koeficient odhadu CR '[-'] (P1)]]*$BJ102*$IQ102)</f>
        <v>140</v>
      </c>
      <c r="EK102" s="135">
        <f ca="1">IF(OFFSET(BA102,1,0,1,1)&lt;&gt;0,$BJ102*SUMIFS(RZ[Úroveň 4 bez koef. (P3)],RZ[0],AX102,RZ[Úroveň 2 (P0)],AY102,RZ[Úroveň 3 (P0)],AZ102),$BJ102*$IQ102)</f>
        <v>140</v>
      </c>
      <c r="EL102" s="140">
        <f ca="1">RZ[[#This Row],[Úroveň 4 s koef. (P3a)]]*RZ[[#This Row],[Počet MJCR (P0) pro "kg"]]</f>
        <v>0</v>
      </c>
      <c r="EM102" s="140">
        <f ca="1">RZ[Úroveň 4 bez koef. (P3a)]*RZ[[#This Row],[Počet MJCR (P0) pro "kg"]]</f>
        <v>0</v>
      </c>
      <c r="EN102" s="140">
        <f ca="1">IF(OFFSET(BB102,1,0,1,1)&lt;&gt;0,RZ[[#This Row],[Koeficient odhadu CR '[-'] (P1)]]*$BK102*SUMIFS(RZ[Úroveň 5 s koef. (P3)],RZ[0],AX102,RZ[Úroveň 2 (P0)],AY102,RZ[Úroveň 3 (P0)],AZ102,RZ[Úroveň 4 (P0)],BA102),RZ[[#This Row],[Koeficient odhadu CR '[-'] (P1)]]*$BK102*$IQ102)</f>
        <v>0</v>
      </c>
      <c r="EO102" s="140">
        <f ca="1">IF(OFFSET(BB102,1,0,1,1)&lt;&gt;0,$BK102*SUMIFS(RZ[Úroveň 5 bez koef. (P3)],RZ[0],AX102,RZ[Úroveň 2 (P0)],AY102,RZ[Úroveň 3 (P0)],AZ102,RZ[Úroveň 4 (P0)],BA102),$BK102*$IQ102)</f>
        <v>0</v>
      </c>
      <c r="EP102" s="135">
        <f ca="1">RZ[[#This Row],[Úroveň 5 s koef. (P3a)]]*RZ[[#This Row],[Počet MJCR (P0) pro "kg"]]</f>
        <v>0</v>
      </c>
      <c r="EQ102" s="135">
        <f ca="1">RZ[Úroveň 5 bez koef. (P3a)]*RZ[[#This Row],[Počet MJCR (P0) pro "kg"]]</f>
        <v>0</v>
      </c>
      <c r="ER102" s="135">
        <f ca="1">IF(OFFSET(BC102,1,0,1,1)&lt;&gt;0,RZ[[#This Row],[Koeficient odhadu CR '[-'] (P1)]]*$BL102*SUMIFS(RZ[Úroveň 6 s koef. (P3)],RZ[0],AX102,RZ[Úroveň 2 (P0)],AY102,RZ[Úroveň 3 (P0)],AZ102,RZ[Úroveň 4 (P0)],BA102,RZ[Úroveň 5 (P0)],BB102),RZ[[#This Row],[Koeficient odhadu CR '[-'] (P1)]]*$BL102*$IQ102)</f>
        <v>0</v>
      </c>
      <c r="ES102" s="135">
        <f ca="1">IF(OFFSET(BC102,1,0,1,1)&lt;&gt;0,$BL102*SUMIFS(RZ[Úroveň 6 bez koef. (P3)],RZ[0],AX102,RZ[Úroveň 2 (P0)],AY102,RZ[Úroveň 3 (P0)],AZ102,RZ[Úroveň 4 (P0)],BA102,RZ[Úroveň 5 (P0)],BB102),$BL102*$IQ102)</f>
        <v>0</v>
      </c>
      <c r="ET102" s="140">
        <f ca="1">RZ[[#This Row],[Úroveň 6 s koef. (P3a)]]*RZ[[#This Row],[Počet MJCR (P0) pro "kg"]]</f>
        <v>0</v>
      </c>
      <c r="EU102" s="140">
        <f ca="1">RZ[Úroveň 6 bez koef. (P3a)]*RZ[[#This Row],[Počet MJCR (P0) pro "kg"]]</f>
        <v>0</v>
      </c>
      <c r="EV102" s="140">
        <f ca="1">IF(OFFSET(BD102,1,0,1,1)&lt;&gt;0,RZ[[#This Row],[Koeficient odhadu CR '[-'] (P1)]]*$BM102*SUMIFS(RZ[Úroveň 7 s koef. (P3)],RZ[0],AX102,RZ[Úroveň 2 (P0)],AY102,RZ[Úroveň 3 (P0)],AZ102,RZ[Úroveň 4 (P0)],BA102,RZ[Úroveň 5 (P0)],BB102,RZ[Úroveň 6 (P0)],BC102),RZ[[#This Row],[Koeficient odhadu CR '[-'] (P1)]]*$BM102*$IQ102)</f>
        <v>0</v>
      </c>
      <c r="EW102" s="140">
        <f ca="1">IF(OFFSET(BD102,1,0,1,1)&lt;&gt;0,$BM102*SUMIFS(RZ[Úroveň 7 bez koef. (P3)],RZ[0],AX102,RZ[Úroveň 2 (P0)],AY102,RZ[Úroveň 3 (P0)],AZ102,RZ[Úroveň 4 (P0)],BA102,RZ[Úroveň 5 (P0)],BB102,RZ[Úroveň 6 (P0)],BC102),$BM102*$IQ102)</f>
        <v>0</v>
      </c>
      <c r="EX102" s="135">
        <f ca="1">RZ[[#This Row],[Úroveň 7 s koef. (P3a)]]*RZ[[#This Row],[Počet MJCR (P0) pro "kg"]]</f>
        <v>0</v>
      </c>
      <c r="EY102" s="135">
        <f ca="1">RZ[Úroveň 7 bez koef. (P3a)]*RZ[[#This Row],[Počet MJCR (P0) pro "kg"]]</f>
        <v>0</v>
      </c>
      <c r="EZ102" s="135">
        <f ca="1">IF(OFFSET(BE102,1,0,1,1)&lt;&gt;0,RZ[[#This Row],[Koeficient odhadu CR '[-'] (P1)]]*$BN102*SUMIFS(RZ[Úroveň 8 s koef. (P3)],RZ[0],AX102,RZ[Úroveň 2 (P0)],AY102,RZ[Úroveň 3 (P0)],AZ102,RZ[Úroveň 4 (P0)],BA102,RZ[Úroveň 5 (P0)],BB102,RZ[Úroveň 6 (P0)],BC102,RZ[Úroveň 7 (P0)],BD102),RZ[[#This Row],[Koeficient odhadu CR '[-'] (P1)]]*$BN102*$IQ102)</f>
        <v>0</v>
      </c>
      <c r="FA102" s="135">
        <f ca="1">IF(OFFSET(BE102,1,0,1,1)&lt;&gt;0,$BN102*SUMIFS(RZ[Úroveň 8 bez koef. (P3)],RZ[0],AX102,RZ[Úroveň 2 (P0)],AY102,RZ[Úroveň 3 (P0)],AZ102,RZ[Úroveň 4 (P0)],BA102,RZ[Úroveň 5 (P0)],BB102,RZ[Úroveň 6 (P0)],BC102,RZ[Úroveň 7 (P0)],BD102),$BN102*$IQ102)</f>
        <v>0</v>
      </c>
      <c r="FB102" s="140">
        <f ca="1">RZ[[#This Row],[Úroveň 8 s koef. (P3a)]]*RZ[[#This Row],[Počet MJCR (P0) pro "kg"]]</f>
        <v>0</v>
      </c>
      <c r="FC102" s="140">
        <f ca="1">RZ[Úroveň 8 bez koef. (P3a)]*RZ[[#This Row],[Počet MJCR (P0) pro "kg"]]</f>
        <v>0</v>
      </c>
      <c r="FD102" s="140">
        <f ca="1">IF(OFFSET(BF102,1,0,1,1)&lt;&gt;0,RZ[[#This Row],[Koeficient odhadu CR '[-'] (P1)]]*$BO102*SUMIFS(RZ[Úroveň 9 s koef. (P3)],RZ[0],AX102,RZ[Úroveň 2 (P0)],AY102,RZ[Úroveň 3 (P0)],AZ102,RZ[Úroveň 4 (P0)],BA102,RZ[Úroveň 5 (P0)],BB102,RZ[Úroveň 6 (P0)],BC102,RZ[Úroveň 7 (P0)],BD102,RZ[Úroveň 8 (P0)],BE102),RZ[[#This Row],[Koeficient odhadu CR '[-'] (P1)]]*$BO102*$IQ102)</f>
        <v>0</v>
      </c>
      <c r="FE102" s="140">
        <f ca="1">IF(OFFSET(BF102,1,0,1,1)&lt;&gt;0,$BO102*SUMIFS(RZ[Úroveň 9 bez koef. (P3)],RZ[0],AX102,RZ[Úroveň 2 (P0)],AY102,RZ[Úroveň 3 (P0)],AZ102,RZ[Úroveň 4 (P0)],BA102,RZ[Úroveň 5 (P0)],BB102,RZ[Úroveň 6 (P0)],BC102,RZ[Úroveň 7 (P0)],BD102,RZ[Úroveň 8 (P0)],BE102),$BO102*$IQ102)</f>
        <v>0</v>
      </c>
      <c r="FF102" s="135">
        <f ca="1">RZ[[#This Row],[Úroveň 9 s koef. (P3a)]]*RZ[[#This Row],[Počet MJCR (P0) pro "kg"]]</f>
        <v>0</v>
      </c>
      <c r="FG102" s="135">
        <f ca="1">RZ[Úroveň 9 bez koef. (P3a)]*RZ[[#This Row],[Počet MJCR (P0) pro "kg"]]</f>
        <v>0</v>
      </c>
      <c r="FH102" s="135">
        <f ca="1">IF(OFFSET(BG102,1,0,1,1)&lt;&gt;0,RZ[[#This Row],[Koeficient odhadu CR '[-'] (P1)]]*$BP102*SUMIFS(RZ[Úroveň 10 s koef. (P3)],RZ[0],AX102,RZ[Úroveň 2 (P0)],AY102,RZ[Úroveň 3 (P0)],AZ102,RZ[Úroveň 4 (P0)],BA102,RZ[Úroveň 5 (P0)],BB102,RZ[Úroveň 6 (P0)],BC102,RZ[Úroveň 7 (P0)],BD102,RZ[Úroveň 8 (P0)],BE102,RZ[Úroveň 9 (P0)],BF102),RZ[[#This Row],[Koeficient odhadu CR '[-'] (P1)]]*$BP102*$IQ102)</f>
        <v>0</v>
      </c>
      <c r="FI102" s="135">
        <f ca="1">IF(OFFSET(BG102,1,0,1,1)&lt;&gt;0,$BP102*SUMIFS(RZ[Úroveň 10 bez koef. (P3)],RZ[0],AX102,RZ[Úroveň 2 (P0)],AY102,RZ[Úroveň 3 (P0)],AZ102,RZ[Úroveň 4 (P0)],BA102,RZ[Úroveň 5 (P0)],BB102,RZ[Úroveň 6 (P0)],BC102,RZ[Úroveň 7 (P0)],BD102,RZ[Úroveň 8 (P0)],BE102,RZ[Úroveň 9 (P0)],BF102),$BP102*$IQ102)</f>
        <v>0</v>
      </c>
      <c r="FJ102" s="140">
        <f ca="1">RZ[[#This Row],[Úroveň 10 s koef. (P3a)]]*RZ[[#This Row],[Počet MJCR (P0) pro "kg"]]</f>
        <v>0</v>
      </c>
      <c r="FK102" s="140">
        <f ca="1">RZ[Úroveň 10 bez koef. (P3a)]*RZ[[#This Row],[Počet MJCR (P0) pro "kg"]]</f>
        <v>0</v>
      </c>
      <c r="FL102" s="140">
        <f ca="1">RZ[[#This Row],[Koeficient odhadu CR '[-'] (P1)]]*$BQ102*IQ102</f>
        <v>0</v>
      </c>
      <c r="FM102" s="236">
        <f t="shared" ca="1" si="766"/>
        <v>0</v>
      </c>
      <c r="FN102" s="194">
        <f t="shared" ca="1" si="767"/>
        <v>140</v>
      </c>
      <c r="FO102" s="238">
        <f t="shared" ca="1" si="768"/>
        <v>140</v>
      </c>
      <c r="FP102" s="135">
        <f t="shared" ca="1" si="769"/>
        <v>0</v>
      </c>
      <c r="FQ102" s="135">
        <f t="shared" ca="1" si="770"/>
        <v>0</v>
      </c>
      <c r="FR102" s="135">
        <f t="shared" ca="1" si="771"/>
        <v>4429.2</v>
      </c>
      <c r="FS102" s="135">
        <f t="shared" ca="1" si="772"/>
        <v>0</v>
      </c>
      <c r="FT102" s="135">
        <f t="shared" ca="1" si="773"/>
        <v>0</v>
      </c>
      <c r="FU102" s="135">
        <f t="shared" ca="1" si="774"/>
        <v>0</v>
      </c>
      <c r="FV102" s="135">
        <f t="shared" ca="1" si="775"/>
        <v>0</v>
      </c>
      <c r="FW102" s="135">
        <f t="shared" ca="1" si="776"/>
        <v>0</v>
      </c>
      <c r="FX102" s="135">
        <f t="shared" ca="1" si="777"/>
        <v>0</v>
      </c>
      <c r="FY102" s="135">
        <f t="shared" ca="1" si="778"/>
        <v>0</v>
      </c>
      <c r="FZ102" s="140">
        <f ca="1">SUMIFS(RZ[Úroveň 1 (P6)],RZ[0],AX102)</f>
        <v>1</v>
      </c>
      <c r="GA102" s="140">
        <f ca="1">SUMIFS(RZ[Úroveň 2 (P6)],RZ[0],AX102,RZ[Úroveň 2 (P0)],AY102)</f>
        <v>1</v>
      </c>
      <c r="GB102" s="140">
        <f ca="1">SUMIFS(RZ[Úroveň 3 (P6)],RZ[0],AX102,RZ[Úroveň 2 (P0)],AY102,RZ[Úroveň 3 (P0)],AZ102)</f>
        <v>4429.2</v>
      </c>
      <c r="GC102" s="140">
        <f ca="1">SUMIFS(RZ[Úroveň 4 (P6)],RZ[0],AX102,RZ[Úroveň 2 (P0)],AY102,RZ[Úroveň 3 (P0)],AZ102,RZ[Úroveň 4 (P0)],BA102)</f>
        <v>0</v>
      </c>
      <c r="GD102" s="140">
        <f ca="1">SUMIFS(RZ[Úroveň 5 (P6)],RZ[0],AX102,RZ[Úroveň 2 (P0)],AY102,RZ[Úroveň 3 (P0)],AZ102,RZ[Úroveň 4 (P0)],BA102,RZ[Úroveň 5 (P0)],BB102)</f>
        <v>0</v>
      </c>
      <c r="GE102" s="140">
        <f ca="1">SUMIFS(RZ[Úroveň 6 (P6)],RZ[0],AX102,RZ[Úroveň 2 (P0)],AY102,RZ[Úroveň 3 (P0)],AZ102,RZ[Úroveň 4 (P0)],BA102,RZ[Úroveň 5 (P0)],BB102,RZ[Úroveň 6 (P0)],BC102)</f>
        <v>0</v>
      </c>
      <c r="GF102" s="140">
        <f ca="1">SUMIFS(RZ[Úroveň 7 (P6)],RZ[0],AX102,RZ[Úroveň 2 (P0)],AY102,RZ[Úroveň 3 (P0)],AZ102,RZ[Úroveň 4 (P0)],BA102,RZ[Úroveň 5 (P0)],BB102,RZ[Úroveň 6 (P0)],BC102,RZ[Úroveň 7 (P0)],BD102)</f>
        <v>0</v>
      </c>
      <c r="GG102" s="140">
        <f ca="1">SUMIFS(RZ[Úroveň 8 (P6)],RZ[0],AX102,RZ[Úroveň 2 (P0)],AY102,RZ[Úroveň 3 (P0)],AZ102,RZ[Úroveň 4 (P0)],BA102,RZ[Úroveň 5 (P0)],BB102,RZ[Úroveň 6 (P0)],BC102,RZ[Úroveň 7 (P0)],BD102,RZ[Úroveň 8 (P0)],BE102)</f>
        <v>0</v>
      </c>
      <c r="GH102" s="140">
        <f ca="1">SUMIFS(RZ[Úroveň 9 (P6)],RZ[0],AX102,RZ[Úroveň 2 (P0)],AY102,RZ[Úroveň 3 (P0)],AZ102,RZ[Úroveň 4 (P0)],BA102,RZ[Úroveň 5 (P0)],BB102,RZ[Úroveň 6 (P0)],BC102,RZ[Úroveň 7 (P0)],BD102,RZ[Úroveň 8 (P0)],BE102,RZ[Úroveň 9 (P0)],BF102)</f>
        <v>0</v>
      </c>
      <c r="GI102" s="140">
        <f ca="1">SUMIFS(RZ[Úroveň 10 (P6)],RZ[0],AX102,RZ[Úroveň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GJ102" s="918">
        <f t="shared" ca="1" si="779"/>
        <v>4429.2</v>
      </c>
      <c r="GK102" s="808">
        <f t="shared" si="780"/>
        <v>0</v>
      </c>
      <c r="GL102" s="808">
        <f t="shared" si="781"/>
        <v>0</v>
      </c>
      <c r="GM102" s="808">
        <f t="shared" si="782"/>
        <v>1</v>
      </c>
      <c r="GN102" s="808">
        <f t="shared" si="783"/>
        <v>0</v>
      </c>
      <c r="GO102" s="808">
        <f t="shared" si="784"/>
        <v>0</v>
      </c>
      <c r="GP102" s="808">
        <f t="shared" si="785"/>
        <v>0</v>
      </c>
      <c r="GQ102" s="808">
        <f t="shared" si="786"/>
        <v>0</v>
      </c>
      <c r="GR102" s="808">
        <f t="shared" si="787"/>
        <v>0</v>
      </c>
      <c r="GS102" s="808">
        <f t="shared" si="788"/>
        <v>0</v>
      </c>
      <c r="GT102" s="808">
        <f t="shared" si="789"/>
        <v>0</v>
      </c>
      <c r="GU102" s="809">
        <f ca="1">SUMIFS(RZ[Sloupec1],RZ[0],AX102)</f>
        <v>1</v>
      </c>
      <c r="GV102" s="809">
        <f ca="1">SUMIFS(RZ[Sloupec2],RZ[0],AX102,RZ[Úroveň 2 (P0)],AY102)</f>
        <v>1</v>
      </c>
      <c r="GW102" s="809">
        <f ca="1">SUMIFS(RZ[Sloupec3],RZ[0],AX102,RZ[Úroveň 2 (P0)],AY102,RZ[Úroveň 3 (P0)],AZ102)</f>
        <v>1</v>
      </c>
      <c r="GX102" s="809">
        <f ca="1">SUMIFS(RZ[Sloupec4],RZ[0],AX102,RZ[Úroveň 2 (P0)],AY102,RZ[Úroveň 3 (P0)],AZ102,RZ[Úroveň 4 (P0)],BA102)</f>
        <v>0</v>
      </c>
      <c r="GY102" s="809">
        <f ca="1">SUMIFS(RZ[Sloupec5],RZ[0],AX102,RZ[Úroveň 2 (P0)],AY102,RZ[Úroveň 3 (P0)],AZ102,RZ[Úroveň 4 (P0)],BA102,RZ[Úroveň 5 (P0)],BB102)</f>
        <v>0</v>
      </c>
      <c r="GZ102" s="809">
        <f ca="1">SUMIFS(RZ[Sloupec6],RZ[0],AX102,RZ[Úroveň 2 (P0)],AY102,RZ[Úroveň 3 (P0)],AZ102,RZ[Úroveň 4 (P0)],BA102,RZ[Úroveň 5 (P0)],BB102,RZ[Úroveň 6 (P0)],BC102)</f>
        <v>0</v>
      </c>
      <c r="HA102" s="809">
        <f ca="1">SUMIFS(RZ[Sloupec62],RZ[0],AX102,RZ[Úroveň 2 (P0)],AY102,RZ[Úroveň 3 (P0)],AZ102,RZ[Úroveň 4 (P0)],BA102,RZ[Úroveň 5 (P0)],BB102,RZ[Úroveň 6 (P0)],BC102,RZ[Úroveň 7 (P0)],BD102)</f>
        <v>0</v>
      </c>
      <c r="HB102" s="809">
        <f ca="1">SUMIFS(RZ[Sloupec63],RZ[0],AX102,RZ[Úroveň 2 (P0)],AY102,RZ[Úroveň 3 (P0)],AZ102,RZ[Úroveň 4 (P0)],BA102,RZ[Úroveň 5 (P0)],BB102,RZ[Úroveň 6 (P0)],BC102,RZ[Úroveň 7 (P0)],BD102,RZ[Úroveň 8 (P0)],BE102)</f>
        <v>0</v>
      </c>
      <c r="HC102" s="809">
        <f ca="1">SUMIFS(RZ[Sloupec64],RZ[0],AX102,RZ[Úroveň 2 (P0)],AY102,RZ[Úroveň 3 (P0)],AZ102,RZ[Úroveň 4 (P0)],BA102,RZ[Úroveň 5 (P0)],BB102,RZ[Úroveň 6 (P0)],BC102,RZ[Úroveň 7 (P0)],BD102,RZ[Úroveň 8 (P0)],BE102,RZ[Úroveň 9 (P0)],BF102)</f>
        <v>0</v>
      </c>
      <c r="HD102" s="809">
        <f ca="1">SUMIFS(RZ[Sloupec65],RZ[0],AX102,RZ[Úroveň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HE102" s="919">
        <f t="shared" ca="1" si="790"/>
        <v>1</v>
      </c>
      <c r="HF102" s="920" t="str">
        <f t="shared" si="791"/>
        <v/>
      </c>
      <c r="HG102" s="94" t="str">
        <f t="shared" si="792"/>
        <v/>
      </c>
      <c r="HH102" s="95" t="str">
        <f t="shared" si="793"/>
        <v/>
      </c>
      <c r="HI102" s="95" t="str">
        <f t="shared" si="794"/>
        <v>Boční opěra levá</v>
      </c>
      <c r="HJ102" s="96" t="str">
        <f t="shared" si="795"/>
        <v/>
      </c>
      <c r="HK102" s="96" t="str">
        <f t="shared" si="796"/>
        <v/>
      </c>
      <c r="HL102" s="96" t="str">
        <f t="shared" si="797"/>
        <v/>
      </c>
      <c r="HM102" s="96" t="str">
        <f t="shared" si="798"/>
        <v/>
      </c>
      <c r="HN102" s="96" t="str">
        <f t="shared" si="799"/>
        <v/>
      </c>
      <c r="HO102" s="96" t="str">
        <f t="shared" si="800"/>
        <v/>
      </c>
      <c r="HP102" s="96" t="str">
        <f t="shared" si="801"/>
        <v/>
      </c>
      <c r="HQ102" s="145" t="str">
        <f t="shared" si="802"/>
        <v>OKS1</v>
      </c>
      <c r="HR102" s="921" t="str">
        <f t="shared" si="803"/>
        <v/>
      </c>
      <c r="HS102" s="173">
        <f t="shared" si="804"/>
        <v>0</v>
      </c>
      <c r="HT102" s="100">
        <f t="shared" si="805"/>
        <v>0</v>
      </c>
      <c r="HU102" s="100">
        <f t="shared" si="806"/>
        <v>0</v>
      </c>
      <c r="HV102" s="908">
        <f t="shared" si="807"/>
        <v>0</v>
      </c>
      <c r="HW102" s="922">
        <f t="shared" si="808"/>
        <v>0</v>
      </c>
      <c r="HX102" s="224">
        <f t="shared" si="809"/>
        <v>0</v>
      </c>
      <c r="HY102" s="263" t="str">
        <f t="shared" si="810"/>
        <v>S</v>
      </c>
      <c r="HZ102" s="263">
        <f t="shared" si="811"/>
        <v>0</v>
      </c>
      <c r="IA102" s="150">
        <f t="shared" si="812"/>
        <v>1</v>
      </c>
      <c r="IB102" s="319">
        <f t="shared" si="813"/>
        <v>0</v>
      </c>
      <c r="IC102" s="923">
        <f t="shared" si="814"/>
        <v>0</v>
      </c>
      <c r="ID102" s="924" t="str">
        <f t="shared" ca="1" si="815"/>
        <v>OK</v>
      </c>
      <c r="IE102" s="201" t="str">
        <f t="shared" si="816"/>
        <v>ks</v>
      </c>
      <c r="IF102" s="145">
        <f t="shared" si="817"/>
        <v>1</v>
      </c>
      <c r="IG102" s="216">
        <f t="shared" si="818"/>
        <v>4429.2</v>
      </c>
      <c r="IH102" s="217">
        <f t="shared" si="819"/>
        <v>1</v>
      </c>
      <c r="II102" s="224" t="str">
        <f ca="1">IF(RZ[[#This Row],[Rozhodný sloupec indikativní ceny]]=1,"kg",IF($IW102=$JL$15,IF(JX102=0,JO102,JX102),IF($IW102=$KE$15,IF(KQ102=0,KH102,KQ102),IF($IW102=$KX$15,IF(LJ102=0,LA102,LJ102),IF($IW102=$LQ$15,IF(MC102=0,LT102,MC102),IF($IW102=$MJ$15,IF(NQ102=0,NH102,NQ102),0))))))</f>
        <v>kg</v>
      </c>
      <c r="IJ102" s="224">
        <f ca="1">IF((BH102+OFFSET(BH102,1,1,1,1))=2,RZ[[#This Row],[Počet MJHR (P0)]],IF((BI102+OFFSET(BI102,1,1,1,1))=2,RZ[[#This Row],[Počet MJHR (P0)]],IF((BJ102+OFFSET(BJ102,1,1,1,1))=2,RZ[[#This Row],[Počet MJHR (P0)]],IF((BK102+OFFSET(BK102,1,1,1,1))=2,RZ[[#This Row],[Počet MJHR (P0)]],IF((BL102+OFFSET(BL102,1,1,1,1))=2,RZ[[#This Row],[Počet MJHR (P0)]],IF((BM102+OFFSET(BM102,1,1,1,1))=2,RZ[[#This Row],[Počet MJHR (P0)]],IF((BN102+OFFSET(BN102,1,1,1,1))=2,RZ[[#This Row],[Počet MJHR (P0)]],IF((BO102+OFFSET(BO102,1,1,1,1))=2,RZ[[#This Row],[Počet MJHR (P0)]],IF((BP102+OFFSET(BP102,1,1,1,1))=2,RZ[[#This Row],[Počet MJHR (P0)]],IF((BQ102+OFFSET(BQ102,1,1,1,1))=2,RZ[[#This Row],[Počet MJHR (P0)]],IF(RZ[[#This Row],[Měrná jednotka CR (MJCR) (P0)]]=RZ[[#This Row],[Měrná jednotka HR '[MJHR'] (P0)]],RZ[[#This Row],[Počet MJHR (P0)]],IF($IW102=$JL$15,JY102,IF($IW102=$KE$15,KR102,IF($IW102=$KX$15,LK102,IF($IW102=$LQ$15,MD102,IF($IW102=$MJ$15,NR102,0))))))))))))))))</f>
        <v>0</v>
      </c>
      <c r="IK10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4429.2</v>
      </c>
      <c r="IL102" s="145">
        <f ca="1">IF(AND(RZ[[#This Row],[Jednotková cena bez DPH '[cena/MJCR'] (P0)]]=0,RZ[[#This Row],[Indikativní jednotková cena '[CZK/kg'] (P1)]]&lt;&gt;0),1,0)</f>
        <v>1</v>
      </c>
      <c r="IM102" s="217">
        <f ca="1">VLOOKUP(RZ[[#This Row],[Kód položek]],INDIKAT_CENA,2,FALSE)</f>
        <v>140</v>
      </c>
      <c r="IN102" s="222">
        <f ca="1">IF(RZ[[#This Row],[Rozhodný sloupec indikativní ceny]]=1,RZ[[#This Row],[Indikativní jednotková cena '[CZK/kg'] (P1)]],RZ[[#This Row],[Jednotková cena bez DPH '[cena/MJCR'] (P0)]])</f>
        <v>140</v>
      </c>
      <c r="IO102" s="222">
        <f t="shared" si="820"/>
        <v>1</v>
      </c>
      <c r="IP102" s="224">
        <f ca="1">IF(RZ[[#This Row],[Rozhodný sloupec indikativní ceny]]=1,1,IF($IW102=$JL$15,KA102,IF($IW102=$KE$15,KT102,IF($IW102=$KX$15,LM102,IF($IW102=$LQ$15,MF102,IF($IW102=$MJ$15,NT102,0))))))</f>
        <v>1</v>
      </c>
      <c r="IQ102" s="225">
        <f ca="1">IF(RZ[[#This Row],[Jednotková cena bez DPH '[cena/MJCR'] (P1)]]="",0,IF(IP102=0,0,(RZ[[#This Row],[Jednotková cena bez DPH '[cena/MJCR'] (P1)]]*VLOOKUP(IP102,$BR$7:$BT$10,3))))</f>
        <v>140</v>
      </c>
      <c r="IR102" s="737"/>
      <c r="IS102" s="627">
        <f>IF(HY102=0,"",VLOOKUP(RZ[[#This Row],[Stav Projekce (P0)]],Vstupy!$E$11:'Vstupy'!$E$11:$H$17,4,FALSE))</f>
        <v>100</v>
      </c>
      <c r="IT102" s="925" t="str">
        <f>IF(RZ[[#This Row],[Stav Projekce (P0)]]=0,"",RZ[[#This Row],[Stav Projekce (P0)]])</f>
        <v>S</v>
      </c>
      <c r="IU102" s="925" t="str">
        <f>IF(RZ[[#This Row],[Stav Nákup (P0)]]=0,"",RZ[[#This Row],[Stav Nákup (P0)]])</f>
        <v/>
      </c>
      <c r="IV102" s="926" t="str">
        <f t="shared" si="821"/>
        <v/>
      </c>
      <c r="IW102" s="641">
        <v>1</v>
      </c>
      <c r="IX102" s="630"/>
      <c r="IY102" s="264"/>
      <c r="IZ102" s="648"/>
      <c r="JA102" s="100"/>
      <c r="JB102" s="100" t="s">
        <v>775</v>
      </c>
      <c r="JC102" s="100"/>
      <c r="JD102" s="100"/>
      <c r="JE102" s="100"/>
      <c r="JF102" s="100"/>
      <c r="JG102" s="100"/>
      <c r="JH102" s="100"/>
      <c r="JI102" s="100"/>
      <c r="JJ102" s="145" t="s">
        <v>764</v>
      </c>
      <c r="JK102" s="529"/>
      <c r="JL102" s="286"/>
      <c r="JM102" s="100"/>
      <c r="JN102" s="100"/>
      <c r="JO102" s="145" t="s">
        <v>35</v>
      </c>
      <c r="JP102" s="117">
        <v>1</v>
      </c>
      <c r="JQ102" s="117">
        <v>4429.2</v>
      </c>
      <c r="JR102" s="148">
        <v>1</v>
      </c>
      <c r="JS102" s="145" t="s">
        <v>602</v>
      </c>
      <c r="JT102" s="631"/>
      <c r="JU102" s="148"/>
      <c r="JV102" s="154"/>
      <c r="JW102" s="145"/>
      <c r="JX102" s="210"/>
      <c r="JY102" s="117"/>
      <c r="JZ102" s="662"/>
      <c r="KA102" s="145"/>
      <c r="KB102" s="148"/>
      <c r="KC102" s="148"/>
      <c r="KD102" s="644"/>
      <c r="KE102" s="286"/>
      <c r="KF102" s="100"/>
      <c r="KG102" s="100"/>
      <c r="KH102" s="210"/>
      <c r="KI102" s="117"/>
      <c r="KJ102" s="117"/>
      <c r="KK102" s="148"/>
      <c r="KL102" s="145"/>
      <c r="KM102" s="632"/>
      <c r="KN102" s="148"/>
      <c r="KO102" s="154"/>
      <c r="KP102" s="154"/>
      <c r="KQ102" s="210"/>
      <c r="KR102" s="117"/>
      <c r="KS102" s="211"/>
      <c r="KT102" s="145"/>
      <c r="KU102" s="148"/>
      <c r="KV102" s="148"/>
      <c r="KW102" s="265"/>
      <c r="KX102" s="286"/>
      <c r="KY102" s="100"/>
      <c r="KZ102" s="100"/>
      <c r="LA102" s="210"/>
      <c r="LB102" s="117"/>
      <c r="LC102" s="117"/>
      <c r="LD102" s="148"/>
      <c r="LE102" s="145"/>
      <c r="LF102" s="632"/>
      <c r="LG102" s="148"/>
      <c r="LH102" s="154"/>
      <c r="LI102" s="154"/>
      <c r="LJ102" s="154"/>
      <c r="LK102" s="117"/>
      <c r="LL102" s="211"/>
      <c r="LM102" s="210"/>
      <c r="LN102" s="148"/>
      <c r="LO102" s="148"/>
      <c r="LP102" s="265"/>
      <c r="LQ102" s="286"/>
      <c r="LR102" s="100"/>
      <c r="LS102" s="100"/>
      <c r="LT102" s="210"/>
      <c r="LU102" s="117"/>
      <c r="LV102" s="117"/>
      <c r="LW102" s="148"/>
      <c r="LX102" s="145"/>
      <c r="LY102" s="632"/>
      <c r="LZ102" s="148"/>
      <c r="MA102" s="154"/>
      <c r="MB102" s="154"/>
      <c r="MC102" s="145"/>
      <c r="MD102" s="117"/>
      <c r="ME102" s="211"/>
      <c r="MF102" s="210"/>
      <c r="MG102" s="148"/>
      <c r="MH102" s="148"/>
      <c r="MI102" s="265"/>
      <c r="MJ102" s="647"/>
      <c r="MK102" s="264"/>
      <c r="ML102" s="153"/>
      <c r="MM102" s="153"/>
      <c r="MN102" s="153"/>
      <c r="MO102" s="153"/>
      <c r="MP102" s="153"/>
      <c r="MQ102" s="153"/>
      <c r="MR102" s="153"/>
      <c r="MS102" s="99"/>
      <c r="MT102" s="99"/>
      <c r="MU102" s="99"/>
      <c r="MV102" s="99"/>
      <c r="MW102" s="99"/>
      <c r="MX102" s="99"/>
      <c r="MY102" s="153"/>
      <c r="MZ102" s="153"/>
      <c r="NA102" s="153"/>
      <c r="NB102" s="153"/>
      <c r="NC102" s="153"/>
      <c r="ND102" s="153"/>
      <c r="NE102" s="148"/>
      <c r="NF102" s="145"/>
      <c r="NG102" s="145"/>
      <c r="NH102" s="330" t="str">
        <f t="shared" si="822"/>
        <v>ks</v>
      </c>
      <c r="NI102" s="797">
        <f>RZ[[#This Row],[Počet ks (K)]]</f>
        <v>0</v>
      </c>
      <c r="NJ102" s="798">
        <f>RZ[[#This Row],[Hmotnost '[kg/ks'] (K)]]</f>
        <v>0</v>
      </c>
      <c r="NK102" s="148"/>
      <c r="NL102" s="145"/>
      <c r="NM102" s="632"/>
      <c r="NN102" s="148"/>
      <c r="NO102" s="154"/>
      <c r="NP102" s="154"/>
      <c r="NQ102" s="154"/>
      <c r="NR102" s="210"/>
      <c r="NS102" s="148"/>
      <c r="NT102" s="210"/>
      <c r="NU102" s="148"/>
      <c r="NV102" s="148"/>
      <c r="NW102" s="265"/>
    </row>
    <row r="103" spans="2:387" ht="15.95" customHeight="1" x14ac:dyDescent="0.35">
      <c r="B103" s="118" t="str">
        <f t="shared" si="706"/>
        <v/>
      </c>
      <c r="C10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3" s="262" t="str">
        <f t="shared" si="707"/>
        <v xml:space="preserve">    Táhlo</v>
      </c>
      <c r="E103" s="120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Row],[Kód položek (P2)]]))))))))))</f>
        <v>OKS1</v>
      </c>
      <c r="F103" s="791" t="str">
        <f t="shared" si="708"/>
        <v>N/A</v>
      </c>
      <c r="G103" s="792" t="str">
        <f t="shared" si="709"/>
        <v/>
      </c>
      <c r="H103" s="262" t="str">
        <f t="shared" si="710"/>
        <v/>
      </c>
      <c r="I103" s="123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HR '[MJHR'] (P0)]]))))))))))</f>
        <v>ks</v>
      </c>
      <c r="J103" s="123">
        <f t="shared" si="711"/>
        <v>4</v>
      </c>
      <c r="K103" s="793">
        <f>RZ[[#This Row],[Koeficient odhadu HR '[-'] (P1)]]</f>
        <v>1</v>
      </c>
      <c r="L103" s="124">
        <f ca="1">RZ[[#This Row],[Jednotková hmotnost s koef. '[kg/MJHR'] (P0)]]</f>
        <v>255.7</v>
      </c>
      <c r="M103" s="794">
        <f t="shared" ca="1" si="712"/>
        <v>0</v>
      </c>
      <c r="N103" s="125">
        <f t="shared" ca="1" si="713"/>
        <v>1022.8</v>
      </c>
      <c r="O103" s="125">
        <f t="shared" ca="1" si="714"/>
        <v>0</v>
      </c>
      <c r="P103" s="126" t="str">
        <f t="shared" si="715"/>
        <v/>
      </c>
      <c r="Q103" s="795">
        <f ca="1">RZ[[#This Row],[Počet MJHR v rozpadu (P0)]]</f>
        <v>4</v>
      </c>
      <c r="R103" s="439" t="str">
        <f t="shared" si="716"/>
        <v/>
      </c>
      <c r="S103" s="129" t="str">
        <f t="shared" si="717"/>
        <v/>
      </c>
      <c r="T103" s="126" t="str">
        <f t="shared" si="718"/>
        <v/>
      </c>
      <c r="U103" s="126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CR (MJCR) (P0)]]))))))))))</f>
        <v>kg</v>
      </c>
      <c r="V103" s="575">
        <f t="shared" ca="1" si="719"/>
        <v>1022.8</v>
      </c>
      <c r="W103" s="322">
        <f>RZ[[#This Row],[Koeficient odhadu CR '[-'] (P1)]]</f>
        <v>1</v>
      </c>
      <c r="X103" s="440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Row],[Jednotková cena bez DPH '[cena/MJCR'] (P1)]]*RZ[[#This Row],[Koeficient odhadu CR '[-']]]))))))))))</f>
        <v>140</v>
      </c>
      <c r="Y103" s="440">
        <f t="shared" ca="1" si="720"/>
        <v>0</v>
      </c>
      <c r="Z103" s="142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VLOOKUP(IP103,$BR$7:$BS$11,2,FALSE)))))))))))</f>
        <v>CZK</v>
      </c>
      <c r="AA103" s="909">
        <f t="shared" ca="1" si="721"/>
        <v>1022.8</v>
      </c>
      <c r="AB103" s="910">
        <f ca="1">RZ[[#This Row],[Kumulovaný koeficient v rozpadu (P0)]]</f>
        <v>1</v>
      </c>
      <c r="AC103" s="261"/>
      <c r="AD103" s="796">
        <f ca="1">RZ[[#This Row],[Jednotková cena bez DPH '[cena/MJCR'] s koef. (P0)]]/RZ[[#This Row],[Koeficient odhadu CR '[-']]]*RZ[[#This Row],[Kumulovaný koeficient odhadu CR  '[-']]]</f>
        <v>140</v>
      </c>
      <c r="AE103" s="796">
        <f t="shared" ca="1" si="722"/>
        <v>143192</v>
      </c>
      <c r="AF103" s="796">
        <f ca="1">-IF(ISNUMBER(AA103),RZ[[#This Row],[Celková cena bez DPH (1)]]-RZ[[#This Row],[Jednotková cena bez DPH '[cena/MJCR'] bez koef. (P0)]]*AA103,0)</f>
        <v>0</v>
      </c>
      <c r="AG10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3" s="261"/>
      <c r="AI103" s="796">
        <f t="shared" ca="1" si="723"/>
        <v>5.1851851851851851</v>
      </c>
      <c r="AJ103" s="796">
        <f t="shared" ca="1" si="724"/>
        <v>5303.4074074074078</v>
      </c>
      <c r="AK103" s="796">
        <f t="shared" ca="1" si="725"/>
        <v>0</v>
      </c>
      <c r="AL103" s="753">
        <f ca="1">RZ[[#This Row],[Kilogramová cena bez DPH '[cena/kg'] (1)]]/$AK$13</f>
        <v>5.1851851851851851</v>
      </c>
      <c r="AM103" s="261"/>
      <c r="AN103" s="796">
        <f t="shared" ca="1" si="726"/>
        <v>6.7632850241545892</v>
      </c>
      <c r="AO103" s="796">
        <f t="shared" ca="1" si="727"/>
        <v>6917.4879227053143</v>
      </c>
      <c r="AP103" s="796">
        <f t="shared" ca="1" si="728"/>
        <v>0</v>
      </c>
      <c r="AQ103" s="753">
        <f ca="1">RZ[[#This Row],[Kilogramová cena bez DPH '[cena/kg'] (1)]]/$AP$13</f>
        <v>6.7632850241545892</v>
      </c>
      <c r="AR103" s="261"/>
      <c r="AS103" s="796">
        <f t="shared" ca="1" si="729"/>
        <v>3.8293216630196936</v>
      </c>
      <c r="AT103" s="796">
        <f t="shared" ca="1" si="730"/>
        <v>3916.6301969365422</v>
      </c>
      <c r="AU103" s="789">
        <f t="shared" ca="1" si="731"/>
        <v>0</v>
      </c>
      <c r="AV103" s="767">
        <f ca="1">RZ[[#This Row],[Kilogramová cena bez DPH '[cena/kg'] (1)]]/$AU$13</f>
        <v>3.8293216630196936</v>
      </c>
      <c r="AW103" s="165"/>
      <c r="AX103" s="911">
        <f t="shared" ca="1" si="732"/>
        <v>2</v>
      </c>
      <c r="AY103" s="111">
        <f t="shared" ca="1" si="733"/>
        <v>8</v>
      </c>
      <c r="AZ103" s="111">
        <f t="shared" ca="1" si="734"/>
        <v>3</v>
      </c>
      <c r="BA103" s="111">
        <f t="shared" ca="1" si="735"/>
        <v>0</v>
      </c>
      <c r="BB103" s="111">
        <f t="shared" ca="1" si="736"/>
        <v>0</v>
      </c>
      <c r="BC103" s="111">
        <f t="shared" ca="1" si="737"/>
        <v>0</v>
      </c>
      <c r="BD103" s="111">
        <f t="shared" ca="1" si="738"/>
        <v>0</v>
      </c>
      <c r="BE103" s="111">
        <f t="shared" ca="1" si="739"/>
        <v>0</v>
      </c>
      <c r="BF103" s="111">
        <f t="shared" ca="1" si="740"/>
        <v>0</v>
      </c>
      <c r="BG103" s="112">
        <f t="shared" ca="1" si="741"/>
        <v>0</v>
      </c>
      <c r="BH103" s="911">
        <f t="shared" si="742"/>
        <v>0</v>
      </c>
      <c r="BI103" s="111">
        <f t="shared" si="743"/>
        <v>0</v>
      </c>
      <c r="BJ103" s="111">
        <f t="shared" si="744"/>
        <v>1</v>
      </c>
      <c r="BK103" s="111">
        <f t="shared" si="745"/>
        <v>0</v>
      </c>
      <c r="BL103" s="111">
        <f t="shared" si="746"/>
        <v>0</v>
      </c>
      <c r="BM103" s="111">
        <f t="shared" si="747"/>
        <v>0</v>
      </c>
      <c r="BN103" s="111">
        <f t="shared" si="748"/>
        <v>0</v>
      </c>
      <c r="BO103" s="111">
        <f t="shared" si="749"/>
        <v>0</v>
      </c>
      <c r="BP103" s="111">
        <f t="shared" si="750"/>
        <v>0</v>
      </c>
      <c r="BQ103" s="112">
        <f t="shared" si="751"/>
        <v>0</v>
      </c>
      <c r="BR103" s="132">
        <f ca="1">IF(OFFSET(AY103,1,0,1,1)&lt;&gt;0,RZ[[#This Row],[Koeficient odhadu HR '[-'] (P1)]]*$BH103*SUMIFS(RZ[Úroveň 2 s koef. (P2)],RZ[0],AX103),RZ[[#This Row],[Koeficient odhadu HR '[-'] (P1)]]*$BH103*$IG103)</f>
        <v>0</v>
      </c>
      <c r="BS103" s="186">
        <f ca="1">IF(OFFSET(AY103,1,0,1,1)&lt;&gt;0,$BH103*SUMIFS(RZ[Úroveň 2 bez koef. (P2)],RZ[0],AX103),$BH103*$IG103)</f>
        <v>0</v>
      </c>
      <c r="BT103" s="138">
        <f ca="1">RZ[[#This Row],[Úroveň 2 s koef. (P2a)]]*RZ[[#This Row],[Počet MJHR (P0)]]</f>
        <v>0</v>
      </c>
      <c r="BU103" s="138">
        <f ca="1">RZ[[#This Row],[Úroveň 2 bez koef. (P2a)]]*RZ[[#This Row],[Počet MJHR (P0)]]</f>
        <v>0</v>
      </c>
      <c r="BV103" s="138">
        <f ca="1">IF(OFFSET(AZ103,1,0,1,1)&lt;&gt;0,RZ[[#This Row],[Koeficient odhadu HR '[-'] (P1)]]*$BI103*SUMIFS(RZ[Úroveň 3 s koef. (P2)],RZ[0],AX103,RZ[Úroveň 2 (P0)],AY103),RZ[[#This Row],[Koeficient odhadu HR '[-'] (P1)]]*$BI103*$IG103)</f>
        <v>0</v>
      </c>
      <c r="BW103" s="138">
        <f ca="1">IF(OFFSET(AZ103,1,0,1,1)&lt;&gt;0,$BI103*SUMIFS(RZ[Úroveň 3 bez koef. (P2)],RZ[0],AX103,RZ[Úroveň 2 (P0)],AY103),$BI103*$IG103)</f>
        <v>0</v>
      </c>
      <c r="BX103" s="132">
        <f ca="1">RZ[[#This Row],[Úroveň 3 s koef. (P2a)]]*RZ[[#This Row],[Počet MJHR (P0)]]</f>
        <v>1022.8</v>
      </c>
      <c r="BY103" s="132">
        <f ca="1">RZ[Úroveň 3 bez koef. (P2a)]*RZ[[#This Row],[Počet MJHR (P0)]]</f>
        <v>1022.8</v>
      </c>
      <c r="BZ103" s="132">
        <f ca="1">IF(OFFSET(BA103,1,0,1,1)&lt;&gt;0,RZ[[#This Row],[Koeficient odhadu HR '[-'] (P1)]]*$BJ103*SUMIFS(RZ[Úroveň 4 s koef. (P2)],RZ[0],AX103,RZ[Úroveň 2 (P0)],AY103,RZ[Úroveň 3 (P0)],AZ103),RZ[[#This Row],[Koeficient odhadu HR '[-'] (P1)]]*$BJ103*$IG103)</f>
        <v>255.7</v>
      </c>
      <c r="CA103" s="132">
        <f ca="1">IF(OFFSET(BA103,1,0,1,1)&lt;&gt;0,$BJ103*SUMIFS(RZ[Úroveň 4 bez koef. (P2)],RZ[0],AX103,RZ[Úroveň 2 (P0)],AY103,RZ[Úroveň 3 (P0)],AZ103),$BJ103*$IG103)</f>
        <v>255.7</v>
      </c>
      <c r="CB103" s="138">
        <f ca="1">RZ[[#This Row],[Úroveň 4 s koef. (P2a)]]*RZ[[#This Row],[Počet MJHR (P0)]]</f>
        <v>0</v>
      </c>
      <c r="CC103" s="138">
        <f ca="1">RZ[Úroveň 4 bez koef. (P2a)]*RZ[[#This Row],[Počet MJHR (P0)]]</f>
        <v>0</v>
      </c>
      <c r="CD103" s="138">
        <f ca="1">IF(OFFSET(BB103,1,0,1,1)&lt;&gt;0,RZ[[#This Row],[Koeficient odhadu HR '[-'] (P1)]]*$BK103*SUMIFS(RZ[Úroveň 5 s koef. (P2)],RZ[0],AX103,RZ[Úroveň 2 (P0)],AY103,RZ[Úroveň 3 (P0)],AZ103,RZ[Úroveň 4 (P0)],BA103),RZ[[#This Row],[Koeficient odhadu HR '[-'] (P1)]]*$BK103*$IG103)</f>
        <v>0</v>
      </c>
      <c r="CE103" s="138">
        <f ca="1">IF(OFFSET(BB103,1,0,1,1)&lt;&gt;0,$BK103*SUMIFS(RZ[Úroveň 5 bez koef. (P2)],RZ[0],AX103,RZ[Úroveň 2 (P0)],AY103,RZ[Úroveň 3 (P0)],AZ103,RZ[Úroveň 4 (P0)],BA103),$BK103*$IG103)</f>
        <v>0</v>
      </c>
      <c r="CF103" s="132">
        <f ca="1">RZ[[#This Row],[Úroveň 5 s koef. (P2a)]]*RZ[[#This Row],[Počet MJHR (P0)]]</f>
        <v>0</v>
      </c>
      <c r="CG103" s="132">
        <f ca="1">RZ[Úroveň 5 bez koef. (P2a)]*RZ[[#This Row],[Počet MJHR (P0)]]</f>
        <v>0</v>
      </c>
      <c r="CH103" s="132">
        <f ca="1">IF(OFFSET(BC103,1,0,1,1)&lt;&gt;0,RZ[[#This Row],[Koeficient odhadu HR '[-'] (P1)]]*$BL103*SUMIFS(RZ[Úroveň 6 s koef. (P2)],RZ[0],AX103,RZ[Úroveň 2 (P0)],AY103,RZ[Úroveň 3 (P0)],AZ103,RZ[Úroveň 4 (P0)],BA103,RZ[Úroveň 5 (P0)],BB103),RZ[[#This Row],[Koeficient odhadu HR '[-'] (P1)]]*$BL103*$IG103)</f>
        <v>0</v>
      </c>
      <c r="CI103" s="132">
        <f ca="1">IF(OFFSET(BC103,1,0,1,1)&lt;&gt;0,$BL103*SUMIFS(RZ[Úroveň 6 bez koef. (P2)],RZ[0],AX103,RZ[Úroveň 2 (P0)],AY103,RZ[Úroveň 3 (P0)],AZ103,RZ[Úroveň 4 (P0)],BA103,RZ[Úroveň 5 (P0)],BB103),$BL103*$IG103)</f>
        <v>0</v>
      </c>
      <c r="CJ103" s="138">
        <f ca="1">RZ[[#This Row],[Úroveň 6 s koef. (P2a)]]*RZ[[#This Row],[Počet MJHR (P0)]]</f>
        <v>0</v>
      </c>
      <c r="CK103" s="138">
        <f ca="1">RZ[Úroveň 6 bez koef. (P2a)]*RZ[[#This Row],[Počet MJHR (P0)]]</f>
        <v>0</v>
      </c>
      <c r="CL103" s="138">
        <f ca="1">IF(OFFSET(BD103,1,0,1,1)&lt;&gt;0,RZ[[#This Row],[Koeficient odhadu HR '[-'] (P1)]]*$BM103*SUMIFS(RZ[Úroveň 7 s koef. (P2)],RZ[0],AX103,RZ[Úroveň 2 (P0)],AY103,RZ[Úroveň 3 (P0)],AZ103,RZ[Úroveň 4 (P0)],BA103,RZ[Úroveň 5 (P0)],BB103,RZ[Úroveň 6 (P0)],BC103),RZ[[#This Row],[Koeficient odhadu HR '[-'] (P1)]]*$BM103*$IG103)</f>
        <v>0</v>
      </c>
      <c r="CM103" s="138">
        <f ca="1">IF(OFFSET(BD103,1,0,1,1)&lt;&gt;0,$BM103*SUMIFS(RZ[Úroveň 7 bez koef. (P2)],RZ[0],AX103,RZ[Úroveň 2 (P0)],AY103,RZ[Úroveň 3 (P0)],AZ103,RZ[Úroveň 4 (P0)],BA103,RZ[Úroveň 5 (P0)],BB103,RZ[Úroveň 6 (P0)],BC103),$BM103*$IG103)</f>
        <v>0</v>
      </c>
      <c r="CN103" s="132">
        <f ca="1">RZ[[#This Row],[Úroveň 7 s koef. (P2a)]]*RZ[[#This Row],[Počet MJHR (P0)]]</f>
        <v>0</v>
      </c>
      <c r="CO103" s="132">
        <f ca="1">RZ[Úroveň 7 bez koef. (P2a)]*RZ[[#This Row],[Počet MJHR (P0)]]</f>
        <v>0</v>
      </c>
      <c r="CP103" s="132">
        <f ca="1">IF(OFFSET(BE103,1,0,1,1)&lt;&gt;0,RZ[[#This Row],[Koeficient odhadu HR '[-'] (P1)]]*$BN103*SUMIFS(RZ[Úroveň 8 s koef. (P2)],RZ[0],AX103,RZ[Úroveň 2 (P0)],AY103,RZ[Úroveň 3 (P0)],AZ103,RZ[Úroveň 4 (P0)],BA103,RZ[Úroveň 5 (P0)],BB103,RZ[Úroveň 6 (P0)],BC103,RZ[Úroveň 7 (P0)],BD103),RZ[[#This Row],[Koeficient odhadu HR '[-'] (P1)]]*$BN103*$IG103)</f>
        <v>0</v>
      </c>
      <c r="CQ103" s="132">
        <f ca="1">IF(OFFSET(BE103,1,0,1,1)&lt;&gt;0,$BN103*SUMIFS(RZ[Úroveň 8 bez koef. (P2)],RZ[0],AX103,RZ[Úroveň 2 (P0)],AY103,RZ[Úroveň 3 (P0)],AZ103,RZ[Úroveň 4 (P0)],BA103,RZ[Úroveň 5 (P0)],BB103,RZ[Úroveň 6 (P0)],BC103,RZ[Úroveň 7 (P0)],BD103),$BN103*$IG103)</f>
        <v>0</v>
      </c>
      <c r="CR103" s="138">
        <f ca="1">RZ[[#This Row],[Úroveň 8 s koef. (P2a)]]*RZ[[#This Row],[Počet MJHR (P0)]]</f>
        <v>0</v>
      </c>
      <c r="CS103" s="138">
        <f ca="1">RZ[Úroveň 8 bez koef. (P2a)]*RZ[[#This Row],[Počet MJHR (P0)]]</f>
        <v>0</v>
      </c>
      <c r="CT103" s="138">
        <f ca="1">IF(OFFSET(BF103,1,0,1,1)&lt;&gt;0,RZ[[#This Row],[Koeficient odhadu HR '[-'] (P1)]]*$BO103*SUMIFS(RZ[Úroveň 9 s koef. (P2)],RZ[0],AX103,RZ[Úroveň 2 (P0)],AY103,RZ[Úroveň 3 (P0)],AZ103,RZ[Úroveň 4 (P0)],BA103,RZ[Úroveň 5 (P0)],BB103,RZ[Úroveň 6 (P0)],BC103,RZ[Úroveň 7 (P0)],BD103,RZ[Úroveň 8 (P0)],BE103),RZ[[#This Row],[Koeficient odhadu HR '[-'] (P1)]]*$BO103*$IG103)</f>
        <v>0</v>
      </c>
      <c r="CU103" s="138">
        <f ca="1">IF(OFFSET(BF103,1,0,1,1)&lt;&gt;0,$BO103*SUMIFS(RZ[Úroveň 9 bez koef. (P2)],RZ[0],AX103,RZ[Úroveň 2 (P0)],AY103,RZ[Úroveň 3 (P0)],AZ103,RZ[Úroveň 4 (P0)],BA103,RZ[Úroveň 5 (P0)],BB103,RZ[Úroveň 6 (P0)],BC103,RZ[Úroveň 7 (P0)],BD103,RZ[Úroveň 8 (P0)],BE103),$BO103*$IG103)</f>
        <v>0</v>
      </c>
      <c r="CV103" s="132">
        <f ca="1">RZ[[#This Row],[Úroveň 9 s koef. (P2a)]]*RZ[[#This Row],[Počet MJHR (P0)]]</f>
        <v>0</v>
      </c>
      <c r="CW103" s="132">
        <f ca="1">RZ[Úroveň 9 bez koef. (P2a)]*RZ[[#This Row],[Počet MJHR (P0)]]</f>
        <v>0</v>
      </c>
      <c r="CX103" s="132">
        <f ca="1">IF(OFFSET(BG103,1,0,1,1)&lt;&gt;0,RZ[[#This Row],[Koeficient odhadu HR '[-'] (P1)]]*$BP103*SUMIFS(RZ[Úroveň 10 s koef. (P2)],RZ[0],AX103,RZ[Úroveň 2 (P0)],AY103,RZ[Úroveň 3 (P0)],AZ103,RZ[Úroveň 4 (P0)],BA103,RZ[Úroveň 5 (P0)],BB103,RZ[Úroveň 6 (P0)],BC103,RZ[Úroveň 7 (P0)],BD103,RZ[Úroveň 8 (P0)],BE103,RZ[Úroveň 9 (P0)],BF103),RZ[[#This Row],[Koeficient odhadu HR '[-'] (P1)]]*$BP103*$IG103)</f>
        <v>0</v>
      </c>
      <c r="CY103" s="132">
        <f ca="1">IF(OFFSET(BG103,1,0,1,1)&lt;&gt;0,$BP103*SUMIFS(RZ[Úroveň 10 bez koef. (P2)],RZ[0],AX103,RZ[Úroveň 2 (P0)],AY103,RZ[Úroveň 3 (P0)],AZ103,RZ[Úroveň 4 (P0)],BA103,RZ[Úroveň 5 (P0)],BB103,RZ[Úroveň 6 (P0)],BC103,RZ[Úroveň 7 (P0)],BD103,RZ[Úroveň 8 (P0)],BE103,RZ[Úroveň 9 (P0)],BF103),$BP103*$IG103)</f>
        <v>0</v>
      </c>
      <c r="CZ103" s="138">
        <f>RZ[[#This Row],[Úroveň 10 s koef. (P2a)]]*RZ[[#This Row],[Počet MJHR (P0)]]</f>
        <v>0</v>
      </c>
      <c r="DA103" s="138">
        <f>RZ[Úroveň 10 bez koef. (P2a)]*RZ[[#This Row],[Počet MJHR (P0)]]</f>
        <v>0</v>
      </c>
      <c r="DB103" s="138">
        <f>RZ[[#This Row],[Koeficient odhadu HR '[-'] (P1)]]*$BQ103*IG103</f>
        <v>0</v>
      </c>
      <c r="DC103" s="231">
        <f t="shared" si="752"/>
        <v>0</v>
      </c>
      <c r="DD103" s="241">
        <f t="shared" ca="1" si="753"/>
        <v>255.7</v>
      </c>
      <c r="DE103" s="229">
        <f t="shared" ca="1" si="754"/>
        <v>255.7</v>
      </c>
      <c r="DF103" s="912">
        <f t="shared" si="755"/>
        <v>0</v>
      </c>
      <c r="DG103" s="913">
        <f t="shared" si="756"/>
        <v>0</v>
      </c>
      <c r="DH103" s="913">
        <f t="shared" si="757"/>
        <v>4</v>
      </c>
      <c r="DI103" s="913">
        <f t="shared" si="758"/>
        <v>0</v>
      </c>
      <c r="DJ103" s="913">
        <f t="shared" si="759"/>
        <v>0</v>
      </c>
      <c r="DK103" s="913">
        <f t="shared" si="760"/>
        <v>0</v>
      </c>
      <c r="DL103" s="913">
        <f t="shared" si="761"/>
        <v>0</v>
      </c>
      <c r="DM103" s="913">
        <f t="shared" si="762"/>
        <v>0</v>
      </c>
      <c r="DN103" s="913">
        <f t="shared" si="763"/>
        <v>0</v>
      </c>
      <c r="DO103" s="913">
        <f t="shared" si="764"/>
        <v>0</v>
      </c>
      <c r="DP103" s="914">
        <f ca="1">SUMIFS(RZ[Úroveň 1 (P4)],RZ[0],AX103)</f>
        <v>1</v>
      </c>
      <c r="DQ103" s="914">
        <f ca="1">SUMIFS(RZ[Úroveň 2 (P4)],RZ[0],AX103,RZ[Úroveň 2 (P0)],AY103)</f>
        <v>1</v>
      </c>
      <c r="DR103" s="914">
        <f ca="1">SUMIFS(RZ[Úroveň 3 (P4)],RZ[0],AX103,RZ[Úroveň 2 (P0)],AY103,RZ[Úroveň 3 (P0)],AZ103)</f>
        <v>4</v>
      </c>
      <c r="DS103" s="914">
        <f ca="1">SUMIFS(RZ[Úroveň 4 (P4)],RZ[0],AX103,RZ[Úroveň 2 (P0)],AY103,RZ[Úroveň 3 (P0)],AZ103,RZ[Úroveň 4 (P0)],BA103)</f>
        <v>0</v>
      </c>
      <c r="DT103" s="914">
        <f ca="1">SUMIFS(RZ[Úroveň 5 (P4)],RZ[0],AX103,RZ[Úroveň 2 (P0)],AY103,RZ[Úroveň 3 (P0)],AZ103,RZ[Úroveň 4 (P0)],BA103,RZ[Úroveň 5 (P0)],BB103)</f>
        <v>0</v>
      </c>
      <c r="DU103" s="914">
        <f ca="1">SUMIFS(RZ[Úroveň 6 (P4)],RZ[0],AX103,RZ[Úroveň 2 (P0)],AY103,RZ[Úroveň 3 (P0)],AZ103,RZ[Úroveň 4 (P0)],BA103,RZ[Úroveň 5 (P0)],BB103,RZ[Úroveň 6 (P0)],BC103)</f>
        <v>0</v>
      </c>
      <c r="DV103" s="914">
        <f ca="1">SUMIFS(RZ[Úroveň 7 (P4)],RZ[0],AX103,RZ[Úroveň 2 (P0)],AY103,RZ[Úroveň 3 (P0)],AZ103,RZ[Úroveň 4 (P0)],BA103,RZ[Úroveň 5 (P0)],BB103,RZ[Úroveň 6 (P0)],BC103,RZ[Úroveň 7 (P0)],BD103)</f>
        <v>0</v>
      </c>
      <c r="DW103" s="914">
        <f ca="1">SUMIFS(RZ[Úroveň 8 (P4)],RZ[0],AX103,RZ[Úroveň 2 (P0)],AY103,RZ[Úroveň 3 (P0)],AZ103,RZ[Úroveň 4 (P0)],BA103,RZ[Úroveň 5 (P0)],BB103,RZ[Úroveň 6 (P0)],BC103,RZ[Úroveň 7 (P0)],BD103,RZ[Úroveň 8 (P0)],BE103)</f>
        <v>0</v>
      </c>
      <c r="DX103" s="914">
        <f ca="1">SUMIFS(RZ[Úroveň 9 (P4)],RZ[0],AX103,RZ[Úroveň 2 (P0)],AY103,RZ[Úroveň 3 (P0)],AZ103,RZ[Úroveň 4 (P0)],BA103,RZ[Úroveň 5 (P0)],BB103,RZ[Úroveň 6 (P0)],BC103,RZ[Úroveň 7 (P0)],BD103,RZ[Úroveň 8 (P0)],BE103,RZ[Úroveň 9 (P0)],BF103)</f>
        <v>0</v>
      </c>
      <c r="DY103" s="914">
        <f ca="1">SUMIFS(RZ[Úroveň 10 (P4)],RZ[0],AX103,RZ[Úroveň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DZ103" s="915">
        <f t="shared" ca="1" si="765"/>
        <v>4</v>
      </c>
      <c r="EA103" s="916">
        <f ca="1">RZ[[#This Row],[Jednotková hmotnost bez koef. '[kg/MJHR'] (P0)]]*RZ[[#This Row],[Počet MJHR v rozpadu (P0)]]</f>
        <v>1022.8</v>
      </c>
      <c r="EB103" s="917">
        <f ca="1">IF(OFFSET(AY103,1,0,1,1)&lt;&gt;0,RZ[[#This Row],[Koeficient odhadu CR '[-'] (P1)]]*$BH103*SUMIFS(RZ[Úroveň 2 s koef. (P3)],RZ[0],AX103),RZ[[#This Row],[Koeficient odhadu CR '[-'] (P1)]]*$BH103*$IQ103)</f>
        <v>0</v>
      </c>
      <c r="EC103" s="191">
        <f ca="1">IF(OFFSET(AY103,1,0,1,1)&lt;&gt;0,$BH103*SUMIFS(RZ[Úroveň 2 bez koef. (P3)],RZ[0],AX103),$BH103*$IQ103)</f>
        <v>0</v>
      </c>
      <c r="ED103" s="140">
        <f ca="1">RZ[[#This Row],[Úroveň 2 s koef. (P3a)]]*RZ[[#This Row],[Počet MJCR (P0) pro "kg"]]</f>
        <v>0</v>
      </c>
      <c r="EE103" s="140">
        <f ca="1">RZ[Úroveň 2 bez koef. (P3a)]*RZ[[#This Row],[Počet MJCR (P0) pro "kg"]]</f>
        <v>0</v>
      </c>
      <c r="EF103" s="140">
        <f ca="1">IF(OFFSET(AZ103,1,0,1,1)&lt;&gt;0,RZ[[#This Row],[Koeficient odhadu CR '[-'] (P1)]]*$BI103*SUMIFS(RZ[Úroveň 3 s koef. (P3)],RZ[0],AX103,RZ[Úroveň 2 (P0)],AY103),RZ[[#This Row],[Koeficient odhadu CR '[-'] (P1)]]*$BI103*$IQ103)</f>
        <v>0</v>
      </c>
      <c r="EG103" s="140">
        <f ca="1">IF(OFFSET(AZ103,1,0,1,1)&lt;&gt;0,$BI103*SUMIFS(RZ[Úroveň 3 bez koef. (P3)],RZ[0],AX103,RZ[Úroveň 2 (P0)],AY103),$BI103*$IQ103)</f>
        <v>0</v>
      </c>
      <c r="EH103" s="135">
        <f ca="1">RZ[[#This Row],[Úroveň 3 s koef. (P3a)]]*RZ[[#This Row],[Počet MJCR (P0) pro "kg"]]</f>
        <v>143192</v>
      </c>
      <c r="EI103" s="135">
        <f ca="1">RZ[Úroveň 3 bez koef. (P3a)]*RZ[[#This Row],[Počet MJCR (P0) pro "kg"]]</f>
        <v>143192</v>
      </c>
      <c r="EJ103" s="135">
        <f ca="1">IF(OFFSET(BA103,1,0,1,1)&lt;&gt;0,RZ[[#This Row],[Koeficient odhadu CR '[-'] (P1)]]*$BJ103*SUMIFS(RZ[Úroveň 4 s koef. (P3)],RZ[0],AX103,RZ[Úroveň 2 (P0)],AY103,RZ[Úroveň 3 (P0)],AZ103),RZ[[#This Row],[Koeficient odhadu CR '[-'] (P1)]]*$BJ103*$IQ103)</f>
        <v>140</v>
      </c>
      <c r="EK103" s="135">
        <f ca="1">IF(OFFSET(BA103,1,0,1,1)&lt;&gt;0,$BJ103*SUMIFS(RZ[Úroveň 4 bez koef. (P3)],RZ[0],AX103,RZ[Úroveň 2 (P0)],AY103,RZ[Úroveň 3 (P0)],AZ103),$BJ103*$IQ103)</f>
        <v>140</v>
      </c>
      <c r="EL103" s="140">
        <f ca="1">RZ[[#This Row],[Úroveň 4 s koef. (P3a)]]*RZ[[#This Row],[Počet MJCR (P0) pro "kg"]]</f>
        <v>0</v>
      </c>
      <c r="EM103" s="140">
        <f ca="1">RZ[Úroveň 4 bez koef. (P3a)]*RZ[[#This Row],[Počet MJCR (P0) pro "kg"]]</f>
        <v>0</v>
      </c>
      <c r="EN103" s="140">
        <f ca="1">IF(OFFSET(BB103,1,0,1,1)&lt;&gt;0,RZ[[#This Row],[Koeficient odhadu CR '[-'] (P1)]]*$BK103*SUMIFS(RZ[Úroveň 5 s koef. (P3)],RZ[0],AX103,RZ[Úroveň 2 (P0)],AY103,RZ[Úroveň 3 (P0)],AZ103,RZ[Úroveň 4 (P0)],BA103),RZ[[#This Row],[Koeficient odhadu CR '[-'] (P1)]]*$BK103*$IQ103)</f>
        <v>0</v>
      </c>
      <c r="EO103" s="140">
        <f ca="1">IF(OFFSET(BB103,1,0,1,1)&lt;&gt;0,$BK103*SUMIFS(RZ[Úroveň 5 bez koef. (P3)],RZ[0],AX103,RZ[Úroveň 2 (P0)],AY103,RZ[Úroveň 3 (P0)],AZ103,RZ[Úroveň 4 (P0)],BA103),$BK103*$IQ103)</f>
        <v>0</v>
      </c>
      <c r="EP103" s="135">
        <f ca="1">RZ[[#This Row],[Úroveň 5 s koef. (P3a)]]*RZ[[#This Row],[Počet MJCR (P0) pro "kg"]]</f>
        <v>0</v>
      </c>
      <c r="EQ103" s="135">
        <f ca="1">RZ[Úroveň 5 bez koef. (P3a)]*RZ[[#This Row],[Počet MJCR (P0) pro "kg"]]</f>
        <v>0</v>
      </c>
      <c r="ER103" s="135">
        <f ca="1">IF(OFFSET(BC103,1,0,1,1)&lt;&gt;0,RZ[[#This Row],[Koeficient odhadu CR '[-'] (P1)]]*$BL103*SUMIFS(RZ[Úroveň 6 s koef. (P3)],RZ[0],AX103,RZ[Úroveň 2 (P0)],AY103,RZ[Úroveň 3 (P0)],AZ103,RZ[Úroveň 4 (P0)],BA103,RZ[Úroveň 5 (P0)],BB103),RZ[[#This Row],[Koeficient odhadu CR '[-'] (P1)]]*$BL103*$IQ103)</f>
        <v>0</v>
      </c>
      <c r="ES103" s="135">
        <f ca="1">IF(OFFSET(BC103,1,0,1,1)&lt;&gt;0,$BL103*SUMIFS(RZ[Úroveň 6 bez koef. (P3)],RZ[0],AX103,RZ[Úroveň 2 (P0)],AY103,RZ[Úroveň 3 (P0)],AZ103,RZ[Úroveň 4 (P0)],BA103,RZ[Úroveň 5 (P0)],BB103),$BL103*$IQ103)</f>
        <v>0</v>
      </c>
      <c r="ET103" s="140">
        <f ca="1">RZ[[#This Row],[Úroveň 6 s koef. (P3a)]]*RZ[[#This Row],[Počet MJCR (P0) pro "kg"]]</f>
        <v>0</v>
      </c>
      <c r="EU103" s="140">
        <f ca="1">RZ[Úroveň 6 bez koef. (P3a)]*RZ[[#This Row],[Počet MJCR (P0) pro "kg"]]</f>
        <v>0</v>
      </c>
      <c r="EV103" s="140">
        <f ca="1">IF(OFFSET(BD103,1,0,1,1)&lt;&gt;0,RZ[[#This Row],[Koeficient odhadu CR '[-'] (P1)]]*$BM103*SUMIFS(RZ[Úroveň 7 s koef. (P3)],RZ[0],AX103,RZ[Úroveň 2 (P0)],AY103,RZ[Úroveň 3 (P0)],AZ103,RZ[Úroveň 4 (P0)],BA103,RZ[Úroveň 5 (P0)],BB103,RZ[Úroveň 6 (P0)],BC103),RZ[[#This Row],[Koeficient odhadu CR '[-'] (P1)]]*$BM103*$IQ103)</f>
        <v>0</v>
      </c>
      <c r="EW103" s="140">
        <f ca="1">IF(OFFSET(BD103,1,0,1,1)&lt;&gt;0,$BM103*SUMIFS(RZ[Úroveň 7 bez koef. (P3)],RZ[0],AX103,RZ[Úroveň 2 (P0)],AY103,RZ[Úroveň 3 (P0)],AZ103,RZ[Úroveň 4 (P0)],BA103,RZ[Úroveň 5 (P0)],BB103,RZ[Úroveň 6 (P0)],BC103),$BM103*$IQ103)</f>
        <v>0</v>
      </c>
      <c r="EX103" s="135">
        <f ca="1">RZ[[#This Row],[Úroveň 7 s koef. (P3a)]]*RZ[[#This Row],[Počet MJCR (P0) pro "kg"]]</f>
        <v>0</v>
      </c>
      <c r="EY103" s="135">
        <f ca="1">RZ[Úroveň 7 bez koef. (P3a)]*RZ[[#This Row],[Počet MJCR (P0) pro "kg"]]</f>
        <v>0</v>
      </c>
      <c r="EZ103" s="135">
        <f ca="1">IF(OFFSET(BE103,1,0,1,1)&lt;&gt;0,RZ[[#This Row],[Koeficient odhadu CR '[-'] (P1)]]*$BN103*SUMIFS(RZ[Úroveň 8 s koef. (P3)],RZ[0],AX103,RZ[Úroveň 2 (P0)],AY103,RZ[Úroveň 3 (P0)],AZ103,RZ[Úroveň 4 (P0)],BA103,RZ[Úroveň 5 (P0)],BB103,RZ[Úroveň 6 (P0)],BC103,RZ[Úroveň 7 (P0)],BD103),RZ[[#This Row],[Koeficient odhadu CR '[-'] (P1)]]*$BN103*$IQ103)</f>
        <v>0</v>
      </c>
      <c r="FA103" s="135">
        <f ca="1">IF(OFFSET(BE103,1,0,1,1)&lt;&gt;0,$BN103*SUMIFS(RZ[Úroveň 8 bez koef. (P3)],RZ[0],AX103,RZ[Úroveň 2 (P0)],AY103,RZ[Úroveň 3 (P0)],AZ103,RZ[Úroveň 4 (P0)],BA103,RZ[Úroveň 5 (P0)],BB103,RZ[Úroveň 6 (P0)],BC103,RZ[Úroveň 7 (P0)],BD103),$BN103*$IQ103)</f>
        <v>0</v>
      </c>
      <c r="FB103" s="140">
        <f ca="1">RZ[[#This Row],[Úroveň 8 s koef. (P3a)]]*RZ[[#This Row],[Počet MJCR (P0) pro "kg"]]</f>
        <v>0</v>
      </c>
      <c r="FC103" s="140">
        <f ca="1">RZ[Úroveň 8 bez koef. (P3a)]*RZ[[#This Row],[Počet MJCR (P0) pro "kg"]]</f>
        <v>0</v>
      </c>
      <c r="FD103" s="140">
        <f ca="1">IF(OFFSET(BF103,1,0,1,1)&lt;&gt;0,RZ[[#This Row],[Koeficient odhadu CR '[-'] (P1)]]*$BO103*SUMIFS(RZ[Úroveň 9 s koef. (P3)],RZ[0],AX103,RZ[Úroveň 2 (P0)],AY103,RZ[Úroveň 3 (P0)],AZ103,RZ[Úroveň 4 (P0)],BA103,RZ[Úroveň 5 (P0)],BB103,RZ[Úroveň 6 (P0)],BC103,RZ[Úroveň 7 (P0)],BD103,RZ[Úroveň 8 (P0)],BE103),RZ[[#This Row],[Koeficient odhadu CR '[-'] (P1)]]*$BO103*$IQ103)</f>
        <v>0</v>
      </c>
      <c r="FE103" s="140">
        <f ca="1">IF(OFFSET(BF103,1,0,1,1)&lt;&gt;0,$BO103*SUMIFS(RZ[Úroveň 9 bez koef. (P3)],RZ[0],AX103,RZ[Úroveň 2 (P0)],AY103,RZ[Úroveň 3 (P0)],AZ103,RZ[Úroveň 4 (P0)],BA103,RZ[Úroveň 5 (P0)],BB103,RZ[Úroveň 6 (P0)],BC103,RZ[Úroveň 7 (P0)],BD103,RZ[Úroveň 8 (P0)],BE103),$BO103*$IQ103)</f>
        <v>0</v>
      </c>
      <c r="FF103" s="135">
        <f ca="1">RZ[[#This Row],[Úroveň 9 s koef. (P3a)]]*RZ[[#This Row],[Počet MJCR (P0) pro "kg"]]</f>
        <v>0</v>
      </c>
      <c r="FG103" s="135">
        <f ca="1">RZ[Úroveň 9 bez koef. (P3a)]*RZ[[#This Row],[Počet MJCR (P0) pro "kg"]]</f>
        <v>0</v>
      </c>
      <c r="FH103" s="135">
        <f ca="1">IF(OFFSET(BG103,1,0,1,1)&lt;&gt;0,RZ[[#This Row],[Koeficient odhadu CR '[-'] (P1)]]*$BP103*SUMIFS(RZ[Úroveň 10 s koef. (P3)],RZ[0],AX103,RZ[Úroveň 2 (P0)],AY103,RZ[Úroveň 3 (P0)],AZ103,RZ[Úroveň 4 (P0)],BA103,RZ[Úroveň 5 (P0)],BB103,RZ[Úroveň 6 (P0)],BC103,RZ[Úroveň 7 (P0)],BD103,RZ[Úroveň 8 (P0)],BE103,RZ[Úroveň 9 (P0)],BF103),RZ[[#This Row],[Koeficient odhadu CR '[-'] (P1)]]*$BP103*$IQ103)</f>
        <v>0</v>
      </c>
      <c r="FI103" s="135">
        <f ca="1">IF(OFFSET(BG103,1,0,1,1)&lt;&gt;0,$BP103*SUMIFS(RZ[Úroveň 10 bez koef. (P3)],RZ[0],AX103,RZ[Úroveň 2 (P0)],AY103,RZ[Úroveň 3 (P0)],AZ103,RZ[Úroveň 4 (P0)],BA103,RZ[Úroveň 5 (P0)],BB103,RZ[Úroveň 6 (P0)],BC103,RZ[Úroveň 7 (P0)],BD103,RZ[Úroveň 8 (P0)],BE103,RZ[Úroveň 9 (P0)],BF103),$BP103*$IQ103)</f>
        <v>0</v>
      </c>
      <c r="FJ103" s="140">
        <f ca="1">RZ[[#This Row],[Úroveň 10 s koef. (P3a)]]*RZ[[#This Row],[Počet MJCR (P0) pro "kg"]]</f>
        <v>0</v>
      </c>
      <c r="FK103" s="140">
        <f ca="1">RZ[Úroveň 10 bez koef. (P3a)]*RZ[[#This Row],[Počet MJCR (P0) pro "kg"]]</f>
        <v>0</v>
      </c>
      <c r="FL103" s="140">
        <f ca="1">RZ[[#This Row],[Koeficient odhadu CR '[-'] (P1)]]*$BQ103*IQ103</f>
        <v>0</v>
      </c>
      <c r="FM103" s="236">
        <f t="shared" ca="1" si="766"/>
        <v>0</v>
      </c>
      <c r="FN103" s="194">
        <f t="shared" ca="1" si="767"/>
        <v>140</v>
      </c>
      <c r="FO103" s="238">
        <f t="shared" ca="1" si="768"/>
        <v>140</v>
      </c>
      <c r="FP103" s="135">
        <f t="shared" ca="1" si="769"/>
        <v>0</v>
      </c>
      <c r="FQ103" s="135">
        <f t="shared" ca="1" si="770"/>
        <v>0</v>
      </c>
      <c r="FR103" s="135">
        <f t="shared" ca="1" si="771"/>
        <v>1022.8</v>
      </c>
      <c r="FS103" s="135">
        <f t="shared" ca="1" si="772"/>
        <v>0</v>
      </c>
      <c r="FT103" s="135">
        <f t="shared" ca="1" si="773"/>
        <v>0</v>
      </c>
      <c r="FU103" s="135">
        <f t="shared" ca="1" si="774"/>
        <v>0</v>
      </c>
      <c r="FV103" s="135">
        <f t="shared" ca="1" si="775"/>
        <v>0</v>
      </c>
      <c r="FW103" s="135">
        <f t="shared" ca="1" si="776"/>
        <v>0</v>
      </c>
      <c r="FX103" s="135">
        <f t="shared" ca="1" si="777"/>
        <v>0</v>
      </c>
      <c r="FY103" s="135">
        <f t="shared" ca="1" si="778"/>
        <v>0</v>
      </c>
      <c r="FZ103" s="140">
        <f ca="1">SUMIFS(RZ[Úroveň 1 (P6)],RZ[0],AX103)</f>
        <v>1</v>
      </c>
      <c r="GA103" s="140">
        <f ca="1">SUMIFS(RZ[Úroveň 2 (P6)],RZ[0],AX103,RZ[Úroveň 2 (P0)],AY103)</f>
        <v>1</v>
      </c>
      <c r="GB103" s="140">
        <f ca="1">SUMIFS(RZ[Úroveň 3 (P6)],RZ[0],AX103,RZ[Úroveň 2 (P0)],AY103,RZ[Úroveň 3 (P0)],AZ103)</f>
        <v>1022.8</v>
      </c>
      <c r="GC103" s="140">
        <f ca="1">SUMIFS(RZ[Úroveň 4 (P6)],RZ[0],AX103,RZ[Úroveň 2 (P0)],AY103,RZ[Úroveň 3 (P0)],AZ103,RZ[Úroveň 4 (P0)],BA103)</f>
        <v>0</v>
      </c>
      <c r="GD103" s="140">
        <f ca="1">SUMIFS(RZ[Úroveň 5 (P6)],RZ[0],AX103,RZ[Úroveň 2 (P0)],AY103,RZ[Úroveň 3 (P0)],AZ103,RZ[Úroveň 4 (P0)],BA103,RZ[Úroveň 5 (P0)],BB103)</f>
        <v>0</v>
      </c>
      <c r="GE103" s="140">
        <f ca="1">SUMIFS(RZ[Úroveň 6 (P6)],RZ[0],AX103,RZ[Úroveň 2 (P0)],AY103,RZ[Úroveň 3 (P0)],AZ103,RZ[Úroveň 4 (P0)],BA103,RZ[Úroveň 5 (P0)],BB103,RZ[Úroveň 6 (P0)],BC103)</f>
        <v>0</v>
      </c>
      <c r="GF103" s="140">
        <f ca="1">SUMIFS(RZ[Úroveň 7 (P6)],RZ[0],AX103,RZ[Úroveň 2 (P0)],AY103,RZ[Úroveň 3 (P0)],AZ103,RZ[Úroveň 4 (P0)],BA103,RZ[Úroveň 5 (P0)],BB103,RZ[Úroveň 6 (P0)],BC103,RZ[Úroveň 7 (P0)],BD103)</f>
        <v>0</v>
      </c>
      <c r="GG103" s="140">
        <f ca="1">SUMIFS(RZ[Úroveň 8 (P6)],RZ[0],AX103,RZ[Úroveň 2 (P0)],AY103,RZ[Úroveň 3 (P0)],AZ103,RZ[Úroveň 4 (P0)],BA103,RZ[Úroveň 5 (P0)],BB103,RZ[Úroveň 6 (P0)],BC103,RZ[Úroveň 7 (P0)],BD103,RZ[Úroveň 8 (P0)],BE103)</f>
        <v>0</v>
      </c>
      <c r="GH103" s="140">
        <f ca="1">SUMIFS(RZ[Úroveň 9 (P6)],RZ[0],AX103,RZ[Úroveň 2 (P0)],AY103,RZ[Úroveň 3 (P0)],AZ103,RZ[Úroveň 4 (P0)],BA103,RZ[Úroveň 5 (P0)],BB103,RZ[Úroveň 6 (P0)],BC103,RZ[Úroveň 7 (P0)],BD103,RZ[Úroveň 8 (P0)],BE103,RZ[Úroveň 9 (P0)],BF103)</f>
        <v>0</v>
      </c>
      <c r="GI103" s="140">
        <f ca="1">SUMIFS(RZ[Úroveň 10 (P6)],RZ[0],AX103,RZ[Úroveň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GJ103" s="918">
        <f t="shared" ca="1" si="779"/>
        <v>1022.8</v>
      </c>
      <c r="GK103" s="808">
        <f t="shared" si="780"/>
        <v>0</v>
      </c>
      <c r="GL103" s="808">
        <f t="shared" si="781"/>
        <v>0</v>
      </c>
      <c r="GM103" s="808">
        <f t="shared" si="782"/>
        <v>1</v>
      </c>
      <c r="GN103" s="808">
        <f t="shared" si="783"/>
        <v>0</v>
      </c>
      <c r="GO103" s="808">
        <f t="shared" si="784"/>
        <v>0</v>
      </c>
      <c r="GP103" s="808">
        <f t="shared" si="785"/>
        <v>0</v>
      </c>
      <c r="GQ103" s="808">
        <f t="shared" si="786"/>
        <v>0</v>
      </c>
      <c r="GR103" s="808">
        <f t="shared" si="787"/>
        <v>0</v>
      </c>
      <c r="GS103" s="808">
        <f t="shared" si="788"/>
        <v>0</v>
      </c>
      <c r="GT103" s="808">
        <f t="shared" si="789"/>
        <v>0</v>
      </c>
      <c r="GU103" s="809">
        <f ca="1">SUMIFS(RZ[Sloupec1],RZ[0],AX103)</f>
        <v>1</v>
      </c>
      <c r="GV103" s="809">
        <f ca="1">SUMIFS(RZ[Sloupec2],RZ[0],AX103,RZ[Úroveň 2 (P0)],AY103)</f>
        <v>1</v>
      </c>
      <c r="GW103" s="809">
        <f ca="1">SUMIFS(RZ[Sloupec3],RZ[0],AX103,RZ[Úroveň 2 (P0)],AY103,RZ[Úroveň 3 (P0)],AZ103)</f>
        <v>1</v>
      </c>
      <c r="GX103" s="809">
        <f ca="1">SUMIFS(RZ[Sloupec4],RZ[0],AX103,RZ[Úroveň 2 (P0)],AY103,RZ[Úroveň 3 (P0)],AZ103,RZ[Úroveň 4 (P0)],BA103)</f>
        <v>0</v>
      </c>
      <c r="GY103" s="809">
        <f ca="1">SUMIFS(RZ[Sloupec5],RZ[0],AX103,RZ[Úroveň 2 (P0)],AY103,RZ[Úroveň 3 (P0)],AZ103,RZ[Úroveň 4 (P0)],BA103,RZ[Úroveň 5 (P0)],BB103)</f>
        <v>0</v>
      </c>
      <c r="GZ103" s="809">
        <f ca="1">SUMIFS(RZ[Sloupec6],RZ[0],AX103,RZ[Úroveň 2 (P0)],AY103,RZ[Úroveň 3 (P0)],AZ103,RZ[Úroveň 4 (P0)],BA103,RZ[Úroveň 5 (P0)],BB103,RZ[Úroveň 6 (P0)],BC103)</f>
        <v>0</v>
      </c>
      <c r="HA103" s="809">
        <f ca="1">SUMIFS(RZ[Sloupec62],RZ[0],AX103,RZ[Úroveň 2 (P0)],AY103,RZ[Úroveň 3 (P0)],AZ103,RZ[Úroveň 4 (P0)],BA103,RZ[Úroveň 5 (P0)],BB103,RZ[Úroveň 6 (P0)],BC103,RZ[Úroveň 7 (P0)],BD103)</f>
        <v>0</v>
      </c>
      <c r="HB103" s="809">
        <f ca="1">SUMIFS(RZ[Sloupec63],RZ[0],AX103,RZ[Úroveň 2 (P0)],AY103,RZ[Úroveň 3 (P0)],AZ103,RZ[Úroveň 4 (P0)],BA103,RZ[Úroveň 5 (P0)],BB103,RZ[Úroveň 6 (P0)],BC103,RZ[Úroveň 7 (P0)],BD103,RZ[Úroveň 8 (P0)],BE103)</f>
        <v>0</v>
      </c>
      <c r="HC103" s="809">
        <f ca="1">SUMIFS(RZ[Sloupec64],RZ[0],AX103,RZ[Úroveň 2 (P0)],AY103,RZ[Úroveň 3 (P0)],AZ103,RZ[Úroveň 4 (P0)],BA103,RZ[Úroveň 5 (P0)],BB103,RZ[Úroveň 6 (P0)],BC103,RZ[Úroveň 7 (P0)],BD103,RZ[Úroveň 8 (P0)],BE103,RZ[Úroveň 9 (P0)],BF103)</f>
        <v>0</v>
      </c>
      <c r="HD103" s="809">
        <f ca="1">SUMIFS(RZ[Sloupec65],RZ[0],AX103,RZ[Úroveň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HE103" s="919">
        <f t="shared" ca="1" si="790"/>
        <v>1</v>
      </c>
      <c r="HF103" s="920" t="str">
        <f t="shared" si="791"/>
        <v/>
      </c>
      <c r="HG103" s="94" t="str">
        <f t="shared" si="792"/>
        <v/>
      </c>
      <c r="HH103" s="95" t="str">
        <f t="shared" si="793"/>
        <v/>
      </c>
      <c r="HI103" s="95" t="str">
        <f t="shared" si="794"/>
        <v>Táhlo</v>
      </c>
      <c r="HJ103" s="96" t="str">
        <f t="shared" si="795"/>
        <v/>
      </c>
      <c r="HK103" s="96" t="str">
        <f t="shared" si="796"/>
        <v/>
      </c>
      <c r="HL103" s="96" t="str">
        <f t="shared" si="797"/>
        <v/>
      </c>
      <c r="HM103" s="96" t="str">
        <f t="shared" si="798"/>
        <v/>
      </c>
      <c r="HN103" s="96" t="str">
        <f t="shared" si="799"/>
        <v/>
      </c>
      <c r="HO103" s="96" t="str">
        <f t="shared" si="800"/>
        <v/>
      </c>
      <c r="HP103" s="96" t="str">
        <f t="shared" si="801"/>
        <v/>
      </c>
      <c r="HQ103" s="145" t="str">
        <f t="shared" si="802"/>
        <v>OKS1</v>
      </c>
      <c r="HR103" s="921" t="str">
        <f t="shared" si="803"/>
        <v/>
      </c>
      <c r="HS103" s="173">
        <f t="shared" si="804"/>
        <v>0</v>
      </c>
      <c r="HT103" s="100">
        <f t="shared" si="805"/>
        <v>0</v>
      </c>
      <c r="HU103" s="100">
        <f t="shared" si="806"/>
        <v>0</v>
      </c>
      <c r="HV103" s="908">
        <f t="shared" si="807"/>
        <v>0</v>
      </c>
      <c r="HW103" s="922">
        <f t="shared" si="808"/>
        <v>0</v>
      </c>
      <c r="HX103" s="224">
        <f t="shared" si="809"/>
        <v>0</v>
      </c>
      <c r="HY103" s="263" t="str">
        <f t="shared" si="810"/>
        <v>S</v>
      </c>
      <c r="HZ103" s="263">
        <f t="shared" si="811"/>
        <v>0</v>
      </c>
      <c r="IA103" s="150">
        <f t="shared" si="812"/>
        <v>1</v>
      </c>
      <c r="IB103" s="319">
        <f t="shared" si="813"/>
        <v>0</v>
      </c>
      <c r="IC103" s="923">
        <f t="shared" si="814"/>
        <v>0</v>
      </c>
      <c r="ID103" s="924" t="str">
        <f t="shared" ca="1" si="815"/>
        <v>OK</v>
      </c>
      <c r="IE103" s="201" t="str">
        <f t="shared" si="816"/>
        <v>ks</v>
      </c>
      <c r="IF103" s="145">
        <f t="shared" si="817"/>
        <v>4</v>
      </c>
      <c r="IG103" s="216">
        <f t="shared" si="818"/>
        <v>255.7</v>
      </c>
      <c r="IH103" s="217">
        <f t="shared" si="819"/>
        <v>1</v>
      </c>
      <c r="II103" s="224" t="str">
        <f ca="1">IF(RZ[[#This Row],[Rozhodný sloupec indikativní ceny]]=1,"kg",IF($IW103=$JL$15,IF(JX103=0,JO103,JX103),IF($IW103=$KE$15,IF(KQ103=0,KH103,KQ103),IF($IW103=$KX$15,IF(LJ103=0,LA103,LJ103),IF($IW103=$LQ$15,IF(MC103=0,LT103,MC103),IF($IW103=$MJ$15,IF(NQ103=0,NH103,NQ103),0))))))</f>
        <v>kg</v>
      </c>
      <c r="IJ103" s="224">
        <f ca="1">IF((BH103+OFFSET(BH103,1,1,1,1))=2,RZ[[#This Row],[Počet MJHR (P0)]],IF((BI103+OFFSET(BI103,1,1,1,1))=2,RZ[[#This Row],[Počet MJHR (P0)]],IF((BJ103+OFFSET(BJ103,1,1,1,1))=2,RZ[[#This Row],[Počet MJHR (P0)]],IF((BK103+OFFSET(BK103,1,1,1,1))=2,RZ[[#This Row],[Počet MJHR (P0)]],IF((BL103+OFFSET(BL103,1,1,1,1))=2,RZ[[#This Row],[Počet MJHR (P0)]],IF((BM103+OFFSET(BM103,1,1,1,1))=2,RZ[[#This Row],[Počet MJHR (P0)]],IF((BN103+OFFSET(BN103,1,1,1,1))=2,RZ[[#This Row],[Počet MJHR (P0)]],IF((BO103+OFFSET(BO103,1,1,1,1))=2,RZ[[#This Row],[Počet MJHR (P0)]],IF((BP103+OFFSET(BP103,1,1,1,1))=2,RZ[[#This Row],[Počet MJHR (P0)]],IF((BQ103+OFFSET(BQ103,1,1,1,1))=2,RZ[[#This Row],[Počet MJHR (P0)]],IF(RZ[[#This Row],[Měrná jednotka CR (MJCR) (P0)]]=RZ[[#This Row],[Měrná jednotka HR '[MJHR'] (P0)]],RZ[[#This Row],[Počet MJHR (P0)]],IF($IW103=$JL$15,JY103,IF($IW103=$KE$15,KR103,IF($IW103=$KX$15,LK103,IF($IW103=$LQ$15,MD103,IF($IW103=$MJ$15,NR103,0))))))))))))))))</f>
        <v>0</v>
      </c>
      <c r="IK10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1022.8</v>
      </c>
      <c r="IL103" s="145">
        <f ca="1">IF(AND(RZ[[#This Row],[Jednotková cena bez DPH '[cena/MJCR'] (P0)]]=0,RZ[[#This Row],[Indikativní jednotková cena '[CZK/kg'] (P1)]]&lt;&gt;0),1,0)</f>
        <v>1</v>
      </c>
      <c r="IM103" s="217">
        <f ca="1">VLOOKUP(RZ[[#This Row],[Kód položek]],INDIKAT_CENA,2,FALSE)</f>
        <v>140</v>
      </c>
      <c r="IN103" s="222">
        <f ca="1">IF(RZ[[#This Row],[Rozhodný sloupec indikativní ceny]]=1,RZ[[#This Row],[Indikativní jednotková cena '[CZK/kg'] (P1)]],RZ[[#This Row],[Jednotková cena bez DPH '[cena/MJCR'] (P0)]])</f>
        <v>140</v>
      </c>
      <c r="IO103" s="222">
        <f t="shared" si="820"/>
        <v>1</v>
      </c>
      <c r="IP103" s="224">
        <f ca="1">IF(RZ[[#This Row],[Rozhodný sloupec indikativní ceny]]=1,1,IF($IW103=$JL$15,KA103,IF($IW103=$KE$15,KT103,IF($IW103=$KX$15,LM103,IF($IW103=$LQ$15,MF103,IF($IW103=$MJ$15,NT103,0))))))</f>
        <v>1</v>
      </c>
      <c r="IQ103" s="225">
        <f ca="1">IF(RZ[[#This Row],[Jednotková cena bez DPH '[cena/MJCR'] (P1)]]="",0,IF(IP103=0,0,(RZ[[#This Row],[Jednotková cena bez DPH '[cena/MJCR'] (P1)]]*VLOOKUP(IP103,$BR$7:$BT$10,3))))</f>
        <v>140</v>
      </c>
      <c r="IR103" s="737"/>
      <c r="IS103" s="627">
        <f>IF(HY103=0,"",VLOOKUP(RZ[[#This Row],[Stav Projekce (P0)]],Vstupy!$E$11:'Vstupy'!$E$11:$H$17,4,FALSE))</f>
        <v>100</v>
      </c>
      <c r="IT103" s="925" t="str">
        <f>IF(RZ[[#This Row],[Stav Projekce (P0)]]=0,"",RZ[[#This Row],[Stav Projekce (P0)]])</f>
        <v>S</v>
      </c>
      <c r="IU103" s="925" t="str">
        <f>IF(RZ[[#This Row],[Stav Nákup (P0)]]=0,"",RZ[[#This Row],[Stav Nákup (P0)]])</f>
        <v/>
      </c>
      <c r="IV103" s="926" t="str">
        <f t="shared" si="821"/>
        <v/>
      </c>
      <c r="IW103" s="641">
        <v>1</v>
      </c>
      <c r="IX103" s="630"/>
      <c r="IY103" s="264"/>
      <c r="IZ103" s="648"/>
      <c r="JA103" s="100"/>
      <c r="JB103" s="100" t="s">
        <v>776</v>
      </c>
      <c r="JC103" s="100"/>
      <c r="JD103" s="100"/>
      <c r="JE103" s="100"/>
      <c r="JF103" s="100"/>
      <c r="JG103" s="100"/>
      <c r="JH103" s="100"/>
      <c r="JI103" s="100"/>
      <c r="JJ103" s="145" t="s">
        <v>764</v>
      </c>
      <c r="JK103" s="529"/>
      <c r="JL103" s="286"/>
      <c r="JM103" s="100"/>
      <c r="JN103" s="100"/>
      <c r="JO103" s="145" t="s">
        <v>35</v>
      </c>
      <c r="JP103" s="117">
        <v>4</v>
      </c>
      <c r="JQ103" s="117">
        <v>255.7</v>
      </c>
      <c r="JR103" s="148">
        <v>1</v>
      </c>
      <c r="JS103" s="145" t="s">
        <v>602</v>
      </c>
      <c r="JT103" s="631"/>
      <c r="JU103" s="148"/>
      <c r="JV103" s="154"/>
      <c r="JW103" s="145"/>
      <c r="JX103" s="210"/>
      <c r="JY103" s="117"/>
      <c r="JZ103" s="662"/>
      <c r="KA103" s="145"/>
      <c r="KB103" s="148"/>
      <c r="KC103" s="148"/>
      <c r="KD103" s="644"/>
      <c r="KE103" s="286"/>
      <c r="KF103" s="100"/>
      <c r="KG103" s="100"/>
      <c r="KH103" s="210"/>
      <c r="KI103" s="117"/>
      <c r="KJ103" s="117"/>
      <c r="KK103" s="148"/>
      <c r="KL103" s="145"/>
      <c r="KM103" s="632"/>
      <c r="KN103" s="148"/>
      <c r="KO103" s="154"/>
      <c r="KP103" s="154"/>
      <c r="KQ103" s="210"/>
      <c r="KR103" s="117"/>
      <c r="KS103" s="211"/>
      <c r="KT103" s="145"/>
      <c r="KU103" s="148"/>
      <c r="KV103" s="148"/>
      <c r="KW103" s="265"/>
      <c r="KX103" s="286"/>
      <c r="KY103" s="100"/>
      <c r="KZ103" s="100"/>
      <c r="LA103" s="210"/>
      <c r="LB103" s="117"/>
      <c r="LC103" s="117"/>
      <c r="LD103" s="148"/>
      <c r="LE103" s="145"/>
      <c r="LF103" s="632"/>
      <c r="LG103" s="148"/>
      <c r="LH103" s="154"/>
      <c r="LI103" s="154"/>
      <c r="LJ103" s="154"/>
      <c r="LK103" s="117"/>
      <c r="LL103" s="211"/>
      <c r="LM103" s="210"/>
      <c r="LN103" s="148"/>
      <c r="LO103" s="148"/>
      <c r="LP103" s="265"/>
      <c r="LQ103" s="286"/>
      <c r="LR103" s="100"/>
      <c r="LS103" s="100"/>
      <c r="LT103" s="210"/>
      <c r="LU103" s="117"/>
      <c r="LV103" s="117"/>
      <c r="LW103" s="148"/>
      <c r="LX103" s="145"/>
      <c r="LY103" s="632"/>
      <c r="LZ103" s="148"/>
      <c r="MA103" s="154"/>
      <c r="MB103" s="154"/>
      <c r="MC103" s="145"/>
      <c r="MD103" s="117"/>
      <c r="ME103" s="211"/>
      <c r="MF103" s="210"/>
      <c r="MG103" s="148"/>
      <c r="MH103" s="148"/>
      <c r="MI103" s="265"/>
      <c r="MJ103" s="647"/>
      <c r="MK103" s="264"/>
      <c r="ML103" s="153"/>
      <c r="MM103" s="153"/>
      <c r="MN103" s="153"/>
      <c r="MO103" s="153"/>
      <c r="MP103" s="153"/>
      <c r="MQ103" s="153"/>
      <c r="MR103" s="153"/>
      <c r="MS103" s="99"/>
      <c r="MT103" s="99"/>
      <c r="MU103" s="99"/>
      <c r="MV103" s="99"/>
      <c r="MW103" s="99"/>
      <c r="MX103" s="99"/>
      <c r="MY103" s="153"/>
      <c r="MZ103" s="153"/>
      <c r="NA103" s="153"/>
      <c r="NB103" s="153"/>
      <c r="NC103" s="153"/>
      <c r="ND103" s="153"/>
      <c r="NE103" s="148"/>
      <c r="NF103" s="145"/>
      <c r="NG103" s="145"/>
      <c r="NH103" s="330" t="str">
        <f t="shared" si="822"/>
        <v>ks</v>
      </c>
      <c r="NI103" s="797">
        <f>RZ[[#This Row],[Počet ks (K)]]</f>
        <v>0</v>
      </c>
      <c r="NJ103" s="798">
        <f>RZ[[#This Row],[Hmotnost '[kg/ks'] (K)]]</f>
        <v>0</v>
      </c>
      <c r="NK103" s="148"/>
      <c r="NL103" s="145"/>
      <c r="NM103" s="632"/>
      <c r="NN103" s="148"/>
      <c r="NO103" s="154"/>
      <c r="NP103" s="154"/>
      <c r="NQ103" s="154"/>
      <c r="NR103" s="210"/>
      <c r="NS103" s="148"/>
      <c r="NT103" s="210"/>
      <c r="NU103" s="148"/>
      <c r="NV103" s="148"/>
      <c r="NW103" s="265"/>
    </row>
    <row r="104" spans="2:387" ht="15.95" customHeight="1" x14ac:dyDescent="0.35">
      <c r="B104" s="118" t="str">
        <f t="shared" si="706"/>
        <v/>
      </c>
      <c r="C10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4" s="262" t="str">
        <f t="shared" si="707"/>
        <v xml:space="preserve">    Sestavení páky</v>
      </c>
      <c r="E104" s="120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Row],[Kód položek (P2)]]))))))))))</f>
        <v>STO2</v>
      </c>
      <c r="F104" s="791" t="str">
        <f t="shared" si="708"/>
        <v>N/A</v>
      </c>
      <c r="G104" s="792" t="str">
        <f t="shared" si="709"/>
        <v/>
      </c>
      <c r="H104" s="262" t="str">
        <f t="shared" si="710"/>
        <v/>
      </c>
      <c r="I104" s="123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HR '[MJHR'] (P0)]]))))))))))</f>
        <v>ks</v>
      </c>
      <c r="J104" s="123">
        <f t="shared" si="711"/>
        <v>8</v>
      </c>
      <c r="K104" s="793">
        <f>RZ[[#This Row],[Koeficient odhadu HR '[-'] (P1)]]</f>
        <v>1</v>
      </c>
      <c r="L104" s="124">
        <f ca="1">RZ[[#This Row],[Jednotková hmotnost s koef. '[kg/MJHR'] (P0)]]</f>
        <v>452.7</v>
      </c>
      <c r="M104" s="794">
        <f t="shared" ca="1" si="712"/>
        <v>0</v>
      </c>
      <c r="N104" s="125">
        <f t="shared" ca="1" si="713"/>
        <v>3621.6</v>
      </c>
      <c r="O104" s="125">
        <f t="shared" ca="1" si="714"/>
        <v>0</v>
      </c>
      <c r="P104" s="126" t="str">
        <f t="shared" si="715"/>
        <v/>
      </c>
      <c r="Q104" s="795">
        <f ca="1">RZ[[#This Row],[Počet MJHR v rozpadu (P0)]]</f>
        <v>8</v>
      </c>
      <c r="R104" s="439" t="str">
        <f t="shared" si="716"/>
        <v/>
      </c>
      <c r="S104" s="129" t="str">
        <f t="shared" si="717"/>
        <v/>
      </c>
      <c r="T104" s="126" t="str">
        <f t="shared" si="718"/>
        <v/>
      </c>
      <c r="U104" s="126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CR (MJCR) (P0)]]))))))))))</f>
        <v>kg</v>
      </c>
      <c r="V104" s="575">
        <f t="shared" ca="1" si="719"/>
        <v>3621.6</v>
      </c>
      <c r="W104" s="322">
        <f>RZ[[#This Row],[Koeficient odhadu CR '[-'] (P1)]]</f>
        <v>1</v>
      </c>
      <c r="X104" s="440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Row],[Jednotková cena bez DPH '[cena/MJCR'] (P1)]]*RZ[[#This Row],[Koeficient odhadu CR '[-']]]))))))))))</f>
        <v>115</v>
      </c>
      <c r="Y104" s="440">
        <f t="shared" ca="1" si="720"/>
        <v>0</v>
      </c>
      <c r="Z104" s="142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VLOOKUP(IP104,$BR$7:$BS$11,2,FALSE)))))))))))</f>
        <v>CZK</v>
      </c>
      <c r="AA104" s="909">
        <f t="shared" ca="1" si="721"/>
        <v>3621.6</v>
      </c>
      <c r="AB104" s="910">
        <f ca="1">RZ[[#This Row],[Kumulovaný koeficient v rozpadu (P0)]]</f>
        <v>1</v>
      </c>
      <c r="AC104" s="261"/>
      <c r="AD104" s="796">
        <f ca="1">RZ[[#This Row],[Jednotková cena bez DPH '[cena/MJCR'] s koef. (P0)]]/RZ[[#This Row],[Koeficient odhadu CR '[-']]]*RZ[[#This Row],[Kumulovaný koeficient odhadu CR  '[-']]]</f>
        <v>115</v>
      </c>
      <c r="AE104" s="796">
        <f t="shared" ca="1" si="722"/>
        <v>416484</v>
      </c>
      <c r="AF104" s="796">
        <f ca="1">-IF(ISNUMBER(AA104),RZ[[#This Row],[Celková cena bez DPH (1)]]-RZ[[#This Row],[Jednotková cena bez DPH '[cena/MJCR'] bez koef. (P0)]]*AA104,0)</f>
        <v>0</v>
      </c>
      <c r="AG10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4" s="261"/>
      <c r="AI104" s="796">
        <f t="shared" ca="1" si="723"/>
        <v>4.2592592592592595</v>
      </c>
      <c r="AJ104" s="796">
        <f t="shared" ca="1" si="724"/>
        <v>15425.333333333334</v>
      </c>
      <c r="AK104" s="796">
        <f t="shared" ca="1" si="725"/>
        <v>0</v>
      </c>
      <c r="AL104" s="753">
        <f ca="1">RZ[[#This Row],[Kilogramová cena bez DPH '[cena/kg'] (1)]]/$AK$13</f>
        <v>4.2592592592592595</v>
      </c>
      <c r="AM104" s="261"/>
      <c r="AN104" s="796">
        <f t="shared" ca="1" si="726"/>
        <v>5.5555555555555554</v>
      </c>
      <c r="AO104" s="796">
        <f t="shared" ca="1" si="727"/>
        <v>20120</v>
      </c>
      <c r="AP104" s="796">
        <f t="shared" ca="1" si="728"/>
        <v>0</v>
      </c>
      <c r="AQ104" s="753">
        <f ca="1">RZ[[#This Row],[Kilogramová cena bez DPH '[cena/kg'] (1)]]/$AP$13</f>
        <v>5.5555555555555554</v>
      </c>
      <c r="AR104" s="261"/>
      <c r="AS104" s="796">
        <f t="shared" ca="1" si="729"/>
        <v>3.1455142231947484</v>
      </c>
      <c r="AT104" s="796">
        <f t="shared" ca="1" si="730"/>
        <v>11391.7943107221</v>
      </c>
      <c r="AU104" s="789">
        <f t="shared" ca="1" si="731"/>
        <v>0</v>
      </c>
      <c r="AV104" s="767">
        <f ca="1">RZ[[#This Row],[Kilogramová cena bez DPH '[cena/kg'] (1)]]/$AU$13</f>
        <v>3.1455142231947484</v>
      </c>
      <c r="AW104" s="165"/>
      <c r="AX104" s="911">
        <f t="shared" ca="1" si="732"/>
        <v>2</v>
      </c>
      <c r="AY104" s="111">
        <f t="shared" ca="1" si="733"/>
        <v>8</v>
      </c>
      <c r="AZ104" s="111">
        <f t="shared" ca="1" si="734"/>
        <v>4</v>
      </c>
      <c r="BA104" s="111">
        <f t="shared" ca="1" si="735"/>
        <v>0</v>
      </c>
      <c r="BB104" s="111">
        <f t="shared" ca="1" si="736"/>
        <v>0</v>
      </c>
      <c r="BC104" s="111">
        <f t="shared" ca="1" si="737"/>
        <v>0</v>
      </c>
      <c r="BD104" s="111">
        <f t="shared" ca="1" si="738"/>
        <v>0</v>
      </c>
      <c r="BE104" s="111">
        <f t="shared" ca="1" si="739"/>
        <v>0</v>
      </c>
      <c r="BF104" s="111">
        <f t="shared" ca="1" si="740"/>
        <v>0</v>
      </c>
      <c r="BG104" s="112">
        <f t="shared" ca="1" si="741"/>
        <v>0</v>
      </c>
      <c r="BH104" s="911">
        <f t="shared" si="742"/>
        <v>0</v>
      </c>
      <c r="BI104" s="111">
        <f t="shared" si="743"/>
        <v>0</v>
      </c>
      <c r="BJ104" s="111">
        <f t="shared" si="744"/>
        <v>1</v>
      </c>
      <c r="BK104" s="111">
        <f t="shared" si="745"/>
        <v>0</v>
      </c>
      <c r="BL104" s="111">
        <f t="shared" si="746"/>
        <v>0</v>
      </c>
      <c r="BM104" s="111">
        <f t="shared" si="747"/>
        <v>0</v>
      </c>
      <c r="BN104" s="111">
        <f t="shared" si="748"/>
        <v>0</v>
      </c>
      <c r="BO104" s="111">
        <f t="shared" si="749"/>
        <v>0</v>
      </c>
      <c r="BP104" s="111">
        <f t="shared" si="750"/>
        <v>0</v>
      </c>
      <c r="BQ104" s="112">
        <f t="shared" si="751"/>
        <v>0</v>
      </c>
      <c r="BR104" s="132">
        <f ca="1">IF(OFFSET(AY104,1,0,1,1)&lt;&gt;0,RZ[[#This Row],[Koeficient odhadu HR '[-'] (P1)]]*$BH104*SUMIFS(RZ[Úroveň 2 s koef. (P2)],RZ[0],AX104),RZ[[#This Row],[Koeficient odhadu HR '[-'] (P1)]]*$BH104*$IG104)</f>
        <v>0</v>
      </c>
      <c r="BS104" s="186">
        <f ca="1">IF(OFFSET(AY104,1,0,1,1)&lt;&gt;0,$BH104*SUMIFS(RZ[Úroveň 2 bez koef. (P2)],RZ[0],AX104),$BH104*$IG104)</f>
        <v>0</v>
      </c>
      <c r="BT104" s="138">
        <f ca="1">RZ[[#This Row],[Úroveň 2 s koef. (P2a)]]*RZ[[#This Row],[Počet MJHR (P0)]]</f>
        <v>0</v>
      </c>
      <c r="BU104" s="138">
        <f ca="1">RZ[[#This Row],[Úroveň 2 bez koef. (P2a)]]*RZ[[#This Row],[Počet MJHR (P0)]]</f>
        <v>0</v>
      </c>
      <c r="BV104" s="138">
        <f ca="1">IF(OFFSET(AZ104,1,0,1,1)&lt;&gt;0,RZ[[#This Row],[Koeficient odhadu HR '[-'] (P1)]]*$BI104*SUMIFS(RZ[Úroveň 3 s koef. (P2)],RZ[0],AX104,RZ[Úroveň 2 (P0)],AY104),RZ[[#This Row],[Koeficient odhadu HR '[-'] (P1)]]*$BI104*$IG104)</f>
        <v>0</v>
      </c>
      <c r="BW104" s="138">
        <f ca="1">IF(OFFSET(AZ104,1,0,1,1)&lt;&gt;0,$BI104*SUMIFS(RZ[Úroveň 3 bez koef. (P2)],RZ[0],AX104,RZ[Úroveň 2 (P0)],AY104),$BI104*$IG104)</f>
        <v>0</v>
      </c>
      <c r="BX104" s="132">
        <f ca="1">RZ[[#This Row],[Úroveň 3 s koef. (P2a)]]*RZ[[#This Row],[Počet MJHR (P0)]]</f>
        <v>3621.6</v>
      </c>
      <c r="BY104" s="132">
        <f ca="1">RZ[Úroveň 3 bez koef. (P2a)]*RZ[[#This Row],[Počet MJHR (P0)]]</f>
        <v>3621.6</v>
      </c>
      <c r="BZ104" s="132">
        <f ca="1">IF(OFFSET(BA104,1,0,1,1)&lt;&gt;0,RZ[[#This Row],[Koeficient odhadu HR '[-'] (P1)]]*$BJ104*SUMIFS(RZ[Úroveň 4 s koef. (P2)],RZ[0],AX104,RZ[Úroveň 2 (P0)],AY104,RZ[Úroveň 3 (P0)],AZ104),RZ[[#This Row],[Koeficient odhadu HR '[-'] (P1)]]*$BJ104*$IG104)</f>
        <v>452.7</v>
      </c>
      <c r="CA104" s="132">
        <f ca="1">IF(OFFSET(BA104,1,0,1,1)&lt;&gt;0,$BJ104*SUMIFS(RZ[Úroveň 4 bez koef. (P2)],RZ[0],AX104,RZ[Úroveň 2 (P0)],AY104,RZ[Úroveň 3 (P0)],AZ104),$BJ104*$IG104)</f>
        <v>452.7</v>
      </c>
      <c r="CB104" s="138">
        <f ca="1">RZ[[#This Row],[Úroveň 4 s koef. (P2a)]]*RZ[[#This Row],[Počet MJHR (P0)]]</f>
        <v>0</v>
      </c>
      <c r="CC104" s="138">
        <f ca="1">RZ[Úroveň 4 bez koef. (P2a)]*RZ[[#This Row],[Počet MJHR (P0)]]</f>
        <v>0</v>
      </c>
      <c r="CD104" s="138">
        <f ca="1">IF(OFFSET(BB104,1,0,1,1)&lt;&gt;0,RZ[[#This Row],[Koeficient odhadu HR '[-'] (P1)]]*$BK104*SUMIFS(RZ[Úroveň 5 s koef. (P2)],RZ[0],AX104,RZ[Úroveň 2 (P0)],AY104,RZ[Úroveň 3 (P0)],AZ104,RZ[Úroveň 4 (P0)],BA104),RZ[[#This Row],[Koeficient odhadu HR '[-'] (P1)]]*$BK104*$IG104)</f>
        <v>0</v>
      </c>
      <c r="CE104" s="138">
        <f ca="1">IF(OFFSET(BB104,1,0,1,1)&lt;&gt;0,$BK104*SUMIFS(RZ[Úroveň 5 bez koef. (P2)],RZ[0],AX104,RZ[Úroveň 2 (P0)],AY104,RZ[Úroveň 3 (P0)],AZ104,RZ[Úroveň 4 (P0)],BA104),$BK104*$IG104)</f>
        <v>0</v>
      </c>
      <c r="CF104" s="132">
        <f ca="1">RZ[[#This Row],[Úroveň 5 s koef. (P2a)]]*RZ[[#This Row],[Počet MJHR (P0)]]</f>
        <v>0</v>
      </c>
      <c r="CG104" s="132">
        <f ca="1">RZ[Úroveň 5 bez koef. (P2a)]*RZ[[#This Row],[Počet MJHR (P0)]]</f>
        <v>0</v>
      </c>
      <c r="CH104" s="132">
        <f ca="1">IF(OFFSET(BC104,1,0,1,1)&lt;&gt;0,RZ[[#This Row],[Koeficient odhadu HR '[-'] (P1)]]*$BL104*SUMIFS(RZ[Úroveň 6 s koef. (P2)],RZ[0],AX104,RZ[Úroveň 2 (P0)],AY104,RZ[Úroveň 3 (P0)],AZ104,RZ[Úroveň 4 (P0)],BA104,RZ[Úroveň 5 (P0)],BB104),RZ[[#This Row],[Koeficient odhadu HR '[-'] (P1)]]*$BL104*$IG104)</f>
        <v>0</v>
      </c>
      <c r="CI104" s="132">
        <f ca="1">IF(OFFSET(BC104,1,0,1,1)&lt;&gt;0,$BL104*SUMIFS(RZ[Úroveň 6 bez koef. (P2)],RZ[0],AX104,RZ[Úroveň 2 (P0)],AY104,RZ[Úroveň 3 (P0)],AZ104,RZ[Úroveň 4 (P0)],BA104,RZ[Úroveň 5 (P0)],BB104),$BL104*$IG104)</f>
        <v>0</v>
      </c>
      <c r="CJ104" s="138">
        <f ca="1">RZ[[#This Row],[Úroveň 6 s koef. (P2a)]]*RZ[[#This Row],[Počet MJHR (P0)]]</f>
        <v>0</v>
      </c>
      <c r="CK104" s="138">
        <f ca="1">RZ[Úroveň 6 bez koef. (P2a)]*RZ[[#This Row],[Počet MJHR (P0)]]</f>
        <v>0</v>
      </c>
      <c r="CL104" s="138">
        <f ca="1">IF(OFFSET(BD104,1,0,1,1)&lt;&gt;0,RZ[[#This Row],[Koeficient odhadu HR '[-'] (P1)]]*$BM104*SUMIFS(RZ[Úroveň 7 s koef. (P2)],RZ[0],AX104,RZ[Úroveň 2 (P0)],AY104,RZ[Úroveň 3 (P0)],AZ104,RZ[Úroveň 4 (P0)],BA104,RZ[Úroveň 5 (P0)],BB104,RZ[Úroveň 6 (P0)],BC104),RZ[[#This Row],[Koeficient odhadu HR '[-'] (P1)]]*$BM104*$IG104)</f>
        <v>0</v>
      </c>
      <c r="CM104" s="138">
        <f ca="1">IF(OFFSET(BD104,1,0,1,1)&lt;&gt;0,$BM104*SUMIFS(RZ[Úroveň 7 bez koef. (P2)],RZ[0],AX104,RZ[Úroveň 2 (P0)],AY104,RZ[Úroveň 3 (P0)],AZ104,RZ[Úroveň 4 (P0)],BA104,RZ[Úroveň 5 (P0)],BB104,RZ[Úroveň 6 (P0)],BC104),$BM104*$IG104)</f>
        <v>0</v>
      </c>
      <c r="CN104" s="132">
        <f ca="1">RZ[[#This Row],[Úroveň 7 s koef. (P2a)]]*RZ[[#This Row],[Počet MJHR (P0)]]</f>
        <v>0</v>
      </c>
      <c r="CO104" s="132">
        <f ca="1">RZ[Úroveň 7 bez koef. (P2a)]*RZ[[#This Row],[Počet MJHR (P0)]]</f>
        <v>0</v>
      </c>
      <c r="CP104" s="132">
        <f ca="1">IF(OFFSET(BE104,1,0,1,1)&lt;&gt;0,RZ[[#This Row],[Koeficient odhadu HR '[-'] (P1)]]*$BN104*SUMIFS(RZ[Úroveň 8 s koef. (P2)],RZ[0],AX104,RZ[Úroveň 2 (P0)],AY104,RZ[Úroveň 3 (P0)],AZ104,RZ[Úroveň 4 (P0)],BA104,RZ[Úroveň 5 (P0)],BB104,RZ[Úroveň 6 (P0)],BC104,RZ[Úroveň 7 (P0)],BD104),RZ[[#This Row],[Koeficient odhadu HR '[-'] (P1)]]*$BN104*$IG104)</f>
        <v>0</v>
      </c>
      <c r="CQ104" s="132">
        <f ca="1">IF(OFFSET(BE104,1,0,1,1)&lt;&gt;0,$BN104*SUMIFS(RZ[Úroveň 8 bez koef. (P2)],RZ[0],AX104,RZ[Úroveň 2 (P0)],AY104,RZ[Úroveň 3 (P0)],AZ104,RZ[Úroveň 4 (P0)],BA104,RZ[Úroveň 5 (P0)],BB104,RZ[Úroveň 6 (P0)],BC104,RZ[Úroveň 7 (P0)],BD104),$BN104*$IG104)</f>
        <v>0</v>
      </c>
      <c r="CR104" s="138">
        <f ca="1">RZ[[#This Row],[Úroveň 8 s koef. (P2a)]]*RZ[[#This Row],[Počet MJHR (P0)]]</f>
        <v>0</v>
      </c>
      <c r="CS104" s="138">
        <f ca="1">RZ[Úroveň 8 bez koef. (P2a)]*RZ[[#This Row],[Počet MJHR (P0)]]</f>
        <v>0</v>
      </c>
      <c r="CT104" s="138">
        <f ca="1">IF(OFFSET(BF104,1,0,1,1)&lt;&gt;0,RZ[[#This Row],[Koeficient odhadu HR '[-'] (P1)]]*$BO104*SUMIFS(RZ[Úroveň 9 s koef. (P2)],RZ[0],AX104,RZ[Úroveň 2 (P0)],AY104,RZ[Úroveň 3 (P0)],AZ104,RZ[Úroveň 4 (P0)],BA104,RZ[Úroveň 5 (P0)],BB104,RZ[Úroveň 6 (P0)],BC104,RZ[Úroveň 7 (P0)],BD104,RZ[Úroveň 8 (P0)],BE104),RZ[[#This Row],[Koeficient odhadu HR '[-'] (P1)]]*$BO104*$IG104)</f>
        <v>0</v>
      </c>
      <c r="CU104" s="138">
        <f ca="1">IF(OFFSET(BF104,1,0,1,1)&lt;&gt;0,$BO104*SUMIFS(RZ[Úroveň 9 bez koef. (P2)],RZ[0],AX104,RZ[Úroveň 2 (P0)],AY104,RZ[Úroveň 3 (P0)],AZ104,RZ[Úroveň 4 (P0)],BA104,RZ[Úroveň 5 (P0)],BB104,RZ[Úroveň 6 (P0)],BC104,RZ[Úroveň 7 (P0)],BD104,RZ[Úroveň 8 (P0)],BE104),$BO104*$IG104)</f>
        <v>0</v>
      </c>
      <c r="CV104" s="132">
        <f ca="1">RZ[[#This Row],[Úroveň 9 s koef. (P2a)]]*RZ[[#This Row],[Počet MJHR (P0)]]</f>
        <v>0</v>
      </c>
      <c r="CW104" s="132">
        <f ca="1">RZ[Úroveň 9 bez koef. (P2a)]*RZ[[#This Row],[Počet MJHR (P0)]]</f>
        <v>0</v>
      </c>
      <c r="CX104" s="132">
        <f ca="1">IF(OFFSET(BG104,1,0,1,1)&lt;&gt;0,RZ[[#This Row],[Koeficient odhadu HR '[-'] (P1)]]*$BP104*SUMIFS(RZ[Úroveň 10 s koef. (P2)],RZ[0],AX104,RZ[Úroveň 2 (P0)],AY104,RZ[Úroveň 3 (P0)],AZ104,RZ[Úroveň 4 (P0)],BA104,RZ[Úroveň 5 (P0)],BB104,RZ[Úroveň 6 (P0)],BC104,RZ[Úroveň 7 (P0)],BD104,RZ[Úroveň 8 (P0)],BE104,RZ[Úroveň 9 (P0)],BF104),RZ[[#This Row],[Koeficient odhadu HR '[-'] (P1)]]*$BP104*$IG104)</f>
        <v>0</v>
      </c>
      <c r="CY104" s="132">
        <f ca="1">IF(OFFSET(BG104,1,0,1,1)&lt;&gt;0,$BP104*SUMIFS(RZ[Úroveň 10 bez koef. (P2)],RZ[0],AX104,RZ[Úroveň 2 (P0)],AY104,RZ[Úroveň 3 (P0)],AZ104,RZ[Úroveň 4 (P0)],BA104,RZ[Úroveň 5 (P0)],BB104,RZ[Úroveň 6 (P0)],BC104,RZ[Úroveň 7 (P0)],BD104,RZ[Úroveň 8 (P0)],BE104,RZ[Úroveň 9 (P0)],BF104),$BP104*$IG104)</f>
        <v>0</v>
      </c>
      <c r="CZ104" s="138">
        <f>RZ[[#This Row],[Úroveň 10 s koef. (P2a)]]*RZ[[#This Row],[Počet MJHR (P0)]]</f>
        <v>0</v>
      </c>
      <c r="DA104" s="138">
        <f>RZ[Úroveň 10 bez koef. (P2a)]*RZ[[#This Row],[Počet MJHR (P0)]]</f>
        <v>0</v>
      </c>
      <c r="DB104" s="138">
        <f>RZ[[#This Row],[Koeficient odhadu HR '[-'] (P1)]]*$BQ104*IG104</f>
        <v>0</v>
      </c>
      <c r="DC104" s="231">
        <f t="shared" si="752"/>
        <v>0</v>
      </c>
      <c r="DD104" s="241">
        <f t="shared" ca="1" si="753"/>
        <v>452.7</v>
      </c>
      <c r="DE104" s="229">
        <f t="shared" ca="1" si="754"/>
        <v>452.7</v>
      </c>
      <c r="DF104" s="912">
        <f t="shared" si="755"/>
        <v>0</v>
      </c>
      <c r="DG104" s="913">
        <f t="shared" si="756"/>
        <v>0</v>
      </c>
      <c r="DH104" s="913">
        <f t="shared" si="757"/>
        <v>8</v>
      </c>
      <c r="DI104" s="913">
        <f t="shared" si="758"/>
        <v>0</v>
      </c>
      <c r="DJ104" s="913">
        <f t="shared" si="759"/>
        <v>0</v>
      </c>
      <c r="DK104" s="913">
        <f t="shared" si="760"/>
        <v>0</v>
      </c>
      <c r="DL104" s="913">
        <f t="shared" si="761"/>
        <v>0</v>
      </c>
      <c r="DM104" s="913">
        <f t="shared" si="762"/>
        <v>0</v>
      </c>
      <c r="DN104" s="913">
        <f t="shared" si="763"/>
        <v>0</v>
      </c>
      <c r="DO104" s="913">
        <f t="shared" si="764"/>
        <v>0</v>
      </c>
      <c r="DP104" s="914">
        <f ca="1">SUMIFS(RZ[Úroveň 1 (P4)],RZ[0],AX104)</f>
        <v>1</v>
      </c>
      <c r="DQ104" s="914">
        <f ca="1">SUMIFS(RZ[Úroveň 2 (P4)],RZ[0],AX104,RZ[Úroveň 2 (P0)],AY104)</f>
        <v>1</v>
      </c>
      <c r="DR104" s="914">
        <f ca="1">SUMIFS(RZ[Úroveň 3 (P4)],RZ[0],AX104,RZ[Úroveň 2 (P0)],AY104,RZ[Úroveň 3 (P0)],AZ104)</f>
        <v>8</v>
      </c>
      <c r="DS104" s="914">
        <f ca="1">SUMIFS(RZ[Úroveň 4 (P4)],RZ[0],AX104,RZ[Úroveň 2 (P0)],AY104,RZ[Úroveň 3 (P0)],AZ104,RZ[Úroveň 4 (P0)],BA104)</f>
        <v>0</v>
      </c>
      <c r="DT104" s="914">
        <f ca="1">SUMIFS(RZ[Úroveň 5 (P4)],RZ[0],AX104,RZ[Úroveň 2 (P0)],AY104,RZ[Úroveň 3 (P0)],AZ104,RZ[Úroveň 4 (P0)],BA104,RZ[Úroveň 5 (P0)],BB104)</f>
        <v>0</v>
      </c>
      <c r="DU104" s="914">
        <f ca="1">SUMIFS(RZ[Úroveň 6 (P4)],RZ[0],AX104,RZ[Úroveň 2 (P0)],AY104,RZ[Úroveň 3 (P0)],AZ104,RZ[Úroveň 4 (P0)],BA104,RZ[Úroveň 5 (P0)],BB104,RZ[Úroveň 6 (P0)],BC104)</f>
        <v>0</v>
      </c>
      <c r="DV104" s="914">
        <f ca="1">SUMIFS(RZ[Úroveň 7 (P4)],RZ[0],AX104,RZ[Úroveň 2 (P0)],AY104,RZ[Úroveň 3 (P0)],AZ104,RZ[Úroveň 4 (P0)],BA104,RZ[Úroveň 5 (P0)],BB104,RZ[Úroveň 6 (P0)],BC104,RZ[Úroveň 7 (P0)],BD104)</f>
        <v>0</v>
      </c>
      <c r="DW104" s="914">
        <f ca="1">SUMIFS(RZ[Úroveň 8 (P4)],RZ[0],AX104,RZ[Úroveň 2 (P0)],AY104,RZ[Úroveň 3 (P0)],AZ104,RZ[Úroveň 4 (P0)],BA104,RZ[Úroveň 5 (P0)],BB104,RZ[Úroveň 6 (P0)],BC104,RZ[Úroveň 7 (P0)],BD104,RZ[Úroveň 8 (P0)],BE104)</f>
        <v>0</v>
      </c>
      <c r="DX104" s="914">
        <f ca="1">SUMIFS(RZ[Úroveň 9 (P4)],RZ[0],AX104,RZ[Úroveň 2 (P0)],AY104,RZ[Úroveň 3 (P0)],AZ104,RZ[Úroveň 4 (P0)],BA104,RZ[Úroveň 5 (P0)],BB104,RZ[Úroveň 6 (P0)],BC104,RZ[Úroveň 7 (P0)],BD104,RZ[Úroveň 8 (P0)],BE104,RZ[Úroveň 9 (P0)],BF104)</f>
        <v>0</v>
      </c>
      <c r="DY104" s="914">
        <f ca="1">SUMIFS(RZ[Úroveň 10 (P4)],RZ[0],AX104,RZ[Úroveň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DZ104" s="915">
        <f t="shared" ca="1" si="765"/>
        <v>8</v>
      </c>
      <c r="EA104" s="916">
        <f ca="1">RZ[[#This Row],[Jednotková hmotnost bez koef. '[kg/MJHR'] (P0)]]*RZ[[#This Row],[Počet MJHR v rozpadu (P0)]]</f>
        <v>3621.6</v>
      </c>
      <c r="EB104" s="917">
        <f ca="1">IF(OFFSET(AY104,1,0,1,1)&lt;&gt;0,RZ[[#This Row],[Koeficient odhadu CR '[-'] (P1)]]*$BH104*SUMIFS(RZ[Úroveň 2 s koef. (P3)],RZ[0],AX104),RZ[[#This Row],[Koeficient odhadu CR '[-'] (P1)]]*$BH104*$IQ104)</f>
        <v>0</v>
      </c>
      <c r="EC104" s="191">
        <f ca="1">IF(OFFSET(AY104,1,0,1,1)&lt;&gt;0,$BH104*SUMIFS(RZ[Úroveň 2 bez koef. (P3)],RZ[0],AX104),$BH104*$IQ104)</f>
        <v>0</v>
      </c>
      <c r="ED104" s="140">
        <f ca="1">RZ[[#This Row],[Úroveň 2 s koef. (P3a)]]*RZ[[#This Row],[Počet MJCR (P0) pro "kg"]]</f>
        <v>0</v>
      </c>
      <c r="EE104" s="140">
        <f ca="1">RZ[Úroveň 2 bez koef. (P3a)]*RZ[[#This Row],[Počet MJCR (P0) pro "kg"]]</f>
        <v>0</v>
      </c>
      <c r="EF104" s="140">
        <f ca="1">IF(OFFSET(AZ104,1,0,1,1)&lt;&gt;0,RZ[[#This Row],[Koeficient odhadu CR '[-'] (P1)]]*$BI104*SUMIFS(RZ[Úroveň 3 s koef. (P3)],RZ[0],AX104,RZ[Úroveň 2 (P0)],AY104),RZ[[#This Row],[Koeficient odhadu CR '[-'] (P1)]]*$BI104*$IQ104)</f>
        <v>0</v>
      </c>
      <c r="EG104" s="140">
        <f ca="1">IF(OFFSET(AZ104,1,0,1,1)&lt;&gt;0,$BI104*SUMIFS(RZ[Úroveň 3 bez koef. (P3)],RZ[0],AX104,RZ[Úroveň 2 (P0)],AY104),$BI104*$IQ104)</f>
        <v>0</v>
      </c>
      <c r="EH104" s="135">
        <f ca="1">RZ[[#This Row],[Úroveň 3 s koef. (P3a)]]*RZ[[#This Row],[Počet MJCR (P0) pro "kg"]]</f>
        <v>416484</v>
      </c>
      <c r="EI104" s="135">
        <f ca="1">RZ[Úroveň 3 bez koef. (P3a)]*RZ[[#This Row],[Počet MJCR (P0) pro "kg"]]</f>
        <v>416484</v>
      </c>
      <c r="EJ104" s="135">
        <f ca="1">IF(OFFSET(BA104,1,0,1,1)&lt;&gt;0,RZ[[#This Row],[Koeficient odhadu CR '[-'] (P1)]]*$BJ104*SUMIFS(RZ[Úroveň 4 s koef. (P3)],RZ[0],AX104,RZ[Úroveň 2 (P0)],AY104,RZ[Úroveň 3 (P0)],AZ104),RZ[[#This Row],[Koeficient odhadu CR '[-'] (P1)]]*$BJ104*$IQ104)</f>
        <v>115</v>
      </c>
      <c r="EK104" s="135">
        <f ca="1">IF(OFFSET(BA104,1,0,1,1)&lt;&gt;0,$BJ104*SUMIFS(RZ[Úroveň 4 bez koef. (P3)],RZ[0],AX104,RZ[Úroveň 2 (P0)],AY104,RZ[Úroveň 3 (P0)],AZ104),$BJ104*$IQ104)</f>
        <v>115</v>
      </c>
      <c r="EL104" s="140">
        <f ca="1">RZ[[#This Row],[Úroveň 4 s koef. (P3a)]]*RZ[[#This Row],[Počet MJCR (P0) pro "kg"]]</f>
        <v>0</v>
      </c>
      <c r="EM104" s="140">
        <f ca="1">RZ[Úroveň 4 bez koef. (P3a)]*RZ[[#This Row],[Počet MJCR (P0) pro "kg"]]</f>
        <v>0</v>
      </c>
      <c r="EN104" s="140">
        <f ca="1">IF(OFFSET(BB104,1,0,1,1)&lt;&gt;0,RZ[[#This Row],[Koeficient odhadu CR '[-'] (P1)]]*$BK104*SUMIFS(RZ[Úroveň 5 s koef. (P3)],RZ[0],AX104,RZ[Úroveň 2 (P0)],AY104,RZ[Úroveň 3 (P0)],AZ104,RZ[Úroveň 4 (P0)],BA104),RZ[[#This Row],[Koeficient odhadu CR '[-'] (P1)]]*$BK104*$IQ104)</f>
        <v>0</v>
      </c>
      <c r="EO104" s="140">
        <f ca="1">IF(OFFSET(BB104,1,0,1,1)&lt;&gt;0,$BK104*SUMIFS(RZ[Úroveň 5 bez koef. (P3)],RZ[0],AX104,RZ[Úroveň 2 (P0)],AY104,RZ[Úroveň 3 (P0)],AZ104,RZ[Úroveň 4 (P0)],BA104),$BK104*$IQ104)</f>
        <v>0</v>
      </c>
      <c r="EP104" s="135">
        <f ca="1">RZ[[#This Row],[Úroveň 5 s koef. (P3a)]]*RZ[[#This Row],[Počet MJCR (P0) pro "kg"]]</f>
        <v>0</v>
      </c>
      <c r="EQ104" s="135">
        <f ca="1">RZ[Úroveň 5 bez koef. (P3a)]*RZ[[#This Row],[Počet MJCR (P0) pro "kg"]]</f>
        <v>0</v>
      </c>
      <c r="ER104" s="135">
        <f ca="1">IF(OFFSET(BC104,1,0,1,1)&lt;&gt;0,RZ[[#This Row],[Koeficient odhadu CR '[-'] (P1)]]*$BL104*SUMIFS(RZ[Úroveň 6 s koef. (P3)],RZ[0],AX104,RZ[Úroveň 2 (P0)],AY104,RZ[Úroveň 3 (P0)],AZ104,RZ[Úroveň 4 (P0)],BA104,RZ[Úroveň 5 (P0)],BB104),RZ[[#This Row],[Koeficient odhadu CR '[-'] (P1)]]*$BL104*$IQ104)</f>
        <v>0</v>
      </c>
      <c r="ES104" s="135">
        <f ca="1">IF(OFFSET(BC104,1,0,1,1)&lt;&gt;0,$BL104*SUMIFS(RZ[Úroveň 6 bez koef. (P3)],RZ[0],AX104,RZ[Úroveň 2 (P0)],AY104,RZ[Úroveň 3 (P0)],AZ104,RZ[Úroveň 4 (P0)],BA104,RZ[Úroveň 5 (P0)],BB104),$BL104*$IQ104)</f>
        <v>0</v>
      </c>
      <c r="ET104" s="140">
        <f ca="1">RZ[[#This Row],[Úroveň 6 s koef. (P3a)]]*RZ[[#This Row],[Počet MJCR (P0) pro "kg"]]</f>
        <v>0</v>
      </c>
      <c r="EU104" s="140">
        <f ca="1">RZ[Úroveň 6 bez koef. (P3a)]*RZ[[#This Row],[Počet MJCR (P0) pro "kg"]]</f>
        <v>0</v>
      </c>
      <c r="EV104" s="140">
        <f ca="1">IF(OFFSET(BD104,1,0,1,1)&lt;&gt;0,RZ[[#This Row],[Koeficient odhadu CR '[-'] (P1)]]*$BM104*SUMIFS(RZ[Úroveň 7 s koef. (P3)],RZ[0],AX104,RZ[Úroveň 2 (P0)],AY104,RZ[Úroveň 3 (P0)],AZ104,RZ[Úroveň 4 (P0)],BA104,RZ[Úroveň 5 (P0)],BB104,RZ[Úroveň 6 (P0)],BC104),RZ[[#This Row],[Koeficient odhadu CR '[-'] (P1)]]*$BM104*$IQ104)</f>
        <v>0</v>
      </c>
      <c r="EW104" s="140">
        <f ca="1">IF(OFFSET(BD104,1,0,1,1)&lt;&gt;0,$BM104*SUMIFS(RZ[Úroveň 7 bez koef. (P3)],RZ[0],AX104,RZ[Úroveň 2 (P0)],AY104,RZ[Úroveň 3 (P0)],AZ104,RZ[Úroveň 4 (P0)],BA104,RZ[Úroveň 5 (P0)],BB104,RZ[Úroveň 6 (P0)],BC104),$BM104*$IQ104)</f>
        <v>0</v>
      </c>
      <c r="EX104" s="135">
        <f ca="1">RZ[[#This Row],[Úroveň 7 s koef. (P3a)]]*RZ[[#This Row],[Počet MJCR (P0) pro "kg"]]</f>
        <v>0</v>
      </c>
      <c r="EY104" s="135">
        <f ca="1">RZ[Úroveň 7 bez koef. (P3a)]*RZ[[#This Row],[Počet MJCR (P0) pro "kg"]]</f>
        <v>0</v>
      </c>
      <c r="EZ104" s="135">
        <f ca="1">IF(OFFSET(BE104,1,0,1,1)&lt;&gt;0,RZ[[#This Row],[Koeficient odhadu CR '[-'] (P1)]]*$BN104*SUMIFS(RZ[Úroveň 8 s koef. (P3)],RZ[0],AX104,RZ[Úroveň 2 (P0)],AY104,RZ[Úroveň 3 (P0)],AZ104,RZ[Úroveň 4 (P0)],BA104,RZ[Úroveň 5 (P0)],BB104,RZ[Úroveň 6 (P0)],BC104,RZ[Úroveň 7 (P0)],BD104),RZ[[#This Row],[Koeficient odhadu CR '[-'] (P1)]]*$BN104*$IQ104)</f>
        <v>0</v>
      </c>
      <c r="FA104" s="135">
        <f ca="1">IF(OFFSET(BE104,1,0,1,1)&lt;&gt;0,$BN104*SUMIFS(RZ[Úroveň 8 bez koef. (P3)],RZ[0],AX104,RZ[Úroveň 2 (P0)],AY104,RZ[Úroveň 3 (P0)],AZ104,RZ[Úroveň 4 (P0)],BA104,RZ[Úroveň 5 (P0)],BB104,RZ[Úroveň 6 (P0)],BC104,RZ[Úroveň 7 (P0)],BD104),$BN104*$IQ104)</f>
        <v>0</v>
      </c>
      <c r="FB104" s="140">
        <f ca="1">RZ[[#This Row],[Úroveň 8 s koef. (P3a)]]*RZ[[#This Row],[Počet MJCR (P0) pro "kg"]]</f>
        <v>0</v>
      </c>
      <c r="FC104" s="140">
        <f ca="1">RZ[Úroveň 8 bez koef. (P3a)]*RZ[[#This Row],[Počet MJCR (P0) pro "kg"]]</f>
        <v>0</v>
      </c>
      <c r="FD104" s="140">
        <f ca="1">IF(OFFSET(BF104,1,0,1,1)&lt;&gt;0,RZ[[#This Row],[Koeficient odhadu CR '[-'] (P1)]]*$BO104*SUMIFS(RZ[Úroveň 9 s koef. (P3)],RZ[0],AX104,RZ[Úroveň 2 (P0)],AY104,RZ[Úroveň 3 (P0)],AZ104,RZ[Úroveň 4 (P0)],BA104,RZ[Úroveň 5 (P0)],BB104,RZ[Úroveň 6 (P0)],BC104,RZ[Úroveň 7 (P0)],BD104,RZ[Úroveň 8 (P0)],BE104),RZ[[#This Row],[Koeficient odhadu CR '[-'] (P1)]]*$BO104*$IQ104)</f>
        <v>0</v>
      </c>
      <c r="FE104" s="140">
        <f ca="1">IF(OFFSET(BF104,1,0,1,1)&lt;&gt;0,$BO104*SUMIFS(RZ[Úroveň 9 bez koef. (P3)],RZ[0],AX104,RZ[Úroveň 2 (P0)],AY104,RZ[Úroveň 3 (P0)],AZ104,RZ[Úroveň 4 (P0)],BA104,RZ[Úroveň 5 (P0)],BB104,RZ[Úroveň 6 (P0)],BC104,RZ[Úroveň 7 (P0)],BD104,RZ[Úroveň 8 (P0)],BE104),$BO104*$IQ104)</f>
        <v>0</v>
      </c>
      <c r="FF104" s="135">
        <f ca="1">RZ[[#This Row],[Úroveň 9 s koef. (P3a)]]*RZ[[#This Row],[Počet MJCR (P0) pro "kg"]]</f>
        <v>0</v>
      </c>
      <c r="FG104" s="135">
        <f ca="1">RZ[Úroveň 9 bez koef. (P3a)]*RZ[[#This Row],[Počet MJCR (P0) pro "kg"]]</f>
        <v>0</v>
      </c>
      <c r="FH104" s="135">
        <f ca="1">IF(OFFSET(BG104,1,0,1,1)&lt;&gt;0,RZ[[#This Row],[Koeficient odhadu CR '[-'] (P1)]]*$BP104*SUMIFS(RZ[Úroveň 10 s koef. (P3)],RZ[0],AX104,RZ[Úroveň 2 (P0)],AY104,RZ[Úroveň 3 (P0)],AZ104,RZ[Úroveň 4 (P0)],BA104,RZ[Úroveň 5 (P0)],BB104,RZ[Úroveň 6 (P0)],BC104,RZ[Úroveň 7 (P0)],BD104,RZ[Úroveň 8 (P0)],BE104,RZ[Úroveň 9 (P0)],BF104),RZ[[#This Row],[Koeficient odhadu CR '[-'] (P1)]]*$BP104*$IQ104)</f>
        <v>0</v>
      </c>
      <c r="FI104" s="135">
        <f ca="1">IF(OFFSET(BG104,1,0,1,1)&lt;&gt;0,$BP104*SUMIFS(RZ[Úroveň 10 bez koef. (P3)],RZ[0],AX104,RZ[Úroveň 2 (P0)],AY104,RZ[Úroveň 3 (P0)],AZ104,RZ[Úroveň 4 (P0)],BA104,RZ[Úroveň 5 (P0)],BB104,RZ[Úroveň 6 (P0)],BC104,RZ[Úroveň 7 (P0)],BD104,RZ[Úroveň 8 (P0)],BE104,RZ[Úroveň 9 (P0)],BF104),$BP104*$IQ104)</f>
        <v>0</v>
      </c>
      <c r="FJ104" s="140">
        <f ca="1">RZ[[#This Row],[Úroveň 10 s koef. (P3a)]]*RZ[[#This Row],[Počet MJCR (P0) pro "kg"]]</f>
        <v>0</v>
      </c>
      <c r="FK104" s="140">
        <f ca="1">RZ[Úroveň 10 bez koef. (P3a)]*RZ[[#This Row],[Počet MJCR (P0) pro "kg"]]</f>
        <v>0</v>
      </c>
      <c r="FL104" s="140">
        <f ca="1">RZ[[#This Row],[Koeficient odhadu CR '[-'] (P1)]]*$BQ104*IQ104</f>
        <v>0</v>
      </c>
      <c r="FM104" s="236">
        <f t="shared" ca="1" si="766"/>
        <v>0</v>
      </c>
      <c r="FN104" s="194">
        <f t="shared" ca="1" si="767"/>
        <v>115</v>
      </c>
      <c r="FO104" s="238">
        <f t="shared" ca="1" si="768"/>
        <v>115</v>
      </c>
      <c r="FP104" s="135">
        <f t="shared" ca="1" si="769"/>
        <v>0</v>
      </c>
      <c r="FQ104" s="135">
        <f t="shared" ca="1" si="770"/>
        <v>0</v>
      </c>
      <c r="FR104" s="135">
        <f t="shared" ca="1" si="771"/>
        <v>3621.6</v>
      </c>
      <c r="FS104" s="135">
        <f t="shared" ca="1" si="772"/>
        <v>0</v>
      </c>
      <c r="FT104" s="135">
        <f t="shared" ca="1" si="773"/>
        <v>0</v>
      </c>
      <c r="FU104" s="135">
        <f t="shared" ca="1" si="774"/>
        <v>0</v>
      </c>
      <c r="FV104" s="135">
        <f t="shared" ca="1" si="775"/>
        <v>0</v>
      </c>
      <c r="FW104" s="135">
        <f t="shared" ca="1" si="776"/>
        <v>0</v>
      </c>
      <c r="FX104" s="135">
        <f t="shared" ca="1" si="777"/>
        <v>0</v>
      </c>
      <c r="FY104" s="135">
        <f t="shared" ca="1" si="778"/>
        <v>0</v>
      </c>
      <c r="FZ104" s="140">
        <f ca="1">SUMIFS(RZ[Úroveň 1 (P6)],RZ[0],AX104)</f>
        <v>1</v>
      </c>
      <c r="GA104" s="140">
        <f ca="1">SUMIFS(RZ[Úroveň 2 (P6)],RZ[0],AX104,RZ[Úroveň 2 (P0)],AY104)</f>
        <v>1</v>
      </c>
      <c r="GB104" s="140">
        <f ca="1">SUMIFS(RZ[Úroveň 3 (P6)],RZ[0],AX104,RZ[Úroveň 2 (P0)],AY104,RZ[Úroveň 3 (P0)],AZ104)</f>
        <v>3621.6</v>
      </c>
      <c r="GC104" s="140">
        <f ca="1">SUMIFS(RZ[Úroveň 4 (P6)],RZ[0],AX104,RZ[Úroveň 2 (P0)],AY104,RZ[Úroveň 3 (P0)],AZ104,RZ[Úroveň 4 (P0)],BA104)</f>
        <v>0</v>
      </c>
      <c r="GD104" s="140">
        <f ca="1">SUMIFS(RZ[Úroveň 5 (P6)],RZ[0],AX104,RZ[Úroveň 2 (P0)],AY104,RZ[Úroveň 3 (P0)],AZ104,RZ[Úroveň 4 (P0)],BA104,RZ[Úroveň 5 (P0)],BB104)</f>
        <v>0</v>
      </c>
      <c r="GE104" s="140">
        <f ca="1">SUMIFS(RZ[Úroveň 6 (P6)],RZ[0],AX104,RZ[Úroveň 2 (P0)],AY104,RZ[Úroveň 3 (P0)],AZ104,RZ[Úroveň 4 (P0)],BA104,RZ[Úroveň 5 (P0)],BB104,RZ[Úroveň 6 (P0)],BC104)</f>
        <v>0</v>
      </c>
      <c r="GF104" s="140">
        <f ca="1">SUMIFS(RZ[Úroveň 7 (P6)],RZ[0],AX104,RZ[Úroveň 2 (P0)],AY104,RZ[Úroveň 3 (P0)],AZ104,RZ[Úroveň 4 (P0)],BA104,RZ[Úroveň 5 (P0)],BB104,RZ[Úroveň 6 (P0)],BC104,RZ[Úroveň 7 (P0)],BD104)</f>
        <v>0</v>
      </c>
      <c r="GG104" s="140">
        <f ca="1">SUMIFS(RZ[Úroveň 8 (P6)],RZ[0],AX104,RZ[Úroveň 2 (P0)],AY104,RZ[Úroveň 3 (P0)],AZ104,RZ[Úroveň 4 (P0)],BA104,RZ[Úroveň 5 (P0)],BB104,RZ[Úroveň 6 (P0)],BC104,RZ[Úroveň 7 (P0)],BD104,RZ[Úroveň 8 (P0)],BE104)</f>
        <v>0</v>
      </c>
      <c r="GH104" s="140">
        <f ca="1">SUMIFS(RZ[Úroveň 9 (P6)],RZ[0],AX104,RZ[Úroveň 2 (P0)],AY104,RZ[Úroveň 3 (P0)],AZ104,RZ[Úroveň 4 (P0)],BA104,RZ[Úroveň 5 (P0)],BB104,RZ[Úroveň 6 (P0)],BC104,RZ[Úroveň 7 (P0)],BD104,RZ[Úroveň 8 (P0)],BE104,RZ[Úroveň 9 (P0)],BF104)</f>
        <v>0</v>
      </c>
      <c r="GI104" s="140">
        <f ca="1">SUMIFS(RZ[Úroveň 10 (P6)],RZ[0],AX104,RZ[Úroveň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GJ104" s="918">
        <f t="shared" ca="1" si="779"/>
        <v>3621.6</v>
      </c>
      <c r="GK104" s="808">
        <f t="shared" si="780"/>
        <v>0</v>
      </c>
      <c r="GL104" s="808">
        <f t="shared" si="781"/>
        <v>0</v>
      </c>
      <c r="GM104" s="808">
        <f t="shared" si="782"/>
        <v>1</v>
      </c>
      <c r="GN104" s="808">
        <f t="shared" si="783"/>
        <v>0</v>
      </c>
      <c r="GO104" s="808">
        <f t="shared" si="784"/>
        <v>0</v>
      </c>
      <c r="GP104" s="808">
        <f t="shared" si="785"/>
        <v>0</v>
      </c>
      <c r="GQ104" s="808">
        <f t="shared" si="786"/>
        <v>0</v>
      </c>
      <c r="GR104" s="808">
        <f t="shared" si="787"/>
        <v>0</v>
      </c>
      <c r="GS104" s="808">
        <f t="shared" si="788"/>
        <v>0</v>
      </c>
      <c r="GT104" s="808">
        <f t="shared" si="789"/>
        <v>0</v>
      </c>
      <c r="GU104" s="809">
        <f ca="1">SUMIFS(RZ[Sloupec1],RZ[0],AX104)</f>
        <v>1</v>
      </c>
      <c r="GV104" s="809">
        <f ca="1">SUMIFS(RZ[Sloupec2],RZ[0],AX104,RZ[Úroveň 2 (P0)],AY104)</f>
        <v>1</v>
      </c>
      <c r="GW104" s="809">
        <f ca="1">SUMIFS(RZ[Sloupec3],RZ[0],AX104,RZ[Úroveň 2 (P0)],AY104,RZ[Úroveň 3 (P0)],AZ104)</f>
        <v>1</v>
      </c>
      <c r="GX104" s="809">
        <f ca="1">SUMIFS(RZ[Sloupec4],RZ[0],AX104,RZ[Úroveň 2 (P0)],AY104,RZ[Úroveň 3 (P0)],AZ104,RZ[Úroveň 4 (P0)],BA104)</f>
        <v>0</v>
      </c>
      <c r="GY104" s="809">
        <f ca="1">SUMIFS(RZ[Sloupec5],RZ[0],AX104,RZ[Úroveň 2 (P0)],AY104,RZ[Úroveň 3 (P0)],AZ104,RZ[Úroveň 4 (P0)],BA104,RZ[Úroveň 5 (P0)],BB104)</f>
        <v>0</v>
      </c>
      <c r="GZ104" s="809">
        <f ca="1">SUMIFS(RZ[Sloupec6],RZ[0],AX104,RZ[Úroveň 2 (P0)],AY104,RZ[Úroveň 3 (P0)],AZ104,RZ[Úroveň 4 (P0)],BA104,RZ[Úroveň 5 (P0)],BB104,RZ[Úroveň 6 (P0)],BC104)</f>
        <v>0</v>
      </c>
      <c r="HA104" s="809">
        <f ca="1">SUMIFS(RZ[Sloupec62],RZ[0],AX104,RZ[Úroveň 2 (P0)],AY104,RZ[Úroveň 3 (P0)],AZ104,RZ[Úroveň 4 (P0)],BA104,RZ[Úroveň 5 (P0)],BB104,RZ[Úroveň 6 (P0)],BC104,RZ[Úroveň 7 (P0)],BD104)</f>
        <v>0</v>
      </c>
      <c r="HB104" s="809">
        <f ca="1">SUMIFS(RZ[Sloupec63],RZ[0],AX104,RZ[Úroveň 2 (P0)],AY104,RZ[Úroveň 3 (P0)],AZ104,RZ[Úroveň 4 (P0)],BA104,RZ[Úroveň 5 (P0)],BB104,RZ[Úroveň 6 (P0)],BC104,RZ[Úroveň 7 (P0)],BD104,RZ[Úroveň 8 (P0)],BE104)</f>
        <v>0</v>
      </c>
      <c r="HC104" s="809">
        <f ca="1">SUMIFS(RZ[Sloupec64],RZ[0],AX104,RZ[Úroveň 2 (P0)],AY104,RZ[Úroveň 3 (P0)],AZ104,RZ[Úroveň 4 (P0)],BA104,RZ[Úroveň 5 (P0)],BB104,RZ[Úroveň 6 (P0)],BC104,RZ[Úroveň 7 (P0)],BD104,RZ[Úroveň 8 (P0)],BE104,RZ[Úroveň 9 (P0)],BF104)</f>
        <v>0</v>
      </c>
      <c r="HD104" s="809">
        <f ca="1">SUMIFS(RZ[Sloupec65],RZ[0],AX104,RZ[Úroveň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HE104" s="919">
        <f t="shared" ca="1" si="790"/>
        <v>1</v>
      </c>
      <c r="HF104" s="920" t="str">
        <f t="shared" si="791"/>
        <v/>
      </c>
      <c r="HG104" s="94" t="str">
        <f t="shared" si="792"/>
        <v/>
      </c>
      <c r="HH104" s="95" t="str">
        <f t="shared" si="793"/>
        <v/>
      </c>
      <c r="HI104" s="95" t="str">
        <f t="shared" si="794"/>
        <v>Sestavení páky</v>
      </c>
      <c r="HJ104" s="96" t="str">
        <f t="shared" si="795"/>
        <v/>
      </c>
      <c r="HK104" s="96" t="str">
        <f t="shared" si="796"/>
        <v/>
      </c>
      <c r="HL104" s="96" t="str">
        <f t="shared" si="797"/>
        <v/>
      </c>
      <c r="HM104" s="96" t="str">
        <f t="shared" si="798"/>
        <v/>
      </c>
      <c r="HN104" s="96" t="str">
        <f t="shared" si="799"/>
        <v/>
      </c>
      <c r="HO104" s="96" t="str">
        <f t="shared" si="800"/>
        <v/>
      </c>
      <c r="HP104" s="96" t="str">
        <f t="shared" si="801"/>
        <v/>
      </c>
      <c r="HQ104" s="145" t="str">
        <f t="shared" si="802"/>
        <v>STO2</v>
      </c>
      <c r="HR104" s="921" t="str">
        <f t="shared" si="803"/>
        <v/>
      </c>
      <c r="HS104" s="173">
        <f t="shared" si="804"/>
        <v>0</v>
      </c>
      <c r="HT104" s="100">
        <f t="shared" si="805"/>
        <v>0</v>
      </c>
      <c r="HU104" s="100">
        <f t="shared" si="806"/>
        <v>0</v>
      </c>
      <c r="HV104" s="908">
        <f t="shared" si="807"/>
        <v>0</v>
      </c>
      <c r="HW104" s="922">
        <f t="shared" si="808"/>
        <v>0</v>
      </c>
      <c r="HX104" s="224">
        <f t="shared" si="809"/>
        <v>0</v>
      </c>
      <c r="HY104" s="263" t="str">
        <f t="shared" si="810"/>
        <v>S</v>
      </c>
      <c r="HZ104" s="263">
        <f t="shared" si="811"/>
        <v>0</v>
      </c>
      <c r="IA104" s="150">
        <f t="shared" si="812"/>
        <v>1</v>
      </c>
      <c r="IB104" s="319">
        <f t="shared" si="813"/>
        <v>0</v>
      </c>
      <c r="IC104" s="923">
        <f t="shared" si="814"/>
        <v>0</v>
      </c>
      <c r="ID104" s="924" t="str">
        <f t="shared" ca="1" si="815"/>
        <v>OK</v>
      </c>
      <c r="IE104" s="201" t="str">
        <f t="shared" si="816"/>
        <v>ks</v>
      </c>
      <c r="IF104" s="145">
        <f t="shared" si="817"/>
        <v>8</v>
      </c>
      <c r="IG104" s="216">
        <f t="shared" si="818"/>
        <v>452.7</v>
      </c>
      <c r="IH104" s="217">
        <f t="shared" si="819"/>
        <v>1</v>
      </c>
      <c r="II104" s="224" t="str">
        <f ca="1">IF(RZ[[#This Row],[Rozhodný sloupec indikativní ceny]]=1,"kg",IF($IW104=$JL$15,IF(JX104=0,JO104,JX104),IF($IW104=$KE$15,IF(KQ104=0,KH104,KQ104),IF($IW104=$KX$15,IF(LJ104=0,LA104,LJ104),IF($IW104=$LQ$15,IF(MC104=0,LT104,MC104),IF($IW104=$MJ$15,IF(NQ104=0,NH104,NQ104),0))))))</f>
        <v>kg</v>
      </c>
      <c r="IJ104" s="224">
        <f ca="1">IF((BH104+OFFSET(BH104,1,1,1,1))=2,RZ[[#This Row],[Počet MJHR (P0)]],IF((BI104+OFFSET(BI104,1,1,1,1))=2,RZ[[#This Row],[Počet MJHR (P0)]],IF((BJ104+OFFSET(BJ104,1,1,1,1))=2,RZ[[#This Row],[Počet MJHR (P0)]],IF((BK104+OFFSET(BK104,1,1,1,1))=2,RZ[[#This Row],[Počet MJHR (P0)]],IF((BL104+OFFSET(BL104,1,1,1,1))=2,RZ[[#This Row],[Počet MJHR (P0)]],IF((BM104+OFFSET(BM104,1,1,1,1))=2,RZ[[#This Row],[Počet MJHR (P0)]],IF((BN104+OFFSET(BN104,1,1,1,1))=2,RZ[[#This Row],[Počet MJHR (P0)]],IF((BO104+OFFSET(BO104,1,1,1,1))=2,RZ[[#This Row],[Počet MJHR (P0)]],IF((BP104+OFFSET(BP104,1,1,1,1))=2,RZ[[#This Row],[Počet MJHR (P0)]],IF((BQ104+OFFSET(BQ104,1,1,1,1))=2,RZ[[#This Row],[Počet MJHR (P0)]],IF(RZ[[#This Row],[Měrná jednotka CR (MJCR) (P0)]]=RZ[[#This Row],[Měrná jednotka HR '[MJHR'] (P0)]],RZ[[#This Row],[Počet MJHR (P0)]],IF($IW104=$JL$15,JY104,IF($IW104=$KE$15,KR104,IF($IW104=$KX$15,LK104,IF($IW104=$LQ$15,MD104,IF($IW104=$MJ$15,NR104,0))))))))))))))))</f>
        <v>0</v>
      </c>
      <c r="IK10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3621.6</v>
      </c>
      <c r="IL104" s="145">
        <f ca="1">IF(AND(RZ[[#This Row],[Jednotková cena bez DPH '[cena/MJCR'] (P0)]]=0,RZ[[#This Row],[Indikativní jednotková cena '[CZK/kg'] (P1)]]&lt;&gt;0),1,0)</f>
        <v>1</v>
      </c>
      <c r="IM104" s="217">
        <f ca="1">VLOOKUP(RZ[[#This Row],[Kód položek]],INDIKAT_CENA,2,FALSE)</f>
        <v>115</v>
      </c>
      <c r="IN104" s="222">
        <f ca="1">IF(RZ[[#This Row],[Rozhodný sloupec indikativní ceny]]=1,RZ[[#This Row],[Indikativní jednotková cena '[CZK/kg'] (P1)]],RZ[[#This Row],[Jednotková cena bez DPH '[cena/MJCR'] (P0)]])</f>
        <v>115</v>
      </c>
      <c r="IO104" s="222">
        <f t="shared" si="820"/>
        <v>1</v>
      </c>
      <c r="IP104" s="224">
        <f ca="1">IF(RZ[[#This Row],[Rozhodný sloupec indikativní ceny]]=1,1,IF($IW104=$JL$15,KA104,IF($IW104=$KE$15,KT104,IF($IW104=$KX$15,LM104,IF($IW104=$LQ$15,MF104,IF($IW104=$MJ$15,NT104,0))))))</f>
        <v>1</v>
      </c>
      <c r="IQ104" s="225">
        <f ca="1">IF(RZ[[#This Row],[Jednotková cena bez DPH '[cena/MJCR'] (P1)]]="",0,IF(IP104=0,0,(RZ[[#This Row],[Jednotková cena bez DPH '[cena/MJCR'] (P1)]]*VLOOKUP(IP104,$BR$7:$BT$10,3))))</f>
        <v>115</v>
      </c>
      <c r="IR104" s="737"/>
      <c r="IS104" s="627">
        <f>IF(HY104=0,"",VLOOKUP(RZ[[#This Row],[Stav Projekce (P0)]],Vstupy!$E$11:'Vstupy'!$E$11:$H$17,4,FALSE))</f>
        <v>100</v>
      </c>
      <c r="IT104" s="925" t="str">
        <f>IF(RZ[[#This Row],[Stav Projekce (P0)]]=0,"",RZ[[#This Row],[Stav Projekce (P0)]])</f>
        <v>S</v>
      </c>
      <c r="IU104" s="925" t="str">
        <f>IF(RZ[[#This Row],[Stav Nákup (P0)]]=0,"",RZ[[#This Row],[Stav Nákup (P0)]])</f>
        <v/>
      </c>
      <c r="IV104" s="926" t="str">
        <f t="shared" si="821"/>
        <v/>
      </c>
      <c r="IW104" s="641">
        <v>1</v>
      </c>
      <c r="IX104" s="630"/>
      <c r="IY104" s="264"/>
      <c r="IZ104" s="648"/>
      <c r="JA104" s="100"/>
      <c r="JB104" s="100" t="s">
        <v>777</v>
      </c>
      <c r="JC104" s="100"/>
      <c r="JD104" s="100"/>
      <c r="JE104" s="100"/>
      <c r="JF104" s="100"/>
      <c r="JG104" s="100"/>
      <c r="JH104" s="100"/>
      <c r="JI104" s="100"/>
      <c r="JJ104" s="145" t="s">
        <v>773</v>
      </c>
      <c r="JK104" s="529"/>
      <c r="JL104" s="286"/>
      <c r="JM104" s="100"/>
      <c r="JN104" s="100"/>
      <c r="JO104" s="145" t="s">
        <v>35</v>
      </c>
      <c r="JP104" s="117">
        <v>8</v>
      </c>
      <c r="JQ104" s="117">
        <v>452.7</v>
      </c>
      <c r="JR104" s="148">
        <v>1</v>
      </c>
      <c r="JS104" s="145" t="s">
        <v>602</v>
      </c>
      <c r="JT104" s="631"/>
      <c r="JU104" s="148"/>
      <c r="JV104" s="154"/>
      <c r="JW104" s="145"/>
      <c r="JX104" s="210"/>
      <c r="JY104" s="117"/>
      <c r="JZ104" s="662"/>
      <c r="KA104" s="145"/>
      <c r="KB104" s="148"/>
      <c r="KC104" s="148"/>
      <c r="KD104" s="644"/>
      <c r="KE104" s="286"/>
      <c r="KF104" s="100"/>
      <c r="KG104" s="100"/>
      <c r="KH104" s="210"/>
      <c r="KI104" s="117"/>
      <c r="KJ104" s="117"/>
      <c r="KK104" s="148"/>
      <c r="KL104" s="145"/>
      <c r="KM104" s="632"/>
      <c r="KN104" s="148"/>
      <c r="KO104" s="154"/>
      <c r="KP104" s="154"/>
      <c r="KQ104" s="210"/>
      <c r="KR104" s="117"/>
      <c r="KS104" s="211"/>
      <c r="KT104" s="145"/>
      <c r="KU104" s="148"/>
      <c r="KV104" s="148"/>
      <c r="KW104" s="265"/>
      <c r="KX104" s="286"/>
      <c r="KY104" s="100"/>
      <c r="KZ104" s="100"/>
      <c r="LA104" s="210"/>
      <c r="LB104" s="117"/>
      <c r="LC104" s="117"/>
      <c r="LD104" s="148"/>
      <c r="LE104" s="145"/>
      <c r="LF104" s="632"/>
      <c r="LG104" s="148"/>
      <c r="LH104" s="154"/>
      <c r="LI104" s="154"/>
      <c r="LJ104" s="154"/>
      <c r="LK104" s="117"/>
      <c r="LL104" s="211"/>
      <c r="LM104" s="210"/>
      <c r="LN104" s="148"/>
      <c r="LO104" s="148"/>
      <c r="LP104" s="265"/>
      <c r="LQ104" s="286"/>
      <c r="LR104" s="100"/>
      <c r="LS104" s="100"/>
      <c r="LT104" s="210"/>
      <c r="LU104" s="117"/>
      <c r="LV104" s="117"/>
      <c r="LW104" s="148"/>
      <c r="LX104" s="145"/>
      <c r="LY104" s="632"/>
      <c r="LZ104" s="148"/>
      <c r="MA104" s="154"/>
      <c r="MB104" s="154"/>
      <c r="MC104" s="145"/>
      <c r="MD104" s="117"/>
      <c r="ME104" s="211"/>
      <c r="MF104" s="210"/>
      <c r="MG104" s="148"/>
      <c r="MH104" s="148"/>
      <c r="MI104" s="265"/>
      <c r="MJ104" s="647"/>
      <c r="MK104" s="264"/>
      <c r="ML104" s="153"/>
      <c r="MM104" s="153"/>
      <c r="MN104" s="153"/>
      <c r="MO104" s="153"/>
      <c r="MP104" s="153"/>
      <c r="MQ104" s="153"/>
      <c r="MR104" s="153"/>
      <c r="MS104" s="99"/>
      <c r="MT104" s="99"/>
      <c r="MU104" s="99"/>
      <c r="MV104" s="99"/>
      <c r="MW104" s="99"/>
      <c r="MX104" s="99"/>
      <c r="MY104" s="153"/>
      <c r="MZ104" s="153"/>
      <c r="NA104" s="153"/>
      <c r="NB104" s="153"/>
      <c r="NC104" s="153"/>
      <c r="ND104" s="153"/>
      <c r="NE104" s="148"/>
      <c r="NF104" s="145"/>
      <c r="NG104" s="145"/>
      <c r="NH104" s="330" t="str">
        <f t="shared" si="822"/>
        <v>ks</v>
      </c>
      <c r="NI104" s="797">
        <f>RZ[[#This Row],[Počet ks (K)]]</f>
        <v>0</v>
      </c>
      <c r="NJ104" s="798">
        <f>RZ[[#This Row],[Hmotnost '[kg/ks'] (K)]]</f>
        <v>0</v>
      </c>
      <c r="NK104" s="148"/>
      <c r="NL104" s="145"/>
      <c r="NM104" s="632"/>
      <c r="NN104" s="148"/>
      <c r="NO104" s="154"/>
      <c r="NP104" s="154"/>
      <c r="NQ104" s="154"/>
      <c r="NR104" s="210"/>
      <c r="NS104" s="148"/>
      <c r="NT104" s="210"/>
      <c r="NU104" s="148"/>
      <c r="NV104" s="148"/>
      <c r="NW104" s="265"/>
    </row>
    <row r="105" spans="2:387" ht="15.95" customHeight="1" x14ac:dyDescent="0.35">
      <c r="B105" s="118" t="str">
        <f t="shared" si="706"/>
        <v/>
      </c>
      <c r="C10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5" s="262" t="str">
        <f t="shared" si="707"/>
        <v xml:space="preserve">    Nárazník</v>
      </c>
      <c r="E105" s="120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Row],[Kód položek (P2)]]))))))))))</f>
        <v>STO3</v>
      </c>
      <c r="F105" s="791" t="str">
        <f t="shared" si="708"/>
        <v>N/A</v>
      </c>
      <c r="G105" s="792" t="str">
        <f t="shared" si="709"/>
        <v/>
      </c>
      <c r="H105" s="262" t="str">
        <f t="shared" si="710"/>
        <v/>
      </c>
      <c r="I105" s="123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HR '[MJHR'] (P0)]]))))))))))</f>
        <v>ks</v>
      </c>
      <c r="J105" s="123">
        <f t="shared" si="711"/>
        <v>8</v>
      </c>
      <c r="K105" s="793">
        <f>RZ[[#This Row],[Koeficient odhadu HR '[-'] (P1)]]</f>
        <v>1</v>
      </c>
      <c r="L105" s="124">
        <f ca="1">RZ[[#This Row],[Jednotková hmotnost s koef. '[kg/MJHR'] (P0)]]</f>
        <v>33.799999999999997</v>
      </c>
      <c r="M105" s="794">
        <f t="shared" ca="1" si="712"/>
        <v>0</v>
      </c>
      <c r="N105" s="125">
        <f t="shared" ca="1" si="713"/>
        <v>270.39999999999998</v>
      </c>
      <c r="O105" s="125">
        <f t="shared" ca="1" si="714"/>
        <v>0</v>
      </c>
      <c r="P105" s="126" t="str">
        <f t="shared" si="715"/>
        <v/>
      </c>
      <c r="Q105" s="795">
        <f ca="1">RZ[[#This Row],[Počet MJHR v rozpadu (P0)]]</f>
        <v>8</v>
      </c>
      <c r="R105" s="439" t="str">
        <f t="shared" si="716"/>
        <v/>
      </c>
      <c r="S105" s="129" t="str">
        <f t="shared" si="717"/>
        <v/>
      </c>
      <c r="T105" s="126" t="str">
        <f t="shared" si="718"/>
        <v/>
      </c>
      <c r="U105" s="126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CR (MJCR) (P0)]]))))))))))</f>
        <v>kg</v>
      </c>
      <c r="V105" s="575">
        <f t="shared" ca="1" si="719"/>
        <v>270.39999999999998</v>
      </c>
      <c r="W105" s="322">
        <f>RZ[[#This Row],[Koeficient odhadu CR '[-'] (P1)]]</f>
        <v>1</v>
      </c>
      <c r="X105" s="440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Row],[Jednotková cena bez DPH '[cena/MJCR'] (P1)]]*RZ[[#This Row],[Koeficient odhadu CR '[-']]]))))))))))</f>
        <v>85</v>
      </c>
      <c r="Y105" s="440">
        <f t="shared" ca="1" si="720"/>
        <v>0</v>
      </c>
      <c r="Z105" s="142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VLOOKUP(IP105,$BR$7:$BS$11,2,FALSE)))))))))))</f>
        <v>CZK</v>
      </c>
      <c r="AA105" s="909">
        <f t="shared" ca="1" si="721"/>
        <v>270.39999999999998</v>
      </c>
      <c r="AB105" s="910">
        <f ca="1">RZ[[#This Row],[Kumulovaný koeficient v rozpadu (P0)]]</f>
        <v>1</v>
      </c>
      <c r="AC105" s="261"/>
      <c r="AD105" s="796">
        <f ca="1">RZ[[#This Row],[Jednotková cena bez DPH '[cena/MJCR'] s koef. (P0)]]/RZ[[#This Row],[Koeficient odhadu CR '[-']]]*RZ[[#This Row],[Kumulovaný koeficient odhadu CR  '[-']]]</f>
        <v>85</v>
      </c>
      <c r="AE105" s="796">
        <f t="shared" ca="1" si="722"/>
        <v>22983.999999999996</v>
      </c>
      <c r="AF105" s="796">
        <f ca="1">-IF(ISNUMBER(AA105),RZ[[#This Row],[Celková cena bez DPH (1)]]-RZ[[#This Row],[Jednotková cena bez DPH '[cena/MJCR'] bez koef. (P0)]]*AA105,0)</f>
        <v>0</v>
      </c>
      <c r="AG10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05" s="261"/>
      <c r="AI105" s="796">
        <f t="shared" ca="1" si="723"/>
        <v>3.1481481481481484</v>
      </c>
      <c r="AJ105" s="796">
        <f t="shared" ca="1" si="724"/>
        <v>851.25925925925912</v>
      </c>
      <c r="AK105" s="796">
        <f t="shared" ca="1" si="725"/>
        <v>0</v>
      </c>
      <c r="AL105" s="753">
        <f ca="1">RZ[[#This Row],[Kilogramová cena bez DPH '[cena/kg'] (1)]]/$AK$13</f>
        <v>3.1481481481481484</v>
      </c>
      <c r="AM105" s="261"/>
      <c r="AN105" s="796">
        <f t="shared" ca="1" si="726"/>
        <v>4.1062801932367154</v>
      </c>
      <c r="AO105" s="796">
        <f t="shared" ca="1" si="727"/>
        <v>1110.3381642512077</v>
      </c>
      <c r="AP105" s="796">
        <f t="shared" ca="1" si="728"/>
        <v>0</v>
      </c>
      <c r="AQ105" s="753">
        <f ca="1">RZ[[#This Row],[Kilogramová cena bez DPH '[cena/kg'] (1)]]/$AP$13</f>
        <v>4.1062801932367154</v>
      </c>
      <c r="AR105" s="261"/>
      <c r="AS105" s="796">
        <f t="shared" ca="1" si="729"/>
        <v>2.324945295404814</v>
      </c>
      <c r="AT105" s="796">
        <f t="shared" ca="1" si="730"/>
        <v>628.66520787746151</v>
      </c>
      <c r="AU105" s="789">
        <f t="shared" ca="1" si="731"/>
        <v>0</v>
      </c>
      <c r="AV105" s="767">
        <f ca="1">RZ[[#This Row],[Kilogramová cena bez DPH '[cena/kg'] (1)]]/$AU$13</f>
        <v>2.324945295404814</v>
      </c>
      <c r="AW105" s="165"/>
      <c r="AX105" s="911">
        <f t="shared" ca="1" si="732"/>
        <v>2</v>
      </c>
      <c r="AY105" s="111">
        <f t="shared" ca="1" si="733"/>
        <v>8</v>
      </c>
      <c r="AZ105" s="111">
        <f t="shared" ca="1" si="734"/>
        <v>5</v>
      </c>
      <c r="BA105" s="111">
        <f t="shared" ca="1" si="735"/>
        <v>0</v>
      </c>
      <c r="BB105" s="111">
        <f t="shared" ca="1" si="736"/>
        <v>0</v>
      </c>
      <c r="BC105" s="111">
        <f t="shared" ca="1" si="737"/>
        <v>0</v>
      </c>
      <c r="BD105" s="111">
        <f t="shared" ca="1" si="738"/>
        <v>0</v>
      </c>
      <c r="BE105" s="111">
        <f t="shared" ca="1" si="739"/>
        <v>0</v>
      </c>
      <c r="BF105" s="111">
        <f t="shared" ca="1" si="740"/>
        <v>0</v>
      </c>
      <c r="BG105" s="112">
        <f t="shared" ca="1" si="741"/>
        <v>0</v>
      </c>
      <c r="BH105" s="911">
        <f t="shared" si="742"/>
        <v>0</v>
      </c>
      <c r="BI105" s="111">
        <f t="shared" si="743"/>
        <v>0</v>
      </c>
      <c r="BJ105" s="111">
        <f t="shared" si="744"/>
        <v>1</v>
      </c>
      <c r="BK105" s="111">
        <f t="shared" si="745"/>
        <v>0</v>
      </c>
      <c r="BL105" s="111">
        <f t="shared" si="746"/>
        <v>0</v>
      </c>
      <c r="BM105" s="111">
        <f t="shared" si="747"/>
        <v>0</v>
      </c>
      <c r="BN105" s="111">
        <f t="shared" si="748"/>
        <v>0</v>
      </c>
      <c r="BO105" s="111">
        <f t="shared" si="749"/>
        <v>0</v>
      </c>
      <c r="BP105" s="111">
        <f t="shared" si="750"/>
        <v>0</v>
      </c>
      <c r="BQ105" s="112">
        <f t="shared" si="751"/>
        <v>0</v>
      </c>
      <c r="BR105" s="132">
        <f ca="1">IF(OFFSET(AY105,1,0,1,1)&lt;&gt;0,RZ[[#This Row],[Koeficient odhadu HR '[-'] (P1)]]*$BH105*SUMIFS(RZ[Úroveň 2 s koef. (P2)],RZ[0],AX105),RZ[[#This Row],[Koeficient odhadu HR '[-'] (P1)]]*$BH105*$IG105)</f>
        <v>0</v>
      </c>
      <c r="BS105" s="186">
        <f ca="1">IF(OFFSET(AY105,1,0,1,1)&lt;&gt;0,$BH105*SUMIFS(RZ[Úroveň 2 bez koef. (P2)],RZ[0],AX105),$BH105*$IG105)</f>
        <v>0</v>
      </c>
      <c r="BT105" s="138">
        <f ca="1">RZ[[#This Row],[Úroveň 2 s koef. (P2a)]]*RZ[[#This Row],[Počet MJHR (P0)]]</f>
        <v>0</v>
      </c>
      <c r="BU105" s="138">
        <f ca="1">RZ[[#This Row],[Úroveň 2 bez koef. (P2a)]]*RZ[[#This Row],[Počet MJHR (P0)]]</f>
        <v>0</v>
      </c>
      <c r="BV105" s="138">
        <f ca="1">IF(OFFSET(AZ105,1,0,1,1)&lt;&gt;0,RZ[[#This Row],[Koeficient odhadu HR '[-'] (P1)]]*$BI105*SUMIFS(RZ[Úroveň 3 s koef. (P2)],RZ[0],AX105,RZ[Úroveň 2 (P0)],AY105),RZ[[#This Row],[Koeficient odhadu HR '[-'] (P1)]]*$BI105*$IG105)</f>
        <v>0</v>
      </c>
      <c r="BW105" s="138">
        <f ca="1">IF(OFFSET(AZ105,1,0,1,1)&lt;&gt;0,$BI105*SUMIFS(RZ[Úroveň 3 bez koef. (P2)],RZ[0],AX105,RZ[Úroveň 2 (P0)],AY105),$BI105*$IG105)</f>
        <v>0</v>
      </c>
      <c r="BX105" s="132">
        <f ca="1">RZ[[#This Row],[Úroveň 3 s koef. (P2a)]]*RZ[[#This Row],[Počet MJHR (P0)]]</f>
        <v>270.39999999999998</v>
      </c>
      <c r="BY105" s="132">
        <f ca="1">RZ[Úroveň 3 bez koef. (P2a)]*RZ[[#This Row],[Počet MJHR (P0)]]</f>
        <v>270.39999999999998</v>
      </c>
      <c r="BZ105" s="132">
        <f ca="1">IF(OFFSET(BA105,1,0,1,1)&lt;&gt;0,RZ[[#This Row],[Koeficient odhadu HR '[-'] (P1)]]*$BJ105*SUMIFS(RZ[Úroveň 4 s koef. (P2)],RZ[0],AX105,RZ[Úroveň 2 (P0)],AY105,RZ[Úroveň 3 (P0)],AZ105),RZ[[#This Row],[Koeficient odhadu HR '[-'] (P1)]]*$BJ105*$IG105)</f>
        <v>33.799999999999997</v>
      </c>
      <c r="CA105" s="132">
        <f ca="1">IF(OFFSET(BA105,1,0,1,1)&lt;&gt;0,$BJ105*SUMIFS(RZ[Úroveň 4 bez koef. (P2)],RZ[0],AX105,RZ[Úroveň 2 (P0)],AY105,RZ[Úroveň 3 (P0)],AZ105),$BJ105*$IG105)</f>
        <v>33.799999999999997</v>
      </c>
      <c r="CB105" s="138">
        <f ca="1">RZ[[#This Row],[Úroveň 4 s koef. (P2a)]]*RZ[[#This Row],[Počet MJHR (P0)]]</f>
        <v>0</v>
      </c>
      <c r="CC105" s="138">
        <f ca="1">RZ[Úroveň 4 bez koef. (P2a)]*RZ[[#This Row],[Počet MJHR (P0)]]</f>
        <v>0</v>
      </c>
      <c r="CD105" s="138">
        <f ca="1">IF(OFFSET(BB105,1,0,1,1)&lt;&gt;0,RZ[[#This Row],[Koeficient odhadu HR '[-'] (P1)]]*$BK105*SUMIFS(RZ[Úroveň 5 s koef. (P2)],RZ[0],AX105,RZ[Úroveň 2 (P0)],AY105,RZ[Úroveň 3 (P0)],AZ105,RZ[Úroveň 4 (P0)],BA105),RZ[[#This Row],[Koeficient odhadu HR '[-'] (P1)]]*$BK105*$IG105)</f>
        <v>0</v>
      </c>
      <c r="CE105" s="138">
        <f ca="1">IF(OFFSET(BB105,1,0,1,1)&lt;&gt;0,$BK105*SUMIFS(RZ[Úroveň 5 bez koef. (P2)],RZ[0],AX105,RZ[Úroveň 2 (P0)],AY105,RZ[Úroveň 3 (P0)],AZ105,RZ[Úroveň 4 (P0)],BA105),$BK105*$IG105)</f>
        <v>0</v>
      </c>
      <c r="CF105" s="132">
        <f ca="1">RZ[[#This Row],[Úroveň 5 s koef. (P2a)]]*RZ[[#This Row],[Počet MJHR (P0)]]</f>
        <v>0</v>
      </c>
      <c r="CG105" s="132">
        <f ca="1">RZ[Úroveň 5 bez koef. (P2a)]*RZ[[#This Row],[Počet MJHR (P0)]]</f>
        <v>0</v>
      </c>
      <c r="CH105" s="132">
        <f ca="1">IF(OFFSET(BC105,1,0,1,1)&lt;&gt;0,RZ[[#This Row],[Koeficient odhadu HR '[-'] (P1)]]*$BL105*SUMIFS(RZ[Úroveň 6 s koef. (P2)],RZ[0],AX105,RZ[Úroveň 2 (P0)],AY105,RZ[Úroveň 3 (P0)],AZ105,RZ[Úroveň 4 (P0)],BA105,RZ[Úroveň 5 (P0)],BB105),RZ[[#This Row],[Koeficient odhadu HR '[-'] (P1)]]*$BL105*$IG105)</f>
        <v>0</v>
      </c>
      <c r="CI105" s="132">
        <f ca="1">IF(OFFSET(BC105,1,0,1,1)&lt;&gt;0,$BL105*SUMIFS(RZ[Úroveň 6 bez koef. (P2)],RZ[0],AX105,RZ[Úroveň 2 (P0)],AY105,RZ[Úroveň 3 (P0)],AZ105,RZ[Úroveň 4 (P0)],BA105,RZ[Úroveň 5 (P0)],BB105),$BL105*$IG105)</f>
        <v>0</v>
      </c>
      <c r="CJ105" s="138">
        <f ca="1">RZ[[#This Row],[Úroveň 6 s koef. (P2a)]]*RZ[[#This Row],[Počet MJHR (P0)]]</f>
        <v>0</v>
      </c>
      <c r="CK105" s="138">
        <f ca="1">RZ[Úroveň 6 bez koef. (P2a)]*RZ[[#This Row],[Počet MJHR (P0)]]</f>
        <v>0</v>
      </c>
      <c r="CL105" s="138">
        <f ca="1">IF(OFFSET(BD105,1,0,1,1)&lt;&gt;0,RZ[[#This Row],[Koeficient odhadu HR '[-'] (P1)]]*$BM105*SUMIFS(RZ[Úroveň 7 s koef. (P2)],RZ[0],AX105,RZ[Úroveň 2 (P0)],AY105,RZ[Úroveň 3 (P0)],AZ105,RZ[Úroveň 4 (P0)],BA105,RZ[Úroveň 5 (P0)],BB105,RZ[Úroveň 6 (P0)],BC105),RZ[[#This Row],[Koeficient odhadu HR '[-'] (P1)]]*$BM105*$IG105)</f>
        <v>0</v>
      </c>
      <c r="CM105" s="138">
        <f ca="1">IF(OFFSET(BD105,1,0,1,1)&lt;&gt;0,$BM105*SUMIFS(RZ[Úroveň 7 bez koef. (P2)],RZ[0],AX105,RZ[Úroveň 2 (P0)],AY105,RZ[Úroveň 3 (P0)],AZ105,RZ[Úroveň 4 (P0)],BA105,RZ[Úroveň 5 (P0)],BB105,RZ[Úroveň 6 (P0)],BC105),$BM105*$IG105)</f>
        <v>0</v>
      </c>
      <c r="CN105" s="132">
        <f ca="1">RZ[[#This Row],[Úroveň 7 s koef. (P2a)]]*RZ[[#This Row],[Počet MJHR (P0)]]</f>
        <v>0</v>
      </c>
      <c r="CO105" s="132">
        <f ca="1">RZ[Úroveň 7 bez koef. (P2a)]*RZ[[#This Row],[Počet MJHR (P0)]]</f>
        <v>0</v>
      </c>
      <c r="CP105" s="132">
        <f ca="1">IF(OFFSET(BE105,1,0,1,1)&lt;&gt;0,RZ[[#This Row],[Koeficient odhadu HR '[-'] (P1)]]*$BN105*SUMIFS(RZ[Úroveň 8 s koef. (P2)],RZ[0],AX105,RZ[Úroveň 2 (P0)],AY105,RZ[Úroveň 3 (P0)],AZ105,RZ[Úroveň 4 (P0)],BA105,RZ[Úroveň 5 (P0)],BB105,RZ[Úroveň 6 (P0)],BC105,RZ[Úroveň 7 (P0)],BD105),RZ[[#This Row],[Koeficient odhadu HR '[-'] (P1)]]*$BN105*$IG105)</f>
        <v>0</v>
      </c>
      <c r="CQ105" s="132">
        <f ca="1">IF(OFFSET(BE105,1,0,1,1)&lt;&gt;0,$BN105*SUMIFS(RZ[Úroveň 8 bez koef. (P2)],RZ[0],AX105,RZ[Úroveň 2 (P0)],AY105,RZ[Úroveň 3 (P0)],AZ105,RZ[Úroveň 4 (P0)],BA105,RZ[Úroveň 5 (P0)],BB105,RZ[Úroveň 6 (P0)],BC105,RZ[Úroveň 7 (P0)],BD105),$BN105*$IG105)</f>
        <v>0</v>
      </c>
      <c r="CR105" s="138">
        <f ca="1">RZ[[#This Row],[Úroveň 8 s koef. (P2a)]]*RZ[[#This Row],[Počet MJHR (P0)]]</f>
        <v>0</v>
      </c>
      <c r="CS105" s="138">
        <f ca="1">RZ[Úroveň 8 bez koef. (P2a)]*RZ[[#This Row],[Počet MJHR (P0)]]</f>
        <v>0</v>
      </c>
      <c r="CT105" s="138">
        <f ca="1">IF(OFFSET(BF105,1,0,1,1)&lt;&gt;0,RZ[[#This Row],[Koeficient odhadu HR '[-'] (P1)]]*$BO105*SUMIFS(RZ[Úroveň 9 s koef. (P2)],RZ[0],AX105,RZ[Úroveň 2 (P0)],AY105,RZ[Úroveň 3 (P0)],AZ105,RZ[Úroveň 4 (P0)],BA105,RZ[Úroveň 5 (P0)],BB105,RZ[Úroveň 6 (P0)],BC105,RZ[Úroveň 7 (P0)],BD105,RZ[Úroveň 8 (P0)],BE105),RZ[[#This Row],[Koeficient odhadu HR '[-'] (P1)]]*$BO105*$IG105)</f>
        <v>0</v>
      </c>
      <c r="CU105" s="138">
        <f ca="1">IF(OFFSET(BF105,1,0,1,1)&lt;&gt;0,$BO105*SUMIFS(RZ[Úroveň 9 bez koef. (P2)],RZ[0],AX105,RZ[Úroveň 2 (P0)],AY105,RZ[Úroveň 3 (P0)],AZ105,RZ[Úroveň 4 (P0)],BA105,RZ[Úroveň 5 (P0)],BB105,RZ[Úroveň 6 (P0)],BC105,RZ[Úroveň 7 (P0)],BD105,RZ[Úroveň 8 (P0)],BE105),$BO105*$IG105)</f>
        <v>0</v>
      </c>
      <c r="CV105" s="132">
        <f ca="1">RZ[[#This Row],[Úroveň 9 s koef. (P2a)]]*RZ[[#This Row],[Počet MJHR (P0)]]</f>
        <v>0</v>
      </c>
      <c r="CW105" s="132">
        <f ca="1">RZ[Úroveň 9 bez koef. (P2a)]*RZ[[#This Row],[Počet MJHR (P0)]]</f>
        <v>0</v>
      </c>
      <c r="CX105" s="132">
        <f ca="1">IF(OFFSET(BG105,1,0,1,1)&lt;&gt;0,RZ[[#This Row],[Koeficient odhadu HR '[-'] (P1)]]*$BP105*SUMIFS(RZ[Úroveň 10 s koef. (P2)],RZ[0],AX105,RZ[Úroveň 2 (P0)],AY105,RZ[Úroveň 3 (P0)],AZ105,RZ[Úroveň 4 (P0)],BA105,RZ[Úroveň 5 (P0)],BB105,RZ[Úroveň 6 (P0)],BC105,RZ[Úroveň 7 (P0)],BD105,RZ[Úroveň 8 (P0)],BE105,RZ[Úroveň 9 (P0)],BF105),RZ[[#This Row],[Koeficient odhadu HR '[-'] (P1)]]*$BP105*$IG105)</f>
        <v>0</v>
      </c>
      <c r="CY105" s="132">
        <f ca="1">IF(OFFSET(BG105,1,0,1,1)&lt;&gt;0,$BP105*SUMIFS(RZ[Úroveň 10 bez koef. (P2)],RZ[0],AX105,RZ[Úroveň 2 (P0)],AY105,RZ[Úroveň 3 (P0)],AZ105,RZ[Úroveň 4 (P0)],BA105,RZ[Úroveň 5 (P0)],BB105,RZ[Úroveň 6 (P0)],BC105,RZ[Úroveň 7 (P0)],BD105,RZ[Úroveň 8 (P0)],BE105,RZ[Úroveň 9 (P0)],BF105),$BP105*$IG105)</f>
        <v>0</v>
      </c>
      <c r="CZ105" s="138">
        <f>RZ[[#This Row],[Úroveň 10 s koef. (P2a)]]*RZ[[#This Row],[Počet MJHR (P0)]]</f>
        <v>0</v>
      </c>
      <c r="DA105" s="138">
        <f>RZ[Úroveň 10 bez koef. (P2a)]*RZ[[#This Row],[Počet MJHR (P0)]]</f>
        <v>0</v>
      </c>
      <c r="DB105" s="138">
        <f>RZ[[#This Row],[Koeficient odhadu HR '[-'] (P1)]]*$BQ105*IG105</f>
        <v>0</v>
      </c>
      <c r="DC105" s="231">
        <f t="shared" si="752"/>
        <v>0</v>
      </c>
      <c r="DD105" s="241">
        <f t="shared" ca="1" si="753"/>
        <v>33.799999999999997</v>
      </c>
      <c r="DE105" s="229">
        <f t="shared" ca="1" si="754"/>
        <v>33.799999999999997</v>
      </c>
      <c r="DF105" s="912">
        <f t="shared" si="755"/>
        <v>0</v>
      </c>
      <c r="DG105" s="913">
        <f t="shared" si="756"/>
        <v>0</v>
      </c>
      <c r="DH105" s="913">
        <f t="shared" si="757"/>
        <v>8</v>
      </c>
      <c r="DI105" s="913">
        <f t="shared" si="758"/>
        <v>0</v>
      </c>
      <c r="DJ105" s="913">
        <f t="shared" si="759"/>
        <v>0</v>
      </c>
      <c r="DK105" s="913">
        <f t="shared" si="760"/>
        <v>0</v>
      </c>
      <c r="DL105" s="913">
        <f t="shared" si="761"/>
        <v>0</v>
      </c>
      <c r="DM105" s="913">
        <f t="shared" si="762"/>
        <v>0</v>
      </c>
      <c r="DN105" s="913">
        <f t="shared" si="763"/>
        <v>0</v>
      </c>
      <c r="DO105" s="913">
        <f t="shared" si="764"/>
        <v>0</v>
      </c>
      <c r="DP105" s="914">
        <f ca="1">SUMIFS(RZ[Úroveň 1 (P4)],RZ[0],AX105)</f>
        <v>1</v>
      </c>
      <c r="DQ105" s="914">
        <f ca="1">SUMIFS(RZ[Úroveň 2 (P4)],RZ[0],AX105,RZ[Úroveň 2 (P0)],AY105)</f>
        <v>1</v>
      </c>
      <c r="DR105" s="914">
        <f ca="1">SUMIFS(RZ[Úroveň 3 (P4)],RZ[0],AX105,RZ[Úroveň 2 (P0)],AY105,RZ[Úroveň 3 (P0)],AZ105)</f>
        <v>8</v>
      </c>
      <c r="DS105" s="914">
        <f ca="1">SUMIFS(RZ[Úroveň 4 (P4)],RZ[0],AX105,RZ[Úroveň 2 (P0)],AY105,RZ[Úroveň 3 (P0)],AZ105,RZ[Úroveň 4 (P0)],BA105)</f>
        <v>0</v>
      </c>
      <c r="DT105" s="914">
        <f ca="1">SUMIFS(RZ[Úroveň 5 (P4)],RZ[0],AX105,RZ[Úroveň 2 (P0)],AY105,RZ[Úroveň 3 (P0)],AZ105,RZ[Úroveň 4 (P0)],BA105,RZ[Úroveň 5 (P0)],BB105)</f>
        <v>0</v>
      </c>
      <c r="DU105" s="914">
        <f ca="1">SUMIFS(RZ[Úroveň 6 (P4)],RZ[0],AX105,RZ[Úroveň 2 (P0)],AY105,RZ[Úroveň 3 (P0)],AZ105,RZ[Úroveň 4 (P0)],BA105,RZ[Úroveň 5 (P0)],BB105,RZ[Úroveň 6 (P0)],BC105)</f>
        <v>0</v>
      </c>
      <c r="DV105" s="914">
        <f ca="1">SUMIFS(RZ[Úroveň 7 (P4)],RZ[0],AX105,RZ[Úroveň 2 (P0)],AY105,RZ[Úroveň 3 (P0)],AZ105,RZ[Úroveň 4 (P0)],BA105,RZ[Úroveň 5 (P0)],BB105,RZ[Úroveň 6 (P0)],BC105,RZ[Úroveň 7 (P0)],BD105)</f>
        <v>0</v>
      </c>
      <c r="DW105" s="914">
        <f ca="1">SUMIFS(RZ[Úroveň 8 (P4)],RZ[0],AX105,RZ[Úroveň 2 (P0)],AY105,RZ[Úroveň 3 (P0)],AZ105,RZ[Úroveň 4 (P0)],BA105,RZ[Úroveň 5 (P0)],BB105,RZ[Úroveň 6 (P0)],BC105,RZ[Úroveň 7 (P0)],BD105,RZ[Úroveň 8 (P0)],BE105)</f>
        <v>0</v>
      </c>
      <c r="DX105" s="914">
        <f ca="1">SUMIFS(RZ[Úroveň 9 (P4)],RZ[0],AX105,RZ[Úroveň 2 (P0)],AY105,RZ[Úroveň 3 (P0)],AZ105,RZ[Úroveň 4 (P0)],BA105,RZ[Úroveň 5 (P0)],BB105,RZ[Úroveň 6 (P0)],BC105,RZ[Úroveň 7 (P0)],BD105,RZ[Úroveň 8 (P0)],BE105,RZ[Úroveň 9 (P0)],BF105)</f>
        <v>0</v>
      </c>
      <c r="DY105" s="914">
        <f ca="1">SUMIFS(RZ[Úroveň 10 (P4)],RZ[0],AX105,RZ[Úroveň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DZ105" s="915">
        <f t="shared" ca="1" si="765"/>
        <v>8</v>
      </c>
      <c r="EA105" s="916">
        <f ca="1">RZ[[#This Row],[Jednotková hmotnost bez koef. '[kg/MJHR'] (P0)]]*RZ[[#This Row],[Počet MJHR v rozpadu (P0)]]</f>
        <v>270.39999999999998</v>
      </c>
      <c r="EB105" s="917">
        <f ca="1">IF(OFFSET(AY105,1,0,1,1)&lt;&gt;0,RZ[[#This Row],[Koeficient odhadu CR '[-'] (P1)]]*$BH105*SUMIFS(RZ[Úroveň 2 s koef. (P3)],RZ[0],AX105),RZ[[#This Row],[Koeficient odhadu CR '[-'] (P1)]]*$BH105*$IQ105)</f>
        <v>0</v>
      </c>
      <c r="EC105" s="191">
        <f ca="1">IF(OFFSET(AY105,1,0,1,1)&lt;&gt;0,$BH105*SUMIFS(RZ[Úroveň 2 bez koef. (P3)],RZ[0],AX105),$BH105*$IQ105)</f>
        <v>0</v>
      </c>
      <c r="ED105" s="140">
        <f ca="1">RZ[[#This Row],[Úroveň 2 s koef. (P3a)]]*RZ[[#This Row],[Počet MJCR (P0) pro "kg"]]</f>
        <v>0</v>
      </c>
      <c r="EE105" s="140">
        <f ca="1">RZ[Úroveň 2 bez koef. (P3a)]*RZ[[#This Row],[Počet MJCR (P0) pro "kg"]]</f>
        <v>0</v>
      </c>
      <c r="EF105" s="140">
        <f ca="1">IF(OFFSET(AZ105,1,0,1,1)&lt;&gt;0,RZ[[#This Row],[Koeficient odhadu CR '[-'] (P1)]]*$BI105*SUMIFS(RZ[Úroveň 3 s koef. (P3)],RZ[0],AX105,RZ[Úroveň 2 (P0)],AY105),RZ[[#This Row],[Koeficient odhadu CR '[-'] (P1)]]*$BI105*$IQ105)</f>
        <v>0</v>
      </c>
      <c r="EG105" s="140">
        <f ca="1">IF(OFFSET(AZ105,1,0,1,1)&lt;&gt;0,$BI105*SUMIFS(RZ[Úroveň 3 bez koef. (P3)],RZ[0],AX105,RZ[Úroveň 2 (P0)],AY105),$BI105*$IQ105)</f>
        <v>0</v>
      </c>
      <c r="EH105" s="135">
        <f ca="1">RZ[[#This Row],[Úroveň 3 s koef. (P3a)]]*RZ[[#This Row],[Počet MJCR (P0) pro "kg"]]</f>
        <v>22983.999999999996</v>
      </c>
      <c r="EI105" s="135">
        <f ca="1">RZ[Úroveň 3 bez koef. (P3a)]*RZ[[#This Row],[Počet MJCR (P0) pro "kg"]]</f>
        <v>22983.999999999996</v>
      </c>
      <c r="EJ105" s="135">
        <f ca="1">IF(OFFSET(BA105,1,0,1,1)&lt;&gt;0,RZ[[#This Row],[Koeficient odhadu CR '[-'] (P1)]]*$BJ105*SUMIFS(RZ[Úroveň 4 s koef. (P3)],RZ[0],AX105,RZ[Úroveň 2 (P0)],AY105,RZ[Úroveň 3 (P0)],AZ105),RZ[[#This Row],[Koeficient odhadu CR '[-'] (P1)]]*$BJ105*$IQ105)</f>
        <v>85</v>
      </c>
      <c r="EK105" s="135">
        <f ca="1">IF(OFFSET(BA105,1,0,1,1)&lt;&gt;0,$BJ105*SUMIFS(RZ[Úroveň 4 bez koef. (P3)],RZ[0],AX105,RZ[Úroveň 2 (P0)],AY105,RZ[Úroveň 3 (P0)],AZ105),$BJ105*$IQ105)</f>
        <v>85</v>
      </c>
      <c r="EL105" s="140">
        <f ca="1">RZ[[#This Row],[Úroveň 4 s koef. (P3a)]]*RZ[[#This Row],[Počet MJCR (P0) pro "kg"]]</f>
        <v>0</v>
      </c>
      <c r="EM105" s="140">
        <f ca="1">RZ[Úroveň 4 bez koef. (P3a)]*RZ[[#This Row],[Počet MJCR (P0) pro "kg"]]</f>
        <v>0</v>
      </c>
      <c r="EN105" s="140">
        <f ca="1">IF(OFFSET(BB105,1,0,1,1)&lt;&gt;0,RZ[[#This Row],[Koeficient odhadu CR '[-'] (P1)]]*$BK105*SUMIFS(RZ[Úroveň 5 s koef. (P3)],RZ[0],AX105,RZ[Úroveň 2 (P0)],AY105,RZ[Úroveň 3 (P0)],AZ105,RZ[Úroveň 4 (P0)],BA105),RZ[[#This Row],[Koeficient odhadu CR '[-'] (P1)]]*$BK105*$IQ105)</f>
        <v>0</v>
      </c>
      <c r="EO105" s="140">
        <f ca="1">IF(OFFSET(BB105,1,0,1,1)&lt;&gt;0,$BK105*SUMIFS(RZ[Úroveň 5 bez koef. (P3)],RZ[0],AX105,RZ[Úroveň 2 (P0)],AY105,RZ[Úroveň 3 (P0)],AZ105,RZ[Úroveň 4 (P0)],BA105),$BK105*$IQ105)</f>
        <v>0</v>
      </c>
      <c r="EP105" s="135">
        <f ca="1">RZ[[#This Row],[Úroveň 5 s koef. (P3a)]]*RZ[[#This Row],[Počet MJCR (P0) pro "kg"]]</f>
        <v>0</v>
      </c>
      <c r="EQ105" s="135">
        <f ca="1">RZ[Úroveň 5 bez koef. (P3a)]*RZ[[#This Row],[Počet MJCR (P0) pro "kg"]]</f>
        <v>0</v>
      </c>
      <c r="ER105" s="135">
        <f ca="1">IF(OFFSET(BC105,1,0,1,1)&lt;&gt;0,RZ[[#This Row],[Koeficient odhadu CR '[-'] (P1)]]*$BL105*SUMIFS(RZ[Úroveň 6 s koef. (P3)],RZ[0],AX105,RZ[Úroveň 2 (P0)],AY105,RZ[Úroveň 3 (P0)],AZ105,RZ[Úroveň 4 (P0)],BA105,RZ[Úroveň 5 (P0)],BB105),RZ[[#This Row],[Koeficient odhadu CR '[-'] (P1)]]*$BL105*$IQ105)</f>
        <v>0</v>
      </c>
      <c r="ES105" s="135">
        <f ca="1">IF(OFFSET(BC105,1,0,1,1)&lt;&gt;0,$BL105*SUMIFS(RZ[Úroveň 6 bez koef. (P3)],RZ[0],AX105,RZ[Úroveň 2 (P0)],AY105,RZ[Úroveň 3 (P0)],AZ105,RZ[Úroveň 4 (P0)],BA105,RZ[Úroveň 5 (P0)],BB105),$BL105*$IQ105)</f>
        <v>0</v>
      </c>
      <c r="ET105" s="140">
        <f ca="1">RZ[[#This Row],[Úroveň 6 s koef. (P3a)]]*RZ[[#This Row],[Počet MJCR (P0) pro "kg"]]</f>
        <v>0</v>
      </c>
      <c r="EU105" s="140">
        <f ca="1">RZ[Úroveň 6 bez koef. (P3a)]*RZ[[#This Row],[Počet MJCR (P0) pro "kg"]]</f>
        <v>0</v>
      </c>
      <c r="EV105" s="140">
        <f ca="1">IF(OFFSET(BD105,1,0,1,1)&lt;&gt;0,RZ[[#This Row],[Koeficient odhadu CR '[-'] (P1)]]*$BM105*SUMIFS(RZ[Úroveň 7 s koef. (P3)],RZ[0],AX105,RZ[Úroveň 2 (P0)],AY105,RZ[Úroveň 3 (P0)],AZ105,RZ[Úroveň 4 (P0)],BA105,RZ[Úroveň 5 (P0)],BB105,RZ[Úroveň 6 (P0)],BC105),RZ[[#This Row],[Koeficient odhadu CR '[-'] (P1)]]*$BM105*$IQ105)</f>
        <v>0</v>
      </c>
      <c r="EW105" s="140">
        <f ca="1">IF(OFFSET(BD105,1,0,1,1)&lt;&gt;0,$BM105*SUMIFS(RZ[Úroveň 7 bez koef. (P3)],RZ[0],AX105,RZ[Úroveň 2 (P0)],AY105,RZ[Úroveň 3 (P0)],AZ105,RZ[Úroveň 4 (P0)],BA105,RZ[Úroveň 5 (P0)],BB105,RZ[Úroveň 6 (P0)],BC105),$BM105*$IQ105)</f>
        <v>0</v>
      </c>
      <c r="EX105" s="135">
        <f ca="1">RZ[[#This Row],[Úroveň 7 s koef. (P3a)]]*RZ[[#This Row],[Počet MJCR (P0) pro "kg"]]</f>
        <v>0</v>
      </c>
      <c r="EY105" s="135">
        <f ca="1">RZ[Úroveň 7 bez koef. (P3a)]*RZ[[#This Row],[Počet MJCR (P0) pro "kg"]]</f>
        <v>0</v>
      </c>
      <c r="EZ105" s="135">
        <f ca="1">IF(OFFSET(BE105,1,0,1,1)&lt;&gt;0,RZ[[#This Row],[Koeficient odhadu CR '[-'] (P1)]]*$BN105*SUMIFS(RZ[Úroveň 8 s koef. (P3)],RZ[0],AX105,RZ[Úroveň 2 (P0)],AY105,RZ[Úroveň 3 (P0)],AZ105,RZ[Úroveň 4 (P0)],BA105,RZ[Úroveň 5 (P0)],BB105,RZ[Úroveň 6 (P0)],BC105,RZ[Úroveň 7 (P0)],BD105),RZ[[#This Row],[Koeficient odhadu CR '[-'] (P1)]]*$BN105*$IQ105)</f>
        <v>0</v>
      </c>
      <c r="FA105" s="135">
        <f ca="1">IF(OFFSET(BE105,1,0,1,1)&lt;&gt;0,$BN105*SUMIFS(RZ[Úroveň 8 bez koef. (P3)],RZ[0],AX105,RZ[Úroveň 2 (P0)],AY105,RZ[Úroveň 3 (P0)],AZ105,RZ[Úroveň 4 (P0)],BA105,RZ[Úroveň 5 (P0)],BB105,RZ[Úroveň 6 (P0)],BC105,RZ[Úroveň 7 (P0)],BD105),$BN105*$IQ105)</f>
        <v>0</v>
      </c>
      <c r="FB105" s="140">
        <f ca="1">RZ[[#This Row],[Úroveň 8 s koef. (P3a)]]*RZ[[#This Row],[Počet MJCR (P0) pro "kg"]]</f>
        <v>0</v>
      </c>
      <c r="FC105" s="140">
        <f ca="1">RZ[Úroveň 8 bez koef. (P3a)]*RZ[[#This Row],[Počet MJCR (P0) pro "kg"]]</f>
        <v>0</v>
      </c>
      <c r="FD105" s="140">
        <f ca="1">IF(OFFSET(BF105,1,0,1,1)&lt;&gt;0,RZ[[#This Row],[Koeficient odhadu CR '[-'] (P1)]]*$BO105*SUMIFS(RZ[Úroveň 9 s koef. (P3)],RZ[0],AX105,RZ[Úroveň 2 (P0)],AY105,RZ[Úroveň 3 (P0)],AZ105,RZ[Úroveň 4 (P0)],BA105,RZ[Úroveň 5 (P0)],BB105,RZ[Úroveň 6 (P0)],BC105,RZ[Úroveň 7 (P0)],BD105,RZ[Úroveň 8 (P0)],BE105),RZ[[#This Row],[Koeficient odhadu CR '[-'] (P1)]]*$BO105*$IQ105)</f>
        <v>0</v>
      </c>
      <c r="FE105" s="140">
        <f ca="1">IF(OFFSET(BF105,1,0,1,1)&lt;&gt;0,$BO105*SUMIFS(RZ[Úroveň 9 bez koef. (P3)],RZ[0],AX105,RZ[Úroveň 2 (P0)],AY105,RZ[Úroveň 3 (P0)],AZ105,RZ[Úroveň 4 (P0)],BA105,RZ[Úroveň 5 (P0)],BB105,RZ[Úroveň 6 (P0)],BC105,RZ[Úroveň 7 (P0)],BD105,RZ[Úroveň 8 (P0)],BE105),$BO105*$IQ105)</f>
        <v>0</v>
      </c>
      <c r="FF105" s="135">
        <f ca="1">RZ[[#This Row],[Úroveň 9 s koef. (P3a)]]*RZ[[#This Row],[Počet MJCR (P0) pro "kg"]]</f>
        <v>0</v>
      </c>
      <c r="FG105" s="135">
        <f ca="1">RZ[Úroveň 9 bez koef. (P3a)]*RZ[[#This Row],[Počet MJCR (P0) pro "kg"]]</f>
        <v>0</v>
      </c>
      <c r="FH105" s="135">
        <f ca="1">IF(OFFSET(BG105,1,0,1,1)&lt;&gt;0,RZ[[#This Row],[Koeficient odhadu CR '[-'] (P1)]]*$BP105*SUMIFS(RZ[Úroveň 10 s koef. (P3)],RZ[0],AX105,RZ[Úroveň 2 (P0)],AY105,RZ[Úroveň 3 (P0)],AZ105,RZ[Úroveň 4 (P0)],BA105,RZ[Úroveň 5 (P0)],BB105,RZ[Úroveň 6 (P0)],BC105,RZ[Úroveň 7 (P0)],BD105,RZ[Úroveň 8 (P0)],BE105,RZ[Úroveň 9 (P0)],BF105),RZ[[#This Row],[Koeficient odhadu CR '[-'] (P1)]]*$BP105*$IQ105)</f>
        <v>0</v>
      </c>
      <c r="FI105" s="135">
        <f ca="1">IF(OFFSET(BG105,1,0,1,1)&lt;&gt;0,$BP105*SUMIFS(RZ[Úroveň 10 bez koef. (P3)],RZ[0],AX105,RZ[Úroveň 2 (P0)],AY105,RZ[Úroveň 3 (P0)],AZ105,RZ[Úroveň 4 (P0)],BA105,RZ[Úroveň 5 (P0)],BB105,RZ[Úroveň 6 (P0)],BC105,RZ[Úroveň 7 (P0)],BD105,RZ[Úroveň 8 (P0)],BE105,RZ[Úroveň 9 (P0)],BF105),$BP105*$IQ105)</f>
        <v>0</v>
      </c>
      <c r="FJ105" s="140">
        <f ca="1">RZ[[#This Row],[Úroveň 10 s koef. (P3a)]]*RZ[[#This Row],[Počet MJCR (P0) pro "kg"]]</f>
        <v>0</v>
      </c>
      <c r="FK105" s="140">
        <f ca="1">RZ[Úroveň 10 bez koef. (P3a)]*RZ[[#This Row],[Počet MJCR (P0) pro "kg"]]</f>
        <v>0</v>
      </c>
      <c r="FL105" s="140">
        <f ca="1">RZ[[#This Row],[Koeficient odhadu CR '[-'] (P1)]]*$BQ105*IQ105</f>
        <v>0</v>
      </c>
      <c r="FM105" s="236">
        <f t="shared" ca="1" si="766"/>
        <v>0</v>
      </c>
      <c r="FN105" s="194">
        <f t="shared" ca="1" si="767"/>
        <v>85</v>
      </c>
      <c r="FO105" s="238">
        <f t="shared" ca="1" si="768"/>
        <v>85</v>
      </c>
      <c r="FP105" s="135">
        <f t="shared" ca="1" si="769"/>
        <v>0</v>
      </c>
      <c r="FQ105" s="135">
        <f t="shared" ca="1" si="770"/>
        <v>0</v>
      </c>
      <c r="FR105" s="135">
        <f t="shared" ca="1" si="771"/>
        <v>270.39999999999998</v>
      </c>
      <c r="FS105" s="135">
        <f t="shared" ca="1" si="772"/>
        <v>0</v>
      </c>
      <c r="FT105" s="135">
        <f t="shared" ca="1" si="773"/>
        <v>0</v>
      </c>
      <c r="FU105" s="135">
        <f t="shared" ca="1" si="774"/>
        <v>0</v>
      </c>
      <c r="FV105" s="135">
        <f t="shared" ca="1" si="775"/>
        <v>0</v>
      </c>
      <c r="FW105" s="135">
        <f t="shared" ca="1" si="776"/>
        <v>0</v>
      </c>
      <c r="FX105" s="135">
        <f t="shared" ca="1" si="777"/>
        <v>0</v>
      </c>
      <c r="FY105" s="135">
        <f t="shared" ca="1" si="778"/>
        <v>0</v>
      </c>
      <c r="FZ105" s="140">
        <f ca="1">SUMIFS(RZ[Úroveň 1 (P6)],RZ[0],AX105)</f>
        <v>1</v>
      </c>
      <c r="GA105" s="140">
        <f ca="1">SUMIFS(RZ[Úroveň 2 (P6)],RZ[0],AX105,RZ[Úroveň 2 (P0)],AY105)</f>
        <v>1</v>
      </c>
      <c r="GB105" s="140">
        <f ca="1">SUMIFS(RZ[Úroveň 3 (P6)],RZ[0],AX105,RZ[Úroveň 2 (P0)],AY105,RZ[Úroveň 3 (P0)],AZ105)</f>
        <v>270.39999999999998</v>
      </c>
      <c r="GC105" s="140">
        <f ca="1">SUMIFS(RZ[Úroveň 4 (P6)],RZ[0],AX105,RZ[Úroveň 2 (P0)],AY105,RZ[Úroveň 3 (P0)],AZ105,RZ[Úroveň 4 (P0)],BA105)</f>
        <v>0</v>
      </c>
      <c r="GD105" s="140">
        <f ca="1">SUMIFS(RZ[Úroveň 5 (P6)],RZ[0],AX105,RZ[Úroveň 2 (P0)],AY105,RZ[Úroveň 3 (P0)],AZ105,RZ[Úroveň 4 (P0)],BA105,RZ[Úroveň 5 (P0)],BB105)</f>
        <v>0</v>
      </c>
      <c r="GE105" s="140">
        <f ca="1">SUMIFS(RZ[Úroveň 6 (P6)],RZ[0],AX105,RZ[Úroveň 2 (P0)],AY105,RZ[Úroveň 3 (P0)],AZ105,RZ[Úroveň 4 (P0)],BA105,RZ[Úroveň 5 (P0)],BB105,RZ[Úroveň 6 (P0)],BC105)</f>
        <v>0</v>
      </c>
      <c r="GF105" s="140">
        <f ca="1">SUMIFS(RZ[Úroveň 7 (P6)],RZ[0],AX105,RZ[Úroveň 2 (P0)],AY105,RZ[Úroveň 3 (P0)],AZ105,RZ[Úroveň 4 (P0)],BA105,RZ[Úroveň 5 (P0)],BB105,RZ[Úroveň 6 (P0)],BC105,RZ[Úroveň 7 (P0)],BD105)</f>
        <v>0</v>
      </c>
      <c r="GG105" s="140">
        <f ca="1">SUMIFS(RZ[Úroveň 8 (P6)],RZ[0],AX105,RZ[Úroveň 2 (P0)],AY105,RZ[Úroveň 3 (P0)],AZ105,RZ[Úroveň 4 (P0)],BA105,RZ[Úroveň 5 (P0)],BB105,RZ[Úroveň 6 (P0)],BC105,RZ[Úroveň 7 (P0)],BD105,RZ[Úroveň 8 (P0)],BE105)</f>
        <v>0</v>
      </c>
      <c r="GH105" s="140">
        <f ca="1">SUMIFS(RZ[Úroveň 9 (P6)],RZ[0],AX105,RZ[Úroveň 2 (P0)],AY105,RZ[Úroveň 3 (P0)],AZ105,RZ[Úroveň 4 (P0)],BA105,RZ[Úroveň 5 (P0)],BB105,RZ[Úroveň 6 (P0)],BC105,RZ[Úroveň 7 (P0)],BD105,RZ[Úroveň 8 (P0)],BE105,RZ[Úroveň 9 (P0)],BF105)</f>
        <v>0</v>
      </c>
      <c r="GI105" s="140">
        <f ca="1">SUMIFS(RZ[Úroveň 10 (P6)],RZ[0],AX105,RZ[Úroveň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GJ105" s="918">
        <f t="shared" ca="1" si="779"/>
        <v>270.39999999999998</v>
      </c>
      <c r="GK105" s="808">
        <f t="shared" si="780"/>
        <v>0</v>
      </c>
      <c r="GL105" s="808">
        <f t="shared" si="781"/>
        <v>0</v>
      </c>
      <c r="GM105" s="808">
        <f t="shared" si="782"/>
        <v>1</v>
      </c>
      <c r="GN105" s="808">
        <f t="shared" si="783"/>
        <v>0</v>
      </c>
      <c r="GO105" s="808">
        <f t="shared" si="784"/>
        <v>0</v>
      </c>
      <c r="GP105" s="808">
        <f t="shared" si="785"/>
        <v>0</v>
      </c>
      <c r="GQ105" s="808">
        <f t="shared" si="786"/>
        <v>0</v>
      </c>
      <c r="GR105" s="808">
        <f t="shared" si="787"/>
        <v>0</v>
      </c>
      <c r="GS105" s="808">
        <f t="shared" si="788"/>
        <v>0</v>
      </c>
      <c r="GT105" s="808">
        <f t="shared" si="789"/>
        <v>0</v>
      </c>
      <c r="GU105" s="809">
        <f ca="1">SUMIFS(RZ[Sloupec1],RZ[0],AX105)</f>
        <v>1</v>
      </c>
      <c r="GV105" s="809">
        <f ca="1">SUMIFS(RZ[Sloupec2],RZ[0],AX105,RZ[Úroveň 2 (P0)],AY105)</f>
        <v>1</v>
      </c>
      <c r="GW105" s="809">
        <f ca="1">SUMIFS(RZ[Sloupec3],RZ[0],AX105,RZ[Úroveň 2 (P0)],AY105,RZ[Úroveň 3 (P0)],AZ105)</f>
        <v>1</v>
      </c>
      <c r="GX105" s="809">
        <f ca="1">SUMIFS(RZ[Sloupec4],RZ[0],AX105,RZ[Úroveň 2 (P0)],AY105,RZ[Úroveň 3 (P0)],AZ105,RZ[Úroveň 4 (P0)],BA105)</f>
        <v>0</v>
      </c>
      <c r="GY105" s="809">
        <f ca="1">SUMIFS(RZ[Sloupec5],RZ[0],AX105,RZ[Úroveň 2 (P0)],AY105,RZ[Úroveň 3 (P0)],AZ105,RZ[Úroveň 4 (P0)],BA105,RZ[Úroveň 5 (P0)],BB105)</f>
        <v>0</v>
      </c>
      <c r="GZ105" s="809">
        <f ca="1">SUMIFS(RZ[Sloupec6],RZ[0],AX105,RZ[Úroveň 2 (P0)],AY105,RZ[Úroveň 3 (P0)],AZ105,RZ[Úroveň 4 (P0)],BA105,RZ[Úroveň 5 (P0)],BB105,RZ[Úroveň 6 (P0)],BC105)</f>
        <v>0</v>
      </c>
      <c r="HA105" s="809">
        <f ca="1">SUMIFS(RZ[Sloupec62],RZ[0],AX105,RZ[Úroveň 2 (P0)],AY105,RZ[Úroveň 3 (P0)],AZ105,RZ[Úroveň 4 (P0)],BA105,RZ[Úroveň 5 (P0)],BB105,RZ[Úroveň 6 (P0)],BC105,RZ[Úroveň 7 (P0)],BD105)</f>
        <v>0</v>
      </c>
      <c r="HB105" s="809">
        <f ca="1">SUMIFS(RZ[Sloupec63],RZ[0],AX105,RZ[Úroveň 2 (P0)],AY105,RZ[Úroveň 3 (P0)],AZ105,RZ[Úroveň 4 (P0)],BA105,RZ[Úroveň 5 (P0)],BB105,RZ[Úroveň 6 (P0)],BC105,RZ[Úroveň 7 (P0)],BD105,RZ[Úroveň 8 (P0)],BE105)</f>
        <v>0</v>
      </c>
      <c r="HC105" s="809">
        <f ca="1">SUMIFS(RZ[Sloupec64],RZ[0],AX105,RZ[Úroveň 2 (P0)],AY105,RZ[Úroveň 3 (P0)],AZ105,RZ[Úroveň 4 (P0)],BA105,RZ[Úroveň 5 (P0)],BB105,RZ[Úroveň 6 (P0)],BC105,RZ[Úroveň 7 (P0)],BD105,RZ[Úroveň 8 (P0)],BE105,RZ[Úroveň 9 (P0)],BF105)</f>
        <v>0</v>
      </c>
      <c r="HD105" s="809">
        <f ca="1">SUMIFS(RZ[Sloupec65],RZ[0],AX105,RZ[Úroveň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HE105" s="919">
        <f t="shared" ca="1" si="790"/>
        <v>1</v>
      </c>
      <c r="HF105" s="920" t="str">
        <f t="shared" si="791"/>
        <v/>
      </c>
      <c r="HG105" s="94" t="str">
        <f t="shared" si="792"/>
        <v/>
      </c>
      <c r="HH105" s="95" t="str">
        <f t="shared" si="793"/>
        <v/>
      </c>
      <c r="HI105" s="95" t="str">
        <f t="shared" si="794"/>
        <v>Nárazník</v>
      </c>
      <c r="HJ105" s="96" t="str">
        <f t="shared" si="795"/>
        <v/>
      </c>
      <c r="HK105" s="96" t="str">
        <f t="shared" si="796"/>
        <v/>
      </c>
      <c r="HL105" s="96" t="str">
        <f t="shared" si="797"/>
        <v/>
      </c>
      <c r="HM105" s="96" t="str">
        <f t="shared" si="798"/>
        <v/>
      </c>
      <c r="HN105" s="96" t="str">
        <f t="shared" si="799"/>
        <v/>
      </c>
      <c r="HO105" s="96" t="str">
        <f t="shared" si="800"/>
        <v/>
      </c>
      <c r="HP105" s="96" t="str">
        <f t="shared" si="801"/>
        <v/>
      </c>
      <c r="HQ105" s="145" t="str">
        <f t="shared" si="802"/>
        <v>STO3</v>
      </c>
      <c r="HR105" s="921" t="str">
        <f t="shared" si="803"/>
        <v/>
      </c>
      <c r="HS105" s="173">
        <f t="shared" si="804"/>
        <v>0</v>
      </c>
      <c r="HT105" s="100">
        <f t="shared" si="805"/>
        <v>0</v>
      </c>
      <c r="HU105" s="100">
        <f t="shared" si="806"/>
        <v>0</v>
      </c>
      <c r="HV105" s="908">
        <f t="shared" si="807"/>
        <v>0</v>
      </c>
      <c r="HW105" s="922">
        <f t="shared" si="808"/>
        <v>0</v>
      </c>
      <c r="HX105" s="224">
        <f t="shared" si="809"/>
        <v>0</v>
      </c>
      <c r="HY105" s="263" t="str">
        <f t="shared" si="810"/>
        <v>S</v>
      </c>
      <c r="HZ105" s="263">
        <f t="shared" si="811"/>
        <v>0</v>
      </c>
      <c r="IA105" s="150">
        <f t="shared" si="812"/>
        <v>1</v>
      </c>
      <c r="IB105" s="319">
        <f t="shared" si="813"/>
        <v>0</v>
      </c>
      <c r="IC105" s="923">
        <f t="shared" si="814"/>
        <v>0</v>
      </c>
      <c r="ID105" s="924" t="str">
        <f t="shared" ca="1" si="815"/>
        <v>OK</v>
      </c>
      <c r="IE105" s="201" t="str">
        <f t="shared" si="816"/>
        <v>ks</v>
      </c>
      <c r="IF105" s="145">
        <f t="shared" si="817"/>
        <v>8</v>
      </c>
      <c r="IG105" s="216">
        <f t="shared" si="818"/>
        <v>33.799999999999997</v>
      </c>
      <c r="IH105" s="217">
        <f t="shared" si="819"/>
        <v>1</v>
      </c>
      <c r="II105" s="224" t="str">
        <f ca="1">IF(RZ[[#This Row],[Rozhodný sloupec indikativní ceny]]=1,"kg",IF($IW105=$JL$15,IF(JX105=0,JO105,JX105),IF($IW105=$KE$15,IF(KQ105=0,KH105,KQ105),IF($IW105=$KX$15,IF(LJ105=0,LA105,LJ105),IF($IW105=$LQ$15,IF(MC105=0,LT105,MC105),IF($IW105=$MJ$15,IF(NQ105=0,NH105,NQ105),0))))))</f>
        <v>kg</v>
      </c>
      <c r="IJ105" s="224">
        <f ca="1">IF((BH105+OFFSET(BH105,1,1,1,1))=2,RZ[[#This Row],[Počet MJHR (P0)]],IF((BI105+OFFSET(BI105,1,1,1,1))=2,RZ[[#This Row],[Počet MJHR (P0)]],IF((BJ105+OFFSET(BJ105,1,1,1,1))=2,RZ[[#This Row],[Počet MJHR (P0)]],IF((BK105+OFFSET(BK105,1,1,1,1))=2,RZ[[#This Row],[Počet MJHR (P0)]],IF((BL105+OFFSET(BL105,1,1,1,1))=2,RZ[[#This Row],[Počet MJHR (P0)]],IF((BM105+OFFSET(BM105,1,1,1,1))=2,RZ[[#This Row],[Počet MJHR (P0)]],IF((BN105+OFFSET(BN105,1,1,1,1))=2,RZ[[#This Row],[Počet MJHR (P0)]],IF((BO105+OFFSET(BO105,1,1,1,1))=2,RZ[[#This Row],[Počet MJHR (P0)]],IF((BP105+OFFSET(BP105,1,1,1,1))=2,RZ[[#This Row],[Počet MJHR (P0)]],IF((BQ105+OFFSET(BQ105,1,1,1,1))=2,RZ[[#This Row],[Počet MJHR (P0)]],IF(RZ[[#This Row],[Měrná jednotka CR (MJCR) (P0)]]=RZ[[#This Row],[Měrná jednotka HR '[MJHR'] (P0)]],RZ[[#This Row],[Počet MJHR (P0)]],IF($IW105=$JL$15,JY105,IF($IW105=$KE$15,KR105,IF($IW105=$KX$15,LK105,IF($IW105=$LQ$15,MD105,IF($IW105=$MJ$15,NR105,0))))))))))))))))</f>
        <v>0</v>
      </c>
      <c r="IK10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270.39999999999998</v>
      </c>
      <c r="IL105" s="145">
        <f ca="1">IF(AND(RZ[[#This Row],[Jednotková cena bez DPH '[cena/MJCR'] (P0)]]=0,RZ[[#This Row],[Indikativní jednotková cena '[CZK/kg'] (P1)]]&lt;&gt;0),1,0)</f>
        <v>1</v>
      </c>
      <c r="IM105" s="217">
        <f ca="1">VLOOKUP(RZ[[#This Row],[Kód položek]],INDIKAT_CENA,2,FALSE)</f>
        <v>85</v>
      </c>
      <c r="IN105" s="222">
        <f ca="1">IF(RZ[[#This Row],[Rozhodný sloupec indikativní ceny]]=1,RZ[[#This Row],[Indikativní jednotková cena '[CZK/kg'] (P1)]],RZ[[#This Row],[Jednotková cena bez DPH '[cena/MJCR'] (P0)]])</f>
        <v>85</v>
      </c>
      <c r="IO105" s="222">
        <f t="shared" si="820"/>
        <v>1</v>
      </c>
      <c r="IP105" s="224">
        <f ca="1">IF(RZ[[#This Row],[Rozhodný sloupec indikativní ceny]]=1,1,IF($IW105=$JL$15,KA105,IF($IW105=$KE$15,KT105,IF($IW105=$KX$15,LM105,IF($IW105=$LQ$15,MF105,IF($IW105=$MJ$15,NT105,0))))))</f>
        <v>1</v>
      </c>
      <c r="IQ105" s="225">
        <f ca="1">IF(RZ[[#This Row],[Jednotková cena bez DPH '[cena/MJCR'] (P1)]]="",0,IF(IP105=0,0,(RZ[[#This Row],[Jednotková cena bez DPH '[cena/MJCR'] (P1)]]*VLOOKUP(IP105,$BR$7:$BT$10,3))))</f>
        <v>85</v>
      </c>
      <c r="IR105" s="737"/>
      <c r="IS105" s="627">
        <f>IF(HY105=0,"",VLOOKUP(RZ[[#This Row],[Stav Projekce (P0)]],Vstupy!$E$11:'Vstupy'!$E$11:$H$17,4,FALSE))</f>
        <v>100</v>
      </c>
      <c r="IT105" s="925" t="str">
        <f>IF(RZ[[#This Row],[Stav Projekce (P0)]]=0,"",RZ[[#This Row],[Stav Projekce (P0)]])</f>
        <v>S</v>
      </c>
      <c r="IU105" s="925" t="str">
        <f>IF(RZ[[#This Row],[Stav Nákup (P0)]]=0,"",RZ[[#This Row],[Stav Nákup (P0)]])</f>
        <v/>
      </c>
      <c r="IV105" s="926" t="str">
        <f t="shared" si="821"/>
        <v/>
      </c>
      <c r="IW105" s="641">
        <v>1</v>
      </c>
      <c r="IX105" s="630"/>
      <c r="IY105" s="264"/>
      <c r="IZ105" s="648"/>
      <c r="JA105" s="100"/>
      <c r="JB105" s="100" t="s">
        <v>778</v>
      </c>
      <c r="JC105" s="100"/>
      <c r="JD105" s="100"/>
      <c r="JE105" s="100"/>
      <c r="JF105" s="100"/>
      <c r="JG105" s="100"/>
      <c r="JH105" s="100"/>
      <c r="JI105" s="100"/>
      <c r="JJ105" s="145" t="s">
        <v>784</v>
      </c>
      <c r="JK105" s="529"/>
      <c r="JL105" s="286"/>
      <c r="JM105" s="100"/>
      <c r="JN105" s="100"/>
      <c r="JO105" s="145" t="s">
        <v>35</v>
      </c>
      <c r="JP105" s="117">
        <v>8</v>
      </c>
      <c r="JQ105" s="117">
        <v>33.799999999999997</v>
      </c>
      <c r="JR105" s="148">
        <v>1</v>
      </c>
      <c r="JS105" s="145" t="s">
        <v>602</v>
      </c>
      <c r="JT105" s="631"/>
      <c r="JU105" s="148"/>
      <c r="JV105" s="154"/>
      <c r="JW105" s="145"/>
      <c r="JX105" s="210"/>
      <c r="JY105" s="117"/>
      <c r="JZ105" s="662"/>
      <c r="KA105" s="145"/>
      <c r="KB105" s="148"/>
      <c r="KC105" s="148"/>
      <c r="KD105" s="644"/>
      <c r="KE105" s="286"/>
      <c r="KF105" s="100"/>
      <c r="KG105" s="100"/>
      <c r="KH105" s="210"/>
      <c r="KI105" s="117"/>
      <c r="KJ105" s="117"/>
      <c r="KK105" s="148"/>
      <c r="KL105" s="145"/>
      <c r="KM105" s="632"/>
      <c r="KN105" s="148"/>
      <c r="KO105" s="154"/>
      <c r="KP105" s="154"/>
      <c r="KQ105" s="210"/>
      <c r="KR105" s="117"/>
      <c r="KS105" s="211"/>
      <c r="KT105" s="145"/>
      <c r="KU105" s="148"/>
      <c r="KV105" s="148"/>
      <c r="KW105" s="265"/>
      <c r="KX105" s="286"/>
      <c r="KY105" s="100"/>
      <c r="KZ105" s="100"/>
      <c r="LA105" s="210"/>
      <c r="LB105" s="117"/>
      <c r="LC105" s="117"/>
      <c r="LD105" s="148"/>
      <c r="LE105" s="145"/>
      <c r="LF105" s="632"/>
      <c r="LG105" s="148"/>
      <c r="LH105" s="154"/>
      <c r="LI105" s="154"/>
      <c r="LJ105" s="154"/>
      <c r="LK105" s="117"/>
      <c r="LL105" s="211"/>
      <c r="LM105" s="210"/>
      <c r="LN105" s="148"/>
      <c r="LO105" s="148"/>
      <c r="LP105" s="265"/>
      <c r="LQ105" s="286"/>
      <c r="LR105" s="100"/>
      <c r="LS105" s="100"/>
      <c r="LT105" s="210"/>
      <c r="LU105" s="117"/>
      <c r="LV105" s="117"/>
      <c r="LW105" s="148"/>
      <c r="LX105" s="145"/>
      <c r="LY105" s="632"/>
      <c r="LZ105" s="148"/>
      <c r="MA105" s="154"/>
      <c r="MB105" s="154"/>
      <c r="MC105" s="145"/>
      <c r="MD105" s="117"/>
      <c r="ME105" s="211"/>
      <c r="MF105" s="210"/>
      <c r="MG105" s="148"/>
      <c r="MH105" s="148"/>
      <c r="MI105" s="265"/>
      <c r="MJ105" s="647"/>
      <c r="MK105" s="264"/>
      <c r="ML105" s="153"/>
      <c r="MM105" s="153"/>
      <c r="MN105" s="153"/>
      <c r="MO105" s="153"/>
      <c r="MP105" s="153"/>
      <c r="MQ105" s="153"/>
      <c r="MR105" s="153"/>
      <c r="MS105" s="99"/>
      <c r="MT105" s="99"/>
      <c r="MU105" s="99"/>
      <c r="MV105" s="99"/>
      <c r="MW105" s="99"/>
      <c r="MX105" s="99"/>
      <c r="MY105" s="153"/>
      <c r="MZ105" s="153"/>
      <c r="NA105" s="153"/>
      <c r="NB105" s="153"/>
      <c r="NC105" s="153"/>
      <c r="ND105" s="153"/>
      <c r="NE105" s="148"/>
      <c r="NF105" s="145"/>
      <c r="NG105" s="145"/>
      <c r="NH105" s="330" t="str">
        <f t="shared" si="822"/>
        <v>ks</v>
      </c>
      <c r="NI105" s="797">
        <f>RZ[[#This Row],[Počet ks (K)]]</f>
        <v>0</v>
      </c>
      <c r="NJ105" s="798">
        <f>RZ[[#This Row],[Hmotnost '[kg/ks'] (K)]]</f>
        <v>0</v>
      </c>
      <c r="NK105" s="148"/>
      <c r="NL105" s="145"/>
      <c r="NM105" s="632"/>
      <c r="NN105" s="148"/>
      <c r="NO105" s="154"/>
      <c r="NP105" s="154"/>
      <c r="NQ105" s="154"/>
      <c r="NR105" s="210"/>
      <c r="NS105" s="148"/>
      <c r="NT105" s="210"/>
      <c r="NU105" s="148"/>
      <c r="NV105" s="148"/>
      <c r="NW105" s="265"/>
    </row>
    <row r="106" spans="2:387" ht="15.95" customHeight="1" x14ac:dyDescent="0.35">
      <c r="B106" s="118" t="str">
        <f t="shared" si="706"/>
        <v/>
      </c>
      <c r="C10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6" s="262" t="str">
        <f t="shared" si="707"/>
        <v xml:space="preserve">    Opěra boční</v>
      </c>
      <c r="E106" s="120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Row],[Kód položek (P2)]]))))))))))</f>
        <v>OKS2</v>
      </c>
      <c r="F106" s="791" t="str">
        <f t="shared" si="708"/>
        <v>N/A</v>
      </c>
      <c r="G106" s="792" t="str">
        <f t="shared" si="709"/>
        <v/>
      </c>
      <c r="H106" s="262" t="str">
        <f t="shared" si="710"/>
        <v/>
      </c>
      <c r="I106" s="123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HR '[MJHR'] (P0)]]))))))))))</f>
        <v>ks</v>
      </c>
      <c r="J106" s="123">
        <f t="shared" si="711"/>
        <v>2</v>
      </c>
      <c r="K106" s="793">
        <f>RZ[[#This Row],[Koeficient odhadu HR '[-'] (P1)]]</f>
        <v>1</v>
      </c>
      <c r="L106" s="124">
        <f ca="1">RZ[[#This Row],[Jednotková hmotnost s koef. '[kg/MJHR'] (P0)]]</f>
        <v>43.56</v>
      </c>
      <c r="M106" s="794">
        <f t="shared" ca="1" si="712"/>
        <v>0</v>
      </c>
      <c r="N106" s="125">
        <f t="shared" ca="1" si="713"/>
        <v>87.12</v>
      </c>
      <c r="O106" s="125">
        <f t="shared" ca="1" si="714"/>
        <v>0</v>
      </c>
      <c r="P106" s="126" t="str">
        <f t="shared" si="715"/>
        <v/>
      </c>
      <c r="Q106" s="795">
        <f ca="1">RZ[[#This Row],[Počet MJHR v rozpadu (P0)]]</f>
        <v>2</v>
      </c>
      <c r="R106" s="439" t="str">
        <f t="shared" si="716"/>
        <v/>
      </c>
      <c r="S106" s="129" t="str">
        <f t="shared" si="717"/>
        <v/>
      </c>
      <c r="T106" s="126" t="str">
        <f t="shared" si="718"/>
        <v/>
      </c>
      <c r="U106" s="126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CR (MJCR) (P0)]]))))))))))</f>
        <v>kg</v>
      </c>
      <c r="V106" s="575">
        <f t="shared" ca="1" si="719"/>
        <v>87.12</v>
      </c>
      <c r="W106" s="322">
        <f>RZ[[#This Row],[Koeficient odhadu CR '[-'] (P1)]]</f>
        <v>1</v>
      </c>
      <c r="X106" s="440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Row],[Jednotková cena bez DPH '[cena/MJCR'] (P1)]]*RZ[[#This Row],[Koeficient odhadu CR '[-']]]))))))))))</f>
        <v>110</v>
      </c>
      <c r="Y106" s="440">
        <f t="shared" ca="1" si="720"/>
        <v>0</v>
      </c>
      <c r="Z106" s="142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VLOOKUP(IP106,$BR$7:$BS$11,2,FALSE)))))))))))</f>
        <v>CZK</v>
      </c>
      <c r="AA106" s="909">
        <f t="shared" ca="1" si="721"/>
        <v>87.12</v>
      </c>
      <c r="AB106" s="910">
        <f ca="1">RZ[[#This Row],[Kumulovaný koeficient v rozpadu (P0)]]</f>
        <v>1</v>
      </c>
      <c r="AC106" s="261"/>
      <c r="AD106" s="796">
        <f ca="1">RZ[[#This Row],[Jednotková cena bez DPH '[cena/MJCR'] s koef. (P0)]]/RZ[[#This Row],[Koeficient odhadu CR '[-']]]*RZ[[#This Row],[Kumulovaný koeficient odhadu CR  '[-']]]</f>
        <v>110</v>
      </c>
      <c r="AE106" s="796">
        <f t="shared" ca="1" si="722"/>
        <v>9583.2000000000007</v>
      </c>
      <c r="AF106" s="796">
        <f ca="1">-IF(ISNUMBER(AA106),RZ[[#This Row],[Celková cena bez DPH (1)]]-RZ[[#This Row],[Jednotková cena bez DPH '[cena/MJCR'] bez koef. (P0)]]*AA106,0)</f>
        <v>0</v>
      </c>
      <c r="AG10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06" s="261"/>
      <c r="AI106" s="796">
        <f t="shared" ca="1" si="723"/>
        <v>4.0740740740740744</v>
      </c>
      <c r="AJ106" s="796">
        <f t="shared" ca="1" si="724"/>
        <v>354.93333333333334</v>
      </c>
      <c r="AK106" s="796">
        <f t="shared" ca="1" si="725"/>
        <v>0</v>
      </c>
      <c r="AL106" s="753">
        <f ca="1">RZ[[#This Row],[Kilogramová cena bez DPH '[cena/kg'] (1)]]/$AK$13</f>
        <v>4.0740740740740744</v>
      </c>
      <c r="AM106" s="261"/>
      <c r="AN106" s="796">
        <f t="shared" ca="1" si="726"/>
        <v>5.3140096618357493</v>
      </c>
      <c r="AO106" s="796">
        <f t="shared" ca="1" si="727"/>
        <v>462.95652173913049</v>
      </c>
      <c r="AP106" s="796">
        <f t="shared" ca="1" si="728"/>
        <v>0</v>
      </c>
      <c r="AQ106" s="753">
        <f ca="1">RZ[[#This Row],[Kilogramová cena bez DPH '[cena/kg'] (1)]]/$AP$13</f>
        <v>5.3140096618357493</v>
      </c>
      <c r="AR106" s="261"/>
      <c r="AS106" s="796">
        <f t="shared" ca="1" si="729"/>
        <v>3.0087527352297592</v>
      </c>
      <c r="AT106" s="796">
        <f t="shared" ca="1" si="730"/>
        <v>262.12253829321662</v>
      </c>
      <c r="AU106" s="789">
        <f t="shared" ca="1" si="731"/>
        <v>0</v>
      </c>
      <c r="AV106" s="767">
        <f ca="1">RZ[[#This Row],[Kilogramová cena bez DPH '[cena/kg'] (1)]]/$AU$13</f>
        <v>3.0087527352297592</v>
      </c>
      <c r="AW106" s="165"/>
      <c r="AX106" s="911">
        <f t="shared" ca="1" si="732"/>
        <v>2</v>
      </c>
      <c r="AY106" s="111">
        <f t="shared" ca="1" si="733"/>
        <v>8</v>
      </c>
      <c r="AZ106" s="111">
        <f t="shared" ca="1" si="734"/>
        <v>6</v>
      </c>
      <c r="BA106" s="111">
        <f t="shared" ca="1" si="735"/>
        <v>0</v>
      </c>
      <c r="BB106" s="111">
        <f t="shared" ca="1" si="736"/>
        <v>0</v>
      </c>
      <c r="BC106" s="111">
        <f t="shared" ca="1" si="737"/>
        <v>0</v>
      </c>
      <c r="BD106" s="111">
        <f t="shared" ca="1" si="738"/>
        <v>0</v>
      </c>
      <c r="BE106" s="111">
        <f t="shared" ca="1" si="739"/>
        <v>0</v>
      </c>
      <c r="BF106" s="111">
        <f t="shared" ca="1" si="740"/>
        <v>0</v>
      </c>
      <c r="BG106" s="112">
        <f t="shared" ca="1" si="741"/>
        <v>0</v>
      </c>
      <c r="BH106" s="911">
        <f t="shared" si="742"/>
        <v>0</v>
      </c>
      <c r="BI106" s="111">
        <f t="shared" si="743"/>
        <v>0</v>
      </c>
      <c r="BJ106" s="111">
        <f t="shared" si="744"/>
        <v>1</v>
      </c>
      <c r="BK106" s="111">
        <f t="shared" si="745"/>
        <v>0</v>
      </c>
      <c r="BL106" s="111">
        <f t="shared" si="746"/>
        <v>0</v>
      </c>
      <c r="BM106" s="111">
        <f t="shared" si="747"/>
        <v>0</v>
      </c>
      <c r="BN106" s="111">
        <f t="shared" si="748"/>
        <v>0</v>
      </c>
      <c r="BO106" s="111">
        <f t="shared" si="749"/>
        <v>0</v>
      </c>
      <c r="BP106" s="111">
        <f t="shared" si="750"/>
        <v>0</v>
      </c>
      <c r="BQ106" s="112">
        <f t="shared" si="751"/>
        <v>0</v>
      </c>
      <c r="BR106" s="132">
        <f ca="1">IF(OFFSET(AY106,1,0,1,1)&lt;&gt;0,RZ[[#This Row],[Koeficient odhadu HR '[-'] (P1)]]*$BH106*SUMIFS(RZ[Úroveň 2 s koef. (P2)],RZ[0],AX106),RZ[[#This Row],[Koeficient odhadu HR '[-'] (P1)]]*$BH106*$IG106)</f>
        <v>0</v>
      </c>
      <c r="BS106" s="186">
        <f ca="1">IF(OFFSET(AY106,1,0,1,1)&lt;&gt;0,$BH106*SUMIFS(RZ[Úroveň 2 bez koef. (P2)],RZ[0],AX106),$BH106*$IG106)</f>
        <v>0</v>
      </c>
      <c r="BT106" s="138">
        <f ca="1">RZ[[#This Row],[Úroveň 2 s koef. (P2a)]]*RZ[[#This Row],[Počet MJHR (P0)]]</f>
        <v>0</v>
      </c>
      <c r="BU106" s="138">
        <f ca="1">RZ[[#This Row],[Úroveň 2 bez koef. (P2a)]]*RZ[[#This Row],[Počet MJHR (P0)]]</f>
        <v>0</v>
      </c>
      <c r="BV106" s="138">
        <f ca="1">IF(OFFSET(AZ106,1,0,1,1)&lt;&gt;0,RZ[[#This Row],[Koeficient odhadu HR '[-'] (P1)]]*$BI106*SUMIFS(RZ[Úroveň 3 s koef. (P2)],RZ[0],AX106,RZ[Úroveň 2 (P0)],AY106),RZ[[#This Row],[Koeficient odhadu HR '[-'] (P1)]]*$BI106*$IG106)</f>
        <v>0</v>
      </c>
      <c r="BW106" s="138">
        <f ca="1">IF(OFFSET(AZ106,1,0,1,1)&lt;&gt;0,$BI106*SUMIFS(RZ[Úroveň 3 bez koef. (P2)],RZ[0],AX106,RZ[Úroveň 2 (P0)],AY106),$BI106*$IG106)</f>
        <v>0</v>
      </c>
      <c r="BX106" s="132">
        <f ca="1">RZ[[#This Row],[Úroveň 3 s koef. (P2a)]]*RZ[[#This Row],[Počet MJHR (P0)]]</f>
        <v>87.12</v>
      </c>
      <c r="BY106" s="132">
        <f ca="1">RZ[Úroveň 3 bez koef. (P2a)]*RZ[[#This Row],[Počet MJHR (P0)]]</f>
        <v>87.12</v>
      </c>
      <c r="BZ106" s="132">
        <f ca="1">IF(OFFSET(BA106,1,0,1,1)&lt;&gt;0,RZ[[#This Row],[Koeficient odhadu HR '[-'] (P1)]]*$BJ106*SUMIFS(RZ[Úroveň 4 s koef. (P2)],RZ[0],AX106,RZ[Úroveň 2 (P0)],AY106,RZ[Úroveň 3 (P0)],AZ106),RZ[[#This Row],[Koeficient odhadu HR '[-'] (P1)]]*$BJ106*$IG106)</f>
        <v>43.56</v>
      </c>
      <c r="CA106" s="132">
        <f ca="1">IF(OFFSET(BA106,1,0,1,1)&lt;&gt;0,$BJ106*SUMIFS(RZ[Úroveň 4 bez koef. (P2)],RZ[0],AX106,RZ[Úroveň 2 (P0)],AY106,RZ[Úroveň 3 (P0)],AZ106),$BJ106*$IG106)</f>
        <v>43.56</v>
      </c>
      <c r="CB106" s="138">
        <f ca="1">RZ[[#This Row],[Úroveň 4 s koef. (P2a)]]*RZ[[#This Row],[Počet MJHR (P0)]]</f>
        <v>0</v>
      </c>
      <c r="CC106" s="138">
        <f ca="1">RZ[Úroveň 4 bez koef. (P2a)]*RZ[[#This Row],[Počet MJHR (P0)]]</f>
        <v>0</v>
      </c>
      <c r="CD106" s="138">
        <f ca="1">IF(OFFSET(BB106,1,0,1,1)&lt;&gt;0,RZ[[#This Row],[Koeficient odhadu HR '[-'] (P1)]]*$BK106*SUMIFS(RZ[Úroveň 5 s koef. (P2)],RZ[0],AX106,RZ[Úroveň 2 (P0)],AY106,RZ[Úroveň 3 (P0)],AZ106,RZ[Úroveň 4 (P0)],BA106),RZ[[#This Row],[Koeficient odhadu HR '[-'] (P1)]]*$BK106*$IG106)</f>
        <v>0</v>
      </c>
      <c r="CE106" s="138">
        <f ca="1">IF(OFFSET(BB106,1,0,1,1)&lt;&gt;0,$BK106*SUMIFS(RZ[Úroveň 5 bez koef. (P2)],RZ[0],AX106,RZ[Úroveň 2 (P0)],AY106,RZ[Úroveň 3 (P0)],AZ106,RZ[Úroveň 4 (P0)],BA106),$BK106*$IG106)</f>
        <v>0</v>
      </c>
      <c r="CF106" s="132">
        <f ca="1">RZ[[#This Row],[Úroveň 5 s koef. (P2a)]]*RZ[[#This Row],[Počet MJHR (P0)]]</f>
        <v>0</v>
      </c>
      <c r="CG106" s="132">
        <f ca="1">RZ[Úroveň 5 bez koef. (P2a)]*RZ[[#This Row],[Počet MJHR (P0)]]</f>
        <v>0</v>
      </c>
      <c r="CH106" s="132">
        <f ca="1">IF(OFFSET(BC106,1,0,1,1)&lt;&gt;0,RZ[[#This Row],[Koeficient odhadu HR '[-'] (P1)]]*$BL106*SUMIFS(RZ[Úroveň 6 s koef. (P2)],RZ[0],AX106,RZ[Úroveň 2 (P0)],AY106,RZ[Úroveň 3 (P0)],AZ106,RZ[Úroveň 4 (P0)],BA106,RZ[Úroveň 5 (P0)],BB106),RZ[[#This Row],[Koeficient odhadu HR '[-'] (P1)]]*$BL106*$IG106)</f>
        <v>0</v>
      </c>
      <c r="CI106" s="132">
        <f ca="1">IF(OFFSET(BC106,1,0,1,1)&lt;&gt;0,$BL106*SUMIFS(RZ[Úroveň 6 bez koef. (P2)],RZ[0],AX106,RZ[Úroveň 2 (P0)],AY106,RZ[Úroveň 3 (P0)],AZ106,RZ[Úroveň 4 (P0)],BA106,RZ[Úroveň 5 (P0)],BB106),$BL106*$IG106)</f>
        <v>0</v>
      </c>
      <c r="CJ106" s="138">
        <f ca="1">RZ[[#This Row],[Úroveň 6 s koef. (P2a)]]*RZ[[#This Row],[Počet MJHR (P0)]]</f>
        <v>0</v>
      </c>
      <c r="CK106" s="138">
        <f ca="1">RZ[Úroveň 6 bez koef. (P2a)]*RZ[[#This Row],[Počet MJHR (P0)]]</f>
        <v>0</v>
      </c>
      <c r="CL106" s="138">
        <f ca="1">IF(OFFSET(BD106,1,0,1,1)&lt;&gt;0,RZ[[#This Row],[Koeficient odhadu HR '[-'] (P1)]]*$BM106*SUMIFS(RZ[Úroveň 7 s koef. (P2)],RZ[0],AX106,RZ[Úroveň 2 (P0)],AY106,RZ[Úroveň 3 (P0)],AZ106,RZ[Úroveň 4 (P0)],BA106,RZ[Úroveň 5 (P0)],BB106,RZ[Úroveň 6 (P0)],BC106),RZ[[#This Row],[Koeficient odhadu HR '[-'] (P1)]]*$BM106*$IG106)</f>
        <v>0</v>
      </c>
      <c r="CM106" s="138">
        <f ca="1">IF(OFFSET(BD106,1,0,1,1)&lt;&gt;0,$BM106*SUMIFS(RZ[Úroveň 7 bez koef. (P2)],RZ[0],AX106,RZ[Úroveň 2 (P0)],AY106,RZ[Úroveň 3 (P0)],AZ106,RZ[Úroveň 4 (P0)],BA106,RZ[Úroveň 5 (P0)],BB106,RZ[Úroveň 6 (P0)],BC106),$BM106*$IG106)</f>
        <v>0</v>
      </c>
      <c r="CN106" s="132">
        <f ca="1">RZ[[#This Row],[Úroveň 7 s koef. (P2a)]]*RZ[[#This Row],[Počet MJHR (P0)]]</f>
        <v>0</v>
      </c>
      <c r="CO106" s="132">
        <f ca="1">RZ[Úroveň 7 bez koef. (P2a)]*RZ[[#This Row],[Počet MJHR (P0)]]</f>
        <v>0</v>
      </c>
      <c r="CP106" s="132">
        <f ca="1">IF(OFFSET(BE106,1,0,1,1)&lt;&gt;0,RZ[[#This Row],[Koeficient odhadu HR '[-'] (P1)]]*$BN106*SUMIFS(RZ[Úroveň 8 s koef. (P2)],RZ[0],AX106,RZ[Úroveň 2 (P0)],AY106,RZ[Úroveň 3 (P0)],AZ106,RZ[Úroveň 4 (P0)],BA106,RZ[Úroveň 5 (P0)],BB106,RZ[Úroveň 6 (P0)],BC106,RZ[Úroveň 7 (P0)],BD106),RZ[[#This Row],[Koeficient odhadu HR '[-'] (P1)]]*$BN106*$IG106)</f>
        <v>0</v>
      </c>
      <c r="CQ106" s="132">
        <f ca="1">IF(OFFSET(BE106,1,0,1,1)&lt;&gt;0,$BN106*SUMIFS(RZ[Úroveň 8 bez koef. (P2)],RZ[0],AX106,RZ[Úroveň 2 (P0)],AY106,RZ[Úroveň 3 (P0)],AZ106,RZ[Úroveň 4 (P0)],BA106,RZ[Úroveň 5 (P0)],BB106,RZ[Úroveň 6 (P0)],BC106,RZ[Úroveň 7 (P0)],BD106),$BN106*$IG106)</f>
        <v>0</v>
      </c>
      <c r="CR106" s="138">
        <f ca="1">RZ[[#This Row],[Úroveň 8 s koef. (P2a)]]*RZ[[#This Row],[Počet MJHR (P0)]]</f>
        <v>0</v>
      </c>
      <c r="CS106" s="138">
        <f ca="1">RZ[Úroveň 8 bez koef. (P2a)]*RZ[[#This Row],[Počet MJHR (P0)]]</f>
        <v>0</v>
      </c>
      <c r="CT106" s="138">
        <f ca="1">IF(OFFSET(BF106,1,0,1,1)&lt;&gt;0,RZ[[#This Row],[Koeficient odhadu HR '[-'] (P1)]]*$BO106*SUMIFS(RZ[Úroveň 9 s koef. (P2)],RZ[0],AX106,RZ[Úroveň 2 (P0)],AY106,RZ[Úroveň 3 (P0)],AZ106,RZ[Úroveň 4 (P0)],BA106,RZ[Úroveň 5 (P0)],BB106,RZ[Úroveň 6 (P0)],BC106,RZ[Úroveň 7 (P0)],BD106,RZ[Úroveň 8 (P0)],BE106),RZ[[#This Row],[Koeficient odhadu HR '[-'] (P1)]]*$BO106*$IG106)</f>
        <v>0</v>
      </c>
      <c r="CU106" s="138">
        <f ca="1">IF(OFFSET(BF106,1,0,1,1)&lt;&gt;0,$BO106*SUMIFS(RZ[Úroveň 9 bez koef. (P2)],RZ[0],AX106,RZ[Úroveň 2 (P0)],AY106,RZ[Úroveň 3 (P0)],AZ106,RZ[Úroveň 4 (P0)],BA106,RZ[Úroveň 5 (P0)],BB106,RZ[Úroveň 6 (P0)],BC106,RZ[Úroveň 7 (P0)],BD106,RZ[Úroveň 8 (P0)],BE106),$BO106*$IG106)</f>
        <v>0</v>
      </c>
      <c r="CV106" s="132">
        <f ca="1">RZ[[#This Row],[Úroveň 9 s koef. (P2a)]]*RZ[[#This Row],[Počet MJHR (P0)]]</f>
        <v>0</v>
      </c>
      <c r="CW106" s="132">
        <f ca="1">RZ[Úroveň 9 bez koef. (P2a)]*RZ[[#This Row],[Počet MJHR (P0)]]</f>
        <v>0</v>
      </c>
      <c r="CX106" s="132">
        <f ca="1">IF(OFFSET(BG106,1,0,1,1)&lt;&gt;0,RZ[[#This Row],[Koeficient odhadu HR '[-'] (P1)]]*$BP106*SUMIFS(RZ[Úroveň 10 s koef. (P2)],RZ[0],AX106,RZ[Úroveň 2 (P0)],AY106,RZ[Úroveň 3 (P0)],AZ106,RZ[Úroveň 4 (P0)],BA106,RZ[Úroveň 5 (P0)],BB106,RZ[Úroveň 6 (P0)],BC106,RZ[Úroveň 7 (P0)],BD106,RZ[Úroveň 8 (P0)],BE106,RZ[Úroveň 9 (P0)],BF106),RZ[[#This Row],[Koeficient odhadu HR '[-'] (P1)]]*$BP106*$IG106)</f>
        <v>0</v>
      </c>
      <c r="CY106" s="132">
        <f ca="1">IF(OFFSET(BG106,1,0,1,1)&lt;&gt;0,$BP106*SUMIFS(RZ[Úroveň 10 bez koef. (P2)],RZ[0],AX106,RZ[Úroveň 2 (P0)],AY106,RZ[Úroveň 3 (P0)],AZ106,RZ[Úroveň 4 (P0)],BA106,RZ[Úroveň 5 (P0)],BB106,RZ[Úroveň 6 (P0)],BC106,RZ[Úroveň 7 (P0)],BD106,RZ[Úroveň 8 (P0)],BE106,RZ[Úroveň 9 (P0)],BF106),$BP106*$IG106)</f>
        <v>0</v>
      </c>
      <c r="CZ106" s="138">
        <f>RZ[[#This Row],[Úroveň 10 s koef. (P2a)]]*RZ[[#This Row],[Počet MJHR (P0)]]</f>
        <v>0</v>
      </c>
      <c r="DA106" s="138">
        <f>RZ[Úroveň 10 bez koef. (P2a)]*RZ[[#This Row],[Počet MJHR (P0)]]</f>
        <v>0</v>
      </c>
      <c r="DB106" s="138">
        <f>RZ[[#This Row],[Koeficient odhadu HR '[-'] (P1)]]*$BQ106*IG106</f>
        <v>0</v>
      </c>
      <c r="DC106" s="231">
        <f t="shared" si="752"/>
        <v>0</v>
      </c>
      <c r="DD106" s="241">
        <f t="shared" ca="1" si="753"/>
        <v>43.56</v>
      </c>
      <c r="DE106" s="229">
        <f t="shared" ca="1" si="754"/>
        <v>43.56</v>
      </c>
      <c r="DF106" s="912">
        <f t="shared" si="755"/>
        <v>0</v>
      </c>
      <c r="DG106" s="913">
        <f t="shared" si="756"/>
        <v>0</v>
      </c>
      <c r="DH106" s="913">
        <f t="shared" si="757"/>
        <v>2</v>
      </c>
      <c r="DI106" s="913">
        <f t="shared" si="758"/>
        <v>0</v>
      </c>
      <c r="DJ106" s="913">
        <f t="shared" si="759"/>
        <v>0</v>
      </c>
      <c r="DK106" s="913">
        <f t="shared" si="760"/>
        <v>0</v>
      </c>
      <c r="DL106" s="913">
        <f t="shared" si="761"/>
        <v>0</v>
      </c>
      <c r="DM106" s="913">
        <f t="shared" si="762"/>
        <v>0</v>
      </c>
      <c r="DN106" s="913">
        <f t="shared" si="763"/>
        <v>0</v>
      </c>
      <c r="DO106" s="913">
        <f t="shared" si="764"/>
        <v>0</v>
      </c>
      <c r="DP106" s="914">
        <f ca="1">SUMIFS(RZ[Úroveň 1 (P4)],RZ[0],AX106)</f>
        <v>1</v>
      </c>
      <c r="DQ106" s="914">
        <f ca="1">SUMIFS(RZ[Úroveň 2 (P4)],RZ[0],AX106,RZ[Úroveň 2 (P0)],AY106)</f>
        <v>1</v>
      </c>
      <c r="DR106" s="914">
        <f ca="1">SUMIFS(RZ[Úroveň 3 (P4)],RZ[0],AX106,RZ[Úroveň 2 (P0)],AY106,RZ[Úroveň 3 (P0)],AZ106)</f>
        <v>2</v>
      </c>
      <c r="DS106" s="914">
        <f ca="1">SUMIFS(RZ[Úroveň 4 (P4)],RZ[0],AX106,RZ[Úroveň 2 (P0)],AY106,RZ[Úroveň 3 (P0)],AZ106,RZ[Úroveň 4 (P0)],BA106)</f>
        <v>0</v>
      </c>
      <c r="DT106" s="914">
        <f ca="1">SUMIFS(RZ[Úroveň 5 (P4)],RZ[0],AX106,RZ[Úroveň 2 (P0)],AY106,RZ[Úroveň 3 (P0)],AZ106,RZ[Úroveň 4 (P0)],BA106,RZ[Úroveň 5 (P0)],BB106)</f>
        <v>0</v>
      </c>
      <c r="DU106" s="914">
        <f ca="1">SUMIFS(RZ[Úroveň 6 (P4)],RZ[0],AX106,RZ[Úroveň 2 (P0)],AY106,RZ[Úroveň 3 (P0)],AZ106,RZ[Úroveň 4 (P0)],BA106,RZ[Úroveň 5 (P0)],BB106,RZ[Úroveň 6 (P0)],BC106)</f>
        <v>0</v>
      </c>
      <c r="DV106" s="914">
        <f ca="1">SUMIFS(RZ[Úroveň 7 (P4)],RZ[0],AX106,RZ[Úroveň 2 (P0)],AY106,RZ[Úroveň 3 (P0)],AZ106,RZ[Úroveň 4 (P0)],BA106,RZ[Úroveň 5 (P0)],BB106,RZ[Úroveň 6 (P0)],BC106,RZ[Úroveň 7 (P0)],BD106)</f>
        <v>0</v>
      </c>
      <c r="DW106" s="914">
        <f ca="1">SUMIFS(RZ[Úroveň 8 (P4)],RZ[0],AX106,RZ[Úroveň 2 (P0)],AY106,RZ[Úroveň 3 (P0)],AZ106,RZ[Úroveň 4 (P0)],BA106,RZ[Úroveň 5 (P0)],BB106,RZ[Úroveň 6 (P0)],BC106,RZ[Úroveň 7 (P0)],BD106,RZ[Úroveň 8 (P0)],BE106)</f>
        <v>0</v>
      </c>
      <c r="DX106" s="914">
        <f ca="1">SUMIFS(RZ[Úroveň 9 (P4)],RZ[0],AX106,RZ[Úroveň 2 (P0)],AY106,RZ[Úroveň 3 (P0)],AZ106,RZ[Úroveň 4 (P0)],BA106,RZ[Úroveň 5 (P0)],BB106,RZ[Úroveň 6 (P0)],BC106,RZ[Úroveň 7 (P0)],BD106,RZ[Úroveň 8 (P0)],BE106,RZ[Úroveň 9 (P0)],BF106)</f>
        <v>0</v>
      </c>
      <c r="DY106" s="914">
        <f ca="1">SUMIFS(RZ[Úroveň 10 (P4)],RZ[0],AX106,RZ[Úroveň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DZ106" s="915">
        <f t="shared" ca="1" si="765"/>
        <v>2</v>
      </c>
      <c r="EA106" s="916">
        <f ca="1">RZ[[#This Row],[Jednotková hmotnost bez koef. '[kg/MJHR'] (P0)]]*RZ[[#This Row],[Počet MJHR v rozpadu (P0)]]</f>
        <v>87.12</v>
      </c>
      <c r="EB106" s="917">
        <f ca="1">IF(OFFSET(AY106,1,0,1,1)&lt;&gt;0,RZ[[#This Row],[Koeficient odhadu CR '[-'] (P1)]]*$BH106*SUMIFS(RZ[Úroveň 2 s koef. (P3)],RZ[0],AX106),RZ[[#This Row],[Koeficient odhadu CR '[-'] (P1)]]*$BH106*$IQ106)</f>
        <v>0</v>
      </c>
      <c r="EC106" s="191">
        <f ca="1">IF(OFFSET(AY106,1,0,1,1)&lt;&gt;0,$BH106*SUMIFS(RZ[Úroveň 2 bez koef. (P3)],RZ[0],AX106),$BH106*$IQ106)</f>
        <v>0</v>
      </c>
      <c r="ED106" s="140">
        <f ca="1">RZ[[#This Row],[Úroveň 2 s koef. (P3a)]]*RZ[[#This Row],[Počet MJCR (P0) pro "kg"]]</f>
        <v>0</v>
      </c>
      <c r="EE106" s="140">
        <f ca="1">RZ[Úroveň 2 bez koef. (P3a)]*RZ[[#This Row],[Počet MJCR (P0) pro "kg"]]</f>
        <v>0</v>
      </c>
      <c r="EF106" s="140">
        <f ca="1">IF(OFFSET(AZ106,1,0,1,1)&lt;&gt;0,RZ[[#This Row],[Koeficient odhadu CR '[-'] (P1)]]*$BI106*SUMIFS(RZ[Úroveň 3 s koef. (P3)],RZ[0],AX106,RZ[Úroveň 2 (P0)],AY106),RZ[[#This Row],[Koeficient odhadu CR '[-'] (P1)]]*$BI106*$IQ106)</f>
        <v>0</v>
      </c>
      <c r="EG106" s="140">
        <f ca="1">IF(OFFSET(AZ106,1,0,1,1)&lt;&gt;0,$BI106*SUMIFS(RZ[Úroveň 3 bez koef. (P3)],RZ[0],AX106,RZ[Úroveň 2 (P0)],AY106),$BI106*$IQ106)</f>
        <v>0</v>
      </c>
      <c r="EH106" s="135">
        <f ca="1">RZ[[#This Row],[Úroveň 3 s koef. (P3a)]]*RZ[[#This Row],[Počet MJCR (P0) pro "kg"]]</f>
        <v>9583.2000000000007</v>
      </c>
      <c r="EI106" s="135">
        <f ca="1">RZ[Úroveň 3 bez koef. (P3a)]*RZ[[#This Row],[Počet MJCR (P0) pro "kg"]]</f>
        <v>9583.2000000000007</v>
      </c>
      <c r="EJ106" s="135">
        <f ca="1">IF(OFFSET(BA106,1,0,1,1)&lt;&gt;0,RZ[[#This Row],[Koeficient odhadu CR '[-'] (P1)]]*$BJ106*SUMIFS(RZ[Úroveň 4 s koef. (P3)],RZ[0],AX106,RZ[Úroveň 2 (P0)],AY106,RZ[Úroveň 3 (P0)],AZ106),RZ[[#This Row],[Koeficient odhadu CR '[-'] (P1)]]*$BJ106*$IQ106)</f>
        <v>110</v>
      </c>
      <c r="EK106" s="135">
        <f ca="1">IF(OFFSET(BA106,1,0,1,1)&lt;&gt;0,$BJ106*SUMIFS(RZ[Úroveň 4 bez koef. (P3)],RZ[0],AX106,RZ[Úroveň 2 (P0)],AY106,RZ[Úroveň 3 (P0)],AZ106),$BJ106*$IQ106)</f>
        <v>110</v>
      </c>
      <c r="EL106" s="140">
        <f ca="1">RZ[[#This Row],[Úroveň 4 s koef. (P3a)]]*RZ[[#This Row],[Počet MJCR (P0) pro "kg"]]</f>
        <v>0</v>
      </c>
      <c r="EM106" s="140">
        <f ca="1">RZ[Úroveň 4 bez koef. (P3a)]*RZ[[#This Row],[Počet MJCR (P0) pro "kg"]]</f>
        <v>0</v>
      </c>
      <c r="EN106" s="140">
        <f ca="1">IF(OFFSET(BB106,1,0,1,1)&lt;&gt;0,RZ[[#This Row],[Koeficient odhadu CR '[-'] (P1)]]*$BK106*SUMIFS(RZ[Úroveň 5 s koef. (P3)],RZ[0],AX106,RZ[Úroveň 2 (P0)],AY106,RZ[Úroveň 3 (P0)],AZ106,RZ[Úroveň 4 (P0)],BA106),RZ[[#This Row],[Koeficient odhadu CR '[-'] (P1)]]*$BK106*$IQ106)</f>
        <v>0</v>
      </c>
      <c r="EO106" s="140">
        <f ca="1">IF(OFFSET(BB106,1,0,1,1)&lt;&gt;0,$BK106*SUMIFS(RZ[Úroveň 5 bez koef. (P3)],RZ[0],AX106,RZ[Úroveň 2 (P0)],AY106,RZ[Úroveň 3 (P0)],AZ106,RZ[Úroveň 4 (P0)],BA106),$BK106*$IQ106)</f>
        <v>0</v>
      </c>
      <c r="EP106" s="135">
        <f ca="1">RZ[[#This Row],[Úroveň 5 s koef. (P3a)]]*RZ[[#This Row],[Počet MJCR (P0) pro "kg"]]</f>
        <v>0</v>
      </c>
      <c r="EQ106" s="135">
        <f ca="1">RZ[Úroveň 5 bez koef. (P3a)]*RZ[[#This Row],[Počet MJCR (P0) pro "kg"]]</f>
        <v>0</v>
      </c>
      <c r="ER106" s="135">
        <f ca="1">IF(OFFSET(BC106,1,0,1,1)&lt;&gt;0,RZ[[#This Row],[Koeficient odhadu CR '[-'] (P1)]]*$BL106*SUMIFS(RZ[Úroveň 6 s koef. (P3)],RZ[0],AX106,RZ[Úroveň 2 (P0)],AY106,RZ[Úroveň 3 (P0)],AZ106,RZ[Úroveň 4 (P0)],BA106,RZ[Úroveň 5 (P0)],BB106),RZ[[#This Row],[Koeficient odhadu CR '[-'] (P1)]]*$BL106*$IQ106)</f>
        <v>0</v>
      </c>
      <c r="ES106" s="135">
        <f ca="1">IF(OFFSET(BC106,1,0,1,1)&lt;&gt;0,$BL106*SUMIFS(RZ[Úroveň 6 bez koef. (P3)],RZ[0],AX106,RZ[Úroveň 2 (P0)],AY106,RZ[Úroveň 3 (P0)],AZ106,RZ[Úroveň 4 (P0)],BA106,RZ[Úroveň 5 (P0)],BB106),$BL106*$IQ106)</f>
        <v>0</v>
      </c>
      <c r="ET106" s="140">
        <f ca="1">RZ[[#This Row],[Úroveň 6 s koef. (P3a)]]*RZ[[#This Row],[Počet MJCR (P0) pro "kg"]]</f>
        <v>0</v>
      </c>
      <c r="EU106" s="140">
        <f ca="1">RZ[Úroveň 6 bez koef. (P3a)]*RZ[[#This Row],[Počet MJCR (P0) pro "kg"]]</f>
        <v>0</v>
      </c>
      <c r="EV106" s="140">
        <f ca="1">IF(OFFSET(BD106,1,0,1,1)&lt;&gt;0,RZ[[#This Row],[Koeficient odhadu CR '[-'] (P1)]]*$BM106*SUMIFS(RZ[Úroveň 7 s koef. (P3)],RZ[0],AX106,RZ[Úroveň 2 (P0)],AY106,RZ[Úroveň 3 (P0)],AZ106,RZ[Úroveň 4 (P0)],BA106,RZ[Úroveň 5 (P0)],BB106,RZ[Úroveň 6 (P0)],BC106),RZ[[#This Row],[Koeficient odhadu CR '[-'] (P1)]]*$BM106*$IQ106)</f>
        <v>0</v>
      </c>
      <c r="EW106" s="140">
        <f ca="1">IF(OFFSET(BD106,1,0,1,1)&lt;&gt;0,$BM106*SUMIFS(RZ[Úroveň 7 bez koef. (P3)],RZ[0],AX106,RZ[Úroveň 2 (P0)],AY106,RZ[Úroveň 3 (P0)],AZ106,RZ[Úroveň 4 (P0)],BA106,RZ[Úroveň 5 (P0)],BB106,RZ[Úroveň 6 (P0)],BC106),$BM106*$IQ106)</f>
        <v>0</v>
      </c>
      <c r="EX106" s="135">
        <f ca="1">RZ[[#This Row],[Úroveň 7 s koef. (P3a)]]*RZ[[#This Row],[Počet MJCR (P0) pro "kg"]]</f>
        <v>0</v>
      </c>
      <c r="EY106" s="135">
        <f ca="1">RZ[Úroveň 7 bez koef. (P3a)]*RZ[[#This Row],[Počet MJCR (P0) pro "kg"]]</f>
        <v>0</v>
      </c>
      <c r="EZ106" s="135">
        <f ca="1">IF(OFFSET(BE106,1,0,1,1)&lt;&gt;0,RZ[[#This Row],[Koeficient odhadu CR '[-'] (P1)]]*$BN106*SUMIFS(RZ[Úroveň 8 s koef. (P3)],RZ[0],AX106,RZ[Úroveň 2 (P0)],AY106,RZ[Úroveň 3 (P0)],AZ106,RZ[Úroveň 4 (P0)],BA106,RZ[Úroveň 5 (P0)],BB106,RZ[Úroveň 6 (P0)],BC106,RZ[Úroveň 7 (P0)],BD106),RZ[[#This Row],[Koeficient odhadu CR '[-'] (P1)]]*$BN106*$IQ106)</f>
        <v>0</v>
      </c>
      <c r="FA106" s="135">
        <f ca="1">IF(OFFSET(BE106,1,0,1,1)&lt;&gt;0,$BN106*SUMIFS(RZ[Úroveň 8 bez koef. (P3)],RZ[0],AX106,RZ[Úroveň 2 (P0)],AY106,RZ[Úroveň 3 (P0)],AZ106,RZ[Úroveň 4 (P0)],BA106,RZ[Úroveň 5 (P0)],BB106,RZ[Úroveň 6 (P0)],BC106,RZ[Úroveň 7 (P0)],BD106),$BN106*$IQ106)</f>
        <v>0</v>
      </c>
      <c r="FB106" s="140">
        <f ca="1">RZ[[#This Row],[Úroveň 8 s koef. (P3a)]]*RZ[[#This Row],[Počet MJCR (P0) pro "kg"]]</f>
        <v>0</v>
      </c>
      <c r="FC106" s="140">
        <f ca="1">RZ[Úroveň 8 bez koef. (P3a)]*RZ[[#This Row],[Počet MJCR (P0) pro "kg"]]</f>
        <v>0</v>
      </c>
      <c r="FD106" s="140">
        <f ca="1">IF(OFFSET(BF106,1,0,1,1)&lt;&gt;0,RZ[[#This Row],[Koeficient odhadu CR '[-'] (P1)]]*$BO106*SUMIFS(RZ[Úroveň 9 s koef. (P3)],RZ[0],AX106,RZ[Úroveň 2 (P0)],AY106,RZ[Úroveň 3 (P0)],AZ106,RZ[Úroveň 4 (P0)],BA106,RZ[Úroveň 5 (P0)],BB106,RZ[Úroveň 6 (P0)],BC106,RZ[Úroveň 7 (P0)],BD106,RZ[Úroveň 8 (P0)],BE106),RZ[[#This Row],[Koeficient odhadu CR '[-'] (P1)]]*$BO106*$IQ106)</f>
        <v>0</v>
      </c>
      <c r="FE106" s="140">
        <f ca="1">IF(OFFSET(BF106,1,0,1,1)&lt;&gt;0,$BO106*SUMIFS(RZ[Úroveň 9 bez koef. (P3)],RZ[0],AX106,RZ[Úroveň 2 (P0)],AY106,RZ[Úroveň 3 (P0)],AZ106,RZ[Úroveň 4 (P0)],BA106,RZ[Úroveň 5 (P0)],BB106,RZ[Úroveň 6 (P0)],BC106,RZ[Úroveň 7 (P0)],BD106,RZ[Úroveň 8 (P0)],BE106),$BO106*$IQ106)</f>
        <v>0</v>
      </c>
      <c r="FF106" s="135">
        <f ca="1">RZ[[#This Row],[Úroveň 9 s koef. (P3a)]]*RZ[[#This Row],[Počet MJCR (P0) pro "kg"]]</f>
        <v>0</v>
      </c>
      <c r="FG106" s="135">
        <f ca="1">RZ[Úroveň 9 bez koef. (P3a)]*RZ[[#This Row],[Počet MJCR (P0) pro "kg"]]</f>
        <v>0</v>
      </c>
      <c r="FH106" s="135">
        <f ca="1">IF(OFFSET(BG106,1,0,1,1)&lt;&gt;0,RZ[[#This Row],[Koeficient odhadu CR '[-'] (P1)]]*$BP106*SUMIFS(RZ[Úroveň 10 s koef. (P3)],RZ[0],AX106,RZ[Úroveň 2 (P0)],AY106,RZ[Úroveň 3 (P0)],AZ106,RZ[Úroveň 4 (P0)],BA106,RZ[Úroveň 5 (P0)],BB106,RZ[Úroveň 6 (P0)],BC106,RZ[Úroveň 7 (P0)],BD106,RZ[Úroveň 8 (P0)],BE106,RZ[Úroveň 9 (P0)],BF106),RZ[[#This Row],[Koeficient odhadu CR '[-'] (P1)]]*$BP106*$IQ106)</f>
        <v>0</v>
      </c>
      <c r="FI106" s="135">
        <f ca="1">IF(OFFSET(BG106,1,0,1,1)&lt;&gt;0,$BP106*SUMIFS(RZ[Úroveň 10 bez koef. (P3)],RZ[0],AX106,RZ[Úroveň 2 (P0)],AY106,RZ[Úroveň 3 (P0)],AZ106,RZ[Úroveň 4 (P0)],BA106,RZ[Úroveň 5 (P0)],BB106,RZ[Úroveň 6 (P0)],BC106,RZ[Úroveň 7 (P0)],BD106,RZ[Úroveň 8 (P0)],BE106,RZ[Úroveň 9 (P0)],BF106),$BP106*$IQ106)</f>
        <v>0</v>
      </c>
      <c r="FJ106" s="140">
        <f ca="1">RZ[[#This Row],[Úroveň 10 s koef. (P3a)]]*RZ[[#This Row],[Počet MJCR (P0) pro "kg"]]</f>
        <v>0</v>
      </c>
      <c r="FK106" s="140">
        <f ca="1">RZ[Úroveň 10 bez koef. (P3a)]*RZ[[#This Row],[Počet MJCR (P0) pro "kg"]]</f>
        <v>0</v>
      </c>
      <c r="FL106" s="140">
        <f ca="1">RZ[[#This Row],[Koeficient odhadu CR '[-'] (P1)]]*$BQ106*IQ106</f>
        <v>0</v>
      </c>
      <c r="FM106" s="236">
        <f t="shared" ca="1" si="766"/>
        <v>0</v>
      </c>
      <c r="FN106" s="194">
        <f t="shared" ca="1" si="767"/>
        <v>110</v>
      </c>
      <c r="FO106" s="238">
        <f t="shared" ca="1" si="768"/>
        <v>110</v>
      </c>
      <c r="FP106" s="135">
        <f t="shared" ca="1" si="769"/>
        <v>0</v>
      </c>
      <c r="FQ106" s="135">
        <f t="shared" ca="1" si="770"/>
        <v>0</v>
      </c>
      <c r="FR106" s="135">
        <f t="shared" ca="1" si="771"/>
        <v>87.12</v>
      </c>
      <c r="FS106" s="135">
        <f t="shared" ca="1" si="772"/>
        <v>0</v>
      </c>
      <c r="FT106" s="135">
        <f t="shared" ca="1" si="773"/>
        <v>0</v>
      </c>
      <c r="FU106" s="135">
        <f t="shared" ca="1" si="774"/>
        <v>0</v>
      </c>
      <c r="FV106" s="135">
        <f t="shared" ca="1" si="775"/>
        <v>0</v>
      </c>
      <c r="FW106" s="135">
        <f t="shared" ca="1" si="776"/>
        <v>0</v>
      </c>
      <c r="FX106" s="135">
        <f t="shared" ca="1" si="777"/>
        <v>0</v>
      </c>
      <c r="FY106" s="135">
        <f t="shared" ca="1" si="778"/>
        <v>0</v>
      </c>
      <c r="FZ106" s="140">
        <f ca="1">SUMIFS(RZ[Úroveň 1 (P6)],RZ[0],AX106)</f>
        <v>1</v>
      </c>
      <c r="GA106" s="140">
        <f ca="1">SUMIFS(RZ[Úroveň 2 (P6)],RZ[0],AX106,RZ[Úroveň 2 (P0)],AY106)</f>
        <v>1</v>
      </c>
      <c r="GB106" s="140">
        <f ca="1">SUMIFS(RZ[Úroveň 3 (P6)],RZ[0],AX106,RZ[Úroveň 2 (P0)],AY106,RZ[Úroveň 3 (P0)],AZ106)</f>
        <v>87.12</v>
      </c>
      <c r="GC106" s="140">
        <f ca="1">SUMIFS(RZ[Úroveň 4 (P6)],RZ[0],AX106,RZ[Úroveň 2 (P0)],AY106,RZ[Úroveň 3 (P0)],AZ106,RZ[Úroveň 4 (P0)],BA106)</f>
        <v>0</v>
      </c>
      <c r="GD106" s="140">
        <f ca="1">SUMIFS(RZ[Úroveň 5 (P6)],RZ[0],AX106,RZ[Úroveň 2 (P0)],AY106,RZ[Úroveň 3 (P0)],AZ106,RZ[Úroveň 4 (P0)],BA106,RZ[Úroveň 5 (P0)],BB106)</f>
        <v>0</v>
      </c>
      <c r="GE106" s="140">
        <f ca="1">SUMIFS(RZ[Úroveň 6 (P6)],RZ[0],AX106,RZ[Úroveň 2 (P0)],AY106,RZ[Úroveň 3 (P0)],AZ106,RZ[Úroveň 4 (P0)],BA106,RZ[Úroveň 5 (P0)],BB106,RZ[Úroveň 6 (P0)],BC106)</f>
        <v>0</v>
      </c>
      <c r="GF106" s="140">
        <f ca="1">SUMIFS(RZ[Úroveň 7 (P6)],RZ[0],AX106,RZ[Úroveň 2 (P0)],AY106,RZ[Úroveň 3 (P0)],AZ106,RZ[Úroveň 4 (P0)],BA106,RZ[Úroveň 5 (P0)],BB106,RZ[Úroveň 6 (P0)],BC106,RZ[Úroveň 7 (P0)],BD106)</f>
        <v>0</v>
      </c>
      <c r="GG106" s="140">
        <f ca="1">SUMIFS(RZ[Úroveň 8 (P6)],RZ[0],AX106,RZ[Úroveň 2 (P0)],AY106,RZ[Úroveň 3 (P0)],AZ106,RZ[Úroveň 4 (P0)],BA106,RZ[Úroveň 5 (P0)],BB106,RZ[Úroveň 6 (P0)],BC106,RZ[Úroveň 7 (P0)],BD106,RZ[Úroveň 8 (P0)],BE106)</f>
        <v>0</v>
      </c>
      <c r="GH106" s="140">
        <f ca="1">SUMIFS(RZ[Úroveň 9 (P6)],RZ[0],AX106,RZ[Úroveň 2 (P0)],AY106,RZ[Úroveň 3 (P0)],AZ106,RZ[Úroveň 4 (P0)],BA106,RZ[Úroveň 5 (P0)],BB106,RZ[Úroveň 6 (P0)],BC106,RZ[Úroveň 7 (P0)],BD106,RZ[Úroveň 8 (P0)],BE106,RZ[Úroveň 9 (P0)],BF106)</f>
        <v>0</v>
      </c>
      <c r="GI106" s="140">
        <f ca="1">SUMIFS(RZ[Úroveň 10 (P6)],RZ[0],AX106,RZ[Úroveň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GJ106" s="918">
        <f t="shared" ca="1" si="779"/>
        <v>87.12</v>
      </c>
      <c r="GK106" s="808">
        <f t="shared" si="780"/>
        <v>0</v>
      </c>
      <c r="GL106" s="808">
        <f t="shared" si="781"/>
        <v>0</v>
      </c>
      <c r="GM106" s="808">
        <f t="shared" si="782"/>
        <v>1</v>
      </c>
      <c r="GN106" s="808">
        <f t="shared" si="783"/>
        <v>0</v>
      </c>
      <c r="GO106" s="808">
        <f t="shared" si="784"/>
        <v>0</v>
      </c>
      <c r="GP106" s="808">
        <f t="shared" si="785"/>
        <v>0</v>
      </c>
      <c r="GQ106" s="808">
        <f t="shared" si="786"/>
        <v>0</v>
      </c>
      <c r="GR106" s="808">
        <f t="shared" si="787"/>
        <v>0</v>
      </c>
      <c r="GS106" s="808">
        <f t="shared" si="788"/>
        <v>0</v>
      </c>
      <c r="GT106" s="808">
        <f t="shared" si="789"/>
        <v>0</v>
      </c>
      <c r="GU106" s="809">
        <f ca="1">SUMIFS(RZ[Sloupec1],RZ[0],AX106)</f>
        <v>1</v>
      </c>
      <c r="GV106" s="809">
        <f ca="1">SUMIFS(RZ[Sloupec2],RZ[0],AX106,RZ[Úroveň 2 (P0)],AY106)</f>
        <v>1</v>
      </c>
      <c r="GW106" s="809">
        <f ca="1">SUMIFS(RZ[Sloupec3],RZ[0],AX106,RZ[Úroveň 2 (P0)],AY106,RZ[Úroveň 3 (P0)],AZ106)</f>
        <v>1</v>
      </c>
      <c r="GX106" s="809">
        <f ca="1">SUMIFS(RZ[Sloupec4],RZ[0],AX106,RZ[Úroveň 2 (P0)],AY106,RZ[Úroveň 3 (P0)],AZ106,RZ[Úroveň 4 (P0)],BA106)</f>
        <v>0</v>
      </c>
      <c r="GY106" s="809">
        <f ca="1">SUMIFS(RZ[Sloupec5],RZ[0],AX106,RZ[Úroveň 2 (P0)],AY106,RZ[Úroveň 3 (P0)],AZ106,RZ[Úroveň 4 (P0)],BA106,RZ[Úroveň 5 (P0)],BB106)</f>
        <v>0</v>
      </c>
      <c r="GZ106" s="809">
        <f ca="1">SUMIFS(RZ[Sloupec6],RZ[0],AX106,RZ[Úroveň 2 (P0)],AY106,RZ[Úroveň 3 (P0)],AZ106,RZ[Úroveň 4 (P0)],BA106,RZ[Úroveň 5 (P0)],BB106,RZ[Úroveň 6 (P0)],BC106)</f>
        <v>0</v>
      </c>
      <c r="HA106" s="809">
        <f ca="1">SUMIFS(RZ[Sloupec62],RZ[0],AX106,RZ[Úroveň 2 (P0)],AY106,RZ[Úroveň 3 (P0)],AZ106,RZ[Úroveň 4 (P0)],BA106,RZ[Úroveň 5 (P0)],BB106,RZ[Úroveň 6 (P0)],BC106,RZ[Úroveň 7 (P0)],BD106)</f>
        <v>0</v>
      </c>
      <c r="HB106" s="809">
        <f ca="1">SUMIFS(RZ[Sloupec63],RZ[0],AX106,RZ[Úroveň 2 (P0)],AY106,RZ[Úroveň 3 (P0)],AZ106,RZ[Úroveň 4 (P0)],BA106,RZ[Úroveň 5 (P0)],BB106,RZ[Úroveň 6 (P0)],BC106,RZ[Úroveň 7 (P0)],BD106,RZ[Úroveň 8 (P0)],BE106)</f>
        <v>0</v>
      </c>
      <c r="HC106" s="809">
        <f ca="1">SUMIFS(RZ[Sloupec64],RZ[0],AX106,RZ[Úroveň 2 (P0)],AY106,RZ[Úroveň 3 (P0)],AZ106,RZ[Úroveň 4 (P0)],BA106,RZ[Úroveň 5 (P0)],BB106,RZ[Úroveň 6 (P0)],BC106,RZ[Úroveň 7 (P0)],BD106,RZ[Úroveň 8 (P0)],BE106,RZ[Úroveň 9 (P0)],BF106)</f>
        <v>0</v>
      </c>
      <c r="HD106" s="809">
        <f ca="1">SUMIFS(RZ[Sloupec65],RZ[0],AX106,RZ[Úroveň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HE106" s="919">
        <f t="shared" ca="1" si="790"/>
        <v>1</v>
      </c>
      <c r="HF106" s="920" t="str">
        <f t="shared" si="791"/>
        <v/>
      </c>
      <c r="HG106" s="94" t="str">
        <f t="shared" si="792"/>
        <v/>
      </c>
      <c r="HH106" s="95" t="str">
        <f t="shared" si="793"/>
        <v/>
      </c>
      <c r="HI106" s="95" t="str">
        <f t="shared" si="794"/>
        <v>Opěra boční</v>
      </c>
      <c r="HJ106" s="96" t="str">
        <f t="shared" si="795"/>
        <v/>
      </c>
      <c r="HK106" s="96" t="str">
        <f t="shared" si="796"/>
        <v/>
      </c>
      <c r="HL106" s="96" t="str">
        <f t="shared" si="797"/>
        <v/>
      </c>
      <c r="HM106" s="96" t="str">
        <f t="shared" si="798"/>
        <v/>
      </c>
      <c r="HN106" s="96" t="str">
        <f t="shared" si="799"/>
        <v/>
      </c>
      <c r="HO106" s="96" t="str">
        <f t="shared" si="800"/>
        <v/>
      </c>
      <c r="HP106" s="96" t="str">
        <f t="shared" si="801"/>
        <v/>
      </c>
      <c r="HQ106" s="145" t="str">
        <f t="shared" si="802"/>
        <v>OKS2</v>
      </c>
      <c r="HR106" s="921" t="str">
        <f t="shared" si="803"/>
        <v/>
      </c>
      <c r="HS106" s="173">
        <f t="shared" si="804"/>
        <v>0</v>
      </c>
      <c r="HT106" s="100">
        <f t="shared" si="805"/>
        <v>0</v>
      </c>
      <c r="HU106" s="100">
        <f t="shared" si="806"/>
        <v>0</v>
      </c>
      <c r="HV106" s="908">
        <f t="shared" si="807"/>
        <v>0</v>
      </c>
      <c r="HW106" s="922">
        <f t="shared" si="808"/>
        <v>0</v>
      </c>
      <c r="HX106" s="224">
        <f t="shared" si="809"/>
        <v>0</v>
      </c>
      <c r="HY106" s="263" t="str">
        <f t="shared" si="810"/>
        <v>S</v>
      </c>
      <c r="HZ106" s="263">
        <f t="shared" si="811"/>
        <v>0</v>
      </c>
      <c r="IA106" s="150">
        <f t="shared" si="812"/>
        <v>1</v>
      </c>
      <c r="IB106" s="319">
        <f t="shared" si="813"/>
        <v>0</v>
      </c>
      <c r="IC106" s="923">
        <f t="shared" si="814"/>
        <v>0</v>
      </c>
      <c r="ID106" s="924" t="str">
        <f t="shared" ca="1" si="815"/>
        <v>OK</v>
      </c>
      <c r="IE106" s="201" t="str">
        <f t="shared" si="816"/>
        <v>ks</v>
      </c>
      <c r="IF106" s="145">
        <f t="shared" si="817"/>
        <v>2</v>
      </c>
      <c r="IG106" s="216">
        <f t="shared" si="818"/>
        <v>43.56</v>
      </c>
      <c r="IH106" s="217">
        <f t="shared" si="819"/>
        <v>1</v>
      </c>
      <c r="II106" s="224" t="str">
        <f ca="1">IF(RZ[[#This Row],[Rozhodný sloupec indikativní ceny]]=1,"kg",IF($IW106=$JL$15,IF(JX106=0,JO106,JX106),IF($IW106=$KE$15,IF(KQ106=0,KH106,KQ106),IF($IW106=$KX$15,IF(LJ106=0,LA106,LJ106),IF($IW106=$LQ$15,IF(MC106=0,LT106,MC106),IF($IW106=$MJ$15,IF(NQ106=0,NH106,NQ106),0))))))</f>
        <v>kg</v>
      </c>
      <c r="IJ106" s="224">
        <f ca="1">IF((BH106+OFFSET(BH106,1,1,1,1))=2,RZ[[#This Row],[Počet MJHR (P0)]],IF((BI106+OFFSET(BI106,1,1,1,1))=2,RZ[[#This Row],[Počet MJHR (P0)]],IF((BJ106+OFFSET(BJ106,1,1,1,1))=2,RZ[[#This Row],[Počet MJHR (P0)]],IF((BK106+OFFSET(BK106,1,1,1,1))=2,RZ[[#This Row],[Počet MJHR (P0)]],IF((BL106+OFFSET(BL106,1,1,1,1))=2,RZ[[#This Row],[Počet MJHR (P0)]],IF((BM106+OFFSET(BM106,1,1,1,1))=2,RZ[[#This Row],[Počet MJHR (P0)]],IF((BN106+OFFSET(BN106,1,1,1,1))=2,RZ[[#This Row],[Počet MJHR (P0)]],IF((BO106+OFFSET(BO106,1,1,1,1))=2,RZ[[#This Row],[Počet MJHR (P0)]],IF((BP106+OFFSET(BP106,1,1,1,1))=2,RZ[[#This Row],[Počet MJHR (P0)]],IF((BQ106+OFFSET(BQ106,1,1,1,1))=2,RZ[[#This Row],[Počet MJHR (P0)]],IF(RZ[[#This Row],[Měrná jednotka CR (MJCR) (P0)]]=RZ[[#This Row],[Měrná jednotka HR '[MJHR'] (P0)]],RZ[[#This Row],[Počet MJHR (P0)]],IF($IW106=$JL$15,JY106,IF($IW106=$KE$15,KR106,IF($IW106=$KX$15,LK106,IF($IW106=$LQ$15,MD106,IF($IW106=$MJ$15,NR106,0))))))))))))))))</f>
        <v>0</v>
      </c>
      <c r="IK10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87.12</v>
      </c>
      <c r="IL106" s="145">
        <f ca="1">IF(AND(RZ[[#This Row],[Jednotková cena bez DPH '[cena/MJCR'] (P0)]]=0,RZ[[#This Row],[Indikativní jednotková cena '[CZK/kg'] (P1)]]&lt;&gt;0),1,0)</f>
        <v>1</v>
      </c>
      <c r="IM106" s="217">
        <f ca="1">VLOOKUP(RZ[[#This Row],[Kód položek]],INDIKAT_CENA,2,FALSE)</f>
        <v>110</v>
      </c>
      <c r="IN106" s="222">
        <f ca="1">IF(RZ[[#This Row],[Rozhodný sloupec indikativní ceny]]=1,RZ[[#This Row],[Indikativní jednotková cena '[CZK/kg'] (P1)]],RZ[[#This Row],[Jednotková cena bez DPH '[cena/MJCR'] (P0)]])</f>
        <v>110</v>
      </c>
      <c r="IO106" s="222">
        <f t="shared" si="820"/>
        <v>1</v>
      </c>
      <c r="IP106" s="224">
        <f ca="1">IF(RZ[[#This Row],[Rozhodný sloupec indikativní ceny]]=1,1,IF($IW106=$JL$15,KA106,IF($IW106=$KE$15,KT106,IF($IW106=$KX$15,LM106,IF($IW106=$LQ$15,MF106,IF($IW106=$MJ$15,NT106,0))))))</f>
        <v>1</v>
      </c>
      <c r="IQ106" s="225">
        <f ca="1">IF(RZ[[#This Row],[Jednotková cena bez DPH '[cena/MJCR'] (P1)]]="",0,IF(IP106=0,0,(RZ[[#This Row],[Jednotková cena bez DPH '[cena/MJCR'] (P1)]]*VLOOKUP(IP106,$BR$7:$BT$10,3))))</f>
        <v>110</v>
      </c>
      <c r="IR106" s="737"/>
      <c r="IS106" s="627">
        <f>IF(HY106=0,"",VLOOKUP(RZ[[#This Row],[Stav Projekce (P0)]],Vstupy!$E$11:'Vstupy'!$E$11:$H$17,4,FALSE))</f>
        <v>100</v>
      </c>
      <c r="IT106" s="925" t="str">
        <f>IF(RZ[[#This Row],[Stav Projekce (P0)]]=0,"",RZ[[#This Row],[Stav Projekce (P0)]])</f>
        <v>S</v>
      </c>
      <c r="IU106" s="925" t="str">
        <f>IF(RZ[[#This Row],[Stav Nákup (P0)]]=0,"",RZ[[#This Row],[Stav Nákup (P0)]])</f>
        <v/>
      </c>
      <c r="IV106" s="926" t="str">
        <f t="shared" si="821"/>
        <v/>
      </c>
      <c r="IW106" s="641">
        <v>1</v>
      </c>
      <c r="IX106" s="630"/>
      <c r="IY106" s="264"/>
      <c r="IZ106" s="648"/>
      <c r="JA106" s="100"/>
      <c r="JB106" s="100" t="s">
        <v>779</v>
      </c>
      <c r="JC106" s="100"/>
      <c r="JD106" s="100"/>
      <c r="JE106" s="100"/>
      <c r="JF106" s="100"/>
      <c r="JG106" s="100"/>
      <c r="JH106" s="100"/>
      <c r="JI106" s="100"/>
      <c r="JJ106" s="145" t="s">
        <v>768</v>
      </c>
      <c r="JK106" s="529"/>
      <c r="JL106" s="286"/>
      <c r="JM106" s="100"/>
      <c r="JN106" s="100"/>
      <c r="JO106" s="145" t="s">
        <v>35</v>
      </c>
      <c r="JP106" s="117">
        <v>2</v>
      </c>
      <c r="JQ106" s="117">
        <v>43.56</v>
      </c>
      <c r="JR106" s="148">
        <v>1</v>
      </c>
      <c r="JS106" s="145" t="s">
        <v>602</v>
      </c>
      <c r="JT106" s="631"/>
      <c r="JU106" s="148"/>
      <c r="JV106" s="154"/>
      <c r="JW106" s="145"/>
      <c r="JX106" s="210"/>
      <c r="JY106" s="117"/>
      <c r="JZ106" s="662"/>
      <c r="KA106" s="145"/>
      <c r="KB106" s="148"/>
      <c r="KC106" s="148"/>
      <c r="KD106" s="644"/>
      <c r="KE106" s="286"/>
      <c r="KF106" s="100"/>
      <c r="KG106" s="100"/>
      <c r="KH106" s="210"/>
      <c r="KI106" s="117"/>
      <c r="KJ106" s="117"/>
      <c r="KK106" s="148"/>
      <c r="KL106" s="145"/>
      <c r="KM106" s="632"/>
      <c r="KN106" s="148"/>
      <c r="KO106" s="154"/>
      <c r="KP106" s="154"/>
      <c r="KQ106" s="210"/>
      <c r="KR106" s="117"/>
      <c r="KS106" s="211"/>
      <c r="KT106" s="145"/>
      <c r="KU106" s="148"/>
      <c r="KV106" s="148"/>
      <c r="KW106" s="265"/>
      <c r="KX106" s="286"/>
      <c r="KY106" s="100"/>
      <c r="KZ106" s="100"/>
      <c r="LA106" s="210"/>
      <c r="LB106" s="117"/>
      <c r="LC106" s="117"/>
      <c r="LD106" s="148"/>
      <c r="LE106" s="145"/>
      <c r="LF106" s="632"/>
      <c r="LG106" s="148"/>
      <c r="LH106" s="154"/>
      <c r="LI106" s="154"/>
      <c r="LJ106" s="154"/>
      <c r="LK106" s="117"/>
      <c r="LL106" s="211"/>
      <c r="LM106" s="210"/>
      <c r="LN106" s="148"/>
      <c r="LO106" s="148"/>
      <c r="LP106" s="265"/>
      <c r="LQ106" s="286"/>
      <c r="LR106" s="100"/>
      <c r="LS106" s="100"/>
      <c r="LT106" s="210"/>
      <c r="LU106" s="117"/>
      <c r="LV106" s="117"/>
      <c r="LW106" s="148"/>
      <c r="LX106" s="145"/>
      <c r="LY106" s="632"/>
      <c r="LZ106" s="148"/>
      <c r="MA106" s="154"/>
      <c r="MB106" s="154"/>
      <c r="MC106" s="145"/>
      <c r="MD106" s="117"/>
      <c r="ME106" s="211"/>
      <c r="MF106" s="210"/>
      <c r="MG106" s="148"/>
      <c r="MH106" s="148"/>
      <c r="MI106" s="265"/>
      <c r="MJ106" s="647"/>
      <c r="MK106" s="264"/>
      <c r="ML106" s="153"/>
      <c r="MM106" s="153"/>
      <c r="MN106" s="153"/>
      <c r="MO106" s="153"/>
      <c r="MP106" s="153"/>
      <c r="MQ106" s="153"/>
      <c r="MR106" s="153"/>
      <c r="MS106" s="99"/>
      <c r="MT106" s="99"/>
      <c r="MU106" s="99"/>
      <c r="MV106" s="99"/>
      <c r="MW106" s="99"/>
      <c r="MX106" s="99"/>
      <c r="MY106" s="153"/>
      <c r="MZ106" s="153"/>
      <c r="NA106" s="153"/>
      <c r="NB106" s="153"/>
      <c r="NC106" s="153"/>
      <c r="ND106" s="153"/>
      <c r="NE106" s="148"/>
      <c r="NF106" s="145"/>
      <c r="NG106" s="145"/>
      <c r="NH106" s="330" t="str">
        <f t="shared" si="822"/>
        <v>ks</v>
      </c>
      <c r="NI106" s="797">
        <f>RZ[[#This Row],[Počet ks (K)]]</f>
        <v>0</v>
      </c>
      <c r="NJ106" s="798">
        <f>RZ[[#This Row],[Hmotnost '[kg/ks'] (K)]]</f>
        <v>0</v>
      </c>
      <c r="NK106" s="148"/>
      <c r="NL106" s="145"/>
      <c r="NM106" s="632"/>
      <c r="NN106" s="148"/>
      <c r="NO106" s="154"/>
      <c r="NP106" s="154"/>
      <c r="NQ106" s="154"/>
      <c r="NR106" s="210"/>
      <c r="NS106" s="148"/>
      <c r="NT106" s="210"/>
      <c r="NU106" s="148"/>
      <c r="NV106" s="148"/>
      <c r="NW106" s="265"/>
    </row>
    <row r="107" spans="2:387" ht="15.95" customHeight="1" x14ac:dyDescent="0.35">
      <c r="B107" s="118" t="str">
        <f t="shared" si="706"/>
        <v/>
      </c>
      <c r="C10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7" s="262" t="str">
        <f t="shared" si="707"/>
        <v xml:space="preserve">    Pružinový tlumič</v>
      </c>
      <c r="E107" s="120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Row],[Kód položek (P2)]]))))))))))</f>
        <v>STO2</v>
      </c>
      <c r="F107" s="791" t="str">
        <f t="shared" si="708"/>
        <v>N/A</v>
      </c>
      <c r="G107" s="792" t="str">
        <f t="shared" si="709"/>
        <v/>
      </c>
      <c r="H107" s="262" t="str">
        <f t="shared" si="710"/>
        <v/>
      </c>
      <c r="I107" s="123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HR '[MJHR'] (P0)]]))))))))))</f>
        <v>ks</v>
      </c>
      <c r="J107" s="123">
        <f t="shared" si="711"/>
        <v>4</v>
      </c>
      <c r="K107" s="793">
        <f>RZ[[#This Row],[Koeficient odhadu HR '[-'] (P1)]]</f>
        <v>1</v>
      </c>
      <c r="L107" s="124">
        <f ca="1">RZ[[#This Row],[Jednotková hmotnost s koef. '[kg/MJHR'] (P0)]]</f>
        <v>86</v>
      </c>
      <c r="M107" s="794">
        <f t="shared" ca="1" si="712"/>
        <v>0</v>
      </c>
      <c r="N107" s="125">
        <f t="shared" ca="1" si="713"/>
        <v>344</v>
      </c>
      <c r="O107" s="125">
        <f t="shared" ca="1" si="714"/>
        <v>0</v>
      </c>
      <c r="P107" s="126" t="str">
        <f t="shared" si="715"/>
        <v/>
      </c>
      <c r="Q107" s="795">
        <f ca="1">RZ[[#This Row],[Počet MJHR v rozpadu (P0)]]</f>
        <v>4</v>
      </c>
      <c r="R107" s="439" t="str">
        <f t="shared" si="716"/>
        <v/>
      </c>
      <c r="S107" s="129" t="str">
        <f t="shared" si="717"/>
        <v/>
      </c>
      <c r="T107" s="126" t="str">
        <f t="shared" si="718"/>
        <v/>
      </c>
      <c r="U107" s="126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CR (MJCR) (P0)]]))))))))))</f>
        <v>kg</v>
      </c>
      <c r="V107" s="575">
        <f t="shared" ca="1" si="719"/>
        <v>344</v>
      </c>
      <c r="W107" s="322">
        <f>RZ[[#This Row],[Koeficient odhadu CR '[-'] (P1)]]</f>
        <v>1</v>
      </c>
      <c r="X107" s="440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Row],[Jednotková cena bez DPH '[cena/MJCR'] (P1)]]*RZ[[#This Row],[Koeficient odhadu CR '[-']]]))))))))))</f>
        <v>115</v>
      </c>
      <c r="Y107" s="440">
        <f t="shared" ca="1" si="720"/>
        <v>0</v>
      </c>
      <c r="Z107" s="142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VLOOKUP(IP107,$BR$7:$BS$11,2,FALSE)))))))))))</f>
        <v>CZK</v>
      </c>
      <c r="AA107" s="909">
        <f t="shared" ca="1" si="721"/>
        <v>344</v>
      </c>
      <c r="AB107" s="910">
        <f ca="1">RZ[[#This Row],[Kumulovaný koeficient v rozpadu (P0)]]</f>
        <v>1</v>
      </c>
      <c r="AC107" s="261"/>
      <c r="AD107" s="796">
        <f ca="1">RZ[[#This Row],[Jednotková cena bez DPH '[cena/MJCR'] s koef. (P0)]]/RZ[[#This Row],[Koeficient odhadu CR '[-']]]*RZ[[#This Row],[Kumulovaný koeficient odhadu CR  '[-']]]</f>
        <v>115</v>
      </c>
      <c r="AE107" s="796">
        <f t="shared" ca="1" si="722"/>
        <v>39560</v>
      </c>
      <c r="AF107" s="796">
        <f ca="1">-IF(ISNUMBER(AA107),RZ[[#This Row],[Celková cena bez DPH (1)]]-RZ[[#This Row],[Jednotková cena bez DPH '[cena/MJCR'] bez koef. (P0)]]*AA107,0)</f>
        <v>0</v>
      </c>
      <c r="AG10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7" s="261"/>
      <c r="AI107" s="796">
        <f t="shared" ca="1" si="723"/>
        <v>4.2592592592592595</v>
      </c>
      <c r="AJ107" s="796">
        <f t="shared" ca="1" si="724"/>
        <v>1465.1851851851852</v>
      </c>
      <c r="AK107" s="796">
        <f t="shared" ca="1" si="725"/>
        <v>0</v>
      </c>
      <c r="AL107" s="753">
        <f ca="1">RZ[[#This Row],[Kilogramová cena bez DPH '[cena/kg'] (1)]]/$AK$13</f>
        <v>4.2592592592592595</v>
      </c>
      <c r="AM107" s="261"/>
      <c r="AN107" s="796">
        <f t="shared" ca="1" si="726"/>
        <v>5.5555555555555554</v>
      </c>
      <c r="AO107" s="796">
        <f t="shared" ca="1" si="727"/>
        <v>1911.1111111111111</v>
      </c>
      <c r="AP107" s="796">
        <f t="shared" ca="1" si="728"/>
        <v>0</v>
      </c>
      <c r="AQ107" s="753">
        <f ca="1">RZ[[#This Row],[Kilogramová cena bez DPH '[cena/kg'] (1)]]/$AP$13</f>
        <v>5.5555555555555554</v>
      </c>
      <c r="AR107" s="261"/>
      <c r="AS107" s="796">
        <f t="shared" ca="1" si="729"/>
        <v>3.1455142231947484</v>
      </c>
      <c r="AT107" s="796">
        <f t="shared" ca="1" si="730"/>
        <v>1082.0568927789934</v>
      </c>
      <c r="AU107" s="789">
        <f t="shared" ca="1" si="731"/>
        <v>0</v>
      </c>
      <c r="AV107" s="767">
        <f ca="1">RZ[[#This Row],[Kilogramová cena bez DPH '[cena/kg'] (1)]]/$AU$13</f>
        <v>3.1455142231947484</v>
      </c>
      <c r="AW107" s="165"/>
      <c r="AX107" s="911">
        <f t="shared" ca="1" si="732"/>
        <v>2</v>
      </c>
      <c r="AY107" s="111">
        <f t="shared" ca="1" si="733"/>
        <v>8</v>
      </c>
      <c r="AZ107" s="111">
        <f t="shared" ca="1" si="734"/>
        <v>7</v>
      </c>
      <c r="BA107" s="111">
        <f t="shared" ca="1" si="735"/>
        <v>0</v>
      </c>
      <c r="BB107" s="111">
        <f t="shared" ca="1" si="736"/>
        <v>0</v>
      </c>
      <c r="BC107" s="111">
        <f t="shared" ca="1" si="737"/>
        <v>0</v>
      </c>
      <c r="BD107" s="111">
        <f t="shared" ca="1" si="738"/>
        <v>0</v>
      </c>
      <c r="BE107" s="111">
        <f t="shared" ca="1" si="739"/>
        <v>0</v>
      </c>
      <c r="BF107" s="111">
        <f t="shared" ca="1" si="740"/>
        <v>0</v>
      </c>
      <c r="BG107" s="112">
        <f t="shared" ca="1" si="741"/>
        <v>0</v>
      </c>
      <c r="BH107" s="911">
        <f t="shared" si="742"/>
        <v>0</v>
      </c>
      <c r="BI107" s="111">
        <f t="shared" si="743"/>
        <v>0</v>
      </c>
      <c r="BJ107" s="111">
        <f t="shared" si="744"/>
        <v>1</v>
      </c>
      <c r="BK107" s="111">
        <f t="shared" si="745"/>
        <v>0</v>
      </c>
      <c r="BL107" s="111">
        <f t="shared" si="746"/>
        <v>0</v>
      </c>
      <c r="BM107" s="111">
        <f t="shared" si="747"/>
        <v>0</v>
      </c>
      <c r="BN107" s="111">
        <f t="shared" si="748"/>
        <v>0</v>
      </c>
      <c r="BO107" s="111">
        <f t="shared" si="749"/>
        <v>0</v>
      </c>
      <c r="BP107" s="111">
        <f t="shared" si="750"/>
        <v>0</v>
      </c>
      <c r="BQ107" s="112">
        <f t="shared" si="751"/>
        <v>0</v>
      </c>
      <c r="BR107" s="132">
        <f ca="1">IF(OFFSET(AY107,1,0,1,1)&lt;&gt;0,RZ[[#This Row],[Koeficient odhadu HR '[-'] (P1)]]*$BH107*SUMIFS(RZ[Úroveň 2 s koef. (P2)],RZ[0],AX107),RZ[[#This Row],[Koeficient odhadu HR '[-'] (P1)]]*$BH107*$IG107)</f>
        <v>0</v>
      </c>
      <c r="BS107" s="186">
        <f ca="1">IF(OFFSET(AY107,1,0,1,1)&lt;&gt;0,$BH107*SUMIFS(RZ[Úroveň 2 bez koef. (P2)],RZ[0],AX107),$BH107*$IG107)</f>
        <v>0</v>
      </c>
      <c r="BT107" s="138">
        <f ca="1">RZ[[#This Row],[Úroveň 2 s koef. (P2a)]]*RZ[[#This Row],[Počet MJHR (P0)]]</f>
        <v>0</v>
      </c>
      <c r="BU107" s="138">
        <f ca="1">RZ[[#This Row],[Úroveň 2 bez koef. (P2a)]]*RZ[[#This Row],[Počet MJHR (P0)]]</f>
        <v>0</v>
      </c>
      <c r="BV107" s="138">
        <f ca="1">IF(OFFSET(AZ107,1,0,1,1)&lt;&gt;0,RZ[[#This Row],[Koeficient odhadu HR '[-'] (P1)]]*$BI107*SUMIFS(RZ[Úroveň 3 s koef. (P2)],RZ[0],AX107,RZ[Úroveň 2 (P0)],AY107),RZ[[#This Row],[Koeficient odhadu HR '[-'] (P1)]]*$BI107*$IG107)</f>
        <v>0</v>
      </c>
      <c r="BW107" s="138">
        <f ca="1">IF(OFFSET(AZ107,1,0,1,1)&lt;&gt;0,$BI107*SUMIFS(RZ[Úroveň 3 bez koef. (P2)],RZ[0],AX107,RZ[Úroveň 2 (P0)],AY107),$BI107*$IG107)</f>
        <v>0</v>
      </c>
      <c r="BX107" s="132">
        <f ca="1">RZ[[#This Row],[Úroveň 3 s koef. (P2a)]]*RZ[[#This Row],[Počet MJHR (P0)]]</f>
        <v>344</v>
      </c>
      <c r="BY107" s="132">
        <f ca="1">RZ[Úroveň 3 bez koef. (P2a)]*RZ[[#This Row],[Počet MJHR (P0)]]</f>
        <v>344</v>
      </c>
      <c r="BZ107" s="132">
        <f ca="1">IF(OFFSET(BA107,1,0,1,1)&lt;&gt;0,RZ[[#This Row],[Koeficient odhadu HR '[-'] (P1)]]*$BJ107*SUMIFS(RZ[Úroveň 4 s koef. (P2)],RZ[0],AX107,RZ[Úroveň 2 (P0)],AY107,RZ[Úroveň 3 (P0)],AZ107),RZ[[#This Row],[Koeficient odhadu HR '[-'] (P1)]]*$BJ107*$IG107)</f>
        <v>86</v>
      </c>
      <c r="CA107" s="132">
        <f ca="1">IF(OFFSET(BA107,1,0,1,1)&lt;&gt;0,$BJ107*SUMIFS(RZ[Úroveň 4 bez koef. (P2)],RZ[0],AX107,RZ[Úroveň 2 (P0)],AY107,RZ[Úroveň 3 (P0)],AZ107),$BJ107*$IG107)</f>
        <v>86</v>
      </c>
      <c r="CB107" s="138">
        <f ca="1">RZ[[#This Row],[Úroveň 4 s koef. (P2a)]]*RZ[[#This Row],[Počet MJHR (P0)]]</f>
        <v>0</v>
      </c>
      <c r="CC107" s="138">
        <f ca="1">RZ[Úroveň 4 bez koef. (P2a)]*RZ[[#This Row],[Počet MJHR (P0)]]</f>
        <v>0</v>
      </c>
      <c r="CD107" s="138">
        <f ca="1">IF(OFFSET(BB107,1,0,1,1)&lt;&gt;0,RZ[[#This Row],[Koeficient odhadu HR '[-'] (P1)]]*$BK107*SUMIFS(RZ[Úroveň 5 s koef. (P2)],RZ[0],AX107,RZ[Úroveň 2 (P0)],AY107,RZ[Úroveň 3 (P0)],AZ107,RZ[Úroveň 4 (P0)],BA107),RZ[[#This Row],[Koeficient odhadu HR '[-'] (P1)]]*$BK107*$IG107)</f>
        <v>0</v>
      </c>
      <c r="CE107" s="138">
        <f ca="1">IF(OFFSET(BB107,1,0,1,1)&lt;&gt;0,$BK107*SUMIFS(RZ[Úroveň 5 bez koef. (P2)],RZ[0],AX107,RZ[Úroveň 2 (P0)],AY107,RZ[Úroveň 3 (P0)],AZ107,RZ[Úroveň 4 (P0)],BA107),$BK107*$IG107)</f>
        <v>0</v>
      </c>
      <c r="CF107" s="132">
        <f ca="1">RZ[[#This Row],[Úroveň 5 s koef. (P2a)]]*RZ[[#This Row],[Počet MJHR (P0)]]</f>
        <v>0</v>
      </c>
      <c r="CG107" s="132">
        <f ca="1">RZ[Úroveň 5 bez koef. (P2a)]*RZ[[#This Row],[Počet MJHR (P0)]]</f>
        <v>0</v>
      </c>
      <c r="CH107" s="132">
        <f ca="1">IF(OFFSET(BC107,1,0,1,1)&lt;&gt;0,RZ[[#This Row],[Koeficient odhadu HR '[-'] (P1)]]*$BL107*SUMIFS(RZ[Úroveň 6 s koef. (P2)],RZ[0],AX107,RZ[Úroveň 2 (P0)],AY107,RZ[Úroveň 3 (P0)],AZ107,RZ[Úroveň 4 (P0)],BA107,RZ[Úroveň 5 (P0)],BB107),RZ[[#This Row],[Koeficient odhadu HR '[-'] (P1)]]*$BL107*$IG107)</f>
        <v>0</v>
      </c>
      <c r="CI107" s="132">
        <f ca="1">IF(OFFSET(BC107,1,0,1,1)&lt;&gt;0,$BL107*SUMIFS(RZ[Úroveň 6 bez koef. (P2)],RZ[0],AX107,RZ[Úroveň 2 (P0)],AY107,RZ[Úroveň 3 (P0)],AZ107,RZ[Úroveň 4 (P0)],BA107,RZ[Úroveň 5 (P0)],BB107),$BL107*$IG107)</f>
        <v>0</v>
      </c>
      <c r="CJ107" s="138">
        <f ca="1">RZ[[#This Row],[Úroveň 6 s koef. (P2a)]]*RZ[[#This Row],[Počet MJHR (P0)]]</f>
        <v>0</v>
      </c>
      <c r="CK107" s="138">
        <f ca="1">RZ[Úroveň 6 bez koef. (P2a)]*RZ[[#This Row],[Počet MJHR (P0)]]</f>
        <v>0</v>
      </c>
      <c r="CL107" s="138">
        <f ca="1">IF(OFFSET(BD107,1,0,1,1)&lt;&gt;0,RZ[[#This Row],[Koeficient odhadu HR '[-'] (P1)]]*$BM107*SUMIFS(RZ[Úroveň 7 s koef. (P2)],RZ[0],AX107,RZ[Úroveň 2 (P0)],AY107,RZ[Úroveň 3 (P0)],AZ107,RZ[Úroveň 4 (P0)],BA107,RZ[Úroveň 5 (P0)],BB107,RZ[Úroveň 6 (P0)],BC107),RZ[[#This Row],[Koeficient odhadu HR '[-'] (P1)]]*$BM107*$IG107)</f>
        <v>0</v>
      </c>
      <c r="CM107" s="138">
        <f ca="1">IF(OFFSET(BD107,1,0,1,1)&lt;&gt;0,$BM107*SUMIFS(RZ[Úroveň 7 bez koef. (P2)],RZ[0],AX107,RZ[Úroveň 2 (P0)],AY107,RZ[Úroveň 3 (P0)],AZ107,RZ[Úroveň 4 (P0)],BA107,RZ[Úroveň 5 (P0)],BB107,RZ[Úroveň 6 (P0)],BC107),$BM107*$IG107)</f>
        <v>0</v>
      </c>
      <c r="CN107" s="132">
        <f ca="1">RZ[[#This Row],[Úroveň 7 s koef. (P2a)]]*RZ[[#This Row],[Počet MJHR (P0)]]</f>
        <v>0</v>
      </c>
      <c r="CO107" s="132">
        <f ca="1">RZ[Úroveň 7 bez koef. (P2a)]*RZ[[#This Row],[Počet MJHR (P0)]]</f>
        <v>0</v>
      </c>
      <c r="CP107" s="132">
        <f ca="1">IF(OFFSET(BE107,1,0,1,1)&lt;&gt;0,RZ[[#This Row],[Koeficient odhadu HR '[-'] (P1)]]*$BN107*SUMIFS(RZ[Úroveň 8 s koef. (P2)],RZ[0],AX107,RZ[Úroveň 2 (P0)],AY107,RZ[Úroveň 3 (P0)],AZ107,RZ[Úroveň 4 (P0)],BA107,RZ[Úroveň 5 (P0)],BB107,RZ[Úroveň 6 (P0)],BC107,RZ[Úroveň 7 (P0)],BD107),RZ[[#This Row],[Koeficient odhadu HR '[-'] (P1)]]*$BN107*$IG107)</f>
        <v>0</v>
      </c>
      <c r="CQ107" s="132">
        <f ca="1">IF(OFFSET(BE107,1,0,1,1)&lt;&gt;0,$BN107*SUMIFS(RZ[Úroveň 8 bez koef. (P2)],RZ[0],AX107,RZ[Úroveň 2 (P0)],AY107,RZ[Úroveň 3 (P0)],AZ107,RZ[Úroveň 4 (P0)],BA107,RZ[Úroveň 5 (P0)],BB107,RZ[Úroveň 6 (P0)],BC107,RZ[Úroveň 7 (P0)],BD107),$BN107*$IG107)</f>
        <v>0</v>
      </c>
      <c r="CR107" s="138">
        <f ca="1">RZ[[#This Row],[Úroveň 8 s koef. (P2a)]]*RZ[[#This Row],[Počet MJHR (P0)]]</f>
        <v>0</v>
      </c>
      <c r="CS107" s="138">
        <f ca="1">RZ[Úroveň 8 bez koef. (P2a)]*RZ[[#This Row],[Počet MJHR (P0)]]</f>
        <v>0</v>
      </c>
      <c r="CT107" s="138">
        <f ca="1">IF(OFFSET(BF107,1,0,1,1)&lt;&gt;0,RZ[[#This Row],[Koeficient odhadu HR '[-'] (P1)]]*$BO107*SUMIFS(RZ[Úroveň 9 s koef. (P2)],RZ[0],AX107,RZ[Úroveň 2 (P0)],AY107,RZ[Úroveň 3 (P0)],AZ107,RZ[Úroveň 4 (P0)],BA107,RZ[Úroveň 5 (P0)],BB107,RZ[Úroveň 6 (P0)],BC107,RZ[Úroveň 7 (P0)],BD107,RZ[Úroveň 8 (P0)],BE107),RZ[[#This Row],[Koeficient odhadu HR '[-'] (P1)]]*$BO107*$IG107)</f>
        <v>0</v>
      </c>
      <c r="CU107" s="138">
        <f ca="1">IF(OFFSET(BF107,1,0,1,1)&lt;&gt;0,$BO107*SUMIFS(RZ[Úroveň 9 bez koef. (P2)],RZ[0],AX107,RZ[Úroveň 2 (P0)],AY107,RZ[Úroveň 3 (P0)],AZ107,RZ[Úroveň 4 (P0)],BA107,RZ[Úroveň 5 (P0)],BB107,RZ[Úroveň 6 (P0)],BC107,RZ[Úroveň 7 (P0)],BD107,RZ[Úroveň 8 (P0)],BE107),$BO107*$IG107)</f>
        <v>0</v>
      </c>
      <c r="CV107" s="132">
        <f ca="1">RZ[[#This Row],[Úroveň 9 s koef. (P2a)]]*RZ[[#This Row],[Počet MJHR (P0)]]</f>
        <v>0</v>
      </c>
      <c r="CW107" s="132">
        <f ca="1">RZ[Úroveň 9 bez koef. (P2a)]*RZ[[#This Row],[Počet MJHR (P0)]]</f>
        <v>0</v>
      </c>
      <c r="CX107" s="132">
        <f ca="1">IF(OFFSET(BG107,1,0,1,1)&lt;&gt;0,RZ[[#This Row],[Koeficient odhadu HR '[-'] (P1)]]*$BP107*SUMIFS(RZ[Úroveň 10 s koef. (P2)],RZ[0],AX107,RZ[Úroveň 2 (P0)],AY107,RZ[Úroveň 3 (P0)],AZ107,RZ[Úroveň 4 (P0)],BA107,RZ[Úroveň 5 (P0)],BB107,RZ[Úroveň 6 (P0)],BC107,RZ[Úroveň 7 (P0)],BD107,RZ[Úroveň 8 (P0)],BE107,RZ[Úroveň 9 (P0)],BF107),RZ[[#This Row],[Koeficient odhadu HR '[-'] (P1)]]*$BP107*$IG107)</f>
        <v>0</v>
      </c>
      <c r="CY107" s="132">
        <f ca="1">IF(OFFSET(BG107,1,0,1,1)&lt;&gt;0,$BP107*SUMIFS(RZ[Úroveň 10 bez koef. (P2)],RZ[0],AX107,RZ[Úroveň 2 (P0)],AY107,RZ[Úroveň 3 (P0)],AZ107,RZ[Úroveň 4 (P0)],BA107,RZ[Úroveň 5 (P0)],BB107,RZ[Úroveň 6 (P0)],BC107,RZ[Úroveň 7 (P0)],BD107,RZ[Úroveň 8 (P0)],BE107,RZ[Úroveň 9 (P0)],BF107),$BP107*$IG107)</f>
        <v>0</v>
      </c>
      <c r="CZ107" s="138">
        <f>RZ[[#This Row],[Úroveň 10 s koef. (P2a)]]*RZ[[#This Row],[Počet MJHR (P0)]]</f>
        <v>0</v>
      </c>
      <c r="DA107" s="138">
        <f>RZ[Úroveň 10 bez koef. (P2a)]*RZ[[#This Row],[Počet MJHR (P0)]]</f>
        <v>0</v>
      </c>
      <c r="DB107" s="138">
        <f>RZ[[#This Row],[Koeficient odhadu HR '[-'] (P1)]]*$BQ107*IG107</f>
        <v>0</v>
      </c>
      <c r="DC107" s="231">
        <f t="shared" si="752"/>
        <v>0</v>
      </c>
      <c r="DD107" s="241">
        <f t="shared" ca="1" si="753"/>
        <v>86</v>
      </c>
      <c r="DE107" s="229">
        <f t="shared" ca="1" si="754"/>
        <v>86</v>
      </c>
      <c r="DF107" s="912">
        <f t="shared" si="755"/>
        <v>0</v>
      </c>
      <c r="DG107" s="913">
        <f t="shared" si="756"/>
        <v>0</v>
      </c>
      <c r="DH107" s="913">
        <f t="shared" si="757"/>
        <v>4</v>
      </c>
      <c r="DI107" s="913">
        <f t="shared" si="758"/>
        <v>0</v>
      </c>
      <c r="DJ107" s="913">
        <f t="shared" si="759"/>
        <v>0</v>
      </c>
      <c r="DK107" s="913">
        <f t="shared" si="760"/>
        <v>0</v>
      </c>
      <c r="DL107" s="913">
        <f t="shared" si="761"/>
        <v>0</v>
      </c>
      <c r="DM107" s="913">
        <f t="shared" si="762"/>
        <v>0</v>
      </c>
      <c r="DN107" s="913">
        <f t="shared" si="763"/>
        <v>0</v>
      </c>
      <c r="DO107" s="913">
        <f t="shared" si="764"/>
        <v>0</v>
      </c>
      <c r="DP107" s="914">
        <f ca="1">SUMIFS(RZ[Úroveň 1 (P4)],RZ[0],AX107)</f>
        <v>1</v>
      </c>
      <c r="DQ107" s="914">
        <f ca="1">SUMIFS(RZ[Úroveň 2 (P4)],RZ[0],AX107,RZ[Úroveň 2 (P0)],AY107)</f>
        <v>1</v>
      </c>
      <c r="DR107" s="914">
        <f ca="1">SUMIFS(RZ[Úroveň 3 (P4)],RZ[0],AX107,RZ[Úroveň 2 (P0)],AY107,RZ[Úroveň 3 (P0)],AZ107)</f>
        <v>4</v>
      </c>
      <c r="DS107" s="914">
        <f ca="1">SUMIFS(RZ[Úroveň 4 (P4)],RZ[0],AX107,RZ[Úroveň 2 (P0)],AY107,RZ[Úroveň 3 (P0)],AZ107,RZ[Úroveň 4 (P0)],BA107)</f>
        <v>0</v>
      </c>
      <c r="DT107" s="914">
        <f ca="1">SUMIFS(RZ[Úroveň 5 (P4)],RZ[0],AX107,RZ[Úroveň 2 (P0)],AY107,RZ[Úroveň 3 (P0)],AZ107,RZ[Úroveň 4 (P0)],BA107,RZ[Úroveň 5 (P0)],BB107)</f>
        <v>0</v>
      </c>
      <c r="DU107" s="914">
        <f ca="1">SUMIFS(RZ[Úroveň 6 (P4)],RZ[0],AX107,RZ[Úroveň 2 (P0)],AY107,RZ[Úroveň 3 (P0)],AZ107,RZ[Úroveň 4 (P0)],BA107,RZ[Úroveň 5 (P0)],BB107,RZ[Úroveň 6 (P0)],BC107)</f>
        <v>0</v>
      </c>
      <c r="DV107" s="914">
        <f ca="1">SUMIFS(RZ[Úroveň 7 (P4)],RZ[0],AX107,RZ[Úroveň 2 (P0)],AY107,RZ[Úroveň 3 (P0)],AZ107,RZ[Úroveň 4 (P0)],BA107,RZ[Úroveň 5 (P0)],BB107,RZ[Úroveň 6 (P0)],BC107,RZ[Úroveň 7 (P0)],BD107)</f>
        <v>0</v>
      </c>
      <c r="DW107" s="914">
        <f ca="1">SUMIFS(RZ[Úroveň 8 (P4)],RZ[0],AX107,RZ[Úroveň 2 (P0)],AY107,RZ[Úroveň 3 (P0)],AZ107,RZ[Úroveň 4 (P0)],BA107,RZ[Úroveň 5 (P0)],BB107,RZ[Úroveň 6 (P0)],BC107,RZ[Úroveň 7 (P0)],BD107,RZ[Úroveň 8 (P0)],BE107)</f>
        <v>0</v>
      </c>
      <c r="DX107" s="914">
        <f ca="1">SUMIFS(RZ[Úroveň 9 (P4)],RZ[0],AX107,RZ[Úroveň 2 (P0)],AY107,RZ[Úroveň 3 (P0)],AZ107,RZ[Úroveň 4 (P0)],BA107,RZ[Úroveň 5 (P0)],BB107,RZ[Úroveň 6 (P0)],BC107,RZ[Úroveň 7 (P0)],BD107,RZ[Úroveň 8 (P0)],BE107,RZ[Úroveň 9 (P0)],BF107)</f>
        <v>0</v>
      </c>
      <c r="DY107" s="914">
        <f ca="1">SUMIFS(RZ[Úroveň 10 (P4)],RZ[0],AX107,RZ[Úroveň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DZ107" s="915">
        <f t="shared" ca="1" si="765"/>
        <v>4</v>
      </c>
      <c r="EA107" s="916">
        <f ca="1">RZ[[#This Row],[Jednotková hmotnost bez koef. '[kg/MJHR'] (P0)]]*RZ[[#This Row],[Počet MJHR v rozpadu (P0)]]</f>
        <v>344</v>
      </c>
      <c r="EB107" s="917">
        <f ca="1">IF(OFFSET(AY107,1,0,1,1)&lt;&gt;0,RZ[[#This Row],[Koeficient odhadu CR '[-'] (P1)]]*$BH107*SUMIFS(RZ[Úroveň 2 s koef. (P3)],RZ[0],AX107),RZ[[#This Row],[Koeficient odhadu CR '[-'] (P1)]]*$BH107*$IQ107)</f>
        <v>0</v>
      </c>
      <c r="EC107" s="191">
        <f ca="1">IF(OFFSET(AY107,1,0,1,1)&lt;&gt;0,$BH107*SUMIFS(RZ[Úroveň 2 bez koef. (P3)],RZ[0],AX107),$BH107*$IQ107)</f>
        <v>0</v>
      </c>
      <c r="ED107" s="140">
        <f ca="1">RZ[[#This Row],[Úroveň 2 s koef. (P3a)]]*RZ[[#This Row],[Počet MJCR (P0) pro "kg"]]</f>
        <v>0</v>
      </c>
      <c r="EE107" s="140">
        <f ca="1">RZ[Úroveň 2 bez koef. (P3a)]*RZ[[#This Row],[Počet MJCR (P0) pro "kg"]]</f>
        <v>0</v>
      </c>
      <c r="EF107" s="140">
        <f ca="1">IF(OFFSET(AZ107,1,0,1,1)&lt;&gt;0,RZ[[#This Row],[Koeficient odhadu CR '[-'] (P1)]]*$BI107*SUMIFS(RZ[Úroveň 3 s koef. (P3)],RZ[0],AX107,RZ[Úroveň 2 (P0)],AY107),RZ[[#This Row],[Koeficient odhadu CR '[-'] (P1)]]*$BI107*$IQ107)</f>
        <v>0</v>
      </c>
      <c r="EG107" s="140">
        <f ca="1">IF(OFFSET(AZ107,1,0,1,1)&lt;&gt;0,$BI107*SUMIFS(RZ[Úroveň 3 bez koef. (P3)],RZ[0],AX107,RZ[Úroveň 2 (P0)],AY107),$BI107*$IQ107)</f>
        <v>0</v>
      </c>
      <c r="EH107" s="135">
        <f ca="1">RZ[[#This Row],[Úroveň 3 s koef. (P3a)]]*RZ[[#This Row],[Počet MJCR (P0) pro "kg"]]</f>
        <v>39560</v>
      </c>
      <c r="EI107" s="135">
        <f ca="1">RZ[Úroveň 3 bez koef. (P3a)]*RZ[[#This Row],[Počet MJCR (P0) pro "kg"]]</f>
        <v>39560</v>
      </c>
      <c r="EJ107" s="135">
        <f ca="1">IF(OFFSET(BA107,1,0,1,1)&lt;&gt;0,RZ[[#This Row],[Koeficient odhadu CR '[-'] (P1)]]*$BJ107*SUMIFS(RZ[Úroveň 4 s koef. (P3)],RZ[0],AX107,RZ[Úroveň 2 (P0)],AY107,RZ[Úroveň 3 (P0)],AZ107),RZ[[#This Row],[Koeficient odhadu CR '[-'] (P1)]]*$BJ107*$IQ107)</f>
        <v>115</v>
      </c>
      <c r="EK107" s="135">
        <f ca="1">IF(OFFSET(BA107,1,0,1,1)&lt;&gt;0,$BJ107*SUMIFS(RZ[Úroveň 4 bez koef. (P3)],RZ[0],AX107,RZ[Úroveň 2 (P0)],AY107,RZ[Úroveň 3 (P0)],AZ107),$BJ107*$IQ107)</f>
        <v>115</v>
      </c>
      <c r="EL107" s="140">
        <f ca="1">RZ[[#This Row],[Úroveň 4 s koef. (P3a)]]*RZ[[#This Row],[Počet MJCR (P0) pro "kg"]]</f>
        <v>0</v>
      </c>
      <c r="EM107" s="140">
        <f ca="1">RZ[Úroveň 4 bez koef. (P3a)]*RZ[[#This Row],[Počet MJCR (P0) pro "kg"]]</f>
        <v>0</v>
      </c>
      <c r="EN107" s="140">
        <f ca="1">IF(OFFSET(BB107,1,0,1,1)&lt;&gt;0,RZ[[#This Row],[Koeficient odhadu CR '[-'] (P1)]]*$BK107*SUMIFS(RZ[Úroveň 5 s koef. (P3)],RZ[0],AX107,RZ[Úroveň 2 (P0)],AY107,RZ[Úroveň 3 (P0)],AZ107,RZ[Úroveň 4 (P0)],BA107),RZ[[#This Row],[Koeficient odhadu CR '[-'] (P1)]]*$BK107*$IQ107)</f>
        <v>0</v>
      </c>
      <c r="EO107" s="140">
        <f ca="1">IF(OFFSET(BB107,1,0,1,1)&lt;&gt;0,$BK107*SUMIFS(RZ[Úroveň 5 bez koef. (P3)],RZ[0],AX107,RZ[Úroveň 2 (P0)],AY107,RZ[Úroveň 3 (P0)],AZ107,RZ[Úroveň 4 (P0)],BA107),$BK107*$IQ107)</f>
        <v>0</v>
      </c>
      <c r="EP107" s="135">
        <f ca="1">RZ[[#This Row],[Úroveň 5 s koef. (P3a)]]*RZ[[#This Row],[Počet MJCR (P0) pro "kg"]]</f>
        <v>0</v>
      </c>
      <c r="EQ107" s="135">
        <f ca="1">RZ[Úroveň 5 bez koef. (P3a)]*RZ[[#This Row],[Počet MJCR (P0) pro "kg"]]</f>
        <v>0</v>
      </c>
      <c r="ER107" s="135">
        <f ca="1">IF(OFFSET(BC107,1,0,1,1)&lt;&gt;0,RZ[[#This Row],[Koeficient odhadu CR '[-'] (P1)]]*$BL107*SUMIFS(RZ[Úroveň 6 s koef. (P3)],RZ[0],AX107,RZ[Úroveň 2 (P0)],AY107,RZ[Úroveň 3 (P0)],AZ107,RZ[Úroveň 4 (P0)],BA107,RZ[Úroveň 5 (P0)],BB107),RZ[[#This Row],[Koeficient odhadu CR '[-'] (P1)]]*$BL107*$IQ107)</f>
        <v>0</v>
      </c>
      <c r="ES107" s="135">
        <f ca="1">IF(OFFSET(BC107,1,0,1,1)&lt;&gt;0,$BL107*SUMIFS(RZ[Úroveň 6 bez koef. (P3)],RZ[0],AX107,RZ[Úroveň 2 (P0)],AY107,RZ[Úroveň 3 (P0)],AZ107,RZ[Úroveň 4 (P0)],BA107,RZ[Úroveň 5 (P0)],BB107),$BL107*$IQ107)</f>
        <v>0</v>
      </c>
      <c r="ET107" s="140">
        <f ca="1">RZ[[#This Row],[Úroveň 6 s koef. (P3a)]]*RZ[[#This Row],[Počet MJCR (P0) pro "kg"]]</f>
        <v>0</v>
      </c>
      <c r="EU107" s="140">
        <f ca="1">RZ[Úroveň 6 bez koef. (P3a)]*RZ[[#This Row],[Počet MJCR (P0) pro "kg"]]</f>
        <v>0</v>
      </c>
      <c r="EV107" s="140">
        <f ca="1">IF(OFFSET(BD107,1,0,1,1)&lt;&gt;0,RZ[[#This Row],[Koeficient odhadu CR '[-'] (P1)]]*$BM107*SUMIFS(RZ[Úroveň 7 s koef. (P3)],RZ[0],AX107,RZ[Úroveň 2 (P0)],AY107,RZ[Úroveň 3 (P0)],AZ107,RZ[Úroveň 4 (P0)],BA107,RZ[Úroveň 5 (P0)],BB107,RZ[Úroveň 6 (P0)],BC107),RZ[[#This Row],[Koeficient odhadu CR '[-'] (P1)]]*$BM107*$IQ107)</f>
        <v>0</v>
      </c>
      <c r="EW107" s="140">
        <f ca="1">IF(OFFSET(BD107,1,0,1,1)&lt;&gt;0,$BM107*SUMIFS(RZ[Úroveň 7 bez koef. (P3)],RZ[0],AX107,RZ[Úroveň 2 (P0)],AY107,RZ[Úroveň 3 (P0)],AZ107,RZ[Úroveň 4 (P0)],BA107,RZ[Úroveň 5 (P0)],BB107,RZ[Úroveň 6 (P0)],BC107),$BM107*$IQ107)</f>
        <v>0</v>
      </c>
      <c r="EX107" s="135">
        <f ca="1">RZ[[#This Row],[Úroveň 7 s koef. (P3a)]]*RZ[[#This Row],[Počet MJCR (P0) pro "kg"]]</f>
        <v>0</v>
      </c>
      <c r="EY107" s="135">
        <f ca="1">RZ[Úroveň 7 bez koef. (P3a)]*RZ[[#This Row],[Počet MJCR (P0) pro "kg"]]</f>
        <v>0</v>
      </c>
      <c r="EZ107" s="135">
        <f ca="1">IF(OFFSET(BE107,1,0,1,1)&lt;&gt;0,RZ[[#This Row],[Koeficient odhadu CR '[-'] (P1)]]*$BN107*SUMIFS(RZ[Úroveň 8 s koef. (P3)],RZ[0],AX107,RZ[Úroveň 2 (P0)],AY107,RZ[Úroveň 3 (P0)],AZ107,RZ[Úroveň 4 (P0)],BA107,RZ[Úroveň 5 (P0)],BB107,RZ[Úroveň 6 (P0)],BC107,RZ[Úroveň 7 (P0)],BD107),RZ[[#This Row],[Koeficient odhadu CR '[-'] (P1)]]*$BN107*$IQ107)</f>
        <v>0</v>
      </c>
      <c r="FA107" s="135">
        <f ca="1">IF(OFFSET(BE107,1,0,1,1)&lt;&gt;0,$BN107*SUMIFS(RZ[Úroveň 8 bez koef. (P3)],RZ[0],AX107,RZ[Úroveň 2 (P0)],AY107,RZ[Úroveň 3 (P0)],AZ107,RZ[Úroveň 4 (P0)],BA107,RZ[Úroveň 5 (P0)],BB107,RZ[Úroveň 6 (P0)],BC107,RZ[Úroveň 7 (P0)],BD107),$BN107*$IQ107)</f>
        <v>0</v>
      </c>
      <c r="FB107" s="140">
        <f ca="1">RZ[[#This Row],[Úroveň 8 s koef. (P3a)]]*RZ[[#This Row],[Počet MJCR (P0) pro "kg"]]</f>
        <v>0</v>
      </c>
      <c r="FC107" s="140">
        <f ca="1">RZ[Úroveň 8 bez koef. (P3a)]*RZ[[#This Row],[Počet MJCR (P0) pro "kg"]]</f>
        <v>0</v>
      </c>
      <c r="FD107" s="140">
        <f ca="1">IF(OFFSET(BF107,1,0,1,1)&lt;&gt;0,RZ[[#This Row],[Koeficient odhadu CR '[-'] (P1)]]*$BO107*SUMIFS(RZ[Úroveň 9 s koef. (P3)],RZ[0],AX107,RZ[Úroveň 2 (P0)],AY107,RZ[Úroveň 3 (P0)],AZ107,RZ[Úroveň 4 (P0)],BA107,RZ[Úroveň 5 (P0)],BB107,RZ[Úroveň 6 (P0)],BC107,RZ[Úroveň 7 (P0)],BD107,RZ[Úroveň 8 (P0)],BE107),RZ[[#This Row],[Koeficient odhadu CR '[-'] (P1)]]*$BO107*$IQ107)</f>
        <v>0</v>
      </c>
      <c r="FE107" s="140">
        <f ca="1">IF(OFFSET(BF107,1,0,1,1)&lt;&gt;0,$BO107*SUMIFS(RZ[Úroveň 9 bez koef. (P3)],RZ[0],AX107,RZ[Úroveň 2 (P0)],AY107,RZ[Úroveň 3 (P0)],AZ107,RZ[Úroveň 4 (P0)],BA107,RZ[Úroveň 5 (P0)],BB107,RZ[Úroveň 6 (P0)],BC107,RZ[Úroveň 7 (P0)],BD107,RZ[Úroveň 8 (P0)],BE107),$BO107*$IQ107)</f>
        <v>0</v>
      </c>
      <c r="FF107" s="135">
        <f ca="1">RZ[[#This Row],[Úroveň 9 s koef. (P3a)]]*RZ[[#This Row],[Počet MJCR (P0) pro "kg"]]</f>
        <v>0</v>
      </c>
      <c r="FG107" s="135">
        <f ca="1">RZ[Úroveň 9 bez koef. (P3a)]*RZ[[#This Row],[Počet MJCR (P0) pro "kg"]]</f>
        <v>0</v>
      </c>
      <c r="FH107" s="135">
        <f ca="1">IF(OFFSET(BG107,1,0,1,1)&lt;&gt;0,RZ[[#This Row],[Koeficient odhadu CR '[-'] (P1)]]*$BP107*SUMIFS(RZ[Úroveň 10 s koef. (P3)],RZ[0],AX107,RZ[Úroveň 2 (P0)],AY107,RZ[Úroveň 3 (P0)],AZ107,RZ[Úroveň 4 (P0)],BA107,RZ[Úroveň 5 (P0)],BB107,RZ[Úroveň 6 (P0)],BC107,RZ[Úroveň 7 (P0)],BD107,RZ[Úroveň 8 (P0)],BE107,RZ[Úroveň 9 (P0)],BF107),RZ[[#This Row],[Koeficient odhadu CR '[-'] (P1)]]*$BP107*$IQ107)</f>
        <v>0</v>
      </c>
      <c r="FI107" s="135">
        <f ca="1">IF(OFFSET(BG107,1,0,1,1)&lt;&gt;0,$BP107*SUMIFS(RZ[Úroveň 10 bez koef. (P3)],RZ[0],AX107,RZ[Úroveň 2 (P0)],AY107,RZ[Úroveň 3 (P0)],AZ107,RZ[Úroveň 4 (P0)],BA107,RZ[Úroveň 5 (P0)],BB107,RZ[Úroveň 6 (P0)],BC107,RZ[Úroveň 7 (P0)],BD107,RZ[Úroveň 8 (P0)],BE107,RZ[Úroveň 9 (P0)],BF107),$BP107*$IQ107)</f>
        <v>0</v>
      </c>
      <c r="FJ107" s="140">
        <f ca="1">RZ[[#This Row],[Úroveň 10 s koef. (P3a)]]*RZ[[#This Row],[Počet MJCR (P0) pro "kg"]]</f>
        <v>0</v>
      </c>
      <c r="FK107" s="140">
        <f ca="1">RZ[Úroveň 10 bez koef. (P3a)]*RZ[[#This Row],[Počet MJCR (P0) pro "kg"]]</f>
        <v>0</v>
      </c>
      <c r="FL107" s="140">
        <f ca="1">RZ[[#This Row],[Koeficient odhadu CR '[-'] (P1)]]*$BQ107*IQ107</f>
        <v>0</v>
      </c>
      <c r="FM107" s="236">
        <f t="shared" ca="1" si="766"/>
        <v>0</v>
      </c>
      <c r="FN107" s="194">
        <f t="shared" ca="1" si="767"/>
        <v>115</v>
      </c>
      <c r="FO107" s="238">
        <f t="shared" ca="1" si="768"/>
        <v>115</v>
      </c>
      <c r="FP107" s="135">
        <f t="shared" ca="1" si="769"/>
        <v>0</v>
      </c>
      <c r="FQ107" s="135">
        <f t="shared" ca="1" si="770"/>
        <v>0</v>
      </c>
      <c r="FR107" s="135">
        <f t="shared" ca="1" si="771"/>
        <v>344</v>
      </c>
      <c r="FS107" s="135">
        <f t="shared" ca="1" si="772"/>
        <v>0</v>
      </c>
      <c r="FT107" s="135">
        <f t="shared" ca="1" si="773"/>
        <v>0</v>
      </c>
      <c r="FU107" s="135">
        <f t="shared" ca="1" si="774"/>
        <v>0</v>
      </c>
      <c r="FV107" s="135">
        <f t="shared" ca="1" si="775"/>
        <v>0</v>
      </c>
      <c r="FW107" s="135">
        <f t="shared" ca="1" si="776"/>
        <v>0</v>
      </c>
      <c r="FX107" s="135">
        <f t="shared" ca="1" si="777"/>
        <v>0</v>
      </c>
      <c r="FY107" s="135">
        <f t="shared" ca="1" si="778"/>
        <v>0</v>
      </c>
      <c r="FZ107" s="140">
        <f ca="1">SUMIFS(RZ[Úroveň 1 (P6)],RZ[0],AX107)</f>
        <v>1</v>
      </c>
      <c r="GA107" s="140">
        <f ca="1">SUMIFS(RZ[Úroveň 2 (P6)],RZ[0],AX107,RZ[Úroveň 2 (P0)],AY107)</f>
        <v>1</v>
      </c>
      <c r="GB107" s="140">
        <f ca="1">SUMIFS(RZ[Úroveň 3 (P6)],RZ[0],AX107,RZ[Úroveň 2 (P0)],AY107,RZ[Úroveň 3 (P0)],AZ107)</f>
        <v>344</v>
      </c>
      <c r="GC107" s="140">
        <f ca="1">SUMIFS(RZ[Úroveň 4 (P6)],RZ[0],AX107,RZ[Úroveň 2 (P0)],AY107,RZ[Úroveň 3 (P0)],AZ107,RZ[Úroveň 4 (P0)],BA107)</f>
        <v>0</v>
      </c>
      <c r="GD107" s="140">
        <f ca="1">SUMIFS(RZ[Úroveň 5 (P6)],RZ[0],AX107,RZ[Úroveň 2 (P0)],AY107,RZ[Úroveň 3 (P0)],AZ107,RZ[Úroveň 4 (P0)],BA107,RZ[Úroveň 5 (P0)],BB107)</f>
        <v>0</v>
      </c>
      <c r="GE107" s="140">
        <f ca="1">SUMIFS(RZ[Úroveň 6 (P6)],RZ[0],AX107,RZ[Úroveň 2 (P0)],AY107,RZ[Úroveň 3 (P0)],AZ107,RZ[Úroveň 4 (P0)],BA107,RZ[Úroveň 5 (P0)],BB107,RZ[Úroveň 6 (P0)],BC107)</f>
        <v>0</v>
      </c>
      <c r="GF107" s="140">
        <f ca="1">SUMIFS(RZ[Úroveň 7 (P6)],RZ[0],AX107,RZ[Úroveň 2 (P0)],AY107,RZ[Úroveň 3 (P0)],AZ107,RZ[Úroveň 4 (P0)],BA107,RZ[Úroveň 5 (P0)],BB107,RZ[Úroveň 6 (P0)],BC107,RZ[Úroveň 7 (P0)],BD107)</f>
        <v>0</v>
      </c>
      <c r="GG107" s="140">
        <f ca="1">SUMIFS(RZ[Úroveň 8 (P6)],RZ[0],AX107,RZ[Úroveň 2 (P0)],AY107,RZ[Úroveň 3 (P0)],AZ107,RZ[Úroveň 4 (P0)],BA107,RZ[Úroveň 5 (P0)],BB107,RZ[Úroveň 6 (P0)],BC107,RZ[Úroveň 7 (P0)],BD107,RZ[Úroveň 8 (P0)],BE107)</f>
        <v>0</v>
      </c>
      <c r="GH107" s="140">
        <f ca="1">SUMIFS(RZ[Úroveň 9 (P6)],RZ[0],AX107,RZ[Úroveň 2 (P0)],AY107,RZ[Úroveň 3 (P0)],AZ107,RZ[Úroveň 4 (P0)],BA107,RZ[Úroveň 5 (P0)],BB107,RZ[Úroveň 6 (P0)],BC107,RZ[Úroveň 7 (P0)],BD107,RZ[Úroveň 8 (P0)],BE107,RZ[Úroveň 9 (P0)],BF107)</f>
        <v>0</v>
      </c>
      <c r="GI107" s="140">
        <f ca="1">SUMIFS(RZ[Úroveň 10 (P6)],RZ[0],AX107,RZ[Úroveň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GJ107" s="918">
        <f t="shared" ca="1" si="779"/>
        <v>344</v>
      </c>
      <c r="GK107" s="808">
        <f t="shared" si="780"/>
        <v>0</v>
      </c>
      <c r="GL107" s="808">
        <f t="shared" si="781"/>
        <v>0</v>
      </c>
      <c r="GM107" s="808">
        <f t="shared" si="782"/>
        <v>1</v>
      </c>
      <c r="GN107" s="808">
        <f t="shared" si="783"/>
        <v>0</v>
      </c>
      <c r="GO107" s="808">
        <f t="shared" si="784"/>
        <v>0</v>
      </c>
      <c r="GP107" s="808">
        <f t="shared" si="785"/>
        <v>0</v>
      </c>
      <c r="GQ107" s="808">
        <f t="shared" si="786"/>
        <v>0</v>
      </c>
      <c r="GR107" s="808">
        <f t="shared" si="787"/>
        <v>0</v>
      </c>
      <c r="GS107" s="808">
        <f t="shared" si="788"/>
        <v>0</v>
      </c>
      <c r="GT107" s="808">
        <f t="shared" si="789"/>
        <v>0</v>
      </c>
      <c r="GU107" s="809">
        <f ca="1">SUMIFS(RZ[Sloupec1],RZ[0],AX107)</f>
        <v>1</v>
      </c>
      <c r="GV107" s="809">
        <f ca="1">SUMIFS(RZ[Sloupec2],RZ[0],AX107,RZ[Úroveň 2 (P0)],AY107)</f>
        <v>1</v>
      </c>
      <c r="GW107" s="809">
        <f ca="1">SUMIFS(RZ[Sloupec3],RZ[0],AX107,RZ[Úroveň 2 (P0)],AY107,RZ[Úroveň 3 (P0)],AZ107)</f>
        <v>1</v>
      </c>
      <c r="GX107" s="809">
        <f ca="1">SUMIFS(RZ[Sloupec4],RZ[0],AX107,RZ[Úroveň 2 (P0)],AY107,RZ[Úroveň 3 (P0)],AZ107,RZ[Úroveň 4 (P0)],BA107)</f>
        <v>0</v>
      </c>
      <c r="GY107" s="809">
        <f ca="1">SUMIFS(RZ[Sloupec5],RZ[0],AX107,RZ[Úroveň 2 (P0)],AY107,RZ[Úroveň 3 (P0)],AZ107,RZ[Úroveň 4 (P0)],BA107,RZ[Úroveň 5 (P0)],BB107)</f>
        <v>0</v>
      </c>
      <c r="GZ107" s="809">
        <f ca="1">SUMIFS(RZ[Sloupec6],RZ[0],AX107,RZ[Úroveň 2 (P0)],AY107,RZ[Úroveň 3 (P0)],AZ107,RZ[Úroveň 4 (P0)],BA107,RZ[Úroveň 5 (P0)],BB107,RZ[Úroveň 6 (P0)],BC107)</f>
        <v>0</v>
      </c>
      <c r="HA107" s="809">
        <f ca="1">SUMIFS(RZ[Sloupec62],RZ[0],AX107,RZ[Úroveň 2 (P0)],AY107,RZ[Úroveň 3 (P0)],AZ107,RZ[Úroveň 4 (P0)],BA107,RZ[Úroveň 5 (P0)],BB107,RZ[Úroveň 6 (P0)],BC107,RZ[Úroveň 7 (P0)],BD107)</f>
        <v>0</v>
      </c>
      <c r="HB107" s="809">
        <f ca="1">SUMIFS(RZ[Sloupec63],RZ[0],AX107,RZ[Úroveň 2 (P0)],AY107,RZ[Úroveň 3 (P0)],AZ107,RZ[Úroveň 4 (P0)],BA107,RZ[Úroveň 5 (P0)],BB107,RZ[Úroveň 6 (P0)],BC107,RZ[Úroveň 7 (P0)],BD107,RZ[Úroveň 8 (P0)],BE107)</f>
        <v>0</v>
      </c>
      <c r="HC107" s="809">
        <f ca="1">SUMIFS(RZ[Sloupec64],RZ[0],AX107,RZ[Úroveň 2 (P0)],AY107,RZ[Úroveň 3 (P0)],AZ107,RZ[Úroveň 4 (P0)],BA107,RZ[Úroveň 5 (P0)],BB107,RZ[Úroveň 6 (P0)],BC107,RZ[Úroveň 7 (P0)],BD107,RZ[Úroveň 8 (P0)],BE107,RZ[Úroveň 9 (P0)],BF107)</f>
        <v>0</v>
      </c>
      <c r="HD107" s="809">
        <f ca="1">SUMIFS(RZ[Sloupec65],RZ[0],AX107,RZ[Úroveň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HE107" s="919">
        <f t="shared" ca="1" si="790"/>
        <v>1</v>
      </c>
      <c r="HF107" s="920" t="str">
        <f t="shared" si="791"/>
        <v/>
      </c>
      <c r="HG107" s="94" t="str">
        <f t="shared" si="792"/>
        <v/>
      </c>
      <c r="HH107" s="95" t="str">
        <f t="shared" si="793"/>
        <v/>
      </c>
      <c r="HI107" s="95" t="str">
        <f t="shared" si="794"/>
        <v>Pružinový tlumič</v>
      </c>
      <c r="HJ107" s="96" t="str">
        <f t="shared" si="795"/>
        <v/>
      </c>
      <c r="HK107" s="96" t="str">
        <f t="shared" si="796"/>
        <v/>
      </c>
      <c r="HL107" s="96" t="str">
        <f t="shared" si="797"/>
        <v/>
      </c>
      <c r="HM107" s="96" t="str">
        <f t="shared" si="798"/>
        <v/>
      </c>
      <c r="HN107" s="96" t="str">
        <f t="shared" si="799"/>
        <v/>
      </c>
      <c r="HO107" s="96" t="str">
        <f t="shared" si="800"/>
        <v/>
      </c>
      <c r="HP107" s="96" t="str">
        <f t="shared" si="801"/>
        <v/>
      </c>
      <c r="HQ107" s="145" t="str">
        <f t="shared" si="802"/>
        <v>STO2</v>
      </c>
      <c r="HR107" s="921" t="str">
        <f t="shared" si="803"/>
        <v/>
      </c>
      <c r="HS107" s="173">
        <f t="shared" si="804"/>
        <v>0</v>
      </c>
      <c r="HT107" s="100">
        <f t="shared" si="805"/>
        <v>0</v>
      </c>
      <c r="HU107" s="100">
        <f t="shared" si="806"/>
        <v>0</v>
      </c>
      <c r="HV107" s="908">
        <f t="shared" si="807"/>
        <v>0</v>
      </c>
      <c r="HW107" s="922">
        <f t="shared" si="808"/>
        <v>0</v>
      </c>
      <c r="HX107" s="224">
        <f t="shared" si="809"/>
        <v>0</v>
      </c>
      <c r="HY107" s="263" t="str">
        <f t="shared" si="810"/>
        <v>S</v>
      </c>
      <c r="HZ107" s="263">
        <f t="shared" si="811"/>
        <v>0</v>
      </c>
      <c r="IA107" s="150">
        <f t="shared" si="812"/>
        <v>1</v>
      </c>
      <c r="IB107" s="319">
        <f t="shared" si="813"/>
        <v>0</v>
      </c>
      <c r="IC107" s="923">
        <f t="shared" si="814"/>
        <v>0</v>
      </c>
      <c r="ID107" s="924" t="str">
        <f t="shared" ca="1" si="815"/>
        <v>OK</v>
      </c>
      <c r="IE107" s="201" t="str">
        <f t="shared" si="816"/>
        <v>ks</v>
      </c>
      <c r="IF107" s="145">
        <f t="shared" si="817"/>
        <v>4</v>
      </c>
      <c r="IG107" s="216">
        <f t="shared" si="818"/>
        <v>86</v>
      </c>
      <c r="IH107" s="217">
        <f t="shared" si="819"/>
        <v>1</v>
      </c>
      <c r="II107" s="224" t="str">
        <f ca="1">IF(RZ[[#This Row],[Rozhodný sloupec indikativní ceny]]=1,"kg",IF($IW107=$JL$15,IF(JX107=0,JO107,JX107),IF($IW107=$KE$15,IF(KQ107=0,KH107,KQ107),IF($IW107=$KX$15,IF(LJ107=0,LA107,LJ107),IF($IW107=$LQ$15,IF(MC107=0,LT107,MC107),IF($IW107=$MJ$15,IF(NQ107=0,NH107,NQ107),0))))))</f>
        <v>kg</v>
      </c>
      <c r="IJ107" s="224">
        <f ca="1">IF((BH107+OFFSET(BH107,1,1,1,1))=2,RZ[[#This Row],[Počet MJHR (P0)]],IF((BI107+OFFSET(BI107,1,1,1,1))=2,RZ[[#This Row],[Počet MJHR (P0)]],IF((BJ107+OFFSET(BJ107,1,1,1,1))=2,RZ[[#This Row],[Počet MJHR (P0)]],IF((BK107+OFFSET(BK107,1,1,1,1))=2,RZ[[#This Row],[Počet MJHR (P0)]],IF((BL107+OFFSET(BL107,1,1,1,1))=2,RZ[[#This Row],[Počet MJHR (P0)]],IF((BM107+OFFSET(BM107,1,1,1,1))=2,RZ[[#This Row],[Počet MJHR (P0)]],IF((BN107+OFFSET(BN107,1,1,1,1))=2,RZ[[#This Row],[Počet MJHR (P0)]],IF((BO107+OFFSET(BO107,1,1,1,1))=2,RZ[[#This Row],[Počet MJHR (P0)]],IF((BP107+OFFSET(BP107,1,1,1,1))=2,RZ[[#This Row],[Počet MJHR (P0)]],IF((BQ107+OFFSET(BQ107,1,1,1,1))=2,RZ[[#This Row],[Počet MJHR (P0)]],IF(RZ[[#This Row],[Měrná jednotka CR (MJCR) (P0)]]=RZ[[#This Row],[Měrná jednotka HR '[MJHR'] (P0)]],RZ[[#This Row],[Počet MJHR (P0)]],IF($IW107=$JL$15,JY107,IF($IW107=$KE$15,KR107,IF($IW107=$KX$15,LK107,IF($IW107=$LQ$15,MD107,IF($IW107=$MJ$15,NR107,0))))))))))))))))</f>
        <v>0</v>
      </c>
      <c r="IK10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344</v>
      </c>
      <c r="IL107" s="145">
        <f ca="1">IF(AND(RZ[[#This Row],[Jednotková cena bez DPH '[cena/MJCR'] (P0)]]=0,RZ[[#This Row],[Indikativní jednotková cena '[CZK/kg'] (P1)]]&lt;&gt;0),1,0)</f>
        <v>1</v>
      </c>
      <c r="IM107" s="217">
        <f ca="1">VLOOKUP(RZ[[#This Row],[Kód položek]],INDIKAT_CENA,2,FALSE)</f>
        <v>115</v>
      </c>
      <c r="IN107" s="222">
        <f ca="1">IF(RZ[[#This Row],[Rozhodný sloupec indikativní ceny]]=1,RZ[[#This Row],[Indikativní jednotková cena '[CZK/kg'] (P1)]],RZ[[#This Row],[Jednotková cena bez DPH '[cena/MJCR'] (P0)]])</f>
        <v>115</v>
      </c>
      <c r="IO107" s="222">
        <f t="shared" si="820"/>
        <v>1</v>
      </c>
      <c r="IP107" s="224">
        <f ca="1">IF(RZ[[#This Row],[Rozhodný sloupec indikativní ceny]]=1,1,IF($IW107=$JL$15,KA107,IF($IW107=$KE$15,KT107,IF($IW107=$KX$15,LM107,IF($IW107=$LQ$15,MF107,IF($IW107=$MJ$15,NT107,0))))))</f>
        <v>1</v>
      </c>
      <c r="IQ107" s="225">
        <f ca="1">IF(RZ[[#This Row],[Jednotková cena bez DPH '[cena/MJCR'] (P1)]]="",0,IF(IP107=0,0,(RZ[[#This Row],[Jednotková cena bez DPH '[cena/MJCR'] (P1)]]*VLOOKUP(IP107,$BR$7:$BT$10,3))))</f>
        <v>115</v>
      </c>
      <c r="IR107" s="737"/>
      <c r="IS107" s="627">
        <f>IF(HY107=0,"",VLOOKUP(RZ[[#This Row],[Stav Projekce (P0)]],Vstupy!$E$11:'Vstupy'!$E$11:$H$17,4,FALSE))</f>
        <v>100</v>
      </c>
      <c r="IT107" s="925" t="str">
        <f>IF(RZ[[#This Row],[Stav Projekce (P0)]]=0,"",RZ[[#This Row],[Stav Projekce (P0)]])</f>
        <v>S</v>
      </c>
      <c r="IU107" s="925" t="str">
        <f>IF(RZ[[#This Row],[Stav Nákup (P0)]]=0,"",RZ[[#This Row],[Stav Nákup (P0)]])</f>
        <v/>
      </c>
      <c r="IV107" s="926" t="str">
        <f t="shared" si="821"/>
        <v/>
      </c>
      <c r="IW107" s="641">
        <v>1</v>
      </c>
      <c r="IX107" s="630"/>
      <c r="IY107" s="264"/>
      <c r="IZ107" s="648"/>
      <c r="JA107" s="100"/>
      <c r="JB107" s="100" t="s">
        <v>780</v>
      </c>
      <c r="JC107" s="100"/>
      <c r="JD107" s="100"/>
      <c r="JE107" s="100"/>
      <c r="JF107" s="100"/>
      <c r="JG107" s="100"/>
      <c r="JH107" s="100"/>
      <c r="JI107" s="100"/>
      <c r="JJ107" s="145" t="s">
        <v>773</v>
      </c>
      <c r="JK107" s="529"/>
      <c r="JL107" s="286"/>
      <c r="JM107" s="100"/>
      <c r="JN107" s="100"/>
      <c r="JO107" s="145" t="s">
        <v>35</v>
      </c>
      <c r="JP107" s="117">
        <v>4</v>
      </c>
      <c r="JQ107" s="117">
        <v>86</v>
      </c>
      <c r="JR107" s="148">
        <v>1</v>
      </c>
      <c r="JS107" s="145" t="s">
        <v>602</v>
      </c>
      <c r="JT107" s="631"/>
      <c r="JU107" s="148"/>
      <c r="JV107" s="154"/>
      <c r="JW107" s="145"/>
      <c r="JX107" s="210"/>
      <c r="JY107" s="117"/>
      <c r="JZ107" s="662"/>
      <c r="KA107" s="145"/>
      <c r="KB107" s="148"/>
      <c r="KC107" s="148"/>
      <c r="KD107" s="644"/>
      <c r="KE107" s="286"/>
      <c r="KF107" s="100"/>
      <c r="KG107" s="100"/>
      <c r="KH107" s="210"/>
      <c r="KI107" s="117"/>
      <c r="KJ107" s="117"/>
      <c r="KK107" s="148"/>
      <c r="KL107" s="145"/>
      <c r="KM107" s="632"/>
      <c r="KN107" s="148"/>
      <c r="KO107" s="154"/>
      <c r="KP107" s="154"/>
      <c r="KQ107" s="210"/>
      <c r="KR107" s="117"/>
      <c r="KS107" s="211"/>
      <c r="KT107" s="145"/>
      <c r="KU107" s="148"/>
      <c r="KV107" s="148"/>
      <c r="KW107" s="265"/>
      <c r="KX107" s="286"/>
      <c r="KY107" s="100"/>
      <c r="KZ107" s="100"/>
      <c r="LA107" s="210"/>
      <c r="LB107" s="117"/>
      <c r="LC107" s="117"/>
      <c r="LD107" s="148"/>
      <c r="LE107" s="145"/>
      <c r="LF107" s="632"/>
      <c r="LG107" s="148"/>
      <c r="LH107" s="154"/>
      <c r="LI107" s="154"/>
      <c r="LJ107" s="154"/>
      <c r="LK107" s="117"/>
      <c r="LL107" s="211"/>
      <c r="LM107" s="210"/>
      <c r="LN107" s="148"/>
      <c r="LO107" s="148"/>
      <c r="LP107" s="265"/>
      <c r="LQ107" s="286"/>
      <c r="LR107" s="100"/>
      <c r="LS107" s="100"/>
      <c r="LT107" s="210"/>
      <c r="LU107" s="117"/>
      <c r="LV107" s="117"/>
      <c r="LW107" s="148"/>
      <c r="LX107" s="145"/>
      <c r="LY107" s="632"/>
      <c r="LZ107" s="148"/>
      <c r="MA107" s="154"/>
      <c r="MB107" s="154"/>
      <c r="MC107" s="145"/>
      <c r="MD107" s="117"/>
      <c r="ME107" s="211"/>
      <c r="MF107" s="210"/>
      <c r="MG107" s="148"/>
      <c r="MH107" s="148"/>
      <c r="MI107" s="265"/>
      <c r="MJ107" s="647"/>
      <c r="MK107" s="264"/>
      <c r="ML107" s="153"/>
      <c r="MM107" s="153"/>
      <c r="MN107" s="153"/>
      <c r="MO107" s="153"/>
      <c r="MP107" s="153"/>
      <c r="MQ107" s="153"/>
      <c r="MR107" s="153"/>
      <c r="MS107" s="99"/>
      <c r="MT107" s="99"/>
      <c r="MU107" s="99"/>
      <c r="MV107" s="99"/>
      <c r="MW107" s="99"/>
      <c r="MX107" s="99"/>
      <c r="MY107" s="153"/>
      <c r="MZ107" s="153"/>
      <c r="NA107" s="153"/>
      <c r="NB107" s="153"/>
      <c r="NC107" s="153"/>
      <c r="ND107" s="153"/>
      <c r="NE107" s="148"/>
      <c r="NF107" s="145"/>
      <c r="NG107" s="145"/>
      <c r="NH107" s="330" t="str">
        <f t="shared" si="822"/>
        <v>ks</v>
      </c>
      <c r="NI107" s="797">
        <f>RZ[[#This Row],[Počet ks (K)]]</f>
        <v>0</v>
      </c>
      <c r="NJ107" s="798">
        <f>RZ[[#This Row],[Hmotnost '[kg/ks'] (K)]]</f>
        <v>0</v>
      </c>
      <c r="NK107" s="148"/>
      <c r="NL107" s="145"/>
      <c r="NM107" s="632"/>
      <c r="NN107" s="148"/>
      <c r="NO107" s="154"/>
      <c r="NP107" s="154"/>
      <c r="NQ107" s="154"/>
      <c r="NR107" s="210"/>
      <c r="NS107" s="148"/>
      <c r="NT107" s="210"/>
      <c r="NU107" s="148"/>
      <c r="NV107" s="148"/>
      <c r="NW107" s="265"/>
    </row>
    <row r="108" spans="2:387" ht="15.95" customHeight="1" x14ac:dyDescent="0.35">
      <c r="B108" s="118" t="str">
        <f t="shared" si="706"/>
        <v/>
      </c>
      <c r="C10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8" s="262" t="str">
        <f t="shared" si="707"/>
        <v xml:space="preserve">    Brzda posuvu mostu</v>
      </c>
      <c r="E108" s="120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Row],[Kód položek (P2)]]))))))))))</f>
        <v>STBR</v>
      </c>
      <c r="F108" s="791" t="str">
        <f t="shared" si="708"/>
        <v>N/A</v>
      </c>
      <c r="G108" s="792" t="str">
        <f t="shared" si="709"/>
        <v/>
      </c>
      <c r="H108" s="262" t="str">
        <f t="shared" si="710"/>
        <v/>
      </c>
      <c r="I108" s="123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HR '[MJHR'] (P0)]]))))))))))</f>
        <v>ks</v>
      </c>
      <c r="J108" s="123">
        <f t="shared" si="711"/>
        <v>2</v>
      </c>
      <c r="K108" s="793">
        <f>RZ[[#This Row],[Koeficient odhadu HR '[-'] (P1)]]</f>
        <v>1</v>
      </c>
      <c r="L108" s="124">
        <f ca="1">RZ[[#This Row],[Jednotková hmotnost s koef. '[kg/MJHR'] (P0)]]</f>
        <v>157.1</v>
      </c>
      <c r="M108" s="794">
        <f t="shared" ca="1" si="712"/>
        <v>0</v>
      </c>
      <c r="N108" s="125">
        <f t="shared" ca="1" si="713"/>
        <v>314.2</v>
      </c>
      <c r="O108" s="125">
        <f t="shared" ca="1" si="714"/>
        <v>0</v>
      </c>
      <c r="P108" s="126" t="str">
        <f t="shared" si="715"/>
        <v/>
      </c>
      <c r="Q108" s="795">
        <f ca="1">RZ[[#This Row],[Počet MJHR v rozpadu (P0)]]</f>
        <v>2</v>
      </c>
      <c r="R108" s="439" t="str">
        <f t="shared" si="716"/>
        <v>Zajíc</v>
      </c>
      <c r="S108" s="129">
        <f t="shared" si="717"/>
        <v>42950.611550925925</v>
      </c>
      <c r="T108" s="126" t="str">
        <f t="shared" si="718"/>
        <v/>
      </c>
      <c r="U108" s="126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CR (MJCR) (P0)]]))))))))))</f>
        <v>ks</v>
      </c>
      <c r="V108" s="575">
        <f t="shared" ca="1" si="719"/>
        <v>2</v>
      </c>
      <c r="W108" s="322">
        <f>RZ[[#This Row],[Koeficient odhadu CR '[-'] (P1)]]</f>
        <v>1</v>
      </c>
      <c r="X108" s="440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Row],[Jednotková cena bez DPH '[cena/MJCR'] (P1)]]*RZ[[#This Row],[Koeficient odhadu CR '[-']]]))))))))))</f>
        <v>55000</v>
      </c>
      <c r="Y108" s="440">
        <f t="shared" ca="1" si="720"/>
        <v>0</v>
      </c>
      <c r="Z108" s="142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VLOOKUP(IP108,$BR$7:$BS$11,2,FALSE)))))))))))</f>
        <v>CZK</v>
      </c>
      <c r="AA108" s="909">
        <f t="shared" ca="1" si="721"/>
        <v>2</v>
      </c>
      <c r="AB108" s="910">
        <f ca="1">RZ[[#This Row],[Kumulovaný koeficient v rozpadu (P0)]]</f>
        <v>1</v>
      </c>
      <c r="AC108" s="261"/>
      <c r="AD108" s="796">
        <f ca="1">RZ[[#This Row],[Jednotková cena bez DPH '[cena/MJCR'] s koef. (P0)]]/RZ[[#This Row],[Koeficient odhadu CR '[-']]]*RZ[[#This Row],[Kumulovaný koeficient odhadu CR  '[-']]]</f>
        <v>55000</v>
      </c>
      <c r="AE108" s="796">
        <f t="shared" ca="1" si="722"/>
        <v>110000</v>
      </c>
      <c r="AF108" s="796">
        <f ca="1">-IF(ISNUMBER(AA108),RZ[[#This Row],[Celková cena bez DPH (1)]]-RZ[[#This Row],[Jednotková cena bez DPH '[cena/MJCR'] bez koef. (P0)]]*AA108,0)</f>
        <v>0</v>
      </c>
      <c r="AG10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8" s="261"/>
      <c r="AI108" s="796">
        <f t="shared" ca="1" si="723"/>
        <v>2037.037037037037</v>
      </c>
      <c r="AJ108" s="796">
        <f t="shared" ca="1" si="724"/>
        <v>4074.0740740740739</v>
      </c>
      <c r="AK108" s="796">
        <f t="shared" ca="1" si="725"/>
        <v>0</v>
      </c>
      <c r="AL108" s="753">
        <f ca="1">RZ[[#This Row],[Kilogramová cena bez DPH '[cena/kg'] (1)]]/$AK$13</f>
        <v>12.966499280948677</v>
      </c>
      <c r="AM108" s="261"/>
      <c r="AN108" s="796">
        <f t="shared" ca="1" si="726"/>
        <v>2657.0048309178746</v>
      </c>
      <c r="AO108" s="796">
        <f t="shared" ca="1" si="727"/>
        <v>5314.0096618357493</v>
      </c>
      <c r="AP108" s="796">
        <f t="shared" ca="1" si="728"/>
        <v>0</v>
      </c>
      <c r="AQ108" s="753">
        <f ca="1">RZ[[#This Row],[Kilogramová cena bez DPH '[cena/kg'] (1)]]/$AP$13</f>
        <v>16.91282514906349</v>
      </c>
      <c r="AR108" s="261"/>
      <c r="AS108" s="796">
        <f t="shared" ca="1" si="729"/>
        <v>1504.3763676148797</v>
      </c>
      <c r="AT108" s="796">
        <f t="shared" ca="1" si="730"/>
        <v>3008.7527352297593</v>
      </c>
      <c r="AU108" s="789">
        <f t="shared" ca="1" si="731"/>
        <v>0</v>
      </c>
      <c r="AV108" s="767">
        <f ca="1">RZ[[#This Row],[Kilogramová cena bez DPH '[cena/kg'] (1)]]/$AU$13</f>
        <v>9.5759157709413092</v>
      </c>
      <c r="AW108" s="165"/>
      <c r="AX108" s="911">
        <f t="shared" ca="1" si="732"/>
        <v>2</v>
      </c>
      <c r="AY108" s="111">
        <f t="shared" ca="1" si="733"/>
        <v>8</v>
      </c>
      <c r="AZ108" s="111">
        <f t="shared" ca="1" si="734"/>
        <v>8</v>
      </c>
      <c r="BA108" s="111">
        <f t="shared" ca="1" si="735"/>
        <v>0</v>
      </c>
      <c r="BB108" s="111">
        <f t="shared" ca="1" si="736"/>
        <v>0</v>
      </c>
      <c r="BC108" s="111">
        <f t="shared" ca="1" si="737"/>
        <v>0</v>
      </c>
      <c r="BD108" s="111">
        <f t="shared" ca="1" si="738"/>
        <v>0</v>
      </c>
      <c r="BE108" s="111">
        <f t="shared" ca="1" si="739"/>
        <v>0</v>
      </c>
      <c r="BF108" s="111">
        <f t="shared" ca="1" si="740"/>
        <v>0</v>
      </c>
      <c r="BG108" s="112">
        <f t="shared" ca="1" si="741"/>
        <v>0</v>
      </c>
      <c r="BH108" s="911">
        <f t="shared" si="742"/>
        <v>0</v>
      </c>
      <c r="BI108" s="111">
        <f t="shared" si="743"/>
        <v>0</v>
      </c>
      <c r="BJ108" s="111">
        <f t="shared" si="744"/>
        <v>1</v>
      </c>
      <c r="BK108" s="111">
        <f t="shared" si="745"/>
        <v>0</v>
      </c>
      <c r="BL108" s="111">
        <f t="shared" si="746"/>
        <v>0</v>
      </c>
      <c r="BM108" s="111">
        <f t="shared" si="747"/>
        <v>0</v>
      </c>
      <c r="BN108" s="111">
        <f t="shared" si="748"/>
        <v>0</v>
      </c>
      <c r="BO108" s="111">
        <f t="shared" si="749"/>
        <v>0</v>
      </c>
      <c r="BP108" s="111">
        <f t="shared" si="750"/>
        <v>0</v>
      </c>
      <c r="BQ108" s="112">
        <f t="shared" si="751"/>
        <v>0</v>
      </c>
      <c r="BR108" s="132">
        <f ca="1">IF(OFFSET(AY108,1,0,1,1)&lt;&gt;0,RZ[[#This Row],[Koeficient odhadu HR '[-'] (P1)]]*$BH108*SUMIFS(RZ[Úroveň 2 s koef. (P2)],RZ[0],AX108),RZ[[#This Row],[Koeficient odhadu HR '[-'] (P1)]]*$BH108*$IG108)</f>
        <v>0</v>
      </c>
      <c r="BS108" s="186">
        <f ca="1">IF(OFFSET(AY108,1,0,1,1)&lt;&gt;0,$BH108*SUMIFS(RZ[Úroveň 2 bez koef. (P2)],RZ[0],AX108),$BH108*$IG108)</f>
        <v>0</v>
      </c>
      <c r="BT108" s="138">
        <f ca="1">RZ[[#This Row],[Úroveň 2 s koef. (P2a)]]*RZ[[#This Row],[Počet MJHR (P0)]]</f>
        <v>0</v>
      </c>
      <c r="BU108" s="138">
        <f ca="1">RZ[[#This Row],[Úroveň 2 bez koef. (P2a)]]*RZ[[#This Row],[Počet MJHR (P0)]]</f>
        <v>0</v>
      </c>
      <c r="BV108" s="138">
        <f ca="1">IF(OFFSET(AZ108,1,0,1,1)&lt;&gt;0,RZ[[#This Row],[Koeficient odhadu HR '[-'] (P1)]]*$BI108*SUMIFS(RZ[Úroveň 3 s koef. (P2)],RZ[0],AX108,RZ[Úroveň 2 (P0)],AY108),RZ[[#This Row],[Koeficient odhadu HR '[-'] (P1)]]*$BI108*$IG108)</f>
        <v>0</v>
      </c>
      <c r="BW108" s="138">
        <f ca="1">IF(OFFSET(AZ108,1,0,1,1)&lt;&gt;0,$BI108*SUMIFS(RZ[Úroveň 3 bez koef. (P2)],RZ[0],AX108,RZ[Úroveň 2 (P0)],AY108),$BI108*$IG108)</f>
        <v>0</v>
      </c>
      <c r="BX108" s="132">
        <f ca="1">RZ[[#This Row],[Úroveň 3 s koef. (P2a)]]*RZ[[#This Row],[Počet MJHR (P0)]]</f>
        <v>314.2</v>
      </c>
      <c r="BY108" s="132">
        <f ca="1">RZ[Úroveň 3 bez koef. (P2a)]*RZ[[#This Row],[Počet MJHR (P0)]]</f>
        <v>314.2</v>
      </c>
      <c r="BZ108" s="132">
        <f ca="1">IF(OFFSET(BA108,1,0,1,1)&lt;&gt;0,RZ[[#This Row],[Koeficient odhadu HR '[-'] (P1)]]*$BJ108*SUMIFS(RZ[Úroveň 4 s koef. (P2)],RZ[0],AX108,RZ[Úroveň 2 (P0)],AY108,RZ[Úroveň 3 (P0)],AZ108),RZ[[#This Row],[Koeficient odhadu HR '[-'] (P1)]]*$BJ108*$IG108)</f>
        <v>157.1</v>
      </c>
      <c r="CA108" s="132">
        <f ca="1">IF(OFFSET(BA108,1,0,1,1)&lt;&gt;0,$BJ108*SUMIFS(RZ[Úroveň 4 bez koef. (P2)],RZ[0],AX108,RZ[Úroveň 2 (P0)],AY108,RZ[Úroveň 3 (P0)],AZ108),$BJ108*$IG108)</f>
        <v>157.1</v>
      </c>
      <c r="CB108" s="138">
        <f ca="1">RZ[[#This Row],[Úroveň 4 s koef. (P2a)]]*RZ[[#This Row],[Počet MJHR (P0)]]</f>
        <v>0</v>
      </c>
      <c r="CC108" s="138">
        <f ca="1">RZ[Úroveň 4 bez koef. (P2a)]*RZ[[#This Row],[Počet MJHR (P0)]]</f>
        <v>0</v>
      </c>
      <c r="CD108" s="138">
        <f ca="1">IF(OFFSET(BB108,1,0,1,1)&lt;&gt;0,RZ[[#This Row],[Koeficient odhadu HR '[-'] (P1)]]*$BK108*SUMIFS(RZ[Úroveň 5 s koef. (P2)],RZ[0],AX108,RZ[Úroveň 2 (P0)],AY108,RZ[Úroveň 3 (P0)],AZ108,RZ[Úroveň 4 (P0)],BA108),RZ[[#This Row],[Koeficient odhadu HR '[-'] (P1)]]*$BK108*$IG108)</f>
        <v>0</v>
      </c>
      <c r="CE108" s="138">
        <f ca="1">IF(OFFSET(BB108,1,0,1,1)&lt;&gt;0,$BK108*SUMIFS(RZ[Úroveň 5 bez koef. (P2)],RZ[0],AX108,RZ[Úroveň 2 (P0)],AY108,RZ[Úroveň 3 (P0)],AZ108,RZ[Úroveň 4 (P0)],BA108),$BK108*$IG108)</f>
        <v>0</v>
      </c>
      <c r="CF108" s="132">
        <f ca="1">RZ[[#This Row],[Úroveň 5 s koef. (P2a)]]*RZ[[#This Row],[Počet MJHR (P0)]]</f>
        <v>0</v>
      </c>
      <c r="CG108" s="132">
        <f ca="1">RZ[Úroveň 5 bez koef. (P2a)]*RZ[[#This Row],[Počet MJHR (P0)]]</f>
        <v>0</v>
      </c>
      <c r="CH108" s="132">
        <f ca="1">IF(OFFSET(BC108,1,0,1,1)&lt;&gt;0,RZ[[#This Row],[Koeficient odhadu HR '[-'] (P1)]]*$BL108*SUMIFS(RZ[Úroveň 6 s koef. (P2)],RZ[0],AX108,RZ[Úroveň 2 (P0)],AY108,RZ[Úroveň 3 (P0)],AZ108,RZ[Úroveň 4 (P0)],BA108,RZ[Úroveň 5 (P0)],BB108),RZ[[#This Row],[Koeficient odhadu HR '[-'] (P1)]]*$BL108*$IG108)</f>
        <v>0</v>
      </c>
      <c r="CI108" s="132">
        <f ca="1">IF(OFFSET(BC108,1,0,1,1)&lt;&gt;0,$BL108*SUMIFS(RZ[Úroveň 6 bez koef. (P2)],RZ[0],AX108,RZ[Úroveň 2 (P0)],AY108,RZ[Úroveň 3 (P0)],AZ108,RZ[Úroveň 4 (P0)],BA108,RZ[Úroveň 5 (P0)],BB108),$BL108*$IG108)</f>
        <v>0</v>
      </c>
      <c r="CJ108" s="138">
        <f ca="1">RZ[[#This Row],[Úroveň 6 s koef. (P2a)]]*RZ[[#This Row],[Počet MJHR (P0)]]</f>
        <v>0</v>
      </c>
      <c r="CK108" s="138">
        <f ca="1">RZ[Úroveň 6 bez koef. (P2a)]*RZ[[#This Row],[Počet MJHR (P0)]]</f>
        <v>0</v>
      </c>
      <c r="CL108" s="138">
        <f ca="1">IF(OFFSET(BD108,1,0,1,1)&lt;&gt;0,RZ[[#This Row],[Koeficient odhadu HR '[-'] (P1)]]*$BM108*SUMIFS(RZ[Úroveň 7 s koef. (P2)],RZ[0],AX108,RZ[Úroveň 2 (P0)],AY108,RZ[Úroveň 3 (P0)],AZ108,RZ[Úroveň 4 (P0)],BA108,RZ[Úroveň 5 (P0)],BB108,RZ[Úroveň 6 (P0)],BC108),RZ[[#This Row],[Koeficient odhadu HR '[-'] (P1)]]*$BM108*$IG108)</f>
        <v>0</v>
      </c>
      <c r="CM108" s="138">
        <f ca="1">IF(OFFSET(BD108,1,0,1,1)&lt;&gt;0,$BM108*SUMIFS(RZ[Úroveň 7 bez koef. (P2)],RZ[0],AX108,RZ[Úroveň 2 (P0)],AY108,RZ[Úroveň 3 (P0)],AZ108,RZ[Úroveň 4 (P0)],BA108,RZ[Úroveň 5 (P0)],BB108,RZ[Úroveň 6 (P0)],BC108),$BM108*$IG108)</f>
        <v>0</v>
      </c>
      <c r="CN108" s="132">
        <f ca="1">RZ[[#This Row],[Úroveň 7 s koef. (P2a)]]*RZ[[#This Row],[Počet MJHR (P0)]]</f>
        <v>0</v>
      </c>
      <c r="CO108" s="132">
        <f ca="1">RZ[Úroveň 7 bez koef. (P2a)]*RZ[[#This Row],[Počet MJHR (P0)]]</f>
        <v>0</v>
      </c>
      <c r="CP108" s="132">
        <f ca="1">IF(OFFSET(BE108,1,0,1,1)&lt;&gt;0,RZ[[#This Row],[Koeficient odhadu HR '[-'] (P1)]]*$BN108*SUMIFS(RZ[Úroveň 8 s koef. (P2)],RZ[0],AX108,RZ[Úroveň 2 (P0)],AY108,RZ[Úroveň 3 (P0)],AZ108,RZ[Úroveň 4 (P0)],BA108,RZ[Úroveň 5 (P0)],BB108,RZ[Úroveň 6 (P0)],BC108,RZ[Úroveň 7 (P0)],BD108),RZ[[#This Row],[Koeficient odhadu HR '[-'] (P1)]]*$BN108*$IG108)</f>
        <v>0</v>
      </c>
      <c r="CQ108" s="132">
        <f ca="1">IF(OFFSET(BE108,1,0,1,1)&lt;&gt;0,$BN108*SUMIFS(RZ[Úroveň 8 bez koef. (P2)],RZ[0],AX108,RZ[Úroveň 2 (P0)],AY108,RZ[Úroveň 3 (P0)],AZ108,RZ[Úroveň 4 (P0)],BA108,RZ[Úroveň 5 (P0)],BB108,RZ[Úroveň 6 (P0)],BC108,RZ[Úroveň 7 (P0)],BD108),$BN108*$IG108)</f>
        <v>0</v>
      </c>
      <c r="CR108" s="138">
        <f ca="1">RZ[[#This Row],[Úroveň 8 s koef. (P2a)]]*RZ[[#This Row],[Počet MJHR (P0)]]</f>
        <v>0</v>
      </c>
      <c r="CS108" s="138">
        <f ca="1">RZ[Úroveň 8 bez koef. (P2a)]*RZ[[#This Row],[Počet MJHR (P0)]]</f>
        <v>0</v>
      </c>
      <c r="CT108" s="138">
        <f ca="1">IF(OFFSET(BF108,1,0,1,1)&lt;&gt;0,RZ[[#This Row],[Koeficient odhadu HR '[-'] (P1)]]*$BO108*SUMIFS(RZ[Úroveň 9 s koef. (P2)],RZ[0],AX108,RZ[Úroveň 2 (P0)],AY108,RZ[Úroveň 3 (P0)],AZ108,RZ[Úroveň 4 (P0)],BA108,RZ[Úroveň 5 (P0)],BB108,RZ[Úroveň 6 (P0)],BC108,RZ[Úroveň 7 (P0)],BD108,RZ[Úroveň 8 (P0)],BE108),RZ[[#This Row],[Koeficient odhadu HR '[-'] (P1)]]*$BO108*$IG108)</f>
        <v>0</v>
      </c>
      <c r="CU108" s="138">
        <f ca="1">IF(OFFSET(BF108,1,0,1,1)&lt;&gt;0,$BO108*SUMIFS(RZ[Úroveň 9 bez koef. (P2)],RZ[0],AX108,RZ[Úroveň 2 (P0)],AY108,RZ[Úroveň 3 (P0)],AZ108,RZ[Úroveň 4 (P0)],BA108,RZ[Úroveň 5 (P0)],BB108,RZ[Úroveň 6 (P0)],BC108,RZ[Úroveň 7 (P0)],BD108,RZ[Úroveň 8 (P0)],BE108),$BO108*$IG108)</f>
        <v>0</v>
      </c>
      <c r="CV108" s="132">
        <f ca="1">RZ[[#This Row],[Úroveň 9 s koef. (P2a)]]*RZ[[#This Row],[Počet MJHR (P0)]]</f>
        <v>0</v>
      </c>
      <c r="CW108" s="132">
        <f ca="1">RZ[Úroveň 9 bez koef. (P2a)]*RZ[[#This Row],[Počet MJHR (P0)]]</f>
        <v>0</v>
      </c>
      <c r="CX108" s="132">
        <f ca="1">IF(OFFSET(BG108,1,0,1,1)&lt;&gt;0,RZ[[#This Row],[Koeficient odhadu HR '[-'] (P1)]]*$BP108*SUMIFS(RZ[Úroveň 10 s koef. (P2)],RZ[0],AX108,RZ[Úroveň 2 (P0)],AY108,RZ[Úroveň 3 (P0)],AZ108,RZ[Úroveň 4 (P0)],BA108,RZ[Úroveň 5 (P0)],BB108,RZ[Úroveň 6 (P0)],BC108,RZ[Úroveň 7 (P0)],BD108,RZ[Úroveň 8 (P0)],BE108,RZ[Úroveň 9 (P0)],BF108),RZ[[#This Row],[Koeficient odhadu HR '[-'] (P1)]]*$BP108*$IG108)</f>
        <v>0</v>
      </c>
      <c r="CY108" s="132">
        <f ca="1">IF(OFFSET(BG108,1,0,1,1)&lt;&gt;0,$BP108*SUMIFS(RZ[Úroveň 10 bez koef. (P2)],RZ[0],AX108,RZ[Úroveň 2 (P0)],AY108,RZ[Úroveň 3 (P0)],AZ108,RZ[Úroveň 4 (P0)],BA108,RZ[Úroveň 5 (P0)],BB108,RZ[Úroveň 6 (P0)],BC108,RZ[Úroveň 7 (P0)],BD108,RZ[Úroveň 8 (P0)],BE108,RZ[Úroveň 9 (P0)],BF108),$BP108*$IG108)</f>
        <v>0</v>
      </c>
      <c r="CZ108" s="138">
        <f>RZ[[#This Row],[Úroveň 10 s koef. (P2a)]]*RZ[[#This Row],[Počet MJHR (P0)]]</f>
        <v>0</v>
      </c>
      <c r="DA108" s="138">
        <f>RZ[Úroveň 10 bez koef. (P2a)]*RZ[[#This Row],[Počet MJHR (P0)]]</f>
        <v>0</v>
      </c>
      <c r="DB108" s="138">
        <f>RZ[[#This Row],[Koeficient odhadu HR '[-'] (P1)]]*$BQ108*IG108</f>
        <v>0</v>
      </c>
      <c r="DC108" s="231">
        <f t="shared" si="752"/>
        <v>0</v>
      </c>
      <c r="DD108" s="241">
        <f t="shared" ca="1" si="753"/>
        <v>157.1</v>
      </c>
      <c r="DE108" s="229">
        <f t="shared" ca="1" si="754"/>
        <v>157.1</v>
      </c>
      <c r="DF108" s="912">
        <f t="shared" si="755"/>
        <v>0</v>
      </c>
      <c r="DG108" s="913">
        <f t="shared" si="756"/>
        <v>0</v>
      </c>
      <c r="DH108" s="913">
        <f t="shared" si="757"/>
        <v>2</v>
      </c>
      <c r="DI108" s="913">
        <f t="shared" si="758"/>
        <v>0</v>
      </c>
      <c r="DJ108" s="913">
        <f t="shared" si="759"/>
        <v>0</v>
      </c>
      <c r="DK108" s="913">
        <f t="shared" si="760"/>
        <v>0</v>
      </c>
      <c r="DL108" s="913">
        <f t="shared" si="761"/>
        <v>0</v>
      </c>
      <c r="DM108" s="913">
        <f t="shared" si="762"/>
        <v>0</v>
      </c>
      <c r="DN108" s="913">
        <f t="shared" si="763"/>
        <v>0</v>
      </c>
      <c r="DO108" s="913">
        <f t="shared" si="764"/>
        <v>0</v>
      </c>
      <c r="DP108" s="914">
        <f ca="1">SUMIFS(RZ[Úroveň 1 (P4)],RZ[0],AX108)</f>
        <v>1</v>
      </c>
      <c r="DQ108" s="914">
        <f ca="1">SUMIFS(RZ[Úroveň 2 (P4)],RZ[0],AX108,RZ[Úroveň 2 (P0)],AY108)</f>
        <v>1</v>
      </c>
      <c r="DR108" s="914">
        <f ca="1">SUMIFS(RZ[Úroveň 3 (P4)],RZ[0],AX108,RZ[Úroveň 2 (P0)],AY108,RZ[Úroveň 3 (P0)],AZ108)</f>
        <v>2</v>
      </c>
      <c r="DS108" s="914">
        <f ca="1">SUMIFS(RZ[Úroveň 4 (P4)],RZ[0],AX108,RZ[Úroveň 2 (P0)],AY108,RZ[Úroveň 3 (P0)],AZ108,RZ[Úroveň 4 (P0)],BA108)</f>
        <v>0</v>
      </c>
      <c r="DT108" s="914">
        <f ca="1">SUMIFS(RZ[Úroveň 5 (P4)],RZ[0],AX108,RZ[Úroveň 2 (P0)],AY108,RZ[Úroveň 3 (P0)],AZ108,RZ[Úroveň 4 (P0)],BA108,RZ[Úroveň 5 (P0)],BB108)</f>
        <v>0</v>
      </c>
      <c r="DU108" s="914">
        <f ca="1">SUMIFS(RZ[Úroveň 6 (P4)],RZ[0],AX108,RZ[Úroveň 2 (P0)],AY108,RZ[Úroveň 3 (P0)],AZ108,RZ[Úroveň 4 (P0)],BA108,RZ[Úroveň 5 (P0)],BB108,RZ[Úroveň 6 (P0)],BC108)</f>
        <v>0</v>
      </c>
      <c r="DV108" s="914">
        <f ca="1">SUMIFS(RZ[Úroveň 7 (P4)],RZ[0],AX108,RZ[Úroveň 2 (P0)],AY108,RZ[Úroveň 3 (P0)],AZ108,RZ[Úroveň 4 (P0)],BA108,RZ[Úroveň 5 (P0)],BB108,RZ[Úroveň 6 (P0)],BC108,RZ[Úroveň 7 (P0)],BD108)</f>
        <v>0</v>
      </c>
      <c r="DW108" s="914">
        <f ca="1">SUMIFS(RZ[Úroveň 8 (P4)],RZ[0],AX108,RZ[Úroveň 2 (P0)],AY108,RZ[Úroveň 3 (P0)],AZ108,RZ[Úroveň 4 (P0)],BA108,RZ[Úroveň 5 (P0)],BB108,RZ[Úroveň 6 (P0)],BC108,RZ[Úroveň 7 (P0)],BD108,RZ[Úroveň 8 (P0)],BE108)</f>
        <v>0</v>
      </c>
      <c r="DX108" s="914">
        <f ca="1">SUMIFS(RZ[Úroveň 9 (P4)],RZ[0],AX108,RZ[Úroveň 2 (P0)],AY108,RZ[Úroveň 3 (P0)],AZ108,RZ[Úroveň 4 (P0)],BA108,RZ[Úroveň 5 (P0)],BB108,RZ[Úroveň 6 (P0)],BC108,RZ[Úroveň 7 (P0)],BD108,RZ[Úroveň 8 (P0)],BE108,RZ[Úroveň 9 (P0)],BF108)</f>
        <v>0</v>
      </c>
      <c r="DY108" s="914">
        <f ca="1">SUMIFS(RZ[Úroveň 10 (P4)],RZ[0],AX108,RZ[Úroveň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DZ108" s="915">
        <f t="shared" ca="1" si="765"/>
        <v>2</v>
      </c>
      <c r="EA108" s="916">
        <f ca="1">RZ[[#This Row],[Jednotková hmotnost bez koef. '[kg/MJHR'] (P0)]]*RZ[[#This Row],[Počet MJHR v rozpadu (P0)]]</f>
        <v>314.2</v>
      </c>
      <c r="EB108" s="917">
        <f ca="1">IF(OFFSET(AY108,1,0,1,1)&lt;&gt;0,RZ[[#This Row],[Koeficient odhadu CR '[-'] (P1)]]*$BH108*SUMIFS(RZ[Úroveň 2 s koef. (P3)],RZ[0],AX108),RZ[[#This Row],[Koeficient odhadu CR '[-'] (P1)]]*$BH108*$IQ108)</f>
        <v>0</v>
      </c>
      <c r="EC108" s="191">
        <f ca="1">IF(OFFSET(AY108,1,0,1,1)&lt;&gt;0,$BH108*SUMIFS(RZ[Úroveň 2 bez koef. (P3)],RZ[0],AX108),$BH108*$IQ108)</f>
        <v>0</v>
      </c>
      <c r="ED108" s="140">
        <f ca="1">RZ[[#This Row],[Úroveň 2 s koef. (P3a)]]*RZ[[#This Row],[Počet MJCR (P0) pro "kg"]]</f>
        <v>0</v>
      </c>
      <c r="EE108" s="140">
        <f ca="1">RZ[Úroveň 2 bez koef. (P3a)]*RZ[[#This Row],[Počet MJCR (P0) pro "kg"]]</f>
        <v>0</v>
      </c>
      <c r="EF108" s="140">
        <f ca="1">IF(OFFSET(AZ108,1,0,1,1)&lt;&gt;0,RZ[[#This Row],[Koeficient odhadu CR '[-'] (P1)]]*$BI108*SUMIFS(RZ[Úroveň 3 s koef. (P3)],RZ[0],AX108,RZ[Úroveň 2 (P0)],AY108),RZ[[#This Row],[Koeficient odhadu CR '[-'] (P1)]]*$BI108*$IQ108)</f>
        <v>0</v>
      </c>
      <c r="EG108" s="140">
        <f ca="1">IF(OFFSET(AZ108,1,0,1,1)&lt;&gt;0,$BI108*SUMIFS(RZ[Úroveň 3 bez koef. (P3)],RZ[0],AX108,RZ[Úroveň 2 (P0)],AY108),$BI108*$IQ108)</f>
        <v>0</v>
      </c>
      <c r="EH108" s="135">
        <f ca="1">RZ[[#This Row],[Úroveň 3 s koef. (P3a)]]*RZ[[#This Row],[Počet MJCR (P0) pro "kg"]]</f>
        <v>110000</v>
      </c>
      <c r="EI108" s="135">
        <f ca="1">RZ[Úroveň 3 bez koef. (P3a)]*RZ[[#This Row],[Počet MJCR (P0) pro "kg"]]</f>
        <v>110000</v>
      </c>
      <c r="EJ108" s="135">
        <f ca="1">IF(OFFSET(BA108,1,0,1,1)&lt;&gt;0,RZ[[#This Row],[Koeficient odhadu CR '[-'] (P1)]]*$BJ108*SUMIFS(RZ[Úroveň 4 s koef. (P3)],RZ[0],AX108,RZ[Úroveň 2 (P0)],AY108,RZ[Úroveň 3 (P0)],AZ108),RZ[[#This Row],[Koeficient odhadu CR '[-'] (P1)]]*$BJ108*$IQ108)</f>
        <v>55000</v>
      </c>
      <c r="EK108" s="135">
        <f ca="1">IF(OFFSET(BA108,1,0,1,1)&lt;&gt;0,$BJ108*SUMIFS(RZ[Úroveň 4 bez koef. (P3)],RZ[0],AX108,RZ[Úroveň 2 (P0)],AY108,RZ[Úroveň 3 (P0)],AZ108),$BJ108*$IQ108)</f>
        <v>55000</v>
      </c>
      <c r="EL108" s="140">
        <f ca="1">RZ[[#This Row],[Úroveň 4 s koef. (P3a)]]*RZ[[#This Row],[Počet MJCR (P0) pro "kg"]]</f>
        <v>0</v>
      </c>
      <c r="EM108" s="140">
        <f ca="1">RZ[Úroveň 4 bez koef. (P3a)]*RZ[[#This Row],[Počet MJCR (P0) pro "kg"]]</f>
        <v>0</v>
      </c>
      <c r="EN108" s="140">
        <f ca="1">IF(OFFSET(BB108,1,0,1,1)&lt;&gt;0,RZ[[#This Row],[Koeficient odhadu CR '[-'] (P1)]]*$BK108*SUMIFS(RZ[Úroveň 5 s koef. (P3)],RZ[0],AX108,RZ[Úroveň 2 (P0)],AY108,RZ[Úroveň 3 (P0)],AZ108,RZ[Úroveň 4 (P0)],BA108),RZ[[#This Row],[Koeficient odhadu CR '[-'] (P1)]]*$BK108*$IQ108)</f>
        <v>0</v>
      </c>
      <c r="EO108" s="140">
        <f ca="1">IF(OFFSET(BB108,1,0,1,1)&lt;&gt;0,$BK108*SUMIFS(RZ[Úroveň 5 bez koef. (P3)],RZ[0],AX108,RZ[Úroveň 2 (P0)],AY108,RZ[Úroveň 3 (P0)],AZ108,RZ[Úroveň 4 (P0)],BA108),$BK108*$IQ108)</f>
        <v>0</v>
      </c>
      <c r="EP108" s="135">
        <f ca="1">RZ[[#This Row],[Úroveň 5 s koef. (P3a)]]*RZ[[#This Row],[Počet MJCR (P0) pro "kg"]]</f>
        <v>0</v>
      </c>
      <c r="EQ108" s="135">
        <f ca="1">RZ[Úroveň 5 bez koef. (P3a)]*RZ[[#This Row],[Počet MJCR (P0) pro "kg"]]</f>
        <v>0</v>
      </c>
      <c r="ER108" s="135">
        <f ca="1">IF(OFFSET(BC108,1,0,1,1)&lt;&gt;0,RZ[[#This Row],[Koeficient odhadu CR '[-'] (P1)]]*$BL108*SUMIFS(RZ[Úroveň 6 s koef. (P3)],RZ[0],AX108,RZ[Úroveň 2 (P0)],AY108,RZ[Úroveň 3 (P0)],AZ108,RZ[Úroveň 4 (P0)],BA108,RZ[Úroveň 5 (P0)],BB108),RZ[[#This Row],[Koeficient odhadu CR '[-'] (P1)]]*$BL108*$IQ108)</f>
        <v>0</v>
      </c>
      <c r="ES108" s="135">
        <f ca="1">IF(OFFSET(BC108,1,0,1,1)&lt;&gt;0,$BL108*SUMIFS(RZ[Úroveň 6 bez koef. (P3)],RZ[0],AX108,RZ[Úroveň 2 (P0)],AY108,RZ[Úroveň 3 (P0)],AZ108,RZ[Úroveň 4 (P0)],BA108,RZ[Úroveň 5 (P0)],BB108),$BL108*$IQ108)</f>
        <v>0</v>
      </c>
      <c r="ET108" s="140">
        <f ca="1">RZ[[#This Row],[Úroveň 6 s koef. (P3a)]]*RZ[[#This Row],[Počet MJCR (P0) pro "kg"]]</f>
        <v>0</v>
      </c>
      <c r="EU108" s="140">
        <f ca="1">RZ[Úroveň 6 bez koef. (P3a)]*RZ[[#This Row],[Počet MJCR (P0) pro "kg"]]</f>
        <v>0</v>
      </c>
      <c r="EV108" s="140">
        <f ca="1">IF(OFFSET(BD108,1,0,1,1)&lt;&gt;0,RZ[[#This Row],[Koeficient odhadu CR '[-'] (P1)]]*$BM108*SUMIFS(RZ[Úroveň 7 s koef. (P3)],RZ[0],AX108,RZ[Úroveň 2 (P0)],AY108,RZ[Úroveň 3 (P0)],AZ108,RZ[Úroveň 4 (P0)],BA108,RZ[Úroveň 5 (P0)],BB108,RZ[Úroveň 6 (P0)],BC108),RZ[[#This Row],[Koeficient odhadu CR '[-'] (P1)]]*$BM108*$IQ108)</f>
        <v>0</v>
      </c>
      <c r="EW108" s="140">
        <f ca="1">IF(OFFSET(BD108,1,0,1,1)&lt;&gt;0,$BM108*SUMIFS(RZ[Úroveň 7 bez koef. (P3)],RZ[0],AX108,RZ[Úroveň 2 (P0)],AY108,RZ[Úroveň 3 (P0)],AZ108,RZ[Úroveň 4 (P0)],BA108,RZ[Úroveň 5 (P0)],BB108,RZ[Úroveň 6 (P0)],BC108),$BM108*$IQ108)</f>
        <v>0</v>
      </c>
      <c r="EX108" s="135">
        <f ca="1">RZ[[#This Row],[Úroveň 7 s koef. (P3a)]]*RZ[[#This Row],[Počet MJCR (P0) pro "kg"]]</f>
        <v>0</v>
      </c>
      <c r="EY108" s="135">
        <f ca="1">RZ[Úroveň 7 bez koef. (P3a)]*RZ[[#This Row],[Počet MJCR (P0) pro "kg"]]</f>
        <v>0</v>
      </c>
      <c r="EZ108" s="135">
        <f ca="1">IF(OFFSET(BE108,1,0,1,1)&lt;&gt;0,RZ[[#This Row],[Koeficient odhadu CR '[-'] (P1)]]*$BN108*SUMIFS(RZ[Úroveň 8 s koef. (P3)],RZ[0],AX108,RZ[Úroveň 2 (P0)],AY108,RZ[Úroveň 3 (P0)],AZ108,RZ[Úroveň 4 (P0)],BA108,RZ[Úroveň 5 (P0)],BB108,RZ[Úroveň 6 (P0)],BC108,RZ[Úroveň 7 (P0)],BD108),RZ[[#This Row],[Koeficient odhadu CR '[-'] (P1)]]*$BN108*$IQ108)</f>
        <v>0</v>
      </c>
      <c r="FA108" s="135">
        <f ca="1">IF(OFFSET(BE108,1,0,1,1)&lt;&gt;0,$BN108*SUMIFS(RZ[Úroveň 8 bez koef. (P3)],RZ[0],AX108,RZ[Úroveň 2 (P0)],AY108,RZ[Úroveň 3 (P0)],AZ108,RZ[Úroveň 4 (P0)],BA108,RZ[Úroveň 5 (P0)],BB108,RZ[Úroveň 6 (P0)],BC108,RZ[Úroveň 7 (P0)],BD108),$BN108*$IQ108)</f>
        <v>0</v>
      </c>
      <c r="FB108" s="140">
        <f ca="1">RZ[[#This Row],[Úroveň 8 s koef. (P3a)]]*RZ[[#This Row],[Počet MJCR (P0) pro "kg"]]</f>
        <v>0</v>
      </c>
      <c r="FC108" s="140">
        <f ca="1">RZ[Úroveň 8 bez koef. (P3a)]*RZ[[#This Row],[Počet MJCR (P0) pro "kg"]]</f>
        <v>0</v>
      </c>
      <c r="FD108" s="140">
        <f ca="1">IF(OFFSET(BF108,1,0,1,1)&lt;&gt;0,RZ[[#This Row],[Koeficient odhadu CR '[-'] (P1)]]*$BO108*SUMIFS(RZ[Úroveň 9 s koef. (P3)],RZ[0],AX108,RZ[Úroveň 2 (P0)],AY108,RZ[Úroveň 3 (P0)],AZ108,RZ[Úroveň 4 (P0)],BA108,RZ[Úroveň 5 (P0)],BB108,RZ[Úroveň 6 (P0)],BC108,RZ[Úroveň 7 (P0)],BD108,RZ[Úroveň 8 (P0)],BE108),RZ[[#This Row],[Koeficient odhadu CR '[-'] (P1)]]*$BO108*$IQ108)</f>
        <v>0</v>
      </c>
      <c r="FE108" s="140">
        <f ca="1">IF(OFFSET(BF108,1,0,1,1)&lt;&gt;0,$BO108*SUMIFS(RZ[Úroveň 9 bez koef. (P3)],RZ[0],AX108,RZ[Úroveň 2 (P0)],AY108,RZ[Úroveň 3 (P0)],AZ108,RZ[Úroveň 4 (P0)],BA108,RZ[Úroveň 5 (P0)],BB108,RZ[Úroveň 6 (P0)],BC108,RZ[Úroveň 7 (P0)],BD108,RZ[Úroveň 8 (P0)],BE108),$BO108*$IQ108)</f>
        <v>0</v>
      </c>
      <c r="FF108" s="135">
        <f ca="1">RZ[[#This Row],[Úroveň 9 s koef. (P3a)]]*RZ[[#This Row],[Počet MJCR (P0) pro "kg"]]</f>
        <v>0</v>
      </c>
      <c r="FG108" s="135">
        <f ca="1">RZ[Úroveň 9 bez koef. (P3a)]*RZ[[#This Row],[Počet MJCR (P0) pro "kg"]]</f>
        <v>0</v>
      </c>
      <c r="FH108" s="135">
        <f ca="1">IF(OFFSET(BG108,1,0,1,1)&lt;&gt;0,RZ[[#This Row],[Koeficient odhadu CR '[-'] (P1)]]*$BP108*SUMIFS(RZ[Úroveň 10 s koef. (P3)],RZ[0],AX108,RZ[Úroveň 2 (P0)],AY108,RZ[Úroveň 3 (P0)],AZ108,RZ[Úroveň 4 (P0)],BA108,RZ[Úroveň 5 (P0)],BB108,RZ[Úroveň 6 (P0)],BC108,RZ[Úroveň 7 (P0)],BD108,RZ[Úroveň 8 (P0)],BE108,RZ[Úroveň 9 (P0)],BF108),RZ[[#This Row],[Koeficient odhadu CR '[-'] (P1)]]*$BP108*$IQ108)</f>
        <v>0</v>
      </c>
      <c r="FI108" s="135">
        <f ca="1">IF(OFFSET(BG108,1,0,1,1)&lt;&gt;0,$BP108*SUMIFS(RZ[Úroveň 10 bez koef. (P3)],RZ[0],AX108,RZ[Úroveň 2 (P0)],AY108,RZ[Úroveň 3 (P0)],AZ108,RZ[Úroveň 4 (P0)],BA108,RZ[Úroveň 5 (P0)],BB108,RZ[Úroveň 6 (P0)],BC108,RZ[Úroveň 7 (P0)],BD108,RZ[Úroveň 8 (P0)],BE108,RZ[Úroveň 9 (P0)],BF108),$BP108*$IQ108)</f>
        <v>0</v>
      </c>
      <c r="FJ108" s="140">
        <f ca="1">RZ[[#This Row],[Úroveň 10 s koef. (P3a)]]*RZ[[#This Row],[Počet MJCR (P0) pro "kg"]]</f>
        <v>0</v>
      </c>
      <c r="FK108" s="140">
        <f ca="1">RZ[Úroveň 10 bez koef. (P3a)]*RZ[[#This Row],[Počet MJCR (P0) pro "kg"]]</f>
        <v>0</v>
      </c>
      <c r="FL108" s="140">
        <f ca="1">RZ[[#This Row],[Koeficient odhadu CR '[-'] (P1)]]*$BQ108*IQ108</f>
        <v>0</v>
      </c>
      <c r="FM108" s="236">
        <f t="shared" ca="1" si="766"/>
        <v>0</v>
      </c>
      <c r="FN108" s="194">
        <f t="shared" ca="1" si="767"/>
        <v>55000</v>
      </c>
      <c r="FO108" s="238">
        <f t="shared" ca="1" si="768"/>
        <v>55000</v>
      </c>
      <c r="FP108" s="135">
        <f t="shared" ca="1" si="769"/>
        <v>0</v>
      </c>
      <c r="FQ108" s="135">
        <f t="shared" ca="1" si="770"/>
        <v>0</v>
      </c>
      <c r="FR108" s="135">
        <f t="shared" ca="1" si="771"/>
        <v>2</v>
      </c>
      <c r="FS108" s="135">
        <f t="shared" ca="1" si="772"/>
        <v>0</v>
      </c>
      <c r="FT108" s="135">
        <f t="shared" ca="1" si="773"/>
        <v>0</v>
      </c>
      <c r="FU108" s="135">
        <f t="shared" ca="1" si="774"/>
        <v>0</v>
      </c>
      <c r="FV108" s="135">
        <f t="shared" ca="1" si="775"/>
        <v>0</v>
      </c>
      <c r="FW108" s="135">
        <f t="shared" ca="1" si="776"/>
        <v>0</v>
      </c>
      <c r="FX108" s="135">
        <f t="shared" ca="1" si="777"/>
        <v>0</v>
      </c>
      <c r="FY108" s="135">
        <f t="shared" ca="1" si="778"/>
        <v>0</v>
      </c>
      <c r="FZ108" s="140">
        <f ca="1">SUMIFS(RZ[Úroveň 1 (P6)],RZ[0],AX108)</f>
        <v>1</v>
      </c>
      <c r="GA108" s="140">
        <f ca="1">SUMIFS(RZ[Úroveň 2 (P6)],RZ[0],AX108,RZ[Úroveň 2 (P0)],AY108)</f>
        <v>1</v>
      </c>
      <c r="GB108" s="140">
        <f ca="1">SUMIFS(RZ[Úroveň 3 (P6)],RZ[0],AX108,RZ[Úroveň 2 (P0)],AY108,RZ[Úroveň 3 (P0)],AZ108)</f>
        <v>2</v>
      </c>
      <c r="GC108" s="140">
        <f ca="1">SUMIFS(RZ[Úroveň 4 (P6)],RZ[0],AX108,RZ[Úroveň 2 (P0)],AY108,RZ[Úroveň 3 (P0)],AZ108,RZ[Úroveň 4 (P0)],BA108)</f>
        <v>0</v>
      </c>
      <c r="GD108" s="140">
        <f ca="1">SUMIFS(RZ[Úroveň 5 (P6)],RZ[0],AX108,RZ[Úroveň 2 (P0)],AY108,RZ[Úroveň 3 (P0)],AZ108,RZ[Úroveň 4 (P0)],BA108,RZ[Úroveň 5 (P0)],BB108)</f>
        <v>0</v>
      </c>
      <c r="GE108" s="140">
        <f ca="1">SUMIFS(RZ[Úroveň 6 (P6)],RZ[0],AX108,RZ[Úroveň 2 (P0)],AY108,RZ[Úroveň 3 (P0)],AZ108,RZ[Úroveň 4 (P0)],BA108,RZ[Úroveň 5 (P0)],BB108,RZ[Úroveň 6 (P0)],BC108)</f>
        <v>0</v>
      </c>
      <c r="GF108" s="140">
        <f ca="1">SUMIFS(RZ[Úroveň 7 (P6)],RZ[0],AX108,RZ[Úroveň 2 (P0)],AY108,RZ[Úroveň 3 (P0)],AZ108,RZ[Úroveň 4 (P0)],BA108,RZ[Úroveň 5 (P0)],BB108,RZ[Úroveň 6 (P0)],BC108,RZ[Úroveň 7 (P0)],BD108)</f>
        <v>0</v>
      </c>
      <c r="GG108" s="140">
        <f ca="1">SUMIFS(RZ[Úroveň 8 (P6)],RZ[0],AX108,RZ[Úroveň 2 (P0)],AY108,RZ[Úroveň 3 (P0)],AZ108,RZ[Úroveň 4 (P0)],BA108,RZ[Úroveň 5 (P0)],BB108,RZ[Úroveň 6 (P0)],BC108,RZ[Úroveň 7 (P0)],BD108,RZ[Úroveň 8 (P0)],BE108)</f>
        <v>0</v>
      </c>
      <c r="GH108" s="140">
        <f ca="1">SUMIFS(RZ[Úroveň 9 (P6)],RZ[0],AX108,RZ[Úroveň 2 (P0)],AY108,RZ[Úroveň 3 (P0)],AZ108,RZ[Úroveň 4 (P0)],BA108,RZ[Úroveň 5 (P0)],BB108,RZ[Úroveň 6 (P0)],BC108,RZ[Úroveň 7 (P0)],BD108,RZ[Úroveň 8 (P0)],BE108,RZ[Úroveň 9 (P0)],BF108)</f>
        <v>0</v>
      </c>
      <c r="GI108" s="140">
        <f ca="1">SUMIFS(RZ[Úroveň 10 (P6)],RZ[0],AX108,RZ[Úroveň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GJ108" s="918">
        <f t="shared" ca="1" si="779"/>
        <v>2</v>
      </c>
      <c r="GK108" s="808">
        <f t="shared" si="780"/>
        <v>0</v>
      </c>
      <c r="GL108" s="808">
        <f t="shared" si="781"/>
        <v>0</v>
      </c>
      <c r="GM108" s="808">
        <f t="shared" si="782"/>
        <v>1</v>
      </c>
      <c r="GN108" s="808">
        <f t="shared" si="783"/>
        <v>0</v>
      </c>
      <c r="GO108" s="808">
        <f t="shared" si="784"/>
        <v>0</v>
      </c>
      <c r="GP108" s="808">
        <f t="shared" si="785"/>
        <v>0</v>
      </c>
      <c r="GQ108" s="808">
        <f t="shared" si="786"/>
        <v>0</v>
      </c>
      <c r="GR108" s="808">
        <f t="shared" si="787"/>
        <v>0</v>
      </c>
      <c r="GS108" s="808">
        <f t="shared" si="788"/>
        <v>0</v>
      </c>
      <c r="GT108" s="808">
        <f t="shared" si="789"/>
        <v>0</v>
      </c>
      <c r="GU108" s="809">
        <f ca="1">SUMIFS(RZ[Sloupec1],RZ[0],AX108)</f>
        <v>1</v>
      </c>
      <c r="GV108" s="809">
        <f ca="1">SUMIFS(RZ[Sloupec2],RZ[0],AX108,RZ[Úroveň 2 (P0)],AY108)</f>
        <v>1</v>
      </c>
      <c r="GW108" s="809">
        <f ca="1">SUMIFS(RZ[Sloupec3],RZ[0],AX108,RZ[Úroveň 2 (P0)],AY108,RZ[Úroveň 3 (P0)],AZ108)</f>
        <v>1</v>
      </c>
      <c r="GX108" s="809">
        <f ca="1">SUMIFS(RZ[Sloupec4],RZ[0],AX108,RZ[Úroveň 2 (P0)],AY108,RZ[Úroveň 3 (P0)],AZ108,RZ[Úroveň 4 (P0)],BA108)</f>
        <v>0</v>
      </c>
      <c r="GY108" s="809">
        <f ca="1">SUMIFS(RZ[Sloupec5],RZ[0],AX108,RZ[Úroveň 2 (P0)],AY108,RZ[Úroveň 3 (P0)],AZ108,RZ[Úroveň 4 (P0)],BA108,RZ[Úroveň 5 (P0)],BB108)</f>
        <v>0</v>
      </c>
      <c r="GZ108" s="809">
        <f ca="1">SUMIFS(RZ[Sloupec6],RZ[0],AX108,RZ[Úroveň 2 (P0)],AY108,RZ[Úroveň 3 (P0)],AZ108,RZ[Úroveň 4 (P0)],BA108,RZ[Úroveň 5 (P0)],BB108,RZ[Úroveň 6 (P0)],BC108)</f>
        <v>0</v>
      </c>
      <c r="HA108" s="809">
        <f ca="1">SUMIFS(RZ[Sloupec62],RZ[0],AX108,RZ[Úroveň 2 (P0)],AY108,RZ[Úroveň 3 (P0)],AZ108,RZ[Úroveň 4 (P0)],BA108,RZ[Úroveň 5 (P0)],BB108,RZ[Úroveň 6 (P0)],BC108,RZ[Úroveň 7 (P0)],BD108)</f>
        <v>0</v>
      </c>
      <c r="HB108" s="809">
        <f ca="1">SUMIFS(RZ[Sloupec63],RZ[0],AX108,RZ[Úroveň 2 (P0)],AY108,RZ[Úroveň 3 (P0)],AZ108,RZ[Úroveň 4 (P0)],BA108,RZ[Úroveň 5 (P0)],BB108,RZ[Úroveň 6 (P0)],BC108,RZ[Úroveň 7 (P0)],BD108,RZ[Úroveň 8 (P0)],BE108)</f>
        <v>0</v>
      </c>
      <c r="HC108" s="809">
        <f ca="1">SUMIFS(RZ[Sloupec64],RZ[0],AX108,RZ[Úroveň 2 (P0)],AY108,RZ[Úroveň 3 (P0)],AZ108,RZ[Úroveň 4 (P0)],BA108,RZ[Úroveň 5 (P0)],BB108,RZ[Úroveň 6 (P0)],BC108,RZ[Úroveň 7 (P0)],BD108,RZ[Úroveň 8 (P0)],BE108,RZ[Úroveň 9 (P0)],BF108)</f>
        <v>0</v>
      </c>
      <c r="HD108" s="809">
        <f ca="1">SUMIFS(RZ[Sloupec65],RZ[0],AX108,RZ[Úroveň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HE108" s="919">
        <f t="shared" ca="1" si="790"/>
        <v>1</v>
      </c>
      <c r="HF108" s="920" t="str">
        <f t="shared" si="791"/>
        <v/>
      </c>
      <c r="HG108" s="94" t="str">
        <f t="shared" si="792"/>
        <v/>
      </c>
      <c r="HH108" s="95" t="str">
        <f t="shared" si="793"/>
        <v/>
      </c>
      <c r="HI108" s="95" t="str">
        <f t="shared" si="794"/>
        <v>Brzda posuvu mostu</v>
      </c>
      <c r="HJ108" s="96" t="str">
        <f t="shared" si="795"/>
        <v/>
      </c>
      <c r="HK108" s="96" t="str">
        <f t="shared" si="796"/>
        <v/>
      </c>
      <c r="HL108" s="96" t="str">
        <f t="shared" si="797"/>
        <v/>
      </c>
      <c r="HM108" s="96" t="str">
        <f t="shared" si="798"/>
        <v/>
      </c>
      <c r="HN108" s="96" t="str">
        <f t="shared" si="799"/>
        <v/>
      </c>
      <c r="HO108" s="96" t="str">
        <f t="shared" si="800"/>
        <v/>
      </c>
      <c r="HP108" s="96" t="str">
        <f t="shared" si="801"/>
        <v/>
      </c>
      <c r="HQ108" s="145" t="str">
        <f t="shared" si="802"/>
        <v>STBR</v>
      </c>
      <c r="HR108" s="921" t="str">
        <f t="shared" si="803"/>
        <v/>
      </c>
      <c r="HS108" s="173">
        <f t="shared" si="804"/>
        <v>0</v>
      </c>
      <c r="HT108" s="100">
        <f t="shared" si="805"/>
        <v>0</v>
      </c>
      <c r="HU108" s="100">
        <f t="shared" si="806"/>
        <v>0</v>
      </c>
      <c r="HV108" s="908" t="str">
        <f t="shared" si="807"/>
        <v>Zajíc</v>
      </c>
      <c r="HW108" s="922">
        <f t="shared" si="808"/>
        <v>42950.611550925925</v>
      </c>
      <c r="HX108" s="224">
        <f t="shared" si="809"/>
        <v>0</v>
      </c>
      <c r="HY108" s="263" t="str">
        <f t="shared" si="810"/>
        <v>S</v>
      </c>
      <c r="HZ108" s="263" t="str">
        <f t="shared" si="811"/>
        <v>N</v>
      </c>
      <c r="IA108" s="150">
        <f t="shared" si="812"/>
        <v>1</v>
      </c>
      <c r="IB108" s="319">
        <f t="shared" si="813"/>
        <v>55000</v>
      </c>
      <c r="IC108" s="923">
        <f t="shared" si="814"/>
        <v>1</v>
      </c>
      <c r="ID108" s="924" t="str">
        <f t="shared" ca="1" si="815"/>
        <v>OK</v>
      </c>
      <c r="IE108" s="201" t="str">
        <f t="shared" si="816"/>
        <v>ks</v>
      </c>
      <c r="IF108" s="145">
        <f t="shared" si="817"/>
        <v>2</v>
      </c>
      <c r="IG108" s="216">
        <f t="shared" si="818"/>
        <v>157.1</v>
      </c>
      <c r="IH108" s="217">
        <f t="shared" si="819"/>
        <v>1</v>
      </c>
      <c r="II108" s="224" t="str">
        <f ca="1">IF(RZ[[#This Row],[Rozhodný sloupec indikativní ceny]]=1,"kg",IF($IW108=$JL$15,IF(JX108=0,JO108,JX108),IF($IW108=$KE$15,IF(KQ108=0,KH108,KQ108),IF($IW108=$KX$15,IF(LJ108=0,LA108,LJ108),IF($IW108=$LQ$15,IF(MC108=0,LT108,MC108),IF($IW108=$MJ$15,IF(NQ108=0,NH108,NQ108),0))))))</f>
        <v>ks</v>
      </c>
      <c r="IJ108" s="224">
        <f ca="1">IF((BH108+OFFSET(BH108,1,1,1,1))=2,RZ[[#This Row],[Počet MJHR (P0)]],IF((BI108+OFFSET(BI108,1,1,1,1))=2,RZ[[#This Row],[Počet MJHR (P0)]],IF((BJ108+OFFSET(BJ108,1,1,1,1))=2,RZ[[#This Row],[Počet MJHR (P0)]],IF((BK108+OFFSET(BK108,1,1,1,1))=2,RZ[[#This Row],[Počet MJHR (P0)]],IF((BL108+OFFSET(BL108,1,1,1,1))=2,RZ[[#This Row],[Počet MJHR (P0)]],IF((BM108+OFFSET(BM108,1,1,1,1))=2,RZ[[#This Row],[Počet MJHR (P0)]],IF((BN108+OFFSET(BN108,1,1,1,1))=2,RZ[[#This Row],[Počet MJHR (P0)]],IF((BO108+OFFSET(BO108,1,1,1,1))=2,RZ[[#This Row],[Počet MJHR (P0)]],IF((BP108+OFFSET(BP108,1,1,1,1))=2,RZ[[#This Row],[Počet MJHR (P0)]],IF((BQ108+OFFSET(BQ108,1,1,1,1))=2,RZ[[#This Row],[Počet MJHR (P0)]],IF(RZ[[#This Row],[Měrná jednotka CR (MJCR) (P0)]]=RZ[[#This Row],[Měrná jednotka HR '[MJHR'] (P0)]],RZ[[#This Row],[Počet MJHR (P0)]],IF($IW108=$JL$15,JY108,IF($IW108=$KE$15,KR108,IF($IW108=$KX$15,LK108,IF($IW108=$LQ$15,MD108,IF($IW108=$MJ$15,NR108,0))))))))))))))))</f>
        <v>2</v>
      </c>
      <c r="IK10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8" s="145">
        <f ca="1">IF(AND(RZ[[#This Row],[Jednotková cena bez DPH '[cena/MJCR'] (P0)]]=0,RZ[[#This Row],[Indikativní jednotková cena '[CZK/kg'] (P1)]]&lt;&gt;0),1,0)</f>
        <v>0</v>
      </c>
      <c r="IM108" s="217">
        <f ca="1">VLOOKUP(RZ[[#This Row],[Kód položek]],INDIKAT_CENA,2,FALSE)</f>
        <v>0</v>
      </c>
      <c r="IN108" s="222">
        <f ca="1">IF(RZ[[#This Row],[Rozhodný sloupec indikativní ceny]]=1,RZ[[#This Row],[Indikativní jednotková cena '[CZK/kg'] (P1)]],RZ[[#This Row],[Jednotková cena bez DPH '[cena/MJCR'] (P0)]])</f>
        <v>55000</v>
      </c>
      <c r="IO108" s="222">
        <f t="shared" si="820"/>
        <v>1</v>
      </c>
      <c r="IP108" s="224">
        <f ca="1">IF(RZ[[#This Row],[Rozhodný sloupec indikativní ceny]]=1,1,IF($IW108=$JL$15,KA108,IF($IW108=$KE$15,KT108,IF($IW108=$KX$15,LM108,IF($IW108=$LQ$15,MF108,IF($IW108=$MJ$15,NT108,0))))))</f>
        <v>1</v>
      </c>
      <c r="IQ108" s="225">
        <f ca="1">IF(RZ[[#This Row],[Jednotková cena bez DPH '[cena/MJCR'] (P1)]]="",0,IF(IP108=0,0,(RZ[[#This Row],[Jednotková cena bez DPH '[cena/MJCR'] (P1)]]*VLOOKUP(IP108,$BR$7:$BT$10,3))))</f>
        <v>55000</v>
      </c>
      <c r="IR108" s="737"/>
      <c r="IS108" s="627">
        <f>IF(HY108=0,"",VLOOKUP(RZ[[#This Row],[Stav Projekce (P0)]],Vstupy!$E$11:'Vstupy'!$E$11:$H$17,4,FALSE))</f>
        <v>100</v>
      </c>
      <c r="IT108" s="925" t="str">
        <f>IF(RZ[[#This Row],[Stav Projekce (P0)]]=0,"",RZ[[#This Row],[Stav Projekce (P0)]])</f>
        <v>S</v>
      </c>
      <c r="IU108" s="925" t="str">
        <f>IF(RZ[[#This Row],[Stav Nákup (P0)]]=0,"",RZ[[#This Row],[Stav Nákup (P0)]])</f>
        <v>N</v>
      </c>
      <c r="IV108" s="926" t="str">
        <f t="shared" si="821"/>
        <v>Zajíc</v>
      </c>
      <c r="IW108" s="641">
        <v>1</v>
      </c>
      <c r="IX108" s="630"/>
      <c r="IY108" s="264"/>
      <c r="IZ108" s="648"/>
      <c r="JA108" s="100"/>
      <c r="JB108" s="100" t="s">
        <v>781</v>
      </c>
      <c r="JC108" s="100"/>
      <c r="JD108" s="100"/>
      <c r="JE108" s="100"/>
      <c r="JF108" s="100"/>
      <c r="JG108" s="100"/>
      <c r="JH108" s="100"/>
      <c r="JI108" s="100"/>
      <c r="JJ108" s="145" t="s">
        <v>785</v>
      </c>
      <c r="JK108" s="529"/>
      <c r="JL108" s="286"/>
      <c r="JM108" s="100"/>
      <c r="JN108" s="100"/>
      <c r="JO108" s="145" t="s">
        <v>35</v>
      </c>
      <c r="JP108" s="117">
        <v>2</v>
      </c>
      <c r="JQ108" s="117">
        <v>157.1</v>
      </c>
      <c r="JR108" s="148">
        <v>1</v>
      </c>
      <c r="JS108" s="145" t="s">
        <v>602</v>
      </c>
      <c r="JT108" s="631"/>
      <c r="JU108" s="148" t="s">
        <v>853</v>
      </c>
      <c r="JV108" s="154">
        <v>42950.611550925925</v>
      </c>
      <c r="JW108" s="145"/>
      <c r="JX108" s="210" t="s">
        <v>35</v>
      </c>
      <c r="JY108" s="117"/>
      <c r="JZ108" s="662">
        <v>55000</v>
      </c>
      <c r="KA108" s="145">
        <v>1</v>
      </c>
      <c r="KB108" s="148">
        <v>1</v>
      </c>
      <c r="KC108" s="148" t="s">
        <v>611</v>
      </c>
      <c r="KD108" s="644"/>
      <c r="KE108" s="286"/>
      <c r="KF108" s="100"/>
      <c r="KG108" s="100"/>
      <c r="KH108" s="210"/>
      <c r="KI108" s="117"/>
      <c r="KJ108" s="117"/>
      <c r="KK108" s="148"/>
      <c r="KL108" s="145"/>
      <c r="KM108" s="632"/>
      <c r="KN108" s="148"/>
      <c r="KO108" s="154"/>
      <c r="KP108" s="154"/>
      <c r="KQ108" s="210"/>
      <c r="KR108" s="117"/>
      <c r="KS108" s="211"/>
      <c r="KT108" s="145"/>
      <c r="KU108" s="148"/>
      <c r="KV108" s="148"/>
      <c r="KW108" s="265"/>
      <c r="KX108" s="286"/>
      <c r="KY108" s="100"/>
      <c r="KZ108" s="100"/>
      <c r="LA108" s="210"/>
      <c r="LB108" s="117"/>
      <c r="LC108" s="117"/>
      <c r="LD108" s="148"/>
      <c r="LE108" s="145"/>
      <c r="LF108" s="632"/>
      <c r="LG108" s="148"/>
      <c r="LH108" s="154"/>
      <c r="LI108" s="154"/>
      <c r="LJ108" s="154"/>
      <c r="LK108" s="117"/>
      <c r="LL108" s="211"/>
      <c r="LM108" s="210"/>
      <c r="LN108" s="148"/>
      <c r="LO108" s="148"/>
      <c r="LP108" s="265"/>
      <c r="LQ108" s="286"/>
      <c r="LR108" s="100"/>
      <c r="LS108" s="100"/>
      <c r="LT108" s="210"/>
      <c r="LU108" s="117"/>
      <c r="LV108" s="117"/>
      <c r="LW108" s="148"/>
      <c r="LX108" s="145"/>
      <c r="LY108" s="632"/>
      <c r="LZ108" s="148"/>
      <c r="MA108" s="154"/>
      <c r="MB108" s="154"/>
      <c r="MC108" s="145"/>
      <c r="MD108" s="117"/>
      <c r="ME108" s="211"/>
      <c r="MF108" s="210"/>
      <c r="MG108" s="148"/>
      <c r="MH108" s="148"/>
      <c r="MI108" s="265"/>
      <c r="MJ108" s="647"/>
      <c r="MK108" s="264"/>
      <c r="ML108" s="153"/>
      <c r="MM108" s="153"/>
      <c r="MN108" s="153"/>
      <c r="MO108" s="153"/>
      <c r="MP108" s="153"/>
      <c r="MQ108" s="153"/>
      <c r="MR108" s="153"/>
      <c r="MS108" s="99"/>
      <c r="MT108" s="99"/>
      <c r="MU108" s="99"/>
      <c r="MV108" s="99"/>
      <c r="MW108" s="99"/>
      <c r="MX108" s="99"/>
      <c r="MY108" s="153"/>
      <c r="MZ108" s="153"/>
      <c r="NA108" s="153"/>
      <c r="NB108" s="153"/>
      <c r="NC108" s="153"/>
      <c r="ND108" s="153"/>
      <c r="NE108" s="148"/>
      <c r="NF108" s="145"/>
      <c r="NG108" s="145"/>
      <c r="NH108" s="330" t="str">
        <f t="shared" si="822"/>
        <v>ks</v>
      </c>
      <c r="NI108" s="797">
        <f>RZ[[#This Row],[Počet ks (K)]]</f>
        <v>0</v>
      </c>
      <c r="NJ108" s="798">
        <f>RZ[[#This Row],[Hmotnost '[kg/ks'] (K)]]</f>
        <v>0</v>
      </c>
      <c r="NK108" s="148"/>
      <c r="NL108" s="145"/>
      <c r="NM108" s="632"/>
      <c r="NN108" s="148"/>
      <c r="NO108" s="154"/>
      <c r="NP108" s="154"/>
      <c r="NQ108" s="154"/>
      <c r="NR108" s="210"/>
      <c r="NS108" s="148"/>
      <c r="NT108" s="210"/>
      <c r="NU108" s="148"/>
      <c r="NV108" s="148"/>
      <c r="NW108" s="265"/>
    </row>
    <row r="109" spans="2:387" ht="15.95" customHeight="1" x14ac:dyDescent="0.35">
      <c r="B109" s="118" t="str">
        <f t="shared" si="706"/>
        <v/>
      </c>
      <c r="C10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9" s="262" t="str">
        <f t="shared" si="707"/>
        <v xml:space="preserve">    Brzda posuvu mostu</v>
      </c>
      <c r="E109" s="120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Row],[Kód položek (P2)]]))))))))))</f>
        <v>STBR</v>
      </c>
      <c r="F109" s="791" t="str">
        <f t="shared" si="708"/>
        <v>N/A</v>
      </c>
      <c r="G109" s="792" t="str">
        <f t="shared" si="709"/>
        <v/>
      </c>
      <c r="H109" s="262" t="str">
        <f t="shared" si="710"/>
        <v/>
      </c>
      <c r="I109" s="123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HR '[MJHR'] (P0)]]))))))))))</f>
        <v>ks</v>
      </c>
      <c r="J109" s="123">
        <f t="shared" si="711"/>
        <v>2</v>
      </c>
      <c r="K109" s="793">
        <f>RZ[[#This Row],[Koeficient odhadu HR '[-'] (P1)]]</f>
        <v>1</v>
      </c>
      <c r="L109" s="124">
        <f ca="1">RZ[[#This Row],[Jednotková hmotnost s koef. '[kg/MJHR'] (P0)]]</f>
        <v>157.1</v>
      </c>
      <c r="M109" s="794">
        <f t="shared" ca="1" si="712"/>
        <v>0</v>
      </c>
      <c r="N109" s="125">
        <f t="shared" ca="1" si="713"/>
        <v>314.2</v>
      </c>
      <c r="O109" s="125">
        <f t="shared" ca="1" si="714"/>
        <v>0</v>
      </c>
      <c r="P109" s="126" t="str">
        <f t="shared" si="715"/>
        <v/>
      </c>
      <c r="Q109" s="795">
        <f ca="1">RZ[[#This Row],[Počet MJHR v rozpadu (P0)]]</f>
        <v>2</v>
      </c>
      <c r="R109" s="439" t="str">
        <f t="shared" si="716"/>
        <v>Zajíc</v>
      </c>
      <c r="S109" s="129">
        <f t="shared" si="717"/>
        <v>42950.612233796295</v>
      </c>
      <c r="T109" s="126" t="str">
        <f t="shared" si="718"/>
        <v/>
      </c>
      <c r="U109" s="126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CR (MJCR) (P0)]]))))))))))</f>
        <v>ks</v>
      </c>
      <c r="V109" s="575">
        <f t="shared" ca="1" si="719"/>
        <v>2</v>
      </c>
      <c r="W109" s="322">
        <f>RZ[[#This Row],[Koeficient odhadu CR '[-'] (P1)]]</f>
        <v>1</v>
      </c>
      <c r="X109" s="440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Row],[Jednotková cena bez DPH '[cena/MJCR'] (P1)]]*RZ[[#This Row],[Koeficient odhadu CR '[-']]]))))))))))</f>
        <v>55000</v>
      </c>
      <c r="Y109" s="440">
        <f t="shared" ca="1" si="720"/>
        <v>0</v>
      </c>
      <c r="Z109" s="142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VLOOKUP(IP109,$BR$7:$BS$11,2,FALSE)))))))))))</f>
        <v>CZK</v>
      </c>
      <c r="AA109" s="909">
        <f t="shared" ca="1" si="721"/>
        <v>2</v>
      </c>
      <c r="AB109" s="910">
        <f ca="1">RZ[[#This Row],[Kumulovaný koeficient v rozpadu (P0)]]</f>
        <v>1</v>
      </c>
      <c r="AC109" s="261"/>
      <c r="AD109" s="796">
        <f ca="1">RZ[[#This Row],[Jednotková cena bez DPH '[cena/MJCR'] s koef. (P0)]]/RZ[[#This Row],[Koeficient odhadu CR '[-']]]*RZ[[#This Row],[Kumulovaný koeficient odhadu CR  '[-']]]</f>
        <v>55000</v>
      </c>
      <c r="AE109" s="796">
        <f t="shared" ca="1" si="722"/>
        <v>110000</v>
      </c>
      <c r="AF109" s="796">
        <f ca="1">-IF(ISNUMBER(AA109),RZ[[#This Row],[Celková cena bez DPH (1)]]-RZ[[#This Row],[Jednotková cena bez DPH '[cena/MJCR'] bez koef. (P0)]]*AA109,0)</f>
        <v>0</v>
      </c>
      <c r="AG109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9" s="261"/>
      <c r="AI109" s="796">
        <f t="shared" ca="1" si="723"/>
        <v>2037.037037037037</v>
      </c>
      <c r="AJ109" s="796">
        <f t="shared" ca="1" si="724"/>
        <v>4074.0740740740739</v>
      </c>
      <c r="AK109" s="796">
        <f t="shared" ca="1" si="725"/>
        <v>0</v>
      </c>
      <c r="AL109" s="753">
        <f ca="1">RZ[[#This Row],[Kilogramová cena bez DPH '[cena/kg'] (1)]]/$AK$13</f>
        <v>12.966499280948677</v>
      </c>
      <c r="AM109" s="261"/>
      <c r="AN109" s="796">
        <f t="shared" ca="1" si="726"/>
        <v>2657.0048309178746</v>
      </c>
      <c r="AO109" s="796">
        <f t="shared" ca="1" si="727"/>
        <v>5314.0096618357493</v>
      </c>
      <c r="AP109" s="796">
        <f t="shared" ca="1" si="728"/>
        <v>0</v>
      </c>
      <c r="AQ109" s="753">
        <f ca="1">RZ[[#This Row],[Kilogramová cena bez DPH '[cena/kg'] (1)]]/$AP$13</f>
        <v>16.91282514906349</v>
      </c>
      <c r="AR109" s="261"/>
      <c r="AS109" s="796">
        <f t="shared" ca="1" si="729"/>
        <v>1504.3763676148797</v>
      </c>
      <c r="AT109" s="796">
        <f t="shared" ca="1" si="730"/>
        <v>3008.7527352297593</v>
      </c>
      <c r="AU109" s="789">
        <f t="shared" ca="1" si="731"/>
        <v>0</v>
      </c>
      <c r="AV109" s="767">
        <f ca="1">RZ[[#This Row],[Kilogramová cena bez DPH '[cena/kg'] (1)]]/$AU$13</f>
        <v>9.5759157709413092</v>
      </c>
      <c r="AW109" s="165"/>
      <c r="AX109" s="911">
        <f t="shared" ca="1" si="732"/>
        <v>2</v>
      </c>
      <c r="AY109" s="111">
        <f t="shared" ca="1" si="733"/>
        <v>8</v>
      </c>
      <c r="AZ109" s="111">
        <f t="shared" ca="1" si="734"/>
        <v>9</v>
      </c>
      <c r="BA109" s="111">
        <f t="shared" ca="1" si="735"/>
        <v>0</v>
      </c>
      <c r="BB109" s="111">
        <f t="shared" ca="1" si="736"/>
        <v>0</v>
      </c>
      <c r="BC109" s="111">
        <f t="shared" ca="1" si="737"/>
        <v>0</v>
      </c>
      <c r="BD109" s="111">
        <f t="shared" ca="1" si="738"/>
        <v>0</v>
      </c>
      <c r="BE109" s="111">
        <f t="shared" ca="1" si="739"/>
        <v>0</v>
      </c>
      <c r="BF109" s="111">
        <f t="shared" ca="1" si="740"/>
        <v>0</v>
      </c>
      <c r="BG109" s="112">
        <f t="shared" ca="1" si="741"/>
        <v>0</v>
      </c>
      <c r="BH109" s="911">
        <f t="shared" si="742"/>
        <v>0</v>
      </c>
      <c r="BI109" s="111">
        <f t="shared" si="743"/>
        <v>0</v>
      </c>
      <c r="BJ109" s="111">
        <f t="shared" si="744"/>
        <v>1</v>
      </c>
      <c r="BK109" s="111">
        <f t="shared" si="745"/>
        <v>0</v>
      </c>
      <c r="BL109" s="111">
        <f t="shared" si="746"/>
        <v>0</v>
      </c>
      <c r="BM109" s="111">
        <f t="shared" si="747"/>
        <v>0</v>
      </c>
      <c r="BN109" s="111">
        <f t="shared" si="748"/>
        <v>0</v>
      </c>
      <c r="BO109" s="111">
        <f t="shared" si="749"/>
        <v>0</v>
      </c>
      <c r="BP109" s="111">
        <f t="shared" si="750"/>
        <v>0</v>
      </c>
      <c r="BQ109" s="112">
        <f t="shared" si="751"/>
        <v>0</v>
      </c>
      <c r="BR109" s="132">
        <f ca="1">IF(OFFSET(AY109,1,0,1,1)&lt;&gt;0,RZ[[#This Row],[Koeficient odhadu HR '[-'] (P1)]]*$BH109*SUMIFS(RZ[Úroveň 2 s koef. (P2)],RZ[0],AX109),RZ[[#This Row],[Koeficient odhadu HR '[-'] (P1)]]*$BH109*$IG109)</f>
        <v>0</v>
      </c>
      <c r="BS109" s="186">
        <f ca="1">IF(OFFSET(AY109,1,0,1,1)&lt;&gt;0,$BH109*SUMIFS(RZ[Úroveň 2 bez koef. (P2)],RZ[0],AX109),$BH109*$IG109)</f>
        <v>0</v>
      </c>
      <c r="BT109" s="138">
        <f ca="1">RZ[[#This Row],[Úroveň 2 s koef. (P2a)]]*RZ[[#This Row],[Počet MJHR (P0)]]</f>
        <v>0</v>
      </c>
      <c r="BU109" s="138">
        <f ca="1">RZ[[#This Row],[Úroveň 2 bez koef. (P2a)]]*RZ[[#This Row],[Počet MJHR (P0)]]</f>
        <v>0</v>
      </c>
      <c r="BV109" s="138">
        <f ca="1">IF(OFFSET(AZ109,1,0,1,1)&lt;&gt;0,RZ[[#This Row],[Koeficient odhadu HR '[-'] (P1)]]*$BI109*SUMIFS(RZ[Úroveň 3 s koef. (P2)],RZ[0],AX109,RZ[Úroveň 2 (P0)],AY109),RZ[[#This Row],[Koeficient odhadu HR '[-'] (P1)]]*$BI109*$IG109)</f>
        <v>0</v>
      </c>
      <c r="BW109" s="138">
        <f ca="1">IF(OFFSET(AZ109,1,0,1,1)&lt;&gt;0,$BI109*SUMIFS(RZ[Úroveň 3 bez koef. (P2)],RZ[0],AX109,RZ[Úroveň 2 (P0)],AY109),$BI109*$IG109)</f>
        <v>0</v>
      </c>
      <c r="BX109" s="132">
        <f ca="1">RZ[[#This Row],[Úroveň 3 s koef. (P2a)]]*RZ[[#This Row],[Počet MJHR (P0)]]</f>
        <v>314.2</v>
      </c>
      <c r="BY109" s="132">
        <f ca="1">RZ[Úroveň 3 bez koef. (P2a)]*RZ[[#This Row],[Počet MJHR (P0)]]</f>
        <v>314.2</v>
      </c>
      <c r="BZ109" s="132">
        <f ca="1">IF(OFFSET(BA109,1,0,1,1)&lt;&gt;0,RZ[[#This Row],[Koeficient odhadu HR '[-'] (P1)]]*$BJ109*SUMIFS(RZ[Úroveň 4 s koef. (P2)],RZ[0],AX109,RZ[Úroveň 2 (P0)],AY109,RZ[Úroveň 3 (P0)],AZ109),RZ[[#This Row],[Koeficient odhadu HR '[-'] (P1)]]*$BJ109*$IG109)</f>
        <v>157.1</v>
      </c>
      <c r="CA109" s="132">
        <f ca="1">IF(OFFSET(BA109,1,0,1,1)&lt;&gt;0,$BJ109*SUMIFS(RZ[Úroveň 4 bez koef. (P2)],RZ[0],AX109,RZ[Úroveň 2 (P0)],AY109,RZ[Úroveň 3 (P0)],AZ109),$BJ109*$IG109)</f>
        <v>157.1</v>
      </c>
      <c r="CB109" s="138">
        <f ca="1">RZ[[#This Row],[Úroveň 4 s koef. (P2a)]]*RZ[[#This Row],[Počet MJHR (P0)]]</f>
        <v>0</v>
      </c>
      <c r="CC109" s="138">
        <f ca="1">RZ[Úroveň 4 bez koef. (P2a)]*RZ[[#This Row],[Počet MJHR (P0)]]</f>
        <v>0</v>
      </c>
      <c r="CD109" s="138">
        <f ca="1">IF(OFFSET(BB109,1,0,1,1)&lt;&gt;0,RZ[[#This Row],[Koeficient odhadu HR '[-'] (P1)]]*$BK109*SUMIFS(RZ[Úroveň 5 s koef. (P2)],RZ[0],AX109,RZ[Úroveň 2 (P0)],AY109,RZ[Úroveň 3 (P0)],AZ109,RZ[Úroveň 4 (P0)],BA109),RZ[[#This Row],[Koeficient odhadu HR '[-'] (P1)]]*$BK109*$IG109)</f>
        <v>0</v>
      </c>
      <c r="CE109" s="138">
        <f ca="1">IF(OFFSET(BB109,1,0,1,1)&lt;&gt;0,$BK109*SUMIFS(RZ[Úroveň 5 bez koef. (P2)],RZ[0],AX109,RZ[Úroveň 2 (P0)],AY109,RZ[Úroveň 3 (P0)],AZ109,RZ[Úroveň 4 (P0)],BA109),$BK109*$IG109)</f>
        <v>0</v>
      </c>
      <c r="CF109" s="132">
        <f ca="1">RZ[[#This Row],[Úroveň 5 s koef. (P2a)]]*RZ[[#This Row],[Počet MJHR (P0)]]</f>
        <v>0</v>
      </c>
      <c r="CG109" s="132">
        <f ca="1">RZ[Úroveň 5 bez koef. (P2a)]*RZ[[#This Row],[Počet MJHR (P0)]]</f>
        <v>0</v>
      </c>
      <c r="CH109" s="132">
        <f ca="1">IF(OFFSET(BC109,1,0,1,1)&lt;&gt;0,RZ[[#This Row],[Koeficient odhadu HR '[-'] (P1)]]*$BL109*SUMIFS(RZ[Úroveň 6 s koef. (P2)],RZ[0],AX109,RZ[Úroveň 2 (P0)],AY109,RZ[Úroveň 3 (P0)],AZ109,RZ[Úroveň 4 (P0)],BA109,RZ[Úroveň 5 (P0)],BB109),RZ[[#This Row],[Koeficient odhadu HR '[-'] (P1)]]*$BL109*$IG109)</f>
        <v>0</v>
      </c>
      <c r="CI109" s="132">
        <f ca="1">IF(OFFSET(BC109,1,0,1,1)&lt;&gt;0,$BL109*SUMIFS(RZ[Úroveň 6 bez koef. (P2)],RZ[0],AX109,RZ[Úroveň 2 (P0)],AY109,RZ[Úroveň 3 (P0)],AZ109,RZ[Úroveň 4 (P0)],BA109,RZ[Úroveň 5 (P0)],BB109),$BL109*$IG109)</f>
        <v>0</v>
      </c>
      <c r="CJ109" s="138">
        <f ca="1">RZ[[#This Row],[Úroveň 6 s koef. (P2a)]]*RZ[[#This Row],[Počet MJHR (P0)]]</f>
        <v>0</v>
      </c>
      <c r="CK109" s="138">
        <f ca="1">RZ[Úroveň 6 bez koef. (P2a)]*RZ[[#This Row],[Počet MJHR (P0)]]</f>
        <v>0</v>
      </c>
      <c r="CL109" s="138">
        <f ca="1">IF(OFFSET(BD109,1,0,1,1)&lt;&gt;0,RZ[[#This Row],[Koeficient odhadu HR '[-'] (P1)]]*$BM109*SUMIFS(RZ[Úroveň 7 s koef. (P2)],RZ[0],AX109,RZ[Úroveň 2 (P0)],AY109,RZ[Úroveň 3 (P0)],AZ109,RZ[Úroveň 4 (P0)],BA109,RZ[Úroveň 5 (P0)],BB109,RZ[Úroveň 6 (P0)],BC109),RZ[[#This Row],[Koeficient odhadu HR '[-'] (P1)]]*$BM109*$IG109)</f>
        <v>0</v>
      </c>
      <c r="CM109" s="138">
        <f ca="1">IF(OFFSET(BD109,1,0,1,1)&lt;&gt;0,$BM109*SUMIFS(RZ[Úroveň 7 bez koef. (P2)],RZ[0],AX109,RZ[Úroveň 2 (P0)],AY109,RZ[Úroveň 3 (P0)],AZ109,RZ[Úroveň 4 (P0)],BA109,RZ[Úroveň 5 (P0)],BB109,RZ[Úroveň 6 (P0)],BC109),$BM109*$IG109)</f>
        <v>0</v>
      </c>
      <c r="CN109" s="132">
        <f ca="1">RZ[[#This Row],[Úroveň 7 s koef. (P2a)]]*RZ[[#This Row],[Počet MJHR (P0)]]</f>
        <v>0</v>
      </c>
      <c r="CO109" s="132">
        <f ca="1">RZ[Úroveň 7 bez koef. (P2a)]*RZ[[#This Row],[Počet MJHR (P0)]]</f>
        <v>0</v>
      </c>
      <c r="CP109" s="132">
        <f ca="1">IF(OFFSET(BE109,1,0,1,1)&lt;&gt;0,RZ[[#This Row],[Koeficient odhadu HR '[-'] (P1)]]*$BN109*SUMIFS(RZ[Úroveň 8 s koef. (P2)],RZ[0],AX109,RZ[Úroveň 2 (P0)],AY109,RZ[Úroveň 3 (P0)],AZ109,RZ[Úroveň 4 (P0)],BA109,RZ[Úroveň 5 (P0)],BB109,RZ[Úroveň 6 (P0)],BC109,RZ[Úroveň 7 (P0)],BD109),RZ[[#This Row],[Koeficient odhadu HR '[-'] (P1)]]*$BN109*$IG109)</f>
        <v>0</v>
      </c>
      <c r="CQ109" s="132">
        <f ca="1">IF(OFFSET(BE109,1,0,1,1)&lt;&gt;0,$BN109*SUMIFS(RZ[Úroveň 8 bez koef. (P2)],RZ[0],AX109,RZ[Úroveň 2 (P0)],AY109,RZ[Úroveň 3 (P0)],AZ109,RZ[Úroveň 4 (P0)],BA109,RZ[Úroveň 5 (P0)],BB109,RZ[Úroveň 6 (P0)],BC109,RZ[Úroveň 7 (P0)],BD109),$BN109*$IG109)</f>
        <v>0</v>
      </c>
      <c r="CR109" s="138">
        <f ca="1">RZ[[#This Row],[Úroveň 8 s koef. (P2a)]]*RZ[[#This Row],[Počet MJHR (P0)]]</f>
        <v>0</v>
      </c>
      <c r="CS109" s="138">
        <f ca="1">RZ[Úroveň 8 bez koef. (P2a)]*RZ[[#This Row],[Počet MJHR (P0)]]</f>
        <v>0</v>
      </c>
      <c r="CT109" s="138">
        <f ca="1">IF(OFFSET(BF109,1,0,1,1)&lt;&gt;0,RZ[[#This Row],[Koeficient odhadu HR '[-'] (P1)]]*$BO109*SUMIFS(RZ[Úroveň 9 s koef. (P2)],RZ[0],AX109,RZ[Úroveň 2 (P0)],AY109,RZ[Úroveň 3 (P0)],AZ109,RZ[Úroveň 4 (P0)],BA109,RZ[Úroveň 5 (P0)],BB109,RZ[Úroveň 6 (P0)],BC109,RZ[Úroveň 7 (P0)],BD109,RZ[Úroveň 8 (P0)],BE109),RZ[[#This Row],[Koeficient odhadu HR '[-'] (P1)]]*$BO109*$IG109)</f>
        <v>0</v>
      </c>
      <c r="CU109" s="138">
        <f ca="1">IF(OFFSET(BF109,1,0,1,1)&lt;&gt;0,$BO109*SUMIFS(RZ[Úroveň 9 bez koef. (P2)],RZ[0],AX109,RZ[Úroveň 2 (P0)],AY109,RZ[Úroveň 3 (P0)],AZ109,RZ[Úroveň 4 (P0)],BA109,RZ[Úroveň 5 (P0)],BB109,RZ[Úroveň 6 (P0)],BC109,RZ[Úroveň 7 (P0)],BD109,RZ[Úroveň 8 (P0)],BE109),$BO109*$IG109)</f>
        <v>0</v>
      </c>
      <c r="CV109" s="132">
        <f ca="1">RZ[[#This Row],[Úroveň 9 s koef. (P2a)]]*RZ[[#This Row],[Počet MJHR (P0)]]</f>
        <v>0</v>
      </c>
      <c r="CW109" s="132">
        <f ca="1">RZ[Úroveň 9 bez koef. (P2a)]*RZ[[#This Row],[Počet MJHR (P0)]]</f>
        <v>0</v>
      </c>
      <c r="CX109" s="132">
        <f ca="1">IF(OFFSET(BG109,1,0,1,1)&lt;&gt;0,RZ[[#This Row],[Koeficient odhadu HR '[-'] (P1)]]*$BP109*SUMIFS(RZ[Úroveň 10 s koef. (P2)],RZ[0],AX109,RZ[Úroveň 2 (P0)],AY109,RZ[Úroveň 3 (P0)],AZ109,RZ[Úroveň 4 (P0)],BA109,RZ[Úroveň 5 (P0)],BB109,RZ[Úroveň 6 (P0)],BC109,RZ[Úroveň 7 (P0)],BD109,RZ[Úroveň 8 (P0)],BE109,RZ[Úroveň 9 (P0)],BF109),RZ[[#This Row],[Koeficient odhadu HR '[-'] (P1)]]*$BP109*$IG109)</f>
        <v>0</v>
      </c>
      <c r="CY109" s="132">
        <f ca="1">IF(OFFSET(BG109,1,0,1,1)&lt;&gt;0,$BP109*SUMIFS(RZ[Úroveň 10 bez koef. (P2)],RZ[0],AX109,RZ[Úroveň 2 (P0)],AY109,RZ[Úroveň 3 (P0)],AZ109,RZ[Úroveň 4 (P0)],BA109,RZ[Úroveň 5 (P0)],BB109,RZ[Úroveň 6 (P0)],BC109,RZ[Úroveň 7 (P0)],BD109,RZ[Úroveň 8 (P0)],BE109,RZ[Úroveň 9 (P0)],BF109),$BP109*$IG109)</f>
        <v>0</v>
      </c>
      <c r="CZ109" s="138">
        <f>RZ[[#This Row],[Úroveň 10 s koef. (P2a)]]*RZ[[#This Row],[Počet MJHR (P0)]]</f>
        <v>0</v>
      </c>
      <c r="DA109" s="138">
        <f>RZ[Úroveň 10 bez koef. (P2a)]*RZ[[#This Row],[Počet MJHR (P0)]]</f>
        <v>0</v>
      </c>
      <c r="DB109" s="138">
        <f>RZ[[#This Row],[Koeficient odhadu HR '[-'] (P1)]]*$BQ109*IG109</f>
        <v>0</v>
      </c>
      <c r="DC109" s="231">
        <f t="shared" si="752"/>
        <v>0</v>
      </c>
      <c r="DD109" s="241">
        <f t="shared" ca="1" si="753"/>
        <v>157.1</v>
      </c>
      <c r="DE109" s="229">
        <f t="shared" ca="1" si="754"/>
        <v>157.1</v>
      </c>
      <c r="DF109" s="912">
        <f t="shared" si="755"/>
        <v>0</v>
      </c>
      <c r="DG109" s="913">
        <f t="shared" si="756"/>
        <v>0</v>
      </c>
      <c r="DH109" s="913">
        <f t="shared" si="757"/>
        <v>2</v>
      </c>
      <c r="DI109" s="913">
        <f t="shared" si="758"/>
        <v>0</v>
      </c>
      <c r="DJ109" s="913">
        <f t="shared" si="759"/>
        <v>0</v>
      </c>
      <c r="DK109" s="913">
        <f t="shared" si="760"/>
        <v>0</v>
      </c>
      <c r="DL109" s="913">
        <f t="shared" si="761"/>
        <v>0</v>
      </c>
      <c r="DM109" s="913">
        <f t="shared" si="762"/>
        <v>0</v>
      </c>
      <c r="DN109" s="913">
        <f t="shared" si="763"/>
        <v>0</v>
      </c>
      <c r="DO109" s="913">
        <f t="shared" si="764"/>
        <v>0</v>
      </c>
      <c r="DP109" s="914">
        <f ca="1">SUMIFS(RZ[Úroveň 1 (P4)],RZ[0],AX109)</f>
        <v>1</v>
      </c>
      <c r="DQ109" s="914">
        <f ca="1">SUMIFS(RZ[Úroveň 2 (P4)],RZ[0],AX109,RZ[Úroveň 2 (P0)],AY109)</f>
        <v>1</v>
      </c>
      <c r="DR109" s="914">
        <f ca="1">SUMIFS(RZ[Úroveň 3 (P4)],RZ[0],AX109,RZ[Úroveň 2 (P0)],AY109,RZ[Úroveň 3 (P0)],AZ109)</f>
        <v>2</v>
      </c>
      <c r="DS109" s="914">
        <f ca="1">SUMIFS(RZ[Úroveň 4 (P4)],RZ[0],AX109,RZ[Úroveň 2 (P0)],AY109,RZ[Úroveň 3 (P0)],AZ109,RZ[Úroveň 4 (P0)],BA109)</f>
        <v>0</v>
      </c>
      <c r="DT109" s="914">
        <f ca="1">SUMIFS(RZ[Úroveň 5 (P4)],RZ[0],AX109,RZ[Úroveň 2 (P0)],AY109,RZ[Úroveň 3 (P0)],AZ109,RZ[Úroveň 4 (P0)],BA109,RZ[Úroveň 5 (P0)],BB109)</f>
        <v>0</v>
      </c>
      <c r="DU109" s="914">
        <f ca="1">SUMIFS(RZ[Úroveň 6 (P4)],RZ[0],AX109,RZ[Úroveň 2 (P0)],AY109,RZ[Úroveň 3 (P0)],AZ109,RZ[Úroveň 4 (P0)],BA109,RZ[Úroveň 5 (P0)],BB109,RZ[Úroveň 6 (P0)],BC109)</f>
        <v>0</v>
      </c>
      <c r="DV109" s="914">
        <f ca="1">SUMIFS(RZ[Úroveň 7 (P4)],RZ[0],AX109,RZ[Úroveň 2 (P0)],AY109,RZ[Úroveň 3 (P0)],AZ109,RZ[Úroveň 4 (P0)],BA109,RZ[Úroveň 5 (P0)],BB109,RZ[Úroveň 6 (P0)],BC109,RZ[Úroveň 7 (P0)],BD109)</f>
        <v>0</v>
      </c>
      <c r="DW109" s="914">
        <f ca="1">SUMIFS(RZ[Úroveň 8 (P4)],RZ[0],AX109,RZ[Úroveň 2 (P0)],AY109,RZ[Úroveň 3 (P0)],AZ109,RZ[Úroveň 4 (P0)],BA109,RZ[Úroveň 5 (P0)],BB109,RZ[Úroveň 6 (P0)],BC109,RZ[Úroveň 7 (P0)],BD109,RZ[Úroveň 8 (P0)],BE109)</f>
        <v>0</v>
      </c>
      <c r="DX109" s="914">
        <f ca="1">SUMIFS(RZ[Úroveň 9 (P4)],RZ[0],AX109,RZ[Úroveň 2 (P0)],AY109,RZ[Úroveň 3 (P0)],AZ109,RZ[Úroveň 4 (P0)],BA109,RZ[Úroveň 5 (P0)],BB109,RZ[Úroveň 6 (P0)],BC109,RZ[Úroveň 7 (P0)],BD109,RZ[Úroveň 8 (P0)],BE109,RZ[Úroveň 9 (P0)],BF109)</f>
        <v>0</v>
      </c>
      <c r="DY109" s="914">
        <f ca="1">SUMIFS(RZ[Úroveň 10 (P4)],RZ[0],AX109,RZ[Úroveň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DZ109" s="915">
        <f t="shared" ca="1" si="765"/>
        <v>2</v>
      </c>
      <c r="EA109" s="916">
        <f ca="1">RZ[[#This Row],[Jednotková hmotnost bez koef. '[kg/MJHR'] (P0)]]*RZ[[#This Row],[Počet MJHR v rozpadu (P0)]]</f>
        <v>314.2</v>
      </c>
      <c r="EB109" s="917">
        <f ca="1">IF(OFFSET(AY109,1,0,1,1)&lt;&gt;0,RZ[[#This Row],[Koeficient odhadu CR '[-'] (P1)]]*$BH109*SUMIFS(RZ[Úroveň 2 s koef. (P3)],RZ[0],AX109),RZ[[#This Row],[Koeficient odhadu CR '[-'] (P1)]]*$BH109*$IQ109)</f>
        <v>0</v>
      </c>
      <c r="EC109" s="191">
        <f ca="1">IF(OFFSET(AY109,1,0,1,1)&lt;&gt;0,$BH109*SUMIFS(RZ[Úroveň 2 bez koef. (P3)],RZ[0],AX109),$BH109*$IQ109)</f>
        <v>0</v>
      </c>
      <c r="ED109" s="140">
        <f ca="1">RZ[[#This Row],[Úroveň 2 s koef. (P3a)]]*RZ[[#This Row],[Počet MJCR (P0) pro "kg"]]</f>
        <v>0</v>
      </c>
      <c r="EE109" s="140">
        <f ca="1">RZ[Úroveň 2 bez koef. (P3a)]*RZ[[#This Row],[Počet MJCR (P0) pro "kg"]]</f>
        <v>0</v>
      </c>
      <c r="EF109" s="140">
        <f ca="1">IF(OFFSET(AZ109,1,0,1,1)&lt;&gt;0,RZ[[#This Row],[Koeficient odhadu CR '[-'] (P1)]]*$BI109*SUMIFS(RZ[Úroveň 3 s koef. (P3)],RZ[0],AX109,RZ[Úroveň 2 (P0)],AY109),RZ[[#This Row],[Koeficient odhadu CR '[-'] (P1)]]*$BI109*$IQ109)</f>
        <v>0</v>
      </c>
      <c r="EG109" s="140">
        <f ca="1">IF(OFFSET(AZ109,1,0,1,1)&lt;&gt;0,$BI109*SUMIFS(RZ[Úroveň 3 bez koef. (P3)],RZ[0],AX109,RZ[Úroveň 2 (P0)],AY109),$BI109*$IQ109)</f>
        <v>0</v>
      </c>
      <c r="EH109" s="135">
        <f ca="1">RZ[[#This Row],[Úroveň 3 s koef. (P3a)]]*RZ[[#This Row],[Počet MJCR (P0) pro "kg"]]</f>
        <v>110000</v>
      </c>
      <c r="EI109" s="135">
        <f ca="1">RZ[Úroveň 3 bez koef. (P3a)]*RZ[[#This Row],[Počet MJCR (P0) pro "kg"]]</f>
        <v>110000</v>
      </c>
      <c r="EJ109" s="135">
        <f ca="1">IF(OFFSET(BA109,1,0,1,1)&lt;&gt;0,RZ[[#This Row],[Koeficient odhadu CR '[-'] (P1)]]*$BJ109*SUMIFS(RZ[Úroveň 4 s koef. (P3)],RZ[0],AX109,RZ[Úroveň 2 (P0)],AY109,RZ[Úroveň 3 (P0)],AZ109),RZ[[#This Row],[Koeficient odhadu CR '[-'] (P1)]]*$BJ109*$IQ109)</f>
        <v>55000</v>
      </c>
      <c r="EK109" s="135">
        <f ca="1">IF(OFFSET(BA109,1,0,1,1)&lt;&gt;0,$BJ109*SUMIFS(RZ[Úroveň 4 bez koef. (P3)],RZ[0],AX109,RZ[Úroveň 2 (P0)],AY109,RZ[Úroveň 3 (P0)],AZ109),$BJ109*$IQ109)</f>
        <v>55000</v>
      </c>
      <c r="EL109" s="140">
        <f ca="1">RZ[[#This Row],[Úroveň 4 s koef. (P3a)]]*RZ[[#This Row],[Počet MJCR (P0) pro "kg"]]</f>
        <v>0</v>
      </c>
      <c r="EM109" s="140">
        <f ca="1">RZ[Úroveň 4 bez koef. (P3a)]*RZ[[#This Row],[Počet MJCR (P0) pro "kg"]]</f>
        <v>0</v>
      </c>
      <c r="EN109" s="140">
        <f ca="1">IF(OFFSET(BB109,1,0,1,1)&lt;&gt;0,RZ[[#This Row],[Koeficient odhadu CR '[-'] (P1)]]*$BK109*SUMIFS(RZ[Úroveň 5 s koef. (P3)],RZ[0],AX109,RZ[Úroveň 2 (P0)],AY109,RZ[Úroveň 3 (P0)],AZ109,RZ[Úroveň 4 (P0)],BA109),RZ[[#This Row],[Koeficient odhadu CR '[-'] (P1)]]*$BK109*$IQ109)</f>
        <v>0</v>
      </c>
      <c r="EO109" s="140">
        <f ca="1">IF(OFFSET(BB109,1,0,1,1)&lt;&gt;0,$BK109*SUMIFS(RZ[Úroveň 5 bez koef. (P3)],RZ[0],AX109,RZ[Úroveň 2 (P0)],AY109,RZ[Úroveň 3 (P0)],AZ109,RZ[Úroveň 4 (P0)],BA109),$BK109*$IQ109)</f>
        <v>0</v>
      </c>
      <c r="EP109" s="135">
        <f ca="1">RZ[[#This Row],[Úroveň 5 s koef. (P3a)]]*RZ[[#This Row],[Počet MJCR (P0) pro "kg"]]</f>
        <v>0</v>
      </c>
      <c r="EQ109" s="135">
        <f ca="1">RZ[Úroveň 5 bez koef. (P3a)]*RZ[[#This Row],[Počet MJCR (P0) pro "kg"]]</f>
        <v>0</v>
      </c>
      <c r="ER109" s="135">
        <f ca="1">IF(OFFSET(BC109,1,0,1,1)&lt;&gt;0,RZ[[#This Row],[Koeficient odhadu CR '[-'] (P1)]]*$BL109*SUMIFS(RZ[Úroveň 6 s koef. (P3)],RZ[0],AX109,RZ[Úroveň 2 (P0)],AY109,RZ[Úroveň 3 (P0)],AZ109,RZ[Úroveň 4 (P0)],BA109,RZ[Úroveň 5 (P0)],BB109),RZ[[#This Row],[Koeficient odhadu CR '[-'] (P1)]]*$BL109*$IQ109)</f>
        <v>0</v>
      </c>
      <c r="ES109" s="135">
        <f ca="1">IF(OFFSET(BC109,1,0,1,1)&lt;&gt;0,$BL109*SUMIFS(RZ[Úroveň 6 bez koef. (P3)],RZ[0],AX109,RZ[Úroveň 2 (P0)],AY109,RZ[Úroveň 3 (P0)],AZ109,RZ[Úroveň 4 (P0)],BA109,RZ[Úroveň 5 (P0)],BB109),$BL109*$IQ109)</f>
        <v>0</v>
      </c>
      <c r="ET109" s="140">
        <f ca="1">RZ[[#This Row],[Úroveň 6 s koef. (P3a)]]*RZ[[#This Row],[Počet MJCR (P0) pro "kg"]]</f>
        <v>0</v>
      </c>
      <c r="EU109" s="140">
        <f ca="1">RZ[Úroveň 6 bez koef. (P3a)]*RZ[[#This Row],[Počet MJCR (P0) pro "kg"]]</f>
        <v>0</v>
      </c>
      <c r="EV109" s="140">
        <f ca="1">IF(OFFSET(BD109,1,0,1,1)&lt;&gt;0,RZ[[#This Row],[Koeficient odhadu CR '[-'] (P1)]]*$BM109*SUMIFS(RZ[Úroveň 7 s koef. (P3)],RZ[0],AX109,RZ[Úroveň 2 (P0)],AY109,RZ[Úroveň 3 (P0)],AZ109,RZ[Úroveň 4 (P0)],BA109,RZ[Úroveň 5 (P0)],BB109,RZ[Úroveň 6 (P0)],BC109),RZ[[#This Row],[Koeficient odhadu CR '[-'] (P1)]]*$BM109*$IQ109)</f>
        <v>0</v>
      </c>
      <c r="EW109" s="140">
        <f ca="1">IF(OFFSET(BD109,1,0,1,1)&lt;&gt;0,$BM109*SUMIFS(RZ[Úroveň 7 bez koef. (P3)],RZ[0],AX109,RZ[Úroveň 2 (P0)],AY109,RZ[Úroveň 3 (P0)],AZ109,RZ[Úroveň 4 (P0)],BA109,RZ[Úroveň 5 (P0)],BB109,RZ[Úroveň 6 (P0)],BC109),$BM109*$IQ109)</f>
        <v>0</v>
      </c>
      <c r="EX109" s="135">
        <f ca="1">RZ[[#This Row],[Úroveň 7 s koef. (P3a)]]*RZ[[#This Row],[Počet MJCR (P0) pro "kg"]]</f>
        <v>0</v>
      </c>
      <c r="EY109" s="135">
        <f ca="1">RZ[Úroveň 7 bez koef. (P3a)]*RZ[[#This Row],[Počet MJCR (P0) pro "kg"]]</f>
        <v>0</v>
      </c>
      <c r="EZ109" s="135">
        <f ca="1">IF(OFFSET(BE109,1,0,1,1)&lt;&gt;0,RZ[[#This Row],[Koeficient odhadu CR '[-'] (P1)]]*$BN109*SUMIFS(RZ[Úroveň 8 s koef. (P3)],RZ[0],AX109,RZ[Úroveň 2 (P0)],AY109,RZ[Úroveň 3 (P0)],AZ109,RZ[Úroveň 4 (P0)],BA109,RZ[Úroveň 5 (P0)],BB109,RZ[Úroveň 6 (P0)],BC109,RZ[Úroveň 7 (P0)],BD109),RZ[[#This Row],[Koeficient odhadu CR '[-'] (P1)]]*$BN109*$IQ109)</f>
        <v>0</v>
      </c>
      <c r="FA109" s="135">
        <f ca="1">IF(OFFSET(BE109,1,0,1,1)&lt;&gt;0,$BN109*SUMIFS(RZ[Úroveň 8 bez koef. (P3)],RZ[0],AX109,RZ[Úroveň 2 (P0)],AY109,RZ[Úroveň 3 (P0)],AZ109,RZ[Úroveň 4 (P0)],BA109,RZ[Úroveň 5 (P0)],BB109,RZ[Úroveň 6 (P0)],BC109,RZ[Úroveň 7 (P0)],BD109),$BN109*$IQ109)</f>
        <v>0</v>
      </c>
      <c r="FB109" s="140">
        <f ca="1">RZ[[#This Row],[Úroveň 8 s koef. (P3a)]]*RZ[[#This Row],[Počet MJCR (P0) pro "kg"]]</f>
        <v>0</v>
      </c>
      <c r="FC109" s="140">
        <f ca="1">RZ[Úroveň 8 bez koef. (P3a)]*RZ[[#This Row],[Počet MJCR (P0) pro "kg"]]</f>
        <v>0</v>
      </c>
      <c r="FD109" s="140">
        <f ca="1">IF(OFFSET(BF109,1,0,1,1)&lt;&gt;0,RZ[[#This Row],[Koeficient odhadu CR '[-'] (P1)]]*$BO109*SUMIFS(RZ[Úroveň 9 s koef. (P3)],RZ[0],AX109,RZ[Úroveň 2 (P0)],AY109,RZ[Úroveň 3 (P0)],AZ109,RZ[Úroveň 4 (P0)],BA109,RZ[Úroveň 5 (P0)],BB109,RZ[Úroveň 6 (P0)],BC109,RZ[Úroveň 7 (P0)],BD109,RZ[Úroveň 8 (P0)],BE109),RZ[[#This Row],[Koeficient odhadu CR '[-'] (P1)]]*$BO109*$IQ109)</f>
        <v>0</v>
      </c>
      <c r="FE109" s="140">
        <f ca="1">IF(OFFSET(BF109,1,0,1,1)&lt;&gt;0,$BO109*SUMIFS(RZ[Úroveň 9 bez koef. (P3)],RZ[0],AX109,RZ[Úroveň 2 (P0)],AY109,RZ[Úroveň 3 (P0)],AZ109,RZ[Úroveň 4 (P0)],BA109,RZ[Úroveň 5 (P0)],BB109,RZ[Úroveň 6 (P0)],BC109,RZ[Úroveň 7 (P0)],BD109,RZ[Úroveň 8 (P0)],BE109),$BO109*$IQ109)</f>
        <v>0</v>
      </c>
      <c r="FF109" s="135">
        <f ca="1">RZ[[#This Row],[Úroveň 9 s koef. (P3a)]]*RZ[[#This Row],[Počet MJCR (P0) pro "kg"]]</f>
        <v>0</v>
      </c>
      <c r="FG109" s="135">
        <f ca="1">RZ[Úroveň 9 bez koef. (P3a)]*RZ[[#This Row],[Počet MJCR (P0) pro "kg"]]</f>
        <v>0</v>
      </c>
      <c r="FH109" s="135">
        <f ca="1">IF(OFFSET(BG109,1,0,1,1)&lt;&gt;0,RZ[[#This Row],[Koeficient odhadu CR '[-'] (P1)]]*$BP109*SUMIFS(RZ[Úroveň 10 s koef. (P3)],RZ[0],AX109,RZ[Úroveň 2 (P0)],AY109,RZ[Úroveň 3 (P0)],AZ109,RZ[Úroveň 4 (P0)],BA109,RZ[Úroveň 5 (P0)],BB109,RZ[Úroveň 6 (P0)],BC109,RZ[Úroveň 7 (P0)],BD109,RZ[Úroveň 8 (P0)],BE109,RZ[Úroveň 9 (P0)],BF109),RZ[[#This Row],[Koeficient odhadu CR '[-'] (P1)]]*$BP109*$IQ109)</f>
        <v>0</v>
      </c>
      <c r="FI109" s="135">
        <f ca="1">IF(OFFSET(BG109,1,0,1,1)&lt;&gt;0,$BP109*SUMIFS(RZ[Úroveň 10 bez koef. (P3)],RZ[0],AX109,RZ[Úroveň 2 (P0)],AY109,RZ[Úroveň 3 (P0)],AZ109,RZ[Úroveň 4 (P0)],BA109,RZ[Úroveň 5 (P0)],BB109,RZ[Úroveň 6 (P0)],BC109,RZ[Úroveň 7 (P0)],BD109,RZ[Úroveň 8 (P0)],BE109,RZ[Úroveň 9 (P0)],BF109),$BP109*$IQ109)</f>
        <v>0</v>
      </c>
      <c r="FJ109" s="140">
        <f ca="1">RZ[[#This Row],[Úroveň 10 s koef. (P3a)]]*RZ[[#This Row],[Počet MJCR (P0) pro "kg"]]</f>
        <v>0</v>
      </c>
      <c r="FK109" s="140">
        <f ca="1">RZ[Úroveň 10 bez koef. (P3a)]*RZ[[#This Row],[Počet MJCR (P0) pro "kg"]]</f>
        <v>0</v>
      </c>
      <c r="FL109" s="140">
        <f ca="1">RZ[[#This Row],[Koeficient odhadu CR '[-'] (P1)]]*$BQ109*IQ109</f>
        <v>0</v>
      </c>
      <c r="FM109" s="236">
        <f t="shared" ca="1" si="766"/>
        <v>0</v>
      </c>
      <c r="FN109" s="194">
        <f t="shared" ca="1" si="767"/>
        <v>55000</v>
      </c>
      <c r="FO109" s="238">
        <f t="shared" ca="1" si="768"/>
        <v>55000</v>
      </c>
      <c r="FP109" s="135">
        <f t="shared" ca="1" si="769"/>
        <v>0</v>
      </c>
      <c r="FQ109" s="135">
        <f t="shared" ca="1" si="770"/>
        <v>0</v>
      </c>
      <c r="FR109" s="135">
        <f t="shared" ca="1" si="771"/>
        <v>2</v>
      </c>
      <c r="FS109" s="135">
        <f t="shared" ca="1" si="772"/>
        <v>0</v>
      </c>
      <c r="FT109" s="135">
        <f t="shared" ca="1" si="773"/>
        <v>0</v>
      </c>
      <c r="FU109" s="135">
        <f t="shared" ca="1" si="774"/>
        <v>0</v>
      </c>
      <c r="FV109" s="135">
        <f t="shared" ca="1" si="775"/>
        <v>0</v>
      </c>
      <c r="FW109" s="135">
        <f t="shared" ca="1" si="776"/>
        <v>0</v>
      </c>
      <c r="FX109" s="135">
        <f t="shared" ca="1" si="777"/>
        <v>0</v>
      </c>
      <c r="FY109" s="135">
        <f t="shared" ca="1" si="778"/>
        <v>0</v>
      </c>
      <c r="FZ109" s="140">
        <f ca="1">SUMIFS(RZ[Úroveň 1 (P6)],RZ[0],AX109)</f>
        <v>1</v>
      </c>
      <c r="GA109" s="140">
        <f ca="1">SUMIFS(RZ[Úroveň 2 (P6)],RZ[0],AX109,RZ[Úroveň 2 (P0)],AY109)</f>
        <v>1</v>
      </c>
      <c r="GB109" s="140">
        <f ca="1">SUMIFS(RZ[Úroveň 3 (P6)],RZ[0],AX109,RZ[Úroveň 2 (P0)],AY109,RZ[Úroveň 3 (P0)],AZ109)</f>
        <v>2</v>
      </c>
      <c r="GC109" s="140">
        <f ca="1">SUMIFS(RZ[Úroveň 4 (P6)],RZ[0],AX109,RZ[Úroveň 2 (P0)],AY109,RZ[Úroveň 3 (P0)],AZ109,RZ[Úroveň 4 (P0)],BA109)</f>
        <v>0</v>
      </c>
      <c r="GD109" s="140">
        <f ca="1">SUMIFS(RZ[Úroveň 5 (P6)],RZ[0],AX109,RZ[Úroveň 2 (P0)],AY109,RZ[Úroveň 3 (P0)],AZ109,RZ[Úroveň 4 (P0)],BA109,RZ[Úroveň 5 (P0)],BB109)</f>
        <v>0</v>
      </c>
      <c r="GE109" s="140">
        <f ca="1">SUMIFS(RZ[Úroveň 6 (P6)],RZ[0],AX109,RZ[Úroveň 2 (P0)],AY109,RZ[Úroveň 3 (P0)],AZ109,RZ[Úroveň 4 (P0)],BA109,RZ[Úroveň 5 (P0)],BB109,RZ[Úroveň 6 (P0)],BC109)</f>
        <v>0</v>
      </c>
      <c r="GF109" s="140">
        <f ca="1">SUMIFS(RZ[Úroveň 7 (P6)],RZ[0],AX109,RZ[Úroveň 2 (P0)],AY109,RZ[Úroveň 3 (P0)],AZ109,RZ[Úroveň 4 (P0)],BA109,RZ[Úroveň 5 (P0)],BB109,RZ[Úroveň 6 (P0)],BC109,RZ[Úroveň 7 (P0)],BD109)</f>
        <v>0</v>
      </c>
      <c r="GG109" s="140">
        <f ca="1">SUMIFS(RZ[Úroveň 8 (P6)],RZ[0],AX109,RZ[Úroveň 2 (P0)],AY109,RZ[Úroveň 3 (P0)],AZ109,RZ[Úroveň 4 (P0)],BA109,RZ[Úroveň 5 (P0)],BB109,RZ[Úroveň 6 (P0)],BC109,RZ[Úroveň 7 (P0)],BD109,RZ[Úroveň 8 (P0)],BE109)</f>
        <v>0</v>
      </c>
      <c r="GH109" s="140">
        <f ca="1">SUMIFS(RZ[Úroveň 9 (P6)],RZ[0],AX109,RZ[Úroveň 2 (P0)],AY109,RZ[Úroveň 3 (P0)],AZ109,RZ[Úroveň 4 (P0)],BA109,RZ[Úroveň 5 (P0)],BB109,RZ[Úroveň 6 (P0)],BC109,RZ[Úroveň 7 (P0)],BD109,RZ[Úroveň 8 (P0)],BE109,RZ[Úroveň 9 (P0)],BF109)</f>
        <v>0</v>
      </c>
      <c r="GI109" s="140">
        <f ca="1">SUMIFS(RZ[Úroveň 10 (P6)],RZ[0],AX109,RZ[Úroveň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GJ109" s="918">
        <f t="shared" ca="1" si="779"/>
        <v>2</v>
      </c>
      <c r="GK109" s="808">
        <f t="shared" si="780"/>
        <v>0</v>
      </c>
      <c r="GL109" s="808">
        <f t="shared" si="781"/>
        <v>0</v>
      </c>
      <c r="GM109" s="808">
        <f t="shared" si="782"/>
        <v>1</v>
      </c>
      <c r="GN109" s="808">
        <f t="shared" si="783"/>
        <v>0</v>
      </c>
      <c r="GO109" s="808">
        <f t="shared" si="784"/>
        <v>0</v>
      </c>
      <c r="GP109" s="808">
        <f t="shared" si="785"/>
        <v>0</v>
      </c>
      <c r="GQ109" s="808">
        <f t="shared" si="786"/>
        <v>0</v>
      </c>
      <c r="GR109" s="808">
        <f t="shared" si="787"/>
        <v>0</v>
      </c>
      <c r="GS109" s="808">
        <f t="shared" si="788"/>
        <v>0</v>
      </c>
      <c r="GT109" s="808">
        <f t="shared" si="789"/>
        <v>0</v>
      </c>
      <c r="GU109" s="809">
        <f ca="1">SUMIFS(RZ[Sloupec1],RZ[0],AX109)</f>
        <v>1</v>
      </c>
      <c r="GV109" s="809">
        <f ca="1">SUMIFS(RZ[Sloupec2],RZ[0],AX109,RZ[Úroveň 2 (P0)],AY109)</f>
        <v>1</v>
      </c>
      <c r="GW109" s="809">
        <f ca="1">SUMIFS(RZ[Sloupec3],RZ[0],AX109,RZ[Úroveň 2 (P0)],AY109,RZ[Úroveň 3 (P0)],AZ109)</f>
        <v>1</v>
      </c>
      <c r="GX109" s="809">
        <f ca="1">SUMIFS(RZ[Sloupec4],RZ[0],AX109,RZ[Úroveň 2 (P0)],AY109,RZ[Úroveň 3 (P0)],AZ109,RZ[Úroveň 4 (P0)],BA109)</f>
        <v>0</v>
      </c>
      <c r="GY109" s="809">
        <f ca="1">SUMIFS(RZ[Sloupec5],RZ[0],AX109,RZ[Úroveň 2 (P0)],AY109,RZ[Úroveň 3 (P0)],AZ109,RZ[Úroveň 4 (P0)],BA109,RZ[Úroveň 5 (P0)],BB109)</f>
        <v>0</v>
      </c>
      <c r="GZ109" s="809">
        <f ca="1">SUMIFS(RZ[Sloupec6],RZ[0],AX109,RZ[Úroveň 2 (P0)],AY109,RZ[Úroveň 3 (P0)],AZ109,RZ[Úroveň 4 (P0)],BA109,RZ[Úroveň 5 (P0)],BB109,RZ[Úroveň 6 (P0)],BC109)</f>
        <v>0</v>
      </c>
      <c r="HA109" s="809">
        <f ca="1">SUMIFS(RZ[Sloupec62],RZ[0],AX109,RZ[Úroveň 2 (P0)],AY109,RZ[Úroveň 3 (P0)],AZ109,RZ[Úroveň 4 (P0)],BA109,RZ[Úroveň 5 (P0)],BB109,RZ[Úroveň 6 (P0)],BC109,RZ[Úroveň 7 (P0)],BD109)</f>
        <v>0</v>
      </c>
      <c r="HB109" s="809">
        <f ca="1">SUMIFS(RZ[Sloupec63],RZ[0],AX109,RZ[Úroveň 2 (P0)],AY109,RZ[Úroveň 3 (P0)],AZ109,RZ[Úroveň 4 (P0)],BA109,RZ[Úroveň 5 (P0)],BB109,RZ[Úroveň 6 (P0)],BC109,RZ[Úroveň 7 (P0)],BD109,RZ[Úroveň 8 (P0)],BE109)</f>
        <v>0</v>
      </c>
      <c r="HC109" s="809">
        <f ca="1">SUMIFS(RZ[Sloupec64],RZ[0],AX109,RZ[Úroveň 2 (P0)],AY109,RZ[Úroveň 3 (P0)],AZ109,RZ[Úroveň 4 (P0)],BA109,RZ[Úroveň 5 (P0)],BB109,RZ[Úroveň 6 (P0)],BC109,RZ[Úroveň 7 (P0)],BD109,RZ[Úroveň 8 (P0)],BE109,RZ[Úroveň 9 (P0)],BF109)</f>
        <v>0</v>
      </c>
      <c r="HD109" s="809">
        <f ca="1">SUMIFS(RZ[Sloupec65],RZ[0],AX109,RZ[Úroveň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HE109" s="919">
        <f t="shared" ca="1" si="790"/>
        <v>1</v>
      </c>
      <c r="HF109" s="920" t="str">
        <f t="shared" si="791"/>
        <v/>
      </c>
      <c r="HG109" s="94" t="str">
        <f t="shared" si="792"/>
        <v/>
      </c>
      <c r="HH109" s="95" t="str">
        <f t="shared" si="793"/>
        <v/>
      </c>
      <c r="HI109" s="95" t="str">
        <f t="shared" si="794"/>
        <v>Brzda posuvu mostu</v>
      </c>
      <c r="HJ109" s="96" t="str">
        <f t="shared" si="795"/>
        <v/>
      </c>
      <c r="HK109" s="96" t="str">
        <f t="shared" si="796"/>
        <v/>
      </c>
      <c r="HL109" s="96" t="str">
        <f t="shared" si="797"/>
        <v/>
      </c>
      <c r="HM109" s="96" t="str">
        <f t="shared" si="798"/>
        <v/>
      </c>
      <c r="HN109" s="96" t="str">
        <f t="shared" si="799"/>
        <v/>
      </c>
      <c r="HO109" s="96" t="str">
        <f t="shared" si="800"/>
        <v/>
      </c>
      <c r="HP109" s="96" t="str">
        <f t="shared" si="801"/>
        <v/>
      </c>
      <c r="HQ109" s="145" t="str">
        <f t="shared" si="802"/>
        <v>STBR</v>
      </c>
      <c r="HR109" s="921" t="str">
        <f t="shared" si="803"/>
        <v/>
      </c>
      <c r="HS109" s="173">
        <f t="shared" si="804"/>
        <v>0</v>
      </c>
      <c r="HT109" s="100">
        <f t="shared" si="805"/>
        <v>0</v>
      </c>
      <c r="HU109" s="100">
        <f t="shared" si="806"/>
        <v>0</v>
      </c>
      <c r="HV109" s="908" t="str">
        <f t="shared" si="807"/>
        <v>Zajíc</v>
      </c>
      <c r="HW109" s="922">
        <f t="shared" si="808"/>
        <v>42950.612233796295</v>
      </c>
      <c r="HX109" s="224">
        <f t="shared" si="809"/>
        <v>0</v>
      </c>
      <c r="HY109" s="263" t="str">
        <f t="shared" si="810"/>
        <v>S</v>
      </c>
      <c r="HZ109" s="263" t="str">
        <f t="shared" si="811"/>
        <v>N</v>
      </c>
      <c r="IA109" s="150">
        <f t="shared" si="812"/>
        <v>1</v>
      </c>
      <c r="IB109" s="319">
        <f t="shared" si="813"/>
        <v>55000</v>
      </c>
      <c r="IC109" s="923">
        <f t="shared" si="814"/>
        <v>1</v>
      </c>
      <c r="ID109" s="924" t="str">
        <f t="shared" ca="1" si="815"/>
        <v>OK</v>
      </c>
      <c r="IE109" s="201" t="str">
        <f t="shared" si="816"/>
        <v>ks</v>
      </c>
      <c r="IF109" s="145">
        <f t="shared" si="817"/>
        <v>2</v>
      </c>
      <c r="IG109" s="216">
        <f t="shared" si="818"/>
        <v>157.1</v>
      </c>
      <c r="IH109" s="217">
        <f t="shared" si="819"/>
        <v>1</v>
      </c>
      <c r="II109" s="224" t="str">
        <f ca="1">IF(RZ[[#This Row],[Rozhodný sloupec indikativní ceny]]=1,"kg",IF($IW109=$JL$15,IF(JX109=0,JO109,JX109),IF($IW109=$KE$15,IF(KQ109=0,KH109,KQ109),IF($IW109=$KX$15,IF(LJ109=0,LA109,LJ109),IF($IW109=$LQ$15,IF(MC109=0,LT109,MC109),IF($IW109=$MJ$15,IF(NQ109=0,NH109,NQ109),0))))))</f>
        <v>ks</v>
      </c>
      <c r="IJ109" s="224">
        <f ca="1">IF((BH109+OFFSET(BH109,1,1,1,1))=2,RZ[[#This Row],[Počet MJHR (P0)]],IF((BI109+OFFSET(BI109,1,1,1,1))=2,RZ[[#This Row],[Počet MJHR (P0)]],IF((BJ109+OFFSET(BJ109,1,1,1,1))=2,RZ[[#This Row],[Počet MJHR (P0)]],IF((BK109+OFFSET(BK109,1,1,1,1))=2,RZ[[#This Row],[Počet MJHR (P0)]],IF((BL109+OFFSET(BL109,1,1,1,1))=2,RZ[[#This Row],[Počet MJHR (P0)]],IF((BM109+OFFSET(BM109,1,1,1,1))=2,RZ[[#This Row],[Počet MJHR (P0)]],IF((BN109+OFFSET(BN109,1,1,1,1))=2,RZ[[#This Row],[Počet MJHR (P0)]],IF((BO109+OFFSET(BO109,1,1,1,1))=2,RZ[[#This Row],[Počet MJHR (P0)]],IF((BP109+OFFSET(BP109,1,1,1,1))=2,RZ[[#This Row],[Počet MJHR (P0)]],IF((BQ109+OFFSET(BQ109,1,1,1,1))=2,RZ[[#This Row],[Počet MJHR (P0)]],IF(RZ[[#This Row],[Měrná jednotka CR (MJCR) (P0)]]=RZ[[#This Row],[Měrná jednotka HR '[MJHR'] (P0)]],RZ[[#This Row],[Počet MJHR (P0)]],IF($IW109=$JL$15,JY109,IF($IW109=$KE$15,KR109,IF($IW109=$KX$15,LK109,IF($IW109=$LQ$15,MD109,IF($IW109=$MJ$15,NR109,0))))))))))))))))</f>
        <v>2</v>
      </c>
      <c r="IK10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9" s="145">
        <f ca="1">IF(AND(RZ[[#This Row],[Jednotková cena bez DPH '[cena/MJCR'] (P0)]]=0,RZ[[#This Row],[Indikativní jednotková cena '[CZK/kg'] (P1)]]&lt;&gt;0),1,0)</f>
        <v>0</v>
      </c>
      <c r="IM109" s="217">
        <f ca="1">VLOOKUP(RZ[[#This Row],[Kód položek]],INDIKAT_CENA,2,FALSE)</f>
        <v>0</v>
      </c>
      <c r="IN109" s="222">
        <f ca="1">IF(RZ[[#This Row],[Rozhodný sloupec indikativní ceny]]=1,RZ[[#This Row],[Indikativní jednotková cena '[CZK/kg'] (P1)]],RZ[[#This Row],[Jednotková cena bez DPH '[cena/MJCR'] (P0)]])</f>
        <v>55000</v>
      </c>
      <c r="IO109" s="222">
        <f t="shared" si="820"/>
        <v>1</v>
      </c>
      <c r="IP109" s="224">
        <f ca="1">IF(RZ[[#This Row],[Rozhodný sloupec indikativní ceny]]=1,1,IF($IW109=$JL$15,KA109,IF($IW109=$KE$15,KT109,IF($IW109=$KX$15,LM109,IF($IW109=$LQ$15,MF109,IF($IW109=$MJ$15,NT109,0))))))</f>
        <v>1</v>
      </c>
      <c r="IQ109" s="225">
        <f ca="1">IF(RZ[[#This Row],[Jednotková cena bez DPH '[cena/MJCR'] (P1)]]="",0,IF(IP109=0,0,(RZ[[#This Row],[Jednotková cena bez DPH '[cena/MJCR'] (P1)]]*VLOOKUP(IP109,$BR$7:$BT$10,3))))</f>
        <v>55000</v>
      </c>
      <c r="IR109" s="737"/>
      <c r="IS109" s="627">
        <f>IF(HY109=0,"",VLOOKUP(RZ[[#This Row],[Stav Projekce (P0)]],Vstupy!$E$11:'Vstupy'!$E$11:$H$17,4,FALSE))</f>
        <v>100</v>
      </c>
      <c r="IT109" s="925" t="str">
        <f>IF(RZ[[#This Row],[Stav Projekce (P0)]]=0,"",RZ[[#This Row],[Stav Projekce (P0)]])</f>
        <v>S</v>
      </c>
      <c r="IU109" s="925" t="str">
        <f>IF(RZ[[#This Row],[Stav Nákup (P0)]]=0,"",RZ[[#This Row],[Stav Nákup (P0)]])</f>
        <v>N</v>
      </c>
      <c r="IV109" s="926" t="str">
        <f t="shared" si="821"/>
        <v>Zajíc</v>
      </c>
      <c r="IW109" s="641">
        <v>1</v>
      </c>
      <c r="IX109" s="630"/>
      <c r="IY109" s="264"/>
      <c r="IZ109" s="648"/>
      <c r="JA109" s="100"/>
      <c r="JB109" s="100" t="s">
        <v>781</v>
      </c>
      <c r="JC109" s="100"/>
      <c r="JD109" s="100"/>
      <c r="JE109" s="100"/>
      <c r="JF109" s="100"/>
      <c r="JG109" s="100"/>
      <c r="JH109" s="100"/>
      <c r="JI109" s="100"/>
      <c r="JJ109" s="145" t="s">
        <v>785</v>
      </c>
      <c r="JK109" s="529"/>
      <c r="JL109" s="286"/>
      <c r="JM109" s="100"/>
      <c r="JN109" s="100"/>
      <c r="JO109" s="145" t="s">
        <v>35</v>
      </c>
      <c r="JP109" s="117">
        <v>2</v>
      </c>
      <c r="JQ109" s="117">
        <v>157.1</v>
      </c>
      <c r="JR109" s="148">
        <v>1</v>
      </c>
      <c r="JS109" s="145" t="s">
        <v>602</v>
      </c>
      <c r="JT109" s="631"/>
      <c r="JU109" s="148" t="s">
        <v>853</v>
      </c>
      <c r="JV109" s="154">
        <v>42950.612233796295</v>
      </c>
      <c r="JW109" s="145"/>
      <c r="JX109" s="210" t="s">
        <v>35</v>
      </c>
      <c r="JY109" s="117"/>
      <c r="JZ109" s="662">
        <v>55000</v>
      </c>
      <c r="KA109" s="145">
        <v>1</v>
      </c>
      <c r="KB109" s="148">
        <v>1</v>
      </c>
      <c r="KC109" s="148" t="s">
        <v>611</v>
      </c>
      <c r="KD109" s="644"/>
      <c r="KE109" s="286"/>
      <c r="KF109" s="100"/>
      <c r="KG109" s="100"/>
      <c r="KH109" s="210"/>
      <c r="KI109" s="117"/>
      <c r="KJ109" s="117"/>
      <c r="KK109" s="148"/>
      <c r="KL109" s="145"/>
      <c r="KM109" s="632"/>
      <c r="KN109" s="148"/>
      <c r="KO109" s="154"/>
      <c r="KP109" s="154"/>
      <c r="KQ109" s="210"/>
      <c r="KR109" s="117"/>
      <c r="KS109" s="211"/>
      <c r="KT109" s="145"/>
      <c r="KU109" s="148"/>
      <c r="KV109" s="148"/>
      <c r="KW109" s="265"/>
      <c r="KX109" s="286"/>
      <c r="KY109" s="100"/>
      <c r="KZ109" s="100"/>
      <c r="LA109" s="210"/>
      <c r="LB109" s="117"/>
      <c r="LC109" s="117"/>
      <c r="LD109" s="148"/>
      <c r="LE109" s="145"/>
      <c r="LF109" s="632"/>
      <c r="LG109" s="148"/>
      <c r="LH109" s="154"/>
      <c r="LI109" s="154"/>
      <c r="LJ109" s="154"/>
      <c r="LK109" s="117"/>
      <c r="LL109" s="211"/>
      <c r="LM109" s="210"/>
      <c r="LN109" s="148"/>
      <c r="LO109" s="148"/>
      <c r="LP109" s="265"/>
      <c r="LQ109" s="286"/>
      <c r="LR109" s="100"/>
      <c r="LS109" s="100"/>
      <c r="LT109" s="210"/>
      <c r="LU109" s="117"/>
      <c r="LV109" s="117"/>
      <c r="LW109" s="148"/>
      <c r="LX109" s="145"/>
      <c r="LY109" s="632"/>
      <c r="LZ109" s="148"/>
      <c r="MA109" s="154"/>
      <c r="MB109" s="154"/>
      <c r="MC109" s="145"/>
      <c r="MD109" s="117"/>
      <c r="ME109" s="211"/>
      <c r="MF109" s="210"/>
      <c r="MG109" s="148"/>
      <c r="MH109" s="148"/>
      <c r="MI109" s="265"/>
      <c r="MJ109" s="647"/>
      <c r="MK109" s="264"/>
      <c r="ML109" s="153"/>
      <c r="MM109" s="153"/>
      <c r="MN109" s="153"/>
      <c r="MO109" s="153"/>
      <c r="MP109" s="153"/>
      <c r="MQ109" s="153"/>
      <c r="MR109" s="153"/>
      <c r="MS109" s="99"/>
      <c r="MT109" s="99"/>
      <c r="MU109" s="99"/>
      <c r="MV109" s="99"/>
      <c r="MW109" s="99"/>
      <c r="MX109" s="99"/>
      <c r="MY109" s="153"/>
      <c r="MZ109" s="153"/>
      <c r="NA109" s="153"/>
      <c r="NB109" s="153"/>
      <c r="NC109" s="153"/>
      <c r="ND109" s="153"/>
      <c r="NE109" s="148"/>
      <c r="NF109" s="145"/>
      <c r="NG109" s="145"/>
      <c r="NH109" s="330" t="str">
        <f t="shared" si="822"/>
        <v>ks</v>
      </c>
      <c r="NI109" s="797">
        <f>RZ[[#This Row],[Počet ks (K)]]</f>
        <v>0</v>
      </c>
      <c r="NJ109" s="798">
        <f>RZ[[#This Row],[Hmotnost '[kg/ks'] (K)]]</f>
        <v>0</v>
      </c>
      <c r="NK109" s="148"/>
      <c r="NL109" s="145"/>
      <c r="NM109" s="632"/>
      <c r="NN109" s="148"/>
      <c r="NO109" s="154"/>
      <c r="NP109" s="154"/>
      <c r="NQ109" s="154"/>
      <c r="NR109" s="210"/>
      <c r="NS109" s="148"/>
      <c r="NT109" s="210"/>
      <c r="NU109" s="148"/>
      <c r="NV109" s="148"/>
      <c r="NW109" s="265"/>
    </row>
    <row r="110" spans="2:387" ht="15.95" customHeight="1" x14ac:dyDescent="0.35">
      <c r="B110" s="118" t="str">
        <f t="shared" si="706"/>
        <v/>
      </c>
      <c r="C11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0" s="262" t="str">
        <f t="shared" si="707"/>
        <v xml:space="preserve">    Čep 70</v>
      </c>
      <c r="E110" s="120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Row],[Kód položek (P2)]]))))))))))</f>
        <v>STO2</v>
      </c>
      <c r="F110" s="791" t="str">
        <f t="shared" si="708"/>
        <v>N/A</v>
      </c>
      <c r="G110" s="792" t="str">
        <f t="shared" si="709"/>
        <v/>
      </c>
      <c r="H110" s="262" t="str">
        <f t="shared" si="710"/>
        <v/>
      </c>
      <c r="I110" s="123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HR '[MJHR'] (P0)]]))))))))))</f>
        <v>ks</v>
      </c>
      <c r="J110" s="123">
        <f t="shared" si="711"/>
        <v>4</v>
      </c>
      <c r="K110" s="793">
        <f>RZ[[#This Row],[Koeficient odhadu HR '[-'] (P1)]]</f>
        <v>1</v>
      </c>
      <c r="L110" s="124">
        <f ca="1">RZ[[#This Row],[Jednotková hmotnost s koef. '[kg/MJHR'] (P0)]]</f>
        <v>5.0999999999999996</v>
      </c>
      <c r="M110" s="794">
        <f t="shared" ca="1" si="712"/>
        <v>0</v>
      </c>
      <c r="N110" s="125">
        <f t="shared" ca="1" si="713"/>
        <v>20.399999999999999</v>
      </c>
      <c r="O110" s="125">
        <f t="shared" ca="1" si="714"/>
        <v>0</v>
      </c>
      <c r="P110" s="126" t="str">
        <f t="shared" si="715"/>
        <v/>
      </c>
      <c r="Q110" s="795">
        <f ca="1">RZ[[#This Row],[Počet MJHR v rozpadu (P0)]]</f>
        <v>4</v>
      </c>
      <c r="R110" s="439" t="str">
        <f t="shared" si="716"/>
        <v/>
      </c>
      <c r="S110" s="129" t="str">
        <f t="shared" si="717"/>
        <v/>
      </c>
      <c r="T110" s="126" t="str">
        <f t="shared" si="718"/>
        <v/>
      </c>
      <c r="U110" s="126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CR (MJCR) (P0)]]))))))))))</f>
        <v>kg</v>
      </c>
      <c r="V110" s="575">
        <f t="shared" ca="1" si="719"/>
        <v>20.399999999999999</v>
      </c>
      <c r="W110" s="322">
        <f>RZ[[#This Row],[Koeficient odhadu CR '[-'] (P1)]]</f>
        <v>1</v>
      </c>
      <c r="X110" s="440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Row],[Jednotková cena bez DPH '[cena/MJCR'] (P1)]]*RZ[[#This Row],[Koeficient odhadu CR '[-']]]))))))))))</f>
        <v>115</v>
      </c>
      <c r="Y110" s="440">
        <f t="shared" ca="1" si="720"/>
        <v>0</v>
      </c>
      <c r="Z110" s="142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VLOOKUP(IP110,$BR$7:$BS$11,2,FALSE)))))))))))</f>
        <v>CZK</v>
      </c>
      <c r="AA110" s="909">
        <f t="shared" ca="1" si="721"/>
        <v>20.399999999999999</v>
      </c>
      <c r="AB110" s="910">
        <f ca="1">RZ[[#This Row],[Kumulovaný koeficient v rozpadu (P0)]]</f>
        <v>1</v>
      </c>
      <c r="AC110" s="261"/>
      <c r="AD110" s="796">
        <f ca="1">RZ[[#This Row],[Jednotková cena bez DPH '[cena/MJCR'] s koef. (P0)]]/RZ[[#This Row],[Koeficient odhadu CR '[-']]]*RZ[[#This Row],[Kumulovaný koeficient odhadu CR  '[-']]]</f>
        <v>115</v>
      </c>
      <c r="AE110" s="796">
        <f t="shared" ca="1" si="722"/>
        <v>2346</v>
      </c>
      <c r="AF110" s="796">
        <f ca="1">-IF(ISNUMBER(AA110),RZ[[#This Row],[Celková cena bez DPH (1)]]-RZ[[#This Row],[Jednotková cena bez DPH '[cena/MJCR'] bez koef. (P0)]]*AA110,0)</f>
        <v>0</v>
      </c>
      <c r="AG11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10" s="261"/>
      <c r="AI110" s="796">
        <f t="shared" ca="1" si="723"/>
        <v>4.2592592592592595</v>
      </c>
      <c r="AJ110" s="796">
        <f t="shared" ca="1" si="724"/>
        <v>86.888888888888886</v>
      </c>
      <c r="AK110" s="796">
        <f t="shared" ca="1" si="725"/>
        <v>0</v>
      </c>
      <c r="AL110" s="753">
        <f ca="1">RZ[[#This Row],[Kilogramová cena bez DPH '[cena/kg'] (1)]]/$AK$13</f>
        <v>4.2592592592592595</v>
      </c>
      <c r="AM110" s="261"/>
      <c r="AN110" s="796">
        <f t="shared" ca="1" si="726"/>
        <v>5.5555555555555554</v>
      </c>
      <c r="AO110" s="796">
        <f t="shared" ca="1" si="727"/>
        <v>113.33333333333334</v>
      </c>
      <c r="AP110" s="796">
        <f t="shared" ca="1" si="728"/>
        <v>0</v>
      </c>
      <c r="AQ110" s="753">
        <f ca="1">RZ[[#This Row],[Kilogramová cena bez DPH '[cena/kg'] (1)]]/$AP$13</f>
        <v>5.5555555555555562</v>
      </c>
      <c r="AR110" s="261"/>
      <c r="AS110" s="796">
        <f t="shared" ca="1" si="729"/>
        <v>3.1455142231947484</v>
      </c>
      <c r="AT110" s="796">
        <f t="shared" ca="1" si="730"/>
        <v>64.168490153172868</v>
      </c>
      <c r="AU110" s="789">
        <f t="shared" ca="1" si="731"/>
        <v>0</v>
      </c>
      <c r="AV110" s="767">
        <f ca="1">RZ[[#This Row],[Kilogramová cena bez DPH '[cena/kg'] (1)]]/$AU$13</f>
        <v>3.1455142231947484</v>
      </c>
      <c r="AW110" s="165"/>
      <c r="AX110" s="911">
        <f t="shared" ca="1" si="732"/>
        <v>2</v>
      </c>
      <c r="AY110" s="111">
        <f t="shared" ca="1" si="733"/>
        <v>8</v>
      </c>
      <c r="AZ110" s="111">
        <f t="shared" ca="1" si="734"/>
        <v>10</v>
      </c>
      <c r="BA110" s="111">
        <f t="shared" ca="1" si="735"/>
        <v>0</v>
      </c>
      <c r="BB110" s="111">
        <f t="shared" ca="1" si="736"/>
        <v>0</v>
      </c>
      <c r="BC110" s="111">
        <f t="shared" ca="1" si="737"/>
        <v>0</v>
      </c>
      <c r="BD110" s="111">
        <f t="shared" ca="1" si="738"/>
        <v>0</v>
      </c>
      <c r="BE110" s="111">
        <f t="shared" ca="1" si="739"/>
        <v>0</v>
      </c>
      <c r="BF110" s="111">
        <f t="shared" ca="1" si="740"/>
        <v>0</v>
      </c>
      <c r="BG110" s="112">
        <f t="shared" ca="1" si="741"/>
        <v>0</v>
      </c>
      <c r="BH110" s="911">
        <f t="shared" si="742"/>
        <v>0</v>
      </c>
      <c r="BI110" s="111">
        <f t="shared" si="743"/>
        <v>0</v>
      </c>
      <c r="BJ110" s="111">
        <f t="shared" si="744"/>
        <v>1</v>
      </c>
      <c r="BK110" s="111">
        <f t="shared" si="745"/>
        <v>0</v>
      </c>
      <c r="BL110" s="111">
        <f t="shared" si="746"/>
        <v>0</v>
      </c>
      <c r="BM110" s="111">
        <f t="shared" si="747"/>
        <v>0</v>
      </c>
      <c r="BN110" s="111">
        <f t="shared" si="748"/>
        <v>0</v>
      </c>
      <c r="BO110" s="111">
        <f t="shared" si="749"/>
        <v>0</v>
      </c>
      <c r="BP110" s="111">
        <f t="shared" si="750"/>
        <v>0</v>
      </c>
      <c r="BQ110" s="112">
        <f t="shared" si="751"/>
        <v>0</v>
      </c>
      <c r="BR110" s="132">
        <f ca="1">IF(OFFSET(AY110,1,0,1,1)&lt;&gt;0,RZ[[#This Row],[Koeficient odhadu HR '[-'] (P1)]]*$BH110*SUMIFS(RZ[Úroveň 2 s koef. (P2)],RZ[0],AX110),RZ[[#This Row],[Koeficient odhadu HR '[-'] (P1)]]*$BH110*$IG110)</f>
        <v>0</v>
      </c>
      <c r="BS110" s="186">
        <f ca="1">IF(OFFSET(AY110,1,0,1,1)&lt;&gt;0,$BH110*SUMIFS(RZ[Úroveň 2 bez koef. (P2)],RZ[0],AX110),$BH110*$IG110)</f>
        <v>0</v>
      </c>
      <c r="BT110" s="138">
        <f ca="1">RZ[[#This Row],[Úroveň 2 s koef. (P2a)]]*RZ[[#This Row],[Počet MJHR (P0)]]</f>
        <v>0</v>
      </c>
      <c r="BU110" s="138">
        <f ca="1">RZ[[#This Row],[Úroveň 2 bez koef. (P2a)]]*RZ[[#This Row],[Počet MJHR (P0)]]</f>
        <v>0</v>
      </c>
      <c r="BV110" s="138">
        <f ca="1">IF(OFFSET(AZ110,1,0,1,1)&lt;&gt;0,RZ[[#This Row],[Koeficient odhadu HR '[-'] (P1)]]*$BI110*SUMIFS(RZ[Úroveň 3 s koef. (P2)],RZ[0],AX110,RZ[Úroveň 2 (P0)],AY110),RZ[[#This Row],[Koeficient odhadu HR '[-'] (P1)]]*$BI110*$IG110)</f>
        <v>0</v>
      </c>
      <c r="BW110" s="138">
        <f ca="1">IF(OFFSET(AZ110,1,0,1,1)&lt;&gt;0,$BI110*SUMIFS(RZ[Úroveň 3 bez koef. (P2)],RZ[0],AX110,RZ[Úroveň 2 (P0)],AY110),$BI110*$IG110)</f>
        <v>0</v>
      </c>
      <c r="BX110" s="132">
        <f ca="1">RZ[[#This Row],[Úroveň 3 s koef. (P2a)]]*RZ[[#This Row],[Počet MJHR (P0)]]</f>
        <v>20.399999999999999</v>
      </c>
      <c r="BY110" s="132">
        <f ca="1">RZ[Úroveň 3 bez koef. (P2a)]*RZ[[#This Row],[Počet MJHR (P0)]]</f>
        <v>20.399999999999999</v>
      </c>
      <c r="BZ110" s="132">
        <f ca="1">IF(OFFSET(BA110,1,0,1,1)&lt;&gt;0,RZ[[#This Row],[Koeficient odhadu HR '[-'] (P1)]]*$BJ110*SUMIFS(RZ[Úroveň 4 s koef. (P2)],RZ[0],AX110,RZ[Úroveň 2 (P0)],AY110,RZ[Úroveň 3 (P0)],AZ110),RZ[[#This Row],[Koeficient odhadu HR '[-'] (P1)]]*$BJ110*$IG110)</f>
        <v>5.0999999999999996</v>
      </c>
      <c r="CA110" s="132">
        <f ca="1">IF(OFFSET(BA110,1,0,1,1)&lt;&gt;0,$BJ110*SUMIFS(RZ[Úroveň 4 bez koef. (P2)],RZ[0],AX110,RZ[Úroveň 2 (P0)],AY110,RZ[Úroveň 3 (P0)],AZ110),$BJ110*$IG110)</f>
        <v>5.0999999999999996</v>
      </c>
      <c r="CB110" s="138">
        <f ca="1">RZ[[#This Row],[Úroveň 4 s koef. (P2a)]]*RZ[[#This Row],[Počet MJHR (P0)]]</f>
        <v>0</v>
      </c>
      <c r="CC110" s="138">
        <f ca="1">RZ[Úroveň 4 bez koef. (P2a)]*RZ[[#This Row],[Počet MJHR (P0)]]</f>
        <v>0</v>
      </c>
      <c r="CD110" s="138">
        <f ca="1">IF(OFFSET(BB110,1,0,1,1)&lt;&gt;0,RZ[[#This Row],[Koeficient odhadu HR '[-'] (P1)]]*$BK110*SUMIFS(RZ[Úroveň 5 s koef. (P2)],RZ[0],AX110,RZ[Úroveň 2 (P0)],AY110,RZ[Úroveň 3 (P0)],AZ110,RZ[Úroveň 4 (P0)],BA110),RZ[[#This Row],[Koeficient odhadu HR '[-'] (P1)]]*$BK110*$IG110)</f>
        <v>0</v>
      </c>
      <c r="CE110" s="138">
        <f ca="1">IF(OFFSET(BB110,1,0,1,1)&lt;&gt;0,$BK110*SUMIFS(RZ[Úroveň 5 bez koef. (P2)],RZ[0],AX110,RZ[Úroveň 2 (P0)],AY110,RZ[Úroveň 3 (P0)],AZ110,RZ[Úroveň 4 (P0)],BA110),$BK110*$IG110)</f>
        <v>0</v>
      </c>
      <c r="CF110" s="132">
        <f ca="1">RZ[[#This Row],[Úroveň 5 s koef. (P2a)]]*RZ[[#This Row],[Počet MJHR (P0)]]</f>
        <v>0</v>
      </c>
      <c r="CG110" s="132">
        <f ca="1">RZ[Úroveň 5 bez koef. (P2a)]*RZ[[#This Row],[Počet MJHR (P0)]]</f>
        <v>0</v>
      </c>
      <c r="CH110" s="132">
        <f ca="1">IF(OFFSET(BC110,1,0,1,1)&lt;&gt;0,RZ[[#This Row],[Koeficient odhadu HR '[-'] (P1)]]*$BL110*SUMIFS(RZ[Úroveň 6 s koef. (P2)],RZ[0],AX110,RZ[Úroveň 2 (P0)],AY110,RZ[Úroveň 3 (P0)],AZ110,RZ[Úroveň 4 (P0)],BA110,RZ[Úroveň 5 (P0)],BB110),RZ[[#This Row],[Koeficient odhadu HR '[-'] (P1)]]*$BL110*$IG110)</f>
        <v>0</v>
      </c>
      <c r="CI110" s="132">
        <f ca="1">IF(OFFSET(BC110,1,0,1,1)&lt;&gt;0,$BL110*SUMIFS(RZ[Úroveň 6 bez koef. (P2)],RZ[0],AX110,RZ[Úroveň 2 (P0)],AY110,RZ[Úroveň 3 (P0)],AZ110,RZ[Úroveň 4 (P0)],BA110,RZ[Úroveň 5 (P0)],BB110),$BL110*$IG110)</f>
        <v>0</v>
      </c>
      <c r="CJ110" s="138">
        <f ca="1">RZ[[#This Row],[Úroveň 6 s koef. (P2a)]]*RZ[[#This Row],[Počet MJHR (P0)]]</f>
        <v>0</v>
      </c>
      <c r="CK110" s="138">
        <f ca="1">RZ[Úroveň 6 bez koef. (P2a)]*RZ[[#This Row],[Počet MJHR (P0)]]</f>
        <v>0</v>
      </c>
      <c r="CL110" s="138">
        <f ca="1">IF(OFFSET(BD110,1,0,1,1)&lt;&gt;0,RZ[[#This Row],[Koeficient odhadu HR '[-'] (P1)]]*$BM110*SUMIFS(RZ[Úroveň 7 s koef. (P2)],RZ[0],AX110,RZ[Úroveň 2 (P0)],AY110,RZ[Úroveň 3 (P0)],AZ110,RZ[Úroveň 4 (P0)],BA110,RZ[Úroveň 5 (P0)],BB110,RZ[Úroveň 6 (P0)],BC110),RZ[[#This Row],[Koeficient odhadu HR '[-'] (P1)]]*$BM110*$IG110)</f>
        <v>0</v>
      </c>
      <c r="CM110" s="138">
        <f ca="1">IF(OFFSET(BD110,1,0,1,1)&lt;&gt;0,$BM110*SUMIFS(RZ[Úroveň 7 bez koef. (P2)],RZ[0],AX110,RZ[Úroveň 2 (P0)],AY110,RZ[Úroveň 3 (P0)],AZ110,RZ[Úroveň 4 (P0)],BA110,RZ[Úroveň 5 (P0)],BB110,RZ[Úroveň 6 (P0)],BC110),$BM110*$IG110)</f>
        <v>0</v>
      </c>
      <c r="CN110" s="132">
        <f ca="1">RZ[[#This Row],[Úroveň 7 s koef. (P2a)]]*RZ[[#This Row],[Počet MJHR (P0)]]</f>
        <v>0</v>
      </c>
      <c r="CO110" s="132">
        <f ca="1">RZ[Úroveň 7 bez koef. (P2a)]*RZ[[#This Row],[Počet MJHR (P0)]]</f>
        <v>0</v>
      </c>
      <c r="CP110" s="132">
        <f ca="1">IF(OFFSET(BE110,1,0,1,1)&lt;&gt;0,RZ[[#This Row],[Koeficient odhadu HR '[-'] (P1)]]*$BN110*SUMIFS(RZ[Úroveň 8 s koef. (P2)],RZ[0],AX110,RZ[Úroveň 2 (P0)],AY110,RZ[Úroveň 3 (P0)],AZ110,RZ[Úroveň 4 (P0)],BA110,RZ[Úroveň 5 (P0)],BB110,RZ[Úroveň 6 (P0)],BC110,RZ[Úroveň 7 (P0)],BD110),RZ[[#This Row],[Koeficient odhadu HR '[-'] (P1)]]*$BN110*$IG110)</f>
        <v>0</v>
      </c>
      <c r="CQ110" s="132">
        <f ca="1">IF(OFFSET(BE110,1,0,1,1)&lt;&gt;0,$BN110*SUMIFS(RZ[Úroveň 8 bez koef. (P2)],RZ[0],AX110,RZ[Úroveň 2 (P0)],AY110,RZ[Úroveň 3 (P0)],AZ110,RZ[Úroveň 4 (P0)],BA110,RZ[Úroveň 5 (P0)],BB110,RZ[Úroveň 6 (P0)],BC110,RZ[Úroveň 7 (P0)],BD110),$BN110*$IG110)</f>
        <v>0</v>
      </c>
      <c r="CR110" s="138">
        <f ca="1">RZ[[#This Row],[Úroveň 8 s koef. (P2a)]]*RZ[[#This Row],[Počet MJHR (P0)]]</f>
        <v>0</v>
      </c>
      <c r="CS110" s="138">
        <f ca="1">RZ[Úroveň 8 bez koef. (P2a)]*RZ[[#This Row],[Počet MJHR (P0)]]</f>
        <v>0</v>
      </c>
      <c r="CT110" s="138">
        <f ca="1">IF(OFFSET(BF110,1,0,1,1)&lt;&gt;0,RZ[[#This Row],[Koeficient odhadu HR '[-'] (P1)]]*$BO110*SUMIFS(RZ[Úroveň 9 s koef. (P2)],RZ[0],AX110,RZ[Úroveň 2 (P0)],AY110,RZ[Úroveň 3 (P0)],AZ110,RZ[Úroveň 4 (P0)],BA110,RZ[Úroveň 5 (P0)],BB110,RZ[Úroveň 6 (P0)],BC110,RZ[Úroveň 7 (P0)],BD110,RZ[Úroveň 8 (P0)],BE110),RZ[[#This Row],[Koeficient odhadu HR '[-'] (P1)]]*$BO110*$IG110)</f>
        <v>0</v>
      </c>
      <c r="CU110" s="138">
        <f ca="1">IF(OFFSET(BF110,1,0,1,1)&lt;&gt;0,$BO110*SUMIFS(RZ[Úroveň 9 bez koef. (P2)],RZ[0],AX110,RZ[Úroveň 2 (P0)],AY110,RZ[Úroveň 3 (P0)],AZ110,RZ[Úroveň 4 (P0)],BA110,RZ[Úroveň 5 (P0)],BB110,RZ[Úroveň 6 (P0)],BC110,RZ[Úroveň 7 (P0)],BD110,RZ[Úroveň 8 (P0)],BE110),$BO110*$IG110)</f>
        <v>0</v>
      </c>
      <c r="CV110" s="132">
        <f ca="1">RZ[[#This Row],[Úroveň 9 s koef. (P2a)]]*RZ[[#This Row],[Počet MJHR (P0)]]</f>
        <v>0</v>
      </c>
      <c r="CW110" s="132">
        <f ca="1">RZ[Úroveň 9 bez koef. (P2a)]*RZ[[#This Row],[Počet MJHR (P0)]]</f>
        <v>0</v>
      </c>
      <c r="CX110" s="132">
        <f ca="1">IF(OFFSET(BG110,1,0,1,1)&lt;&gt;0,RZ[[#This Row],[Koeficient odhadu HR '[-'] (P1)]]*$BP110*SUMIFS(RZ[Úroveň 10 s koef. (P2)],RZ[0],AX110,RZ[Úroveň 2 (P0)],AY110,RZ[Úroveň 3 (P0)],AZ110,RZ[Úroveň 4 (P0)],BA110,RZ[Úroveň 5 (P0)],BB110,RZ[Úroveň 6 (P0)],BC110,RZ[Úroveň 7 (P0)],BD110,RZ[Úroveň 8 (P0)],BE110,RZ[Úroveň 9 (P0)],BF110),RZ[[#This Row],[Koeficient odhadu HR '[-'] (P1)]]*$BP110*$IG110)</f>
        <v>0</v>
      </c>
      <c r="CY110" s="132">
        <f ca="1">IF(OFFSET(BG110,1,0,1,1)&lt;&gt;0,$BP110*SUMIFS(RZ[Úroveň 10 bez koef. (P2)],RZ[0],AX110,RZ[Úroveň 2 (P0)],AY110,RZ[Úroveň 3 (P0)],AZ110,RZ[Úroveň 4 (P0)],BA110,RZ[Úroveň 5 (P0)],BB110,RZ[Úroveň 6 (P0)],BC110,RZ[Úroveň 7 (P0)],BD110,RZ[Úroveň 8 (P0)],BE110,RZ[Úroveň 9 (P0)],BF110),$BP110*$IG110)</f>
        <v>0</v>
      </c>
      <c r="CZ110" s="138">
        <f>RZ[[#This Row],[Úroveň 10 s koef. (P2a)]]*RZ[[#This Row],[Počet MJHR (P0)]]</f>
        <v>0</v>
      </c>
      <c r="DA110" s="138">
        <f>RZ[Úroveň 10 bez koef. (P2a)]*RZ[[#This Row],[Počet MJHR (P0)]]</f>
        <v>0</v>
      </c>
      <c r="DB110" s="138">
        <f>RZ[[#This Row],[Koeficient odhadu HR '[-'] (P1)]]*$BQ110*IG110</f>
        <v>0</v>
      </c>
      <c r="DC110" s="231">
        <f t="shared" si="752"/>
        <v>0</v>
      </c>
      <c r="DD110" s="241">
        <f t="shared" ca="1" si="753"/>
        <v>5.0999999999999996</v>
      </c>
      <c r="DE110" s="229">
        <f t="shared" ca="1" si="754"/>
        <v>5.0999999999999996</v>
      </c>
      <c r="DF110" s="912">
        <f t="shared" si="755"/>
        <v>0</v>
      </c>
      <c r="DG110" s="913">
        <f t="shared" si="756"/>
        <v>0</v>
      </c>
      <c r="DH110" s="913">
        <f t="shared" si="757"/>
        <v>4</v>
      </c>
      <c r="DI110" s="913">
        <f t="shared" si="758"/>
        <v>0</v>
      </c>
      <c r="DJ110" s="913">
        <f t="shared" si="759"/>
        <v>0</v>
      </c>
      <c r="DK110" s="913">
        <f t="shared" si="760"/>
        <v>0</v>
      </c>
      <c r="DL110" s="913">
        <f t="shared" si="761"/>
        <v>0</v>
      </c>
      <c r="DM110" s="913">
        <f t="shared" si="762"/>
        <v>0</v>
      </c>
      <c r="DN110" s="913">
        <f t="shared" si="763"/>
        <v>0</v>
      </c>
      <c r="DO110" s="913">
        <f t="shared" si="764"/>
        <v>0</v>
      </c>
      <c r="DP110" s="914">
        <f ca="1">SUMIFS(RZ[Úroveň 1 (P4)],RZ[0],AX110)</f>
        <v>1</v>
      </c>
      <c r="DQ110" s="914">
        <f ca="1">SUMIFS(RZ[Úroveň 2 (P4)],RZ[0],AX110,RZ[Úroveň 2 (P0)],AY110)</f>
        <v>1</v>
      </c>
      <c r="DR110" s="914">
        <f ca="1">SUMIFS(RZ[Úroveň 3 (P4)],RZ[0],AX110,RZ[Úroveň 2 (P0)],AY110,RZ[Úroveň 3 (P0)],AZ110)</f>
        <v>4</v>
      </c>
      <c r="DS110" s="914">
        <f ca="1">SUMIFS(RZ[Úroveň 4 (P4)],RZ[0],AX110,RZ[Úroveň 2 (P0)],AY110,RZ[Úroveň 3 (P0)],AZ110,RZ[Úroveň 4 (P0)],BA110)</f>
        <v>0</v>
      </c>
      <c r="DT110" s="914">
        <f ca="1">SUMIFS(RZ[Úroveň 5 (P4)],RZ[0],AX110,RZ[Úroveň 2 (P0)],AY110,RZ[Úroveň 3 (P0)],AZ110,RZ[Úroveň 4 (P0)],BA110,RZ[Úroveň 5 (P0)],BB110)</f>
        <v>0</v>
      </c>
      <c r="DU110" s="914">
        <f ca="1">SUMIFS(RZ[Úroveň 6 (P4)],RZ[0],AX110,RZ[Úroveň 2 (P0)],AY110,RZ[Úroveň 3 (P0)],AZ110,RZ[Úroveň 4 (P0)],BA110,RZ[Úroveň 5 (P0)],BB110,RZ[Úroveň 6 (P0)],BC110)</f>
        <v>0</v>
      </c>
      <c r="DV110" s="914">
        <f ca="1">SUMIFS(RZ[Úroveň 7 (P4)],RZ[0],AX110,RZ[Úroveň 2 (P0)],AY110,RZ[Úroveň 3 (P0)],AZ110,RZ[Úroveň 4 (P0)],BA110,RZ[Úroveň 5 (P0)],BB110,RZ[Úroveň 6 (P0)],BC110,RZ[Úroveň 7 (P0)],BD110)</f>
        <v>0</v>
      </c>
      <c r="DW110" s="914">
        <f ca="1">SUMIFS(RZ[Úroveň 8 (P4)],RZ[0],AX110,RZ[Úroveň 2 (P0)],AY110,RZ[Úroveň 3 (P0)],AZ110,RZ[Úroveň 4 (P0)],BA110,RZ[Úroveň 5 (P0)],BB110,RZ[Úroveň 6 (P0)],BC110,RZ[Úroveň 7 (P0)],BD110,RZ[Úroveň 8 (P0)],BE110)</f>
        <v>0</v>
      </c>
      <c r="DX110" s="914">
        <f ca="1">SUMIFS(RZ[Úroveň 9 (P4)],RZ[0],AX110,RZ[Úroveň 2 (P0)],AY110,RZ[Úroveň 3 (P0)],AZ110,RZ[Úroveň 4 (P0)],BA110,RZ[Úroveň 5 (P0)],BB110,RZ[Úroveň 6 (P0)],BC110,RZ[Úroveň 7 (P0)],BD110,RZ[Úroveň 8 (P0)],BE110,RZ[Úroveň 9 (P0)],BF110)</f>
        <v>0</v>
      </c>
      <c r="DY110" s="914">
        <f ca="1">SUMIFS(RZ[Úroveň 10 (P4)],RZ[0],AX110,RZ[Úroveň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DZ110" s="915">
        <f t="shared" ca="1" si="765"/>
        <v>4</v>
      </c>
      <c r="EA110" s="916">
        <f ca="1">RZ[[#This Row],[Jednotková hmotnost bez koef. '[kg/MJHR'] (P0)]]*RZ[[#This Row],[Počet MJHR v rozpadu (P0)]]</f>
        <v>20.399999999999999</v>
      </c>
      <c r="EB110" s="917">
        <f ca="1">IF(OFFSET(AY110,1,0,1,1)&lt;&gt;0,RZ[[#This Row],[Koeficient odhadu CR '[-'] (P1)]]*$BH110*SUMIFS(RZ[Úroveň 2 s koef. (P3)],RZ[0],AX110),RZ[[#This Row],[Koeficient odhadu CR '[-'] (P1)]]*$BH110*$IQ110)</f>
        <v>0</v>
      </c>
      <c r="EC110" s="191">
        <f ca="1">IF(OFFSET(AY110,1,0,1,1)&lt;&gt;0,$BH110*SUMIFS(RZ[Úroveň 2 bez koef. (P3)],RZ[0],AX110),$BH110*$IQ110)</f>
        <v>0</v>
      </c>
      <c r="ED110" s="140">
        <f ca="1">RZ[[#This Row],[Úroveň 2 s koef. (P3a)]]*RZ[[#This Row],[Počet MJCR (P0) pro "kg"]]</f>
        <v>0</v>
      </c>
      <c r="EE110" s="140">
        <f ca="1">RZ[Úroveň 2 bez koef. (P3a)]*RZ[[#This Row],[Počet MJCR (P0) pro "kg"]]</f>
        <v>0</v>
      </c>
      <c r="EF110" s="140">
        <f ca="1">IF(OFFSET(AZ110,1,0,1,1)&lt;&gt;0,RZ[[#This Row],[Koeficient odhadu CR '[-'] (P1)]]*$BI110*SUMIFS(RZ[Úroveň 3 s koef. (P3)],RZ[0],AX110,RZ[Úroveň 2 (P0)],AY110),RZ[[#This Row],[Koeficient odhadu CR '[-'] (P1)]]*$BI110*$IQ110)</f>
        <v>0</v>
      </c>
      <c r="EG110" s="140">
        <f ca="1">IF(OFFSET(AZ110,1,0,1,1)&lt;&gt;0,$BI110*SUMIFS(RZ[Úroveň 3 bez koef. (P3)],RZ[0],AX110,RZ[Úroveň 2 (P0)],AY110),$BI110*$IQ110)</f>
        <v>0</v>
      </c>
      <c r="EH110" s="135">
        <f ca="1">RZ[[#This Row],[Úroveň 3 s koef. (P3a)]]*RZ[[#This Row],[Počet MJCR (P0) pro "kg"]]</f>
        <v>2346</v>
      </c>
      <c r="EI110" s="135">
        <f ca="1">RZ[Úroveň 3 bez koef. (P3a)]*RZ[[#This Row],[Počet MJCR (P0) pro "kg"]]</f>
        <v>2346</v>
      </c>
      <c r="EJ110" s="135">
        <f ca="1">IF(OFFSET(BA110,1,0,1,1)&lt;&gt;0,RZ[[#This Row],[Koeficient odhadu CR '[-'] (P1)]]*$BJ110*SUMIFS(RZ[Úroveň 4 s koef. (P3)],RZ[0],AX110,RZ[Úroveň 2 (P0)],AY110,RZ[Úroveň 3 (P0)],AZ110),RZ[[#This Row],[Koeficient odhadu CR '[-'] (P1)]]*$BJ110*$IQ110)</f>
        <v>115</v>
      </c>
      <c r="EK110" s="135">
        <f ca="1">IF(OFFSET(BA110,1,0,1,1)&lt;&gt;0,$BJ110*SUMIFS(RZ[Úroveň 4 bez koef. (P3)],RZ[0],AX110,RZ[Úroveň 2 (P0)],AY110,RZ[Úroveň 3 (P0)],AZ110),$BJ110*$IQ110)</f>
        <v>115</v>
      </c>
      <c r="EL110" s="140">
        <f ca="1">RZ[[#This Row],[Úroveň 4 s koef. (P3a)]]*RZ[[#This Row],[Počet MJCR (P0) pro "kg"]]</f>
        <v>0</v>
      </c>
      <c r="EM110" s="140">
        <f ca="1">RZ[Úroveň 4 bez koef. (P3a)]*RZ[[#This Row],[Počet MJCR (P0) pro "kg"]]</f>
        <v>0</v>
      </c>
      <c r="EN110" s="140">
        <f ca="1">IF(OFFSET(BB110,1,0,1,1)&lt;&gt;0,RZ[[#This Row],[Koeficient odhadu CR '[-'] (P1)]]*$BK110*SUMIFS(RZ[Úroveň 5 s koef. (P3)],RZ[0],AX110,RZ[Úroveň 2 (P0)],AY110,RZ[Úroveň 3 (P0)],AZ110,RZ[Úroveň 4 (P0)],BA110),RZ[[#This Row],[Koeficient odhadu CR '[-'] (P1)]]*$BK110*$IQ110)</f>
        <v>0</v>
      </c>
      <c r="EO110" s="140">
        <f ca="1">IF(OFFSET(BB110,1,0,1,1)&lt;&gt;0,$BK110*SUMIFS(RZ[Úroveň 5 bez koef. (P3)],RZ[0],AX110,RZ[Úroveň 2 (P0)],AY110,RZ[Úroveň 3 (P0)],AZ110,RZ[Úroveň 4 (P0)],BA110),$BK110*$IQ110)</f>
        <v>0</v>
      </c>
      <c r="EP110" s="135">
        <f ca="1">RZ[[#This Row],[Úroveň 5 s koef. (P3a)]]*RZ[[#This Row],[Počet MJCR (P0) pro "kg"]]</f>
        <v>0</v>
      </c>
      <c r="EQ110" s="135">
        <f ca="1">RZ[Úroveň 5 bez koef. (P3a)]*RZ[[#This Row],[Počet MJCR (P0) pro "kg"]]</f>
        <v>0</v>
      </c>
      <c r="ER110" s="135">
        <f ca="1">IF(OFFSET(BC110,1,0,1,1)&lt;&gt;0,RZ[[#This Row],[Koeficient odhadu CR '[-'] (P1)]]*$BL110*SUMIFS(RZ[Úroveň 6 s koef. (P3)],RZ[0],AX110,RZ[Úroveň 2 (P0)],AY110,RZ[Úroveň 3 (P0)],AZ110,RZ[Úroveň 4 (P0)],BA110,RZ[Úroveň 5 (P0)],BB110),RZ[[#This Row],[Koeficient odhadu CR '[-'] (P1)]]*$BL110*$IQ110)</f>
        <v>0</v>
      </c>
      <c r="ES110" s="135">
        <f ca="1">IF(OFFSET(BC110,1,0,1,1)&lt;&gt;0,$BL110*SUMIFS(RZ[Úroveň 6 bez koef. (P3)],RZ[0],AX110,RZ[Úroveň 2 (P0)],AY110,RZ[Úroveň 3 (P0)],AZ110,RZ[Úroveň 4 (P0)],BA110,RZ[Úroveň 5 (P0)],BB110),$BL110*$IQ110)</f>
        <v>0</v>
      </c>
      <c r="ET110" s="140">
        <f ca="1">RZ[[#This Row],[Úroveň 6 s koef. (P3a)]]*RZ[[#This Row],[Počet MJCR (P0) pro "kg"]]</f>
        <v>0</v>
      </c>
      <c r="EU110" s="140">
        <f ca="1">RZ[Úroveň 6 bez koef. (P3a)]*RZ[[#This Row],[Počet MJCR (P0) pro "kg"]]</f>
        <v>0</v>
      </c>
      <c r="EV110" s="140">
        <f ca="1">IF(OFFSET(BD110,1,0,1,1)&lt;&gt;0,RZ[[#This Row],[Koeficient odhadu CR '[-'] (P1)]]*$BM110*SUMIFS(RZ[Úroveň 7 s koef. (P3)],RZ[0],AX110,RZ[Úroveň 2 (P0)],AY110,RZ[Úroveň 3 (P0)],AZ110,RZ[Úroveň 4 (P0)],BA110,RZ[Úroveň 5 (P0)],BB110,RZ[Úroveň 6 (P0)],BC110),RZ[[#This Row],[Koeficient odhadu CR '[-'] (P1)]]*$BM110*$IQ110)</f>
        <v>0</v>
      </c>
      <c r="EW110" s="140">
        <f ca="1">IF(OFFSET(BD110,1,0,1,1)&lt;&gt;0,$BM110*SUMIFS(RZ[Úroveň 7 bez koef. (P3)],RZ[0],AX110,RZ[Úroveň 2 (P0)],AY110,RZ[Úroveň 3 (P0)],AZ110,RZ[Úroveň 4 (P0)],BA110,RZ[Úroveň 5 (P0)],BB110,RZ[Úroveň 6 (P0)],BC110),$BM110*$IQ110)</f>
        <v>0</v>
      </c>
      <c r="EX110" s="135">
        <f ca="1">RZ[[#This Row],[Úroveň 7 s koef. (P3a)]]*RZ[[#This Row],[Počet MJCR (P0) pro "kg"]]</f>
        <v>0</v>
      </c>
      <c r="EY110" s="135">
        <f ca="1">RZ[Úroveň 7 bez koef. (P3a)]*RZ[[#This Row],[Počet MJCR (P0) pro "kg"]]</f>
        <v>0</v>
      </c>
      <c r="EZ110" s="135">
        <f ca="1">IF(OFFSET(BE110,1,0,1,1)&lt;&gt;0,RZ[[#This Row],[Koeficient odhadu CR '[-'] (P1)]]*$BN110*SUMIFS(RZ[Úroveň 8 s koef. (P3)],RZ[0],AX110,RZ[Úroveň 2 (P0)],AY110,RZ[Úroveň 3 (P0)],AZ110,RZ[Úroveň 4 (P0)],BA110,RZ[Úroveň 5 (P0)],BB110,RZ[Úroveň 6 (P0)],BC110,RZ[Úroveň 7 (P0)],BD110),RZ[[#This Row],[Koeficient odhadu CR '[-'] (P1)]]*$BN110*$IQ110)</f>
        <v>0</v>
      </c>
      <c r="FA110" s="135">
        <f ca="1">IF(OFFSET(BE110,1,0,1,1)&lt;&gt;0,$BN110*SUMIFS(RZ[Úroveň 8 bez koef. (P3)],RZ[0],AX110,RZ[Úroveň 2 (P0)],AY110,RZ[Úroveň 3 (P0)],AZ110,RZ[Úroveň 4 (P0)],BA110,RZ[Úroveň 5 (P0)],BB110,RZ[Úroveň 6 (P0)],BC110,RZ[Úroveň 7 (P0)],BD110),$BN110*$IQ110)</f>
        <v>0</v>
      </c>
      <c r="FB110" s="140">
        <f ca="1">RZ[[#This Row],[Úroveň 8 s koef. (P3a)]]*RZ[[#This Row],[Počet MJCR (P0) pro "kg"]]</f>
        <v>0</v>
      </c>
      <c r="FC110" s="140">
        <f ca="1">RZ[Úroveň 8 bez koef. (P3a)]*RZ[[#This Row],[Počet MJCR (P0) pro "kg"]]</f>
        <v>0</v>
      </c>
      <c r="FD110" s="140">
        <f ca="1">IF(OFFSET(BF110,1,0,1,1)&lt;&gt;0,RZ[[#This Row],[Koeficient odhadu CR '[-'] (P1)]]*$BO110*SUMIFS(RZ[Úroveň 9 s koef. (P3)],RZ[0],AX110,RZ[Úroveň 2 (P0)],AY110,RZ[Úroveň 3 (P0)],AZ110,RZ[Úroveň 4 (P0)],BA110,RZ[Úroveň 5 (P0)],BB110,RZ[Úroveň 6 (P0)],BC110,RZ[Úroveň 7 (P0)],BD110,RZ[Úroveň 8 (P0)],BE110),RZ[[#This Row],[Koeficient odhadu CR '[-'] (P1)]]*$BO110*$IQ110)</f>
        <v>0</v>
      </c>
      <c r="FE110" s="140">
        <f ca="1">IF(OFFSET(BF110,1,0,1,1)&lt;&gt;0,$BO110*SUMIFS(RZ[Úroveň 9 bez koef. (P3)],RZ[0],AX110,RZ[Úroveň 2 (P0)],AY110,RZ[Úroveň 3 (P0)],AZ110,RZ[Úroveň 4 (P0)],BA110,RZ[Úroveň 5 (P0)],BB110,RZ[Úroveň 6 (P0)],BC110,RZ[Úroveň 7 (P0)],BD110,RZ[Úroveň 8 (P0)],BE110),$BO110*$IQ110)</f>
        <v>0</v>
      </c>
      <c r="FF110" s="135">
        <f ca="1">RZ[[#This Row],[Úroveň 9 s koef. (P3a)]]*RZ[[#This Row],[Počet MJCR (P0) pro "kg"]]</f>
        <v>0</v>
      </c>
      <c r="FG110" s="135">
        <f ca="1">RZ[Úroveň 9 bez koef. (P3a)]*RZ[[#This Row],[Počet MJCR (P0) pro "kg"]]</f>
        <v>0</v>
      </c>
      <c r="FH110" s="135">
        <f ca="1">IF(OFFSET(BG110,1,0,1,1)&lt;&gt;0,RZ[[#This Row],[Koeficient odhadu CR '[-'] (P1)]]*$BP110*SUMIFS(RZ[Úroveň 10 s koef. (P3)],RZ[0],AX110,RZ[Úroveň 2 (P0)],AY110,RZ[Úroveň 3 (P0)],AZ110,RZ[Úroveň 4 (P0)],BA110,RZ[Úroveň 5 (P0)],BB110,RZ[Úroveň 6 (P0)],BC110,RZ[Úroveň 7 (P0)],BD110,RZ[Úroveň 8 (P0)],BE110,RZ[Úroveň 9 (P0)],BF110),RZ[[#This Row],[Koeficient odhadu CR '[-'] (P1)]]*$BP110*$IQ110)</f>
        <v>0</v>
      </c>
      <c r="FI110" s="135">
        <f ca="1">IF(OFFSET(BG110,1,0,1,1)&lt;&gt;0,$BP110*SUMIFS(RZ[Úroveň 10 bez koef. (P3)],RZ[0],AX110,RZ[Úroveň 2 (P0)],AY110,RZ[Úroveň 3 (P0)],AZ110,RZ[Úroveň 4 (P0)],BA110,RZ[Úroveň 5 (P0)],BB110,RZ[Úroveň 6 (P0)],BC110,RZ[Úroveň 7 (P0)],BD110,RZ[Úroveň 8 (P0)],BE110,RZ[Úroveň 9 (P0)],BF110),$BP110*$IQ110)</f>
        <v>0</v>
      </c>
      <c r="FJ110" s="140">
        <f ca="1">RZ[[#This Row],[Úroveň 10 s koef. (P3a)]]*RZ[[#This Row],[Počet MJCR (P0) pro "kg"]]</f>
        <v>0</v>
      </c>
      <c r="FK110" s="140">
        <f ca="1">RZ[Úroveň 10 bez koef. (P3a)]*RZ[[#This Row],[Počet MJCR (P0) pro "kg"]]</f>
        <v>0</v>
      </c>
      <c r="FL110" s="140">
        <f ca="1">RZ[[#This Row],[Koeficient odhadu CR '[-'] (P1)]]*$BQ110*IQ110</f>
        <v>0</v>
      </c>
      <c r="FM110" s="236">
        <f t="shared" ca="1" si="766"/>
        <v>0</v>
      </c>
      <c r="FN110" s="194">
        <f t="shared" ca="1" si="767"/>
        <v>115</v>
      </c>
      <c r="FO110" s="238">
        <f t="shared" ca="1" si="768"/>
        <v>115</v>
      </c>
      <c r="FP110" s="135">
        <f t="shared" ca="1" si="769"/>
        <v>0</v>
      </c>
      <c r="FQ110" s="135">
        <f t="shared" ca="1" si="770"/>
        <v>0</v>
      </c>
      <c r="FR110" s="135">
        <f t="shared" ca="1" si="771"/>
        <v>20.399999999999999</v>
      </c>
      <c r="FS110" s="135">
        <f t="shared" ca="1" si="772"/>
        <v>0</v>
      </c>
      <c r="FT110" s="135">
        <f t="shared" ca="1" si="773"/>
        <v>0</v>
      </c>
      <c r="FU110" s="135">
        <f t="shared" ca="1" si="774"/>
        <v>0</v>
      </c>
      <c r="FV110" s="135">
        <f t="shared" ca="1" si="775"/>
        <v>0</v>
      </c>
      <c r="FW110" s="135">
        <f t="shared" ca="1" si="776"/>
        <v>0</v>
      </c>
      <c r="FX110" s="135">
        <f t="shared" ca="1" si="777"/>
        <v>0</v>
      </c>
      <c r="FY110" s="135">
        <f t="shared" ca="1" si="778"/>
        <v>0</v>
      </c>
      <c r="FZ110" s="140">
        <f ca="1">SUMIFS(RZ[Úroveň 1 (P6)],RZ[0],AX110)</f>
        <v>1</v>
      </c>
      <c r="GA110" s="140">
        <f ca="1">SUMIFS(RZ[Úroveň 2 (P6)],RZ[0],AX110,RZ[Úroveň 2 (P0)],AY110)</f>
        <v>1</v>
      </c>
      <c r="GB110" s="140">
        <f ca="1">SUMIFS(RZ[Úroveň 3 (P6)],RZ[0],AX110,RZ[Úroveň 2 (P0)],AY110,RZ[Úroveň 3 (P0)],AZ110)</f>
        <v>20.399999999999999</v>
      </c>
      <c r="GC110" s="140">
        <f ca="1">SUMIFS(RZ[Úroveň 4 (P6)],RZ[0],AX110,RZ[Úroveň 2 (P0)],AY110,RZ[Úroveň 3 (P0)],AZ110,RZ[Úroveň 4 (P0)],BA110)</f>
        <v>0</v>
      </c>
      <c r="GD110" s="140">
        <f ca="1">SUMIFS(RZ[Úroveň 5 (P6)],RZ[0],AX110,RZ[Úroveň 2 (P0)],AY110,RZ[Úroveň 3 (P0)],AZ110,RZ[Úroveň 4 (P0)],BA110,RZ[Úroveň 5 (P0)],BB110)</f>
        <v>0</v>
      </c>
      <c r="GE110" s="140">
        <f ca="1">SUMIFS(RZ[Úroveň 6 (P6)],RZ[0],AX110,RZ[Úroveň 2 (P0)],AY110,RZ[Úroveň 3 (P0)],AZ110,RZ[Úroveň 4 (P0)],BA110,RZ[Úroveň 5 (P0)],BB110,RZ[Úroveň 6 (P0)],BC110)</f>
        <v>0</v>
      </c>
      <c r="GF110" s="140">
        <f ca="1">SUMIFS(RZ[Úroveň 7 (P6)],RZ[0],AX110,RZ[Úroveň 2 (P0)],AY110,RZ[Úroveň 3 (P0)],AZ110,RZ[Úroveň 4 (P0)],BA110,RZ[Úroveň 5 (P0)],BB110,RZ[Úroveň 6 (P0)],BC110,RZ[Úroveň 7 (P0)],BD110)</f>
        <v>0</v>
      </c>
      <c r="GG110" s="140">
        <f ca="1">SUMIFS(RZ[Úroveň 8 (P6)],RZ[0],AX110,RZ[Úroveň 2 (P0)],AY110,RZ[Úroveň 3 (P0)],AZ110,RZ[Úroveň 4 (P0)],BA110,RZ[Úroveň 5 (P0)],BB110,RZ[Úroveň 6 (P0)],BC110,RZ[Úroveň 7 (P0)],BD110,RZ[Úroveň 8 (P0)],BE110)</f>
        <v>0</v>
      </c>
      <c r="GH110" s="140">
        <f ca="1">SUMIFS(RZ[Úroveň 9 (P6)],RZ[0],AX110,RZ[Úroveň 2 (P0)],AY110,RZ[Úroveň 3 (P0)],AZ110,RZ[Úroveň 4 (P0)],BA110,RZ[Úroveň 5 (P0)],BB110,RZ[Úroveň 6 (P0)],BC110,RZ[Úroveň 7 (P0)],BD110,RZ[Úroveň 8 (P0)],BE110,RZ[Úroveň 9 (P0)],BF110)</f>
        <v>0</v>
      </c>
      <c r="GI110" s="140">
        <f ca="1">SUMIFS(RZ[Úroveň 10 (P6)],RZ[0],AX110,RZ[Úroveň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GJ110" s="918">
        <f t="shared" ca="1" si="779"/>
        <v>20.399999999999999</v>
      </c>
      <c r="GK110" s="808">
        <f t="shared" si="780"/>
        <v>0</v>
      </c>
      <c r="GL110" s="808">
        <f t="shared" si="781"/>
        <v>0</v>
      </c>
      <c r="GM110" s="808">
        <f t="shared" si="782"/>
        <v>1</v>
      </c>
      <c r="GN110" s="808">
        <f t="shared" si="783"/>
        <v>0</v>
      </c>
      <c r="GO110" s="808">
        <f t="shared" si="784"/>
        <v>0</v>
      </c>
      <c r="GP110" s="808">
        <f t="shared" si="785"/>
        <v>0</v>
      </c>
      <c r="GQ110" s="808">
        <f t="shared" si="786"/>
        <v>0</v>
      </c>
      <c r="GR110" s="808">
        <f t="shared" si="787"/>
        <v>0</v>
      </c>
      <c r="GS110" s="808">
        <f t="shared" si="788"/>
        <v>0</v>
      </c>
      <c r="GT110" s="808">
        <f t="shared" si="789"/>
        <v>0</v>
      </c>
      <c r="GU110" s="809">
        <f ca="1">SUMIFS(RZ[Sloupec1],RZ[0],AX110)</f>
        <v>1</v>
      </c>
      <c r="GV110" s="809">
        <f ca="1">SUMIFS(RZ[Sloupec2],RZ[0],AX110,RZ[Úroveň 2 (P0)],AY110)</f>
        <v>1</v>
      </c>
      <c r="GW110" s="809">
        <f ca="1">SUMIFS(RZ[Sloupec3],RZ[0],AX110,RZ[Úroveň 2 (P0)],AY110,RZ[Úroveň 3 (P0)],AZ110)</f>
        <v>1</v>
      </c>
      <c r="GX110" s="809">
        <f ca="1">SUMIFS(RZ[Sloupec4],RZ[0],AX110,RZ[Úroveň 2 (P0)],AY110,RZ[Úroveň 3 (P0)],AZ110,RZ[Úroveň 4 (P0)],BA110)</f>
        <v>0</v>
      </c>
      <c r="GY110" s="809">
        <f ca="1">SUMIFS(RZ[Sloupec5],RZ[0],AX110,RZ[Úroveň 2 (P0)],AY110,RZ[Úroveň 3 (P0)],AZ110,RZ[Úroveň 4 (P0)],BA110,RZ[Úroveň 5 (P0)],BB110)</f>
        <v>0</v>
      </c>
      <c r="GZ110" s="809">
        <f ca="1">SUMIFS(RZ[Sloupec6],RZ[0],AX110,RZ[Úroveň 2 (P0)],AY110,RZ[Úroveň 3 (P0)],AZ110,RZ[Úroveň 4 (P0)],BA110,RZ[Úroveň 5 (P0)],BB110,RZ[Úroveň 6 (P0)],BC110)</f>
        <v>0</v>
      </c>
      <c r="HA110" s="809">
        <f ca="1">SUMIFS(RZ[Sloupec62],RZ[0],AX110,RZ[Úroveň 2 (P0)],AY110,RZ[Úroveň 3 (P0)],AZ110,RZ[Úroveň 4 (P0)],BA110,RZ[Úroveň 5 (P0)],BB110,RZ[Úroveň 6 (P0)],BC110,RZ[Úroveň 7 (P0)],BD110)</f>
        <v>0</v>
      </c>
      <c r="HB110" s="809">
        <f ca="1">SUMIFS(RZ[Sloupec63],RZ[0],AX110,RZ[Úroveň 2 (P0)],AY110,RZ[Úroveň 3 (P0)],AZ110,RZ[Úroveň 4 (P0)],BA110,RZ[Úroveň 5 (P0)],BB110,RZ[Úroveň 6 (P0)],BC110,RZ[Úroveň 7 (P0)],BD110,RZ[Úroveň 8 (P0)],BE110)</f>
        <v>0</v>
      </c>
      <c r="HC110" s="809">
        <f ca="1">SUMIFS(RZ[Sloupec64],RZ[0],AX110,RZ[Úroveň 2 (P0)],AY110,RZ[Úroveň 3 (P0)],AZ110,RZ[Úroveň 4 (P0)],BA110,RZ[Úroveň 5 (P0)],BB110,RZ[Úroveň 6 (P0)],BC110,RZ[Úroveň 7 (P0)],BD110,RZ[Úroveň 8 (P0)],BE110,RZ[Úroveň 9 (P0)],BF110)</f>
        <v>0</v>
      </c>
      <c r="HD110" s="809">
        <f ca="1">SUMIFS(RZ[Sloupec65],RZ[0],AX110,RZ[Úroveň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HE110" s="919">
        <f t="shared" ca="1" si="790"/>
        <v>1</v>
      </c>
      <c r="HF110" s="920" t="str">
        <f t="shared" si="791"/>
        <v/>
      </c>
      <c r="HG110" s="94" t="str">
        <f t="shared" si="792"/>
        <v/>
      </c>
      <c r="HH110" s="95" t="str">
        <f t="shared" si="793"/>
        <v/>
      </c>
      <c r="HI110" s="95" t="str">
        <f t="shared" si="794"/>
        <v>Čep 70</v>
      </c>
      <c r="HJ110" s="96" t="str">
        <f t="shared" si="795"/>
        <v/>
      </c>
      <c r="HK110" s="96" t="str">
        <f t="shared" si="796"/>
        <v/>
      </c>
      <c r="HL110" s="96" t="str">
        <f t="shared" si="797"/>
        <v/>
      </c>
      <c r="HM110" s="96" t="str">
        <f t="shared" si="798"/>
        <v/>
      </c>
      <c r="HN110" s="96" t="str">
        <f t="shared" si="799"/>
        <v/>
      </c>
      <c r="HO110" s="96" t="str">
        <f t="shared" si="800"/>
        <v/>
      </c>
      <c r="HP110" s="96" t="str">
        <f t="shared" si="801"/>
        <v/>
      </c>
      <c r="HQ110" s="145" t="str">
        <f t="shared" si="802"/>
        <v>STO2</v>
      </c>
      <c r="HR110" s="921" t="str">
        <f t="shared" si="803"/>
        <v/>
      </c>
      <c r="HS110" s="173">
        <f t="shared" si="804"/>
        <v>0</v>
      </c>
      <c r="HT110" s="100">
        <f t="shared" si="805"/>
        <v>0</v>
      </c>
      <c r="HU110" s="100">
        <f t="shared" si="806"/>
        <v>0</v>
      </c>
      <c r="HV110" s="908">
        <f t="shared" si="807"/>
        <v>0</v>
      </c>
      <c r="HW110" s="922">
        <f t="shared" si="808"/>
        <v>0</v>
      </c>
      <c r="HX110" s="224">
        <f t="shared" si="809"/>
        <v>0</v>
      </c>
      <c r="HY110" s="263" t="str">
        <f t="shared" si="810"/>
        <v>S</v>
      </c>
      <c r="HZ110" s="263">
        <f t="shared" si="811"/>
        <v>0</v>
      </c>
      <c r="IA110" s="150">
        <f t="shared" si="812"/>
        <v>1</v>
      </c>
      <c r="IB110" s="319">
        <f t="shared" si="813"/>
        <v>0</v>
      </c>
      <c r="IC110" s="923">
        <f t="shared" si="814"/>
        <v>0</v>
      </c>
      <c r="ID110" s="924" t="str">
        <f t="shared" ca="1" si="815"/>
        <v>OK</v>
      </c>
      <c r="IE110" s="201" t="str">
        <f t="shared" si="816"/>
        <v>ks</v>
      </c>
      <c r="IF110" s="145">
        <f t="shared" si="817"/>
        <v>4</v>
      </c>
      <c r="IG110" s="216">
        <f t="shared" si="818"/>
        <v>5.0999999999999996</v>
      </c>
      <c r="IH110" s="217">
        <f t="shared" si="819"/>
        <v>1</v>
      </c>
      <c r="II110" s="224" t="str">
        <f ca="1">IF(RZ[[#This Row],[Rozhodný sloupec indikativní ceny]]=1,"kg",IF($IW110=$JL$15,IF(JX110=0,JO110,JX110),IF($IW110=$KE$15,IF(KQ110=0,KH110,KQ110),IF($IW110=$KX$15,IF(LJ110=0,LA110,LJ110),IF($IW110=$LQ$15,IF(MC110=0,LT110,MC110),IF($IW110=$MJ$15,IF(NQ110=0,NH110,NQ110),0))))))</f>
        <v>kg</v>
      </c>
      <c r="IJ110" s="224">
        <f ca="1">IF((BH110+OFFSET(BH110,1,1,1,1))=2,RZ[[#This Row],[Počet MJHR (P0)]],IF((BI110+OFFSET(BI110,1,1,1,1))=2,RZ[[#This Row],[Počet MJHR (P0)]],IF((BJ110+OFFSET(BJ110,1,1,1,1))=2,RZ[[#This Row],[Počet MJHR (P0)]],IF((BK110+OFFSET(BK110,1,1,1,1))=2,RZ[[#This Row],[Počet MJHR (P0)]],IF((BL110+OFFSET(BL110,1,1,1,1))=2,RZ[[#This Row],[Počet MJHR (P0)]],IF((BM110+OFFSET(BM110,1,1,1,1))=2,RZ[[#This Row],[Počet MJHR (P0)]],IF((BN110+OFFSET(BN110,1,1,1,1))=2,RZ[[#This Row],[Počet MJHR (P0)]],IF((BO110+OFFSET(BO110,1,1,1,1))=2,RZ[[#This Row],[Počet MJHR (P0)]],IF((BP110+OFFSET(BP110,1,1,1,1))=2,RZ[[#This Row],[Počet MJHR (P0)]],IF((BQ110+OFFSET(BQ110,1,1,1,1))=2,RZ[[#This Row],[Počet MJHR (P0)]],IF(RZ[[#This Row],[Měrná jednotka CR (MJCR) (P0)]]=RZ[[#This Row],[Měrná jednotka HR '[MJHR'] (P0)]],RZ[[#This Row],[Počet MJHR (P0)]],IF($IW110=$JL$15,JY110,IF($IW110=$KE$15,KR110,IF($IW110=$KX$15,LK110,IF($IW110=$LQ$15,MD110,IF($IW110=$MJ$15,NR110,0))))))))))))))))</f>
        <v>0</v>
      </c>
      <c r="IK11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20.399999999999999</v>
      </c>
      <c r="IL110" s="145">
        <f ca="1">IF(AND(RZ[[#This Row],[Jednotková cena bez DPH '[cena/MJCR'] (P0)]]=0,RZ[[#This Row],[Indikativní jednotková cena '[CZK/kg'] (P1)]]&lt;&gt;0),1,0)</f>
        <v>1</v>
      </c>
      <c r="IM110" s="217">
        <f ca="1">VLOOKUP(RZ[[#This Row],[Kód položek]],INDIKAT_CENA,2,FALSE)</f>
        <v>115</v>
      </c>
      <c r="IN110" s="222">
        <f ca="1">IF(RZ[[#This Row],[Rozhodný sloupec indikativní ceny]]=1,RZ[[#This Row],[Indikativní jednotková cena '[CZK/kg'] (P1)]],RZ[[#This Row],[Jednotková cena bez DPH '[cena/MJCR'] (P0)]])</f>
        <v>115</v>
      </c>
      <c r="IO110" s="222">
        <f t="shared" si="820"/>
        <v>1</v>
      </c>
      <c r="IP110" s="224">
        <f ca="1">IF(RZ[[#This Row],[Rozhodný sloupec indikativní ceny]]=1,1,IF($IW110=$JL$15,KA110,IF($IW110=$KE$15,KT110,IF($IW110=$KX$15,LM110,IF($IW110=$LQ$15,MF110,IF($IW110=$MJ$15,NT110,0))))))</f>
        <v>1</v>
      </c>
      <c r="IQ110" s="225">
        <f ca="1">IF(RZ[[#This Row],[Jednotková cena bez DPH '[cena/MJCR'] (P1)]]="",0,IF(IP110=0,0,(RZ[[#This Row],[Jednotková cena bez DPH '[cena/MJCR'] (P1)]]*VLOOKUP(IP110,$BR$7:$BT$10,3))))</f>
        <v>115</v>
      </c>
      <c r="IR110" s="737"/>
      <c r="IS110" s="627">
        <f>IF(HY110=0,"",VLOOKUP(RZ[[#This Row],[Stav Projekce (P0)]],Vstupy!$E$11:'Vstupy'!$E$11:$H$17,4,FALSE))</f>
        <v>100</v>
      </c>
      <c r="IT110" s="925" t="str">
        <f>IF(RZ[[#This Row],[Stav Projekce (P0)]]=0,"",RZ[[#This Row],[Stav Projekce (P0)]])</f>
        <v>S</v>
      </c>
      <c r="IU110" s="925" t="str">
        <f>IF(RZ[[#This Row],[Stav Nákup (P0)]]=0,"",RZ[[#This Row],[Stav Nákup (P0)]])</f>
        <v/>
      </c>
      <c r="IV110" s="926" t="str">
        <f t="shared" si="821"/>
        <v/>
      </c>
      <c r="IW110" s="641">
        <v>1</v>
      </c>
      <c r="IX110" s="630"/>
      <c r="IY110" s="264"/>
      <c r="IZ110" s="648"/>
      <c r="JA110" s="100"/>
      <c r="JB110" s="100" t="s">
        <v>783</v>
      </c>
      <c r="JC110" s="100"/>
      <c r="JD110" s="100"/>
      <c r="JE110" s="100"/>
      <c r="JF110" s="100"/>
      <c r="JG110" s="100"/>
      <c r="JH110" s="100"/>
      <c r="JI110" s="100"/>
      <c r="JJ110" s="145" t="s">
        <v>773</v>
      </c>
      <c r="JK110" s="529"/>
      <c r="JL110" s="286"/>
      <c r="JM110" s="100"/>
      <c r="JN110" s="100"/>
      <c r="JO110" s="145" t="s">
        <v>35</v>
      </c>
      <c r="JP110" s="117">
        <v>4</v>
      </c>
      <c r="JQ110" s="117">
        <v>5.0999999999999996</v>
      </c>
      <c r="JR110" s="148">
        <v>1</v>
      </c>
      <c r="JS110" s="145" t="s">
        <v>602</v>
      </c>
      <c r="JT110" s="631"/>
      <c r="JU110" s="148"/>
      <c r="JV110" s="154"/>
      <c r="JW110" s="145"/>
      <c r="JX110" s="210"/>
      <c r="JY110" s="117"/>
      <c r="JZ110" s="662"/>
      <c r="KA110" s="145"/>
      <c r="KB110" s="148"/>
      <c r="KC110" s="148"/>
      <c r="KD110" s="644"/>
      <c r="KE110" s="286"/>
      <c r="KF110" s="100"/>
      <c r="KG110" s="100"/>
      <c r="KH110" s="210"/>
      <c r="KI110" s="117"/>
      <c r="KJ110" s="117"/>
      <c r="KK110" s="148"/>
      <c r="KL110" s="145"/>
      <c r="KM110" s="632"/>
      <c r="KN110" s="148"/>
      <c r="KO110" s="154"/>
      <c r="KP110" s="154"/>
      <c r="KQ110" s="210"/>
      <c r="KR110" s="117"/>
      <c r="KS110" s="211"/>
      <c r="KT110" s="145"/>
      <c r="KU110" s="148"/>
      <c r="KV110" s="148"/>
      <c r="KW110" s="265"/>
      <c r="KX110" s="286"/>
      <c r="KY110" s="100"/>
      <c r="KZ110" s="100"/>
      <c r="LA110" s="210"/>
      <c r="LB110" s="117"/>
      <c r="LC110" s="117"/>
      <c r="LD110" s="148"/>
      <c r="LE110" s="145"/>
      <c r="LF110" s="632"/>
      <c r="LG110" s="148"/>
      <c r="LH110" s="154"/>
      <c r="LI110" s="154"/>
      <c r="LJ110" s="154"/>
      <c r="LK110" s="117"/>
      <c r="LL110" s="211"/>
      <c r="LM110" s="210"/>
      <c r="LN110" s="148"/>
      <c r="LO110" s="148"/>
      <c r="LP110" s="265"/>
      <c r="LQ110" s="286"/>
      <c r="LR110" s="100"/>
      <c r="LS110" s="100"/>
      <c r="LT110" s="210"/>
      <c r="LU110" s="117"/>
      <c r="LV110" s="117"/>
      <c r="LW110" s="148"/>
      <c r="LX110" s="145"/>
      <c r="LY110" s="632"/>
      <c r="LZ110" s="148"/>
      <c r="MA110" s="154"/>
      <c r="MB110" s="154"/>
      <c r="MC110" s="145"/>
      <c r="MD110" s="117"/>
      <c r="ME110" s="211"/>
      <c r="MF110" s="210"/>
      <c r="MG110" s="148"/>
      <c r="MH110" s="148"/>
      <c r="MI110" s="265"/>
      <c r="MJ110" s="647"/>
      <c r="MK110" s="264"/>
      <c r="ML110" s="153"/>
      <c r="MM110" s="153"/>
      <c r="MN110" s="153"/>
      <c r="MO110" s="153"/>
      <c r="MP110" s="153"/>
      <c r="MQ110" s="153"/>
      <c r="MR110" s="153"/>
      <c r="MS110" s="99"/>
      <c r="MT110" s="99"/>
      <c r="MU110" s="99"/>
      <c r="MV110" s="99"/>
      <c r="MW110" s="99"/>
      <c r="MX110" s="99"/>
      <c r="MY110" s="153"/>
      <c r="MZ110" s="153"/>
      <c r="NA110" s="153"/>
      <c r="NB110" s="153"/>
      <c r="NC110" s="153"/>
      <c r="ND110" s="153"/>
      <c r="NE110" s="148"/>
      <c r="NF110" s="145"/>
      <c r="NG110" s="145"/>
      <c r="NH110" s="330" t="str">
        <f t="shared" si="822"/>
        <v>ks</v>
      </c>
      <c r="NI110" s="797">
        <f>RZ[[#This Row],[Počet ks (K)]]</f>
        <v>0</v>
      </c>
      <c r="NJ110" s="798">
        <f>RZ[[#This Row],[Hmotnost '[kg/ks'] (K)]]</f>
        <v>0</v>
      </c>
      <c r="NK110" s="148"/>
      <c r="NL110" s="145"/>
      <c r="NM110" s="632"/>
      <c r="NN110" s="148"/>
      <c r="NO110" s="154"/>
      <c r="NP110" s="154"/>
      <c r="NQ110" s="154"/>
      <c r="NR110" s="210"/>
      <c r="NS110" s="148"/>
      <c r="NT110" s="210"/>
      <c r="NU110" s="148"/>
      <c r="NV110" s="148"/>
      <c r="NW110" s="265"/>
    </row>
    <row r="111" spans="2:387" ht="15.95" customHeight="1" x14ac:dyDescent="0.35">
      <c r="B111" s="118" t="str">
        <f t="shared" si="706"/>
        <v/>
      </c>
      <c r="C11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1" s="262" t="str">
        <f t="shared" si="707"/>
        <v xml:space="preserve">    Čep 100</v>
      </c>
      <c r="E111" s="120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Row],[Kód položek (P2)]]))))))))))</f>
        <v>STO2</v>
      </c>
      <c r="F111" s="791" t="str">
        <f t="shared" si="708"/>
        <v>N/A</v>
      </c>
      <c r="G111" s="792" t="str">
        <f t="shared" si="709"/>
        <v/>
      </c>
      <c r="H111" s="262" t="str">
        <f t="shared" si="710"/>
        <v/>
      </c>
      <c r="I111" s="123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HR '[MJHR'] (P0)]]))))))))))</f>
        <v>ks</v>
      </c>
      <c r="J111" s="123">
        <f t="shared" si="711"/>
        <v>4</v>
      </c>
      <c r="K111" s="793">
        <f>RZ[[#This Row],[Koeficient odhadu HR '[-'] (P1)]]</f>
        <v>1</v>
      </c>
      <c r="L111" s="124">
        <f ca="1">RZ[[#This Row],[Jednotková hmotnost s koef. '[kg/MJHR'] (P0)]]</f>
        <v>18</v>
      </c>
      <c r="M111" s="794">
        <f t="shared" ca="1" si="712"/>
        <v>0</v>
      </c>
      <c r="N111" s="125">
        <f t="shared" ca="1" si="713"/>
        <v>72</v>
      </c>
      <c r="O111" s="125">
        <f t="shared" ca="1" si="714"/>
        <v>0</v>
      </c>
      <c r="P111" s="126" t="str">
        <f t="shared" si="715"/>
        <v/>
      </c>
      <c r="Q111" s="795">
        <f ca="1">RZ[[#This Row],[Počet MJHR v rozpadu (P0)]]</f>
        <v>4</v>
      </c>
      <c r="R111" s="439" t="str">
        <f t="shared" si="716"/>
        <v/>
      </c>
      <c r="S111" s="129" t="str">
        <f t="shared" si="717"/>
        <v/>
      </c>
      <c r="T111" s="126" t="str">
        <f t="shared" si="718"/>
        <v/>
      </c>
      <c r="U111" s="126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CR (MJCR) (P0)]]))))))))))</f>
        <v>kg</v>
      </c>
      <c r="V111" s="575">
        <f t="shared" ca="1" si="719"/>
        <v>72</v>
      </c>
      <c r="W111" s="322">
        <f>RZ[[#This Row],[Koeficient odhadu CR '[-'] (P1)]]</f>
        <v>1</v>
      </c>
      <c r="X111" s="440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Row],[Jednotková cena bez DPH '[cena/MJCR'] (P1)]]*RZ[[#This Row],[Koeficient odhadu CR '[-']]]))))))))))</f>
        <v>115</v>
      </c>
      <c r="Y111" s="440">
        <f t="shared" ca="1" si="720"/>
        <v>0</v>
      </c>
      <c r="Z111" s="142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VLOOKUP(IP111,$BR$7:$BS$11,2,FALSE)))))))))))</f>
        <v>CZK</v>
      </c>
      <c r="AA111" s="909">
        <f t="shared" ca="1" si="721"/>
        <v>72</v>
      </c>
      <c r="AB111" s="910">
        <f ca="1">RZ[[#This Row],[Kumulovaný koeficient v rozpadu (P0)]]</f>
        <v>1</v>
      </c>
      <c r="AC111" s="261"/>
      <c r="AD111" s="796">
        <f ca="1">RZ[[#This Row],[Jednotková cena bez DPH '[cena/MJCR'] s koef. (P0)]]/RZ[[#This Row],[Koeficient odhadu CR '[-']]]*RZ[[#This Row],[Kumulovaný koeficient odhadu CR  '[-']]]</f>
        <v>115</v>
      </c>
      <c r="AE111" s="796">
        <f t="shared" ca="1" si="722"/>
        <v>8280</v>
      </c>
      <c r="AF111" s="796">
        <f ca="1">-IF(ISNUMBER(AA111),RZ[[#This Row],[Celková cena bez DPH (1)]]-RZ[[#This Row],[Jednotková cena bez DPH '[cena/MJCR'] bez koef. (P0)]]*AA111,0)</f>
        <v>0</v>
      </c>
      <c r="AG11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1" s="261"/>
      <c r="AI111" s="796">
        <f t="shared" ca="1" si="723"/>
        <v>4.2592592592592595</v>
      </c>
      <c r="AJ111" s="796">
        <f t="shared" ca="1" si="724"/>
        <v>306.66666666666669</v>
      </c>
      <c r="AK111" s="796">
        <f t="shared" ca="1" si="725"/>
        <v>0</v>
      </c>
      <c r="AL111" s="753">
        <f ca="1">RZ[[#This Row],[Kilogramová cena bez DPH '[cena/kg'] (1)]]/$AK$13</f>
        <v>4.2592592592592595</v>
      </c>
      <c r="AM111" s="261"/>
      <c r="AN111" s="796">
        <f t="shared" ca="1" si="726"/>
        <v>5.5555555555555554</v>
      </c>
      <c r="AO111" s="796">
        <f t="shared" ca="1" si="727"/>
        <v>400</v>
      </c>
      <c r="AP111" s="796">
        <f t="shared" ca="1" si="728"/>
        <v>0</v>
      </c>
      <c r="AQ111" s="753">
        <f ca="1">RZ[[#This Row],[Kilogramová cena bez DPH '[cena/kg'] (1)]]/$AP$13</f>
        <v>5.5555555555555554</v>
      </c>
      <c r="AR111" s="261"/>
      <c r="AS111" s="796">
        <f t="shared" ca="1" si="729"/>
        <v>3.1455142231947484</v>
      </c>
      <c r="AT111" s="796">
        <f t="shared" ca="1" si="730"/>
        <v>226.47702407002186</v>
      </c>
      <c r="AU111" s="789">
        <f t="shared" ca="1" si="731"/>
        <v>0</v>
      </c>
      <c r="AV111" s="767">
        <f ca="1">RZ[[#This Row],[Kilogramová cena bez DPH '[cena/kg'] (1)]]/$AU$13</f>
        <v>3.1455142231947484</v>
      </c>
      <c r="AW111" s="165"/>
      <c r="AX111" s="911">
        <f t="shared" ca="1" si="732"/>
        <v>2</v>
      </c>
      <c r="AY111" s="111">
        <f t="shared" ca="1" si="733"/>
        <v>8</v>
      </c>
      <c r="AZ111" s="111">
        <f t="shared" ca="1" si="734"/>
        <v>11</v>
      </c>
      <c r="BA111" s="111">
        <f t="shared" ca="1" si="735"/>
        <v>0</v>
      </c>
      <c r="BB111" s="111">
        <f t="shared" ca="1" si="736"/>
        <v>0</v>
      </c>
      <c r="BC111" s="111">
        <f t="shared" ca="1" si="737"/>
        <v>0</v>
      </c>
      <c r="BD111" s="111">
        <f t="shared" ca="1" si="738"/>
        <v>0</v>
      </c>
      <c r="BE111" s="111">
        <f t="shared" ca="1" si="739"/>
        <v>0</v>
      </c>
      <c r="BF111" s="111">
        <f t="shared" ca="1" si="740"/>
        <v>0</v>
      </c>
      <c r="BG111" s="112">
        <f t="shared" ca="1" si="741"/>
        <v>0</v>
      </c>
      <c r="BH111" s="911">
        <f t="shared" si="742"/>
        <v>0</v>
      </c>
      <c r="BI111" s="111">
        <f t="shared" si="743"/>
        <v>0</v>
      </c>
      <c r="BJ111" s="111">
        <f t="shared" si="744"/>
        <v>1</v>
      </c>
      <c r="BK111" s="111">
        <f t="shared" si="745"/>
        <v>0</v>
      </c>
      <c r="BL111" s="111">
        <f t="shared" si="746"/>
        <v>0</v>
      </c>
      <c r="BM111" s="111">
        <f t="shared" si="747"/>
        <v>0</v>
      </c>
      <c r="BN111" s="111">
        <f t="shared" si="748"/>
        <v>0</v>
      </c>
      <c r="BO111" s="111">
        <f t="shared" si="749"/>
        <v>0</v>
      </c>
      <c r="BP111" s="111">
        <f t="shared" si="750"/>
        <v>0</v>
      </c>
      <c r="BQ111" s="112">
        <f t="shared" si="751"/>
        <v>0</v>
      </c>
      <c r="BR111" s="132">
        <f ca="1">IF(OFFSET(AY111,1,0,1,1)&lt;&gt;0,RZ[[#This Row],[Koeficient odhadu HR '[-'] (P1)]]*$BH111*SUMIFS(RZ[Úroveň 2 s koef. (P2)],RZ[0],AX111),RZ[[#This Row],[Koeficient odhadu HR '[-'] (P1)]]*$BH111*$IG111)</f>
        <v>0</v>
      </c>
      <c r="BS111" s="186">
        <f ca="1">IF(OFFSET(AY111,1,0,1,1)&lt;&gt;0,$BH111*SUMIFS(RZ[Úroveň 2 bez koef. (P2)],RZ[0],AX111),$BH111*$IG111)</f>
        <v>0</v>
      </c>
      <c r="BT111" s="138">
        <f ca="1">RZ[[#This Row],[Úroveň 2 s koef. (P2a)]]*RZ[[#This Row],[Počet MJHR (P0)]]</f>
        <v>0</v>
      </c>
      <c r="BU111" s="138">
        <f ca="1">RZ[[#This Row],[Úroveň 2 bez koef. (P2a)]]*RZ[[#This Row],[Počet MJHR (P0)]]</f>
        <v>0</v>
      </c>
      <c r="BV111" s="138">
        <f ca="1">IF(OFFSET(AZ111,1,0,1,1)&lt;&gt;0,RZ[[#This Row],[Koeficient odhadu HR '[-'] (P1)]]*$BI111*SUMIFS(RZ[Úroveň 3 s koef. (P2)],RZ[0],AX111,RZ[Úroveň 2 (P0)],AY111),RZ[[#This Row],[Koeficient odhadu HR '[-'] (P1)]]*$BI111*$IG111)</f>
        <v>0</v>
      </c>
      <c r="BW111" s="138">
        <f ca="1">IF(OFFSET(AZ111,1,0,1,1)&lt;&gt;0,$BI111*SUMIFS(RZ[Úroveň 3 bez koef. (P2)],RZ[0],AX111,RZ[Úroveň 2 (P0)],AY111),$BI111*$IG111)</f>
        <v>0</v>
      </c>
      <c r="BX111" s="132">
        <f ca="1">RZ[[#This Row],[Úroveň 3 s koef. (P2a)]]*RZ[[#This Row],[Počet MJHR (P0)]]</f>
        <v>72</v>
      </c>
      <c r="BY111" s="132">
        <f ca="1">RZ[Úroveň 3 bez koef. (P2a)]*RZ[[#This Row],[Počet MJHR (P0)]]</f>
        <v>72</v>
      </c>
      <c r="BZ111" s="132">
        <f ca="1">IF(OFFSET(BA111,1,0,1,1)&lt;&gt;0,RZ[[#This Row],[Koeficient odhadu HR '[-'] (P1)]]*$BJ111*SUMIFS(RZ[Úroveň 4 s koef. (P2)],RZ[0],AX111,RZ[Úroveň 2 (P0)],AY111,RZ[Úroveň 3 (P0)],AZ111),RZ[[#This Row],[Koeficient odhadu HR '[-'] (P1)]]*$BJ111*$IG111)</f>
        <v>18</v>
      </c>
      <c r="CA111" s="132">
        <f ca="1">IF(OFFSET(BA111,1,0,1,1)&lt;&gt;0,$BJ111*SUMIFS(RZ[Úroveň 4 bez koef. (P2)],RZ[0],AX111,RZ[Úroveň 2 (P0)],AY111,RZ[Úroveň 3 (P0)],AZ111),$BJ111*$IG111)</f>
        <v>18</v>
      </c>
      <c r="CB111" s="138">
        <f ca="1">RZ[[#This Row],[Úroveň 4 s koef. (P2a)]]*RZ[[#This Row],[Počet MJHR (P0)]]</f>
        <v>0</v>
      </c>
      <c r="CC111" s="138">
        <f ca="1">RZ[Úroveň 4 bez koef. (P2a)]*RZ[[#This Row],[Počet MJHR (P0)]]</f>
        <v>0</v>
      </c>
      <c r="CD111" s="138">
        <f ca="1">IF(OFFSET(BB111,1,0,1,1)&lt;&gt;0,RZ[[#This Row],[Koeficient odhadu HR '[-'] (P1)]]*$BK111*SUMIFS(RZ[Úroveň 5 s koef. (P2)],RZ[0],AX111,RZ[Úroveň 2 (P0)],AY111,RZ[Úroveň 3 (P0)],AZ111,RZ[Úroveň 4 (P0)],BA111),RZ[[#This Row],[Koeficient odhadu HR '[-'] (P1)]]*$BK111*$IG111)</f>
        <v>0</v>
      </c>
      <c r="CE111" s="138">
        <f ca="1">IF(OFFSET(BB111,1,0,1,1)&lt;&gt;0,$BK111*SUMIFS(RZ[Úroveň 5 bez koef. (P2)],RZ[0],AX111,RZ[Úroveň 2 (P0)],AY111,RZ[Úroveň 3 (P0)],AZ111,RZ[Úroveň 4 (P0)],BA111),$BK111*$IG111)</f>
        <v>0</v>
      </c>
      <c r="CF111" s="132">
        <f ca="1">RZ[[#This Row],[Úroveň 5 s koef. (P2a)]]*RZ[[#This Row],[Počet MJHR (P0)]]</f>
        <v>0</v>
      </c>
      <c r="CG111" s="132">
        <f ca="1">RZ[Úroveň 5 bez koef. (P2a)]*RZ[[#This Row],[Počet MJHR (P0)]]</f>
        <v>0</v>
      </c>
      <c r="CH111" s="132">
        <f ca="1">IF(OFFSET(BC111,1,0,1,1)&lt;&gt;0,RZ[[#This Row],[Koeficient odhadu HR '[-'] (P1)]]*$BL111*SUMIFS(RZ[Úroveň 6 s koef. (P2)],RZ[0],AX111,RZ[Úroveň 2 (P0)],AY111,RZ[Úroveň 3 (P0)],AZ111,RZ[Úroveň 4 (P0)],BA111,RZ[Úroveň 5 (P0)],BB111),RZ[[#This Row],[Koeficient odhadu HR '[-'] (P1)]]*$BL111*$IG111)</f>
        <v>0</v>
      </c>
      <c r="CI111" s="132">
        <f ca="1">IF(OFFSET(BC111,1,0,1,1)&lt;&gt;0,$BL111*SUMIFS(RZ[Úroveň 6 bez koef. (P2)],RZ[0],AX111,RZ[Úroveň 2 (P0)],AY111,RZ[Úroveň 3 (P0)],AZ111,RZ[Úroveň 4 (P0)],BA111,RZ[Úroveň 5 (P0)],BB111),$BL111*$IG111)</f>
        <v>0</v>
      </c>
      <c r="CJ111" s="138">
        <f ca="1">RZ[[#This Row],[Úroveň 6 s koef. (P2a)]]*RZ[[#This Row],[Počet MJHR (P0)]]</f>
        <v>0</v>
      </c>
      <c r="CK111" s="138">
        <f ca="1">RZ[Úroveň 6 bez koef. (P2a)]*RZ[[#This Row],[Počet MJHR (P0)]]</f>
        <v>0</v>
      </c>
      <c r="CL111" s="138">
        <f ca="1">IF(OFFSET(BD111,1,0,1,1)&lt;&gt;0,RZ[[#This Row],[Koeficient odhadu HR '[-'] (P1)]]*$BM111*SUMIFS(RZ[Úroveň 7 s koef. (P2)],RZ[0],AX111,RZ[Úroveň 2 (P0)],AY111,RZ[Úroveň 3 (P0)],AZ111,RZ[Úroveň 4 (P0)],BA111,RZ[Úroveň 5 (P0)],BB111,RZ[Úroveň 6 (P0)],BC111),RZ[[#This Row],[Koeficient odhadu HR '[-'] (P1)]]*$BM111*$IG111)</f>
        <v>0</v>
      </c>
      <c r="CM111" s="138">
        <f ca="1">IF(OFFSET(BD111,1,0,1,1)&lt;&gt;0,$BM111*SUMIFS(RZ[Úroveň 7 bez koef. (P2)],RZ[0],AX111,RZ[Úroveň 2 (P0)],AY111,RZ[Úroveň 3 (P0)],AZ111,RZ[Úroveň 4 (P0)],BA111,RZ[Úroveň 5 (P0)],BB111,RZ[Úroveň 6 (P0)],BC111),$BM111*$IG111)</f>
        <v>0</v>
      </c>
      <c r="CN111" s="132">
        <f ca="1">RZ[[#This Row],[Úroveň 7 s koef. (P2a)]]*RZ[[#This Row],[Počet MJHR (P0)]]</f>
        <v>0</v>
      </c>
      <c r="CO111" s="132">
        <f ca="1">RZ[Úroveň 7 bez koef. (P2a)]*RZ[[#This Row],[Počet MJHR (P0)]]</f>
        <v>0</v>
      </c>
      <c r="CP111" s="132">
        <f ca="1">IF(OFFSET(BE111,1,0,1,1)&lt;&gt;0,RZ[[#This Row],[Koeficient odhadu HR '[-'] (P1)]]*$BN111*SUMIFS(RZ[Úroveň 8 s koef. (P2)],RZ[0],AX111,RZ[Úroveň 2 (P0)],AY111,RZ[Úroveň 3 (P0)],AZ111,RZ[Úroveň 4 (P0)],BA111,RZ[Úroveň 5 (P0)],BB111,RZ[Úroveň 6 (P0)],BC111,RZ[Úroveň 7 (P0)],BD111),RZ[[#This Row],[Koeficient odhadu HR '[-'] (P1)]]*$BN111*$IG111)</f>
        <v>0</v>
      </c>
      <c r="CQ111" s="132">
        <f ca="1">IF(OFFSET(BE111,1,0,1,1)&lt;&gt;0,$BN111*SUMIFS(RZ[Úroveň 8 bez koef. (P2)],RZ[0],AX111,RZ[Úroveň 2 (P0)],AY111,RZ[Úroveň 3 (P0)],AZ111,RZ[Úroveň 4 (P0)],BA111,RZ[Úroveň 5 (P0)],BB111,RZ[Úroveň 6 (P0)],BC111,RZ[Úroveň 7 (P0)],BD111),$BN111*$IG111)</f>
        <v>0</v>
      </c>
      <c r="CR111" s="138">
        <f ca="1">RZ[[#This Row],[Úroveň 8 s koef. (P2a)]]*RZ[[#This Row],[Počet MJHR (P0)]]</f>
        <v>0</v>
      </c>
      <c r="CS111" s="138">
        <f ca="1">RZ[Úroveň 8 bez koef. (P2a)]*RZ[[#This Row],[Počet MJHR (P0)]]</f>
        <v>0</v>
      </c>
      <c r="CT111" s="138">
        <f ca="1">IF(OFFSET(BF111,1,0,1,1)&lt;&gt;0,RZ[[#This Row],[Koeficient odhadu HR '[-'] (P1)]]*$BO111*SUMIFS(RZ[Úroveň 9 s koef. (P2)],RZ[0],AX111,RZ[Úroveň 2 (P0)],AY111,RZ[Úroveň 3 (P0)],AZ111,RZ[Úroveň 4 (P0)],BA111,RZ[Úroveň 5 (P0)],BB111,RZ[Úroveň 6 (P0)],BC111,RZ[Úroveň 7 (P0)],BD111,RZ[Úroveň 8 (P0)],BE111),RZ[[#This Row],[Koeficient odhadu HR '[-'] (P1)]]*$BO111*$IG111)</f>
        <v>0</v>
      </c>
      <c r="CU111" s="138">
        <f ca="1">IF(OFFSET(BF111,1,0,1,1)&lt;&gt;0,$BO111*SUMIFS(RZ[Úroveň 9 bez koef. (P2)],RZ[0],AX111,RZ[Úroveň 2 (P0)],AY111,RZ[Úroveň 3 (P0)],AZ111,RZ[Úroveň 4 (P0)],BA111,RZ[Úroveň 5 (P0)],BB111,RZ[Úroveň 6 (P0)],BC111,RZ[Úroveň 7 (P0)],BD111,RZ[Úroveň 8 (P0)],BE111),$BO111*$IG111)</f>
        <v>0</v>
      </c>
      <c r="CV111" s="132">
        <f ca="1">RZ[[#This Row],[Úroveň 9 s koef. (P2a)]]*RZ[[#This Row],[Počet MJHR (P0)]]</f>
        <v>0</v>
      </c>
      <c r="CW111" s="132">
        <f ca="1">RZ[Úroveň 9 bez koef. (P2a)]*RZ[[#This Row],[Počet MJHR (P0)]]</f>
        <v>0</v>
      </c>
      <c r="CX111" s="132">
        <f ca="1">IF(OFFSET(BG111,1,0,1,1)&lt;&gt;0,RZ[[#This Row],[Koeficient odhadu HR '[-'] (P1)]]*$BP111*SUMIFS(RZ[Úroveň 10 s koef. (P2)],RZ[0],AX111,RZ[Úroveň 2 (P0)],AY111,RZ[Úroveň 3 (P0)],AZ111,RZ[Úroveň 4 (P0)],BA111,RZ[Úroveň 5 (P0)],BB111,RZ[Úroveň 6 (P0)],BC111,RZ[Úroveň 7 (P0)],BD111,RZ[Úroveň 8 (P0)],BE111,RZ[Úroveň 9 (P0)],BF111),RZ[[#This Row],[Koeficient odhadu HR '[-'] (P1)]]*$BP111*$IG111)</f>
        <v>0</v>
      </c>
      <c r="CY111" s="132">
        <f ca="1">IF(OFFSET(BG111,1,0,1,1)&lt;&gt;0,$BP111*SUMIFS(RZ[Úroveň 10 bez koef. (P2)],RZ[0],AX111,RZ[Úroveň 2 (P0)],AY111,RZ[Úroveň 3 (P0)],AZ111,RZ[Úroveň 4 (P0)],BA111,RZ[Úroveň 5 (P0)],BB111,RZ[Úroveň 6 (P0)],BC111,RZ[Úroveň 7 (P0)],BD111,RZ[Úroveň 8 (P0)],BE111,RZ[Úroveň 9 (P0)],BF111),$BP111*$IG111)</f>
        <v>0</v>
      </c>
      <c r="CZ111" s="138">
        <f>RZ[[#This Row],[Úroveň 10 s koef. (P2a)]]*RZ[[#This Row],[Počet MJHR (P0)]]</f>
        <v>0</v>
      </c>
      <c r="DA111" s="138">
        <f>RZ[Úroveň 10 bez koef. (P2a)]*RZ[[#This Row],[Počet MJHR (P0)]]</f>
        <v>0</v>
      </c>
      <c r="DB111" s="138">
        <f>RZ[[#This Row],[Koeficient odhadu HR '[-'] (P1)]]*$BQ111*IG111</f>
        <v>0</v>
      </c>
      <c r="DC111" s="231">
        <f t="shared" si="752"/>
        <v>0</v>
      </c>
      <c r="DD111" s="241">
        <f t="shared" ca="1" si="753"/>
        <v>18</v>
      </c>
      <c r="DE111" s="229">
        <f t="shared" ca="1" si="754"/>
        <v>18</v>
      </c>
      <c r="DF111" s="912">
        <f t="shared" si="755"/>
        <v>0</v>
      </c>
      <c r="DG111" s="913">
        <f t="shared" si="756"/>
        <v>0</v>
      </c>
      <c r="DH111" s="913">
        <f t="shared" si="757"/>
        <v>4</v>
      </c>
      <c r="DI111" s="913">
        <f t="shared" si="758"/>
        <v>0</v>
      </c>
      <c r="DJ111" s="913">
        <f t="shared" si="759"/>
        <v>0</v>
      </c>
      <c r="DK111" s="913">
        <f t="shared" si="760"/>
        <v>0</v>
      </c>
      <c r="DL111" s="913">
        <f t="shared" si="761"/>
        <v>0</v>
      </c>
      <c r="DM111" s="913">
        <f t="shared" si="762"/>
        <v>0</v>
      </c>
      <c r="DN111" s="913">
        <f t="shared" si="763"/>
        <v>0</v>
      </c>
      <c r="DO111" s="913">
        <f t="shared" si="764"/>
        <v>0</v>
      </c>
      <c r="DP111" s="914">
        <f ca="1">SUMIFS(RZ[Úroveň 1 (P4)],RZ[0],AX111)</f>
        <v>1</v>
      </c>
      <c r="DQ111" s="914">
        <f ca="1">SUMIFS(RZ[Úroveň 2 (P4)],RZ[0],AX111,RZ[Úroveň 2 (P0)],AY111)</f>
        <v>1</v>
      </c>
      <c r="DR111" s="914">
        <f ca="1">SUMIFS(RZ[Úroveň 3 (P4)],RZ[0],AX111,RZ[Úroveň 2 (P0)],AY111,RZ[Úroveň 3 (P0)],AZ111)</f>
        <v>4</v>
      </c>
      <c r="DS111" s="914">
        <f ca="1">SUMIFS(RZ[Úroveň 4 (P4)],RZ[0],AX111,RZ[Úroveň 2 (P0)],AY111,RZ[Úroveň 3 (P0)],AZ111,RZ[Úroveň 4 (P0)],BA111)</f>
        <v>0</v>
      </c>
      <c r="DT111" s="914">
        <f ca="1">SUMIFS(RZ[Úroveň 5 (P4)],RZ[0],AX111,RZ[Úroveň 2 (P0)],AY111,RZ[Úroveň 3 (P0)],AZ111,RZ[Úroveň 4 (P0)],BA111,RZ[Úroveň 5 (P0)],BB111)</f>
        <v>0</v>
      </c>
      <c r="DU111" s="914">
        <f ca="1">SUMIFS(RZ[Úroveň 6 (P4)],RZ[0],AX111,RZ[Úroveň 2 (P0)],AY111,RZ[Úroveň 3 (P0)],AZ111,RZ[Úroveň 4 (P0)],BA111,RZ[Úroveň 5 (P0)],BB111,RZ[Úroveň 6 (P0)],BC111)</f>
        <v>0</v>
      </c>
      <c r="DV111" s="914">
        <f ca="1">SUMIFS(RZ[Úroveň 7 (P4)],RZ[0],AX111,RZ[Úroveň 2 (P0)],AY111,RZ[Úroveň 3 (P0)],AZ111,RZ[Úroveň 4 (P0)],BA111,RZ[Úroveň 5 (P0)],BB111,RZ[Úroveň 6 (P0)],BC111,RZ[Úroveň 7 (P0)],BD111)</f>
        <v>0</v>
      </c>
      <c r="DW111" s="914">
        <f ca="1">SUMIFS(RZ[Úroveň 8 (P4)],RZ[0],AX111,RZ[Úroveň 2 (P0)],AY111,RZ[Úroveň 3 (P0)],AZ111,RZ[Úroveň 4 (P0)],BA111,RZ[Úroveň 5 (P0)],BB111,RZ[Úroveň 6 (P0)],BC111,RZ[Úroveň 7 (P0)],BD111,RZ[Úroveň 8 (P0)],BE111)</f>
        <v>0</v>
      </c>
      <c r="DX111" s="914">
        <f ca="1">SUMIFS(RZ[Úroveň 9 (P4)],RZ[0],AX111,RZ[Úroveň 2 (P0)],AY111,RZ[Úroveň 3 (P0)],AZ111,RZ[Úroveň 4 (P0)],BA111,RZ[Úroveň 5 (P0)],BB111,RZ[Úroveň 6 (P0)],BC111,RZ[Úroveň 7 (P0)],BD111,RZ[Úroveň 8 (P0)],BE111,RZ[Úroveň 9 (P0)],BF111)</f>
        <v>0</v>
      </c>
      <c r="DY111" s="914">
        <f ca="1">SUMIFS(RZ[Úroveň 10 (P4)],RZ[0],AX111,RZ[Úroveň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DZ111" s="915">
        <f t="shared" ca="1" si="765"/>
        <v>4</v>
      </c>
      <c r="EA111" s="916">
        <f ca="1">RZ[[#This Row],[Jednotková hmotnost bez koef. '[kg/MJHR'] (P0)]]*RZ[[#This Row],[Počet MJHR v rozpadu (P0)]]</f>
        <v>72</v>
      </c>
      <c r="EB111" s="917">
        <f ca="1">IF(OFFSET(AY111,1,0,1,1)&lt;&gt;0,RZ[[#This Row],[Koeficient odhadu CR '[-'] (P1)]]*$BH111*SUMIFS(RZ[Úroveň 2 s koef. (P3)],RZ[0],AX111),RZ[[#This Row],[Koeficient odhadu CR '[-'] (P1)]]*$BH111*$IQ111)</f>
        <v>0</v>
      </c>
      <c r="EC111" s="191">
        <f ca="1">IF(OFFSET(AY111,1,0,1,1)&lt;&gt;0,$BH111*SUMIFS(RZ[Úroveň 2 bez koef. (P3)],RZ[0],AX111),$BH111*$IQ111)</f>
        <v>0</v>
      </c>
      <c r="ED111" s="140">
        <f ca="1">RZ[[#This Row],[Úroveň 2 s koef. (P3a)]]*RZ[[#This Row],[Počet MJCR (P0) pro "kg"]]</f>
        <v>0</v>
      </c>
      <c r="EE111" s="140">
        <f ca="1">RZ[Úroveň 2 bez koef. (P3a)]*RZ[[#This Row],[Počet MJCR (P0) pro "kg"]]</f>
        <v>0</v>
      </c>
      <c r="EF111" s="140">
        <f ca="1">IF(OFFSET(AZ111,1,0,1,1)&lt;&gt;0,RZ[[#This Row],[Koeficient odhadu CR '[-'] (P1)]]*$BI111*SUMIFS(RZ[Úroveň 3 s koef. (P3)],RZ[0],AX111,RZ[Úroveň 2 (P0)],AY111),RZ[[#This Row],[Koeficient odhadu CR '[-'] (P1)]]*$BI111*$IQ111)</f>
        <v>0</v>
      </c>
      <c r="EG111" s="140">
        <f ca="1">IF(OFFSET(AZ111,1,0,1,1)&lt;&gt;0,$BI111*SUMIFS(RZ[Úroveň 3 bez koef. (P3)],RZ[0],AX111,RZ[Úroveň 2 (P0)],AY111),$BI111*$IQ111)</f>
        <v>0</v>
      </c>
      <c r="EH111" s="135">
        <f ca="1">RZ[[#This Row],[Úroveň 3 s koef. (P3a)]]*RZ[[#This Row],[Počet MJCR (P0) pro "kg"]]</f>
        <v>8280</v>
      </c>
      <c r="EI111" s="135">
        <f ca="1">RZ[Úroveň 3 bez koef. (P3a)]*RZ[[#This Row],[Počet MJCR (P0) pro "kg"]]</f>
        <v>8280</v>
      </c>
      <c r="EJ111" s="135">
        <f ca="1">IF(OFFSET(BA111,1,0,1,1)&lt;&gt;0,RZ[[#This Row],[Koeficient odhadu CR '[-'] (P1)]]*$BJ111*SUMIFS(RZ[Úroveň 4 s koef. (P3)],RZ[0],AX111,RZ[Úroveň 2 (P0)],AY111,RZ[Úroveň 3 (P0)],AZ111),RZ[[#This Row],[Koeficient odhadu CR '[-'] (P1)]]*$BJ111*$IQ111)</f>
        <v>115</v>
      </c>
      <c r="EK111" s="135">
        <f ca="1">IF(OFFSET(BA111,1,0,1,1)&lt;&gt;0,$BJ111*SUMIFS(RZ[Úroveň 4 bez koef. (P3)],RZ[0],AX111,RZ[Úroveň 2 (P0)],AY111,RZ[Úroveň 3 (P0)],AZ111),$BJ111*$IQ111)</f>
        <v>115</v>
      </c>
      <c r="EL111" s="140">
        <f ca="1">RZ[[#This Row],[Úroveň 4 s koef. (P3a)]]*RZ[[#This Row],[Počet MJCR (P0) pro "kg"]]</f>
        <v>0</v>
      </c>
      <c r="EM111" s="140">
        <f ca="1">RZ[Úroveň 4 bez koef. (P3a)]*RZ[[#This Row],[Počet MJCR (P0) pro "kg"]]</f>
        <v>0</v>
      </c>
      <c r="EN111" s="140">
        <f ca="1">IF(OFFSET(BB111,1,0,1,1)&lt;&gt;0,RZ[[#This Row],[Koeficient odhadu CR '[-'] (P1)]]*$BK111*SUMIFS(RZ[Úroveň 5 s koef. (P3)],RZ[0],AX111,RZ[Úroveň 2 (P0)],AY111,RZ[Úroveň 3 (P0)],AZ111,RZ[Úroveň 4 (P0)],BA111),RZ[[#This Row],[Koeficient odhadu CR '[-'] (P1)]]*$BK111*$IQ111)</f>
        <v>0</v>
      </c>
      <c r="EO111" s="140">
        <f ca="1">IF(OFFSET(BB111,1,0,1,1)&lt;&gt;0,$BK111*SUMIFS(RZ[Úroveň 5 bez koef. (P3)],RZ[0],AX111,RZ[Úroveň 2 (P0)],AY111,RZ[Úroveň 3 (P0)],AZ111,RZ[Úroveň 4 (P0)],BA111),$BK111*$IQ111)</f>
        <v>0</v>
      </c>
      <c r="EP111" s="135">
        <f ca="1">RZ[[#This Row],[Úroveň 5 s koef. (P3a)]]*RZ[[#This Row],[Počet MJCR (P0) pro "kg"]]</f>
        <v>0</v>
      </c>
      <c r="EQ111" s="135">
        <f ca="1">RZ[Úroveň 5 bez koef. (P3a)]*RZ[[#This Row],[Počet MJCR (P0) pro "kg"]]</f>
        <v>0</v>
      </c>
      <c r="ER111" s="135">
        <f ca="1">IF(OFFSET(BC111,1,0,1,1)&lt;&gt;0,RZ[[#This Row],[Koeficient odhadu CR '[-'] (P1)]]*$BL111*SUMIFS(RZ[Úroveň 6 s koef. (P3)],RZ[0],AX111,RZ[Úroveň 2 (P0)],AY111,RZ[Úroveň 3 (P0)],AZ111,RZ[Úroveň 4 (P0)],BA111,RZ[Úroveň 5 (P0)],BB111),RZ[[#This Row],[Koeficient odhadu CR '[-'] (P1)]]*$BL111*$IQ111)</f>
        <v>0</v>
      </c>
      <c r="ES111" s="135">
        <f ca="1">IF(OFFSET(BC111,1,0,1,1)&lt;&gt;0,$BL111*SUMIFS(RZ[Úroveň 6 bez koef. (P3)],RZ[0],AX111,RZ[Úroveň 2 (P0)],AY111,RZ[Úroveň 3 (P0)],AZ111,RZ[Úroveň 4 (P0)],BA111,RZ[Úroveň 5 (P0)],BB111),$BL111*$IQ111)</f>
        <v>0</v>
      </c>
      <c r="ET111" s="140">
        <f ca="1">RZ[[#This Row],[Úroveň 6 s koef. (P3a)]]*RZ[[#This Row],[Počet MJCR (P0) pro "kg"]]</f>
        <v>0</v>
      </c>
      <c r="EU111" s="140">
        <f ca="1">RZ[Úroveň 6 bez koef. (P3a)]*RZ[[#This Row],[Počet MJCR (P0) pro "kg"]]</f>
        <v>0</v>
      </c>
      <c r="EV111" s="140">
        <f ca="1">IF(OFFSET(BD111,1,0,1,1)&lt;&gt;0,RZ[[#This Row],[Koeficient odhadu CR '[-'] (P1)]]*$BM111*SUMIFS(RZ[Úroveň 7 s koef. (P3)],RZ[0],AX111,RZ[Úroveň 2 (P0)],AY111,RZ[Úroveň 3 (P0)],AZ111,RZ[Úroveň 4 (P0)],BA111,RZ[Úroveň 5 (P0)],BB111,RZ[Úroveň 6 (P0)],BC111),RZ[[#This Row],[Koeficient odhadu CR '[-'] (P1)]]*$BM111*$IQ111)</f>
        <v>0</v>
      </c>
      <c r="EW111" s="140">
        <f ca="1">IF(OFFSET(BD111,1,0,1,1)&lt;&gt;0,$BM111*SUMIFS(RZ[Úroveň 7 bez koef. (P3)],RZ[0],AX111,RZ[Úroveň 2 (P0)],AY111,RZ[Úroveň 3 (P0)],AZ111,RZ[Úroveň 4 (P0)],BA111,RZ[Úroveň 5 (P0)],BB111,RZ[Úroveň 6 (P0)],BC111),$BM111*$IQ111)</f>
        <v>0</v>
      </c>
      <c r="EX111" s="135">
        <f ca="1">RZ[[#This Row],[Úroveň 7 s koef. (P3a)]]*RZ[[#This Row],[Počet MJCR (P0) pro "kg"]]</f>
        <v>0</v>
      </c>
      <c r="EY111" s="135">
        <f ca="1">RZ[Úroveň 7 bez koef. (P3a)]*RZ[[#This Row],[Počet MJCR (P0) pro "kg"]]</f>
        <v>0</v>
      </c>
      <c r="EZ111" s="135">
        <f ca="1">IF(OFFSET(BE111,1,0,1,1)&lt;&gt;0,RZ[[#This Row],[Koeficient odhadu CR '[-'] (P1)]]*$BN111*SUMIFS(RZ[Úroveň 8 s koef. (P3)],RZ[0],AX111,RZ[Úroveň 2 (P0)],AY111,RZ[Úroveň 3 (P0)],AZ111,RZ[Úroveň 4 (P0)],BA111,RZ[Úroveň 5 (P0)],BB111,RZ[Úroveň 6 (P0)],BC111,RZ[Úroveň 7 (P0)],BD111),RZ[[#This Row],[Koeficient odhadu CR '[-'] (P1)]]*$BN111*$IQ111)</f>
        <v>0</v>
      </c>
      <c r="FA111" s="135">
        <f ca="1">IF(OFFSET(BE111,1,0,1,1)&lt;&gt;0,$BN111*SUMIFS(RZ[Úroveň 8 bez koef. (P3)],RZ[0],AX111,RZ[Úroveň 2 (P0)],AY111,RZ[Úroveň 3 (P0)],AZ111,RZ[Úroveň 4 (P0)],BA111,RZ[Úroveň 5 (P0)],BB111,RZ[Úroveň 6 (P0)],BC111,RZ[Úroveň 7 (P0)],BD111),$BN111*$IQ111)</f>
        <v>0</v>
      </c>
      <c r="FB111" s="140">
        <f ca="1">RZ[[#This Row],[Úroveň 8 s koef. (P3a)]]*RZ[[#This Row],[Počet MJCR (P0) pro "kg"]]</f>
        <v>0</v>
      </c>
      <c r="FC111" s="140">
        <f ca="1">RZ[Úroveň 8 bez koef. (P3a)]*RZ[[#This Row],[Počet MJCR (P0) pro "kg"]]</f>
        <v>0</v>
      </c>
      <c r="FD111" s="140">
        <f ca="1">IF(OFFSET(BF111,1,0,1,1)&lt;&gt;0,RZ[[#This Row],[Koeficient odhadu CR '[-'] (P1)]]*$BO111*SUMIFS(RZ[Úroveň 9 s koef. (P3)],RZ[0],AX111,RZ[Úroveň 2 (P0)],AY111,RZ[Úroveň 3 (P0)],AZ111,RZ[Úroveň 4 (P0)],BA111,RZ[Úroveň 5 (P0)],BB111,RZ[Úroveň 6 (P0)],BC111,RZ[Úroveň 7 (P0)],BD111,RZ[Úroveň 8 (P0)],BE111),RZ[[#This Row],[Koeficient odhadu CR '[-'] (P1)]]*$BO111*$IQ111)</f>
        <v>0</v>
      </c>
      <c r="FE111" s="140">
        <f ca="1">IF(OFFSET(BF111,1,0,1,1)&lt;&gt;0,$BO111*SUMIFS(RZ[Úroveň 9 bez koef. (P3)],RZ[0],AX111,RZ[Úroveň 2 (P0)],AY111,RZ[Úroveň 3 (P0)],AZ111,RZ[Úroveň 4 (P0)],BA111,RZ[Úroveň 5 (P0)],BB111,RZ[Úroveň 6 (P0)],BC111,RZ[Úroveň 7 (P0)],BD111,RZ[Úroveň 8 (P0)],BE111),$BO111*$IQ111)</f>
        <v>0</v>
      </c>
      <c r="FF111" s="135">
        <f ca="1">RZ[[#This Row],[Úroveň 9 s koef. (P3a)]]*RZ[[#This Row],[Počet MJCR (P0) pro "kg"]]</f>
        <v>0</v>
      </c>
      <c r="FG111" s="135">
        <f ca="1">RZ[Úroveň 9 bez koef. (P3a)]*RZ[[#This Row],[Počet MJCR (P0) pro "kg"]]</f>
        <v>0</v>
      </c>
      <c r="FH111" s="135">
        <f ca="1">IF(OFFSET(BG111,1,0,1,1)&lt;&gt;0,RZ[[#This Row],[Koeficient odhadu CR '[-'] (P1)]]*$BP111*SUMIFS(RZ[Úroveň 10 s koef. (P3)],RZ[0],AX111,RZ[Úroveň 2 (P0)],AY111,RZ[Úroveň 3 (P0)],AZ111,RZ[Úroveň 4 (P0)],BA111,RZ[Úroveň 5 (P0)],BB111,RZ[Úroveň 6 (P0)],BC111,RZ[Úroveň 7 (P0)],BD111,RZ[Úroveň 8 (P0)],BE111,RZ[Úroveň 9 (P0)],BF111),RZ[[#This Row],[Koeficient odhadu CR '[-'] (P1)]]*$BP111*$IQ111)</f>
        <v>0</v>
      </c>
      <c r="FI111" s="135">
        <f ca="1">IF(OFFSET(BG111,1,0,1,1)&lt;&gt;0,$BP111*SUMIFS(RZ[Úroveň 10 bez koef. (P3)],RZ[0],AX111,RZ[Úroveň 2 (P0)],AY111,RZ[Úroveň 3 (P0)],AZ111,RZ[Úroveň 4 (P0)],BA111,RZ[Úroveň 5 (P0)],BB111,RZ[Úroveň 6 (P0)],BC111,RZ[Úroveň 7 (P0)],BD111,RZ[Úroveň 8 (P0)],BE111,RZ[Úroveň 9 (P0)],BF111),$BP111*$IQ111)</f>
        <v>0</v>
      </c>
      <c r="FJ111" s="140">
        <f ca="1">RZ[[#This Row],[Úroveň 10 s koef. (P3a)]]*RZ[[#This Row],[Počet MJCR (P0) pro "kg"]]</f>
        <v>0</v>
      </c>
      <c r="FK111" s="140">
        <f ca="1">RZ[Úroveň 10 bez koef. (P3a)]*RZ[[#This Row],[Počet MJCR (P0) pro "kg"]]</f>
        <v>0</v>
      </c>
      <c r="FL111" s="140">
        <f ca="1">RZ[[#This Row],[Koeficient odhadu CR '[-'] (P1)]]*$BQ111*IQ111</f>
        <v>0</v>
      </c>
      <c r="FM111" s="236">
        <f t="shared" ca="1" si="766"/>
        <v>0</v>
      </c>
      <c r="FN111" s="194">
        <f t="shared" ca="1" si="767"/>
        <v>115</v>
      </c>
      <c r="FO111" s="238">
        <f t="shared" ca="1" si="768"/>
        <v>115</v>
      </c>
      <c r="FP111" s="135">
        <f t="shared" ca="1" si="769"/>
        <v>0</v>
      </c>
      <c r="FQ111" s="135">
        <f t="shared" ca="1" si="770"/>
        <v>0</v>
      </c>
      <c r="FR111" s="135">
        <f t="shared" ca="1" si="771"/>
        <v>72</v>
      </c>
      <c r="FS111" s="135">
        <f t="shared" ca="1" si="772"/>
        <v>0</v>
      </c>
      <c r="FT111" s="135">
        <f t="shared" ca="1" si="773"/>
        <v>0</v>
      </c>
      <c r="FU111" s="135">
        <f t="shared" ca="1" si="774"/>
        <v>0</v>
      </c>
      <c r="FV111" s="135">
        <f t="shared" ca="1" si="775"/>
        <v>0</v>
      </c>
      <c r="FW111" s="135">
        <f t="shared" ca="1" si="776"/>
        <v>0</v>
      </c>
      <c r="FX111" s="135">
        <f t="shared" ca="1" si="777"/>
        <v>0</v>
      </c>
      <c r="FY111" s="135">
        <f t="shared" ca="1" si="778"/>
        <v>0</v>
      </c>
      <c r="FZ111" s="140">
        <f ca="1">SUMIFS(RZ[Úroveň 1 (P6)],RZ[0],AX111)</f>
        <v>1</v>
      </c>
      <c r="GA111" s="140">
        <f ca="1">SUMIFS(RZ[Úroveň 2 (P6)],RZ[0],AX111,RZ[Úroveň 2 (P0)],AY111)</f>
        <v>1</v>
      </c>
      <c r="GB111" s="140">
        <f ca="1">SUMIFS(RZ[Úroveň 3 (P6)],RZ[0],AX111,RZ[Úroveň 2 (P0)],AY111,RZ[Úroveň 3 (P0)],AZ111)</f>
        <v>72</v>
      </c>
      <c r="GC111" s="140">
        <f ca="1">SUMIFS(RZ[Úroveň 4 (P6)],RZ[0],AX111,RZ[Úroveň 2 (P0)],AY111,RZ[Úroveň 3 (P0)],AZ111,RZ[Úroveň 4 (P0)],BA111)</f>
        <v>0</v>
      </c>
      <c r="GD111" s="140">
        <f ca="1">SUMIFS(RZ[Úroveň 5 (P6)],RZ[0],AX111,RZ[Úroveň 2 (P0)],AY111,RZ[Úroveň 3 (P0)],AZ111,RZ[Úroveň 4 (P0)],BA111,RZ[Úroveň 5 (P0)],BB111)</f>
        <v>0</v>
      </c>
      <c r="GE111" s="140">
        <f ca="1">SUMIFS(RZ[Úroveň 6 (P6)],RZ[0],AX111,RZ[Úroveň 2 (P0)],AY111,RZ[Úroveň 3 (P0)],AZ111,RZ[Úroveň 4 (P0)],BA111,RZ[Úroveň 5 (P0)],BB111,RZ[Úroveň 6 (P0)],BC111)</f>
        <v>0</v>
      </c>
      <c r="GF111" s="140">
        <f ca="1">SUMIFS(RZ[Úroveň 7 (P6)],RZ[0],AX111,RZ[Úroveň 2 (P0)],AY111,RZ[Úroveň 3 (P0)],AZ111,RZ[Úroveň 4 (P0)],BA111,RZ[Úroveň 5 (P0)],BB111,RZ[Úroveň 6 (P0)],BC111,RZ[Úroveň 7 (P0)],BD111)</f>
        <v>0</v>
      </c>
      <c r="GG111" s="140">
        <f ca="1">SUMIFS(RZ[Úroveň 8 (P6)],RZ[0],AX111,RZ[Úroveň 2 (P0)],AY111,RZ[Úroveň 3 (P0)],AZ111,RZ[Úroveň 4 (P0)],BA111,RZ[Úroveň 5 (P0)],BB111,RZ[Úroveň 6 (P0)],BC111,RZ[Úroveň 7 (P0)],BD111,RZ[Úroveň 8 (P0)],BE111)</f>
        <v>0</v>
      </c>
      <c r="GH111" s="140">
        <f ca="1">SUMIFS(RZ[Úroveň 9 (P6)],RZ[0],AX111,RZ[Úroveň 2 (P0)],AY111,RZ[Úroveň 3 (P0)],AZ111,RZ[Úroveň 4 (P0)],BA111,RZ[Úroveň 5 (P0)],BB111,RZ[Úroveň 6 (P0)],BC111,RZ[Úroveň 7 (P0)],BD111,RZ[Úroveň 8 (P0)],BE111,RZ[Úroveň 9 (P0)],BF111)</f>
        <v>0</v>
      </c>
      <c r="GI111" s="140">
        <f ca="1">SUMIFS(RZ[Úroveň 10 (P6)],RZ[0],AX111,RZ[Úroveň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GJ111" s="918">
        <f t="shared" ca="1" si="779"/>
        <v>72</v>
      </c>
      <c r="GK111" s="808">
        <f t="shared" si="780"/>
        <v>0</v>
      </c>
      <c r="GL111" s="808">
        <f t="shared" si="781"/>
        <v>0</v>
      </c>
      <c r="GM111" s="808">
        <f t="shared" si="782"/>
        <v>1</v>
      </c>
      <c r="GN111" s="808">
        <f t="shared" si="783"/>
        <v>0</v>
      </c>
      <c r="GO111" s="808">
        <f t="shared" si="784"/>
        <v>0</v>
      </c>
      <c r="GP111" s="808">
        <f t="shared" si="785"/>
        <v>0</v>
      </c>
      <c r="GQ111" s="808">
        <f t="shared" si="786"/>
        <v>0</v>
      </c>
      <c r="GR111" s="808">
        <f t="shared" si="787"/>
        <v>0</v>
      </c>
      <c r="GS111" s="808">
        <f t="shared" si="788"/>
        <v>0</v>
      </c>
      <c r="GT111" s="808">
        <f t="shared" si="789"/>
        <v>0</v>
      </c>
      <c r="GU111" s="809">
        <f ca="1">SUMIFS(RZ[Sloupec1],RZ[0],AX111)</f>
        <v>1</v>
      </c>
      <c r="GV111" s="809">
        <f ca="1">SUMIFS(RZ[Sloupec2],RZ[0],AX111,RZ[Úroveň 2 (P0)],AY111)</f>
        <v>1</v>
      </c>
      <c r="GW111" s="809">
        <f ca="1">SUMIFS(RZ[Sloupec3],RZ[0],AX111,RZ[Úroveň 2 (P0)],AY111,RZ[Úroveň 3 (P0)],AZ111)</f>
        <v>1</v>
      </c>
      <c r="GX111" s="809">
        <f ca="1">SUMIFS(RZ[Sloupec4],RZ[0],AX111,RZ[Úroveň 2 (P0)],AY111,RZ[Úroveň 3 (P0)],AZ111,RZ[Úroveň 4 (P0)],BA111)</f>
        <v>0</v>
      </c>
      <c r="GY111" s="809">
        <f ca="1">SUMIFS(RZ[Sloupec5],RZ[0],AX111,RZ[Úroveň 2 (P0)],AY111,RZ[Úroveň 3 (P0)],AZ111,RZ[Úroveň 4 (P0)],BA111,RZ[Úroveň 5 (P0)],BB111)</f>
        <v>0</v>
      </c>
      <c r="GZ111" s="809">
        <f ca="1">SUMIFS(RZ[Sloupec6],RZ[0],AX111,RZ[Úroveň 2 (P0)],AY111,RZ[Úroveň 3 (P0)],AZ111,RZ[Úroveň 4 (P0)],BA111,RZ[Úroveň 5 (P0)],BB111,RZ[Úroveň 6 (P0)],BC111)</f>
        <v>0</v>
      </c>
      <c r="HA111" s="809">
        <f ca="1">SUMIFS(RZ[Sloupec62],RZ[0],AX111,RZ[Úroveň 2 (P0)],AY111,RZ[Úroveň 3 (P0)],AZ111,RZ[Úroveň 4 (P0)],BA111,RZ[Úroveň 5 (P0)],BB111,RZ[Úroveň 6 (P0)],BC111,RZ[Úroveň 7 (P0)],BD111)</f>
        <v>0</v>
      </c>
      <c r="HB111" s="809">
        <f ca="1">SUMIFS(RZ[Sloupec63],RZ[0],AX111,RZ[Úroveň 2 (P0)],AY111,RZ[Úroveň 3 (P0)],AZ111,RZ[Úroveň 4 (P0)],BA111,RZ[Úroveň 5 (P0)],BB111,RZ[Úroveň 6 (P0)],BC111,RZ[Úroveň 7 (P0)],BD111,RZ[Úroveň 8 (P0)],BE111)</f>
        <v>0</v>
      </c>
      <c r="HC111" s="809">
        <f ca="1">SUMIFS(RZ[Sloupec64],RZ[0],AX111,RZ[Úroveň 2 (P0)],AY111,RZ[Úroveň 3 (P0)],AZ111,RZ[Úroveň 4 (P0)],BA111,RZ[Úroveň 5 (P0)],BB111,RZ[Úroveň 6 (P0)],BC111,RZ[Úroveň 7 (P0)],BD111,RZ[Úroveň 8 (P0)],BE111,RZ[Úroveň 9 (P0)],BF111)</f>
        <v>0</v>
      </c>
      <c r="HD111" s="809">
        <f ca="1">SUMIFS(RZ[Sloupec65],RZ[0],AX111,RZ[Úroveň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HE111" s="919">
        <f t="shared" ca="1" si="790"/>
        <v>1</v>
      </c>
      <c r="HF111" s="920" t="str">
        <f t="shared" si="791"/>
        <v/>
      </c>
      <c r="HG111" s="94" t="str">
        <f t="shared" si="792"/>
        <v/>
      </c>
      <c r="HH111" s="95" t="str">
        <f t="shared" si="793"/>
        <v/>
      </c>
      <c r="HI111" s="95" t="str">
        <f t="shared" si="794"/>
        <v>Čep 100</v>
      </c>
      <c r="HJ111" s="96" t="str">
        <f t="shared" si="795"/>
        <v/>
      </c>
      <c r="HK111" s="96" t="str">
        <f t="shared" si="796"/>
        <v/>
      </c>
      <c r="HL111" s="96" t="str">
        <f t="shared" si="797"/>
        <v/>
      </c>
      <c r="HM111" s="96" t="str">
        <f t="shared" si="798"/>
        <v/>
      </c>
      <c r="HN111" s="96" t="str">
        <f t="shared" si="799"/>
        <v/>
      </c>
      <c r="HO111" s="96" t="str">
        <f t="shared" si="800"/>
        <v/>
      </c>
      <c r="HP111" s="96" t="str">
        <f t="shared" si="801"/>
        <v/>
      </c>
      <c r="HQ111" s="145" t="str">
        <f t="shared" si="802"/>
        <v>STO2</v>
      </c>
      <c r="HR111" s="921" t="str">
        <f t="shared" si="803"/>
        <v/>
      </c>
      <c r="HS111" s="173">
        <f t="shared" si="804"/>
        <v>0</v>
      </c>
      <c r="HT111" s="100">
        <f t="shared" si="805"/>
        <v>0</v>
      </c>
      <c r="HU111" s="100">
        <f t="shared" si="806"/>
        <v>0</v>
      </c>
      <c r="HV111" s="908">
        <f t="shared" si="807"/>
        <v>0</v>
      </c>
      <c r="HW111" s="922">
        <f t="shared" si="808"/>
        <v>0</v>
      </c>
      <c r="HX111" s="224">
        <f t="shared" si="809"/>
        <v>0</v>
      </c>
      <c r="HY111" s="263" t="str">
        <f t="shared" si="810"/>
        <v>S</v>
      </c>
      <c r="HZ111" s="263">
        <f t="shared" si="811"/>
        <v>0</v>
      </c>
      <c r="IA111" s="150">
        <f t="shared" si="812"/>
        <v>1</v>
      </c>
      <c r="IB111" s="319">
        <f t="shared" si="813"/>
        <v>0</v>
      </c>
      <c r="IC111" s="923">
        <f t="shared" si="814"/>
        <v>0</v>
      </c>
      <c r="ID111" s="924" t="str">
        <f t="shared" ca="1" si="815"/>
        <v>OK</v>
      </c>
      <c r="IE111" s="201" t="str">
        <f t="shared" si="816"/>
        <v>ks</v>
      </c>
      <c r="IF111" s="145">
        <f t="shared" si="817"/>
        <v>4</v>
      </c>
      <c r="IG111" s="216">
        <f t="shared" si="818"/>
        <v>18</v>
      </c>
      <c r="IH111" s="217">
        <f t="shared" si="819"/>
        <v>1</v>
      </c>
      <c r="II111" s="224" t="str">
        <f ca="1">IF(RZ[[#This Row],[Rozhodný sloupec indikativní ceny]]=1,"kg",IF($IW111=$JL$15,IF(JX111=0,JO111,JX111),IF($IW111=$KE$15,IF(KQ111=0,KH111,KQ111),IF($IW111=$KX$15,IF(LJ111=0,LA111,LJ111),IF($IW111=$LQ$15,IF(MC111=0,LT111,MC111),IF($IW111=$MJ$15,IF(NQ111=0,NH111,NQ111),0))))))</f>
        <v>kg</v>
      </c>
      <c r="IJ111" s="224">
        <f ca="1">IF((BH111+OFFSET(BH111,1,1,1,1))=2,RZ[[#This Row],[Počet MJHR (P0)]],IF((BI111+OFFSET(BI111,1,1,1,1))=2,RZ[[#This Row],[Počet MJHR (P0)]],IF((BJ111+OFFSET(BJ111,1,1,1,1))=2,RZ[[#This Row],[Počet MJHR (P0)]],IF((BK111+OFFSET(BK111,1,1,1,1))=2,RZ[[#This Row],[Počet MJHR (P0)]],IF((BL111+OFFSET(BL111,1,1,1,1))=2,RZ[[#This Row],[Počet MJHR (P0)]],IF((BM111+OFFSET(BM111,1,1,1,1))=2,RZ[[#This Row],[Počet MJHR (P0)]],IF((BN111+OFFSET(BN111,1,1,1,1))=2,RZ[[#This Row],[Počet MJHR (P0)]],IF((BO111+OFFSET(BO111,1,1,1,1))=2,RZ[[#This Row],[Počet MJHR (P0)]],IF((BP111+OFFSET(BP111,1,1,1,1))=2,RZ[[#This Row],[Počet MJHR (P0)]],IF((BQ111+OFFSET(BQ111,1,1,1,1))=2,RZ[[#This Row],[Počet MJHR (P0)]],IF(RZ[[#This Row],[Měrná jednotka CR (MJCR) (P0)]]=RZ[[#This Row],[Měrná jednotka HR '[MJHR'] (P0)]],RZ[[#This Row],[Počet MJHR (P0)]],IF($IW111=$JL$15,JY111,IF($IW111=$KE$15,KR111,IF($IW111=$KX$15,LK111,IF($IW111=$LQ$15,MD111,IF($IW111=$MJ$15,NR111,0))))))))))))))))</f>
        <v>0</v>
      </c>
      <c r="IK11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72</v>
      </c>
      <c r="IL111" s="145">
        <f ca="1">IF(AND(RZ[[#This Row],[Jednotková cena bez DPH '[cena/MJCR'] (P0)]]=0,RZ[[#This Row],[Indikativní jednotková cena '[CZK/kg'] (P1)]]&lt;&gt;0),1,0)</f>
        <v>1</v>
      </c>
      <c r="IM111" s="217">
        <f ca="1">VLOOKUP(RZ[[#This Row],[Kód položek]],INDIKAT_CENA,2,FALSE)</f>
        <v>115</v>
      </c>
      <c r="IN111" s="222">
        <f ca="1">IF(RZ[[#This Row],[Rozhodný sloupec indikativní ceny]]=1,RZ[[#This Row],[Indikativní jednotková cena '[CZK/kg'] (P1)]],RZ[[#This Row],[Jednotková cena bez DPH '[cena/MJCR'] (P0)]])</f>
        <v>115</v>
      </c>
      <c r="IO111" s="222">
        <f t="shared" si="820"/>
        <v>1</v>
      </c>
      <c r="IP111" s="224">
        <f ca="1">IF(RZ[[#This Row],[Rozhodný sloupec indikativní ceny]]=1,1,IF($IW111=$JL$15,KA111,IF($IW111=$KE$15,KT111,IF($IW111=$KX$15,LM111,IF($IW111=$LQ$15,MF111,IF($IW111=$MJ$15,NT111,0))))))</f>
        <v>1</v>
      </c>
      <c r="IQ111" s="225">
        <f ca="1">IF(RZ[[#This Row],[Jednotková cena bez DPH '[cena/MJCR'] (P1)]]="",0,IF(IP111=0,0,(RZ[[#This Row],[Jednotková cena bez DPH '[cena/MJCR'] (P1)]]*VLOOKUP(IP111,$BR$7:$BT$10,3))))</f>
        <v>115</v>
      </c>
      <c r="IR111" s="737"/>
      <c r="IS111" s="627">
        <f>IF(HY111=0,"",VLOOKUP(RZ[[#This Row],[Stav Projekce (P0)]],Vstupy!$E$11:'Vstupy'!$E$11:$H$17,4,FALSE))</f>
        <v>100</v>
      </c>
      <c r="IT111" s="925" t="str">
        <f>IF(RZ[[#This Row],[Stav Projekce (P0)]]=0,"",RZ[[#This Row],[Stav Projekce (P0)]])</f>
        <v>S</v>
      </c>
      <c r="IU111" s="925" t="str">
        <f>IF(RZ[[#This Row],[Stav Nákup (P0)]]=0,"",RZ[[#This Row],[Stav Nákup (P0)]])</f>
        <v/>
      </c>
      <c r="IV111" s="926" t="str">
        <f t="shared" si="821"/>
        <v/>
      </c>
      <c r="IW111" s="641">
        <v>1</v>
      </c>
      <c r="IX111" s="630"/>
      <c r="IY111" s="264"/>
      <c r="IZ111" s="648"/>
      <c r="JA111" s="100"/>
      <c r="JB111" s="100" t="s">
        <v>782</v>
      </c>
      <c r="JC111" s="100"/>
      <c r="JD111" s="100"/>
      <c r="JE111" s="100"/>
      <c r="JF111" s="100"/>
      <c r="JG111" s="100"/>
      <c r="JH111" s="100"/>
      <c r="JI111" s="100"/>
      <c r="JJ111" s="145" t="s">
        <v>773</v>
      </c>
      <c r="JK111" s="529"/>
      <c r="JL111" s="286"/>
      <c r="JM111" s="100"/>
      <c r="JN111" s="100"/>
      <c r="JO111" s="145" t="s">
        <v>35</v>
      </c>
      <c r="JP111" s="117">
        <v>4</v>
      </c>
      <c r="JQ111" s="117">
        <v>18</v>
      </c>
      <c r="JR111" s="148">
        <v>1</v>
      </c>
      <c r="JS111" s="145" t="s">
        <v>602</v>
      </c>
      <c r="JT111" s="631"/>
      <c r="JU111" s="148"/>
      <c r="JV111" s="154"/>
      <c r="JW111" s="145"/>
      <c r="JX111" s="210"/>
      <c r="JY111" s="117"/>
      <c r="JZ111" s="662"/>
      <c r="KA111" s="145"/>
      <c r="KB111" s="148"/>
      <c r="KC111" s="148"/>
      <c r="KD111" s="644"/>
      <c r="KE111" s="286"/>
      <c r="KF111" s="100"/>
      <c r="KG111" s="100"/>
      <c r="KH111" s="210"/>
      <c r="KI111" s="117"/>
      <c r="KJ111" s="117"/>
      <c r="KK111" s="148"/>
      <c r="KL111" s="145"/>
      <c r="KM111" s="632"/>
      <c r="KN111" s="148"/>
      <c r="KO111" s="154"/>
      <c r="KP111" s="154"/>
      <c r="KQ111" s="210"/>
      <c r="KR111" s="117"/>
      <c r="KS111" s="211"/>
      <c r="KT111" s="145"/>
      <c r="KU111" s="148"/>
      <c r="KV111" s="148"/>
      <c r="KW111" s="265"/>
      <c r="KX111" s="286"/>
      <c r="KY111" s="100"/>
      <c r="KZ111" s="100"/>
      <c r="LA111" s="210"/>
      <c r="LB111" s="117"/>
      <c r="LC111" s="117"/>
      <c r="LD111" s="148"/>
      <c r="LE111" s="145"/>
      <c r="LF111" s="632"/>
      <c r="LG111" s="148"/>
      <c r="LH111" s="154"/>
      <c r="LI111" s="154"/>
      <c r="LJ111" s="154"/>
      <c r="LK111" s="117"/>
      <c r="LL111" s="211"/>
      <c r="LM111" s="210"/>
      <c r="LN111" s="148"/>
      <c r="LO111" s="148"/>
      <c r="LP111" s="265"/>
      <c r="LQ111" s="286"/>
      <c r="LR111" s="100"/>
      <c r="LS111" s="100"/>
      <c r="LT111" s="210"/>
      <c r="LU111" s="117"/>
      <c r="LV111" s="117"/>
      <c r="LW111" s="148"/>
      <c r="LX111" s="145"/>
      <c r="LY111" s="632"/>
      <c r="LZ111" s="148"/>
      <c r="MA111" s="154"/>
      <c r="MB111" s="154"/>
      <c r="MC111" s="145"/>
      <c r="MD111" s="117"/>
      <c r="ME111" s="211"/>
      <c r="MF111" s="210"/>
      <c r="MG111" s="148"/>
      <c r="MH111" s="148"/>
      <c r="MI111" s="265"/>
      <c r="MJ111" s="647"/>
      <c r="MK111" s="264"/>
      <c r="ML111" s="153"/>
      <c r="MM111" s="153"/>
      <c r="MN111" s="153"/>
      <c r="MO111" s="153"/>
      <c r="MP111" s="153"/>
      <c r="MQ111" s="153"/>
      <c r="MR111" s="153"/>
      <c r="MS111" s="99"/>
      <c r="MT111" s="99"/>
      <c r="MU111" s="99"/>
      <c r="MV111" s="99"/>
      <c r="MW111" s="99"/>
      <c r="MX111" s="99"/>
      <c r="MY111" s="153"/>
      <c r="MZ111" s="153"/>
      <c r="NA111" s="153"/>
      <c r="NB111" s="153"/>
      <c r="NC111" s="153"/>
      <c r="ND111" s="153"/>
      <c r="NE111" s="148"/>
      <c r="NF111" s="145"/>
      <c r="NG111" s="145"/>
      <c r="NH111" s="330" t="str">
        <f t="shared" si="822"/>
        <v>ks</v>
      </c>
      <c r="NI111" s="797">
        <f>RZ[[#This Row],[Počet ks (K)]]</f>
        <v>0</v>
      </c>
      <c r="NJ111" s="798">
        <f>RZ[[#This Row],[Hmotnost '[kg/ks'] (K)]]</f>
        <v>0</v>
      </c>
      <c r="NK111" s="148"/>
      <c r="NL111" s="145"/>
      <c r="NM111" s="632"/>
      <c r="NN111" s="148"/>
      <c r="NO111" s="154"/>
      <c r="NP111" s="154"/>
      <c r="NQ111" s="154"/>
      <c r="NR111" s="210"/>
      <c r="NS111" s="148"/>
      <c r="NT111" s="210"/>
      <c r="NU111" s="148"/>
      <c r="NV111" s="148"/>
      <c r="NW111" s="265"/>
    </row>
    <row r="112" spans="2:387" ht="15.95" customHeight="1" thickBot="1" x14ac:dyDescent="0.4">
      <c r="B112" s="118" t="str">
        <f t="shared" si="706"/>
        <v/>
      </c>
      <c r="C11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2" s="262" t="str">
        <f t="shared" si="707"/>
        <v xml:space="preserve">    Spojovací materiál</v>
      </c>
      <c r="E112" s="120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Row],[Kód položek (P2)]]))))))))))</f>
        <v>STSM</v>
      </c>
      <c r="F112" s="791" t="str">
        <f t="shared" si="708"/>
        <v>N/A</v>
      </c>
      <c r="G112" s="792" t="str">
        <f t="shared" si="709"/>
        <v/>
      </c>
      <c r="H112" s="262" t="str">
        <f t="shared" si="710"/>
        <v/>
      </c>
      <c r="I112" s="123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HR '[MJHR'] (P0)]]))))))))))</f>
        <v>ks</v>
      </c>
      <c r="J112" s="123">
        <f t="shared" si="711"/>
        <v>1</v>
      </c>
      <c r="K112" s="793">
        <f>RZ[[#This Row],[Koeficient odhadu HR '[-'] (P1)]]</f>
        <v>1</v>
      </c>
      <c r="L112" s="124">
        <f ca="1">RZ[[#This Row],[Jednotková hmotnost s koef. '[kg/MJHR'] (P0)]]</f>
        <v>11.17</v>
      </c>
      <c r="M112" s="794">
        <f t="shared" ca="1" si="712"/>
        <v>0</v>
      </c>
      <c r="N112" s="125">
        <f t="shared" ca="1" si="713"/>
        <v>11.17</v>
      </c>
      <c r="O112" s="125">
        <f t="shared" ca="1" si="714"/>
        <v>0</v>
      </c>
      <c r="P112" s="126" t="str">
        <f t="shared" si="715"/>
        <v/>
      </c>
      <c r="Q112" s="795">
        <f ca="1">RZ[[#This Row],[Počet MJHR v rozpadu (P0)]]</f>
        <v>1</v>
      </c>
      <c r="R112" s="439" t="str">
        <f t="shared" si="716"/>
        <v/>
      </c>
      <c r="S112" s="129" t="str">
        <f t="shared" si="717"/>
        <v/>
      </c>
      <c r="T112" s="126" t="str">
        <f t="shared" si="718"/>
        <v/>
      </c>
      <c r="U112" s="126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CR (MJCR) (P0)]]))))))))))</f>
        <v>kg</v>
      </c>
      <c r="V112" s="575">
        <f t="shared" ca="1" si="719"/>
        <v>11.17</v>
      </c>
      <c r="W112" s="322">
        <f>RZ[[#This Row],[Koeficient odhadu CR '[-'] (P1)]]</f>
        <v>1</v>
      </c>
      <c r="X112" s="440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Row],[Jednotková cena bez DPH '[cena/MJCR'] (P1)]]*RZ[[#This Row],[Koeficient odhadu CR '[-']]]))))))))))</f>
        <v>110</v>
      </c>
      <c r="Y112" s="440">
        <f t="shared" ca="1" si="720"/>
        <v>0</v>
      </c>
      <c r="Z112" s="142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VLOOKUP(IP112,$BR$7:$BS$11,2,FALSE)))))))))))</f>
        <v>CZK</v>
      </c>
      <c r="AA112" s="909">
        <f t="shared" ca="1" si="721"/>
        <v>11.17</v>
      </c>
      <c r="AB112" s="910">
        <f ca="1">RZ[[#This Row],[Kumulovaný koeficient v rozpadu (P0)]]</f>
        <v>1</v>
      </c>
      <c r="AC112" s="261"/>
      <c r="AD112" s="796">
        <f ca="1">RZ[[#This Row],[Jednotková cena bez DPH '[cena/MJCR'] s koef. (P0)]]/RZ[[#This Row],[Koeficient odhadu CR '[-']]]*RZ[[#This Row],[Kumulovaný koeficient odhadu CR  '[-']]]</f>
        <v>110</v>
      </c>
      <c r="AE112" s="796">
        <f t="shared" ca="1" si="722"/>
        <v>1228.7</v>
      </c>
      <c r="AF112" s="796">
        <f ca="1">-IF(ISNUMBER(AA112),RZ[[#This Row],[Celková cena bez DPH (1)]]-RZ[[#This Row],[Jednotková cena bez DPH '[cena/MJCR'] bez koef. (P0)]]*AA112,0)</f>
        <v>0</v>
      </c>
      <c r="AG11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2" s="261"/>
      <c r="AI112" s="796">
        <f t="shared" ca="1" si="723"/>
        <v>4.0740740740740744</v>
      </c>
      <c r="AJ112" s="796">
        <f t="shared" ca="1" si="724"/>
        <v>45.507407407407406</v>
      </c>
      <c r="AK112" s="796">
        <f t="shared" ca="1" si="725"/>
        <v>0</v>
      </c>
      <c r="AL112" s="753">
        <f ca="1">RZ[[#This Row],[Kilogramová cena bez DPH '[cena/kg'] (1)]]/$AK$13</f>
        <v>4.0740740740740744</v>
      </c>
      <c r="AM112" s="261"/>
      <c r="AN112" s="796">
        <f t="shared" ca="1" si="726"/>
        <v>5.3140096618357493</v>
      </c>
      <c r="AO112" s="796">
        <f t="shared" ca="1" si="727"/>
        <v>59.357487922705317</v>
      </c>
      <c r="AP112" s="796">
        <f t="shared" ca="1" si="728"/>
        <v>0</v>
      </c>
      <c r="AQ112" s="753">
        <f ca="1">RZ[[#This Row],[Kilogramová cena bez DPH '[cena/kg'] (1)]]/$AP$13</f>
        <v>5.3140096618357493</v>
      </c>
      <c r="AR112" s="261"/>
      <c r="AS112" s="796">
        <f t="shared" ca="1" si="729"/>
        <v>3.0087527352297592</v>
      </c>
      <c r="AT112" s="796">
        <f t="shared" ca="1" si="730"/>
        <v>33.607768052516413</v>
      </c>
      <c r="AU112" s="789">
        <f t="shared" ca="1" si="731"/>
        <v>0</v>
      </c>
      <c r="AV112" s="767">
        <f ca="1">RZ[[#This Row],[Kilogramová cena bez DPH '[cena/kg'] (1)]]/$AU$13</f>
        <v>3.0087527352297592</v>
      </c>
      <c r="AW112" s="165"/>
      <c r="AX112" s="911">
        <f t="shared" ca="1" si="732"/>
        <v>2</v>
      </c>
      <c r="AY112" s="111">
        <f t="shared" ca="1" si="733"/>
        <v>8</v>
      </c>
      <c r="AZ112" s="111">
        <f t="shared" ca="1" si="734"/>
        <v>12</v>
      </c>
      <c r="BA112" s="111">
        <f t="shared" ca="1" si="735"/>
        <v>0</v>
      </c>
      <c r="BB112" s="111">
        <f t="shared" ca="1" si="736"/>
        <v>0</v>
      </c>
      <c r="BC112" s="111">
        <f t="shared" ca="1" si="737"/>
        <v>0</v>
      </c>
      <c r="BD112" s="111">
        <f t="shared" ca="1" si="738"/>
        <v>0</v>
      </c>
      <c r="BE112" s="111">
        <f t="shared" ca="1" si="739"/>
        <v>0</v>
      </c>
      <c r="BF112" s="111">
        <f t="shared" ca="1" si="740"/>
        <v>0</v>
      </c>
      <c r="BG112" s="112">
        <f t="shared" ca="1" si="741"/>
        <v>0</v>
      </c>
      <c r="BH112" s="911">
        <f t="shared" si="742"/>
        <v>0</v>
      </c>
      <c r="BI112" s="111">
        <f t="shared" si="743"/>
        <v>0</v>
      </c>
      <c r="BJ112" s="111">
        <f t="shared" si="744"/>
        <v>1</v>
      </c>
      <c r="BK112" s="111">
        <f t="shared" si="745"/>
        <v>0</v>
      </c>
      <c r="BL112" s="111">
        <f t="shared" si="746"/>
        <v>0</v>
      </c>
      <c r="BM112" s="111">
        <f t="shared" si="747"/>
        <v>0</v>
      </c>
      <c r="BN112" s="111">
        <f t="shared" si="748"/>
        <v>0</v>
      </c>
      <c r="BO112" s="111">
        <f t="shared" si="749"/>
        <v>0</v>
      </c>
      <c r="BP112" s="111">
        <f t="shared" si="750"/>
        <v>0</v>
      </c>
      <c r="BQ112" s="112">
        <f t="shared" si="751"/>
        <v>0</v>
      </c>
      <c r="BR112" s="132">
        <f ca="1">IF(OFFSET(AY112,1,0,1,1)&lt;&gt;0,RZ[[#This Row],[Koeficient odhadu HR '[-'] (P1)]]*$BH112*SUMIFS(RZ[Úroveň 2 s koef. (P2)],RZ[0],AX112),RZ[[#This Row],[Koeficient odhadu HR '[-'] (P1)]]*$BH112*$IG112)</f>
        <v>0</v>
      </c>
      <c r="BS112" s="186">
        <f ca="1">IF(OFFSET(AY112,1,0,1,1)&lt;&gt;0,$BH112*SUMIFS(RZ[Úroveň 2 bez koef. (P2)],RZ[0],AX112),$BH112*$IG112)</f>
        <v>0</v>
      </c>
      <c r="BT112" s="138">
        <f ca="1">RZ[[#This Row],[Úroveň 2 s koef. (P2a)]]*RZ[[#This Row],[Počet MJHR (P0)]]</f>
        <v>0</v>
      </c>
      <c r="BU112" s="138">
        <f ca="1">RZ[[#This Row],[Úroveň 2 bez koef. (P2a)]]*RZ[[#This Row],[Počet MJHR (P0)]]</f>
        <v>0</v>
      </c>
      <c r="BV112" s="138">
        <f ca="1">IF(OFFSET(AZ112,1,0,1,1)&lt;&gt;0,RZ[[#This Row],[Koeficient odhadu HR '[-'] (P1)]]*$BI112*SUMIFS(RZ[Úroveň 3 s koef. (P2)],RZ[0],AX112,RZ[Úroveň 2 (P0)],AY112),RZ[[#This Row],[Koeficient odhadu HR '[-'] (P1)]]*$BI112*$IG112)</f>
        <v>0</v>
      </c>
      <c r="BW112" s="138">
        <f ca="1">IF(OFFSET(AZ112,1,0,1,1)&lt;&gt;0,$BI112*SUMIFS(RZ[Úroveň 3 bez koef. (P2)],RZ[0],AX112,RZ[Úroveň 2 (P0)],AY112),$BI112*$IG112)</f>
        <v>0</v>
      </c>
      <c r="BX112" s="132">
        <f ca="1">RZ[[#This Row],[Úroveň 3 s koef. (P2a)]]*RZ[[#This Row],[Počet MJHR (P0)]]</f>
        <v>11.17</v>
      </c>
      <c r="BY112" s="132">
        <f ca="1">RZ[Úroveň 3 bez koef. (P2a)]*RZ[[#This Row],[Počet MJHR (P0)]]</f>
        <v>11.17</v>
      </c>
      <c r="BZ112" s="132">
        <f ca="1">IF(OFFSET(BA112,1,0,1,1)&lt;&gt;0,RZ[[#This Row],[Koeficient odhadu HR '[-'] (P1)]]*$BJ112*SUMIFS(RZ[Úroveň 4 s koef. (P2)],RZ[0],AX112,RZ[Úroveň 2 (P0)],AY112,RZ[Úroveň 3 (P0)],AZ112),RZ[[#This Row],[Koeficient odhadu HR '[-'] (P1)]]*$BJ112*$IG112)</f>
        <v>11.17</v>
      </c>
      <c r="CA112" s="132">
        <f ca="1">IF(OFFSET(BA112,1,0,1,1)&lt;&gt;0,$BJ112*SUMIFS(RZ[Úroveň 4 bez koef. (P2)],RZ[0],AX112,RZ[Úroveň 2 (P0)],AY112,RZ[Úroveň 3 (P0)],AZ112),$BJ112*$IG112)</f>
        <v>11.17</v>
      </c>
      <c r="CB112" s="138">
        <f ca="1">RZ[[#This Row],[Úroveň 4 s koef. (P2a)]]*RZ[[#This Row],[Počet MJHR (P0)]]</f>
        <v>0</v>
      </c>
      <c r="CC112" s="138">
        <f ca="1">RZ[Úroveň 4 bez koef. (P2a)]*RZ[[#This Row],[Počet MJHR (P0)]]</f>
        <v>0</v>
      </c>
      <c r="CD112" s="138">
        <f ca="1">IF(OFFSET(BB112,1,0,1,1)&lt;&gt;0,RZ[[#This Row],[Koeficient odhadu HR '[-'] (P1)]]*$BK112*SUMIFS(RZ[Úroveň 5 s koef. (P2)],RZ[0],AX112,RZ[Úroveň 2 (P0)],AY112,RZ[Úroveň 3 (P0)],AZ112,RZ[Úroveň 4 (P0)],BA112),RZ[[#This Row],[Koeficient odhadu HR '[-'] (P1)]]*$BK112*$IG112)</f>
        <v>0</v>
      </c>
      <c r="CE112" s="138">
        <f ca="1">IF(OFFSET(BB112,1,0,1,1)&lt;&gt;0,$BK112*SUMIFS(RZ[Úroveň 5 bez koef. (P2)],RZ[0],AX112,RZ[Úroveň 2 (P0)],AY112,RZ[Úroveň 3 (P0)],AZ112,RZ[Úroveň 4 (P0)],BA112),$BK112*$IG112)</f>
        <v>0</v>
      </c>
      <c r="CF112" s="132">
        <f ca="1">RZ[[#This Row],[Úroveň 5 s koef. (P2a)]]*RZ[[#This Row],[Počet MJHR (P0)]]</f>
        <v>0</v>
      </c>
      <c r="CG112" s="132">
        <f ca="1">RZ[Úroveň 5 bez koef. (P2a)]*RZ[[#This Row],[Počet MJHR (P0)]]</f>
        <v>0</v>
      </c>
      <c r="CH112" s="132">
        <f ca="1">IF(OFFSET(BC112,1,0,1,1)&lt;&gt;0,RZ[[#This Row],[Koeficient odhadu HR '[-'] (P1)]]*$BL112*SUMIFS(RZ[Úroveň 6 s koef. (P2)],RZ[0],AX112,RZ[Úroveň 2 (P0)],AY112,RZ[Úroveň 3 (P0)],AZ112,RZ[Úroveň 4 (P0)],BA112,RZ[Úroveň 5 (P0)],BB112),RZ[[#This Row],[Koeficient odhadu HR '[-'] (P1)]]*$BL112*$IG112)</f>
        <v>0</v>
      </c>
      <c r="CI112" s="132">
        <f ca="1">IF(OFFSET(BC112,1,0,1,1)&lt;&gt;0,$BL112*SUMIFS(RZ[Úroveň 6 bez koef. (P2)],RZ[0],AX112,RZ[Úroveň 2 (P0)],AY112,RZ[Úroveň 3 (P0)],AZ112,RZ[Úroveň 4 (P0)],BA112,RZ[Úroveň 5 (P0)],BB112),$BL112*$IG112)</f>
        <v>0</v>
      </c>
      <c r="CJ112" s="138">
        <f ca="1">RZ[[#This Row],[Úroveň 6 s koef. (P2a)]]*RZ[[#This Row],[Počet MJHR (P0)]]</f>
        <v>0</v>
      </c>
      <c r="CK112" s="138">
        <f ca="1">RZ[Úroveň 6 bez koef. (P2a)]*RZ[[#This Row],[Počet MJHR (P0)]]</f>
        <v>0</v>
      </c>
      <c r="CL112" s="138">
        <f ca="1">IF(OFFSET(BD112,1,0,1,1)&lt;&gt;0,RZ[[#This Row],[Koeficient odhadu HR '[-'] (P1)]]*$BM112*SUMIFS(RZ[Úroveň 7 s koef. (P2)],RZ[0],AX112,RZ[Úroveň 2 (P0)],AY112,RZ[Úroveň 3 (P0)],AZ112,RZ[Úroveň 4 (P0)],BA112,RZ[Úroveň 5 (P0)],BB112,RZ[Úroveň 6 (P0)],BC112),RZ[[#This Row],[Koeficient odhadu HR '[-'] (P1)]]*$BM112*$IG112)</f>
        <v>0</v>
      </c>
      <c r="CM112" s="138">
        <f ca="1">IF(OFFSET(BD112,1,0,1,1)&lt;&gt;0,$BM112*SUMIFS(RZ[Úroveň 7 bez koef. (P2)],RZ[0],AX112,RZ[Úroveň 2 (P0)],AY112,RZ[Úroveň 3 (P0)],AZ112,RZ[Úroveň 4 (P0)],BA112,RZ[Úroveň 5 (P0)],BB112,RZ[Úroveň 6 (P0)],BC112),$BM112*$IG112)</f>
        <v>0</v>
      </c>
      <c r="CN112" s="132">
        <f ca="1">RZ[[#This Row],[Úroveň 7 s koef. (P2a)]]*RZ[[#This Row],[Počet MJHR (P0)]]</f>
        <v>0</v>
      </c>
      <c r="CO112" s="132">
        <f ca="1">RZ[Úroveň 7 bez koef. (P2a)]*RZ[[#This Row],[Počet MJHR (P0)]]</f>
        <v>0</v>
      </c>
      <c r="CP112" s="132">
        <f ca="1">IF(OFFSET(BE112,1,0,1,1)&lt;&gt;0,RZ[[#This Row],[Koeficient odhadu HR '[-'] (P1)]]*$BN112*SUMIFS(RZ[Úroveň 8 s koef. (P2)],RZ[0],AX112,RZ[Úroveň 2 (P0)],AY112,RZ[Úroveň 3 (P0)],AZ112,RZ[Úroveň 4 (P0)],BA112,RZ[Úroveň 5 (P0)],BB112,RZ[Úroveň 6 (P0)],BC112,RZ[Úroveň 7 (P0)],BD112),RZ[[#This Row],[Koeficient odhadu HR '[-'] (P1)]]*$BN112*$IG112)</f>
        <v>0</v>
      </c>
      <c r="CQ112" s="132">
        <f ca="1">IF(OFFSET(BE112,1,0,1,1)&lt;&gt;0,$BN112*SUMIFS(RZ[Úroveň 8 bez koef. (P2)],RZ[0],AX112,RZ[Úroveň 2 (P0)],AY112,RZ[Úroveň 3 (P0)],AZ112,RZ[Úroveň 4 (P0)],BA112,RZ[Úroveň 5 (P0)],BB112,RZ[Úroveň 6 (P0)],BC112,RZ[Úroveň 7 (P0)],BD112),$BN112*$IG112)</f>
        <v>0</v>
      </c>
      <c r="CR112" s="138">
        <f ca="1">RZ[[#This Row],[Úroveň 8 s koef. (P2a)]]*RZ[[#This Row],[Počet MJHR (P0)]]</f>
        <v>0</v>
      </c>
      <c r="CS112" s="138">
        <f ca="1">RZ[Úroveň 8 bez koef. (P2a)]*RZ[[#This Row],[Počet MJHR (P0)]]</f>
        <v>0</v>
      </c>
      <c r="CT112" s="138">
        <f ca="1">IF(OFFSET(BF112,1,0,1,1)&lt;&gt;0,RZ[[#This Row],[Koeficient odhadu HR '[-'] (P1)]]*$BO112*SUMIFS(RZ[Úroveň 9 s koef. (P2)],RZ[0],AX112,RZ[Úroveň 2 (P0)],AY112,RZ[Úroveň 3 (P0)],AZ112,RZ[Úroveň 4 (P0)],BA112,RZ[Úroveň 5 (P0)],BB112,RZ[Úroveň 6 (P0)],BC112,RZ[Úroveň 7 (P0)],BD112,RZ[Úroveň 8 (P0)],BE112),RZ[[#This Row],[Koeficient odhadu HR '[-'] (P1)]]*$BO112*$IG112)</f>
        <v>0</v>
      </c>
      <c r="CU112" s="138">
        <f ca="1">IF(OFFSET(BF112,1,0,1,1)&lt;&gt;0,$BO112*SUMIFS(RZ[Úroveň 9 bez koef. (P2)],RZ[0],AX112,RZ[Úroveň 2 (P0)],AY112,RZ[Úroveň 3 (P0)],AZ112,RZ[Úroveň 4 (P0)],BA112,RZ[Úroveň 5 (P0)],BB112,RZ[Úroveň 6 (P0)],BC112,RZ[Úroveň 7 (P0)],BD112,RZ[Úroveň 8 (P0)],BE112),$BO112*$IG112)</f>
        <v>0</v>
      </c>
      <c r="CV112" s="132">
        <f ca="1">RZ[[#This Row],[Úroveň 9 s koef. (P2a)]]*RZ[[#This Row],[Počet MJHR (P0)]]</f>
        <v>0</v>
      </c>
      <c r="CW112" s="132">
        <f ca="1">RZ[Úroveň 9 bez koef. (P2a)]*RZ[[#This Row],[Počet MJHR (P0)]]</f>
        <v>0</v>
      </c>
      <c r="CX112" s="132">
        <f ca="1">IF(OFFSET(BG112,1,0,1,1)&lt;&gt;0,RZ[[#This Row],[Koeficient odhadu HR '[-'] (P1)]]*$BP112*SUMIFS(RZ[Úroveň 10 s koef. (P2)],RZ[0],AX112,RZ[Úroveň 2 (P0)],AY112,RZ[Úroveň 3 (P0)],AZ112,RZ[Úroveň 4 (P0)],BA112,RZ[Úroveň 5 (P0)],BB112,RZ[Úroveň 6 (P0)],BC112,RZ[Úroveň 7 (P0)],BD112,RZ[Úroveň 8 (P0)],BE112,RZ[Úroveň 9 (P0)],BF112),RZ[[#This Row],[Koeficient odhadu HR '[-'] (P1)]]*$BP112*$IG112)</f>
        <v>0</v>
      </c>
      <c r="CY112" s="132">
        <f ca="1">IF(OFFSET(BG112,1,0,1,1)&lt;&gt;0,$BP112*SUMIFS(RZ[Úroveň 10 bez koef. (P2)],RZ[0],AX112,RZ[Úroveň 2 (P0)],AY112,RZ[Úroveň 3 (P0)],AZ112,RZ[Úroveň 4 (P0)],BA112,RZ[Úroveň 5 (P0)],BB112,RZ[Úroveň 6 (P0)],BC112,RZ[Úroveň 7 (P0)],BD112,RZ[Úroveň 8 (P0)],BE112,RZ[Úroveň 9 (P0)],BF112),$BP112*$IG112)</f>
        <v>0</v>
      </c>
      <c r="CZ112" s="138">
        <f>RZ[[#This Row],[Úroveň 10 s koef. (P2a)]]*RZ[[#This Row],[Počet MJHR (P0)]]</f>
        <v>0</v>
      </c>
      <c r="DA112" s="138">
        <f>RZ[Úroveň 10 bez koef. (P2a)]*RZ[[#This Row],[Počet MJHR (P0)]]</f>
        <v>0</v>
      </c>
      <c r="DB112" s="138">
        <f>RZ[[#This Row],[Koeficient odhadu HR '[-'] (P1)]]*$BQ112*IG112</f>
        <v>0</v>
      </c>
      <c r="DC112" s="231">
        <f t="shared" si="752"/>
        <v>0</v>
      </c>
      <c r="DD112" s="241">
        <f t="shared" ca="1" si="753"/>
        <v>11.17</v>
      </c>
      <c r="DE112" s="229">
        <f t="shared" ca="1" si="754"/>
        <v>11.17</v>
      </c>
      <c r="DF112" s="912">
        <f t="shared" si="755"/>
        <v>0</v>
      </c>
      <c r="DG112" s="913">
        <f t="shared" si="756"/>
        <v>0</v>
      </c>
      <c r="DH112" s="913">
        <f t="shared" si="757"/>
        <v>1</v>
      </c>
      <c r="DI112" s="913">
        <f t="shared" si="758"/>
        <v>0</v>
      </c>
      <c r="DJ112" s="913">
        <f t="shared" si="759"/>
        <v>0</v>
      </c>
      <c r="DK112" s="913">
        <f t="shared" si="760"/>
        <v>0</v>
      </c>
      <c r="DL112" s="913">
        <f t="shared" si="761"/>
        <v>0</v>
      </c>
      <c r="DM112" s="913">
        <f t="shared" si="762"/>
        <v>0</v>
      </c>
      <c r="DN112" s="913">
        <f t="shared" si="763"/>
        <v>0</v>
      </c>
      <c r="DO112" s="913">
        <f t="shared" si="764"/>
        <v>0</v>
      </c>
      <c r="DP112" s="914">
        <f ca="1">SUMIFS(RZ[Úroveň 1 (P4)],RZ[0],AX112)</f>
        <v>1</v>
      </c>
      <c r="DQ112" s="914">
        <f ca="1">SUMIFS(RZ[Úroveň 2 (P4)],RZ[0],AX112,RZ[Úroveň 2 (P0)],AY112)</f>
        <v>1</v>
      </c>
      <c r="DR112" s="914">
        <f ca="1">SUMIFS(RZ[Úroveň 3 (P4)],RZ[0],AX112,RZ[Úroveň 2 (P0)],AY112,RZ[Úroveň 3 (P0)],AZ112)</f>
        <v>1</v>
      </c>
      <c r="DS112" s="914">
        <f ca="1">SUMIFS(RZ[Úroveň 4 (P4)],RZ[0],AX112,RZ[Úroveň 2 (P0)],AY112,RZ[Úroveň 3 (P0)],AZ112,RZ[Úroveň 4 (P0)],BA112)</f>
        <v>0</v>
      </c>
      <c r="DT112" s="914">
        <f ca="1">SUMIFS(RZ[Úroveň 5 (P4)],RZ[0],AX112,RZ[Úroveň 2 (P0)],AY112,RZ[Úroveň 3 (P0)],AZ112,RZ[Úroveň 4 (P0)],BA112,RZ[Úroveň 5 (P0)],BB112)</f>
        <v>0</v>
      </c>
      <c r="DU112" s="914">
        <f ca="1">SUMIFS(RZ[Úroveň 6 (P4)],RZ[0],AX112,RZ[Úroveň 2 (P0)],AY112,RZ[Úroveň 3 (P0)],AZ112,RZ[Úroveň 4 (P0)],BA112,RZ[Úroveň 5 (P0)],BB112,RZ[Úroveň 6 (P0)],BC112)</f>
        <v>0</v>
      </c>
      <c r="DV112" s="914">
        <f ca="1">SUMIFS(RZ[Úroveň 7 (P4)],RZ[0],AX112,RZ[Úroveň 2 (P0)],AY112,RZ[Úroveň 3 (P0)],AZ112,RZ[Úroveň 4 (P0)],BA112,RZ[Úroveň 5 (P0)],BB112,RZ[Úroveň 6 (P0)],BC112,RZ[Úroveň 7 (P0)],BD112)</f>
        <v>0</v>
      </c>
      <c r="DW112" s="914">
        <f ca="1">SUMIFS(RZ[Úroveň 8 (P4)],RZ[0],AX112,RZ[Úroveň 2 (P0)],AY112,RZ[Úroveň 3 (P0)],AZ112,RZ[Úroveň 4 (P0)],BA112,RZ[Úroveň 5 (P0)],BB112,RZ[Úroveň 6 (P0)],BC112,RZ[Úroveň 7 (P0)],BD112,RZ[Úroveň 8 (P0)],BE112)</f>
        <v>0</v>
      </c>
      <c r="DX112" s="914">
        <f ca="1">SUMIFS(RZ[Úroveň 9 (P4)],RZ[0],AX112,RZ[Úroveň 2 (P0)],AY112,RZ[Úroveň 3 (P0)],AZ112,RZ[Úroveň 4 (P0)],BA112,RZ[Úroveň 5 (P0)],BB112,RZ[Úroveň 6 (P0)],BC112,RZ[Úroveň 7 (P0)],BD112,RZ[Úroveň 8 (P0)],BE112,RZ[Úroveň 9 (P0)],BF112)</f>
        <v>0</v>
      </c>
      <c r="DY112" s="914">
        <f ca="1">SUMIFS(RZ[Úroveň 10 (P4)],RZ[0],AX112,RZ[Úroveň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DZ112" s="915">
        <f t="shared" ca="1" si="765"/>
        <v>1</v>
      </c>
      <c r="EA112" s="916">
        <f ca="1">RZ[[#This Row],[Jednotková hmotnost bez koef. '[kg/MJHR'] (P0)]]*RZ[[#This Row],[Počet MJHR v rozpadu (P0)]]</f>
        <v>11.17</v>
      </c>
      <c r="EB112" s="917">
        <f ca="1">IF(OFFSET(AY112,1,0,1,1)&lt;&gt;0,RZ[[#This Row],[Koeficient odhadu CR '[-'] (P1)]]*$BH112*SUMIFS(RZ[Úroveň 2 s koef. (P3)],RZ[0],AX112),RZ[[#This Row],[Koeficient odhadu CR '[-'] (P1)]]*$BH112*$IQ112)</f>
        <v>0</v>
      </c>
      <c r="EC112" s="191">
        <f ca="1">IF(OFFSET(AY112,1,0,1,1)&lt;&gt;0,$BH112*SUMIFS(RZ[Úroveň 2 bez koef. (P3)],RZ[0],AX112),$BH112*$IQ112)</f>
        <v>0</v>
      </c>
      <c r="ED112" s="140">
        <f ca="1">RZ[[#This Row],[Úroveň 2 s koef. (P3a)]]*RZ[[#This Row],[Počet MJCR (P0) pro "kg"]]</f>
        <v>0</v>
      </c>
      <c r="EE112" s="140">
        <f ca="1">RZ[Úroveň 2 bez koef. (P3a)]*RZ[[#This Row],[Počet MJCR (P0) pro "kg"]]</f>
        <v>0</v>
      </c>
      <c r="EF112" s="140">
        <f ca="1">IF(OFFSET(AZ112,1,0,1,1)&lt;&gt;0,RZ[[#This Row],[Koeficient odhadu CR '[-'] (P1)]]*$BI112*SUMIFS(RZ[Úroveň 3 s koef. (P3)],RZ[0],AX112,RZ[Úroveň 2 (P0)],AY112),RZ[[#This Row],[Koeficient odhadu CR '[-'] (P1)]]*$BI112*$IQ112)</f>
        <v>0</v>
      </c>
      <c r="EG112" s="140">
        <f ca="1">IF(OFFSET(AZ112,1,0,1,1)&lt;&gt;0,$BI112*SUMIFS(RZ[Úroveň 3 bez koef. (P3)],RZ[0],AX112,RZ[Úroveň 2 (P0)],AY112),$BI112*$IQ112)</f>
        <v>0</v>
      </c>
      <c r="EH112" s="135">
        <f ca="1">RZ[[#This Row],[Úroveň 3 s koef. (P3a)]]*RZ[[#This Row],[Počet MJCR (P0) pro "kg"]]</f>
        <v>1228.7</v>
      </c>
      <c r="EI112" s="135">
        <f ca="1">RZ[Úroveň 3 bez koef. (P3a)]*RZ[[#This Row],[Počet MJCR (P0) pro "kg"]]</f>
        <v>1228.7</v>
      </c>
      <c r="EJ112" s="135">
        <f ca="1">IF(OFFSET(BA112,1,0,1,1)&lt;&gt;0,RZ[[#This Row],[Koeficient odhadu CR '[-'] (P1)]]*$BJ112*SUMIFS(RZ[Úroveň 4 s koef. (P3)],RZ[0],AX112,RZ[Úroveň 2 (P0)],AY112,RZ[Úroveň 3 (P0)],AZ112),RZ[[#This Row],[Koeficient odhadu CR '[-'] (P1)]]*$BJ112*$IQ112)</f>
        <v>110</v>
      </c>
      <c r="EK112" s="135">
        <f ca="1">IF(OFFSET(BA112,1,0,1,1)&lt;&gt;0,$BJ112*SUMIFS(RZ[Úroveň 4 bez koef. (P3)],RZ[0],AX112,RZ[Úroveň 2 (P0)],AY112,RZ[Úroveň 3 (P0)],AZ112),$BJ112*$IQ112)</f>
        <v>110</v>
      </c>
      <c r="EL112" s="140">
        <f ca="1">RZ[[#This Row],[Úroveň 4 s koef. (P3a)]]*RZ[[#This Row],[Počet MJCR (P0) pro "kg"]]</f>
        <v>0</v>
      </c>
      <c r="EM112" s="140">
        <f ca="1">RZ[Úroveň 4 bez koef. (P3a)]*RZ[[#This Row],[Počet MJCR (P0) pro "kg"]]</f>
        <v>0</v>
      </c>
      <c r="EN112" s="140">
        <f ca="1">IF(OFFSET(BB112,1,0,1,1)&lt;&gt;0,RZ[[#This Row],[Koeficient odhadu CR '[-'] (P1)]]*$BK112*SUMIFS(RZ[Úroveň 5 s koef. (P3)],RZ[0],AX112,RZ[Úroveň 2 (P0)],AY112,RZ[Úroveň 3 (P0)],AZ112,RZ[Úroveň 4 (P0)],BA112),RZ[[#This Row],[Koeficient odhadu CR '[-'] (P1)]]*$BK112*$IQ112)</f>
        <v>0</v>
      </c>
      <c r="EO112" s="140">
        <f ca="1">IF(OFFSET(BB112,1,0,1,1)&lt;&gt;0,$BK112*SUMIFS(RZ[Úroveň 5 bez koef. (P3)],RZ[0],AX112,RZ[Úroveň 2 (P0)],AY112,RZ[Úroveň 3 (P0)],AZ112,RZ[Úroveň 4 (P0)],BA112),$BK112*$IQ112)</f>
        <v>0</v>
      </c>
      <c r="EP112" s="135">
        <f ca="1">RZ[[#This Row],[Úroveň 5 s koef. (P3a)]]*RZ[[#This Row],[Počet MJCR (P0) pro "kg"]]</f>
        <v>0</v>
      </c>
      <c r="EQ112" s="135">
        <f ca="1">RZ[Úroveň 5 bez koef. (P3a)]*RZ[[#This Row],[Počet MJCR (P0) pro "kg"]]</f>
        <v>0</v>
      </c>
      <c r="ER112" s="135">
        <f ca="1">IF(OFFSET(BC112,1,0,1,1)&lt;&gt;0,RZ[[#This Row],[Koeficient odhadu CR '[-'] (P1)]]*$BL112*SUMIFS(RZ[Úroveň 6 s koef. (P3)],RZ[0],AX112,RZ[Úroveň 2 (P0)],AY112,RZ[Úroveň 3 (P0)],AZ112,RZ[Úroveň 4 (P0)],BA112,RZ[Úroveň 5 (P0)],BB112),RZ[[#This Row],[Koeficient odhadu CR '[-'] (P1)]]*$BL112*$IQ112)</f>
        <v>0</v>
      </c>
      <c r="ES112" s="135">
        <f ca="1">IF(OFFSET(BC112,1,0,1,1)&lt;&gt;0,$BL112*SUMIFS(RZ[Úroveň 6 bez koef. (P3)],RZ[0],AX112,RZ[Úroveň 2 (P0)],AY112,RZ[Úroveň 3 (P0)],AZ112,RZ[Úroveň 4 (P0)],BA112,RZ[Úroveň 5 (P0)],BB112),$BL112*$IQ112)</f>
        <v>0</v>
      </c>
      <c r="ET112" s="140">
        <f ca="1">RZ[[#This Row],[Úroveň 6 s koef. (P3a)]]*RZ[[#This Row],[Počet MJCR (P0) pro "kg"]]</f>
        <v>0</v>
      </c>
      <c r="EU112" s="140">
        <f ca="1">RZ[Úroveň 6 bez koef. (P3a)]*RZ[[#This Row],[Počet MJCR (P0) pro "kg"]]</f>
        <v>0</v>
      </c>
      <c r="EV112" s="140">
        <f ca="1">IF(OFFSET(BD112,1,0,1,1)&lt;&gt;0,RZ[[#This Row],[Koeficient odhadu CR '[-'] (P1)]]*$BM112*SUMIFS(RZ[Úroveň 7 s koef. (P3)],RZ[0],AX112,RZ[Úroveň 2 (P0)],AY112,RZ[Úroveň 3 (P0)],AZ112,RZ[Úroveň 4 (P0)],BA112,RZ[Úroveň 5 (P0)],BB112,RZ[Úroveň 6 (P0)],BC112),RZ[[#This Row],[Koeficient odhadu CR '[-'] (P1)]]*$BM112*$IQ112)</f>
        <v>0</v>
      </c>
      <c r="EW112" s="140">
        <f ca="1">IF(OFFSET(BD112,1,0,1,1)&lt;&gt;0,$BM112*SUMIFS(RZ[Úroveň 7 bez koef. (P3)],RZ[0],AX112,RZ[Úroveň 2 (P0)],AY112,RZ[Úroveň 3 (P0)],AZ112,RZ[Úroveň 4 (P0)],BA112,RZ[Úroveň 5 (P0)],BB112,RZ[Úroveň 6 (P0)],BC112),$BM112*$IQ112)</f>
        <v>0</v>
      </c>
      <c r="EX112" s="135">
        <f ca="1">RZ[[#This Row],[Úroveň 7 s koef. (P3a)]]*RZ[[#This Row],[Počet MJCR (P0) pro "kg"]]</f>
        <v>0</v>
      </c>
      <c r="EY112" s="135">
        <f ca="1">RZ[Úroveň 7 bez koef. (P3a)]*RZ[[#This Row],[Počet MJCR (P0) pro "kg"]]</f>
        <v>0</v>
      </c>
      <c r="EZ112" s="135">
        <f ca="1">IF(OFFSET(BE112,1,0,1,1)&lt;&gt;0,RZ[[#This Row],[Koeficient odhadu CR '[-'] (P1)]]*$BN112*SUMIFS(RZ[Úroveň 8 s koef. (P3)],RZ[0],AX112,RZ[Úroveň 2 (P0)],AY112,RZ[Úroveň 3 (P0)],AZ112,RZ[Úroveň 4 (P0)],BA112,RZ[Úroveň 5 (P0)],BB112,RZ[Úroveň 6 (P0)],BC112,RZ[Úroveň 7 (P0)],BD112),RZ[[#This Row],[Koeficient odhadu CR '[-'] (P1)]]*$BN112*$IQ112)</f>
        <v>0</v>
      </c>
      <c r="FA112" s="135">
        <f ca="1">IF(OFFSET(BE112,1,0,1,1)&lt;&gt;0,$BN112*SUMIFS(RZ[Úroveň 8 bez koef. (P3)],RZ[0],AX112,RZ[Úroveň 2 (P0)],AY112,RZ[Úroveň 3 (P0)],AZ112,RZ[Úroveň 4 (P0)],BA112,RZ[Úroveň 5 (P0)],BB112,RZ[Úroveň 6 (P0)],BC112,RZ[Úroveň 7 (P0)],BD112),$BN112*$IQ112)</f>
        <v>0</v>
      </c>
      <c r="FB112" s="140">
        <f ca="1">RZ[[#This Row],[Úroveň 8 s koef. (P3a)]]*RZ[[#This Row],[Počet MJCR (P0) pro "kg"]]</f>
        <v>0</v>
      </c>
      <c r="FC112" s="140">
        <f ca="1">RZ[Úroveň 8 bez koef. (P3a)]*RZ[[#This Row],[Počet MJCR (P0) pro "kg"]]</f>
        <v>0</v>
      </c>
      <c r="FD112" s="140">
        <f ca="1">IF(OFFSET(BF112,1,0,1,1)&lt;&gt;0,RZ[[#This Row],[Koeficient odhadu CR '[-'] (P1)]]*$BO112*SUMIFS(RZ[Úroveň 9 s koef. (P3)],RZ[0],AX112,RZ[Úroveň 2 (P0)],AY112,RZ[Úroveň 3 (P0)],AZ112,RZ[Úroveň 4 (P0)],BA112,RZ[Úroveň 5 (P0)],BB112,RZ[Úroveň 6 (P0)],BC112,RZ[Úroveň 7 (P0)],BD112,RZ[Úroveň 8 (P0)],BE112),RZ[[#This Row],[Koeficient odhadu CR '[-'] (P1)]]*$BO112*$IQ112)</f>
        <v>0</v>
      </c>
      <c r="FE112" s="140">
        <f ca="1">IF(OFFSET(BF112,1,0,1,1)&lt;&gt;0,$BO112*SUMIFS(RZ[Úroveň 9 bez koef. (P3)],RZ[0],AX112,RZ[Úroveň 2 (P0)],AY112,RZ[Úroveň 3 (P0)],AZ112,RZ[Úroveň 4 (P0)],BA112,RZ[Úroveň 5 (P0)],BB112,RZ[Úroveň 6 (P0)],BC112,RZ[Úroveň 7 (P0)],BD112,RZ[Úroveň 8 (P0)],BE112),$BO112*$IQ112)</f>
        <v>0</v>
      </c>
      <c r="FF112" s="135">
        <f ca="1">RZ[[#This Row],[Úroveň 9 s koef. (P3a)]]*RZ[[#This Row],[Počet MJCR (P0) pro "kg"]]</f>
        <v>0</v>
      </c>
      <c r="FG112" s="135">
        <f ca="1">RZ[Úroveň 9 bez koef. (P3a)]*RZ[[#This Row],[Počet MJCR (P0) pro "kg"]]</f>
        <v>0</v>
      </c>
      <c r="FH112" s="135">
        <f ca="1">IF(OFFSET(BG112,1,0,1,1)&lt;&gt;0,RZ[[#This Row],[Koeficient odhadu CR '[-'] (P1)]]*$BP112*SUMIFS(RZ[Úroveň 10 s koef. (P3)],RZ[0],AX112,RZ[Úroveň 2 (P0)],AY112,RZ[Úroveň 3 (P0)],AZ112,RZ[Úroveň 4 (P0)],BA112,RZ[Úroveň 5 (P0)],BB112,RZ[Úroveň 6 (P0)],BC112,RZ[Úroveň 7 (P0)],BD112,RZ[Úroveň 8 (P0)],BE112,RZ[Úroveň 9 (P0)],BF112),RZ[[#This Row],[Koeficient odhadu CR '[-'] (P1)]]*$BP112*$IQ112)</f>
        <v>0</v>
      </c>
      <c r="FI112" s="135">
        <f ca="1">IF(OFFSET(BG112,1,0,1,1)&lt;&gt;0,$BP112*SUMIFS(RZ[Úroveň 10 bez koef. (P3)],RZ[0],AX112,RZ[Úroveň 2 (P0)],AY112,RZ[Úroveň 3 (P0)],AZ112,RZ[Úroveň 4 (P0)],BA112,RZ[Úroveň 5 (P0)],BB112,RZ[Úroveň 6 (P0)],BC112,RZ[Úroveň 7 (P0)],BD112,RZ[Úroveň 8 (P0)],BE112,RZ[Úroveň 9 (P0)],BF112),$BP112*$IQ112)</f>
        <v>0</v>
      </c>
      <c r="FJ112" s="140">
        <f ca="1">RZ[[#This Row],[Úroveň 10 s koef. (P3a)]]*RZ[[#This Row],[Počet MJCR (P0) pro "kg"]]</f>
        <v>0</v>
      </c>
      <c r="FK112" s="140">
        <f ca="1">RZ[Úroveň 10 bez koef. (P3a)]*RZ[[#This Row],[Počet MJCR (P0) pro "kg"]]</f>
        <v>0</v>
      </c>
      <c r="FL112" s="140">
        <f ca="1">RZ[[#This Row],[Koeficient odhadu CR '[-'] (P1)]]*$BQ112*IQ112</f>
        <v>0</v>
      </c>
      <c r="FM112" s="236">
        <f t="shared" ca="1" si="766"/>
        <v>0</v>
      </c>
      <c r="FN112" s="194">
        <f t="shared" ca="1" si="767"/>
        <v>110</v>
      </c>
      <c r="FO112" s="238">
        <f t="shared" ca="1" si="768"/>
        <v>110</v>
      </c>
      <c r="FP112" s="135">
        <f t="shared" ca="1" si="769"/>
        <v>0</v>
      </c>
      <c r="FQ112" s="135">
        <f t="shared" ca="1" si="770"/>
        <v>0</v>
      </c>
      <c r="FR112" s="135">
        <f t="shared" ca="1" si="771"/>
        <v>11.17</v>
      </c>
      <c r="FS112" s="135">
        <f t="shared" ca="1" si="772"/>
        <v>0</v>
      </c>
      <c r="FT112" s="135">
        <f t="shared" ca="1" si="773"/>
        <v>0</v>
      </c>
      <c r="FU112" s="135">
        <f t="shared" ca="1" si="774"/>
        <v>0</v>
      </c>
      <c r="FV112" s="135">
        <f t="shared" ca="1" si="775"/>
        <v>0</v>
      </c>
      <c r="FW112" s="135">
        <f t="shared" ca="1" si="776"/>
        <v>0</v>
      </c>
      <c r="FX112" s="135">
        <f t="shared" ca="1" si="777"/>
        <v>0</v>
      </c>
      <c r="FY112" s="135">
        <f t="shared" ca="1" si="778"/>
        <v>0</v>
      </c>
      <c r="FZ112" s="140">
        <f ca="1">SUMIFS(RZ[Úroveň 1 (P6)],RZ[0],AX112)</f>
        <v>1</v>
      </c>
      <c r="GA112" s="140">
        <f ca="1">SUMIFS(RZ[Úroveň 2 (P6)],RZ[0],AX112,RZ[Úroveň 2 (P0)],AY112)</f>
        <v>1</v>
      </c>
      <c r="GB112" s="140">
        <f ca="1">SUMIFS(RZ[Úroveň 3 (P6)],RZ[0],AX112,RZ[Úroveň 2 (P0)],AY112,RZ[Úroveň 3 (P0)],AZ112)</f>
        <v>11.17</v>
      </c>
      <c r="GC112" s="140">
        <f ca="1">SUMIFS(RZ[Úroveň 4 (P6)],RZ[0],AX112,RZ[Úroveň 2 (P0)],AY112,RZ[Úroveň 3 (P0)],AZ112,RZ[Úroveň 4 (P0)],BA112)</f>
        <v>0</v>
      </c>
      <c r="GD112" s="140">
        <f ca="1">SUMIFS(RZ[Úroveň 5 (P6)],RZ[0],AX112,RZ[Úroveň 2 (P0)],AY112,RZ[Úroveň 3 (P0)],AZ112,RZ[Úroveň 4 (P0)],BA112,RZ[Úroveň 5 (P0)],BB112)</f>
        <v>0</v>
      </c>
      <c r="GE112" s="140">
        <f ca="1">SUMIFS(RZ[Úroveň 6 (P6)],RZ[0],AX112,RZ[Úroveň 2 (P0)],AY112,RZ[Úroveň 3 (P0)],AZ112,RZ[Úroveň 4 (P0)],BA112,RZ[Úroveň 5 (P0)],BB112,RZ[Úroveň 6 (P0)],BC112)</f>
        <v>0</v>
      </c>
      <c r="GF112" s="140">
        <f ca="1">SUMIFS(RZ[Úroveň 7 (P6)],RZ[0],AX112,RZ[Úroveň 2 (P0)],AY112,RZ[Úroveň 3 (P0)],AZ112,RZ[Úroveň 4 (P0)],BA112,RZ[Úroveň 5 (P0)],BB112,RZ[Úroveň 6 (P0)],BC112,RZ[Úroveň 7 (P0)],BD112)</f>
        <v>0</v>
      </c>
      <c r="GG112" s="140">
        <f ca="1">SUMIFS(RZ[Úroveň 8 (P6)],RZ[0],AX112,RZ[Úroveň 2 (P0)],AY112,RZ[Úroveň 3 (P0)],AZ112,RZ[Úroveň 4 (P0)],BA112,RZ[Úroveň 5 (P0)],BB112,RZ[Úroveň 6 (P0)],BC112,RZ[Úroveň 7 (P0)],BD112,RZ[Úroveň 8 (P0)],BE112)</f>
        <v>0</v>
      </c>
      <c r="GH112" s="140">
        <f ca="1">SUMIFS(RZ[Úroveň 9 (P6)],RZ[0],AX112,RZ[Úroveň 2 (P0)],AY112,RZ[Úroveň 3 (P0)],AZ112,RZ[Úroveň 4 (P0)],BA112,RZ[Úroveň 5 (P0)],BB112,RZ[Úroveň 6 (P0)],BC112,RZ[Úroveň 7 (P0)],BD112,RZ[Úroveň 8 (P0)],BE112,RZ[Úroveň 9 (P0)],BF112)</f>
        <v>0</v>
      </c>
      <c r="GI112" s="140">
        <f ca="1">SUMIFS(RZ[Úroveň 10 (P6)],RZ[0],AX112,RZ[Úroveň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GJ112" s="918">
        <f t="shared" ca="1" si="779"/>
        <v>11.17</v>
      </c>
      <c r="GK112" s="808">
        <f t="shared" si="780"/>
        <v>0</v>
      </c>
      <c r="GL112" s="808">
        <f t="shared" si="781"/>
        <v>0</v>
      </c>
      <c r="GM112" s="808">
        <f t="shared" si="782"/>
        <v>1</v>
      </c>
      <c r="GN112" s="808">
        <f t="shared" si="783"/>
        <v>0</v>
      </c>
      <c r="GO112" s="808">
        <f t="shared" si="784"/>
        <v>0</v>
      </c>
      <c r="GP112" s="808">
        <f t="shared" si="785"/>
        <v>0</v>
      </c>
      <c r="GQ112" s="808">
        <f t="shared" si="786"/>
        <v>0</v>
      </c>
      <c r="GR112" s="808">
        <f t="shared" si="787"/>
        <v>0</v>
      </c>
      <c r="GS112" s="808">
        <f t="shared" si="788"/>
        <v>0</v>
      </c>
      <c r="GT112" s="808">
        <f t="shared" si="789"/>
        <v>0</v>
      </c>
      <c r="GU112" s="809">
        <f ca="1">SUMIFS(RZ[Sloupec1],RZ[0],AX112)</f>
        <v>1</v>
      </c>
      <c r="GV112" s="809">
        <f ca="1">SUMIFS(RZ[Sloupec2],RZ[0],AX112,RZ[Úroveň 2 (P0)],AY112)</f>
        <v>1</v>
      </c>
      <c r="GW112" s="809">
        <f ca="1">SUMIFS(RZ[Sloupec3],RZ[0],AX112,RZ[Úroveň 2 (P0)],AY112,RZ[Úroveň 3 (P0)],AZ112)</f>
        <v>1</v>
      </c>
      <c r="GX112" s="809">
        <f ca="1">SUMIFS(RZ[Sloupec4],RZ[0],AX112,RZ[Úroveň 2 (P0)],AY112,RZ[Úroveň 3 (P0)],AZ112,RZ[Úroveň 4 (P0)],BA112)</f>
        <v>0</v>
      </c>
      <c r="GY112" s="809">
        <f ca="1">SUMIFS(RZ[Sloupec5],RZ[0],AX112,RZ[Úroveň 2 (P0)],AY112,RZ[Úroveň 3 (P0)],AZ112,RZ[Úroveň 4 (P0)],BA112,RZ[Úroveň 5 (P0)],BB112)</f>
        <v>0</v>
      </c>
      <c r="GZ112" s="809">
        <f ca="1">SUMIFS(RZ[Sloupec6],RZ[0],AX112,RZ[Úroveň 2 (P0)],AY112,RZ[Úroveň 3 (P0)],AZ112,RZ[Úroveň 4 (P0)],BA112,RZ[Úroveň 5 (P0)],BB112,RZ[Úroveň 6 (P0)],BC112)</f>
        <v>0</v>
      </c>
      <c r="HA112" s="809">
        <f ca="1">SUMIFS(RZ[Sloupec62],RZ[0],AX112,RZ[Úroveň 2 (P0)],AY112,RZ[Úroveň 3 (P0)],AZ112,RZ[Úroveň 4 (P0)],BA112,RZ[Úroveň 5 (P0)],BB112,RZ[Úroveň 6 (P0)],BC112,RZ[Úroveň 7 (P0)],BD112)</f>
        <v>0</v>
      </c>
      <c r="HB112" s="809">
        <f ca="1">SUMIFS(RZ[Sloupec63],RZ[0],AX112,RZ[Úroveň 2 (P0)],AY112,RZ[Úroveň 3 (P0)],AZ112,RZ[Úroveň 4 (P0)],BA112,RZ[Úroveň 5 (P0)],BB112,RZ[Úroveň 6 (P0)],BC112,RZ[Úroveň 7 (P0)],BD112,RZ[Úroveň 8 (P0)],BE112)</f>
        <v>0</v>
      </c>
      <c r="HC112" s="809">
        <f ca="1">SUMIFS(RZ[Sloupec64],RZ[0],AX112,RZ[Úroveň 2 (P0)],AY112,RZ[Úroveň 3 (P0)],AZ112,RZ[Úroveň 4 (P0)],BA112,RZ[Úroveň 5 (P0)],BB112,RZ[Úroveň 6 (P0)],BC112,RZ[Úroveň 7 (P0)],BD112,RZ[Úroveň 8 (P0)],BE112,RZ[Úroveň 9 (P0)],BF112)</f>
        <v>0</v>
      </c>
      <c r="HD112" s="809">
        <f ca="1">SUMIFS(RZ[Sloupec65],RZ[0],AX112,RZ[Úroveň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HE112" s="919">
        <f t="shared" ca="1" si="790"/>
        <v>1</v>
      </c>
      <c r="HF112" s="920" t="str">
        <f t="shared" si="791"/>
        <v/>
      </c>
      <c r="HG112" s="94" t="str">
        <f t="shared" si="792"/>
        <v/>
      </c>
      <c r="HH112" s="95" t="str">
        <f t="shared" si="793"/>
        <v/>
      </c>
      <c r="HI112" s="95" t="str">
        <f t="shared" si="794"/>
        <v>Spojovací materiál</v>
      </c>
      <c r="HJ112" s="96" t="str">
        <f t="shared" si="795"/>
        <v/>
      </c>
      <c r="HK112" s="96" t="str">
        <f t="shared" si="796"/>
        <v/>
      </c>
      <c r="HL112" s="96" t="str">
        <f t="shared" si="797"/>
        <v/>
      </c>
      <c r="HM112" s="96" t="str">
        <f t="shared" si="798"/>
        <v/>
      </c>
      <c r="HN112" s="96" t="str">
        <f t="shared" si="799"/>
        <v/>
      </c>
      <c r="HO112" s="96" t="str">
        <f t="shared" si="800"/>
        <v/>
      </c>
      <c r="HP112" s="96" t="str">
        <f t="shared" si="801"/>
        <v/>
      </c>
      <c r="HQ112" s="145" t="str">
        <f t="shared" si="802"/>
        <v>STSM</v>
      </c>
      <c r="HR112" s="921" t="str">
        <f t="shared" si="803"/>
        <v/>
      </c>
      <c r="HS112" s="173">
        <f t="shared" si="804"/>
        <v>0</v>
      </c>
      <c r="HT112" s="100">
        <f t="shared" si="805"/>
        <v>0</v>
      </c>
      <c r="HU112" s="100">
        <f t="shared" si="806"/>
        <v>0</v>
      </c>
      <c r="HV112" s="908">
        <f t="shared" si="807"/>
        <v>0</v>
      </c>
      <c r="HW112" s="922">
        <f t="shared" si="808"/>
        <v>0</v>
      </c>
      <c r="HX112" s="224">
        <f t="shared" si="809"/>
        <v>0</v>
      </c>
      <c r="HY112" s="263" t="str">
        <f t="shared" si="810"/>
        <v>S</v>
      </c>
      <c r="HZ112" s="263">
        <f t="shared" si="811"/>
        <v>0</v>
      </c>
      <c r="IA112" s="150">
        <f t="shared" si="812"/>
        <v>1</v>
      </c>
      <c r="IB112" s="319">
        <f t="shared" si="813"/>
        <v>0</v>
      </c>
      <c r="IC112" s="923">
        <f t="shared" si="814"/>
        <v>0</v>
      </c>
      <c r="ID112" s="924" t="str">
        <f t="shared" ca="1" si="815"/>
        <v>OK</v>
      </c>
      <c r="IE112" s="201" t="str">
        <f t="shared" si="816"/>
        <v>ks</v>
      </c>
      <c r="IF112" s="145">
        <f t="shared" si="817"/>
        <v>1</v>
      </c>
      <c r="IG112" s="216">
        <f t="shared" si="818"/>
        <v>11.17</v>
      </c>
      <c r="IH112" s="217">
        <f t="shared" si="819"/>
        <v>1</v>
      </c>
      <c r="II112" s="224" t="str">
        <f ca="1">IF(RZ[[#This Row],[Rozhodný sloupec indikativní ceny]]=1,"kg",IF($IW112=$JL$15,IF(JX112=0,JO112,JX112),IF($IW112=$KE$15,IF(KQ112=0,KH112,KQ112),IF($IW112=$KX$15,IF(LJ112=0,LA112,LJ112),IF($IW112=$LQ$15,IF(MC112=0,LT112,MC112),IF($IW112=$MJ$15,IF(NQ112=0,NH112,NQ112),0))))))</f>
        <v>kg</v>
      </c>
      <c r="IJ112" s="224">
        <f ca="1">IF((BH112+OFFSET(BH112,1,1,1,1))=2,RZ[[#This Row],[Počet MJHR (P0)]],IF((BI112+OFFSET(BI112,1,1,1,1))=2,RZ[[#This Row],[Počet MJHR (P0)]],IF((BJ112+OFFSET(BJ112,1,1,1,1))=2,RZ[[#This Row],[Počet MJHR (P0)]],IF((BK112+OFFSET(BK112,1,1,1,1))=2,RZ[[#This Row],[Počet MJHR (P0)]],IF((BL112+OFFSET(BL112,1,1,1,1))=2,RZ[[#This Row],[Počet MJHR (P0)]],IF((BM112+OFFSET(BM112,1,1,1,1))=2,RZ[[#This Row],[Počet MJHR (P0)]],IF((BN112+OFFSET(BN112,1,1,1,1))=2,RZ[[#This Row],[Počet MJHR (P0)]],IF((BO112+OFFSET(BO112,1,1,1,1))=2,RZ[[#This Row],[Počet MJHR (P0)]],IF((BP112+OFFSET(BP112,1,1,1,1))=2,RZ[[#This Row],[Počet MJHR (P0)]],IF((BQ112+OFFSET(BQ112,1,1,1,1))=2,RZ[[#This Row],[Počet MJHR (P0)]],IF(RZ[[#This Row],[Měrná jednotka CR (MJCR) (P0)]]=RZ[[#This Row],[Měrná jednotka HR '[MJHR'] (P0)]],RZ[[#This Row],[Počet MJHR (P0)]],IF($IW112=$JL$15,JY112,IF($IW112=$KE$15,KR112,IF($IW112=$KX$15,LK112,IF($IW112=$LQ$15,MD112,IF($IW112=$MJ$15,NR112,0))))))))))))))))</f>
        <v>0</v>
      </c>
      <c r="IK11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11.17</v>
      </c>
      <c r="IL112" s="145">
        <f ca="1">IF(AND(RZ[[#This Row],[Jednotková cena bez DPH '[cena/MJCR'] (P0)]]=0,RZ[[#This Row],[Indikativní jednotková cena '[CZK/kg'] (P1)]]&lt;&gt;0),1,0)</f>
        <v>1</v>
      </c>
      <c r="IM112" s="217">
        <f ca="1">VLOOKUP(RZ[[#This Row],[Kód položek]],INDIKAT_CENA,2,FALSE)</f>
        <v>110</v>
      </c>
      <c r="IN112" s="222">
        <f ca="1">IF(RZ[[#This Row],[Rozhodný sloupec indikativní ceny]]=1,RZ[[#This Row],[Indikativní jednotková cena '[CZK/kg'] (P1)]],RZ[[#This Row],[Jednotková cena bez DPH '[cena/MJCR'] (P0)]])</f>
        <v>110</v>
      </c>
      <c r="IO112" s="222">
        <f t="shared" si="820"/>
        <v>1</v>
      </c>
      <c r="IP112" s="224">
        <f ca="1">IF(RZ[[#This Row],[Rozhodný sloupec indikativní ceny]]=1,1,IF($IW112=$JL$15,KA112,IF($IW112=$KE$15,KT112,IF($IW112=$KX$15,LM112,IF($IW112=$LQ$15,MF112,IF($IW112=$MJ$15,NT112,0))))))</f>
        <v>1</v>
      </c>
      <c r="IQ112" s="225">
        <f ca="1">IF(RZ[[#This Row],[Jednotková cena bez DPH '[cena/MJCR'] (P1)]]="",0,IF(IP112=0,0,(RZ[[#This Row],[Jednotková cena bez DPH '[cena/MJCR'] (P1)]]*VLOOKUP(IP112,$BR$7:$BT$10,3))))</f>
        <v>110</v>
      </c>
      <c r="IR112" s="737"/>
      <c r="IS112" s="627">
        <f>IF(HY112=0,"",VLOOKUP(RZ[[#This Row],[Stav Projekce (P0)]],Vstupy!$E$11:'Vstupy'!$E$11:$H$17,4,FALSE))</f>
        <v>100</v>
      </c>
      <c r="IT112" s="925" t="str">
        <f>IF(RZ[[#This Row],[Stav Projekce (P0)]]=0,"",RZ[[#This Row],[Stav Projekce (P0)]])</f>
        <v>S</v>
      </c>
      <c r="IU112" s="925" t="str">
        <f>IF(RZ[[#This Row],[Stav Nákup (P0)]]=0,"",RZ[[#This Row],[Stav Nákup (P0)]])</f>
        <v/>
      </c>
      <c r="IV112" s="926" t="str">
        <f t="shared" si="821"/>
        <v/>
      </c>
      <c r="IW112" s="641">
        <v>1</v>
      </c>
      <c r="IX112" s="630"/>
      <c r="IY112" s="264"/>
      <c r="IZ112" s="648"/>
      <c r="JA112" s="100"/>
      <c r="JB112" s="100" t="s">
        <v>36</v>
      </c>
      <c r="JC112" s="100"/>
      <c r="JD112" s="100"/>
      <c r="JE112" s="100"/>
      <c r="JF112" s="100"/>
      <c r="JG112" s="100"/>
      <c r="JH112" s="100"/>
      <c r="JI112" s="100"/>
      <c r="JJ112" s="145" t="s">
        <v>766</v>
      </c>
      <c r="JK112" s="529"/>
      <c r="JL112" s="286"/>
      <c r="JM112" s="100"/>
      <c r="JN112" s="100"/>
      <c r="JO112" s="145" t="s">
        <v>35</v>
      </c>
      <c r="JP112" s="117">
        <v>1</v>
      </c>
      <c r="JQ112" s="117">
        <v>11.17</v>
      </c>
      <c r="JR112" s="148">
        <v>1</v>
      </c>
      <c r="JS112" s="145" t="s">
        <v>602</v>
      </c>
      <c r="JT112" s="631"/>
      <c r="JU112" s="148"/>
      <c r="JV112" s="154"/>
      <c r="JW112" s="145"/>
      <c r="JX112" s="210"/>
      <c r="JY112" s="117"/>
      <c r="JZ112" s="662"/>
      <c r="KA112" s="145"/>
      <c r="KB112" s="148"/>
      <c r="KC112" s="148"/>
      <c r="KD112" s="644"/>
      <c r="KE112" s="286"/>
      <c r="KF112" s="100"/>
      <c r="KG112" s="100"/>
      <c r="KH112" s="210"/>
      <c r="KI112" s="117"/>
      <c r="KJ112" s="117"/>
      <c r="KK112" s="148"/>
      <c r="KL112" s="145"/>
      <c r="KM112" s="632"/>
      <c r="KN112" s="148"/>
      <c r="KO112" s="154"/>
      <c r="KP112" s="154"/>
      <c r="KQ112" s="210"/>
      <c r="KR112" s="117"/>
      <c r="KS112" s="211"/>
      <c r="KT112" s="145"/>
      <c r="KU112" s="148"/>
      <c r="KV112" s="148"/>
      <c r="KW112" s="265"/>
      <c r="KX112" s="286"/>
      <c r="KY112" s="100"/>
      <c r="KZ112" s="100"/>
      <c r="LA112" s="210"/>
      <c r="LB112" s="117"/>
      <c r="LC112" s="117"/>
      <c r="LD112" s="148"/>
      <c r="LE112" s="145"/>
      <c r="LF112" s="632"/>
      <c r="LG112" s="148"/>
      <c r="LH112" s="154"/>
      <c r="LI112" s="154"/>
      <c r="LJ112" s="154"/>
      <c r="LK112" s="117"/>
      <c r="LL112" s="211"/>
      <c r="LM112" s="210"/>
      <c r="LN112" s="148"/>
      <c r="LO112" s="148"/>
      <c r="LP112" s="265"/>
      <c r="LQ112" s="286"/>
      <c r="LR112" s="100"/>
      <c r="LS112" s="100"/>
      <c r="LT112" s="210"/>
      <c r="LU112" s="117"/>
      <c r="LV112" s="117"/>
      <c r="LW112" s="148"/>
      <c r="LX112" s="145"/>
      <c r="LY112" s="632"/>
      <c r="LZ112" s="148"/>
      <c r="MA112" s="154"/>
      <c r="MB112" s="154"/>
      <c r="MC112" s="145"/>
      <c r="MD112" s="117"/>
      <c r="ME112" s="211"/>
      <c r="MF112" s="210"/>
      <c r="MG112" s="148"/>
      <c r="MH112" s="148"/>
      <c r="MI112" s="265"/>
      <c r="MJ112" s="647"/>
      <c r="MK112" s="264"/>
      <c r="ML112" s="153"/>
      <c r="MM112" s="153"/>
      <c r="MN112" s="153"/>
      <c r="MO112" s="153"/>
      <c r="MP112" s="153"/>
      <c r="MQ112" s="153"/>
      <c r="MR112" s="153"/>
      <c r="MS112" s="99"/>
      <c r="MT112" s="99"/>
      <c r="MU112" s="99"/>
      <c r="MV112" s="99"/>
      <c r="MW112" s="99"/>
      <c r="MX112" s="99"/>
      <c r="MY112" s="153"/>
      <c r="MZ112" s="153"/>
      <c r="NA112" s="153"/>
      <c r="NB112" s="153"/>
      <c r="NC112" s="153"/>
      <c r="ND112" s="153"/>
      <c r="NE112" s="148"/>
      <c r="NF112" s="145"/>
      <c r="NG112" s="145"/>
      <c r="NH112" s="330" t="str">
        <f t="shared" si="822"/>
        <v>ks</v>
      </c>
      <c r="NI112" s="797">
        <f>RZ[[#This Row],[Počet ks (K)]]</f>
        <v>0</v>
      </c>
      <c r="NJ112" s="798">
        <f>RZ[[#This Row],[Hmotnost '[kg/ks'] (K)]]</f>
        <v>0</v>
      </c>
      <c r="NK112" s="148"/>
      <c r="NL112" s="145"/>
      <c r="NM112" s="632"/>
      <c r="NN112" s="148"/>
      <c r="NO112" s="154"/>
      <c r="NP112" s="154"/>
      <c r="NQ112" s="154"/>
      <c r="NR112" s="210"/>
      <c r="NS112" s="148"/>
      <c r="NT112" s="210"/>
      <c r="NU112" s="148"/>
      <c r="NV112" s="148"/>
      <c r="NW112" s="265"/>
    </row>
    <row r="113" spans="2:387" ht="15.95" customHeight="1" x14ac:dyDescent="0.35">
      <c r="B113" s="118" t="str">
        <f t="shared" si="1"/>
        <v/>
      </c>
      <c r="C11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3" s="262" t="str">
        <f t="shared" si="2"/>
        <v xml:space="preserve">  Čelní opěrná kladka</v>
      </c>
      <c r="E113" s="12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Row],[Kód položek (P2)]]))))))))))</f>
        <v>-</v>
      </c>
      <c r="F113" s="122" t="str">
        <f t="shared" si="3"/>
        <v>N/A</v>
      </c>
      <c r="G113" s="121" t="str">
        <f t="shared" si="4"/>
        <v/>
      </c>
      <c r="H113" s="122" t="str">
        <f t="shared" si="5"/>
        <v/>
      </c>
      <c r="I113" s="123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HR '[MJHR'] (P0)]]))))))))))</f>
        <v>sest</v>
      </c>
      <c r="J113" s="123">
        <f t="shared" si="6"/>
        <v>2</v>
      </c>
      <c r="K113" s="151">
        <f>RZ[[#This Row],[Koeficient odhadu HR '[-'] (P1)]]</f>
        <v>1</v>
      </c>
      <c r="L113" s="124">
        <f ca="1">RZ[[#This Row],[Jednotková hmotnost s koef. '[kg/MJHR'] (P0)]]</f>
        <v>29.585999999999999</v>
      </c>
      <c r="M113" s="124">
        <f t="shared" ca="1" si="7"/>
        <v>0</v>
      </c>
      <c r="N113" s="125">
        <f t="shared" ca="1" si="8"/>
        <v>59.171999999999997</v>
      </c>
      <c r="O113" s="125">
        <f t="shared" ca="1" si="9"/>
        <v>0</v>
      </c>
      <c r="P113" s="328" t="str">
        <f t="shared" si="10"/>
        <v/>
      </c>
      <c r="Q113" s="743">
        <f ca="1">RZ[[#This Row],[Počet MJHR v rozpadu (P0)]]</f>
        <v>2</v>
      </c>
      <c r="R113" s="439" t="str">
        <f t="shared" si="11"/>
        <v/>
      </c>
      <c r="S113" s="129" t="str">
        <f t="shared" si="12"/>
        <v/>
      </c>
      <c r="T113" s="130" t="str">
        <f t="shared" si="13"/>
        <v/>
      </c>
      <c r="U113" s="126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CR (MJCR) (P0)]]))))))))))</f>
        <v>sest</v>
      </c>
      <c r="V113" s="575">
        <f t="shared" ca="1" si="14"/>
        <v>2</v>
      </c>
      <c r="W113" s="322">
        <f>RZ[[#This Row],[Koeficient odhadu CR '[-'] (P1)]]</f>
        <v>1</v>
      </c>
      <c r="X113" s="44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Row],[Jednotková cena bez DPH '[cena/MJCR'] (P1)]]*RZ[[#This Row],[Koeficient odhadu CR '[-']]]))))))))))</f>
        <v>-</v>
      </c>
      <c r="Y113" s="440">
        <f t="shared" ca="1" si="108"/>
        <v>0</v>
      </c>
      <c r="Z113" s="142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VLOOKUP(IP113,$BR$7:$BS$11,2,FALSE)))))))))))</f>
        <v>-</v>
      </c>
      <c r="AA113" s="811">
        <f t="shared" ca="1" si="16"/>
        <v>2</v>
      </c>
      <c r="AB113" s="814">
        <f ca="1">RZ[[#This Row],[Kumulovaný koeficient v rozpadu (P0)]]</f>
        <v>1</v>
      </c>
      <c r="AC113" s="260"/>
      <c r="AD113" s="510">
        <f ca="1">RZ[[#This Row],[Jednotková cena bez DPH '[cena/MJCR'] s koef. (P0)]]/RZ[[#This Row],[Koeficient odhadu CR '[-']]]*RZ[[#This Row],[Kumulovaný koeficient odhadu CR  '[-']]]</f>
        <v>3320.81</v>
      </c>
      <c r="AE113" s="511">
        <f t="shared" ca="1" si="17"/>
        <v>6641.62</v>
      </c>
      <c r="AF113" s="512">
        <f ca="1">-IF(ISNUMBER(AA113),RZ[[#This Row],[Celková cena bez DPH (1)]]-RZ[[#This Row],[Jednotková cena bez DPH '[cena/MJCR'] bez koef. (P0)]]*AA113,0)</f>
        <v>0</v>
      </c>
      <c r="AG11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112.2426147502197</v>
      </c>
      <c r="AH113" s="261"/>
      <c r="AI113" s="510">
        <f t="shared" ca="1" si="18"/>
        <v>122.99296296296296</v>
      </c>
      <c r="AJ113" s="511">
        <f t="shared" ca="1" si="19"/>
        <v>245.98592592592593</v>
      </c>
      <c r="AK113" s="512">
        <f t="shared" ca="1" si="20"/>
        <v>0</v>
      </c>
      <c r="AL113" s="753">
        <f ca="1">RZ[[#This Row],[Kilogramová cena bez DPH '[cena/kg'] (1)]]/$AK$13</f>
        <v>4.157133879637767</v>
      </c>
      <c r="AM113" s="261"/>
      <c r="AN113" s="510">
        <f t="shared" ca="1" si="21"/>
        <v>160.42560386473431</v>
      </c>
      <c r="AO113" s="511">
        <f t="shared" ca="1" si="22"/>
        <v>320.85120772946863</v>
      </c>
      <c r="AP113" s="512">
        <f t="shared" ca="1" si="23"/>
        <v>0</v>
      </c>
      <c r="AQ113" s="753">
        <f ca="1">RZ[[#This Row],[Kilogramová cena bez DPH '[cena/kg'] (1)]]/$AP$13</f>
        <v>5.4223485386579569</v>
      </c>
      <c r="AR113" s="261"/>
      <c r="AS113" s="510">
        <f t="shared" ca="1" si="24"/>
        <v>90.831783369803063</v>
      </c>
      <c r="AT113" s="511">
        <f t="shared" ca="1" si="25"/>
        <v>181.66356673960613</v>
      </c>
      <c r="AU113" s="511">
        <f t="shared" ca="1" si="26"/>
        <v>0</v>
      </c>
      <c r="AV113" s="767">
        <f ca="1">RZ[[#This Row],[Kilogramová cena bez DPH '[cena/kg'] (1)]]/$AU$13</f>
        <v>3.0700934012642147</v>
      </c>
      <c r="AW113" s="165"/>
      <c r="AX113" s="110">
        <f t="shared" ca="1" si="27"/>
        <v>2</v>
      </c>
      <c r="AY113" s="55">
        <f t="shared" ca="1" si="28"/>
        <v>9</v>
      </c>
      <c r="AZ113" s="111">
        <f t="shared" ca="1" si="29"/>
        <v>0</v>
      </c>
      <c r="BA113" s="111">
        <f t="shared" ca="1" si="30"/>
        <v>0</v>
      </c>
      <c r="BB113" s="111">
        <f t="shared" ca="1" si="31"/>
        <v>0</v>
      </c>
      <c r="BC113" s="111">
        <f t="shared" ca="1" si="32"/>
        <v>0</v>
      </c>
      <c r="BD113" s="111">
        <f t="shared" ca="1" si="33"/>
        <v>0</v>
      </c>
      <c r="BE113" s="111">
        <f t="shared" ca="1" si="109"/>
        <v>0</v>
      </c>
      <c r="BF113" s="111">
        <f t="shared" ca="1" si="34"/>
        <v>0</v>
      </c>
      <c r="BG113" s="112">
        <f t="shared" ca="1" si="35"/>
        <v>0</v>
      </c>
      <c r="BH113" s="110">
        <f t="shared" si="110"/>
        <v>0</v>
      </c>
      <c r="BI113" s="55">
        <f t="shared" si="111"/>
        <v>1</v>
      </c>
      <c r="BJ113" s="55">
        <f t="shared" si="112"/>
        <v>0</v>
      </c>
      <c r="BK113" s="111">
        <f t="shared" si="113"/>
        <v>0</v>
      </c>
      <c r="BL113" s="111">
        <f t="shared" si="114"/>
        <v>0</v>
      </c>
      <c r="BM113" s="111">
        <f t="shared" si="115"/>
        <v>0</v>
      </c>
      <c r="BN113" s="111">
        <f t="shared" si="116"/>
        <v>0</v>
      </c>
      <c r="BO113" s="111">
        <f t="shared" si="117"/>
        <v>0</v>
      </c>
      <c r="BP113" s="111">
        <f t="shared" si="118"/>
        <v>0</v>
      </c>
      <c r="BQ113" s="112">
        <f t="shared" si="119"/>
        <v>0</v>
      </c>
      <c r="BR113" s="186">
        <f ca="1">IF(OFFSET(AY113,1,0,1,1)&lt;&gt;0,RZ[[#This Row],[Koeficient odhadu HR '[-'] (P1)]]*$BH113*SUMIFS(RZ[Úroveň 2 s koef. (P2)],RZ[0],AX113),RZ[[#This Row],[Koeficient odhadu HR '[-'] (P1)]]*$BH113*$IG113)</f>
        <v>0</v>
      </c>
      <c r="BS113" s="186">
        <f ca="1">IF(OFFSET(AY113,1,0,1,1)&lt;&gt;0,$BH113*SUMIFS(RZ[Úroveň 2 bez koef. (P2)],RZ[0],AX113),$BH113*$IG113)</f>
        <v>0</v>
      </c>
      <c r="BT113" s="138">
        <f ca="1">RZ[[#This Row],[Úroveň 2 s koef. (P2a)]]*RZ[[#This Row],[Počet MJHR (P0)]]</f>
        <v>59.171999999999997</v>
      </c>
      <c r="BU113" s="138">
        <f ca="1">RZ[[#This Row],[Úroveň 2 bez koef. (P2a)]]*RZ[[#This Row],[Počet MJHR (P0)]]</f>
        <v>59.171999999999997</v>
      </c>
      <c r="BV113" s="138">
        <f ca="1">IF(OFFSET(AZ113,1,0,1,1)&lt;&gt;0,RZ[[#This Row],[Koeficient odhadu HR '[-'] (P1)]]*$BI113*SUMIFS(RZ[Úroveň 3 s koef. (P2)],RZ[0],AX113,RZ[Úroveň 2 (P0)],AY113),RZ[[#This Row],[Koeficient odhadu HR '[-'] (P1)]]*$BI113*$IG113)</f>
        <v>29.585999999999999</v>
      </c>
      <c r="BW113" s="138">
        <f ca="1">IF(OFFSET(AZ113,1,0,1,1)&lt;&gt;0,$BI113*SUMIFS(RZ[Úroveň 3 bez koef. (P2)],RZ[0],AX113,RZ[Úroveň 2 (P0)],AY113),$BI113*$IG113)</f>
        <v>29.585999999999999</v>
      </c>
      <c r="BX113" s="132">
        <f ca="1">RZ[[#This Row],[Úroveň 3 s koef. (P2a)]]*RZ[[#This Row],[Počet MJHR (P0)]]</f>
        <v>0</v>
      </c>
      <c r="BY113" s="132">
        <f ca="1">RZ[Úroveň 3 bez koef. (P2a)]*RZ[[#This Row],[Počet MJHR (P0)]]</f>
        <v>0</v>
      </c>
      <c r="BZ113" s="132">
        <f ca="1">IF(OFFSET(BA113,1,0,1,1)&lt;&gt;0,RZ[[#This Row],[Koeficient odhadu HR '[-'] (P1)]]*$BJ113*SUMIFS(RZ[Úroveň 4 s koef. (P2)],RZ[0],AX113,RZ[Úroveň 2 (P0)],AY113,RZ[Úroveň 3 (P0)],AZ113),RZ[[#This Row],[Koeficient odhadu HR '[-'] (P1)]]*$BJ113*$IG113)</f>
        <v>0</v>
      </c>
      <c r="CA113" s="132">
        <f ca="1">IF(OFFSET(BA113,1,0,1,1)&lt;&gt;0,$BJ113*SUMIFS(RZ[Úroveň 4 bez koef. (P2)],RZ[0],AX113,RZ[Úroveň 2 (P0)],AY113,RZ[Úroveň 3 (P0)],AZ113),$BJ113*$IG113)</f>
        <v>0</v>
      </c>
      <c r="CB113" s="138">
        <f ca="1">RZ[[#This Row],[Úroveň 4 s koef. (P2a)]]*RZ[[#This Row],[Počet MJHR (P0)]]</f>
        <v>0</v>
      </c>
      <c r="CC113" s="138">
        <f ca="1">RZ[Úroveň 4 bez koef. (P2a)]*RZ[[#This Row],[Počet MJHR (P0)]]</f>
        <v>0</v>
      </c>
      <c r="CD113" s="138">
        <f ca="1">IF(OFFSET(BB113,1,0,1,1)&lt;&gt;0,RZ[[#This Row],[Koeficient odhadu HR '[-'] (P1)]]*$BK113*SUMIFS(RZ[Úroveň 5 s koef. (P2)],RZ[0],AX113,RZ[Úroveň 2 (P0)],AY113,RZ[Úroveň 3 (P0)],AZ113,RZ[Úroveň 4 (P0)],BA113),RZ[[#This Row],[Koeficient odhadu HR '[-'] (P1)]]*$BK113*$IG113)</f>
        <v>0</v>
      </c>
      <c r="CE113" s="138">
        <f ca="1">IF(OFFSET(BB113,1,0,1,1)&lt;&gt;0,$BK113*SUMIFS(RZ[Úroveň 5 bez koef. (P2)],RZ[0],AX113,RZ[Úroveň 2 (P0)],AY113,RZ[Úroveň 3 (P0)],AZ113,RZ[Úroveň 4 (P0)],BA113),$BK113*$IG113)</f>
        <v>0</v>
      </c>
      <c r="CF113" s="132">
        <f ca="1">RZ[[#This Row],[Úroveň 5 s koef. (P2a)]]*RZ[[#This Row],[Počet MJHR (P0)]]</f>
        <v>0</v>
      </c>
      <c r="CG113" s="132">
        <f ca="1">RZ[Úroveň 5 bez koef. (P2a)]*RZ[[#This Row],[Počet MJHR (P0)]]</f>
        <v>0</v>
      </c>
      <c r="CH113" s="132">
        <f ca="1">IF(OFFSET(BC113,1,0,1,1)&lt;&gt;0,RZ[[#This Row],[Koeficient odhadu HR '[-'] (P1)]]*$BL113*SUMIFS(RZ[Úroveň 6 s koef. (P2)],RZ[0],AX113,RZ[Úroveň 2 (P0)],AY113,RZ[Úroveň 3 (P0)],AZ113,RZ[Úroveň 4 (P0)],BA113,RZ[Úroveň 5 (P0)],BB113),RZ[[#This Row],[Koeficient odhadu HR '[-'] (P1)]]*$BL113*$IG113)</f>
        <v>0</v>
      </c>
      <c r="CI113" s="132">
        <f ca="1">IF(OFFSET(BC113,1,0,1,1)&lt;&gt;0,$BL113*SUMIFS(RZ[Úroveň 6 bez koef. (P2)],RZ[0],AX113,RZ[Úroveň 2 (P0)],AY113,RZ[Úroveň 3 (P0)],AZ113,RZ[Úroveň 4 (P0)],BA113,RZ[Úroveň 5 (P0)],BB113),$BL113*$IG113)</f>
        <v>0</v>
      </c>
      <c r="CJ113" s="138">
        <f ca="1">RZ[[#This Row],[Úroveň 6 s koef. (P2a)]]*RZ[[#This Row],[Počet MJHR (P0)]]</f>
        <v>0</v>
      </c>
      <c r="CK113" s="138">
        <f ca="1">RZ[Úroveň 6 bez koef. (P2a)]*RZ[[#This Row],[Počet MJHR (P0)]]</f>
        <v>0</v>
      </c>
      <c r="CL113" s="138">
        <f ca="1">IF(OFFSET(BD113,1,0,1,1)&lt;&gt;0,RZ[[#This Row],[Koeficient odhadu HR '[-'] (P1)]]*$BM113*SUMIFS(RZ[Úroveň 7 s koef. (P2)],RZ[0],AX113,RZ[Úroveň 2 (P0)],AY113,RZ[Úroveň 3 (P0)],AZ113,RZ[Úroveň 4 (P0)],BA113,RZ[Úroveň 5 (P0)],BB113,RZ[Úroveň 6 (P0)],BC113),RZ[[#This Row],[Koeficient odhadu HR '[-'] (P1)]]*$BM113*$IG113)</f>
        <v>0</v>
      </c>
      <c r="CM113" s="138">
        <f ca="1">IF(OFFSET(BD113,1,0,1,1)&lt;&gt;0,$BM113*SUMIFS(RZ[Úroveň 7 bez koef. (P2)],RZ[0],AX113,RZ[Úroveň 2 (P0)],AY113,RZ[Úroveň 3 (P0)],AZ113,RZ[Úroveň 4 (P0)],BA113,RZ[Úroveň 5 (P0)],BB113,RZ[Úroveň 6 (P0)],BC113),$BM113*$IG113)</f>
        <v>0</v>
      </c>
      <c r="CN113" s="132">
        <f ca="1">RZ[[#This Row],[Úroveň 7 s koef. (P2a)]]*RZ[[#This Row],[Počet MJHR (P0)]]</f>
        <v>0</v>
      </c>
      <c r="CO113" s="132">
        <f ca="1">RZ[Úroveň 7 bez koef. (P2a)]*RZ[[#This Row],[Počet MJHR (P0)]]</f>
        <v>0</v>
      </c>
      <c r="CP113" s="132">
        <f ca="1">IF(OFFSET(BE113,1,0,1,1)&lt;&gt;0,RZ[[#This Row],[Koeficient odhadu HR '[-'] (P1)]]*$BN113*SUMIFS(RZ[Úroveň 8 s koef. (P2)],RZ[0],AX113,RZ[Úroveň 2 (P0)],AY113,RZ[Úroveň 3 (P0)],AZ113,RZ[Úroveň 4 (P0)],BA113,RZ[Úroveň 5 (P0)],BB113,RZ[Úroveň 6 (P0)],BC113,RZ[Úroveň 7 (P0)],BD113),RZ[[#This Row],[Koeficient odhadu HR '[-'] (P1)]]*$BN113*$IG113)</f>
        <v>0</v>
      </c>
      <c r="CQ113" s="132">
        <f ca="1">IF(OFFSET(BE113,1,0,1,1)&lt;&gt;0,$BN113*SUMIFS(RZ[Úroveň 8 bez koef. (P2)],RZ[0],AX113,RZ[Úroveň 2 (P0)],AY113,RZ[Úroveň 3 (P0)],AZ113,RZ[Úroveň 4 (P0)],BA113,RZ[Úroveň 5 (P0)],BB113,RZ[Úroveň 6 (P0)],BC113,RZ[Úroveň 7 (P0)],BD113),$BN113*$IG113)</f>
        <v>0</v>
      </c>
      <c r="CR113" s="138">
        <f ca="1">RZ[[#This Row],[Úroveň 8 s koef. (P2a)]]*RZ[[#This Row],[Počet MJHR (P0)]]</f>
        <v>0</v>
      </c>
      <c r="CS113" s="138">
        <f ca="1">RZ[Úroveň 8 bez koef. (P2a)]*RZ[[#This Row],[Počet MJHR (P0)]]</f>
        <v>0</v>
      </c>
      <c r="CT113" s="138">
        <f ca="1">IF(OFFSET(BF113,1,0,1,1)&lt;&gt;0,RZ[[#This Row],[Koeficient odhadu HR '[-'] (P1)]]*$BO113*SUMIFS(RZ[Úroveň 9 s koef. (P2)],RZ[0],AX113,RZ[Úroveň 2 (P0)],AY113,RZ[Úroveň 3 (P0)],AZ113,RZ[Úroveň 4 (P0)],BA113,RZ[Úroveň 5 (P0)],BB113,RZ[Úroveň 6 (P0)],BC113,RZ[Úroveň 7 (P0)],BD113,RZ[Úroveň 8 (P0)],BE113),RZ[[#This Row],[Koeficient odhadu HR '[-'] (P1)]]*$BO113*$IG113)</f>
        <v>0</v>
      </c>
      <c r="CU113" s="138">
        <f ca="1">IF(OFFSET(BF113,1,0,1,1)&lt;&gt;0,$BO113*SUMIFS(RZ[Úroveň 9 bez koef. (P2)],RZ[0],AX113,RZ[Úroveň 2 (P0)],AY113,RZ[Úroveň 3 (P0)],AZ113,RZ[Úroveň 4 (P0)],BA113,RZ[Úroveň 5 (P0)],BB113,RZ[Úroveň 6 (P0)],BC113,RZ[Úroveň 7 (P0)],BD113,RZ[Úroveň 8 (P0)],BE113),$BO113*$IG113)</f>
        <v>0</v>
      </c>
      <c r="CV113" s="132">
        <f ca="1">RZ[[#This Row],[Úroveň 9 s koef. (P2a)]]*RZ[[#This Row],[Počet MJHR (P0)]]</f>
        <v>0</v>
      </c>
      <c r="CW113" s="132">
        <f ca="1">RZ[Úroveň 9 bez koef. (P2a)]*RZ[[#This Row],[Počet MJHR (P0)]]</f>
        <v>0</v>
      </c>
      <c r="CX113" s="132">
        <f ca="1">IF(OFFSET(BG113,1,0,1,1)&lt;&gt;0,RZ[[#This Row],[Koeficient odhadu HR '[-'] (P1)]]*$BP113*SUMIFS(RZ[Úroveň 10 s koef. (P2)],RZ[0],AX113,RZ[Úroveň 2 (P0)],AY113,RZ[Úroveň 3 (P0)],AZ113,RZ[Úroveň 4 (P0)],BA113,RZ[Úroveň 5 (P0)],BB113,RZ[Úroveň 6 (P0)],BC113,RZ[Úroveň 7 (P0)],BD113,RZ[Úroveň 8 (P0)],BE113,RZ[Úroveň 9 (P0)],BF113),RZ[[#This Row],[Koeficient odhadu HR '[-'] (P1)]]*$BP113*$IG113)</f>
        <v>0</v>
      </c>
      <c r="CY113" s="132">
        <f ca="1">IF(OFFSET(BG113,1,0,1,1)&lt;&gt;0,$BP113*SUMIFS(RZ[Úroveň 10 bez koef. (P2)],RZ[0],AX113,RZ[Úroveň 2 (P0)],AY113,RZ[Úroveň 3 (P0)],AZ113,RZ[Úroveň 4 (P0)],BA113,RZ[Úroveň 5 (P0)],BB113,RZ[Úroveň 6 (P0)],BC113,RZ[Úroveň 7 (P0)],BD113,RZ[Úroveň 8 (P0)],BE113,RZ[Úroveň 9 (P0)],BF113),$BP113*$IG113)</f>
        <v>0</v>
      </c>
      <c r="CZ113" s="138">
        <f>RZ[[#This Row],[Úroveň 10 s koef. (P2a)]]*RZ[[#This Row],[Počet MJHR (P0)]]</f>
        <v>0</v>
      </c>
      <c r="DA113" s="138">
        <f>RZ[Úroveň 10 bez koef. (P2a)]*RZ[[#This Row],[Počet MJHR (P0)]]</f>
        <v>0</v>
      </c>
      <c r="DB113" s="138">
        <f>RZ[[#This Row],[Koeficient odhadu HR '[-'] (P1)]]*$BQ113*IG113</f>
        <v>0</v>
      </c>
      <c r="DC113" s="231">
        <f t="shared" si="37"/>
        <v>0</v>
      </c>
      <c r="DD113" s="241">
        <f t="shared" ca="1" si="120"/>
        <v>29.585999999999999</v>
      </c>
      <c r="DE113" s="229">
        <f t="shared" ca="1" si="121"/>
        <v>29.585999999999999</v>
      </c>
      <c r="DF113" s="521">
        <f t="shared" si="40"/>
        <v>0</v>
      </c>
      <c r="DG113" s="522">
        <f t="shared" si="41"/>
        <v>2</v>
      </c>
      <c r="DH113" s="522">
        <f t="shared" si="42"/>
        <v>0</v>
      </c>
      <c r="DI113" s="523">
        <f t="shared" si="43"/>
        <v>0</v>
      </c>
      <c r="DJ113" s="524">
        <f t="shared" si="44"/>
        <v>0</v>
      </c>
      <c r="DK113" s="524">
        <f t="shared" si="45"/>
        <v>0</v>
      </c>
      <c r="DL113" s="524">
        <f t="shared" si="46"/>
        <v>0</v>
      </c>
      <c r="DM113" s="524">
        <f t="shared" si="47"/>
        <v>0</v>
      </c>
      <c r="DN113" s="524">
        <f t="shared" si="48"/>
        <v>0</v>
      </c>
      <c r="DO113" s="523">
        <f t="shared" si="49"/>
        <v>0</v>
      </c>
      <c r="DP113" s="525">
        <f ca="1">SUMIFS(RZ[Úroveň 1 (P4)],RZ[0],AX113)</f>
        <v>1</v>
      </c>
      <c r="DQ113" s="525">
        <f ca="1">SUMIFS(RZ[Úroveň 2 (P4)],RZ[0],AX113,RZ[Úroveň 2 (P0)],AY113)</f>
        <v>2</v>
      </c>
      <c r="DR113" s="525">
        <f ca="1">SUMIFS(RZ[Úroveň 3 (P4)],RZ[0],AX113,RZ[Úroveň 2 (P0)],AY113,RZ[Úroveň 3 (P0)],AZ113)</f>
        <v>0</v>
      </c>
      <c r="DS113" s="525">
        <f ca="1">SUMIFS(RZ[Úroveň 4 (P4)],RZ[0],AX113,RZ[Úroveň 2 (P0)],AY113,RZ[Úroveň 3 (P0)],AZ113,RZ[Úroveň 4 (P0)],BA113)</f>
        <v>0</v>
      </c>
      <c r="DT113" s="526">
        <f ca="1">SUMIFS(RZ[Úroveň 5 (P4)],RZ[0],AX113,RZ[Úroveň 2 (P0)],AY113,RZ[Úroveň 3 (P0)],AZ113,RZ[Úroveň 4 (P0)],BA113,RZ[Úroveň 5 (P0)],BB113)</f>
        <v>0</v>
      </c>
      <c r="DU113" s="526">
        <f ca="1">SUMIFS(RZ[Úroveň 6 (P4)],RZ[0],AX113,RZ[Úroveň 2 (P0)],AY113,RZ[Úroveň 3 (P0)],AZ113,RZ[Úroveň 4 (P0)],BA113,RZ[Úroveň 5 (P0)],BB113,RZ[Úroveň 6 (P0)],BC113)</f>
        <v>0</v>
      </c>
      <c r="DV113" s="526">
        <f ca="1">SUMIFS(RZ[Úroveň 7 (P4)],RZ[0],AX113,RZ[Úroveň 2 (P0)],AY113,RZ[Úroveň 3 (P0)],AZ113,RZ[Úroveň 4 (P0)],BA113,RZ[Úroveň 5 (P0)],BB113,RZ[Úroveň 6 (P0)],BC113,RZ[Úroveň 7 (P0)],BD113)</f>
        <v>0</v>
      </c>
      <c r="DW113" s="526">
        <f ca="1">SUMIFS(RZ[Úroveň 8 (P4)],RZ[0],AX113,RZ[Úroveň 2 (P0)],AY113,RZ[Úroveň 3 (P0)],AZ113,RZ[Úroveň 4 (P0)],BA113,RZ[Úroveň 5 (P0)],BB113,RZ[Úroveň 6 (P0)],BC113,RZ[Úroveň 7 (P0)],BD113,RZ[Úroveň 8 (P0)],BE113)</f>
        <v>0</v>
      </c>
      <c r="DX113" s="526">
        <f ca="1">SUMIFS(RZ[Úroveň 9 (P4)],RZ[0],AX113,RZ[Úroveň 2 (P0)],AY113,RZ[Úroveň 3 (P0)],AZ113,RZ[Úroveň 4 (P0)],BA113,RZ[Úroveň 5 (P0)],BB113,RZ[Úroveň 6 (P0)],BC113,RZ[Úroveň 7 (P0)],BD113,RZ[Úroveň 8 (P0)],BE113,RZ[Úroveň 9 (P0)],BF113)</f>
        <v>0</v>
      </c>
      <c r="DY113" s="526">
        <f ca="1">SUMIFS(RZ[Úroveň 10 (P4)],RZ[0],AX113,RZ[Úroveň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DZ113" s="527">
        <f t="shared" ca="1" si="122"/>
        <v>2</v>
      </c>
      <c r="EA113" s="528">
        <f ca="1">RZ[[#This Row],[Jednotková hmotnost bez koef. '[kg/MJHR'] (P0)]]*RZ[[#This Row],[Počet MJHR v rozpadu (P0)]]</f>
        <v>59.171999999999997</v>
      </c>
      <c r="EB113" s="191">
        <f ca="1">IF(OFFSET(AY113,1,0,1,1)&lt;&gt;0,RZ[[#This Row],[Koeficient odhadu CR '[-'] (P1)]]*$BH113*SUMIFS(RZ[Úroveň 2 s koef. (P3)],RZ[0],AX113),RZ[[#This Row],[Koeficient odhadu CR '[-'] (P1)]]*$BH113*$IQ113)</f>
        <v>0</v>
      </c>
      <c r="EC113" s="191">
        <f ca="1">IF(OFFSET(AY113,1,0,1,1)&lt;&gt;0,$BH113*SUMIFS(RZ[Úroveň 2 bez koef. (P3)],RZ[0],AX113),$BH113*$IQ113)</f>
        <v>0</v>
      </c>
      <c r="ED113" s="140">
        <f ca="1">RZ[[#This Row],[Úroveň 2 s koef. (P3a)]]*RZ[[#This Row],[Počet MJCR (P0) pro "kg"]]</f>
        <v>6641.62</v>
      </c>
      <c r="EE113" s="140">
        <f ca="1">RZ[Úroveň 2 bez koef. (P3a)]*RZ[[#This Row],[Počet MJCR (P0) pro "kg"]]</f>
        <v>6641.62</v>
      </c>
      <c r="EF113" s="140">
        <f ca="1">IF(OFFSET(AZ113,1,0,1,1)&lt;&gt;0,RZ[[#This Row],[Koeficient odhadu CR '[-'] (P1)]]*$BI113*SUMIFS(RZ[Úroveň 3 s koef. (P3)],RZ[0],AX113,RZ[Úroveň 2 (P0)],AY113),RZ[[#This Row],[Koeficient odhadu CR '[-'] (P1)]]*$BI113*$IQ113)</f>
        <v>3320.81</v>
      </c>
      <c r="EG113" s="140">
        <f ca="1">IF(OFFSET(AZ113,1,0,1,1)&lt;&gt;0,$BI113*SUMIFS(RZ[Úroveň 3 bez koef. (P3)],RZ[0],AX113,RZ[Úroveň 2 (P0)],AY113),$BI113*$IQ113)</f>
        <v>3320.81</v>
      </c>
      <c r="EH113" s="135">
        <f ca="1">RZ[[#This Row],[Úroveň 3 s koef. (P3a)]]*RZ[[#This Row],[Počet MJCR (P0) pro "kg"]]</f>
        <v>0</v>
      </c>
      <c r="EI113" s="135">
        <f ca="1">RZ[Úroveň 3 bez koef. (P3a)]*RZ[[#This Row],[Počet MJCR (P0) pro "kg"]]</f>
        <v>0</v>
      </c>
      <c r="EJ113" s="135">
        <f ca="1">IF(OFFSET(BA113,1,0,1,1)&lt;&gt;0,RZ[[#This Row],[Koeficient odhadu CR '[-'] (P1)]]*$BJ113*SUMIFS(RZ[Úroveň 4 s koef. (P3)],RZ[0],AX113,RZ[Úroveň 2 (P0)],AY113,RZ[Úroveň 3 (P0)],AZ113),RZ[[#This Row],[Koeficient odhadu CR '[-'] (P1)]]*$BJ113*$IQ113)</f>
        <v>0</v>
      </c>
      <c r="EK113" s="135">
        <f ca="1">IF(OFFSET(BA113,1,0,1,1)&lt;&gt;0,$BJ113*SUMIFS(RZ[Úroveň 4 bez koef. (P3)],RZ[0],AX113,RZ[Úroveň 2 (P0)],AY113,RZ[Úroveň 3 (P0)],AZ113),$BJ113*$IQ113)</f>
        <v>0</v>
      </c>
      <c r="EL113" s="140">
        <f ca="1">RZ[[#This Row],[Úroveň 4 s koef. (P3a)]]*RZ[[#This Row],[Počet MJCR (P0) pro "kg"]]</f>
        <v>0</v>
      </c>
      <c r="EM113" s="140">
        <f ca="1">RZ[Úroveň 4 bez koef. (P3a)]*RZ[[#This Row],[Počet MJCR (P0) pro "kg"]]</f>
        <v>0</v>
      </c>
      <c r="EN113" s="140">
        <f ca="1">IF(OFFSET(BB113,1,0,1,1)&lt;&gt;0,RZ[[#This Row],[Koeficient odhadu CR '[-'] (P1)]]*$BK113*SUMIFS(RZ[Úroveň 5 s koef. (P3)],RZ[0],AX113,RZ[Úroveň 2 (P0)],AY113,RZ[Úroveň 3 (P0)],AZ113,RZ[Úroveň 4 (P0)],BA113),RZ[[#This Row],[Koeficient odhadu CR '[-'] (P1)]]*$BK113*$IQ113)</f>
        <v>0</v>
      </c>
      <c r="EO113" s="140">
        <f ca="1">IF(OFFSET(BB113,1,0,1,1)&lt;&gt;0,$BK113*SUMIFS(RZ[Úroveň 5 bez koef. (P3)],RZ[0],AX113,RZ[Úroveň 2 (P0)],AY113,RZ[Úroveň 3 (P0)],AZ113,RZ[Úroveň 4 (P0)],BA113),$BK113*$IQ113)</f>
        <v>0</v>
      </c>
      <c r="EP113" s="135">
        <f ca="1">RZ[[#This Row],[Úroveň 5 s koef. (P3a)]]*RZ[[#This Row],[Počet MJCR (P0) pro "kg"]]</f>
        <v>0</v>
      </c>
      <c r="EQ113" s="135">
        <f ca="1">RZ[Úroveň 5 bez koef. (P3a)]*RZ[[#This Row],[Počet MJCR (P0) pro "kg"]]</f>
        <v>0</v>
      </c>
      <c r="ER113" s="135">
        <f ca="1">IF(OFFSET(BC113,1,0,1,1)&lt;&gt;0,RZ[[#This Row],[Koeficient odhadu CR '[-'] (P1)]]*$BL113*SUMIFS(RZ[Úroveň 6 s koef. (P3)],RZ[0],AX113,RZ[Úroveň 2 (P0)],AY113,RZ[Úroveň 3 (P0)],AZ113,RZ[Úroveň 4 (P0)],BA113,RZ[Úroveň 5 (P0)],BB113),RZ[[#This Row],[Koeficient odhadu CR '[-'] (P1)]]*$BL113*$IQ113)</f>
        <v>0</v>
      </c>
      <c r="ES113" s="135">
        <f ca="1">IF(OFFSET(BC113,1,0,1,1)&lt;&gt;0,$BL113*SUMIFS(RZ[Úroveň 6 bez koef. (P3)],RZ[0],AX113,RZ[Úroveň 2 (P0)],AY113,RZ[Úroveň 3 (P0)],AZ113,RZ[Úroveň 4 (P0)],BA113,RZ[Úroveň 5 (P0)],BB113),$BL113*$IQ113)</f>
        <v>0</v>
      </c>
      <c r="ET113" s="140">
        <f ca="1">RZ[[#This Row],[Úroveň 6 s koef. (P3a)]]*RZ[[#This Row],[Počet MJCR (P0) pro "kg"]]</f>
        <v>0</v>
      </c>
      <c r="EU113" s="140">
        <f ca="1">RZ[Úroveň 6 bez koef. (P3a)]*RZ[[#This Row],[Počet MJCR (P0) pro "kg"]]</f>
        <v>0</v>
      </c>
      <c r="EV113" s="140">
        <f ca="1">IF(OFFSET(BD113,1,0,1,1)&lt;&gt;0,RZ[[#This Row],[Koeficient odhadu CR '[-'] (P1)]]*$BM113*SUMIFS(RZ[Úroveň 7 s koef. (P3)],RZ[0],AX113,RZ[Úroveň 2 (P0)],AY113,RZ[Úroveň 3 (P0)],AZ113,RZ[Úroveň 4 (P0)],BA113,RZ[Úroveň 5 (P0)],BB113,RZ[Úroveň 6 (P0)],BC113),RZ[[#This Row],[Koeficient odhadu CR '[-'] (P1)]]*$BM113*$IQ113)</f>
        <v>0</v>
      </c>
      <c r="EW113" s="140">
        <f ca="1">IF(OFFSET(BD113,1,0,1,1)&lt;&gt;0,$BM113*SUMIFS(RZ[Úroveň 7 bez koef. (P3)],RZ[0],AX113,RZ[Úroveň 2 (P0)],AY113,RZ[Úroveň 3 (P0)],AZ113,RZ[Úroveň 4 (P0)],BA113,RZ[Úroveň 5 (P0)],BB113,RZ[Úroveň 6 (P0)],BC113),$BM113*$IQ113)</f>
        <v>0</v>
      </c>
      <c r="EX113" s="135">
        <f ca="1">RZ[[#This Row],[Úroveň 7 s koef. (P3a)]]*RZ[[#This Row],[Počet MJCR (P0) pro "kg"]]</f>
        <v>0</v>
      </c>
      <c r="EY113" s="135">
        <f ca="1">RZ[Úroveň 7 bez koef. (P3a)]*RZ[[#This Row],[Počet MJCR (P0) pro "kg"]]</f>
        <v>0</v>
      </c>
      <c r="EZ113" s="135">
        <f ca="1">IF(OFFSET(BE113,1,0,1,1)&lt;&gt;0,RZ[[#This Row],[Koeficient odhadu CR '[-'] (P1)]]*$BN113*SUMIFS(RZ[Úroveň 8 s koef. (P3)],RZ[0],AX113,RZ[Úroveň 2 (P0)],AY113,RZ[Úroveň 3 (P0)],AZ113,RZ[Úroveň 4 (P0)],BA113,RZ[Úroveň 5 (P0)],BB113,RZ[Úroveň 6 (P0)],BC113,RZ[Úroveň 7 (P0)],BD113),RZ[[#This Row],[Koeficient odhadu CR '[-'] (P1)]]*$BN113*$IQ113)</f>
        <v>0</v>
      </c>
      <c r="FA113" s="135">
        <f ca="1">IF(OFFSET(BE113,1,0,1,1)&lt;&gt;0,$BN113*SUMIFS(RZ[Úroveň 8 bez koef. (P3)],RZ[0],AX113,RZ[Úroveň 2 (P0)],AY113,RZ[Úroveň 3 (P0)],AZ113,RZ[Úroveň 4 (P0)],BA113,RZ[Úroveň 5 (P0)],BB113,RZ[Úroveň 6 (P0)],BC113,RZ[Úroveň 7 (P0)],BD113),$BN113*$IQ113)</f>
        <v>0</v>
      </c>
      <c r="FB113" s="140">
        <f ca="1">RZ[[#This Row],[Úroveň 8 s koef. (P3a)]]*RZ[[#This Row],[Počet MJCR (P0) pro "kg"]]</f>
        <v>0</v>
      </c>
      <c r="FC113" s="140">
        <f ca="1">RZ[Úroveň 8 bez koef. (P3a)]*RZ[[#This Row],[Počet MJCR (P0) pro "kg"]]</f>
        <v>0</v>
      </c>
      <c r="FD113" s="140">
        <f ca="1">IF(OFFSET(BF113,1,0,1,1)&lt;&gt;0,RZ[[#This Row],[Koeficient odhadu CR '[-'] (P1)]]*$BO113*SUMIFS(RZ[Úroveň 9 s koef. (P3)],RZ[0],AX113,RZ[Úroveň 2 (P0)],AY113,RZ[Úroveň 3 (P0)],AZ113,RZ[Úroveň 4 (P0)],BA113,RZ[Úroveň 5 (P0)],BB113,RZ[Úroveň 6 (P0)],BC113,RZ[Úroveň 7 (P0)],BD113,RZ[Úroveň 8 (P0)],BE113),RZ[[#This Row],[Koeficient odhadu CR '[-'] (P1)]]*$BO113*$IQ113)</f>
        <v>0</v>
      </c>
      <c r="FE113" s="140">
        <f ca="1">IF(OFFSET(BF113,1,0,1,1)&lt;&gt;0,$BO113*SUMIFS(RZ[Úroveň 9 bez koef. (P3)],RZ[0],AX113,RZ[Úroveň 2 (P0)],AY113,RZ[Úroveň 3 (P0)],AZ113,RZ[Úroveň 4 (P0)],BA113,RZ[Úroveň 5 (P0)],BB113,RZ[Úroveň 6 (P0)],BC113,RZ[Úroveň 7 (P0)],BD113,RZ[Úroveň 8 (P0)],BE113),$BO113*$IQ113)</f>
        <v>0</v>
      </c>
      <c r="FF113" s="135">
        <f ca="1">RZ[[#This Row],[Úroveň 9 s koef. (P3a)]]*RZ[[#This Row],[Počet MJCR (P0) pro "kg"]]</f>
        <v>0</v>
      </c>
      <c r="FG113" s="135">
        <f ca="1">RZ[Úroveň 9 bez koef. (P3a)]*RZ[[#This Row],[Počet MJCR (P0) pro "kg"]]</f>
        <v>0</v>
      </c>
      <c r="FH113" s="135">
        <f ca="1">IF(OFFSET(BG113,1,0,1,1)&lt;&gt;0,RZ[[#This Row],[Koeficient odhadu CR '[-'] (P1)]]*$BP113*SUMIFS(RZ[Úroveň 10 s koef. (P3)],RZ[0],AX113,RZ[Úroveň 2 (P0)],AY113,RZ[Úroveň 3 (P0)],AZ113,RZ[Úroveň 4 (P0)],BA113,RZ[Úroveň 5 (P0)],BB113,RZ[Úroveň 6 (P0)],BC113,RZ[Úroveň 7 (P0)],BD113,RZ[Úroveň 8 (P0)],BE113,RZ[Úroveň 9 (P0)],BF113),RZ[[#This Row],[Koeficient odhadu CR '[-'] (P1)]]*$BP113*$IQ113)</f>
        <v>0</v>
      </c>
      <c r="FI113" s="135">
        <f ca="1">IF(OFFSET(BG113,1,0,1,1)&lt;&gt;0,$BP113*SUMIFS(RZ[Úroveň 10 bez koef. (P3)],RZ[0],AX113,RZ[Úroveň 2 (P0)],AY113,RZ[Úroveň 3 (P0)],AZ113,RZ[Úroveň 4 (P0)],BA113,RZ[Úroveň 5 (P0)],BB113,RZ[Úroveň 6 (P0)],BC113,RZ[Úroveň 7 (P0)],BD113,RZ[Úroveň 8 (P0)],BE113,RZ[Úroveň 9 (P0)],BF113),$BP113*$IQ113)</f>
        <v>0</v>
      </c>
      <c r="FJ113" s="140">
        <f ca="1">RZ[[#This Row],[Úroveň 10 s koef. (P3a)]]*RZ[[#This Row],[Počet MJCR (P0) pro "kg"]]</f>
        <v>0</v>
      </c>
      <c r="FK113" s="140">
        <f ca="1">RZ[Úroveň 10 bez koef. (P3a)]*RZ[[#This Row],[Počet MJCR (P0) pro "kg"]]</f>
        <v>0</v>
      </c>
      <c r="FL113" s="140">
        <f ca="1">RZ[[#This Row],[Koeficient odhadu CR '[-'] (P1)]]*$BQ113*IQ113</f>
        <v>0</v>
      </c>
      <c r="FM113" s="236">
        <f t="shared" ca="1" si="51"/>
        <v>0</v>
      </c>
      <c r="FN113" s="194">
        <f t="shared" ca="1" si="123"/>
        <v>3320.81</v>
      </c>
      <c r="FO113" s="238">
        <f t="shared" ca="1" si="124"/>
        <v>3320.81</v>
      </c>
      <c r="FP113" s="191">
        <f t="shared" ca="1" si="54"/>
        <v>0</v>
      </c>
      <c r="FQ113" s="135">
        <f t="shared" ca="1" si="55"/>
        <v>2</v>
      </c>
      <c r="FR113" s="135">
        <f t="shared" ca="1" si="56"/>
        <v>0</v>
      </c>
      <c r="FS113" s="135">
        <f t="shared" ca="1" si="57"/>
        <v>0</v>
      </c>
      <c r="FT113" s="135">
        <f t="shared" ca="1" si="58"/>
        <v>0</v>
      </c>
      <c r="FU113" s="135">
        <f t="shared" ca="1" si="59"/>
        <v>0</v>
      </c>
      <c r="FV113" s="135">
        <f t="shared" ca="1" si="60"/>
        <v>0</v>
      </c>
      <c r="FW113" s="135">
        <f t="shared" ca="1" si="61"/>
        <v>0</v>
      </c>
      <c r="FX113" s="135">
        <f t="shared" ca="1" si="62"/>
        <v>0</v>
      </c>
      <c r="FY113" s="135">
        <f t="shared" ca="1" si="63"/>
        <v>0</v>
      </c>
      <c r="FZ113" s="140">
        <f ca="1">SUMIFS(RZ[Úroveň 1 (P6)],RZ[0],AX113)</f>
        <v>1</v>
      </c>
      <c r="GA113" s="140">
        <f ca="1">SUMIFS(RZ[Úroveň 2 (P6)],RZ[0],AX113,RZ[Úroveň 2 (P0)],AY113)</f>
        <v>2</v>
      </c>
      <c r="GB113" s="140">
        <f ca="1">SUMIFS(RZ[Úroveň 3 (P6)],RZ[0],AX113,RZ[Úroveň 2 (P0)],AY113,RZ[Úroveň 3 (P0)],AZ113)</f>
        <v>0</v>
      </c>
      <c r="GC113" s="140">
        <f ca="1">SUMIFS(RZ[Úroveň 4 (P6)],RZ[0],AX113,RZ[Úroveň 2 (P0)],AY113,RZ[Úroveň 3 (P0)],AZ113,RZ[Úroveň 4 (P0)],BA113)</f>
        <v>0</v>
      </c>
      <c r="GD113" s="140">
        <f ca="1">SUMIFS(RZ[Úroveň 5 (P6)],RZ[0],AX113,RZ[Úroveň 2 (P0)],AY113,RZ[Úroveň 3 (P0)],AZ113,RZ[Úroveň 4 (P0)],BA113,RZ[Úroveň 5 (P0)],BB113)</f>
        <v>0</v>
      </c>
      <c r="GE113" s="140">
        <f ca="1">SUMIFS(RZ[Úroveň 6 (P6)],RZ[0],AX113,RZ[Úroveň 2 (P0)],AY113,RZ[Úroveň 3 (P0)],AZ113,RZ[Úroveň 4 (P0)],BA113,RZ[Úroveň 5 (P0)],BB113,RZ[Úroveň 6 (P0)],BC113)</f>
        <v>0</v>
      </c>
      <c r="GF113" s="140">
        <f ca="1">SUMIFS(RZ[Úroveň 7 (P6)],RZ[0],AX113,RZ[Úroveň 2 (P0)],AY113,RZ[Úroveň 3 (P0)],AZ113,RZ[Úroveň 4 (P0)],BA113,RZ[Úroveň 5 (P0)],BB113,RZ[Úroveň 6 (P0)],BC113,RZ[Úroveň 7 (P0)],BD113)</f>
        <v>0</v>
      </c>
      <c r="GG113" s="140">
        <f ca="1">SUMIFS(RZ[Úroveň 8 (P6)],RZ[0],AX113,RZ[Úroveň 2 (P0)],AY113,RZ[Úroveň 3 (P0)],AZ113,RZ[Úroveň 4 (P0)],BA113,RZ[Úroveň 5 (P0)],BB113,RZ[Úroveň 6 (P0)],BC113,RZ[Úroveň 7 (P0)],BD113,RZ[Úroveň 8 (P0)],BE113)</f>
        <v>0</v>
      </c>
      <c r="GH113" s="140">
        <f ca="1">SUMIFS(RZ[Úroveň 9 (P6)],RZ[0],AX113,RZ[Úroveň 2 (P0)],AY113,RZ[Úroveň 3 (P0)],AZ113,RZ[Úroveň 4 (P0)],BA113,RZ[Úroveň 5 (P0)],BB113,RZ[Úroveň 6 (P0)],BC113,RZ[Úroveň 7 (P0)],BD113,RZ[Úroveň 8 (P0)],BE113,RZ[Úroveň 9 (P0)],BF113)</f>
        <v>0</v>
      </c>
      <c r="GI113" s="140">
        <f ca="1">SUMIFS(RZ[Úroveň 10 (P6)],RZ[0],AX113,RZ[Úroveň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GJ113" s="194">
        <f t="shared" ca="1" si="125"/>
        <v>2</v>
      </c>
      <c r="GK113" s="807">
        <f t="shared" si="65"/>
        <v>0</v>
      </c>
      <c r="GL113" s="808">
        <f t="shared" si="66"/>
        <v>1</v>
      </c>
      <c r="GM113" s="808">
        <f t="shared" si="67"/>
        <v>0</v>
      </c>
      <c r="GN113" s="808">
        <f t="shared" si="68"/>
        <v>0</v>
      </c>
      <c r="GO113" s="808">
        <f t="shared" si="69"/>
        <v>0</v>
      </c>
      <c r="GP113" s="808">
        <f t="shared" si="70"/>
        <v>0</v>
      </c>
      <c r="GQ113" s="808">
        <f t="shared" si="71"/>
        <v>0</v>
      </c>
      <c r="GR113" s="808">
        <f t="shared" si="72"/>
        <v>0</v>
      </c>
      <c r="GS113" s="808">
        <f t="shared" si="73"/>
        <v>0</v>
      </c>
      <c r="GT113" s="808">
        <f t="shared" si="74"/>
        <v>0</v>
      </c>
      <c r="GU113" s="809">
        <f ca="1">SUMIFS(RZ[Sloupec1],RZ[0],AX113)</f>
        <v>1</v>
      </c>
      <c r="GV113" s="809">
        <f ca="1">SUMIFS(RZ[Sloupec2],RZ[0],AX113,RZ[Úroveň 2 (P0)],AY113)</f>
        <v>1</v>
      </c>
      <c r="GW113" s="809">
        <f ca="1">SUMIFS(RZ[Sloupec3],RZ[0],AX113,RZ[Úroveň 2 (P0)],AY113,RZ[Úroveň 3 (P0)],AZ113)</f>
        <v>0</v>
      </c>
      <c r="GX113" s="809">
        <f ca="1">SUMIFS(RZ[Sloupec4],RZ[0],AX113,RZ[Úroveň 2 (P0)],AY113,RZ[Úroveň 3 (P0)],AZ113,RZ[Úroveň 4 (P0)],BA113)</f>
        <v>0</v>
      </c>
      <c r="GY113" s="809">
        <f ca="1">SUMIFS(RZ[Sloupec5],RZ[0],AX113,RZ[Úroveň 2 (P0)],AY113,RZ[Úroveň 3 (P0)],AZ113,RZ[Úroveň 4 (P0)],BA113,RZ[Úroveň 5 (P0)],BB113)</f>
        <v>0</v>
      </c>
      <c r="GZ113" s="809">
        <f ca="1">SUMIFS(RZ[Sloupec6],RZ[0],AX113,RZ[Úroveň 2 (P0)],AY113,RZ[Úroveň 3 (P0)],AZ113,RZ[Úroveň 4 (P0)],BA113,RZ[Úroveň 5 (P0)],BB113,RZ[Úroveň 6 (P0)],BC113)</f>
        <v>0</v>
      </c>
      <c r="HA113" s="809">
        <f ca="1">SUMIFS(RZ[Sloupec62],RZ[0],AX113,RZ[Úroveň 2 (P0)],AY113,RZ[Úroveň 3 (P0)],AZ113,RZ[Úroveň 4 (P0)],BA113,RZ[Úroveň 5 (P0)],BB113,RZ[Úroveň 6 (P0)],BC113,RZ[Úroveň 7 (P0)],BD113)</f>
        <v>0</v>
      </c>
      <c r="HB113" s="809">
        <f ca="1">SUMIFS(RZ[Sloupec63],RZ[0],AX113,RZ[Úroveň 2 (P0)],AY113,RZ[Úroveň 3 (P0)],AZ113,RZ[Úroveň 4 (P0)],BA113,RZ[Úroveň 5 (P0)],BB113,RZ[Úroveň 6 (P0)],BC113,RZ[Úroveň 7 (P0)],BD113,RZ[Úroveň 8 (P0)],BE113)</f>
        <v>0</v>
      </c>
      <c r="HC113" s="809">
        <f ca="1">SUMIFS(RZ[Sloupec64],RZ[0],AX113,RZ[Úroveň 2 (P0)],AY113,RZ[Úroveň 3 (P0)],AZ113,RZ[Úroveň 4 (P0)],BA113,RZ[Úroveň 5 (P0)],BB113,RZ[Úroveň 6 (P0)],BC113,RZ[Úroveň 7 (P0)],BD113,RZ[Úroveň 8 (P0)],BE113,RZ[Úroveň 9 (P0)],BF113)</f>
        <v>0</v>
      </c>
      <c r="HD113" s="809">
        <f ca="1">SUMIFS(RZ[Sloupec65],RZ[0],AX113,RZ[Úroveň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HE113" s="803">
        <f t="shared" ca="1" si="75"/>
        <v>1</v>
      </c>
      <c r="HF113" s="48" t="str">
        <f t="shared" si="76"/>
        <v/>
      </c>
      <c r="HG113" s="94" t="str">
        <f t="shared" si="77"/>
        <v/>
      </c>
      <c r="HH113" s="95" t="str">
        <f t="shared" si="78"/>
        <v>Čelní opěrná kladka</v>
      </c>
      <c r="HI113" s="95" t="str">
        <f t="shared" si="79"/>
        <v/>
      </c>
      <c r="HJ113" s="96" t="str">
        <f t="shared" si="80"/>
        <v/>
      </c>
      <c r="HK113" s="96" t="str">
        <f t="shared" si="81"/>
        <v/>
      </c>
      <c r="HL113" s="96" t="str">
        <f t="shared" si="82"/>
        <v/>
      </c>
      <c r="HM113" s="96" t="str">
        <f t="shared" si="83"/>
        <v/>
      </c>
      <c r="HN113" s="96" t="str">
        <f t="shared" si="84"/>
        <v/>
      </c>
      <c r="HO113" s="96" t="str">
        <f t="shared" si="85"/>
        <v/>
      </c>
      <c r="HP113" s="96" t="str">
        <f t="shared" si="86"/>
        <v/>
      </c>
      <c r="HQ113" s="145" t="str">
        <f t="shared" si="87"/>
        <v>-</v>
      </c>
      <c r="HR113" s="175" t="str">
        <f t="shared" si="88"/>
        <v/>
      </c>
      <c r="HS113" s="173">
        <f t="shared" si="89"/>
        <v>0</v>
      </c>
      <c r="HT113" s="99">
        <f t="shared" si="90"/>
        <v>0</v>
      </c>
      <c r="HU113" s="99">
        <f t="shared" si="91"/>
        <v>0</v>
      </c>
      <c r="HV113" s="209">
        <f t="shared" si="92"/>
        <v>0</v>
      </c>
      <c r="HW113" s="47">
        <f t="shared" si="93"/>
        <v>0</v>
      </c>
      <c r="HX113" s="46">
        <f t="shared" si="94"/>
        <v>0</v>
      </c>
      <c r="HY113" s="149" t="str">
        <f t="shared" si="95"/>
        <v>S</v>
      </c>
      <c r="HZ113" s="263">
        <f t="shared" si="96"/>
        <v>0</v>
      </c>
      <c r="IA113" s="150">
        <f t="shared" si="97"/>
        <v>1</v>
      </c>
      <c r="IB113" s="319">
        <f t="shared" si="98"/>
        <v>0</v>
      </c>
      <c r="IC113" s="220">
        <f t="shared" si="99"/>
        <v>0</v>
      </c>
      <c r="ID113" s="200" t="str">
        <f t="shared" ca="1" si="100"/>
        <v>--</v>
      </c>
      <c r="IE113" s="201">
        <f t="shared" si="101"/>
        <v>0</v>
      </c>
      <c r="IF113" s="145">
        <f t="shared" si="102"/>
        <v>2</v>
      </c>
      <c r="IG113" s="216">
        <f t="shared" si="103"/>
        <v>0</v>
      </c>
      <c r="IH113" s="217">
        <f t="shared" si="126"/>
        <v>1</v>
      </c>
      <c r="II113" s="224">
        <f ca="1">IF(RZ[[#This Row],[Rozhodný sloupec indikativní ceny]]=1,"kg",IF($IW113=$JL$15,IF(JX113=0,JO113,JX113),IF($IW113=$KE$15,IF(KQ113=0,KH113,KQ113),IF($IW113=$KX$15,IF(LJ113=0,LA113,LJ113),IF($IW113=$LQ$15,IF(MC113=0,LT113,MC113),IF($IW113=$MJ$15,IF(NQ113=0,NH113,NQ113),0))))))</f>
        <v>0</v>
      </c>
      <c r="IJ113" s="224">
        <f ca="1">IF((BH113+OFFSET(BH113,1,1,1,1))=2,RZ[[#This Row],[Počet MJHR (P0)]],IF((BI113+OFFSET(BI113,1,1,1,1))=2,RZ[[#This Row],[Počet MJHR (P0)]],IF((BJ113+OFFSET(BJ113,1,1,1,1))=2,RZ[[#This Row],[Počet MJHR (P0)]],IF((BK113+OFFSET(BK113,1,1,1,1))=2,RZ[[#This Row],[Počet MJHR (P0)]],IF((BL113+OFFSET(BL113,1,1,1,1))=2,RZ[[#This Row],[Počet MJHR (P0)]],IF((BM113+OFFSET(BM113,1,1,1,1))=2,RZ[[#This Row],[Počet MJHR (P0)]],IF((BN113+OFFSET(BN113,1,1,1,1))=2,RZ[[#This Row],[Počet MJHR (P0)]],IF((BO113+OFFSET(BO113,1,1,1,1))=2,RZ[[#This Row],[Počet MJHR (P0)]],IF((BP113+OFFSET(BP113,1,1,1,1))=2,RZ[[#This Row],[Počet MJHR (P0)]],IF((BQ113+OFFSET(BQ113,1,1,1,1))=2,RZ[[#This Row],[Počet MJHR (P0)]],IF(RZ[[#This Row],[Měrná jednotka CR (MJCR) (P0)]]=RZ[[#This Row],[Měrná jednotka HR '[MJHR'] (P0)]],RZ[[#This Row],[Počet MJHR (P0)]],IF($IW113=$JL$15,JY113,IF($IW113=$KE$15,KR113,IF($IW113=$KX$15,LK113,IF($IW113=$LQ$15,MD113,IF($IW113=$MJ$15,NR113,0))))))))))))))))</f>
        <v>2</v>
      </c>
      <c r="IK11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3" s="330">
        <f ca="1">IF(AND(RZ[[#This Row],[Jednotková cena bez DPH '[cena/MJCR'] (P0)]]=0,RZ[[#This Row],[Indikativní jednotková cena '[CZK/kg'] (P1)]]&lt;&gt;0),1,0)</f>
        <v>0</v>
      </c>
      <c r="IM113" s="217">
        <f ca="1">VLOOKUP(RZ[[#This Row],[Kód položek]],INDIKAT_CENA,2,FALSE)</f>
        <v>0</v>
      </c>
      <c r="IN113" s="222">
        <f ca="1">IF(RZ[[#This Row],[Rozhodný sloupec indikativní ceny]]=1,RZ[[#This Row],[Indikativní jednotková cena '[CZK/kg'] (P1)]],RZ[[#This Row],[Jednotková cena bez DPH '[cena/MJCR'] (P0)]])</f>
        <v>0</v>
      </c>
      <c r="IO113" s="222">
        <f t="shared" si="127"/>
        <v>1</v>
      </c>
      <c r="IP113" s="223">
        <f ca="1">IF(RZ[[#This Row],[Rozhodný sloupec indikativní ceny]]=1,1,IF($IW113=$JL$15,KA113,IF($IW113=$KE$15,KT113,IF($IW113=$KX$15,LM113,IF($IW113=$LQ$15,MF113,IF($IW113=$MJ$15,NT113,0))))))</f>
        <v>0</v>
      </c>
      <c r="IQ113" s="225">
        <f ca="1">IF(RZ[[#This Row],[Jednotková cena bez DPH '[cena/MJCR'] (P1)]]="",0,IF(IP113=0,0,(RZ[[#This Row],[Jednotková cena bez DPH '[cena/MJCR'] (P1)]]*VLOOKUP(IP113,$BR$7:$BT$10,3))))</f>
        <v>0</v>
      </c>
      <c r="IR113" s="737"/>
      <c r="IS113" s="627">
        <f>IF(HY113=0,"",VLOOKUP(RZ[[#This Row],[Stav Projekce (P0)]],Vstupy!$E$11:'Vstupy'!$E$11:$H$17,4,FALSE))</f>
        <v>100</v>
      </c>
      <c r="IT113" s="628" t="str">
        <f>IF(RZ[[#This Row],[Stav Projekce (P0)]]=0,"",RZ[[#This Row],[Stav Projekce (P0)]])</f>
        <v>S</v>
      </c>
      <c r="IU113" s="628" t="str">
        <f>IF(RZ[[#This Row],[Stav Nákup (P0)]]=0,"",RZ[[#This Row],[Stav Nákup (P0)]])</f>
        <v/>
      </c>
      <c r="IV113" s="636" t="str">
        <f t="shared" si="128"/>
        <v/>
      </c>
      <c r="IW113" s="641">
        <v>1</v>
      </c>
      <c r="IX113" s="630"/>
      <c r="IY113" s="264"/>
      <c r="IZ113" s="776"/>
      <c r="JA113" s="100" t="s">
        <v>745</v>
      </c>
      <c r="JB113" s="100"/>
      <c r="JC113" s="100"/>
      <c r="JD113" s="100"/>
      <c r="JE113" s="100"/>
      <c r="JF113" s="100"/>
      <c r="JG113" s="100"/>
      <c r="JH113" s="100"/>
      <c r="JI113" s="100"/>
      <c r="JJ113" s="145" t="s">
        <v>231</v>
      </c>
      <c r="JK113" s="529"/>
      <c r="JL113" s="286"/>
      <c r="JM113" s="100"/>
      <c r="JN113" s="100"/>
      <c r="JO113" s="145"/>
      <c r="JP113" s="117">
        <v>2</v>
      </c>
      <c r="JQ113" s="117"/>
      <c r="JR113" s="148">
        <v>1</v>
      </c>
      <c r="JS113" s="145" t="s">
        <v>602</v>
      </c>
      <c r="JT113" s="631"/>
      <c r="JU113" s="148"/>
      <c r="JV113" s="154"/>
      <c r="JW113" s="145"/>
      <c r="JX113" s="210"/>
      <c r="JY113" s="117"/>
      <c r="JZ113" s="662"/>
      <c r="KA113" s="145"/>
      <c r="KB113" s="148"/>
      <c r="KC113" s="148"/>
      <c r="KD113" s="644"/>
      <c r="KE113" s="286"/>
      <c r="KF113" s="100"/>
      <c r="KG113" s="100"/>
      <c r="KH113" s="210"/>
      <c r="KI113" s="117"/>
      <c r="KJ113" s="117"/>
      <c r="KK113" s="148"/>
      <c r="KL113" s="145"/>
      <c r="KM113" s="632"/>
      <c r="KN113" s="148"/>
      <c r="KO113" s="154"/>
      <c r="KP113" s="154"/>
      <c r="KQ113" s="210"/>
      <c r="KR113" s="117"/>
      <c r="KS113" s="211"/>
      <c r="KT113" s="145"/>
      <c r="KU113" s="148"/>
      <c r="KV113" s="148"/>
      <c r="KW113" s="265"/>
      <c r="KX113" s="286"/>
      <c r="KY113" s="100"/>
      <c r="KZ113" s="100"/>
      <c r="LA113" s="210"/>
      <c r="LB113" s="117"/>
      <c r="LC113" s="117"/>
      <c r="LD113" s="148"/>
      <c r="LE113" s="145"/>
      <c r="LF113" s="632"/>
      <c r="LG113" s="148"/>
      <c r="LH113" s="154"/>
      <c r="LI113" s="154"/>
      <c r="LJ113" s="154"/>
      <c r="LK113" s="117"/>
      <c r="LL113" s="211"/>
      <c r="LM113" s="210"/>
      <c r="LN113" s="148"/>
      <c r="LO113" s="148"/>
      <c r="LP113" s="265"/>
      <c r="LQ113" s="286"/>
      <c r="LR113" s="100"/>
      <c r="LS113" s="100"/>
      <c r="LT113" s="210"/>
      <c r="LU113" s="117"/>
      <c r="LV113" s="117"/>
      <c r="LW113" s="148"/>
      <c r="LX113" s="145"/>
      <c r="LY113" s="632"/>
      <c r="LZ113" s="148"/>
      <c r="MA113" s="154"/>
      <c r="MB113" s="154"/>
      <c r="MC113" s="145"/>
      <c r="MD113" s="117"/>
      <c r="ME113" s="211"/>
      <c r="MF113" s="210"/>
      <c r="MG113" s="148"/>
      <c r="MH113" s="148"/>
      <c r="MI113" s="265"/>
      <c r="MJ113" s="647"/>
      <c r="MK113" s="264"/>
      <c r="ML113" s="153"/>
      <c r="MM113" s="153"/>
      <c r="MN113" s="153"/>
      <c r="MO113" s="153"/>
      <c r="MP113" s="153"/>
      <c r="MQ113" s="153"/>
      <c r="MR113" s="153"/>
      <c r="MS113" s="99"/>
      <c r="MT113" s="99"/>
      <c r="MU113" s="99"/>
      <c r="MV113" s="99"/>
      <c r="MW113" s="99"/>
      <c r="MX113" s="99"/>
      <c r="MY113" s="153"/>
      <c r="MZ113" s="153"/>
      <c r="NA113" s="153"/>
      <c r="NB113" s="153"/>
      <c r="NC113" s="153"/>
      <c r="ND113" s="153"/>
      <c r="NE113" s="153"/>
      <c r="NF113" s="153"/>
      <c r="NG113" s="153"/>
      <c r="NH113" s="145" t="str">
        <f t="shared" ref="NH113:NH146" si="823">"ks"</f>
        <v>ks</v>
      </c>
      <c r="NI113" s="779">
        <f>RZ[[#This Row],[Počet ks (K)]]</f>
        <v>0</v>
      </c>
      <c r="NJ113" s="210">
        <f>RZ[[#This Row],[Hmotnost '[kg/ks'] (K)]]</f>
        <v>0</v>
      </c>
      <c r="NK113" s="153"/>
      <c r="NL113" s="153"/>
      <c r="NM113" s="632"/>
      <c r="NN113" s="153"/>
      <c r="NO113" s="153"/>
      <c r="NP113" s="153"/>
      <c r="NQ113" s="153"/>
      <c r="NR113" s="153"/>
      <c r="NS113" s="153"/>
      <c r="NT113" s="153"/>
      <c r="NU113" s="153"/>
      <c r="NV113" s="148"/>
      <c r="NW113" s="633"/>
    </row>
    <row r="114" spans="2:387" ht="15.95" customHeight="1" x14ac:dyDescent="0.35">
      <c r="B114" s="118" t="str">
        <f t="shared" ref="B114:B117" si="824">IF(HF114=0,"",HF114)</f>
        <v/>
      </c>
      <c r="C11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4" s="262" t="str">
        <f t="shared" ref="D114:D117" si="825">IF(HG114&lt;&gt;"",HG114,IF(HH114&lt;&gt;"","  "&amp;HH114,IF(HI114&lt;&gt;"","  "&amp;"  "&amp;HI114,IF(HJ114&lt;&gt;"","  "&amp;"  "&amp;"  "&amp;HJ114,IF(HK114&lt;&gt;"","  "&amp;"  "&amp;"  "&amp;"  "&amp;HK114,IF(HL114&lt;&gt;"","  "&amp;"  "&amp;"  "&amp;"  "&amp;"  "&amp;HL114,IF(HM114&lt;&gt;"","  "&amp;"  "&amp;"  "&amp;"  "&amp;"  "&amp;"  "&amp;HM114,IF(HN114&lt;&gt;"","  "&amp;"  "&amp;"  "&amp;"  "&amp;"  "&amp;"  "&amp;"  "&amp;HN114,IF(HO114&lt;&gt;"","  "&amp;"  "&amp;"  "&amp;"  "&amp;"  "&amp;"  "&amp;"  "&amp;"  "&amp;HO114,IF(HP114&lt;&gt;"","  "&amp;"  "&amp;"  "&amp;"  "&amp;"  "&amp;"  "&amp;"  "&amp;"  "&amp;"  "&amp;HP114,0))))))))))</f>
        <v xml:space="preserve">    Konzola</v>
      </c>
      <c r="E114" s="120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Row],[Kód položek (P2)]]))))))))))</f>
        <v>OKS2</v>
      </c>
      <c r="F114" s="791" t="str">
        <f t="shared" ref="F114:F117" si="826">IF(HS114=0,"N/A",HS114)</f>
        <v>N/A</v>
      </c>
      <c r="G114" s="792" t="str">
        <f t="shared" ref="G114:G117" si="827">IF(HT114=0,"",HT114)</f>
        <v/>
      </c>
      <c r="H114" s="262" t="str">
        <f t="shared" ref="H114:H117" si="828">IF(HU114=0,"",HU114)</f>
        <v/>
      </c>
      <c r="I114" s="123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HR '[MJHR'] (P0)]]))))))))))</f>
        <v>ks</v>
      </c>
      <c r="J114" s="123">
        <f t="shared" ref="J114:J117" si="829">IF(IF114=0,"",IF114)</f>
        <v>1</v>
      </c>
      <c r="K114" s="793">
        <f>RZ[[#This Row],[Koeficient odhadu HR '[-'] (P1)]]</f>
        <v>1</v>
      </c>
      <c r="L114" s="124">
        <f ca="1">RZ[[#This Row],[Jednotková hmotnost s koef. '[kg/MJHR'] (P0)]]</f>
        <v>13.56</v>
      </c>
      <c r="M114" s="794">
        <f t="shared" ref="M114:M117" ca="1" si="830">IF(ISNUMBER(K114),L114/K114*(K114-1),0)</f>
        <v>0</v>
      </c>
      <c r="N114" s="125">
        <f t="shared" ref="N114:N117" ca="1" si="831">IF(ISNUMBER(J114),J114*L114,0)</f>
        <v>13.56</v>
      </c>
      <c r="O114" s="125">
        <f t="shared" ref="O114:O117" ca="1" si="832">IF(ISNUMBER(J114),J114*M114,0)</f>
        <v>0</v>
      </c>
      <c r="P114" s="126" t="str">
        <f t="shared" ref="P114:P117" si="833">IF(HR114=0,"",HR114)</f>
        <v/>
      </c>
      <c r="Q114" s="795">
        <f ca="1">RZ[[#This Row],[Počet MJHR v rozpadu (P0)]]</f>
        <v>2</v>
      </c>
      <c r="R114" s="439" t="str">
        <f t="shared" ref="R114:R117" si="834">IF(HV114&lt;&gt;0,HV114,"")</f>
        <v/>
      </c>
      <c r="S114" s="129" t="str">
        <f t="shared" ref="S114:S117" si="835">IF(HW114&lt;&gt;0,HW114,"")</f>
        <v/>
      </c>
      <c r="T114" s="126" t="str">
        <f t="shared" ref="T114:T117" si="836">IF(HX114=0,"",HX114)</f>
        <v/>
      </c>
      <c r="U114" s="126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CR (MJCR) (P0)]]))))))))))</f>
        <v>kg</v>
      </c>
      <c r="V114" s="575">
        <f t="shared" ref="V114:V117" ca="1" si="837">IF(IK114=0,"",IK114)</f>
        <v>13.56</v>
      </c>
      <c r="W114" s="322">
        <f>RZ[[#This Row],[Koeficient odhadu CR '[-'] (P1)]]</f>
        <v>1</v>
      </c>
      <c r="X114" s="440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Row],[Jednotková cena bez DPH '[cena/MJCR'] (P1)]]*RZ[[#This Row],[Koeficient odhadu CR '[-']]]))))))))))</f>
        <v>110</v>
      </c>
      <c r="Y114" s="440">
        <f t="shared" ref="Y114:Y117" ca="1" si="838">IF(ISNUMBER(X114),-X114/W114*(W114-1),0)</f>
        <v>0</v>
      </c>
      <c r="Z114" s="142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VLOOKUP(IP114,$BR$7:$BS$11,2,FALSE)))))))))))</f>
        <v>CZK</v>
      </c>
      <c r="AA114" s="909">
        <f t="shared" ref="AA114:AA117" ca="1" si="839">GJ114</f>
        <v>27.12</v>
      </c>
      <c r="AB114" s="910">
        <f ca="1">RZ[[#This Row],[Kumulovaný koeficient v rozpadu (P0)]]</f>
        <v>1</v>
      </c>
      <c r="AC114" s="261"/>
      <c r="AD114" s="796">
        <f ca="1">RZ[[#This Row],[Jednotková cena bez DPH '[cena/MJCR'] s koef. (P0)]]/RZ[[#This Row],[Koeficient odhadu CR '[-']]]*RZ[[#This Row],[Kumulovaný koeficient odhadu CR  '[-']]]</f>
        <v>110</v>
      </c>
      <c r="AE114" s="796">
        <f t="shared" ref="AE114:AE117" ca="1" si="840">IF(ISNUMBER(AA114),AA114*AD114,0)*IF(V114="",0,1)</f>
        <v>2983.2000000000003</v>
      </c>
      <c r="AF114" s="796">
        <f ca="1">-IF(ISNUMBER(AA114),RZ[[#This Row],[Celková cena bez DPH (1)]]-RZ[[#This Row],[Jednotková cena bez DPH '[cena/MJCR'] bez koef. (P0)]]*AA114,0)</f>
        <v>0</v>
      </c>
      <c r="AG11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4" s="261"/>
      <c r="AI114" s="796">
        <f ca="1">AD114/VLOOKUP($AJ$13,KURZY,3,FALSE)</f>
        <v>4.0740740740740744</v>
      </c>
      <c r="AJ114" s="796">
        <f ca="1">AE114/VLOOKUP($AJ$13,KURZY,3,FALSE)*IF(V114="",0,1)</f>
        <v>110.48888888888889</v>
      </c>
      <c r="AK114" s="796">
        <f ca="1">AF114/VLOOKUP($AJ$13,KURZY,3,FALSE)</f>
        <v>0</v>
      </c>
      <c r="AL114" s="753">
        <f ca="1">RZ[[#This Row],[Kilogramová cena bez DPH '[cena/kg'] (1)]]/$AK$13</f>
        <v>4.0740740740740744</v>
      </c>
      <c r="AM114" s="261"/>
      <c r="AN114" s="796">
        <f ca="1">AD114/VLOOKUP($AO$13,KURZY,3,FALSE)</f>
        <v>5.3140096618357493</v>
      </c>
      <c r="AO114" s="796">
        <f ca="1">AE114/VLOOKUP($AO$13,KURZY,3,FALSE)*IF(V114="",0,1)</f>
        <v>144.11594202898553</v>
      </c>
      <c r="AP114" s="796">
        <f ca="1">AF114/VLOOKUP($AO$13,KURZY,3,FALSE)</f>
        <v>0</v>
      </c>
      <c r="AQ114" s="753">
        <f ca="1">RZ[[#This Row],[Kilogramová cena bez DPH '[cena/kg'] (1)]]/$AP$13</f>
        <v>5.3140096618357493</v>
      </c>
      <c r="AR114" s="261"/>
      <c r="AS114" s="796">
        <f ca="1">AD114/VLOOKUP($AT$13,KURZY,3,FALSE)</f>
        <v>3.0087527352297592</v>
      </c>
      <c r="AT114" s="796">
        <f ca="1">AE114/VLOOKUP($AT$13,KURZY,3,FALSE)*IF(V114="",0,1)</f>
        <v>81.597374179431071</v>
      </c>
      <c r="AU114" s="789">
        <f ca="1">AF114/VLOOKUP($AT$13,KURZY,3,FALSE)</f>
        <v>0</v>
      </c>
      <c r="AV114" s="767">
        <f ca="1">RZ[[#This Row],[Kilogramová cena bez DPH '[cena/kg'] (1)]]/$AU$13</f>
        <v>3.0087527352297592</v>
      </c>
      <c r="AW114" s="165"/>
      <c r="AX114" s="911">
        <f t="shared" ref="AX114:AX117" ca="1" si="841">IF($BH114=0,IF(AY114&gt;0,OFFSET(AX114,-1,0,1,1),0),OFFSET(AX114,-1,0,1,1)+1)</f>
        <v>2</v>
      </c>
      <c r="AY114" s="111">
        <f t="shared" ref="AY114:AY117" ca="1" si="842">IF($BI114=0,IF(AZ114&gt;0,OFFSET(AY114,-1,0,1,1),0),OFFSET(AY114,-1,0,1,1)+1)</f>
        <v>9</v>
      </c>
      <c r="AZ114" s="111">
        <f t="shared" ref="AZ114:AZ117" ca="1" si="843">IF($BJ114=0,IF(BA114&gt;0,OFFSET(AZ114,-1,0,1,1),0),OFFSET(AZ114,-1,0,1,1)+1)</f>
        <v>1</v>
      </c>
      <c r="BA114" s="111">
        <f t="shared" ref="BA114:BA117" ca="1" si="844">IF($BK114=0,IF(BB114&gt;0,OFFSET(BA114,-1,0,1,1),0),OFFSET(BA114,-1,0,1,1)+1)</f>
        <v>0</v>
      </c>
      <c r="BB114" s="111">
        <f t="shared" ref="BB114:BB117" ca="1" si="845">IF($BL114=0,IF(BC114&gt;0,OFFSET(BB114,-1,0,1,1),0),OFFSET(BB114,-1,0,1,1)+1)</f>
        <v>0</v>
      </c>
      <c r="BC114" s="111">
        <f t="shared" ref="BC114:BC117" ca="1" si="846">IF($BM114=0,IF(BD114&gt;0,OFFSET(BC114,-1,0,1,1),0),OFFSET(BC114,-1,0,1,1)+1)</f>
        <v>0</v>
      </c>
      <c r="BD114" s="111">
        <f t="shared" ref="BD114:BD117" ca="1" si="847">IF($BN114=0,IF(BE114&gt;0,OFFSET(BD114,-1,0,1,1),0),OFFSET(BD114,-1,0,1,1)+1)</f>
        <v>0</v>
      </c>
      <c r="BE114" s="111">
        <f t="shared" ref="BE114:BE117" ca="1" si="848">IF($BO114=0,IF(BF114&gt;0,OFFSET(BE114,-1,0,1,1),0),OFFSET(BE114,-1,0,1,1)+1)</f>
        <v>0</v>
      </c>
      <c r="BF114" s="111">
        <f t="shared" ref="BF114:BF117" ca="1" si="849">IF($BP114=0,IF(BG114&gt;0,OFFSET(BF114,-1,0,1,1),0),OFFSET(BF114,-1,0,1,1)+1)</f>
        <v>0</v>
      </c>
      <c r="BG114" s="112">
        <f t="shared" ref="BG114:BG117" ca="1" si="850">IF($BQ114=0,0,OFFSET($BG114,-1,0,1,1)+1)</f>
        <v>0</v>
      </c>
      <c r="BH114" s="911">
        <f t="shared" ref="BH114:BH117" si="851">IF(HG114="",0,1)</f>
        <v>0</v>
      </c>
      <c r="BI114" s="111">
        <f t="shared" ref="BI114:BI117" si="852">IF(HH114="",0,1)</f>
        <v>0</v>
      </c>
      <c r="BJ114" s="111">
        <f t="shared" ref="BJ114:BJ117" si="853">IF(HI114="",0,1)</f>
        <v>1</v>
      </c>
      <c r="BK114" s="111">
        <f t="shared" ref="BK114:BK117" si="854">IF(HJ114="",0,1)</f>
        <v>0</v>
      </c>
      <c r="BL114" s="111">
        <f t="shared" ref="BL114:BL117" si="855">IF(HK114="",0,1)</f>
        <v>0</v>
      </c>
      <c r="BM114" s="111">
        <f t="shared" ref="BM114:BM117" si="856">IF(HL114="",0,1)</f>
        <v>0</v>
      </c>
      <c r="BN114" s="111">
        <f t="shared" ref="BN114:BN117" si="857">IF(HM114="",0,1)</f>
        <v>0</v>
      </c>
      <c r="BO114" s="111">
        <f t="shared" ref="BO114:BO117" si="858">IF(HN114="",0,1)</f>
        <v>0</v>
      </c>
      <c r="BP114" s="111">
        <f t="shared" ref="BP114:BP117" si="859">IF(HO114="",0,1)</f>
        <v>0</v>
      </c>
      <c r="BQ114" s="112">
        <f t="shared" ref="BQ114:BQ117" si="860">IF(HP114="",0,1)</f>
        <v>0</v>
      </c>
      <c r="BR114" s="132">
        <f ca="1">IF(OFFSET(AY114,1,0,1,1)&lt;&gt;0,RZ[[#This Row],[Koeficient odhadu HR '[-'] (P1)]]*$BH114*SUMIFS(RZ[Úroveň 2 s koef. (P2)],RZ[0],AX114),RZ[[#This Row],[Koeficient odhadu HR '[-'] (P1)]]*$BH114*$IG114)</f>
        <v>0</v>
      </c>
      <c r="BS114" s="186">
        <f ca="1">IF(OFFSET(AY114,1,0,1,1)&lt;&gt;0,$BH114*SUMIFS(RZ[Úroveň 2 bez koef. (P2)],RZ[0],AX114),$BH114*$IG114)</f>
        <v>0</v>
      </c>
      <c r="BT114" s="138">
        <f ca="1">RZ[[#This Row],[Úroveň 2 s koef. (P2a)]]*RZ[[#This Row],[Počet MJHR (P0)]]</f>
        <v>0</v>
      </c>
      <c r="BU114" s="138">
        <f ca="1">RZ[[#This Row],[Úroveň 2 bez koef. (P2a)]]*RZ[[#This Row],[Počet MJHR (P0)]]</f>
        <v>0</v>
      </c>
      <c r="BV114" s="138">
        <f ca="1">IF(OFFSET(AZ114,1,0,1,1)&lt;&gt;0,RZ[[#This Row],[Koeficient odhadu HR '[-'] (P1)]]*$BI114*SUMIFS(RZ[Úroveň 3 s koef. (P2)],RZ[0],AX114,RZ[Úroveň 2 (P0)],AY114),RZ[[#This Row],[Koeficient odhadu HR '[-'] (P1)]]*$BI114*$IG114)</f>
        <v>0</v>
      </c>
      <c r="BW114" s="138">
        <f ca="1">IF(OFFSET(AZ114,1,0,1,1)&lt;&gt;0,$BI114*SUMIFS(RZ[Úroveň 3 bez koef. (P2)],RZ[0],AX114,RZ[Úroveň 2 (P0)],AY114),$BI114*$IG114)</f>
        <v>0</v>
      </c>
      <c r="BX114" s="132">
        <f ca="1">RZ[[#This Row],[Úroveň 3 s koef. (P2a)]]*RZ[[#This Row],[Počet MJHR (P0)]]</f>
        <v>13.56</v>
      </c>
      <c r="BY114" s="132">
        <f ca="1">RZ[Úroveň 3 bez koef. (P2a)]*RZ[[#This Row],[Počet MJHR (P0)]]</f>
        <v>13.56</v>
      </c>
      <c r="BZ114" s="132">
        <f ca="1">IF(OFFSET(BA114,1,0,1,1)&lt;&gt;0,RZ[[#This Row],[Koeficient odhadu HR '[-'] (P1)]]*$BJ114*SUMIFS(RZ[Úroveň 4 s koef. (P2)],RZ[0],AX114,RZ[Úroveň 2 (P0)],AY114,RZ[Úroveň 3 (P0)],AZ114),RZ[[#This Row],[Koeficient odhadu HR '[-'] (P1)]]*$BJ114*$IG114)</f>
        <v>13.56</v>
      </c>
      <c r="CA114" s="132">
        <f ca="1">IF(OFFSET(BA114,1,0,1,1)&lt;&gt;0,$BJ114*SUMIFS(RZ[Úroveň 4 bez koef. (P2)],RZ[0],AX114,RZ[Úroveň 2 (P0)],AY114,RZ[Úroveň 3 (P0)],AZ114),$BJ114*$IG114)</f>
        <v>13.56</v>
      </c>
      <c r="CB114" s="138">
        <f ca="1">RZ[[#This Row],[Úroveň 4 s koef. (P2a)]]*RZ[[#This Row],[Počet MJHR (P0)]]</f>
        <v>0</v>
      </c>
      <c r="CC114" s="138">
        <f ca="1">RZ[Úroveň 4 bez koef. (P2a)]*RZ[[#This Row],[Počet MJHR (P0)]]</f>
        <v>0</v>
      </c>
      <c r="CD114" s="138">
        <f ca="1">IF(OFFSET(BB114,1,0,1,1)&lt;&gt;0,RZ[[#This Row],[Koeficient odhadu HR '[-'] (P1)]]*$BK114*SUMIFS(RZ[Úroveň 5 s koef. (P2)],RZ[0],AX114,RZ[Úroveň 2 (P0)],AY114,RZ[Úroveň 3 (P0)],AZ114,RZ[Úroveň 4 (P0)],BA114),RZ[[#This Row],[Koeficient odhadu HR '[-'] (P1)]]*$BK114*$IG114)</f>
        <v>0</v>
      </c>
      <c r="CE114" s="138">
        <f ca="1">IF(OFFSET(BB114,1,0,1,1)&lt;&gt;0,$BK114*SUMIFS(RZ[Úroveň 5 bez koef. (P2)],RZ[0],AX114,RZ[Úroveň 2 (P0)],AY114,RZ[Úroveň 3 (P0)],AZ114,RZ[Úroveň 4 (P0)],BA114),$BK114*$IG114)</f>
        <v>0</v>
      </c>
      <c r="CF114" s="132">
        <f ca="1">RZ[[#This Row],[Úroveň 5 s koef. (P2a)]]*RZ[[#This Row],[Počet MJHR (P0)]]</f>
        <v>0</v>
      </c>
      <c r="CG114" s="132">
        <f ca="1">RZ[Úroveň 5 bez koef. (P2a)]*RZ[[#This Row],[Počet MJHR (P0)]]</f>
        <v>0</v>
      </c>
      <c r="CH114" s="132">
        <f ca="1">IF(OFFSET(BC114,1,0,1,1)&lt;&gt;0,RZ[[#This Row],[Koeficient odhadu HR '[-'] (P1)]]*$BL114*SUMIFS(RZ[Úroveň 6 s koef. (P2)],RZ[0],AX114,RZ[Úroveň 2 (P0)],AY114,RZ[Úroveň 3 (P0)],AZ114,RZ[Úroveň 4 (P0)],BA114,RZ[Úroveň 5 (P0)],BB114),RZ[[#This Row],[Koeficient odhadu HR '[-'] (P1)]]*$BL114*$IG114)</f>
        <v>0</v>
      </c>
      <c r="CI114" s="132">
        <f ca="1">IF(OFFSET(BC114,1,0,1,1)&lt;&gt;0,$BL114*SUMIFS(RZ[Úroveň 6 bez koef. (P2)],RZ[0],AX114,RZ[Úroveň 2 (P0)],AY114,RZ[Úroveň 3 (P0)],AZ114,RZ[Úroveň 4 (P0)],BA114,RZ[Úroveň 5 (P0)],BB114),$BL114*$IG114)</f>
        <v>0</v>
      </c>
      <c r="CJ114" s="138">
        <f ca="1">RZ[[#This Row],[Úroveň 6 s koef. (P2a)]]*RZ[[#This Row],[Počet MJHR (P0)]]</f>
        <v>0</v>
      </c>
      <c r="CK114" s="138">
        <f ca="1">RZ[Úroveň 6 bez koef. (P2a)]*RZ[[#This Row],[Počet MJHR (P0)]]</f>
        <v>0</v>
      </c>
      <c r="CL114" s="138">
        <f ca="1">IF(OFFSET(BD114,1,0,1,1)&lt;&gt;0,RZ[[#This Row],[Koeficient odhadu HR '[-'] (P1)]]*$BM114*SUMIFS(RZ[Úroveň 7 s koef. (P2)],RZ[0],AX114,RZ[Úroveň 2 (P0)],AY114,RZ[Úroveň 3 (P0)],AZ114,RZ[Úroveň 4 (P0)],BA114,RZ[Úroveň 5 (P0)],BB114,RZ[Úroveň 6 (P0)],BC114),RZ[[#This Row],[Koeficient odhadu HR '[-'] (P1)]]*$BM114*$IG114)</f>
        <v>0</v>
      </c>
      <c r="CM114" s="138">
        <f ca="1">IF(OFFSET(BD114,1,0,1,1)&lt;&gt;0,$BM114*SUMIFS(RZ[Úroveň 7 bez koef. (P2)],RZ[0],AX114,RZ[Úroveň 2 (P0)],AY114,RZ[Úroveň 3 (P0)],AZ114,RZ[Úroveň 4 (P0)],BA114,RZ[Úroveň 5 (P0)],BB114,RZ[Úroveň 6 (P0)],BC114),$BM114*$IG114)</f>
        <v>0</v>
      </c>
      <c r="CN114" s="132">
        <f ca="1">RZ[[#This Row],[Úroveň 7 s koef. (P2a)]]*RZ[[#This Row],[Počet MJHR (P0)]]</f>
        <v>0</v>
      </c>
      <c r="CO114" s="132">
        <f ca="1">RZ[Úroveň 7 bez koef. (P2a)]*RZ[[#This Row],[Počet MJHR (P0)]]</f>
        <v>0</v>
      </c>
      <c r="CP114" s="132">
        <f ca="1">IF(OFFSET(BE114,1,0,1,1)&lt;&gt;0,RZ[[#This Row],[Koeficient odhadu HR '[-'] (P1)]]*$BN114*SUMIFS(RZ[Úroveň 8 s koef. (P2)],RZ[0],AX114,RZ[Úroveň 2 (P0)],AY114,RZ[Úroveň 3 (P0)],AZ114,RZ[Úroveň 4 (P0)],BA114,RZ[Úroveň 5 (P0)],BB114,RZ[Úroveň 6 (P0)],BC114,RZ[Úroveň 7 (P0)],BD114),RZ[[#This Row],[Koeficient odhadu HR '[-'] (P1)]]*$BN114*$IG114)</f>
        <v>0</v>
      </c>
      <c r="CQ114" s="132">
        <f ca="1">IF(OFFSET(BE114,1,0,1,1)&lt;&gt;0,$BN114*SUMIFS(RZ[Úroveň 8 bez koef. (P2)],RZ[0],AX114,RZ[Úroveň 2 (P0)],AY114,RZ[Úroveň 3 (P0)],AZ114,RZ[Úroveň 4 (P0)],BA114,RZ[Úroveň 5 (P0)],BB114,RZ[Úroveň 6 (P0)],BC114,RZ[Úroveň 7 (P0)],BD114),$BN114*$IG114)</f>
        <v>0</v>
      </c>
      <c r="CR114" s="138">
        <f ca="1">RZ[[#This Row],[Úroveň 8 s koef. (P2a)]]*RZ[[#This Row],[Počet MJHR (P0)]]</f>
        <v>0</v>
      </c>
      <c r="CS114" s="138">
        <f ca="1">RZ[Úroveň 8 bez koef. (P2a)]*RZ[[#This Row],[Počet MJHR (P0)]]</f>
        <v>0</v>
      </c>
      <c r="CT114" s="138">
        <f ca="1">IF(OFFSET(BF114,1,0,1,1)&lt;&gt;0,RZ[[#This Row],[Koeficient odhadu HR '[-'] (P1)]]*$BO114*SUMIFS(RZ[Úroveň 9 s koef. (P2)],RZ[0],AX114,RZ[Úroveň 2 (P0)],AY114,RZ[Úroveň 3 (P0)],AZ114,RZ[Úroveň 4 (P0)],BA114,RZ[Úroveň 5 (P0)],BB114,RZ[Úroveň 6 (P0)],BC114,RZ[Úroveň 7 (P0)],BD114,RZ[Úroveň 8 (P0)],BE114),RZ[[#This Row],[Koeficient odhadu HR '[-'] (P1)]]*$BO114*$IG114)</f>
        <v>0</v>
      </c>
      <c r="CU114" s="138">
        <f ca="1">IF(OFFSET(BF114,1,0,1,1)&lt;&gt;0,$BO114*SUMIFS(RZ[Úroveň 9 bez koef. (P2)],RZ[0],AX114,RZ[Úroveň 2 (P0)],AY114,RZ[Úroveň 3 (P0)],AZ114,RZ[Úroveň 4 (P0)],BA114,RZ[Úroveň 5 (P0)],BB114,RZ[Úroveň 6 (P0)],BC114,RZ[Úroveň 7 (P0)],BD114,RZ[Úroveň 8 (P0)],BE114),$BO114*$IG114)</f>
        <v>0</v>
      </c>
      <c r="CV114" s="132">
        <f ca="1">RZ[[#This Row],[Úroveň 9 s koef. (P2a)]]*RZ[[#This Row],[Počet MJHR (P0)]]</f>
        <v>0</v>
      </c>
      <c r="CW114" s="132">
        <f ca="1">RZ[Úroveň 9 bez koef. (P2a)]*RZ[[#This Row],[Počet MJHR (P0)]]</f>
        <v>0</v>
      </c>
      <c r="CX114" s="132">
        <f ca="1">IF(OFFSET(BG114,1,0,1,1)&lt;&gt;0,RZ[[#This Row],[Koeficient odhadu HR '[-'] (P1)]]*$BP114*SUMIFS(RZ[Úroveň 10 s koef. (P2)],RZ[0],AX114,RZ[Úroveň 2 (P0)],AY114,RZ[Úroveň 3 (P0)],AZ114,RZ[Úroveň 4 (P0)],BA114,RZ[Úroveň 5 (P0)],BB114,RZ[Úroveň 6 (P0)],BC114,RZ[Úroveň 7 (P0)],BD114,RZ[Úroveň 8 (P0)],BE114,RZ[Úroveň 9 (P0)],BF114),RZ[[#This Row],[Koeficient odhadu HR '[-'] (P1)]]*$BP114*$IG114)</f>
        <v>0</v>
      </c>
      <c r="CY114" s="132">
        <f ca="1">IF(OFFSET(BG114,1,0,1,1)&lt;&gt;0,$BP114*SUMIFS(RZ[Úroveň 10 bez koef. (P2)],RZ[0],AX114,RZ[Úroveň 2 (P0)],AY114,RZ[Úroveň 3 (P0)],AZ114,RZ[Úroveň 4 (P0)],BA114,RZ[Úroveň 5 (P0)],BB114,RZ[Úroveň 6 (P0)],BC114,RZ[Úroveň 7 (P0)],BD114,RZ[Úroveň 8 (P0)],BE114,RZ[Úroveň 9 (P0)],BF114),$BP114*$IG114)</f>
        <v>0</v>
      </c>
      <c r="CZ114" s="138">
        <f>RZ[[#This Row],[Úroveň 10 s koef. (P2a)]]*RZ[[#This Row],[Počet MJHR (P0)]]</f>
        <v>0</v>
      </c>
      <c r="DA114" s="138">
        <f>RZ[Úroveň 10 bez koef. (P2a)]*RZ[[#This Row],[Počet MJHR (P0)]]</f>
        <v>0</v>
      </c>
      <c r="DB114" s="138">
        <f>RZ[[#This Row],[Koeficient odhadu HR '[-'] (P1)]]*$BQ114*IG114</f>
        <v>0</v>
      </c>
      <c r="DC114" s="231">
        <f t="shared" ref="DC114:DC117" si="861">$BQ114*IG114</f>
        <v>0</v>
      </c>
      <c r="DD114" s="241">
        <f t="shared" ref="DD114:DD117" ca="1" si="862">IF(BH114=1,BR114,IF(BI114=1,BV114,IF(BJ114=1,BZ114,IF(BK114=1,CD114,IF(BL114=1,CH114,IF(BM114=1,CL114,IF(BN114=1,CP114,IF(BO114=1,CT114,IF(BP114=1,CX114,DB114)))))))))</f>
        <v>13.56</v>
      </c>
      <c r="DE114" s="229">
        <f t="shared" ref="DE114:DE117" ca="1" si="863">IF(BH114=1,BS114,IF(BI114=1,BW114,IF(BJ114=1,CA114,IF(BK114=1,CE114,IF(BL114=1,CI114,IF(BM114=1,CM114,IF(BN114=1,CQ114,IF(BO114=1,CU114,IF(BP114=1,CY114,DC114)))))))))</f>
        <v>13.56</v>
      </c>
      <c r="DF114" s="912">
        <f t="shared" ref="DF114:DF117" si="864">BH114*$IF114</f>
        <v>0</v>
      </c>
      <c r="DG114" s="913">
        <f t="shared" ref="DG114:DG117" si="865">BI114*$IF114</f>
        <v>0</v>
      </c>
      <c r="DH114" s="913">
        <f t="shared" ref="DH114:DH117" si="866">BJ114*$IF114</f>
        <v>1</v>
      </c>
      <c r="DI114" s="913">
        <f t="shared" ref="DI114:DI117" si="867">BK114*$IF114</f>
        <v>0</v>
      </c>
      <c r="DJ114" s="913">
        <f t="shared" ref="DJ114:DJ117" si="868">BL114*$IF114</f>
        <v>0</v>
      </c>
      <c r="DK114" s="913">
        <f t="shared" ref="DK114:DK117" si="869">BM114*$IF114</f>
        <v>0</v>
      </c>
      <c r="DL114" s="913">
        <f t="shared" ref="DL114:DL117" si="870">BN114*$IF114</f>
        <v>0</v>
      </c>
      <c r="DM114" s="913">
        <f t="shared" ref="DM114:DM117" si="871">BO114*$IF114</f>
        <v>0</v>
      </c>
      <c r="DN114" s="913">
        <f t="shared" ref="DN114:DN117" si="872">BP114*$IF114</f>
        <v>0</v>
      </c>
      <c r="DO114" s="913">
        <f t="shared" ref="DO114:DO117" si="873">BQ114*$IF114</f>
        <v>0</v>
      </c>
      <c r="DP114" s="914">
        <f ca="1">SUMIFS(RZ[Úroveň 1 (P4)],RZ[0],AX114)</f>
        <v>1</v>
      </c>
      <c r="DQ114" s="914">
        <f ca="1">SUMIFS(RZ[Úroveň 2 (P4)],RZ[0],AX114,RZ[Úroveň 2 (P0)],AY114)</f>
        <v>2</v>
      </c>
      <c r="DR114" s="914">
        <f ca="1">SUMIFS(RZ[Úroveň 3 (P4)],RZ[0],AX114,RZ[Úroveň 2 (P0)],AY114,RZ[Úroveň 3 (P0)],AZ114)</f>
        <v>1</v>
      </c>
      <c r="DS114" s="914">
        <f ca="1">SUMIFS(RZ[Úroveň 4 (P4)],RZ[0],AX114,RZ[Úroveň 2 (P0)],AY114,RZ[Úroveň 3 (P0)],AZ114,RZ[Úroveň 4 (P0)],BA114)</f>
        <v>0</v>
      </c>
      <c r="DT114" s="914">
        <f ca="1">SUMIFS(RZ[Úroveň 5 (P4)],RZ[0],AX114,RZ[Úroveň 2 (P0)],AY114,RZ[Úroveň 3 (P0)],AZ114,RZ[Úroveň 4 (P0)],BA114,RZ[Úroveň 5 (P0)],BB114)</f>
        <v>0</v>
      </c>
      <c r="DU114" s="914">
        <f ca="1">SUMIFS(RZ[Úroveň 6 (P4)],RZ[0],AX114,RZ[Úroveň 2 (P0)],AY114,RZ[Úroveň 3 (P0)],AZ114,RZ[Úroveň 4 (P0)],BA114,RZ[Úroveň 5 (P0)],BB114,RZ[Úroveň 6 (P0)],BC114)</f>
        <v>0</v>
      </c>
      <c r="DV114" s="914">
        <f ca="1">SUMIFS(RZ[Úroveň 7 (P4)],RZ[0],AX114,RZ[Úroveň 2 (P0)],AY114,RZ[Úroveň 3 (P0)],AZ114,RZ[Úroveň 4 (P0)],BA114,RZ[Úroveň 5 (P0)],BB114,RZ[Úroveň 6 (P0)],BC114,RZ[Úroveň 7 (P0)],BD114)</f>
        <v>0</v>
      </c>
      <c r="DW114" s="914">
        <f ca="1">SUMIFS(RZ[Úroveň 8 (P4)],RZ[0],AX114,RZ[Úroveň 2 (P0)],AY114,RZ[Úroveň 3 (P0)],AZ114,RZ[Úroveň 4 (P0)],BA114,RZ[Úroveň 5 (P0)],BB114,RZ[Úroveň 6 (P0)],BC114,RZ[Úroveň 7 (P0)],BD114,RZ[Úroveň 8 (P0)],BE114)</f>
        <v>0</v>
      </c>
      <c r="DX114" s="914">
        <f ca="1">SUMIFS(RZ[Úroveň 9 (P4)],RZ[0],AX114,RZ[Úroveň 2 (P0)],AY114,RZ[Úroveň 3 (P0)],AZ114,RZ[Úroveň 4 (P0)],BA114,RZ[Úroveň 5 (P0)],BB114,RZ[Úroveň 6 (P0)],BC114,RZ[Úroveň 7 (P0)],BD114,RZ[Úroveň 8 (P0)],BE114,RZ[Úroveň 9 (P0)],BF114)</f>
        <v>0</v>
      </c>
      <c r="DY114" s="914">
        <f ca="1">SUMIFS(RZ[Úroveň 10 (P4)],RZ[0],AX114,RZ[Úroveň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DZ114" s="915">
        <f t="shared" ref="DZ114:DZ117" ca="1" si="874">IF(DP114&lt;&gt;0,DP114,1)*IF(DQ114&lt;&gt;0,DQ114,1)*IF(DR114&lt;&gt;0,DR114,1)*IF(DS114&lt;&gt;0,DS114,1)*IF(DT114&lt;&gt;0,DT114,1)*IF(DU114&lt;&gt;0,DU114,1)*IF(DV114&lt;&gt;0,DV114,1)*IF(DW114&lt;&gt;0,DW114,1)*IF(DX114&lt;&gt;0,DX114,1)*IF(DY114&lt;&gt;0,DY114,1)</f>
        <v>2</v>
      </c>
      <c r="EA114" s="916">
        <f ca="1">RZ[[#This Row],[Jednotková hmotnost bez koef. '[kg/MJHR'] (P0)]]*RZ[[#This Row],[Počet MJHR v rozpadu (P0)]]</f>
        <v>27.12</v>
      </c>
      <c r="EB114" s="917">
        <f ca="1">IF(OFFSET(AY114,1,0,1,1)&lt;&gt;0,RZ[[#This Row],[Koeficient odhadu CR '[-'] (P1)]]*$BH114*SUMIFS(RZ[Úroveň 2 s koef. (P3)],RZ[0],AX114),RZ[[#This Row],[Koeficient odhadu CR '[-'] (P1)]]*$BH114*$IQ114)</f>
        <v>0</v>
      </c>
      <c r="EC114" s="191">
        <f ca="1">IF(OFFSET(AY114,1,0,1,1)&lt;&gt;0,$BH114*SUMIFS(RZ[Úroveň 2 bez koef. (P3)],RZ[0],AX114),$BH114*$IQ114)</f>
        <v>0</v>
      </c>
      <c r="ED114" s="140">
        <f ca="1">RZ[[#This Row],[Úroveň 2 s koef. (P3a)]]*RZ[[#This Row],[Počet MJCR (P0) pro "kg"]]</f>
        <v>0</v>
      </c>
      <c r="EE114" s="140">
        <f ca="1">RZ[Úroveň 2 bez koef. (P3a)]*RZ[[#This Row],[Počet MJCR (P0) pro "kg"]]</f>
        <v>0</v>
      </c>
      <c r="EF114" s="140">
        <f ca="1">IF(OFFSET(AZ114,1,0,1,1)&lt;&gt;0,RZ[[#This Row],[Koeficient odhadu CR '[-'] (P1)]]*$BI114*SUMIFS(RZ[Úroveň 3 s koef. (P3)],RZ[0],AX114,RZ[Úroveň 2 (P0)],AY114),RZ[[#This Row],[Koeficient odhadu CR '[-'] (P1)]]*$BI114*$IQ114)</f>
        <v>0</v>
      </c>
      <c r="EG114" s="140">
        <f ca="1">IF(OFFSET(AZ114,1,0,1,1)&lt;&gt;0,$BI114*SUMIFS(RZ[Úroveň 3 bez koef. (P3)],RZ[0],AX114,RZ[Úroveň 2 (P0)],AY114),$BI114*$IQ114)</f>
        <v>0</v>
      </c>
      <c r="EH114" s="135">
        <f ca="1">RZ[[#This Row],[Úroveň 3 s koef. (P3a)]]*RZ[[#This Row],[Počet MJCR (P0) pro "kg"]]</f>
        <v>1491.6000000000001</v>
      </c>
      <c r="EI114" s="135">
        <f ca="1">RZ[Úroveň 3 bez koef. (P3a)]*RZ[[#This Row],[Počet MJCR (P0) pro "kg"]]</f>
        <v>1491.6000000000001</v>
      </c>
      <c r="EJ114" s="135">
        <f ca="1">IF(OFFSET(BA114,1,0,1,1)&lt;&gt;0,RZ[[#This Row],[Koeficient odhadu CR '[-'] (P1)]]*$BJ114*SUMIFS(RZ[Úroveň 4 s koef. (P3)],RZ[0],AX114,RZ[Úroveň 2 (P0)],AY114,RZ[Úroveň 3 (P0)],AZ114),RZ[[#This Row],[Koeficient odhadu CR '[-'] (P1)]]*$BJ114*$IQ114)</f>
        <v>110</v>
      </c>
      <c r="EK114" s="135">
        <f ca="1">IF(OFFSET(BA114,1,0,1,1)&lt;&gt;0,$BJ114*SUMIFS(RZ[Úroveň 4 bez koef. (P3)],RZ[0],AX114,RZ[Úroveň 2 (P0)],AY114,RZ[Úroveň 3 (P0)],AZ114),$BJ114*$IQ114)</f>
        <v>110</v>
      </c>
      <c r="EL114" s="140">
        <f ca="1">RZ[[#This Row],[Úroveň 4 s koef. (P3a)]]*RZ[[#This Row],[Počet MJCR (P0) pro "kg"]]</f>
        <v>0</v>
      </c>
      <c r="EM114" s="140">
        <f ca="1">RZ[Úroveň 4 bez koef. (P3a)]*RZ[[#This Row],[Počet MJCR (P0) pro "kg"]]</f>
        <v>0</v>
      </c>
      <c r="EN114" s="140">
        <f ca="1">IF(OFFSET(BB114,1,0,1,1)&lt;&gt;0,RZ[[#This Row],[Koeficient odhadu CR '[-'] (P1)]]*$BK114*SUMIFS(RZ[Úroveň 5 s koef. (P3)],RZ[0],AX114,RZ[Úroveň 2 (P0)],AY114,RZ[Úroveň 3 (P0)],AZ114,RZ[Úroveň 4 (P0)],BA114),RZ[[#This Row],[Koeficient odhadu CR '[-'] (P1)]]*$BK114*$IQ114)</f>
        <v>0</v>
      </c>
      <c r="EO114" s="140">
        <f ca="1">IF(OFFSET(BB114,1,0,1,1)&lt;&gt;0,$BK114*SUMIFS(RZ[Úroveň 5 bez koef. (P3)],RZ[0],AX114,RZ[Úroveň 2 (P0)],AY114,RZ[Úroveň 3 (P0)],AZ114,RZ[Úroveň 4 (P0)],BA114),$BK114*$IQ114)</f>
        <v>0</v>
      </c>
      <c r="EP114" s="135">
        <f ca="1">RZ[[#This Row],[Úroveň 5 s koef. (P3a)]]*RZ[[#This Row],[Počet MJCR (P0) pro "kg"]]</f>
        <v>0</v>
      </c>
      <c r="EQ114" s="135">
        <f ca="1">RZ[Úroveň 5 bez koef. (P3a)]*RZ[[#This Row],[Počet MJCR (P0) pro "kg"]]</f>
        <v>0</v>
      </c>
      <c r="ER114" s="135">
        <f ca="1">IF(OFFSET(BC114,1,0,1,1)&lt;&gt;0,RZ[[#This Row],[Koeficient odhadu CR '[-'] (P1)]]*$BL114*SUMIFS(RZ[Úroveň 6 s koef. (P3)],RZ[0],AX114,RZ[Úroveň 2 (P0)],AY114,RZ[Úroveň 3 (P0)],AZ114,RZ[Úroveň 4 (P0)],BA114,RZ[Úroveň 5 (P0)],BB114),RZ[[#This Row],[Koeficient odhadu CR '[-'] (P1)]]*$BL114*$IQ114)</f>
        <v>0</v>
      </c>
      <c r="ES114" s="135">
        <f ca="1">IF(OFFSET(BC114,1,0,1,1)&lt;&gt;0,$BL114*SUMIFS(RZ[Úroveň 6 bez koef. (P3)],RZ[0],AX114,RZ[Úroveň 2 (P0)],AY114,RZ[Úroveň 3 (P0)],AZ114,RZ[Úroveň 4 (P0)],BA114,RZ[Úroveň 5 (P0)],BB114),$BL114*$IQ114)</f>
        <v>0</v>
      </c>
      <c r="ET114" s="140">
        <f ca="1">RZ[[#This Row],[Úroveň 6 s koef. (P3a)]]*RZ[[#This Row],[Počet MJCR (P0) pro "kg"]]</f>
        <v>0</v>
      </c>
      <c r="EU114" s="140">
        <f ca="1">RZ[Úroveň 6 bez koef. (P3a)]*RZ[[#This Row],[Počet MJCR (P0) pro "kg"]]</f>
        <v>0</v>
      </c>
      <c r="EV114" s="140">
        <f ca="1">IF(OFFSET(BD114,1,0,1,1)&lt;&gt;0,RZ[[#This Row],[Koeficient odhadu CR '[-'] (P1)]]*$BM114*SUMIFS(RZ[Úroveň 7 s koef. (P3)],RZ[0],AX114,RZ[Úroveň 2 (P0)],AY114,RZ[Úroveň 3 (P0)],AZ114,RZ[Úroveň 4 (P0)],BA114,RZ[Úroveň 5 (P0)],BB114,RZ[Úroveň 6 (P0)],BC114),RZ[[#This Row],[Koeficient odhadu CR '[-'] (P1)]]*$BM114*$IQ114)</f>
        <v>0</v>
      </c>
      <c r="EW114" s="140">
        <f ca="1">IF(OFFSET(BD114,1,0,1,1)&lt;&gt;0,$BM114*SUMIFS(RZ[Úroveň 7 bez koef. (P3)],RZ[0],AX114,RZ[Úroveň 2 (P0)],AY114,RZ[Úroveň 3 (P0)],AZ114,RZ[Úroveň 4 (P0)],BA114,RZ[Úroveň 5 (P0)],BB114,RZ[Úroveň 6 (P0)],BC114),$BM114*$IQ114)</f>
        <v>0</v>
      </c>
      <c r="EX114" s="135">
        <f ca="1">RZ[[#This Row],[Úroveň 7 s koef. (P3a)]]*RZ[[#This Row],[Počet MJCR (P0) pro "kg"]]</f>
        <v>0</v>
      </c>
      <c r="EY114" s="135">
        <f ca="1">RZ[Úroveň 7 bez koef. (P3a)]*RZ[[#This Row],[Počet MJCR (P0) pro "kg"]]</f>
        <v>0</v>
      </c>
      <c r="EZ114" s="135">
        <f ca="1">IF(OFFSET(BE114,1,0,1,1)&lt;&gt;0,RZ[[#This Row],[Koeficient odhadu CR '[-'] (P1)]]*$BN114*SUMIFS(RZ[Úroveň 8 s koef. (P3)],RZ[0],AX114,RZ[Úroveň 2 (P0)],AY114,RZ[Úroveň 3 (P0)],AZ114,RZ[Úroveň 4 (P0)],BA114,RZ[Úroveň 5 (P0)],BB114,RZ[Úroveň 6 (P0)],BC114,RZ[Úroveň 7 (P0)],BD114),RZ[[#This Row],[Koeficient odhadu CR '[-'] (P1)]]*$BN114*$IQ114)</f>
        <v>0</v>
      </c>
      <c r="FA114" s="135">
        <f ca="1">IF(OFFSET(BE114,1,0,1,1)&lt;&gt;0,$BN114*SUMIFS(RZ[Úroveň 8 bez koef. (P3)],RZ[0],AX114,RZ[Úroveň 2 (P0)],AY114,RZ[Úroveň 3 (P0)],AZ114,RZ[Úroveň 4 (P0)],BA114,RZ[Úroveň 5 (P0)],BB114,RZ[Úroveň 6 (P0)],BC114,RZ[Úroveň 7 (P0)],BD114),$BN114*$IQ114)</f>
        <v>0</v>
      </c>
      <c r="FB114" s="140">
        <f ca="1">RZ[[#This Row],[Úroveň 8 s koef. (P3a)]]*RZ[[#This Row],[Počet MJCR (P0) pro "kg"]]</f>
        <v>0</v>
      </c>
      <c r="FC114" s="140">
        <f ca="1">RZ[Úroveň 8 bez koef. (P3a)]*RZ[[#This Row],[Počet MJCR (P0) pro "kg"]]</f>
        <v>0</v>
      </c>
      <c r="FD114" s="140">
        <f ca="1">IF(OFFSET(BF114,1,0,1,1)&lt;&gt;0,RZ[[#This Row],[Koeficient odhadu CR '[-'] (P1)]]*$BO114*SUMIFS(RZ[Úroveň 9 s koef. (P3)],RZ[0],AX114,RZ[Úroveň 2 (P0)],AY114,RZ[Úroveň 3 (P0)],AZ114,RZ[Úroveň 4 (P0)],BA114,RZ[Úroveň 5 (P0)],BB114,RZ[Úroveň 6 (P0)],BC114,RZ[Úroveň 7 (P0)],BD114,RZ[Úroveň 8 (P0)],BE114),RZ[[#This Row],[Koeficient odhadu CR '[-'] (P1)]]*$BO114*$IQ114)</f>
        <v>0</v>
      </c>
      <c r="FE114" s="140">
        <f ca="1">IF(OFFSET(BF114,1,0,1,1)&lt;&gt;0,$BO114*SUMIFS(RZ[Úroveň 9 bez koef. (P3)],RZ[0],AX114,RZ[Úroveň 2 (P0)],AY114,RZ[Úroveň 3 (P0)],AZ114,RZ[Úroveň 4 (P0)],BA114,RZ[Úroveň 5 (P0)],BB114,RZ[Úroveň 6 (P0)],BC114,RZ[Úroveň 7 (P0)],BD114,RZ[Úroveň 8 (P0)],BE114),$BO114*$IQ114)</f>
        <v>0</v>
      </c>
      <c r="FF114" s="135">
        <f ca="1">RZ[[#This Row],[Úroveň 9 s koef. (P3a)]]*RZ[[#This Row],[Počet MJCR (P0) pro "kg"]]</f>
        <v>0</v>
      </c>
      <c r="FG114" s="135">
        <f ca="1">RZ[Úroveň 9 bez koef. (P3a)]*RZ[[#This Row],[Počet MJCR (P0) pro "kg"]]</f>
        <v>0</v>
      </c>
      <c r="FH114" s="135">
        <f ca="1">IF(OFFSET(BG114,1,0,1,1)&lt;&gt;0,RZ[[#This Row],[Koeficient odhadu CR '[-'] (P1)]]*$BP114*SUMIFS(RZ[Úroveň 10 s koef. (P3)],RZ[0],AX114,RZ[Úroveň 2 (P0)],AY114,RZ[Úroveň 3 (P0)],AZ114,RZ[Úroveň 4 (P0)],BA114,RZ[Úroveň 5 (P0)],BB114,RZ[Úroveň 6 (P0)],BC114,RZ[Úroveň 7 (P0)],BD114,RZ[Úroveň 8 (P0)],BE114,RZ[Úroveň 9 (P0)],BF114),RZ[[#This Row],[Koeficient odhadu CR '[-'] (P1)]]*$BP114*$IQ114)</f>
        <v>0</v>
      </c>
      <c r="FI114" s="135">
        <f ca="1">IF(OFFSET(BG114,1,0,1,1)&lt;&gt;0,$BP114*SUMIFS(RZ[Úroveň 10 bez koef. (P3)],RZ[0],AX114,RZ[Úroveň 2 (P0)],AY114,RZ[Úroveň 3 (P0)],AZ114,RZ[Úroveň 4 (P0)],BA114,RZ[Úroveň 5 (P0)],BB114,RZ[Úroveň 6 (P0)],BC114,RZ[Úroveň 7 (P0)],BD114,RZ[Úroveň 8 (P0)],BE114,RZ[Úroveň 9 (P0)],BF114),$BP114*$IQ114)</f>
        <v>0</v>
      </c>
      <c r="FJ114" s="140">
        <f ca="1">RZ[[#This Row],[Úroveň 10 s koef. (P3a)]]*RZ[[#This Row],[Počet MJCR (P0) pro "kg"]]</f>
        <v>0</v>
      </c>
      <c r="FK114" s="140">
        <f ca="1">RZ[Úroveň 10 bez koef. (P3a)]*RZ[[#This Row],[Počet MJCR (P0) pro "kg"]]</f>
        <v>0</v>
      </c>
      <c r="FL114" s="140">
        <f ca="1">RZ[[#This Row],[Koeficient odhadu CR '[-'] (P1)]]*$BQ114*IQ114</f>
        <v>0</v>
      </c>
      <c r="FM114" s="236">
        <f t="shared" ref="FM114:FM117" ca="1" si="875">$BQ114*IQ114</f>
        <v>0</v>
      </c>
      <c r="FN114" s="194">
        <f t="shared" ref="FN114:FN117" ca="1" si="876">IF(BH114=1,EB114,IF(BI114=1,EF114,IF(BJ114=1,EJ114,IF(BK114=1,EN114,IF(BL114=1,ER114,IF(BM114=1,EV114,IF(BN114=1,EZ114,IF(BO114=1,FD114,IF(BP114=1,FH114,FL114)))))))))</f>
        <v>110</v>
      </c>
      <c r="FO114" s="238">
        <f t="shared" ref="FO114:FO117" ca="1" si="877">IF(BH114=1,EC114,IF(BI114=1,EG114,IF(BJ114=1,EK114,IF(BK114=1,EO114,IF(BL114=1,ES114,IF(BM114=1,EW114,IF(BN114=1,FA114,IF(BO114=1,FE114,IF(BP114=1,FI114,FM114)))))))))</f>
        <v>110</v>
      </c>
      <c r="FP114" s="135">
        <f t="shared" ref="FP114:FP117" ca="1" si="878">BH114*$IK114</f>
        <v>0</v>
      </c>
      <c r="FQ114" s="135">
        <f t="shared" ref="FQ114:FQ117" ca="1" si="879">BI114*$IK114</f>
        <v>0</v>
      </c>
      <c r="FR114" s="135">
        <f t="shared" ref="FR114:FR117" ca="1" si="880">BJ114*$IK114</f>
        <v>13.56</v>
      </c>
      <c r="FS114" s="135">
        <f t="shared" ref="FS114:FS117" ca="1" si="881">BK114*$IK114</f>
        <v>0</v>
      </c>
      <c r="FT114" s="135">
        <f t="shared" ref="FT114:FT117" ca="1" si="882">BL114*$IK114</f>
        <v>0</v>
      </c>
      <c r="FU114" s="135">
        <f t="shared" ref="FU114:FU117" ca="1" si="883">BM114*$IK114</f>
        <v>0</v>
      </c>
      <c r="FV114" s="135">
        <f t="shared" ref="FV114:FV117" ca="1" si="884">BN114*$IK114</f>
        <v>0</v>
      </c>
      <c r="FW114" s="135">
        <f t="shared" ref="FW114:FW117" ca="1" si="885">BO114*$IK114</f>
        <v>0</v>
      </c>
      <c r="FX114" s="135">
        <f t="shared" ref="FX114:FX117" ca="1" si="886">BP114*$IK114</f>
        <v>0</v>
      </c>
      <c r="FY114" s="135">
        <f t="shared" ref="FY114:FY117" ca="1" si="887">BQ114*$IK114</f>
        <v>0</v>
      </c>
      <c r="FZ114" s="140">
        <f ca="1">SUMIFS(RZ[Úroveň 1 (P6)],RZ[0],AX114)</f>
        <v>1</v>
      </c>
      <c r="GA114" s="140">
        <f ca="1">SUMIFS(RZ[Úroveň 2 (P6)],RZ[0],AX114,RZ[Úroveň 2 (P0)],AY114)</f>
        <v>2</v>
      </c>
      <c r="GB114" s="140">
        <f ca="1">SUMIFS(RZ[Úroveň 3 (P6)],RZ[0],AX114,RZ[Úroveň 2 (P0)],AY114,RZ[Úroveň 3 (P0)],AZ114)</f>
        <v>13.56</v>
      </c>
      <c r="GC114" s="140">
        <f ca="1">SUMIFS(RZ[Úroveň 4 (P6)],RZ[0],AX114,RZ[Úroveň 2 (P0)],AY114,RZ[Úroveň 3 (P0)],AZ114,RZ[Úroveň 4 (P0)],BA114)</f>
        <v>0</v>
      </c>
      <c r="GD114" s="140">
        <f ca="1">SUMIFS(RZ[Úroveň 5 (P6)],RZ[0],AX114,RZ[Úroveň 2 (P0)],AY114,RZ[Úroveň 3 (P0)],AZ114,RZ[Úroveň 4 (P0)],BA114,RZ[Úroveň 5 (P0)],BB114)</f>
        <v>0</v>
      </c>
      <c r="GE114" s="140">
        <f ca="1">SUMIFS(RZ[Úroveň 6 (P6)],RZ[0],AX114,RZ[Úroveň 2 (P0)],AY114,RZ[Úroveň 3 (P0)],AZ114,RZ[Úroveň 4 (P0)],BA114,RZ[Úroveň 5 (P0)],BB114,RZ[Úroveň 6 (P0)],BC114)</f>
        <v>0</v>
      </c>
      <c r="GF114" s="140">
        <f ca="1">SUMIFS(RZ[Úroveň 7 (P6)],RZ[0],AX114,RZ[Úroveň 2 (P0)],AY114,RZ[Úroveň 3 (P0)],AZ114,RZ[Úroveň 4 (P0)],BA114,RZ[Úroveň 5 (P0)],BB114,RZ[Úroveň 6 (P0)],BC114,RZ[Úroveň 7 (P0)],BD114)</f>
        <v>0</v>
      </c>
      <c r="GG114" s="140">
        <f ca="1">SUMIFS(RZ[Úroveň 8 (P6)],RZ[0],AX114,RZ[Úroveň 2 (P0)],AY114,RZ[Úroveň 3 (P0)],AZ114,RZ[Úroveň 4 (P0)],BA114,RZ[Úroveň 5 (P0)],BB114,RZ[Úroveň 6 (P0)],BC114,RZ[Úroveň 7 (P0)],BD114,RZ[Úroveň 8 (P0)],BE114)</f>
        <v>0</v>
      </c>
      <c r="GH114" s="140">
        <f ca="1">SUMIFS(RZ[Úroveň 9 (P6)],RZ[0],AX114,RZ[Úroveň 2 (P0)],AY114,RZ[Úroveň 3 (P0)],AZ114,RZ[Úroveň 4 (P0)],BA114,RZ[Úroveň 5 (P0)],BB114,RZ[Úroveň 6 (P0)],BC114,RZ[Úroveň 7 (P0)],BD114,RZ[Úroveň 8 (P0)],BE114,RZ[Úroveň 9 (P0)],BF114)</f>
        <v>0</v>
      </c>
      <c r="GI114" s="140">
        <f ca="1">SUMIFS(RZ[Úroveň 10 (P6)],RZ[0],AX114,RZ[Úroveň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GJ114" s="918">
        <f t="shared" ref="GJ114:GJ117" ca="1" si="888">IF(FZ114&lt;&gt;0,FZ114,1)*IF(GA114&lt;&gt;0,GA114,1)*IF(GB114&lt;&gt;0,GB114,1)*IF(GC114&lt;&gt;0,GC114,1)*IF(GD114&lt;&gt;0,GD114,1)*IF(GE114&lt;&gt;0,GE114,1)*IF(GF114&lt;&gt;0,GF114,1)*IF(GG114&lt;&gt;0,GG114,1)*IF(GH114&lt;&gt;0,GH114,1)*IF(GI114&lt;&gt;0,GI114,1)</f>
        <v>27.12</v>
      </c>
      <c r="GK114" s="808">
        <f t="shared" ref="GK114:GK117" si="889">BH114*$IO114</f>
        <v>0</v>
      </c>
      <c r="GL114" s="808">
        <f t="shared" ref="GL114:GL117" si="890">BI114*$IO114</f>
        <v>0</v>
      </c>
      <c r="GM114" s="808">
        <f t="shared" ref="GM114:GM117" si="891">BJ114*$IO114</f>
        <v>1</v>
      </c>
      <c r="GN114" s="808">
        <f t="shared" ref="GN114:GN117" si="892">BK114*$IO114</f>
        <v>0</v>
      </c>
      <c r="GO114" s="808">
        <f t="shared" ref="GO114:GO117" si="893">BL114*$IO114</f>
        <v>0</v>
      </c>
      <c r="GP114" s="808">
        <f t="shared" ref="GP114:GP117" si="894">BM114*$IO114</f>
        <v>0</v>
      </c>
      <c r="GQ114" s="808">
        <f t="shared" ref="GQ114:GQ117" si="895">BN114*$IO114</f>
        <v>0</v>
      </c>
      <c r="GR114" s="808">
        <f t="shared" ref="GR114:GR117" si="896">BO114*$IO114</f>
        <v>0</v>
      </c>
      <c r="GS114" s="808">
        <f t="shared" ref="GS114:GS117" si="897">BP114*$IO114</f>
        <v>0</v>
      </c>
      <c r="GT114" s="808">
        <f t="shared" ref="GT114:GT117" si="898">BQ114*$IO114</f>
        <v>0</v>
      </c>
      <c r="GU114" s="809">
        <f ca="1">SUMIFS(RZ[Sloupec1],RZ[0],AX114)</f>
        <v>1</v>
      </c>
      <c r="GV114" s="809">
        <f ca="1">SUMIFS(RZ[Sloupec2],RZ[0],AX114,RZ[Úroveň 2 (P0)],AY114)</f>
        <v>1</v>
      </c>
      <c r="GW114" s="809">
        <f ca="1">SUMIFS(RZ[Sloupec3],RZ[0],AX114,RZ[Úroveň 2 (P0)],AY114,RZ[Úroveň 3 (P0)],AZ114)</f>
        <v>1</v>
      </c>
      <c r="GX114" s="809">
        <f ca="1">SUMIFS(RZ[Sloupec4],RZ[0],AX114,RZ[Úroveň 2 (P0)],AY114,RZ[Úroveň 3 (P0)],AZ114,RZ[Úroveň 4 (P0)],BA114)</f>
        <v>0</v>
      </c>
      <c r="GY114" s="809">
        <f ca="1">SUMIFS(RZ[Sloupec5],RZ[0],AX114,RZ[Úroveň 2 (P0)],AY114,RZ[Úroveň 3 (P0)],AZ114,RZ[Úroveň 4 (P0)],BA114,RZ[Úroveň 5 (P0)],BB114)</f>
        <v>0</v>
      </c>
      <c r="GZ114" s="809">
        <f ca="1">SUMIFS(RZ[Sloupec6],RZ[0],AX114,RZ[Úroveň 2 (P0)],AY114,RZ[Úroveň 3 (P0)],AZ114,RZ[Úroveň 4 (P0)],BA114,RZ[Úroveň 5 (P0)],BB114,RZ[Úroveň 6 (P0)],BC114)</f>
        <v>0</v>
      </c>
      <c r="HA114" s="809">
        <f ca="1">SUMIFS(RZ[Sloupec62],RZ[0],AX114,RZ[Úroveň 2 (P0)],AY114,RZ[Úroveň 3 (P0)],AZ114,RZ[Úroveň 4 (P0)],BA114,RZ[Úroveň 5 (P0)],BB114,RZ[Úroveň 6 (P0)],BC114,RZ[Úroveň 7 (P0)],BD114)</f>
        <v>0</v>
      </c>
      <c r="HB114" s="809">
        <f ca="1">SUMIFS(RZ[Sloupec63],RZ[0],AX114,RZ[Úroveň 2 (P0)],AY114,RZ[Úroveň 3 (P0)],AZ114,RZ[Úroveň 4 (P0)],BA114,RZ[Úroveň 5 (P0)],BB114,RZ[Úroveň 6 (P0)],BC114,RZ[Úroveň 7 (P0)],BD114,RZ[Úroveň 8 (P0)],BE114)</f>
        <v>0</v>
      </c>
      <c r="HC114" s="809">
        <f ca="1">SUMIFS(RZ[Sloupec64],RZ[0],AX114,RZ[Úroveň 2 (P0)],AY114,RZ[Úroveň 3 (P0)],AZ114,RZ[Úroveň 4 (P0)],BA114,RZ[Úroveň 5 (P0)],BB114,RZ[Úroveň 6 (P0)],BC114,RZ[Úroveň 7 (P0)],BD114,RZ[Úroveň 8 (P0)],BE114,RZ[Úroveň 9 (P0)],BF114)</f>
        <v>0</v>
      </c>
      <c r="HD114" s="809">
        <f ca="1">SUMIFS(RZ[Sloupec65],RZ[0],AX114,RZ[Úroveň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HE114" s="919">
        <f t="shared" ref="HE114:HE117" ca="1" si="899">IF(GU114&lt;&gt;0,GU114,1)*IF(GV114&lt;&gt;0,GV114,1)*IF(GW114&lt;&gt;0,GW114,1)*IF(GX114&lt;&gt;0,GX114,1)*IF(GY114&lt;&gt;0,GY114,1)*IF(GZ114&lt;&gt;0,GZ114,1)*IF(HA114&lt;&gt;0,HA114,1)*IF(HB114&lt;&gt;0,HB114,1)*IF(HC114&lt;&gt;0,HC114,1)*IF(HD114&lt;&gt;0,HD114,1)</f>
        <v>1</v>
      </c>
      <c r="HF114" s="920" t="str">
        <f t="shared" ref="HF114:HF117" si="900">IF($IW114=$MJ$15,IF(MK114="","",MK114),IF(IY114="","",IY114))</f>
        <v/>
      </c>
      <c r="HG114" s="94" t="str">
        <f t="shared" ref="HG114:HG117" si="901">IF($IW114=$MJ$15,IF($MJ114=1,$MS114,""),IF(IZ114="","",IZ114))</f>
        <v/>
      </c>
      <c r="HH114" s="95" t="str">
        <f t="shared" ref="HH114:HH117" si="902">IF($IW114=$MJ$15,IF($MJ114=2,$MS114,""),IF(JA114="","",JA114))</f>
        <v/>
      </c>
      <c r="HI114" s="95" t="str">
        <f t="shared" ref="HI114:HI117" si="903">IF($IW114=$MJ$15,IF($MJ114=3,$MS114,""),IF(JB114="","",JB114))</f>
        <v>Konzola</v>
      </c>
      <c r="HJ114" s="96" t="str">
        <f t="shared" ref="HJ114:HJ117" si="904">IF($IW114=$MJ$15,IF($MJ114=4,$MS114,""),IF(JC114="","",JC114))</f>
        <v/>
      </c>
      <c r="HK114" s="96" t="str">
        <f t="shared" ref="HK114:HK117" si="905">IF($IW114=$MJ$15,IF($MJ114=5,$MS114,""),IF(JD114="","",JD114))</f>
        <v/>
      </c>
      <c r="HL114" s="96" t="str">
        <f t="shared" ref="HL114:HL117" si="906">IF($IW114=$MJ$15,IF($MJ114=6,$MS114,""),IF(JE114="","",JE114))</f>
        <v/>
      </c>
      <c r="HM114" s="96" t="str">
        <f t="shared" ref="HM114:HM117" si="907">IF($IW114=$MJ$15,IF($MJ114=7,$MS114,""),IF(JF114="","",JF114))</f>
        <v/>
      </c>
      <c r="HN114" s="96" t="str">
        <f t="shared" ref="HN114:HN117" si="908">IF($IW114=$MJ$15,IF($MJ114=8,$MS114,""),IF(JG114="","",JG114))</f>
        <v/>
      </c>
      <c r="HO114" s="96" t="str">
        <f t="shared" ref="HO114:HO117" si="909">IF($IW114=$MJ$15,IF($MJ114=9,$MS114,""),IF(JH114="","",JH114))</f>
        <v/>
      </c>
      <c r="HP114" s="96" t="str">
        <f t="shared" ref="HP114:HP117" si="910">IF($IW114=$MJ$15,IF($MJ114=10,$MS114,""),IF(JI114="","",JI114))</f>
        <v/>
      </c>
      <c r="HQ114" s="145" t="str">
        <f t="shared" ref="HQ114:HQ117" si="911">IF($IW114=$MJ$15,IF(ML114="","N/A",ML114),IF(JJ114="","N/A",JJ114))</f>
        <v>OKS2</v>
      </c>
      <c r="HR114" s="921" t="str">
        <f t="shared" ref="HR114:HR117" si="912">IF($IW114=$MJ$15,IF(MM114="","",MM114),IF(JK114="","",JK114))</f>
        <v/>
      </c>
      <c r="HS114" s="173">
        <f t="shared" ref="HS114:HS117" si="913">IF($IW114=$JL$15,JL114,IF($IW114=$KE$15,KE114,IF($IW114=$KX$15,KX114,IF($IW114=$LQ$15,LQ114,IF($IW114=$MJ$15,NE114,0)))))</f>
        <v>0</v>
      </c>
      <c r="HT114" s="100">
        <f t="shared" ref="HT114:HT117" si="914">IF($IW114=$JL$15,JM114,IF($IW114=$KE$15,KF114,IF($IW114=$KX$15,KY114,IF($IW114=$LQ$15,LR114,IF($IW114=$MJ$15,NF114,0)))))</f>
        <v>0</v>
      </c>
      <c r="HU114" s="100">
        <f t="shared" ref="HU114:HU117" si="915">IF($IW114=$JL$15,JN114,IF($IW114=$KE$15,KG114,IF($IW114=$KX$15,KZ114,IF($IW114=$LQ$15,LS114,IF($IW114=$MJ$15,NG114,0)))))</f>
        <v>0</v>
      </c>
      <c r="HV114" s="908">
        <f t="shared" ref="HV114:HV117" si="916">IF($IW114=$JL$15,JU114,IF($IW114=$KE$15,KN114,IF($IW114=$KX$15,LG114,IF($IW114=$LQ$15,LZ114,IF($IW114=$MJ$15,NN114,0)))))</f>
        <v>0</v>
      </c>
      <c r="HW114" s="922">
        <f t="shared" ref="HW114:HW117" si="917">IF($IW114=$JL$15,JV114,IF($IW114=$KE$15,KO114,IF($IW114=$KX$15,LH114,IF($IW114=$LQ$15,MA114,IF($IW114=$MJ$15,NO114,0)))))</f>
        <v>0</v>
      </c>
      <c r="HX114" s="224">
        <f t="shared" ref="HX114:HX117" si="918">IF($IW114=$JL$15,JW114,IF($IW114=$KE$15,KP114,IF($IW114=$KX$15,LI114,IF($IW114=$LQ$15,MB114,IF($IW114=$MJ$15,NP114,0)))))</f>
        <v>0</v>
      </c>
      <c r="HY114" s="263" t="str">
        <f t="shared" ref="HY114:HY117" si="919">IF($IW114=$JL$15,JS114,IF($IW114=$KE$15,KL114,IF($IW114=$KX$15,LE114,IF($IW114=$LQ$15,LX114,IF($IW114=$MJ$15,NL114,0)))))</f>
        <v>S</v>
      </c>
      <c r="HZ114" s="263">
        <f t="shared" ref="HZ114:HZ117" si="920">IF($IW114=$JL$15,KC114,IF($IW114=$KE$15,KV114,IF($IW114=$KX$15,LO114,IF($IW114=$LQ$15,MH114,IF($IW114=$MJ$15,NV114,0)))))</f>
        <v>0</v>
      </c>
      <c r="IA114" s="150">
        <f t="shared" ref="IA114:IA117" si="921">IF($IW114=$JL$15,JR114,IF($IW114=$KE$15,KK114,IF($IW114=$KX$15,LD114,IF($IW114=$LQ$15,LW114,IF($IW114=$MJ$15,NK114,0)))))</f>
        <v>1</v>
      </c>
      <c r="IB114" s="319">
        <f t="shared" ref="IB114:IB117" si="922">IF($IW114=$JL$15,JZ114,IF($IW114=$KE$15,KS114,IF($IW114=$KX$15,LL114,IF($IW114=$LQ$15,ME114,IF($IW114=$MJ$15,NS114,0)))))</f>
        <v>0</v>
      </c>
      <c r="IC114" s="923">
        <f t="shared" ref="IC114:IC117" si="923">IF($IW114=$JL$15,KB114,IF($IW114=$KE$15,KU114,IF($IW114=$KX$15,LN114,IF($IW114=$LQ$15,MG114,IF($IW114=$MJ$15,NU114,0)))))</f>
        <v>0</v>
      </c>
      <c r="ID114" s="924" t="str">
        <f t="shared" ref="ID114:ID117" ca="1" si="924">IF((BH114+OFFSET(BH114,1,1,1,1))=2,"--",IF((BI114+OFFSET(BI114,1,1,1,1))=2,"--",IF((BJ114+OFFSET(BJ114,1,1,1,1))=2,"--",IF((BK114+OFFSET(BK114,1,1,1,1))=2,"--",IF((BL114+OFFSET(BL114,1,1,1,1))=2,"--",IF((BM114+OFFSET(BM114,1,1,1,1))=2,"--",IF((BN114+OFFSET(BN114,1,1,1,1))=2,"--",IF((BO114+OFFSET(BO114,1,1,1,1))=2,"--",IF((BP114+OFFSET(BP114,1,1,1,1))=2,"--",IF((BQ114+OFFSET(BQ114,1,1,1,1))=2,"--","OK"))))))))))</f>
        <v>OK</v>
      </c>
      <c r="IE114" s="201" t="str">
        <f t="shared" ref="IE114:IE117" si="925">IF($IW114=$JL$15,JO114,IF($IW114=$KE$15,KH114,IF($IW114=$KX$15,LA114,IF($IW114=$LQ$15,LT114,IF($IW114=$MJ$15,NH114,0)))))</f>
        <v>ks</v>
      </c>
      <c r="IF114" s="145">
        <f t="shared" ref="IF114:IF117" si="926">IF($IW114=$JL$15,JP114,IF($IW114=$KE$15,KI114,IF($IW114=$KX$15,LB114,IF($IW114=$LQ$15,LU114,IF($IW114=$MJ$15,NI114,0)))))</f>
        <v>1</v>
      </c>
      <c r="IG114" s="216">
        <f t="shared" ref="IG114:IG117" si="927">IF($IW114=$JL$15,JQ114,IF($IW114=$KE$15,KJ114,IF($IW114=$KX$15,LC114,IF($IW114=$LQ$15,LV114,IF($IW114=$MJ$15,NJ114,0)))))</f>
        <v>13.56</v>
      </c>
      <c r="IH114" s="217">
        <f t="shared" ref="IH114:IH117" si="928">IF(IA114=0,1,IA114)</f>
        <v>1</v>
      </c>
      <c r="II114" s="224" t="str">
        <f ca="1">IF(RZ[[#This Row],[Rozhodný sloupec indikativní ceny]]=1,"kg",IF($IW114=$JL$15,IF(JX114=0,JO114,JX114),IF($IW114=$KE$15,IF(KQ114=0,KH114,KQ114),IF($IW114=$KX$15,IF(LJ114=0,LA114,LJ114),IF($IW114=$LQ$15,IF(MC114=0,LT114,MC114),IF($IW114=$MJ$15,IF(NQ114=0,NH114,NQ114),0))))))</f>
        <v>kg</v>
      </c>
      <c r="IJ114" s="224">
        <f ca="1">IF((BH114+OFFSET(BH114,1,1,1,1))=2,RZ[[#This Row],[Počet MJHR (P0)]],IF((BI114+OFFSET(BI114,1,1,1,1))=2,RZ[[#This Row],[Počet MJHR (P0)]],IF((BJ114+OFFSET(BJ114,1,1,1,1))=2,RZ[[#This Row],[Počet MJHR (P0)]],IF((BK114+OFFSET(BK114,1,1,1,1))=2,RZ[[#This Row],[Počet MJHR (P0)]],IF((BL114+OFFSET(BL114,1,1,1,1))=2,RZ[[#This Row],[Počet MJHR (P0)]],IF((BM114+OFFSET(BM114,1,1,1,1))=2,RZ[[#This Row],[Počet MJHR (P0)]],IF((BN114+OFFSET(BN114,1,1,1,1))=2,RZ[[#This Row],[Počet MJHR (P0)]],IF((BO114+OFFSET(BO114,1,1,1,1))=2,RZ[[#This Row],[Počet MJHR (P0)]],IF((BP114+OFFSET(BP114,1,1,1,1))=2,RZ[[#This Row],[Počet MJHR (P0)]],IF((BQ114+OFFSET(BQ114,1,1,1,1))=2,RZ[[#This Row],[Počet MJHR (P0)]],IF(RZ[[#This Row],[Měrná jednotka CR (MJCR) (P0)]]=RZ[[#This Row],[Měrná jednotka HR '[MJHR'] (P0)]],RZ[[#This Row],[Počet MJHR (P0)]],IF($IW114=$JL$15,JY114,IF($IW114=$KE$15,KR114,IF($IW114=$KX$15,LK114,IF($IW114=$LQ$15,MD114,IF($IW114=$MJ$15,NR114,0))))))))))))))))</f>
        <v>0</v>
      </c>
      <c r="IK11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13.56</v>
      </c>
      <c r="IL114" s="145">
        <f ca="1">IF(AND(RZ[[#This Row],[Jednotková cena bez DPH '[cena/MJCR'] (P0)]]=0,RZ[[#This Row],[Indikativní jednotková cena '[CZK/kg'] (P1)]]&lt;&gt;0),1,0)</f>
        <v>1</v>
      </c>
      <c r="IM114" s="217">
        <f ca="1">VLOOKUP(RZ[[#This Row],[Kód položek]],INDIKAT_CENA,2,FALSE)</f>
        <v>110</v>
      </c>
      <c r="IN114" s="222">
        <f ca="1">IF(RZ[[#This Row],[Rozhodný sloupec indikativní ceny]]=1,RZ[[#This Row],[Indikativní jednotková cena '[CZK/kg'] (P1)]],RZ[[#This Row],[Jednotková cena bez DPH '[cena/MJCR'] (P0)]])</f>
        <v>110</v>
      </c>
      <c r="IO114" s="222">
        <f t="shared" ref="IO114:IO117" si="929">IF(IC114=0,1,IC114)</f>
        <v>1</v>
      </c>
      <c r="IP114" s="224">
        <f ca="1">IF(RZ[[#This Row],[Rozhodný sloupec indikativní ceny]]=1,1,IF($IW114=$JL$15,KA114,IF($IW114=$KE$15,KT114,IF($IW114=$KX$15,LM114,IF($IW114=$LQ$15,MF114,IF($IW114=$MJ$15,NT114,0))))))</f>
        <v>1</v>
      </c>
      <c r="IQ114" s="225">
        <f ca="1">IF(RZ[[#This Row],[Jednotková cena bez DPH '[cena/MJCR'] (P1)]]="",0,IF(IP114=0,0,(RZ[[#This Row],[Jednotková cena bez DPH '[cena/MJCR'] (P1)]]*VLOOKUP(IP114,$BR$7:$BT$10,3))))</f>
        <v>110</v>
      </c>
      <c r="IR114" s="737"/>
      <c r="IS114" s="627">
        <f>IF(HY114=0,"",VLOOKUP(RZ[[#This Row],[Stav Projekce (P0)]],Vstupy!$E$11:'Vstupy'!$E$11:$H$17,4,FALSE))</f>
        <v>100</v>
      </c>
      <c r="IT114" s="925" t="str">
        <f>IF(RZ[[#This Row],[Stav Projekce (P0)]]=0,"",RZ[[#This Row],[Stav Projekce (P0)]])</f>
        <v>S</v>
      </c>
      <c r="IU114" s="925" t="str">
        <f>IF(RZ[[#This Row],[Stav Nákup (P0)]]=0,"",RZ[[#This Row],[Stav Nákup (P0)]])</f>
        <v/>
      </c>
      <c r="IV114" s="926" t="str">
        <f t="shared" ref="IV114:IV117" si="930">IF(HV114=0,"",HV114)</f>
        <v/>
      </c>
      <c r="IW114" s="641">
        <v>1</v>
      </c>
      <c r="IX114" s="630"/>
      <c r="IY114" s="264"/>
      <c r="IZ114" s="648"/>
      <c r="JA114" s="100"/>
      <c r="JB114" s="100" t="s">
        <v>770</v>
      </c>
      <c r="JC114" s="100"/>
      <c r="JD114" s="100"/>
      <c r="JE114" s="100"/>
      <c r="JF114" s="100"/>
      <c r="JG114" s="100"/>
      <c r="JH114" s="100"/>
      <c r="JI114" s="100"/>
      <c r="JJ114" s="145" t="s">
        <v>768</v>
      </c>
      <c r="JK114" s="529"/>
      <c r="JL114" s="286"/>
      <c r="JM114" s="100"/>
      <c r="JN114" s="100"/>
      <c r="JO114" s="145" t="s">
        <v>35</v>
      </c>
      <c r="JP114" s="117">
        <v>1</v>
      </c>
      <c r="JQ114" s="117">
        <v>13.56</v>
      </c>
      <c r="JR114" s="148">
        <v>1</v>
      </c>
      <c r="JS114" s="145" t="s">
        <v>602</v>
      </c>
      <c r="JT114" s="631"/>
      <c r="JU114" s="148"/>
      <c r="JV114" s="154"/>
      <c r="JW114" s="145"/>
      <c r="JX114" s="210"/>
      <c r="JY114" s="117"/>
      <c r="JZ114" s="662"/>
      <c r="KA114" s="145"/>
      <c r="KB114" s="148"/>
      <c r="KC114" s="148"/>
      <c r="KD114" s="644"/>
      <c r="KE114" s="286"/>
      <c r="KF114" s="100"/>
      <c r="KG114" s="100"/>
      <c r="KH114" s="210"/>
      <c r="KI114" s="117"/>
      <c r="KJ114" s="117"/>
      <c r="KK114" s="148"/>
      <c r="KL114" s="145"/>
      <c r="KM114" s="632"/>
      <c r="KN114" s="148"/>
      <c r="KO114" s="154"/>
      <c r="KP114" s="154"/>
      <c r="KQ114" s="210"/>
      <c r="KR114" s="117"/>
      <c r="KS114" s="211"/>
      <c r="KT114" s="145"/>
      <c r="KU114" s="148"/>
      <c r="KV114" s="148"/>
      <c r="KW114" s="265"/>
      <c r="KX114" s="286"/>
      <c r="KY114" s="100"/>
      <c r="KZ114" s="100"/>
      <c r="LA114" s="210"/>
      <c r="LB114" s="117"/>
      <c r="LC114" s="117"/>
      <c r="LD114" s="148"/>
      <c r="LE114" s="145"/>
      <c r="LF114" s="632"/>
      <c r="LG114" s="148"/>
      <c r="LH114" s="154"/>
      <c r="LI114" s="154"/>
      <c r="LJ114" s="154"/>
      <c r="LK114" s="117"/>
      <c r="LL114" s="211"/>
      <c r="LM114" s="210"/>
      <c r="LN114" s="148"/>
      <c r="LO114" s="148"/>
      <c r="LP114" s="265"/>
      <c r="LQ114" s="286"/>
      <c r="LR114" s="100"/>
      <c r="LS114" s="100"/>
      <c r="LT114" s="210"/>
      <c r="LU114" s="117"/>
      <c r="LV114" s="117"/>
      <c r="LW114" s="148"/>
      <c r="LX114" s="145"/>
      <c r="LY114" s="632"/>
      <c r="LZ114" s="148"/>
      <c r="MA114" s="154"/>
      <c r="MB114" s="154"/>
      <c r="MC114" s="145"/>
      <c r="MD114" s="117"/>
      <c r="ME114" s="211"/>
      <c r="MF114" s="210"/>
      <c r="MG114" s="148"/>
      <c r="MH114" s="148"/>
      <c r="MI114" s="265"/>
      <c r="MJ114" s="647"/>
      <c r="MK114" s="264"/>
      <c r="ML114" s="153"/>
      <c r="MM114" s="153"/>
      <c r="MN114" s="153"/>
      <c r="MO114" s="153"/>
      <c r="MP114" s="153"/>
      <c r="MQ114" s="153"/>
      <c r="MR114" s="153"/>
      <c r="MS114" s="99"/>
      <c r="MT114" s="99"/>
      <c r="MU114" s="99"/>
      <c r="MV114" s="99"/>
      <c r="MW114" s="99"/>
      <c r="MX114" s="99"/>
      <c r="MY114" s="153"/>
      <c r="MZ114" s="153"/>
      <c r="NA114" s="153"/>
      <c r="NB114" s="153"/>
      <c r="NC114" s="153"/>
      <c r="ND114" s="153"/>
      <c r="NE114" s="153"/>
      <c r="NF114" s="153"/>
      <c r="NG114" s="153"/>
      <c r="NH114" s="330" t="str">
        <f t="shared" ref="NH114:NH117" si="931">"ks"</f>
        <v>ks</v>
      </c>
      <c r="NI114" s="797">
        <f>RZ[[#This Row],[Počet ks (K)]]</f>
        <v>0</v>
      </c>
      <c r="NJ114" s="798">
        <f>RZ[[#This Row],[Hmotnost '[kg/ks'] (K)]]</f>
        <v>0</v>
      </c>
      <c r="NK114" s="153"/>
      <c r="NL114" s="153"/>
      <c r="NM114" s="632"/>
      <c r="NN114" s="153"/>
      <c r="NO114" s="153"/>
      <c r="NP114" s="153"/>
      <c r="NQ114" s="153"/>
      <c r="NR114" s="153"/>
      <c r="NS114" s="153"/>
      <c r="NT114" s="153"/>
      <c r="NU114" s="153"/>
      <c r="NV114" s="148"/>
      <c r="NW114" s="633"/>
    </row>
    <row r="115" spans="2:387" ht="15.95" customHeight="1" x14ac:dyDescent="0.35">
      <c r="B115" s="118" t="str">
        <f t="shared" si="824"/>
        <v/>
      </c>
      <c r="C11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5" s="262" t="str">
        <f t="shared" si="825"/>
        <v xml:space="preserve">    Kladka - průměr 160 mm</v>
      </c>
      <c r="E115" s="120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Row],[Kód položek (P2)]]))))))))))</f>
        <v>STO2</v>
      </c>
      <c r="F115" s="791" t="str">
        <f t="shared" si="826"/>
        <v>N/A</v>
      </c>
      <c r="G115" s="792" t="str">
        <f t="shared" si="827"/>
        <v/>
      </c>
      <c r="H115" s="262" t="str">
        <f t="shared" si="828"/>
        <v/>
      </c>
      <c r="I115" s="123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HR '[MJHR'] (P0)]]))))))))))</f>
        <v>ks</v>
      </c>
      <c r="J115" s="123">
        <f t="shared" si="829"/>
        <v>1</v>
      </c>
      <c r="K115" s="793">
        <f>RZ[[#This Row],[Koeficient odhadu HR '[-'] (P1)]]</f>
        <v>1</v>
      </c>
      <c r="L115" s="124">
        <f ca="1">RZ[[#This Row],[Jednotková hmotnost s koef. '[kg/MJHR'] (P0)]]</f>
        <v>10.27</v>
      </c>
      <c r="M115" s="794">
        <f t="shared" ca="1" si="830"/>
        <v>0</v>
      </c>
      <c r="N115" s="125">
        <f t="shared" ca="1" si="831"/>
        <v>10.27</v>
      </c>
      <c r="O115" s="125">
        <f t="shared" ca="1" si="832"/>
        <v>0</v>
      </c>
      <c r="P115" s="126" t="str">
        <f t="shared" si="833"/>
        <v/>
      </c>
      <c r="Q115" s="795">
        <f ca="1">RZ[[#This Row],[Počet MJHR v rozpadu (P0)]]</f>
        <v>2</v>
      </c>
      <c r="R115" s="439" t="str">
        <f t="shared" si="834"/>
        <v/>
      </c>
      <c r="S115" s="129" t="str">
        <f t="shared" si="835"/>
        <v/>
      </c>
      <c r="T115" s="126" t="str">
        <f t="shared" si="836"/>
        <v/>
      </c>
      <c r="U115" s="126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CR (MJCR) (P0)]]))))))))))</f>
        <v>kg</v>
      </c>
      <c r="V115" s="575">
        <f t="shared" ca="1" si="837"/>
        <v>10.27</v>
      </c>
      <c r="W115" s="322">
        <f>RZ[[#This Row],[Koeficient odhadu CR '[-'] (P1)]]</f>
        <v>1</v>
      </c>
      <c r="X115" s="440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Row],[Jednotková cena bez DPH '[cena/MJCR'] (P1)]]*RZ[[#This Row],[Koeficient odhadu CR '[-']]]))))))))))</f>
        <v>115</v>
      </c>
      <c r="Y115" s="440">
        <f t="shared" ca="1" si="838"/>
        <v>0</v>
      </c>
      <c r="Z115" s="142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VLOOKUP(IP115,$BR$7:$BS$11,2,FALSE)))))))))))</f>
        <v>CZK</v>
      </c>
      <c r="AA115" s="909">
        <f t="shared" ca="1" si="839"/>
        <v>20.54</v>
      </c>
      <c r="AB115" s="910">
        <f ca="1">RZ[[#This Row],[Kumulovaný koeficient v rozpadu (P0)]]</f>
        <v>1</v>
      </c>
      <c r="AC115" s="261"/>
      <c r="AD115" s="796">
        <f ca="1">RZ[[#This Row],[Jednotková cena bez DPH '[cena/MJCR'] s koef. (P0)]]/RZ[[#This Row],[Koeficient odhadu CR '[-']]]*RZ[[#This Row],[Kumulovaný koeficient odhadu CR  '[-']]]</f>
        <v>115</v>
      </c>
      <c r="AE115" s="796">
        <f t="shared" ca="1" si="840"/>
        <v>2362.1</v>
      </c>
      <c r="AF115" s="796">
        <f ca="1">-IF(ISNUMBER(AA115),RZ[[#This Row],[Celková cena bez DPH (1)]]-RZ[[#This Row],[Jednotková cena bez DPH '[cena/MJCR'] bez koef. (P0)]]*AA115,0)</f>
        <v>0</v>
      </c>
      <c r="AG11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5" s="261"/>
      <c r="AI115" s="796">
        <f ca="1">AD115/VLOOKUP($AJ$13,KURZY,3,FALSE)</f>
        <v>4.2592592592592595</v>
      </c>
      <c r="AJ115" s="796">
        <f ca="1">AE115/VLOOKUP($AJ$13,KURZY,3,FALSE)*IF(V115="",0,1)</f>
        <v>87.485185185185188</v>
      </c>
      <c r="AK115" s="796">
        <f ca="1">AF115/VLOOKUP($AJ$13,KURZY,3,FALSE)</f>
        <v>0</v>
      </c>
      <c r="AL115" s="753">
        <f ca="1">RZ[[#This Row],[Kilogramová cena bez DPH '[cena/kg'] (1)]]/$AK$13</f>
        <v>4.2592592592592595</v>
      </c>
      <c r="AM115" s="261"/>
      <c r="AN115" s="796">
        <f ca="1">AD115/VLOOKUP($AO$13,KURZY,3,FALSE)</f>
        <v>5.5555555555555554</v>
      </c>
      <c r="AO115" s="796">
        <f ca="1">AE115/VLOOKUP($AO$13,KURZY,3,FALSE)*IF(V115="",0,1)</f>
        <v>114.11111111111111</v>
      </c>
      <c r="AP115" s="796">
        <f ca="1">AF115/VLOOKUP($AO$13,KURZY,3,FALSE)</f>
        <v>0</v>
      </c>
      <c r="AQ115" s="753">
        <f ca="1">RZ[[#This Row],[Kilogramová cena bez DPH '[cena/kg'] (1)]]/$AP$13</f>
        <v>5.5555555555555554</v>
      </c>
      <c r="AR115" s="261"/>
      <c r="AS115" s="796">
        <f ca="1">AD115/VLOOKUP($AT$13,KURZY,3,FALSE)</f>
        <v>3.1455142231947484</v>
      </c>
      <c r="AT115" s="796">
        <f ca="1">AE115/VLOOKUP($AT$13,KURZY,3,FALSE)*IF(V115="",0,1)</f>
        <v>64.608862144420129</v>
      </c>
      <c r="AU115" s="789">
        <f ca="1">AF115/VLOOKUP($AT$13,KURZY,3,FALSE)</f>
        <v>0</v>
      </c>
      <c r="AV115" s="767">
        <f ca="1">RZ[[#This Row],[Kilogramová cena bez DPH '[cena/kg'] (1)]]/$AU$13</f>
        <v>3.1455142231947484</v>
      </c>
      <c r="AW115" s="165"/>
      <c r="AX115" s="911">
        <f t="shared" ca="1" si="841"/>
        <v>2</v>
      </c>
      <c r="AY115" s="111">
        <f t="shared" ca="1" si="842"/>
        <v>9</v>
      </c>
      <c r="AZ115" s="111">
        <f t="shared" ca="1" si="843"/>
        <v>2</v>
      </c>
      <c r="BA115" s="111">
        <f t="shared" ca="1" si="844"/>
        <v>0</v>
      </c>
      <c r="BB115" s="111">
        <f t="shared" ca="1" si="845"/>
        <v>0</v>
      </c>
      <c r="BC115" s="111">
        <f t="shared" ca="1" si="846"/>
        <v>0</v>
      </c>
      <c r="BD115" s="111">
        <f t="shared" ca="1" si="847"/>
        <v>0</v>
      </c>
      <c r="BE115" s="111">
        <f t="shared" ca="1" si="848"/>
        <v>0</v>
      </c>
      <c r="BF115" s="111">
        <f t="shared" ca="1" si="849"/>
        <v>0</v>
      </c>
      <c r="BG115" s="112">
        <f t="shared" ca="1" si="850"/>
        <v>0</v>
      </c>
      <c r="BH115" s="911">
        <f t="shared" si="851"/>
        <v>0</v>
      </c>
      <c r="BI115" s="111">
        <f t="shared" si="852"/>
        <v>0</v>
      </c>
      <c r="BJ115" s="111">
        <f t="shared" si="853"/>
        <v>1</v>
      </c>
      <c r="BK115" s="111">
        <f t="shared" si="854"/>
        <v>0</v>
      </c>
      <c r="BL115" s="111">
        <f t="shared" si="855"/>
        <v>0</v>
      </c>
      <c r="BM115" s="111">
        <f t="shared" si="856"/>
        <v>0</v>
      </c>
      <c r="BN115" s="111">
        <f t="shared" si="857"/>
        <v>0</v>
      </c>
      <c r="BO115" s="111">
        <f t="shared" si="858"/>
        <v>0</v>
      </c>
      <c r="BP115" s="111">
        <f t="shared" si="859"/>
        <v>0</v>
      </c>
      <c r="BQ115" s="112">
        <f t="shared" si="860"/>
        <v>0</v>
      </c>
      <c r="BR115" s="132">
        <f ca="1">IF(OFFSET(AY115,1,0,1,1)&lt;&gt;0,RZ[[#This Row],[Koeficient odhadu HR '[-'] (P1)]]*$BH115*SUMIFS(RZ[Úroveň 2 s koef. (P2)],RZ[0],AX115),RZ[[#This Row],[Koeficient odhadu HR '[-'] (P1)]]*$BH115*$IG115)</f>
        <v>0</v>
      </c>
      <c r="BS115" s="186">
        <f ca="1">IF(OFFSET(AY115,1,0,1,1)&lt;&gt;0,$BH115*SUMIFS(RZ[Úroveň 2 bez koef. (P2)],RZ[0],AX115),$BH115*$IG115)</f>
        <v>0</v>
      </c>
      <c r="BT115" s="138">
        <f ca="1">RZ[[#This Row],[Úroveň 2 s koef. (P2a)]]*RZ[[#This Row],[Počet MJHR (P0)]]</f>
        <v>0</v>
      </c>
      <c r="BU115" s="138">
        <f ca="1">RZ[[#This Row],[Úroveň 2 bez koef. (P2a)]]*RZ[[#This Row],[Počet MJHR (P0)]]</f>
        <v>0</v>
      </c>
      <c r="BV115" s="138">
        <f ca="1">IF(OFFSET(AZ115,1,0,1,1)&lt;&gt;0,RZ[[#This Row],[Koeficient odhadu HR '[-'] (P1)]]*$BI115*SUMIFS(RZ[Úroveň 3 s koef. (P2)],RZ[0],AX115,RZ[Úroveň 2 (P0)],AY115),RZ[[#This Row],[Koeficient odhadu HR '[-'] (P1)]]*$BI115*$IG115)</f>
        <v>0</v>
      </c>
      <c r="BW115" s="138">
        <f ca="1">IF(OFFSET(AZ115,1,0,1,1)&lt;&gt;0,$BI115*SUMIFS(RZ[Úroveň 3 bez koef. (P2)],RZ[0],AX115,RZ[Úroveň 2 (P0)],AY115),$BI115*$IG115)</f>
        <v>0</v>
      </c>
      <c r="BX115" s="132">
        <f ca="1">RZ[[#This Row],[Úroveň 3 s koef. (P2a)]]*RZ[[#This Row],[Počet MJHR (P0)]]</f>
        <v>10.27</v>
      </c>
      <c r="BY115" s="132">
        <f ca="1">RZ[Úroveň 3 bez koef. (P2a)]*RZ[[#This Row],[Počet MJHR (P0)]]</f>
        <v>10.27</v>
      </c>
      <c r="BZ115" s="132">
        <f ca="1">IF(OFFSET(BA115,1,0,1,1)&lt;&gt;0,RZ[[#This Row],[Koeficient odhadu HR '[-'] (P1)]]*$BJ115*SUMIFS(RZ[Úroveň 4 s koef. (P2)],RZ[0],AX115,RZ[Úroveň 2 (P0)],AY115,RZ[Úroveň 3 (P0)],AZ115),RZ[[#This Row],[Koeficient odhadu HR '[-'] (P1)]]*$BJ115*$IG115)</f>
        <v>10.27</v>
      </c>
      <c r="CA115" s="132">
        <f ca="1">IF(OFFSET(BA115,1,0,1,1)&lt;&gt;0,$BJ115*SUMIFS(RZ[Úroveň 4 bez koef. (P2)],RZ[0],AX115,RZ[Úroveň 2 (P0)],AY115,RZ[Úroveň 3 (P0)],AZ115),$BJ115*$IG115)</f>
        <v>10.27</v>
      </c>
      <c r="CB115" s="138">
        <f ca="1">RZ[[#This Row],[Úroveň 4 s koef. (P2a)]]*RZ[[#This Row],[Počet MJHR (P0)]]</f>
        <v>0</v>
      </c>
      <c r="CC115" s="138">
        <f ca="1">RZ[Úroveň 4 bez koef. (P2a)]*RZ[[#This Row],[Počet MJHR (P0)]]</f>
        <v>0</v>
      </c>
      <c r="CD115" s="138">
        <f ca="1">IF(OFFSET(BB115,1,0,1,1)&lt;&gt;0,RZ[[#This Row],[Koeficient odhadu HR '[-'] (P1)]]*$BK115*SUMIFS(RZ[Úroveň 5 s koef. (P2)],RZ[0],AX115,RZ[Úroveň 2 (P0)],AY115,RZ[Úroveň 3 (P0)],AZ115,RZ[Úroveň 4 (P0)],BA115),RZ[[#This Row],[Koeficient odhadu HR '[-'] (P1)]]*$BK115*$IG115)</f>
        <v>0</v>
      </c>
      <c r="CE115" s="138">
        <f ca="1">IF(OFFSET(BB115,1,0,1,1)&lt;&gt;0,$BK115*SUMIFS(RZ[Úroveň 5 bez koef. (P2)],RZ[0],AX115,RZ[Úroveň 2 (P0)],AY115,RZ[Úroveň 3 (P0)],AZ115,RZ[Úroveň 4 (P0)],BA115),$BK115*$IG115)</f>
        <v>0</v>
      </c>
      <c r="CF115" s="132">
        <f ca="1">RZ[[#This Row],[Úroveň 5 s koef. (P2a)]]*RZ[[#This Row],[Počet MJHR (P0)]]</f>
        <v>0</v>
      </c>
      <c r="CG115" s="132">
        <f ca="1">RZ[Úroveň 5 bez koef. (P2a)]*RZ[[#This Row],[Počet MJHR (P0)]]</f>
        <v>0</v>
      </c>
      <c r="CH115" s="132">
        <f ca="1">IF(OFFSET(BC115,1,0,1,1)&lt;&gt;0,RZ[[#This Row],[Koeficient odhadu HR '[-'] (P1)]]*$BL115*SUMIFS(RZ[Úroveň 6 s koef. (P2)],RZ[0],AX115,RZ[Úroveň 2 (P0)],AY115,RZ[Úroveň 3 (P0)],AZ115,RZ[Úroveň 4 (P0)],BA115,RZ[Úroveň 5 (P0)],BB115),RZ[[#This Row],[Koeficient odhadu HR '[-'] (P1)]]*$BL115*$IG115)</f>
        <v>0</v>
      </c>
      <c r="CI115" s="132">
        <f ca="1">IF(OFFSET(BC115,1,0,1,1)&lt;&gt;0,$BL115*SUMIFS(RZ[Úroveň 6 bez koef. (P2)],RZ[0],AX115,RZ[Úroveň 2 (P0)],AY115,RZ[Úroveň 3 (P0)],AZ115,RZ[Úroveň 4 (P0)],BA115,RZ[Úroveň 5 (P0)],BB115),$BL115*$IG115)</f>
        <v>0</v>
      </c>
      <c r="CJ115" s="138">
        <f ca="1">RZ[[#This Row],[Úroveň 6 s koef. (P2a)]]*RZ[[#This Row],[Počet MJHR (P0)]]</f>
        <v>0</v>
      </c>
      <c r="CK115" s="138">
        <f ca="1">RZ[Úroveň 6 bez koef. (P2a)]*RZ[[#This Row],[Počet MJHR (P0)]]</f>
        <v>0</v>
      </c>
      <c r="CL115" s="138">
        <f ca="1">IF(OFFSET(BD115,1,0,1,1)&lt;&gt;0,RZ[[#This Row],[Koeficient odhadu HR '[-'] (P1)]]*$BM115*SUMIFS(RZ[Úroveň 7 s koef. (P2)],RZ[0],AX115,RZ[Úroveň 2 (P0)],AY115,RZ[Úroveň 3 (P0)],AZ115,RZ[Úroveň 4 (P0)],BA115,RZ[Úroveň 5 (P0)],BB115,RZ[Úroveň 6 (P0)],BC115),RZ[[#This Row],[Koeficient odhadu HR '[-'] (P1)]]*$BM115*$IG115)</f>
        <v>0</v>
      </c>
      <c r="CM115" s="138">
        <f ca="1">IF(OFFSET(BD115,1,0,1,1)&lt;&gt;0,$BM115*SUMIFS(RZ[Úroveň 7 bez koef. (P2)],RZ[0],AX115,RZ[Úroveň 2 (P0)],AY115,RZ[Úroveň 3 (P0)],AZ115,RZ[Úroveň 4 (P0)],BA115,RZ[Úroveň 5 (P0)],BB115,RZ[Úroveň 6 (P0)],BC115),$BM115*$IG115)</f>
        <v>0</v>
      </c>
      <c r="CN115" s="132">
        <f ca="1">RZ[[#This Row],[Úroveň 7 s koef. (P2a)]]*RZ[[#This Row],[Počet MJHR (P0)]]</f>
        <v>0</v>
      </c>
      <c r="CO115" s="132">
        <f ca="1">RZ[Úroveň 7 bez koef. (P2a)]*RZ[[#This Row],[Počet MJHR (P0)]]</f>
        <v>0</v>
      </c>
      <c r="CP115" s="132">
        <f ca="1">IF(OFFSET(BE115,1,0,1,1)&lt;&gt;0,RZ[[#This Row],[Koeficient odhadu HR '[-'] (P1)]]*$BN115*SUMIFS(RZ[Úroveň 8 s koef. (P2)],RZ[0],AX115,RZ[Úroveň 2 (P0)],AY115,RZ[Úroveň 3 (P0)],AZ115,RZ[Úroveň 4 (P0)],BA115,RZ[Úroveň 5 (P0)],BB115,RZ[Úroveň 6 (P0)],BC115,RZ[Úroveň 7 (P0)],BD115),RZ[[#This Row],[Koeficient odhadu HR '[-'] (P1)]]*$BN115*$IG115)</f>
        <v>0</v>
      </c>
      <c r="CQ115" s="132">
        <f ca="1">IF(OFFSET(BE115,1,0,1,1)&lt;&gt;0,$BN115*SUMIFS(RZ[Úroveň 8 bez koef. (P2)],RZ[0],AX115,RZ[Úroveň 2 (P0)],AY115,RZ[Úroveň 3 (P0)],AZ115,RZ[Úroveň 4 (P0)],BA115,RZ[Úroveň 5 (P0)],BB115,RZ[Úroveň 6 (P0)],BC115,RZ[Úroveň 7 (P0)],BD115),$BN115*$IG115)</f>
        <v>0</v>
      </c>
      <c r="CR115" s="138">
        <f ca="1">RZ[[#This Row],[Úroveň 8 s koef. (P2a)]]*RZ[[#This Row],[Počet MJHR (P0)]]</f>
        <v>0</v>
      </c>
      <c r="CS115" s="138">
        <f ca="1">RZ[Úroveň 8 bez koef. (P2a)]*RZ[[#This Row],[Počet MJHR (P0)]]</f>
        <v>0</v>
      </c>
      <c r="CT115" s="138">
        <f ca="1">IF(OFFSET(BF115,1,0,1,1)&lt;&gt;0,RZ[[#This Row],[Koeficient odhadu HR '[-'] (P1)]]*$BO115*SUMIFS(RZ[Úroveň 9 s koef. (P2)],RZ[0],AX115,RZ[Úroveň 2 (P0)],AY115,RZ[Úroveň 3 (P0)],AZ115,RZ[Úroveň 4 (P0)],BA115,RZ[Úroveň 5 (P0)],BB115,RZ[Úroveň 6 (P0)],BC115,RZ[Úroveň 7 (P0)],BD115,RZ[Úroveň 8 (P0)],BE115),RZ[[#This Row],[Koeficient odhadu HR '[-'] (P1)]]*$BO115*$IG115)</f>
        <v>0</v>
      </c>
      <c r="CU115" s="138">
        <f ca="1">IF(OFFSET(BF115,1,0,1,1)&lt;&gt;0,$BO115*SUMIFS(RZ[Úroveň 9 bez koef. (P2)],RZ[0],AX115,RZ[Úroveň 2 (P0)],AY115,RZ[Úroveň 3 (P0)],AZ115,RZ[Úroveň 4 (P0)],BA115,RZ[Úroveň 5 (P0)],BB115,RZ[Úroveň 6 (P0)],BC115,RZ[Úroveň 7 (P0)],BD115,RZ[Úroveň 8 (P0)],BE115),$BO115*$IG115)</f>
        <v>0</v>
      </c>
      <c r="CV115" s="132">
        <f ca="1">RZ[[#This Row],[Úroveň 9 s koef. (P2a)]]*RZ[[#This Row],[Počet MJHR (P0)]]</f>
        <v>0</v>
      </c>
      <c r="CW115" s="132">
        <f ca="1">RZ[Úroveň 9 bez koef. (P2a)]*RZ[[#This Row],[Počet MJHR (P0)]]</f>
        <v>0</v>
      </c>
      <c r="CX115" s="132">
        <f ca="1">IF(OFFSET(BG115,1,0,1,1)&lt;&gt;0,RZ[[#This Row],[Koeficient odhadu HR '[-'] (P1)]]*$BP115*SUMIFS(RZ[Úroveň 10 s koef. (P2)],RZ[0],AX115,RZ[Úroveň 2 (P0)],AY115,RZ[Úroveň 3 (P0)],AZ115,RZ[Úroveň 4 (P0)],BA115,RZ[Úroveň 5 (P0)],BB115,RZ[Úroveň 6 (P0)],BC115,RZ[Úroveň 7 (P0)],BD115,RZ[Úroveň 8 (P0)],BE115,RZ[Úroveň 9 (P0)],BF115),RZ[[#This Row],[Koeficient odhadu HR '[-'] (P1)]]*$BP115*$IG115)</f>
        <v>0</v>
      </c>
      <c r="CY115" s="132">
        <f ca="1">IF(OFFSET(BG115,1,0,1,1)&lt;&gt;0,$BP115*SUMIFS(RZ[Úroveň 10 bez koef. (P2)],RZ[0],AX115,RZ[Úroveň 2 (P0)],AY115,RZ[Úroveň 3 (P0)],AZ115,RZ[Úroveň 4 (P0)],BA115,RZ[Úroveň 5 (P0)],BB115,RZ[Úroveň 6 (P0)],BC115,RZ[Úroveň 7 (P0)],BD115,RZ[Úroveň 8 (P0)],BE115,RZ[Úroveň 9 (P0)],BF115),$BP115*$IG115)</f>
        <v>0</v>
      </c>
      <c r="CZ115" s="138">
        <f>RZ[[#This Row],[Úroveň 10 s koef. (P2a)]]*RZ[[#This Row],[Počet MJHR (P0)]]</f>
        <v>0</v>
      </c>
      <c r="DA115" s="138">
        <f>RZ[Úroveň 10 bez koef. (P2a)]*RZ[[#This Row],[Počet MJHR (P0)]]</f>
        <v>0</v>
      </c>
      <c r="DB115" s="138">
        <f>RZ[[#This Row],[Koeficient odhadu HR '[-'] (P1)]]*$BQ115*IG115</f>
        <v>0</v>
      </c>
      <c r="DC115" s="231">
        <f t="shared" si="861"/>
        <v>0</v>
      </c>
      <c r="DD115" s="241">
        <f t="shared" ca="1" si="862"/>
        <v>10.27</v>
      </c>
      <c r="DE115" s="229">
        <f t="shared" ca="1" si="863"/>
        <v>10.27</v>
      </c>
      <c r="DF115" s="912">
        <f t="shared" si="864"/>
        <v>0</v>
      </c>
      <c r="DG115" s="913">
        <f t="shared" si="865"/>
        <v>0</v>
      </c>
      <c r="DH115" s="913">
        <f t="shared" si="866"/>
        <v>1</v>
      </c>
      <c r="DI115" s="913">
        <f t="shared" si="867"/>
        <v>0</v>
      </c>
      <c r="DJ115" s="913">
        <f t="shared" si="868"/>
        <v>0</v>
      </c>
      <c r="DK115" s="913">
        <f t="shared" si="869"/>
        <v>0</v>
      </c>
      <c r="DL115" s="913">
        <f t="shared" si="870"/>
        <v>0</v>
      </c>
      <c r="DM115" s="913">
        <f t="shared" si="871"/>
        <v>0</v>
      </c>
      <c r="DN115" s="913">
        <f t="shared" si="872"/>
        <v>0</v>
      </c>
      <c r="DO115" s="913">
        <f t="shared" si="873"/>
        <v>0</v>
      </c>
      <c r="DP115" s="914">
        <f ca="1">SUMIFS(RZ[Úroveň 1 (P4)],RZ[0],AX115)</f>
        <v>1</v>
      </c>
      <c r="DQ115" s="914">
        <f ca="1">SUMIFS(RZ[Úroveň 2 (P4)],RZ[0],AX115,RZ[Úroveň 2 (P0)],AY115)</f>
        <v>2</v>
      </c>
      <c r="DR115" s="914">
        <f ca="1">SUMIFS(RZ[Úroveň 3 (P4)],RZ[0],AX115,RZ[Úroveň 2 (P0)],AY115,RZ[Úroveň 3 (P0)],AZ115)</f>
        <v>1</v>
      </c>
      <c r="DS115" s="914">
        <f ca="1">SUMIFS(RZ[Úroveň 4 (P4)],RZ[0],AX115,RZ[Úroveň 2 (P0)],AY115,RZ[Úroveň 3 (P0)],AZ115,RZ[Úroveň 4 (P0)],BA115)</f>
        <v>0</v>
      </c>
      <c r="DT115" s="914">
        <f ca="1">SUMIFS(RZ[Úroveň 5 (P4)],RZ[0],AX115,RZ[Úroveň 2 (P0)],AY115,RZ[Úroveň 3 (P0)],AZ115,RZ[Úroveň 4 (P0)],BA115,RZ[Úroveň 5 (P0)],BB115)</f>
        <v>0</v>
      </c>
      <c r="DU115" s="914">
        <f ca="1">SUMIFS(RZ[Úroveň 6 (P4)],RZ[0],AX115,RZ[Úroveň 2 (P0)],AY115,RZ[Úroveň 3 (P0)],AZ115,RZ[Úroveň 4 (P0)],BA115,RZ[Úroveň 5 (P0)],BB115,RZ[Úroveň 6 (P0)],BC115)</f>
        <v>0</v>
      </c>
      <c r="DV115" s="914">
        <f ca="1">SUMIFS(RZ[Úroveň 7 (P4)],RZ[0],AX115,RZ[Úroveň 2 (P0)],AY115,RZ[Úroveň 3 (P0)],AZ115,RZ[Úroveň 4 (P0)],BA115,RZ[Úroveň 5 (P0)],BB115,RZ[Úroveň 6 (P0)],BC115,RZ[Úroveň 7 (P0)],BD115)</f>
        <v>0</v>
      </c>
      <c r="DW115" s="914">
        <f ca="1">SUMIFS(RZ[Úroveň 8 (P4)],RZ[0],AX115,RZ[Úroveň 2 (P0)],AY115,RZ[Úroveň 3 (P0)],AZ115,RZ[Úroveň 4 (P0)],BA115,RZ[Úroveň 5 (P0)],BB115,RZ[Úroveň 6 (P0)],BC115,RZ[Úroveň 7 (P0)],BD115,RZ[Úroveň 8 (P0)],BE115)</f>
        <v>0</v>
      </c>
      <c r="DX115" s="914">
        <f ca="1">SUMIFS(RZ[Úroveň 9 (P4)],RZ[0],AX115,RZ[Úroveň 2 (P0)],AY115,RZ[Úroveň 3 (P0)],AZ115,RZ[Úroveň 4 (P0)],BA115,RZ[Úroveň 5 (P0)],BB115,RZ[Úroveň 6 (P0)],BC115,RZ[Úroveň 7 (P0)],BD115,RZ[Úroveň 8 (P0)],BE115,RZ[Úroveň 9 (P0)],BF115)</f>
        <v>0</v>
      </c>
      <c r="DY115" s="914">
        <f ca="1">SUMIFS(RZ[Úroveň 10 (P4)],RZ[0],AX115,RZ[Úroveň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DZ115" s="915">
        <f t="shared" ca="1" si="874"/>
        <v>2</v>
      </c>
      <c r="EA115" s="916">
        <f ca="1">RZ[[#This Row],[Jednotková hmotnost bez koef. '[kg/MJHR'] (P0)]]*RZ[[#This Row],[Počet MJHR v rozpadu (P0)]]</f>
        <v>20.54</v>
      </c>
      <c r="EB115" s="917">
        <f ca="1">IF(OFFSET(AY115,1,0,1,1)&lt;&gt;0,RZ[[#This Row],[Koeficient odhadu CR '[-'] (P1)]]*$BH115*SUMIFS(RZ[Úroveň 2 s koef. (P3)],RZ[0],AX115),RZ[[#This Row],[Koeficient odhadu CR '[-'] (P1)]]*$BH115*$IQ115)</f>
        <v>0</v>
      </c>
      <c r="EC115" s="191">
        <f ca="1">IF(OFFSET(AY115,1,0,1,1)&lt;&gt;0,$BH115*SUMIFS(RZ[Úroveň 2 bez koef. (P3)],RZ[0],AX115),$BH115*$IQ115)</f>
        <v>0</v>
      </c>
      <c r="ED115" s="140">
        <f ca="1">RZ[[#This Row],[Úroveň 2 s koef. (P3a)]]*RZ[[#This Row],[Počet MJCR (P0) pro "kg"]]</f>
        <v>0</v>
      </c>
      <c r="EE115" s="140">
        <f ca="1">RZ[Úroveň 2 bez koef. (P3a)]*RZ[[#This Row],[Počet MJCR (P0) pro "kg"]]</f>
        <v>0</v>
      </c>
      <c r="EF115" s="140">
        <f ca="1">IF(OFFSET(AZ115,1,0,1,1)&lt;&gt;0,RZ[[#This Row],[Koeficient odhadu CR '[-'] (P1)]]*$BI115*SUMIFS(RZ[Úroveň 3 s koef. (P3)],RZ[0],AX115,RZ[Úroveň 2 (P0)],AY115),RZ[[#This Row],[Koeficient odhadu CR '[-'] (P1)]]*$BI115*$IQ115)</f>
        <v>0</v>
      </c>
      <c r="EG115" s="140">
        <f ca="1">IF(OFFSET(AZ115,1,0,1,1)&lt;&gt;0,$BI115*SUMIFS(RZ[Úroveň 3 bez koef. (P3)],RZ[0],AX115,RZ[Úroveň 2 (P0)],AY115),$BI115*$IQ115)</f>
        <v>0</v>
      </c>
      <c r="EH115" s="135">
        <f ca="1">RZ[[#This Row],[Úroveň 3 s koef. (P3a)]]*RZ[[#This Row],[Počet MJCR (P0) pro "kg"]]</f>
        <v>1181.05</v>
      </c>
      <c r="EI115" s="135">
        <f ca="1">RZ[Úroveň 3 bez koef. (P3a)]*RZ[[#This Row],[Počet MJCR (P0) pro "kg"]]</f>
        <v>1181.05</v>
      </c>
      <c r="EJ115" s="135">
        <f ca="1">IF(OFFSET(BA115,1,0,1,1)&lt;&gt;0,RZ[[#This Row],[Koeficient odhadu CR '[-'] (P1)]]*$BJ115*SUMIFS(RZ[Úroveň 4 s koef. (P3)],RZ[0],AX115,RZ[Úroveň 2 (P0)],AY115,RZ[Úroveň 3 (P0)],AZ115),RZ[[#This Row],[Koeficient odhadu CR '[-'] (P1)]]*$BJ115*$IQ115)</f>
        <v>115</v>
      </c>
      <c r="EK115" s="135">
        <f ca="1">IF(OFFSET(BA115,1,0,1,1)&lt;&gt;0,$BJ115*SUMIFS(RZ[Úroveň 4 bez koef. (P3)],RZ[0],AX115,RZ[Úroveň 2 (P0)],AY115,RZ[Úroveň 3 (P0)],AZ115),$BJ115*$IQ115)</f>
        <v>115</v>
      </c>
      <c r="EL115" s="140">
        <f ca="1">RZ[[#This Row],[Úroveň 4 s koef. (P3a)]]*RZ[[#This Row],[Počet MJCR (P0) pro "kg"]]</f>
        <v>0</v>
      </c>
      <c r="EM115" s="140">
        <f ca="1">RZ[Úroveň 4 bez koef. (P3a)]*RZ[[#This Row],[Počet MJCR (P0) pro "kg"]]</f>
        <v>0</v>
      </c>
      <c r="EN115" s="140">
        <f ca="1">IF(OFFSET(BB115,1,0,1,1)&lt;&gt;0,RZ[[#This Row],[Koeficient odhadu CR '[-'] (P1)]]*$BK115*SUMIFS(RZ[Úroveň 5 s koef. (P3)],RZ[0],AX115,RZ[Úroveň 2 (P0)],AY115,RZ[Úroveň 3 (P0)],AZ115,RZ[Úroveň 4 (P0)],BA115),RZ[[#This Row],[Koeficient odhadu CR '[-'] (P1)]]*$BK115*$IQ115)</f>
        <v>0</v>
      </c>
      <c r="EO115" s="140">
        <f ca="1">IF(OFFSET(BB115,1,0,1,1)&lt;&gt;0,$BK115*SUMIFS(RZ[Úroveň 5 bez koef. (P3)],RZ[0],AX115,RZ[Úroveň 2 (P0)],AY115,RZ[Úroveň 3 (P0)],AZ115,RZ[Úroveň 4 (P0)],BA115),$BK115*$IQ115)</f>
        <v>0</v>
      </c>
      <c r="EP115" s="135">
        <f ca="1">RZ[[#This Row],[Úroveň 5 s koef. (P3a)]]*RZ[[#This Row],[Počet MJCR (P0) pro "kg"]]</f>
        <v>0</v>
      </c>
      <c r="EQ115" s="135">
        <f ca="1">RZ[Úroveň 5 bez koef. (P3a)]*RZ[[#This Row],[Počet MJCR (P0) pro "kg"]]</f>
        <v>0</v>
      </c>
      <c r="ER115" s="135">
        <f ca="1">IF(OFFSET(BC115,1,0,1,1)&lt;&gt;0,RZ[[#This Row],[Koeficient odhadu CR '[-'] (P1)]]*$BL115*SUMIFS(RZ[Úroveň 6 s koef. (P3)],RZ[0],AX115,RZ[Úroveň 2 (P0)],AY115,RZ[Úroveň 3 (P0)],AZ115,RZ[Úroveň 4 (P0)],BA115,RZ[Úroveň 5 (P0)],BB115),RZ[[#This Row],[Koeficient odhadu CR '[-'] (P1)]]*$BL115*$IQ115)</f>
        <v>0</v>
      </c>
      <c r="ES115" s="135">
        <f ca="1">IF(OFFSET(BC115,1,0,1,1)&lt;&gt;0,$BL115*SUMIFS(RZ[Úroveň 6 bez koef. (P3)],RZ[0],AX115,RZ[Úroveň 2 (P0)],AY115,RZ[Úroveň 3 (P0)],AZ115,RZ[Úroveň 4 (P0)],BA115,RZ[Úroveň 5 (P0)],BB115),$BL115*$IQ115)</f>
        <v>0</v>
      </c>
      <c r="ET115" s="140">
        <f ca="1">RZ[[#This Row],[Úroveň 6 s koef. (P3a)]]*RZ[[#This Row],[Počet MJCR (P0) pro "kg"]]</f>
        <v>0</v>
      </c>
      <c r="EU115" s="140">
        <f ca="1">RZ[Úroveň 6 bez koef. (P3a)]*RZ[[#This Row],[Počet MJCR (P0) pro "kg"]]</f>
        <v>0</v>
      </c>
      <c r="EV115" s="140">
        <f ca="1">IF(OFFSET(BD115,1,0,1,1)&lt;&gt;0,RZ[[#This Row],[Koeficient odhadu CR '[-'] (P1)]]*$BM115*SUMIFS(RZ[Úroveň 7 s koef. (P3)],RZ[0],AX115,RZ[Úroveň 2 (P0)],AY115,RZ[Úroveň 3 (P0)],AZ115,RZ[Úroveň 4 (P0)],BA115,RZ[Úroveň 5 (P0)],BB115,RZ[Úroveň 6 (P0)],BC115),RZ[[#This Row],[Koeficient odhadu CR '[-'] (P1)]]*$BM115*$IQ115)</f>
        <v>0</v>
      </c>
      <c r="EW115" s="140">
        <f ca="1">IF(OFFSET(BD115,1,0,1,1)&lt;&gt;0,$BM115*SUMIFS(RZ[Úroveň 7 bez koef. (P3)],RZ[0],AX115,RZ[Úroveň 2 (P0)],AY115,RZ[Úroveň 3 (P0)],AZ115,RZ[Úroveň 4 (P0)],BA115,RZ[Úroveň 5 (P0)],BB115,RZ[Úroveň 6 (P0)],BC115),$BM115*$IQ115)</f>
        <v>0</v>
      </c>
      <c r="EX115" s="135">
        <f ca="1">RZ[[#This Row],[Úroveň 7 s koef. (P3a)]]*RZ[[#This Row],[Počet MJCR (P0) pro "kg"]]</f>
        <v>0</v>
      </c>
      <c r="EY115" s="135">
        <f ca="1">RZ[Úroveň 7 bez koef. (P3a)]*RZ[[#This Row],[Počet MJCR (P0) pro "kg"]]</f>
        <v>0</v>
      </c>
      <c r="EZ115" s="135">
        <f ca="1">IF(OFFSET(BE115,1,0,1,1)&lt;&gt;0,RZ[[#This Row],[Koeficient odhadu CR '[-'] (P1)]]*$BN115*SUMIFS(RZ[Úroveň 8 s koef. (P3)],RZ[0],AX115,RZ[Úroveň 2 (P0)],AY115,RZ[Úroveň 3 (P0)],AZ115,RZ[Úroveň 4 (P0)],BA115,RZ[Úroveň 5 (P0)],BB115,RZ[Úroveň 6 (P0)],BC115,RZ[Úroveň 7 (P0)],BD115),RZ[[#This Row],[Koeficient odhadu CR '[-'] (P1)]]*$BN115*$IQ115)</f>
        <v>0</v>
      </c>
      <c r="FA115" s="135">
        <f ca="1">IF(OFFSET(BE115,1,0,1,1)&lt;&gt;0,$BN115*SUMIFS(RZ[Úroveň 8 bez koef. (P3)],RZ[0],AX115,RZ[Úroveň 2 (P0)],AY115,RZ[Úroveň 3 (P0)],AZ115,RZ[Úroveň 4 (P0)],BA115,RZ[Úroveň 5 (P0)],BB115,RZ[Úroveň 6 (P0)],BC115,RZ[Úroveň 7 (P0)],BD115),$BN115*$IQ115)</f>
        <v>0</v>
      </c>
      <c r="FB115" s="140">
        <f ca="1">RZ[[#This Row],[Úroveň 8 s koef. (P3a)]]*RZ[[#This Row],[Počet MJCR (P0) pro "kg"]]</f>
        <v>0</v>
      </c>
      <c r="FC115" s="140">
        <f ca="1">RZ[Úroveň 8 bez koef. (P3a)]*RZ[[#This Row],[Počet MJCR (P0) pro "kg"]]</f>
        <v>0</v>
      </c>
      <c r="FD115" s="140">
        <f ca="1">IF(OFFSET(BF115,1,0,1,1)&lt;&gt;0,RZ[[#This Row],[Koeficient odhadu CR '[-'] (P1)]]*$BO115*SUMIFS(RZ[Úroveň 9 s koef. (P3)],RZ[0],AX115,RZ[Úroveň 2 (P0)],AY115,RZ[Úroveň 3 (P0)],AZ115,RZ[Úroveň 4 (P0)],BA115,RZ[Úroveň 5 (P0)],BB115,RZ[Úroveň 6 (P0)],BC115,RZ[Úroveň 7 (P0)],BD115,RZ[Úroveň 8 (P0)],BE115),RZ[[#This Row],[Koeficient odhadu CR '[-'] (P1)]]*$BO115*$IQ115)</f>
        <v>0</v>
      </c>
      <c r="FE115" s="140">
        <f ca="1">IF(OFFSET(BF115,1,0,1,1)&lt;&gt;0,$BO115*SUMIFS(RZ[Úroveň 9 bez koef. (P3)],RZ[0],AX115,RZ[Úroveň 2 (P0)],AY115,RZ[Úroveň 3 (P0)],AZ115,RZ[Úroveň 4 (P0)],BA115,RZ[Úroveň 5 (P0)],BB115,RZ[Úroveň 6 (P0)],BC115,RZ[Úroveň 7 (P0)],BD115,RZ[Úroveň 8 (P0)],BE115),$BO115*$IQ115)</f>
        <v>0</v>
      </c>
      <c r="FF115" s="135">
        <f ca="1">RZ[[#This Row],[Úroveň 9 s koef. (P3a)]]*RZ[[#This Row],[Počet MJCR (P0) pro "kg"]]</f>
        <v>0</v>
      </c>
      <c r="FG115" s="135">
        <f ca="1">RZ[Úroveň 9 bez koef. (P3a)]*RZ[[#This Row],[Počet MJCR (P0) pro "kg"]]</f>
        <v>0</v>
      </c>
      <c r="FH115" s="135">
        <f ca="1">IF(OFFSET(BG115,1,0,1,1)&lt;&gt;0,RZ[[#This Row],[Koeficient odhadu CR '[-'] (P1)]]*$BP115*SUMIFS(RZ[Úroveň 10 s koef. (P3)],RZ[0],AX115,RZ[Úroveň 2 (P0)],AY115,RZ[Úroveň 3 (P0)],AZ115,RZ[Úroveň 4 (P0)],BA115,RZ[Úroveň 5 (P0)],BB115,RZ[Úroveň 6 (P0)],BC115,RZ[Úroveň 7 (P0)],BD115,RZ[Úroveň 8 (P0)],BE115,RZ[Úroveň 9 (P0)],BF115),RZ[[#This Row],[Koeficient odhadu CR '[-'] (P1)]]*$BP115*$IQ115)</f>
        <v>0</v>
      </c>
      <c r="FI115" s="135">
        <f ca="1">IF(OFFSET(BG115,1,0,1,1)&lt;&gt;0,$BP115*SUMIFS(RZ[Úroveň 10 bez koef. (P3)],RZ[0],AX115,RZ[Úroveň 2 (P0)],AY115,RZ[Úroveň 3 (P0)],AZ115,RZ[Úroveň 4 (P0)],BA115,RZ[Úroveň 5 (P0)],BB115,RZ[Úroveň 6 (P0)],BC115,RZ[Úroveň 7 (P0)],BD115,RZ[Úroveň 8 (P0)],BE115,RZ[Úroveň 9 (P0)],BF115),$BP115*$IQ115)</f>
        <v>0</v>
      </c>
      <c r="FJ115" s="140">
        <f ca="1">RZ[[#This Row],[Úroveň 10 s koef. (P3a)]]*RZ[[#This Row],[Počet MJCR (P0) pro "kg"]]</f>
        <v>0</v>
      </c>
      <c r="FK115" s="140">
        <f ca="1">RZ[Úroveň 10 bez koef. (P3a)]*RZ[[#This Row],[Počet MJCR (P0) pro "kg"]]</f>
        <v>0</v>
      </c>
      <c r="FL115" s="140">
        <f ca="1">RZ[[#This Row],[Koeficient odhadu CR '[-'] (P1)]]*$BQ115*IQ115</f>
        <v>0</v>
      </c>
      <c r="FM115" s="236">
        <f t="shared" ca="1" si="875"/>
        <v>0</v>
      </c>
      <c r="FN115" s="194">
        <f t="shared" ca="1" si="876"/>
        <v>115</v>
      </c>
      <c r="FO115" s="238">
        <f t="shared" ca="1" si="877"/>
        <v>115</v>
      </c>
      <c r="FP115" s="135">
        <f t="shared" ca="1" si="878"/>
        <v>0</v>
      </c>
      <c r="FQ115" s="135">
        <f t="shared" ca="1" si="879"/>
        <v>0</v>
      </c>
      <c r="FR115" s="135">
        <f t="shared" ca="1" si="880"/>
        <v>10.27</v>
      </c>
      <c r="FS115" s="135">
        <f t="shared" ca="1" si="881"/>
        <v>0</v>
      </c>
      <c r="FT115" s="135">
        <f t="shared" ca="1" si="882"/>
        <v>0</v>
      </c>
      <c r="FU115" s="135">
        <f t="shared" ca="1" si="883"/>
        <v>0</v>
      </c>
      <c r="FV115" s="135">
        <f t="shared" ca="1" si="884"/>
        <v>0</v>
      </c>
      <c r="FW115" s="135">
        <f t="shared" ca="1" si="885"/>
        <v>0</v>
      </c>
      <c r="FX115" s="135">
        <f t="shared" ca="1" si="886"/>
        <v>0</v>
      </c>
      <c r="FY115" s="135">
        <f t="shared" ca="1" si="887"/>
        <v>0</v>
      </c>
      <c r="FZ115" s="140">
        <f ca="1">SUMIFS(RZ[Úroveň 1 (P6)],RZ[0],AX115)</f>
        <v>1</v>
      </c>
      <c r="GA115" s="140">
        <f ca="1">SUMIFS(RZ[Úroveň 2 (P6)],RZ[0],AX115,RZ[Úroveň 2 (P0)],AY115)</f>
        <v>2</v>
      </c>
      <c r="GB115" s="140">
        <f ca="1">SUMIFS(RZ[Úroveň 3 (P6)],RZ[0],AX115,RZ[Úroveň 2 (P0)],AY115,RZ[Úroveň 3 (P0)],AZ115)</f>
        <v>10.27</v>
      </c>
      <c r="GC115" s="140">
        <f ca="1">SUMIFS(RZ[Úroveň 4 (P6)],RZ[0],AX115,RZ[Úroveň 2 (P0)],AY115,RZ[Úroveň 3 (P0)],AZ115,RZ[Úroveň 4 (P0)],BA115)</f>
        <v>0</v>
      </c>
      <c r="GD115" s="140">
        <f ca="1">SUMIFS(RZ[Úroveň 5 (P6)],RZ[0],AX115,RZ[Úroveň 2 (P0)],AY115,RZ[Úroveň 3 (P0)],AZ115,RZ[Úroveň 4 (P0)],BA115,RZ[Úroveň 5 (P0)],BB115)</f>
        <v>0</v>
      </c>
      <c r="GE115" s="140">
        <f ca="1">SUMIFS(RZ[Úroveň 6 (P6)],RZ[0],AX115,RZ[Úroveň 2 (P0)],AY115,RZ[Úroveň 3 (P0)],AZ115,RZ[Úroveň 4 (P0)],BA115,RZ[Úroveň 5 (P0)],BB115,RZ[Úroveň 6 (P0)],BC115)</f>
        <v>0</v>
      </c>
      <c r="GF115" s="140">
        <f ca="1">SUMIFS(RZ[Úroveň 7 (P6)],RZ[0],AX115,RZ[Úroveň 2 (P0)],AY115,RZ[Úroveň 3 (P0)],AZ115,RZ[Úroveň 4 (P0)],BA115,RZ[Úroveň 5 (P0)],BB115,RZ[Úroveň 6 (P0)],BC115,RZ[Úroveň 7 (P0)],BD115)</f>
        <v>0</v>
      </c>
      <c r="GG115" s="140">
        <f ca="1">SUMIFS(RZ[Úroveň 8 (P6)],RZ[0],AX115,RZ[Úroveň 2 (P0)],AY115,RZ[Úroveň 3 (P0)],AZ115,RZ[Úroveň 4 (P0)],BA115,RZ[Úroveň 5 (P0)],BB115,RZ[Úroveň 6 (P0)],BC115,RZ[Úroveň 7 (P0)],BD115,RZ[Úroveň 8 (P0)],BE115)</f>
        <v>0</v>
      </c>
      <c r="GH115" s="140">
        <f ca="1">SUMIFS(RZ[Úroveň 9 (P6)],RZ[0],AX115,RZ[Úroveň 2 (P0)],AY115,RZ[Úroveň 3 (P0)],AZ115,RZ[Úroveň 4 (P0)],BA115,RZ[Úroveň 5 (P0)],BB115,RZ[Úroveň 6 (P0)],BC115,RZ[Úroveň 7 (P0)],BD115,RZ[Úroveň 8 (P0)],BE115,RZ[Úroveň 9 (P0)],BF115)</f>
        <v>0</v>
      </c>
      <c r="GI115" s="140">
        <f ca="1">SUMIFS(RZ[Úroveň 10 (P6)],RZ[0],AX115,RZ[Úroveň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GJ115" s="918">
        <f t="shared" ca="1" si="888"/>
        <v>20.54</v>
      </c>
      <c r="GK115" s="808">
        <f t="shared" si="889"/>
        <v>0</v>
      </c>
      <c r="GL115" s="808">
        <f t="shared" si="890"/>
        <v>0</v>
      </c>
      <c r="GM115" s="808">
        <f t="shared" si="891"/>
        <v>1</v>
      </c>
      <c r="GN115" s="808">
        <f t="shared" si="892"/>
        <v>0</v>
      </c>
      <c r="GO115" s="808">
        <f t="shared" si="893"/>
        <v>0</v>
      </c>
      <c r="GP115" s="808">
        <f t="shared" si="894"/>
        <v>0</v>
      </c>
      <c r="GQ115" s="808">
        <f t="shared" si="895"/>
        <v>0</v>
      </c>
      <c r="GR115" s="808">
        <f t="shared" si="896"/>
        <v>0</v>
      </c>
      <c r="GS115" s="808">
        <f t="shared" si="897"/>
        <v>0</v>
      </c>
      <c r="GT115" s="808">
        <f t="shared" si="898"/>
        <v>0</v>
      </c>
      <c r="GU115" s="809">
        <f ca="1">SUMIFS(RZ[Sloupec1],RZ[0],AX115)</f>
        <v>1</v>
      </c>
      <c r="GV115" s="809">
        <f ca="1">SUMIFS(RZ[Sloupec2],RZ[0],AX115,RZ[Úroveň 2 (P0)],AY115)</f>
        <v>1</v>
      </c>
      <c r="GW115" s="809">
        <f ca="1">SUMIFS(RZ[Sloupec3],RZ[0],AX115,RZ[Úroveň 2 (P0)],AY115,RZ[Úroveň 3 (P0)],AZ115)</f>
        <v>1</v>
      </c>
      <c r="GX115" s="809">
        <f ca="1">SUMIFS(RZ[Sloupec4],RZ[0],AX115,RZ[Úroveň 2 (P0)],AY115,RZ[Úroveň 3 (P0)],AZ115,RZ[Úroveň 4 (P0)],BA115)</f>
        <v>0</v>
      </c>
      <c r="GY115" s="809">
        <f ca="1">SUMIFS(RZ[Sloupec5],RZ[0],AX115,RZ[Úroveň 2 (P0)],AY115,RZ[Úroveň 3 (P0)],AZ115,RZ[Úroveň 4 (P0)],BA115,RZ[Úroveň 5 (P0)],BB115)</f>
        <v>0</v>
      </c>
      <c r="GZ115" s="809">
        <f ca="1">SUMIFS(RZ[Sloupec6],RZ[0],AX115,RZ[Úroveň 2 (P0)],AY115,RZ[Úroveň 3 (P0)],AZ115,RZ[Úroveň 4 (P0)],BA115,RZ[Úroveň 5 (P0)],BB115,RZ[Úroveň 6 (P0)],BC115)</f>
        <v>0</v>
      </c>
      <c r="HA115" s="809">
        <f ca="1">SUMIFS(RZ[Sloupec62],RZ[0],AX115,RZ[Úroveň 2 (P0)],AY115,RZ[Úroveň 3 (P0)],AZ115,RZ[Úroveň 4 (P0)],BA115,RZ[Úroveň 5 (P0)],BB115,RZ[Úroveň 6 (P0)],BC115,RZ[Úroveň 7 (P0)],BD115)</f>
        <v>0</v>
      </c>
      <c r="HB115" s="809">
        <f ca="1">SUMIFS(RZ[Sloupec63],RZ[0],AX115,RZ[Úroveň 2 (P0)],AY115,RZ[Úroveň 3 (P0)],AZ115,RZ[Úroveň 4 (P0)],BA115,RZ[Úroveň 5 (P0)],BB115,RZ[Úroveň 6 (P0)],BC115,RZ[Úroveň 7 (P0)],BD115,RZ[Úroveň 8 (P0)],BE115)</f>
        <v>0</v>
      </c>
      <c r="HC115" s="809">
        <f ca="1">SUMIFS(RZ[Sloupec64],RZ[0],AX115,RZ[Úroveň 2 (P0)],AY115,RZ[Úroveň 3 (P0)],AZ115,RZ[Úroveň 4 (P0)],BA115,RZ[Úroveň 5 (P0)],BB115,RZ[Úroveň 6 (P0)],BC115,RZ[Úroveň 7 (P0)],BD115,RZ[Úroveň 8 (P0)],BE115,RZ[Úroveň 9 (P0)],BF115)</f>
        <v>0</v>
      </c>
      <c r="HD115" s="809">
        <f ca="1">SUMIFS(RZ[Sloupec65],RZ[0],AX115,RZ[Úroveň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HE115" s="919">
        <f t="shared" ca="1" si="899"/>
        <v>1</v>
      </c>
      <c r="HF115" s="920" t="str">
        <f t="shared" si="900"/>
        <v/>
      </c>
      <c r="HG115" s="94" t="str">
        <f t="shared" si="901"/>
        <v/>
      </c>
      <c r="HH115" s="95" t="str">
        <f t="shared" si="902"/>
        <v/>
      </c>
      <c r="HI115" s="95" t="str">
        <f t="shared" si="903"/>
        <v>Kladka - průměr 160 mm</v>
      </c>
      <c r="HJ115" s="96" t="str">
        <f t="shared" si="904"/>
        <v/>
      </c>
      <c r="HK115" s="96" t="str">
        <f t="shared" si="905"/>
        <v/>
      </c>
      <c r="HL115" s="96" t="str">
        <f t="shared" si="906"/>
        <v/>
      </c>
      <c r="HM115" s="96" t="str">
        <f t="shared" si="907"/>
        <v/>
      </c>
      <c r="HN115" s="96" t="str">
        <f t="shared" si="908"/>
        <v/>
      </c>
      <c r="HO115" s="96" t="str">
        <f t="shared" si="909"/>
        <v/>
      </c>
      <c r="HP115" s="96" t="str">
        <f t="shared" si="910"/>
        <v/>
      </c>
      <c r="HQ115" s="145" t="str">
        <f t="shared" si="911"/>
        <v>STO2</v>
      </c>
      <c r="HR115" s="921" t="str">
        <f t="shared" si="912"/>
        <v/>
      </c>
      <c r="HS115" s="173">
        <f t="shared" si="913"/>
        <v>0</v>
      </c>
      <c r="HT115" s="100">
        <f t="shared" si="914"/>
        <v>0</v>
      </c>
      <c r="HU115" s="100">
        <f t="shared" si="915"/>
        <v>0</v>
      </c>
      <c r="HV115" s="908">
        <f t="shared" si="916"/>
        <v>0</v>
      </c>
      <c r="HW115" s="922">
        <f t="shared" si="917"/>
        <v>0</v>
      </c>
      <c r="HX115" s="224">
        <f t="shared" si="918"/>
        <v>0</v>
      </c>
      <c r="HY115" s="263" t="str">
        <f t="shared" si="919"/>
        <v>S</v>
      </c>
      <c r="HZ115" s="263">
        <f t="shared" si="920"/>
        <v>0</v>
      </c>
      <c r="IA115" s="150">
        <f t="shared" si="921"/>
        <v>1</v>
      </c>
      <c r="IB115" s="319">
        <f t="shared" si="922"/>
        <v>0</v>
      </c>
      <c r="IC115" s="923">
        <f t="shared" si="923"/>
        <v>0</v>
      </c>
      <c r="ID115" s="924" t="str">
        <f t="shared" ca="1" si="924"/>
        <v>OK</v>
      </c>
      <c r="IE115" s="201" t="str">
        <f t="shared" si="925"/>
        <v>ks</v>
      </c>
      <c r="IF115" s="145">
        <f t="shared" si="926"/>
        <v>1</v>
      </c>
      <c r="IG115" s="216">
        <f t="shared" si="927"/>
        <v>10.27</v>
      </c>
      <c r="IH115" s="217">
        <f t="shared" si="928"/>
        <v>1</v>
      </c>
      <c r="II115" s="224" t="str">
        <f ca="1">IF(RZ[[#This Row],[Rozhodný sloupec indikativní ceny]]=1,"kg",IF($IW115=$JL$15,IF(JX115=0,JO115,JX115),IF($IW115=$KE$15,IF(KQ115=0,KH115,KQ115),IF($IW115=$KX$15,IF(LJ115=0,LA115,LJ115),IF($IW115=$LQ$15,IF(MC115=0,LT115,MC115),IF($IW115=$MJ$15,IF(NQ115=0,NH115,NQ115),0))))))</f>
        <v>kg</v>
      </c>
      <c r="IJ115" s="224">
        <f ca="1">IF((BH115+OFFSET(BH115,1,1,1,1))=2,RZ[[#This Row],[Počet MJHR (P0)]],IF((BI115+OFFSET(BI115,1,1,1,1))=2,RZ[[#This Row],[Počet MJHR (P0)]],IF((BJ115+OFFSET(BJ115,1,1,1,1))=2,RZ[[#This Row],[Počet MJHR (P0)]],IF((BK115+OFFSET(BK115,1,1,1,1))=2,RZ[[#This Row],[Počet MJHR (P0)]],IF((BL115+OFFSET(BL115,1,1,1,1))=2,RZ[[#This Row],[Počet MJHR (P0)]],IF((BM115+OFFSET(BM115,1,1,1,1))=2,RZ[[#This Row],[Počet MJHR (P0)]],IF((BN115+OFFSET(BN115,1,1,1,1))=2,RZ[[#This Row],[Počet MJHR (P0)]],IF((BO115+OFFSET(BO115,1,1,1,1))=2,RZ[[#This Row],[Počet MJHR (P0)]],IF((BP115+OFFSET(BP115,1,1,1,1))=2,RZ[[#This Row],[Počet MJHR (P0)]],IF((BQ115+OFFSET(BQ115,1,1,1,1))=2,RZ[[#This Row],[Počet MJHR (P0)]],IF(RZ[[#This Row],[Měrná jednotka CR (MJCR) (P0)]]=RZ[[#This Row],[Měrná jednotka HR '[MJHR'] (P0)]],RZ[[#This Row],[Počet MJHR (P0)]],IF($IW115=$JL$15,JY115,IF($IW115=$KE$15,KR115,IF($IW115=$KX$15,LK115,IF($IW115=$LQ$15,MD115,IF($IW115=$MJ$15,NR115,0))))))))))))))))</f>
        <v>0</v>
      </c>
      <c r="IK11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10.27</v>
      </c>
      <c r="IL115" s="145">
        <f ca="1">IF(AND(RZ[[#This Row],[Jednotková cena bez DPH '[cena/MJCR'] (P0)]]=0,RZ[[#This Row],[Indikativní jednotková cena '[CZK/kg'] (P1)]]&lt;&gt;0),1,0)</f>
        <v>1</v>
      </c>
      <c r="IM115" s="217">
        <f ca="1">VLOOKUP(RZ[[#This Row],[Kód položek]],INDIKAT_CENA,2,FALSE)</f>
        <v>115</v>
      </c>
      <c r="IN115" s="222">
        <f ca="1">IF(RZ[[#This Row],[Rozhodný sloupec indikativní ceny]]=1,RZ[[#This Row],[Indikativní jednotková cena '[CZK/kg'] (P1)]],RZ[[#This Row],[Jednotková cena bez DPH '[cena/MJCR'] (P0)]])</f>
        <v>115</v>
      </c>
      <c r="IO115" s="222">
        <f t="shared" si="929"/>
        <v>1</v>
      </c>
      <c r="IP115" s="224">
        <f ca="1">IF(RZ[[#This Row],[Rozhodný sloupec indikativní ceny]]=1,1,IF($IW115=$JL$15,KA115,IF($IW115=$KE$15,KT115,IF($IW115=$KX$15,LM115,IF($IW115=$LQ$15,MF115,IF($IW115=$MJ$15,NT115,0))))))</f>
        <v>1</v>
      </c>
      <c r="IQ115" s="225">
        <f ca="1">IF(RZ[[#This Row],[Jednotková cena bez DPH '[cena/MJCR'] (P1)]]="",0,IF(IP115=0,0,(RZ[[#This Row],[Jednotková cena bez DPH '[cena/MJCR'] (P1)]]*VLOOKUP(IP115,$BR$7:$BT$10,3))))</f>
        <v>115</v>
      </c>
      <c r="IR115" s="737"/>
      <c r="IS115" s="627">
        <f>IF(HY115=0,"",VLOOKUP(RZ[[#This Row],[Stav Projekce (P0)]],Vstupy!$E$11:'Vstupy'!$E$11:$H$17,4,FALSE))</f>
        <v>100</v>
      </c>
      <c r="IT115" s="925" t="str">
        <f>IF(RZ[[#This Row],[Stav Projekce (P0)]]=0,"",RZ[[#This Row],[Stav Projekce (P0)]])</f>
        <v>S</v>
      </c>
      <c r="IU115" s="925" t="str">
        <f>IF(RZ[[#This Row],[Stav Nákup (P0)]]=0,"",RZ[[#This Row],[Stav Nákup (P0)]])</f>
        <v/>
      </c>
      <c r="IV115" s="926" t="str">
        <f t="shared" si="930"/>
        <v/>
      </c>
      <c r="IW115" s="641">
        <v>1</v>
      </c>
      <c r="IX115" s="630"/>
      <c r="IY115" s="264"/>
      <c r="IZ115" s="648"/>
      <c r="JA115" s="100"/>
      <c r="JB115" s="100" t="s">
        <v>771</v>
      </c>
      <c r="JC115" s="100"/>
      <c r="JD115" s="100"/>
      <c r="JE115" s="100"/>
      <c r="JF115" s="100"/>
      <c r="JG115" s="100"/>
      <c r="JH115" s="100"/>
      <c r="JI115" s="100"/>
      <c r="JJ115" s="145" t="s">
        <v>773</v>
      </c>
      <c r="JK115" s="529"/>
      <c r="JL115" s="286"/>
      <c r="JM115" s="100"/>
      <c r="JN115" s="100"/>
      <c r="JO115" s="145" t="s">
        <v>35</v>
      </c>
      <c r="JP115" s="117">
        <v>1</v>
      </c>
      <c r="JQ115" s="117">
        <v>10.27</v>
      </c>
      <c r="JR115" s="148">
        <v>1</v>
      </c>
      <c r="JS115" s="145" t="s">
        <v>602</v>
      </c>
      <c r="JT115" s="631"/>
      <c r="JU115" s="148"/>
      <c r="JV115" s="154"/>
      <c r="JW115" s="145"/>
      <c r="JX115" s="210"/>
      <c r="JY115" s="117"/>
      <c r="JZ115" s="662"/>
      <c r="KA115" s="145"/>
      <c r="KB115" s="148"/>
      <c r="KC115" s="148"/>
      <c r="KD115" s="644"/>
      <c r="KE115" s="286"/>
      <c r="KF115" s="100"/>
      <c r="KG115" s="100"/>
      <c r="KH115" s="210"/>
      <c r="KI115" s="117"/>
      <c r="KJ115" s="117"/>
      <c r="KK115" s="148"/>
      <c r="KL115" s="145"/>
      <c r="KM115" s="632"/>
      <c r="KN115" s="148"/>
      <c r="KO115" s="154"/>
      <c r="KP115" s="154"/>
      <c r="KQ115" s="210"/>
      <c r="KR115" s="117"/>
      <c r="KS115" s="211"/>
      <c r="KT115" s="145"/>
      <c r="KU115" s="148"/>
      <c r="KV115" s="148"/>
      <c r="KW115" s="265"/>
      <c r="KX115" s="286"/>
      <c r="KY115" s="100"/>
      <c r="KZ115" s="100"/>
      <c r="LA115" s="210"/>
      <c r="LB115" s="117"/>
      <c r="LC115" s="117"/>
      <c r="LD115" s="148"/>
      <c r="LE115" s="145"/>
      <c r="LF115" s="632"/>
      <c r="LG115" s="148"/>
      <c r="LH115" s="154"/>
      <c r="LI115" s="154"/>
      <c r="LJ115" s="154"/>
      <c r="LK115" s="117"/>
      <c r="LL115" s="211"/>
      <c r="LM115" s="210"/>
      <c r="LN115" s="148"/>
      <c r="LO115" s="148"/>
      <c r="LP115" s="265"/>
      <c r="LQ115" s="286"/>
      <c r="LR115" s="100"/>
      <c r="LS115" s="100"/>
      <c r="LT115" s="210"/>
      <c r="LU115" s="117"/>
      <c r="LV115" s="117"/>
      <c r="LW115" s="148"/>
      <c r="LX115" s="145"/>
      <c r="LY115" s="632"/>
      <c r="LZ115" s="148"/>
      <c r="MA115" s="154"/>
      <c r="MB115" s="154"/>
      <c r="MC115" s="145"/>
      <c r="MD115" s="117"/>
      <c r="ME115" s="211"/>
      <c r="MF115" s="210"/>
      <c r="MG115" s="148"/>
      <c r="MH115" s="148"/>
      <c r="MI115" s="265"/>
      <c r="MJ115" s="647"/>
      <c r="MK115" s="264"/>
      <c r="ML115" s="153"/>
      <c r="MM115" s="153"/>
      <c r="MN115" s="153"/>
      <c r="MO115" s="153"/>
      <c r="MP115" s="153"/>
      <c r="MQ115" s="153"/>
      <c r="MR115" s="153"/>
      <c r="MS115" s="99"/>
      <c r="MT115" s="99"/>
      <c r="MU115" s="99"/>
      <c r="MV115" s="99"/>
      <c r="MW115" s="99"/>
      <c r="MX115" s="99"/>
      <c r="MY115" s="153"/>
      <c r="MZ115" s="153"/>
      <c r="NA115" s="153"/>
      <c r="NB115" s="153"/>
      <c r="NC115" s="153"/>
      <c r="ND115" s="153"/>
      <c r="NE115" s="153"/>
      <c r="NF115" s="153"/>
      <c r="NG115" s="153"/>
      <c r="NH115" s="330" t="str">
        <f t="shared" si="931"/>
        <v>ks</v>
      </c>
      <c r="NI115" s="797">
        <f>RZ[[#This Row],[Počet ks (K)]]</f>
        <v>0</v>
      </c>
      <c r="NJ115" s="798">
        <f>RZ[[#This Row],[Hmotnost '[kg/ks'] (K)]]</f>
        <v>0</v>
      </c>
      <c r="NK115" s="153"/>
      <c r="NL115" s="153"/>
      <c r="NM115" s="632"/>
      <c r="NN115" s="153"/>
      <c r="NO115" s="153"/>
      <c r="NP115" s="153"/>
      <c r="NQ115" s="153"/>
      <c r="NR115" s="153"/>
      <c r="NS115" s="153"/>
      <c r="NT115" s="153"/>
      <c r="NU115" s="153"/>
      <c r="NV115" s="148"/>
      <c r="NW115" s="633"/>
    </row>
    <row r="116" spans="2:387" ht="15.95" customHeight="1" x14ac:dyDescent="0.35">
      <c r="B116" s="118" t="str">
        <f t="shared" si="824"/>
        <v/>
      </c>
      <c r="C11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6" s="262" t="str">
        <f t="shared" si="825"/>
        <v xml:space="preserve">    Čep - průměr 63 x 135 mm</v>
      </c>
      <c r="E116" s="120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Row],[Kód položek (P2)]]))))))))))</f>
        <v>STO2</v>
      </c>
      <c r="F116" s="791" t="str">
        <f t="shared" si="826"/>
        <v>N/A</v>
      </c>
      <c r="G116" s="792" t="str">
        <f t="shared" si="827"/>
        <v/>
      </c>
      <c r="H116" s="262" t="str">
        <f t="shared" si="828"/>
        <v/>
      </c>
      <c r="I116" s="123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HR '[MJHR'] (P0)]]))))))))))</f>
        <v>ks</v>
      </c>
      <c r="J116" s="123">
        <f t="shared" si="829"/>
        <v>1</v>
      </c>
      <c r="K116" s="793">
        <f>RZ[[#This Row],[Koeficient odhadu HR '[-'] (P1)]]</f>
        <v>1</v>
      </c>
      <c r="L116" s="124">
        <f ca="1">RZ[[#This Row],[Jednotková hmotnost s koef. '[kg/MJHR'] (P0)]]</f>
        <v>3</v>
      </c>
      <c r="M116" s="794">
        <f t="shared" ca="1" si="830"/>
        <v>0</v>
      </c>
      <c r="N116" s="125">
        <f t="shared" ca="1" si="831"/>
        <v>3</v>
      </c>
      <c r="O116" s="125">
        <f t="shared" ca="1" si="832"/>
        <v>0</v>
      </c>
      <c r="P116" s="126" t="str">
        <f t="shared" si="833"/>
        <v/>
      </c>
      <c r="Q116" s="795">
        <f ca="1">RZ[[#This Row],[Počet MJHR v rozpadu (P0)]]</f>
        <v>2</v>
      </c>
      <c r="R116" s="439" t="str">
        <f t="shared" si="834"/>
        <v/>
      </c>
      <c r="S116" s="129" t="str">
        <f t="shared" si="835"/>
        <v/>
      </c>
      <c r="T116" s="126" t="str">
        <f t="shared" si="836"/>
        <v/>
      </c>
      <c r="U116" s="126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CR (MJCR) (P0)]]))))))))))</f>
        <v>kg</v>
      </c>
      <c r="V116" s="575">
        <f t="shared" ca="1" si="837"/>
        <v>3</v>
      </c>
      <c r="W116" s="322">
        <f>RZ[[#This Row],[Koeficient odhadu CR '[-'] (P1)]]</f>
        <v>1</v>
      </c>
      <c r="X116" s="440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Row],[Jednotková cena bez DPH '[cena/MJCR'] (P1)]]*RZ[[#This Row],[Koeficient odhadu CR '[-']]]))))))))))</f>
        <v>115</v>
      </c>
      <c r="Y116" s="440">
        <f t="shared" ca="1" si="838"/>
        <v>0</v>
      </c>
      <c r="Z116" s="142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VLOOKUP(IP116,$BR$7:$BS$11,2,FALSE)))))))))))</f>
        <v>CZK</v>
      </c>
      <c r="AA116" s="909">
        <f t="shared" ca="1" si="839"/>
        <v>6</v>
      </c>
      <c r="AB116" s="910">
        <f ca="1">RZ[[#This Row],[Kumulovaný koeficient v rozpadu (P0)]]</f>
        <v>1</v>
      </c>
      <c r="AC116" s="261"/>
      <c r="AD116" s="796">
        <f ca="1">RZ[[#This Row],[Jednotková cena bez DPH '[cena/MJCR'] s koef. (P0)]]/RZ[[#This Row],[Koeficient odhadu CR '[-']]]*RZ[[#This Row],[Kumulovaný koeficient odhadu CR  '[-']]]</f>
        <v>115</v>
      </c>
      <c r="AE116" s="796">
        <f t="shared" ca="1" si="840"/>
        <v>690</v>
      </c>
      <c r="AF116" s="796">
        <f ca="1">-IF(ISNUMBER(AA116),RZ[[#This Row],[Celková cena bez DPH (1)]]-RZ[[#This Row],[Jednotková cena bez DPH '[cena/MJCR'] bez koef. (P0)]]*AA116,0)</f>
        <v>0</v>
      </c>
      <c r="AG11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6" s="261"/>
      <c r="AI116" s="796">
        <f ca="1">AD116/VLOOKUP($AJ$13,KURZY,3,FALSE)</f>
        <v>4.2592592592592595</v>
      </c>
      <c r="AJ116" s="796">
        <f ca="1">AE116/VLOOKUP($AJ$13,KURZY,3,FALSE)*IF(V116="",0,1)</f>
        <v>25.555555555555557</v>
      </c>
      <c r="AK116" s="796">
        <f ca="1">AF116/VLOOKUP($AJ$13,KURZY,3,FALSE)</f>
        <v>0</v>
      </c>
      <c r="AL116" s="753">
        <f ca="1">RZ[[#This Row],[Kilogramová cena bez DPH '[cena/kg'] (1)]]/$AK$13</f>
        <v>4.2592592592592595</v>
      </c>
      <c r="AM116" s="261"/>
      <c r="AN116" s="796">
        <f ca="1">AD116/VLOOKUP($AO$13,KURZY,3,FALSE)</f>
        <v>5.5555555555555554</v>
      </c>
      <c r="AO116" s="796">
        <f ca="1">AE116/VLOOKUP($AO$13,KURZY,3,FALSE)*IF(V116="",0,1)</f>
        <v>33.333333333333336</v>
      </c>
      <c r="AP116" s="796">
        <f ca="1">AF116/VLOOKUP($AO$13,KURZY,3,FALSE)</f>
        <v>0</v>
      </c>
      <c r="AQ116" s="753">
        <f ca="1">RZ[[#This Row],[Kilogramová cena bez DPH '[cena/kg'] (1)]]/$AP$13</f>
        <v>5.5555555555555554</v>
      </c>
      <c r="AR116" s="261"/>
      <c r="AS116" s="796">
        <f ca="1">AD116/VLOOKUP($AT$13,KURZY,3,FALSE)</f>
        <v>3.1455142231947484</v>
      </c>
      <c r="AT116" s="796">
        <f ca="1">AE116/VLOOKUP($AT$13,KURZY,3,FALSE)*IF(V116="",0,1)</f>
        <v>18.87308533916849</v>
      </c>
      <c r="AU116" s="789">
        <f ca="1">AF116/VLOOKUP($AT$13,KURZY,3,FALSE)</f>
        <v>0</v>
      </c>
      <c r="AV116" s="767">
        <f ca="1">RZ[[#This Row],[Kilogramová cena bez DPH '[cena/kg'] (1)]]/$AU$13</f>
        <v>3.1455142231947484</v>
      </c>
      <c r="AW116" s="165"/>
      <c r="AX116" s="911">
        <f t="shared" ca="1" si="841"/>
        <v>2</v>
      </c>
      <c r="AY116" s="111">
        <f t="shared" ca="1" si="842"/>
        <v>9</v>
      </c>
      <c r="AZ116" s="111">
        <f t="shared" ca="1" si="843"/>
        <v>3</v>
      </c>
      <c r="BA116" s="111">
        <f t="shared" ca="1" si="844"/>
        <v>0</v>
      </c>
      <c r="BB116" s="111">
        <f t="shared" ca="1" si="845"/>
        <v>0</v>
      </c>
      <c r="BC116" s="111">
        <f t="shared" ca="1" si="846"/>
        <v>0</v>
      </c>
      <c r="BD116" s="111">
        <f t="shared" ca="1" si="847"/>
        <v>0</v>
      </c>
      <c r="BE116" s="111">
        <f t="shared" ca="1" si="848"/>
        <v>0</v>
      </c>
      <c r="BF116" s="111">
        <f t="shared" ca="1" si="849"/>
        <v>0</v>
      </c>
      <c r="BG116" s="112">
        <f t="shared" ca="1" si="850"/>
        <v>0</v>
      </c>
      <c r="BH116" s="911">
        <f t="shared" si="851"/>
        <v>0</v>
      </c>
      <c r="BI116" s="111">
        <f t="shared" si="852"/>
        <v>0</v>
      </c>
      <c r="BJ116" s="111">
        <f t="shared" si="853"/>
        <v>1</v>
      </c>
      <c r="BK116" s="111">
        <f t="shared" si="854"/>
        <v>0</v>
      </c>
      <c r="BL116" s="111">
        <f t="shared" si="855"/>
        <v>0</v>
      </c>
      <c r="BM116" s="111">
        <f t="shared" si="856"/>
        <v>0</v>
      </c>
      <c r="BN116" s="111">
        <f t="shared" si="857"/>
        <v>0</v>
      </c>
      <c r="BO116" s="111">
        <f t="shared" si="858"/>
        <v>0</v>
      </c>
      <c r="BP116" s="111">
        <f t="shared" si="859"/>
        <v>0</v>
      </c>
      <c r="BQ116" s="112">
        <f t="shared" si="860"/>
        <v>0</v>
      </c>
      <c r="BR116" s="132">
        <f ca="1">IF(OFFSET(AY116,1,0,1,1)&lt;&gt;0,RZ[[#This Row],[Koeficient odhadu HR '[-'] (P1)]]*$BH116*SUMIFS(RZ[Úroveň 2 s koef. (P2)],RZ[0],AX116),RZ[[#This Row],[Koeficient odhadu HR '[-'] (P1)]]*$BH116*$IG116)</f>
        <v>0</v>
      </c>
      <c r="BS116" s="186">
        <f ca="1">IF(OFFSET(AY116,1,0,1,1)&lt;&gt;0,$BH116*SUMIFS(RZ[Úroveň 2 bez koef. (P2)],RZ[0],AX116),$BH116*$IG116)</f>
        <v>0</v>
      </c>
      <c r="BT116" s="138">
        <f ca="1">RZ[[#This Row],[Úroveň 2 s koef. (P2a)]]*RZ[[#This Row],[Počet MJHR (P0)]]</f>
        <v>0</v>
      </c>
      <c r="BU116" s="138">
        <f ca="1">RZ[[#This Row],[Úroveň 2 bez koef. (P2a)]]*RZ[[#This Row],[Počet MJHR (P0)]]</f>
        <v>0</v>
      </c>
      <c r="BV116" s="138">
        <f ca="1">IF(OFFSET(AZ116,1,0,1,1)&lt;&gt;0,RZ[[#This Row],[Koeficient odhadu HR '[-'] (P1)]]*$BI116*SUMIFS(RZ[Úroveň 3 s koef. (P2)],RZ[0],AX116,RZ[Úroveň 2 (P0)],AY116),RZ[[#This Row],[Koeficient odhadu HR '[-'] (P1)]]*$BI116*$IG116)</f>
        <v>0</v>
      </c>
      <c r="BW116" s="138">
        <f ca="1">IF(OFFSET(AZ116,1,0,1,1)&lt;&gt;0,$BI116*SUMIFS(RZ[Úroveň 3 bez koef. (P2)],RZ[0],AX116,RZ[Úroveň 2 (P0)],AY116),$BI116*$IG116)</f>
        <v>0</v>
      </c>
      <c r="BX116" s="132">
        <f ca="1">RZ[[#This Row],[Úroveň 3 s koef. (P2a)]]*RZ[[#This Row],[Počet MJHR (P0)]]</f>
        <v>3</v>
      </c>
      <c r="BY116" s="132">
        <f ca="1">RZ[Úroveň 3 bez koef. (P2a)]*RZ[[#This Row],[Počet MJHR (P0)]]</f>
        <v>3</v>
      </c>
      <c r="BZ116" s="132">
        <f ca="1">IF(OFFSET(BA116,1,0,1,1)&lt;&gt;0,RZ[[#This Row],[Koeficient odhadu HR '[-'] (P1)]]*$BJ116*SUMIFS(RZ[Úroveň 4 s koef. (P2)],RZ[0],AX116,RZ[Úroveň 2 (P0)],AY116,RZ[Úroveň 3 (P0)],AZ116),RZ[[#This Row],[Koeficient odhadu HR '[-'] (P1)]]*$BJ116*$IG116)</f>
        <v>3</v>
      </c>
      <c r="CA116" s="132">
        <f ca="1">IF(OFFSET(BA116,1,0,1,1)&lt;&gt;0,$BJ116*SUMIFS(RZ[Úroveň 4 bez koef. (P2)],RZ[0],AX116,RZ[Úroveň 2 (P0)],AY116,RZ[Úroveň 3 (P0)],AZ116),$BJ116*$IG116)</f>
        <v>3</v>
      </c>
      <c r="CB116" s="138">
        <f ca="1">RZ[[#This Row],[Úroveň 4 s koef. (P2a)]]*RZ[[#This Row],[Počet MJHR (P0)]]</f>
        <v>0</v>
      </c>
      <c r="CC116" s="138">
        <f ca="1">RZ[Úroveň 4 bez koef. (P2a)]*RZ[[#This Row],[Počet MJHR (P0)]]</f>
        <v>0</v>
      </c>
      <c r="CD116" s="138">
        <f ca="1">IF(OFFSET(BB116,1,0,1,1)&lt;&gt;0,RZ[[#This Row],[Koeficient odhadu HR '[-'] (P1)]]*$BK116*SUMIFS(RZ[Úroveň 5 s koef. (P2)],RZ[0],AX116,RZ[Úroveň 2 (P0)],AY116,RZ[Úroveň 3 (P0)],AZ116,RZ[Úroveň 4 (P0)],BA116),RZ[[#This Row],[Koeficient odhadu HR '[-'] (P1)]]*$BK116*$IG116)</f>
        <v>0</v>
      </c>
      <c r="CE116" s="138">
        <f ca="1">IF(OFFSET(BB116,1,0,1,1)&lt;&gt;0,$BK116*SUMIFS(RZ[Úroveň 5 bez koef. (P2)],RZ[0],AX116,RZ[Úroveň 2 (P0)],AY116,RZ[Úroveň 3 (P0)],AZ116,RZ[Úroveň 4 (P0)],BA116),$BK116*$IG116)</f>
        <v>0</v>
      </c>
      <c r="CF116" s="132">
        <f ca="1">RZ[[#This Row],[Úroveň 5 s koef. (P2a)]]*RZ[[#This Row],[Počet MJHR (P0)]]</f>
        <v>0</v>
      </c>
      <c r="CG116" s="132">
        <f ca="1">RZ[Úroveň 5 bez koef. (P2a)]*RZ[[#This Row],[Počet MJHR (P0)]]</f>
        <v>0</v>
      </c>
      <c r="CH116" s="132">
        <f ca="1">IF(OFFSET(BC116,1,0,1,1)&lt;&gt;0,RZ[[#This Row],[Koeficient odhadu HR '[-'] (P1)]]*$BL116*SUMIFS(RZ[Úroveň 6 s koef. (P2)],RZ[0],AX116,RZ[Úroveň 2 (P0)],AY116,RZ[Úroveň 3 (P0)],AZ116,RZ[Úroveň 4 (P0)],BA116,RZ[Úroveň 5 (P0)],BB116),RZ[[#This Row],[Koeficient odhadu HR '[-'] (P1)]]*$BL116*$IG116)</f>
        <v>0</v>
      </c>
      <c r="CI116" s="132">
        <f ca="1">IF(OFFSET(BC116,1,0,1,1)&lt;&gt;0,$BL116*SUMIFS(RZ[Úroveň 6 bez koef. (P2)],RZ[0],AX116,RZ[Úroveň 2 (P0)],AY116,RZ[Úroveň 3 (P0)],AZ116,RZ[Úroveň 4 (P0)],BA116,RZ[Úroveň 5 (P0)],BB116),$BL116*$IG116)</f>
        <v>0</v>
      </c>
      <c r="CJ116" s="138">
        <f ca="1">RZ[[#This Row],[Úroveň 6 s koef. (P2a)]]*RZ[[#This Row],[Počet MJHR (P0)]]</f>
        <v>0</v>
      </c>
      <c r="CK116" s="138">
        <f ca="1">RZ[Úroveň 6 bez koef. (P2a)]*RZ[[#This Row],[Počet MJHR (P0)]]</f>
        <v>0</v>
      </c>
      <c r="CL116" s="138">
        <f ca="1">IF(OFFSET(BD116,1,0,1,1)&lt;&gt;0,RZ[[#This Row],[Koeficient odhadu HR '[-'] (P1)]]*$BM116*SUMIFS(RZ[Úroveň 7 s koef. (P2)],RZ[0],AX116,RZ[Úroveň 2 (P0)],AY116,RZ[Úroveň 3 (P0)],AZ116,RZ[Úroveň 4 (P0)],BA116,RZ[Úroveň 5 (P0)],BB116,RZ[Úroveň 6 (P0)],BC116),RZ[[#This Row],[Koeficient odhadu HR '[-'] (P1)]]*$BM116*$IG116)</f>
        <v>0</v>
      </c>
      <c r="CM116" s="138">
        <f ca="1">IF(OFFSET(BD116,1,0,1,1)&lt;&gt;0,$BM116*SUMIFS(RZ[Úroveň 7 bez koef. (P2)],RZ[0],AX116,RZ[Úroveň 2 (P0)],AY116,RZ[Úroveň 3 (P0)],AZ116,RZ[Úroveň 4 (P0)],BA116,RZ[Úroveň 5 (P0)],BB116,RZ[Úroveň 6 (P0)],BC116),$BM116*$IG116)</f>
        <v>0</v>
      </c>
      <c r="CN116" s="132">
        <f ca="1">RZ[[#This Row],[Úroveň 7 s koef. (P2a)]]*RZ[[#This Row],[Počet MJHR (P0)]]</f>
        <v>0</v>
      </c>
      <c r="CO116" s="132">
        <f ca="1">RZ[Úroveň 7 bez koef. (P2a)]*RZ[[#This Row],[Počet MJHR (P0)]]</f>
        <v>0</v>
      </c>
      <c r="CP116" s="132">
        <f ca="1">IF(OFFSET(BE116,1,0,1,1)&lt;&gt;0,RZ[[#This Row],[Koeficient odhadu HR '[-'] (P1)]]*$BN116*SUMIFS(RZ[Úroveň 8 s koef. (P2)],RZ[0],AX116,RZ[Úroveň 2 (P0)],AY116,RZ[Úroveň 3 (P0)],AZ116,RZ[Úroveň 4 (P0)],BA116,RZ[Úroveň 5 (P0)],BB116,RZ[Úroveň 6 (P0)],BC116,RZ[Úroveň 7 (P0)],BD116),RZ[[#This Row],[Koeficient odhadu HR '[-'] (P1)]]*$BN116*$IG116)</f>
        <v>0</v>
      </c>
      <c r="CQ116" s="132">
        <f ca="1">IF(OFFSET(BE116,1,0,1,1)&lt;&gt;0,$BN116*SUMIFS(RZ[Úroveň 8 bez koef. (P2)],RZ[0],AX116,RZ[Úroveň 2 (P0)],AY116,RZ[Úroveň 3 (P0)],AZ116,RZ[Úroveň 4 (P0)],BA116,RZ[Úroveň 5 (P0)],BB116,RZ[Úroveň 6 (P0)],BC116,RZ[Úroveň 7 (P0)],BD116),$BN116*$IG116)</f>
        <v>0</v>
      </c>
      <c r="CR116" s="138">
        <f ca="1">RZ[[#This Row],[Úroveň 8 s koef. (P2a)]]*RZ[[#This Row],[Počet MJHR (P0)]]</f>
        <v>0</v>
      </c>
      <c r="CS116" s="138">
        <f ca="1">RZ[Úroveň 8 bez koef. (P2a)]*RZ[[#This Row],[Počet MJHR (P0)]]</f>
        <v>0</v>
      </c>
      <c r="CT116" s="138">
        <f ca="1">IF(OFFSET(BF116,1,0,1,1)&lt;&gt;0,RZ[[#This Row],[Koeficient odhadu HR '[-'] (P1)]]*$BO116*SUMIFS(RZ[Úroveň 9 s koef. (P2)],RZ[0],AX116,RZ[Úroveň 2 (P0)],AY116,RZ[Úroveň 3 (P0)],AZ116,RZ[Úroveň 4 (P0)],BA116,RZ[Úroveň 5 (P0)],BB116,RZ[Úroveň 6 (P0)],BC116,RZ[Úroveň 7 (P0)],BD116,RZ[Úroveň 8 (P0)],BE116),RZ[[#This Row],[Koeficient odhadu HR '[-'] (P1)]]*$BO116*$IG116)</f>
        <v>0</v>
      </c>
      <c r="CU116" s="138">
        <f ca="1">IF(OFFSET(BF116,1,0,1,1)&lt;&gt;0,$BO116*SUMIFS(RZ[Úroveň 9 bez koef. (P2)],RZ[0],AX116,RZ[Úroveň 2 (P0)],AY116,RZ[Úroveň 3 (P0)],AZ116,RZ[Úroveň 4 (P0)],BA116,RZ[Úroveň 5 (P0)],BB116,RZ[Úroveň 6 (P0)],BC116,RZ[Úroveň 7 (P0)],BD116,RZ[Úroveň 8 (P0)],BE116),$BO116*$IG116)</f>
        <v>0</v>
      </c>
      <c r="CV116" s="132">
        <f ca="1">RZ[[#This Row],[Úroveň 9 s koef. (P2a)]]*RZ[[#This Row],[Počet MJHR (P0)]]</f>
        <v>0</v>
      </c>
      <c r="CW116" s="132">
        <f ca="1">RZ[Úroveň 9 bez koef. (P2a)]*RZ[[#This Row],[Počet MJHR (P0)]]</f>
        <v>0</v>
      </c>
      <c r="CX116" s="132">
        <f ca="1">IF(OFFSET(BG116,1,0,1,1)&lt;&gt;0,RZ[[#This Row],[Koeficient odhadu HR '[-'] (P1)]]*$BP116*SUMIFS(RZ[Úroveň 10 s koef. (P2)],RZ[0],AX116,RZ[Úroveň 2 (P0)],AY116,RZ[Úroveň 3 (P0)],AZ116,RZ[Úroveň 4 (P0)],BA116,RZ[Úroveň 5 (P0)],BB116,RZ[Úroveň 6 (P0)],BC116,RZ[Úroveň 7 (P0)],BD116,RZ[Úroveň 8 (P0)],BE116,RZ[Úroveň 9 (P0)],BF116),RZ[[#This Row],[Koeficient odhadu HR '[-'] (P1)]]*$BP116*$IG116)</f>
        <v>0</v>
      </c>
      <c r="CY116" s="132">
        <f ca="1">IF(OFFSET(BG116,1,0,1,1)&lt;&gt;0,$BP116*SUMIFS(RZ[Úroveň 10 bez koef. (P2)],RZ[0],AX116,RZ[Úroveň 2 (P0)],AY116,RZ[Úroveň 3 (P0)],AZ116,RZ[Úroveň 4 (P0)],BA116,RZ[Úroveň 5 (P0)],BB116,RZ[Úroveň 6 (P0)],BC116,RZ[Úroveň 7 (P0)],BD116,RZ[Úroveň 8 (P0)],BE116,RZ[Úroveň 9 (P0)],BF116),$BP116*$IG116)</f>
        <v>0</v>
      </c>
      <c r="CZ116" s="138">
        <f>RZ[[#This Row],[Úroveň 10 s koef. (P2a)]]*RZ[[#This Row],[Počet MJHR (P0)]]</f>
        <v>0</v>
      </c>
      <c r="DA116" s="138">
        <f>RZ[Úroveň 10 bez koef. (P2a)]*RZ[[#This Row],[Počet MJHR (P0)]]</f>
        <v>0</v>
      </c>
      <c r="DB116" s="138">
        <f>RZ[[#This Row],[Koeficient odhadu HR '[-'] (P1)]]*$BQ116*IG116</f>
        <v>0</v>
      </c>
      <c r="DC116" s="231">
        <f t="shared" si="861"/>
        <v>0</v>
      </c>
      <c r="DD116" s="241">
        <f t="shared" ca="1" si="862"/>
        <v>3</v>
      </c>
      <c r="DE116" s="229">
        <f t="shared" ca="1" si="863"/>
        <v>3</v>
      </c>
      <c r="DF116" s="912">
        <f t="shared" si="864"/>
        <v>0</v>
      </c>
      <c r="DG116" s="913">
        <f t="shared" si="865"/>
        <v>0</v>
      </c>
      <c r="DH116" s="913">
        <f t="shared" si="866"/>
        <v>1</v>
      </c>
      <c r="DI116" s="913">
        <f t="shared" si="867"/>
        <v>0</v>
      </c>
      <c r="DJ116" s="913">
        <f t="shared" si="868"/>
        <v>0</v>
      </c>
      <c r="DK116" s="913">
        <f t="shared" si="869"/>
        <v>0</v>
      </c>
      <c r="DL116" s="913">
        <f t="shared" si="870"/>
        <v>0</v>
      </c>
      <c r="DM116" s="913">
        <f t="shared" si="871"/>
        <v>0</v>
      </c>
      <c r="DN116" s="913">
        <f t="shared" si="872"/>
        <v>0</v>
      </c>
      <c r="DO116" s="913">
        <f t="shared" si="873"/>
        <v>0</v>
      </c>
      <c r="DP116" s="914">
        <f ca="1">SUMIFS(RZ[Úroveň 1 (P4)],RZ[0],AX116)</f>
        <v>1</v>
      </c>
      <c r="DQ116" s="914">
        <f ca="1">SUMIFS(RZ[Úroveň 2 (P4)],RZ[0],AX116,RZ[Úroveň 2 (P0)],AY116)</f>
        <v>2</v>
      </c>
      <c r="DR116" s="914">
        <f ca="1">SUMIFS(RZ[Úroveň 3 (P4)],RZ[0],AX116,RZ[Úroveň 2 (P0)],AY116,RZ[Úroveň 3 (P0)],AZ116)</f>
        <v>1</v>
      </c>
      <c r="DS116" s="914">
        <f ca="1">SUMIFS(RZ[Úroveň 4 (P4)],RZ[0],AX116,RZ[Úroveň 2 (P0)],AY116,RZ[Úroveň 3 (P0)],AZ116,RZ[Úroveň 4 (P0)],BA116)</f>
        <v>0</v>
      </c>
      <c r="DT116" s="914">
        <f ca="1">SUMIFS(RZ[Úroveň 5 (P4)],RZ[0],AX116,RZ[Úroveň 2 (P0)],AY116,RZ[Úroveň 3 (P0)],AZ116,RZ[Úroveň 4 (P0)],BA116,RZ[Úroveň 5 (P0)],BB116)</f>
        <v>0</v>
      </c>
      <c r="DU116" s="914">
        <f ca="1">SUMIFS(RZ[Úroveň 6 (P4)],RZ[0],AX116,RZ[Úroveň 2 (P0)],AY116,RZ[Úroveň 3 (P0)],AZ116,RZ[Úroveň 4 (P0)],BA116,RZ[Úroveň 5 (P0)],BB116,RZ[Úroveň 6 (P0)],BC116)</f>
        <v>0</v>
      </c>
      <c r="DV116" s="914">
        <f ca="1">SUMIFS(RZ[Úroveň 7 (P4)],RZ[0],AX116,RZ[Úroveň 2 (P0)],AY116,RZ[Úroveň 3 (P0)],AZ116,RZ[Úroveň 4 (P0)],BA116,RZ[Úroveň 5 (P0)],BB116,RZ[Úroveň 6 (P0)],BC116,RZ[Úroveň 7 (P0)],BD116)</f>
        <v>0</v>
      </c>
      <c r="DW116" s="914">
        <f ca="1">SUMIFS(RZ[Úroveň 8 (P4)],RZ[0],AX116,RZ[Úroveň 2 (P0)],AY116,RZ[Úroveň 3 (P0)],AZ116,RZ[Úroveň 4 (P0)],BA116,RZ[Úroveň 5 (P0)],BB116,RZ[Úroveň 6 (P0)],BC116,RZ[Úroveň 7 (P0)],BD116,RZ[Úroveň 8 (P0)],BE116)</f>
        <v>0</v>
      </c>
      <c r="DX116" s="914">
        <f ca="1">SUMIFS(RZ[Úroveň 9 (P4)],RZ[0],AX116,RZ[Úroveň 2 (P0)],AY116,RZ[Úroveň 3 (P0)],AZ116,RZ[Úroveň 4 (P0)],BA116,RZ[Úroveň 5 (P0)],BB116,RZ[Úroveň 6 (P0)],BC116,RZ[Úroveň 7 (P0)],BD116,RZ[Úroveň 8 (P0)],BE116,RZ[Úroveň 9 (P0)],BF116)</f>
        <v>0</v>
      </c>
      <c r="DY116" s="914">
        <f ca="1">SUMIFS(RZ[Úroveň 10 (P4)],RZ[0],AX116,RZ[Úroveň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DZ116" s="915">
        <f t="shared" ca="1" si="874"/>
        <v>2</v>
      </c>
      <c r="EA116" s="916">
        <f ca="1">RZ[[#This Row],[Jednotková hmotnost bez koef. '[kg/MJHR'] (P0)]]*RZ[[#This Row],[Počet MJHR v rozpadu (P0)]]</f>
        <v>6</v>
      </c>
      <c r="EB116" s="917">
        <f ca="1">IF(OFFSET(AY116,1,0,1,1)&lt;&gt;0,RZ[[#This Row],[Koeficient odhadu CR '[-'] (P1)]]*$BH116*SUMIFS(RZ[Úroveň 2 s koef. (P3)],RZ[0],AX116),RZ[[#This Row],[Koeficient odhadu CR '[-'] (P1)]]*$BH116*$IQ116)</f>
        <v>0</v>
      </c>
      <c r="EC116" s="191">
        <f ca="1">IF(OFFSET(AY116,1,0,1,1)&lt;&gt;0,$BH116*SUMIFS(RZ[Úroveň 2 bez koef. (P3)],RZ[0],AX116),$BH116*$IQ116)</f>
        <v>0</v>
      </c>
      <c r="ED116" s="140">
        <f ca="1">RZ[[#This Row],[Úroveň 2 s koef. (P3a)]]*RZ[[#This Row],[Počet MJCR (P0) pro "kg"]]</f>
        <v>0</v>
      </c>
      <c r="EE116" s="140">
        <f ca="1">RZ[Úroveň 2 bez koef. (P3a)]*RZ[[#This Row],[Počet MJCR (P0) pro "kg"]]</f>
        <v>0</v>
      </c>
      <c r="EF116" s="140">
        <f ca="1">IF(OFFSET(AZ116,1,0,1,1)&lt;&gt;0,RZ[[#This Row],[Koeficient odhadu CR '[-'] (P1)]]*$BI116*SUMIFS(RZ[Úroveň 3 s koef. (P3)],RZ[0],AX116,RZ[Úroveň 2 (P0)],AY116),RZ[[#This Row],[Koeficient odhadu CR '[-'] (P1)]]*$BI116*$IQ116)</f>
        <v>0</v>
      </c>
      <c r="EG116" s="140">
        <f ca="1">IF(OFFSET(AZ116,1,0,1,1)&lt;&gt;0,$BI116*SUMIFS(RZ[Úroveň 3 bez koef. (P3)],RZ[0],AX116,RZ[Úroveň 2 (P0)],AY116),$BI116*$IQ116)</f>
        <v>0</v>
      </c>
      <c r="EH116" s="135">
        <f ca="1">RZ[[#This Row],[Úroveň 3 s koef. (P3a)]]*RZ[[#This Row],[Počet MJCR (P0) pro "kg"]]</f>
        <v>345</v>
      </c>
      <c r="EI116" s="135">
        <f ca="1">RZ[Úroveň 3 bez koef. (P3a)]*RZ[[#This Row],[Počet MJCR (P0) pro "kg"]]</f>
        <v>345</v>
      </c>
      <c r="EJ116" s="135">
        <f ca="1">IF(OFFSET(BA116,1,0,1,1)&lt;&gt;0,RZ[[#This Row],[Koeficient odhadu CR '[-'] (P1)]]*$BJ116*SUMIFS(RZ[Úroveň 4 s koef. (P3)],RZ[0],AX116,RZ[Úroveň 2 (P0)],AY116,RZ[Úroveň 3 (P0)],AZ116),RZ[[#This Row],[Koeficient odhadu CR '[-'] (P1)]]*$BJ116*$IQ116)</f>
        <v>115</v>
      </c>
      <c r="EK116" s="135">
        <f ca="1">IF(OFFSET(BA116,1,0,1,1)&lt;&gt;0,$BJ116*SUMIFS(RZ[Úroveň 4 bez koef. (P3)],RZ[0],AX116,RZ[Úroveň 2 (P0)],AY116,RZ[Úroveň 3 (P0)],AZ116),$BJ116*$IQ116)</f>
        <v>115</v>
      </c>
      <c r="EL116" s="140">
        <f ca="1">RZ[[#This Row],[Úroveň 4 s koef. (P3a)]]*RZ[[#This Row],[Počet MJCR (P0) pro "kg"]]</f>
        <v>0</v>
      </c>
      <c r="EM116" s="140">
        <f ca="1">RZ[Úroveň 4 bez koef. (P3a)]*RZ[[#This Row],[Počet MJCR (P0) pro "kg"]]</f>
        <v>0</v>
      </c>
      <c r="EN116" s="140">
        <f ca="1">IF(OFFSET(BB116,1,0,1,1)&lt;&gt;0,RZ[[#This Row],[Koeficient odhadu CR '[-'] (P1)]]*$BK116*SUMIFS(RZ[Úroveň 5 s koef. (P3)],RZ[0],AX116,RZ[Úroveň 2 (P0)],AY116,RZ[Úroveň 3 (P0)],AZ116,RZ[Úroveň 4 (P0)],BA116),RZ[[#This Row],[Koeficient odhadu CR '[-'] (P1)]]*$BK116*$IQ116)</f>
        <v>0</v>
      </c>
      <c r="EO116" s="140">
        <f ca="1">IF(OFFSET(BB116,1,0,1,1)&lt;&gt;0,$BK116*SUMIFS(RZ[Úroveň 5 bez koef. (P3)],RZ[0],AX116,RZ[Úroveň 2 (P0)],AY116,RZ[Úroveň 3 (P0)],AZ116,RZ[Úroveň 4 (P0)],BA116),$BK116*$IQ116)</f>
        <v>0</v>
      </c>
      <c r="EP116" s="135">
        <f ca="1">RZ[[#This Row],[Úroveň 5 s koef. (P3a)]]*RZ[[#This Row],[Počet MJCR (P0) pro "kg"]]</f>
        <v>0</v>
      </c>
      <c r="EQ116" s="135">
        <f ca="1">RZ[Úroveň 5 bez koef. (P3a)]*RZ[[#This Row],[Počet MJCR (P0) pro "kg"]]</f>
        <v>0</v>
      </c>
      <c r="ER116" s="135">
        <f ca="1">IF(OFFSET(BC116,1,0,1,1)&lt;&gt;0,RZ[[#This Row],[Koeficient odhadu CR '[-'] (P1)]]*$BL116*SUMIFS(RZ[Úroveň 6 s koef. (P3)],RZ[0],AX116,RZ[Úroveň 2 (P0)],AY116,RZ[Úroveň 3 (P0)],AZ116,RZ[Úroveň 4 (P0)],BA116,RZ[Úroveň 5 (P0)],BB116),RZ[[#This Row],[Koeficient odhadu CR '[-'] (P1)]]*$BL116*$IQ116)</f>
        <v>0</v>
      </c>
      <c r="ES116" s="135">
        <f ca="1">IF(OFFSET(BC116,1,0,1,1)&lt;&gt;0,$BL116*SUMIFS(RZ[Úroveň 6 bez koef. (P3)],RZ[0],AX116,RZ[Úroveň 2 (P0)],AY116,RZ[Úroveň 3 (P0)],AZ116,RZ[Úroveň 4 (P0)],BA116,RZ[Úroveň 5 (P0)],BB116),$BL116*$IQ116)</f>
        <v>0</v>
      </c>
      <c r="ET116" s="140">
        <f ca="1">RZ[[#This Row],[Úroveň 6 s koef. (P3a)]]*RZ[[#This Row],[Počet MJCR (P0) pro "kg"]]</f>
        <v>0</v>
      </c>
      <c r="EU116" s="140">
        <f ca="1">RZ[Úroveň 6 bez koef. (P3a)]*RZ[[#This Row],[Počet MJCR (P0) pro "kg"]]</f>
        <v>0</v>
      </c>
      <c r="EV116" s="140">
        <f ca="1">IF(OFFSET(BD116,1,0,1,1)&lt;&gt;0,RZ[[#This Row],[Koeficient odhadu CR '[-'] (P1)]]*$BM116*SUMIFS(RZ[Úroveň 7 s koef. (P3)],RZ[0],AX116,RZ[Úroveň 2 (P0)],AY116,RZ[Úroveň 3 (P0)],AZ116,RZ[Úroveň 4 (P0)],BA116,RZ[Úroveň 5 (P0)],BB116,RZ[Úroveň 6 (P0)],BC116),RZ[[#This Row],[Koeficient odhadu CR '[-'] (P1)]]*$BM116*$IQ116)</f>
        <v>0</v>
      </c>
      <c r="EW116" s="140">
        <f ca="1">IF(OFFSET(BD116,1,0,1,1)&lt;&gt;0,$BM116*SUMIFS(RZ[Úroveň 7 bez koef. (P3)],RZ[0],AX116,RZ[Úroveň 2 (P0)],AY116,RZ[Úroveň 3 (P0)],AZ116,RZ[Úroveň 4 (P0)],BA116,RZ[Úroveň 5 (P0)],BB116,RZ[Úroveň 6 (P0)],BC116),$BM116*$IQ116)</f>
        <v>0</v>
      </c>
      <c r="EX116" s="135">
        <f ca="1">RZ[[#This Row],[Úroveň 7 s koef. (P3a)]]*RZ[[#This Row],[Počet MJCR (P0) pro "kg"]]</f>
        <v>0</v>
      </c>
      <c r="EY116" s="135">
        <f ca="1">RZ[Úroveň 7 bez koef. (P3a)]*RZ[[#This Row],[Počet MJCR (P0) pro "kg"]]</f>
        <v>0</v>
      </c>
      <c r="EZ116" s="135">
        <f ca="1">IF(OFFSET(BE116,1,0,1,1)&lt;&gt;0,RZ[[#This Row],[Koeficient odhadu CR '[-'] (P1)]]*$BN116*SUMIFS(RZ[Úroveň 8 s koef. (P3)],RZ[0],AX116,RZ[Úroveň 2 (P0)],AY116,RZ[Úroveň 3 (P0)],AZ116,RZ[Úroveň 4 (P0)],BA116,RZ[Úroveň 5 (P0)],BB116,RZ[Úroveň 6 (P0)],BC116,RZ[Úroveň 7 (P0)],BD116),RZ[[#This Row],[Koeficient odhadu CR '[-'] (P1)]]*$BN116*$IQ116)</f>
        <v>0</v>
      </c>
      <c r="FA116" s="135">
        <f ca="1">IF(OFFSET(BE116,1,0,1,1)&lt;&gt;0,$BN116*SUMIFS(RZ[Úroveň 8 bez koef. (P3)],RZ[0],AX116,RZ[Úroveň 2 (P0)],AY116,RZ[Úroveň 3 (P0)],AZ116,RZ[Úroveň 4 (P0)],BA116,RZ[Úroveň 5 (P0)],BB116,RZ[Úroveň 6 (P0)],BC116,RZ[Úroveň 7 (P0)],BD116),$BN116*$IQ116)</f>
        <v>0</v>
      </c>
      <c r="FB116" s="140">
        <f ca="1">RZ[[#This Row],[Úroveň 8 s koef. (P3a)]]*RZ[[#This Row],[Počet MJCR (P0) pro "kg"]]</f>
        <v>0</v>
      </c>
      <c r="FC116" s="140">
        <f ca="1">RZ[Úroveň 8 bez koef. (P3a)]*RZ[[#This Row],[Počet MJCR (P0) pro "kg"]]</f>
        <v>0</v>
      </c>
      <c r="FD116" s="140">
        <f ca="1">IF(OFFSET(BF116,1,0,1,1)&lt;&gt;0,RZ[[#This Row],[Koeficient odhadu CR '[-'] (P1)]]*$BO116*SUMIFS(RZ[Úroveň 9 s koef. (P3)],RZ[0],AX116,RZ[Úroveň 2 (P0)],AY116,RZ[Úroveň 3 (P0)],AZ116,RZ[Úroveň 4 (P0)],BA116,RZ[Úroveň 5 (P0)],BB116,RZ[Úroveň 6 (P0)],BC116,RZ[Úroveň 7 (P0)],BD116,RZ[Úroveň 8 (P0)],BE116),RZ[[#This Row],[Koeficient odhadu CR '[-'] (P1)]]*$BO116*$IQ116)</f>
        <v>0</v>
      </c>
      <c r="FE116" s="140">
        <f ca="1">IF(OFFSET(BF116,1,0,1,1)&lt;&gt;0,$BO116*SUMIFS(RZ[Úroveň 9 bez koef. (P3)],RZ[0],AX116,RZ[Úroveň 2 (P0)],AY116,RZ[Úroveň 3 (P0)],AZ116,RZ[Úroveň 4 (P0)],BA116,RZ[Úroveň 5 (P0)],BB116,RZ[Úroveň 6 (P0)],BC116,RZ[Úroveň 7 (P0)],BD116,RZ[Úroveň 8 (P0)],BE116),$BO116*$IQ116)</f>
        <v>0</v>
      </c>
      <c r="FF116" s="135">
        <f ca="1">RZ[[#This Row],[Úroveň 9 s koef. (P3a)]]*RZ[[#This Row],[Počet MJCR (P0) pro "kg"]]</f>
        <v>0</v>
      </c>
      <c r="FG116" s="135">
        <f ca="1">RZ[Úroveň 9 bez koef. (P3a)]*RZ[[#This Row],[Počet MJCR (P0) pro "kg"]]</f>
        <v>0</v>
      </c>
      <c r="FH116" s="135">
        <f ca="1">IF(OFFSET(BG116,1,0,1,1)&lt;&gt;0,RZ[[#This Row],[Koeficient odhadu CR '[-'] (P1)]]*$BP116*SUMIFS(RZ[Úroveň 10 s koef. (P3)],RZ[0],AX116,RZ[Úroveň 2 (P0)],AY116,RZ[Úroveň 3 (P0)],AZ116,RZ[Úroveň 4 (P0)],BA116,RZ[Úroveň 5 (P0)],BB116,RZ[Úroveň 6 (P0)],BC116,RZ[Úroveň 7 (P0)],BD116,RZ[Úroveň 8 (P0)],BE116,RZ[Úroveň 9 (P0)],BF116),RZ[[#This Row],[Koeficient odhadu CR '[-'] (P1)]]*$BP116*$IQ116)</f>
        <v>0</v>
      </c>
      <c r="FI116" s="135">
        <f ca="1">IF(OFFSET(BG116,1,0,1,1)&lt;&gt;0,$BP116*SUMIFS(RZ[Úroveň 10 bez koef. (P3)],RZ[0],AX116,RZ[Úroveň 2 (P0)],AY116,RZ[Úroveň 3 (P0)],AZ116,RZ[Úroveň 4 (P0)],BA116,RZ[Úroveň 5 (P0)],BB116,RZ[Úroveň 6 (P0)],BC116,RZ[Úroveň 7 (P0)],BD116,RZ[Úroveň 8 (P0)],BE116,RZ[Úroveň 9 (P0)],BF116),$BP116*$IQ116)</f>
        <v>0</v>
      </c>
      <c r="FJ116" s="140">
        <f ca="1">RZ[[#This Row],[Úroveň 10 s koef. (P3a)]]*RZ[[#This Row],[Počet MJCR (P0) pro "kg"]]</f>
        <v>0</v>
      </c>
      <c r="FK116" s="140">
        <f ca="1">RZ[Úroveň 10 bez koef. (P3a)]*RZ[[#This Row],[Počet MJCR (P0) pro "kg"]]</f>
        <v>0</v>
      </c>
      <c r="FL116" s="140">
        <f ca="1">RZ[[#This Row],[Koeficient odhadu CR '[-'] (P1)]]*$BQ116*IQ116</f>
        <v>0</v>
      </c>
      <c r="FM116" s="236">
        <f t="shared" ca="1" si="875"/>
        <v>0</v>
      </c>
      <c r="FN116" s="194">
        <f t="shared" ca="1" si="876"/>
        <v>115</v>
      </c>
      <c r="FO116" s="238">
        <f t="shared" ca="1" si="877"/>
        <v>115</v>
      </c>
      <c r="FP116" s="135">
        <f t="shared" ca="1" si="878"/>
        <v>0</v>
      </c>
      <c r="FQ116" s="135">
        <f t="shared" ca="1" si="879"/>
        <v>0</v>
      </c>
      <c r="FR116" s="135">
        <f t="shared" ca="1" si="880"/>
        <v>3</v>
      </c>
      <c r="FS116" s="135">
        <f t="shared" ca="1" si="881"/>
        <v>0</v>
      </c>
      <c r="FT116" s="135">
        <f t="shared" ca="1" si="882"/>
        <v>0</v>
      </c>
      <c r="FU116" s="135">
        <f t="shared" ca="1" si="883"/>
        <v>0</v>
      </c>
      <c r="FV116" s="135">
        <f t="shared" ca="1" si="884"/>
        <v>0</v>
      </c>
      <c r="FW116" s="135">
        <f t="shared" ca="1" si="885"/>
        <v>0</v>
      </c>
      <c r="FX116" s="135">
        <f t="shared" ca="1" si="886"/>
        <v>0</v>
      </c>
      <c r="FY116" s="135">
        <f t="shared" ca="1" si="887"/>
        <v>0</v>
      </c>
      <c r="FZ116" s="140">
        <f ca="1">SUMIFS(RZ[Úroveň 1 (P6)],RZ[0],AX116)</f>
        <v>1</v>
      </c>
      <c r="GA116" s="140">
        <f ca="1">SUMIFS(RZ[Úroveň 2 (P6)],RZ[0],AX116,RZ[Úroveň 2 (P0)],AY116)</f>
        <v>2</v>
      </c>
      <c r="GB116" s="140">
        <f ca="1">SUMIFS(RZ[Úroveň 3 (P6)],RZ[0],AX116,RZ[Úroveň 2 (P0)],AY116,RZ[Úroveň 3 (P0)],AZ116)</f>
        <v>3</v>
      </c>
      <c r="GC116" s="140">
        <f ca="1">SUMIFS(RZ[Úroveň 4 (P6)],RZ[0],AX116,RZ[Úroveň 2 (P0)],AY116,RZ[Úroveň 3 (P0)],AZ116,RZ[Úroveň 4 (P0)],BA116)</f>
        <v>0</v>
      </c>
      <c r="GD116" s="140">
        <f ca="1">SUMIFS(RZ[Úroveň 5 (P6)],RZ[0],AX116,RZ[Úroveň 2 (P0)],AY116,RZ[Úroveň 3 (P0)],AZ116,RZ[Úroveň 4 (P0)],BA116,RZ[Úroveň 5 (P0)],BB116)</f>
        <v>0</v>
      </c>
      <c r="GE116" s="140">
        <f ca="1">SUMIFS(RZ[Úroveň 6 (P6)],RZ[0],AX116,RZ[Úroveň 2 (P0)],AY116,RZ[Úroveň 3 (P0)],AZ116,RZ[Úroveň 4 (P0)],BA116,RZ[Úroveň 5 (P0)],BB116,RZ[Úroveň 6 (P0)],BC116)</f>
        <v>0</v>
      </c>
      <c r="GF116" s="140">
        <f ca="1">SUMIFS(RZ[Úroveň 7 (P6)],RZ[0],AX116,RZ[Úroveň 2 (P0)],AY116,RZ[Úroveň 3 (P0)],AZ116,RZ[Úroveň 4 (P0)],BA116,RZ[Úroveň 5 (P0)],BB116,RZ[Úroveň 6 (P0)],BC116,RZ[Úroveň 7 (P0)],BD116)</f>
        <v>0</v>
      </c>
      <c r="GG116" s="140">
        <f ca="1">SUMIFS(RZ[Úroveň 8 (P6)],RZ[0],AX116,RZ[Úroveň 2 (P0)],AY116,RZ[Úroveň 3 (P0)],AZ116,RZ[Úroveň 4 (P0)],BA116,RZ[Úroveň 5 (P0)],BB116,RZ[Úroveň 6 (P0)],BC116,RZ[Úroveň 7 (P0)],BD116,RZ[Úroveň 8 (P0)],BE116)</f>
        <v>0</v>
      </c>
      <c r="GH116" s="140">
        <f ca="1">SUMIFS(RZ[Úroveň 9 (P6)],RZ[0],AX116,RZ[Úroveň 2 (P0)],AY116,RZ[Úroveň 3 (P0)],AZ116,RZ[Úroveň 4 (P0)],BA116,RZ[Úroveň 5 (P0)],BB116,RZ[Úroveň 6 (P0)],BC116,RZ[Úroveň 7 (P0)],BD116,RZ[Úroveň 8 (P0)],BE116,RZ[Úroveň 9 (P0)],BF116)</f>
        <v>0</v>
      </c>
      <c r="GI116" s="140">
        <f ca="1">SUMIFS(RZ[Úroveň 10 (P6)],RZ[0],AX116,RZ[Úroveň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GJ116" s="918">
        <f t="shared" ca="1" si="888"/>
        <v>6</v>
      </c>
      <c r="GK116" s="808">
        <f t="shared" si="889"/>
        <v>0</v>
      </c>
      <c r="GL116" s="808">
        <f t="shared" si="890"/>
        <v>0</v>
      </c>
      <c r="GM116" s="808">
        <f t="shared" si="891"/>
        <v>1</v>
      </c>
      <c r="GN116" s="808">
        <f t="shared" si="892"/>
        <v>0</v>
      </c>
      <c r="GO116" s="808">
        <f t="shared" si="893"/>
        <v>0</v>
      </c>
      <c r="GP116" s="808">
        <f t="shared" si="894"/>
        <v>0</v>
      </c>
      <c r="GQ116" s="808">
        <f t="shared" si="895"/>
        <v>0</v>
      </c>
      <c r="GR116" s="808">
        <f t="shared" si="896"/>
        <v>0</v>
      </c>
      <c r="GS116" s="808">
        <f t="shared" si="897"/>
        <v>0</v>
      </c>
      <c r="GT116" s="808">
        <f t="shared" si="898"/>
        <v>0</v>
      </c>
      <c r="GU116" s="809">
        <f ca="1">SUMIFS(RZ[Sloupec1],RZ[0],AX116)</f>
        <v>1</v>
      </c>
      <c r="GV116" s="809">
        <f ca="1">SUMIFS(RZ[Sloupec2],RZ[0],AX116,RZ[Úroveň 2 (P0)],AY116)</f>
        <v>1</v>
      </c>
      <c r="GW116" s="809">
        <f ca="1">SUMIFS(RZ[Sloupec3],RZ[0],AX116,RZ[Úroveň 2 (P0)],AY116,RZ[Úroveň 3 (P0)],AZ116)</f>
        <v>1</v>
      </c>
      <c r="GX116" s="809">
        <f ca="1">SUMIFS(RZ[Sloupec4],RZ[0],AX116,RZ[Úroveň 2 (P0)],AY116,RZ[Úroveň 3 (P0)],AZ116,RZ[Úroveň 4 (P0)],BA116)</f>
        <v>0</v>
      </c>
      <c r="GY116" s="809">
        <f ca="1">SUMIFS(RZ[Sloupec5],RZ[0],AX116,RZ[Úroveň 2 (P0)],AY116,RZ[Úroveň 3 (P0)],AZ116,RZ[Úroveň 4 (P0)],BA116,RZ[Úroveň 5 (P0)],BB116)</f>
        <v>0</v>
      </c>
      <c r="GZ116" s="809">
        <f ca="1">SUMIFS(RZ[Sloupec6],RZ[0],AX116,RZ[Úroveň 2 (P0)],AY116,RZ[Úroveň 3 (P0)],AZ116,RZ[Úroveň 4 (P0)],BA116,RZ[Úroveň 5 (P0)],BB116,RZ[Úroveň 6 (P0)],BC116)</f>
        <v>0</v>
      </c>
      <c r="HA116" s="809">
        <f ca="1">SUMIFS(RZ[Sloupec62],RZ[0],AX116,RZ[Úroveň 2 (P0)],AY116,RZ[Úroveň 3 (P0)],AZ116,RZ[Úroveň 4 (P0)],BA116,RZ[Úroveň 5 (P0)],BB116,RZ[Úroveň 6 (P0)],BC116,RZ[Úroveň 7 (P0)],BD116)</f>
        <v>0</v>
      </c>
      <c r="HB116" s="809">
        <f ca="1">SUMIFS(RZ[Sloupec63],RZ[0],AX116,RZ[Úroveň 2 (P0)],AY116,RZ[Úroveň 3 (P0)],AZ116,RZ[Úroveň 4 (P0)],BA116,RZ[Úroveň 5 (P0)],BB116,RZ[Úroveň 6 (P0)],BC116,RZ[Úroveň 7 (P0)],BD116,RZ[Úroveň 8 (P0)],BE116)</f>
        <v>0</v>
      </c>
      <c r="HC116" s="809">
        <f ca="1">SUMIFS(RZ[Sloupec64],RZ[0],AX116,RZ[Úroveň 2 (P0)],AY116,RZ[Úroveň 3 (P0)],AZ116,RZ[Úroveň 4 (P0)],BA116,RZ[Úroveň 5 (P0)],BB116,RZ[Úroveň 6 (P0)],BC116,RZ[Úroveň 7 (P0)],BD116,RZ[Úroveň 8 (P0)],BE116,RZ[Úroveň 9 (P0)],BF116)</f>
        <v>0</v>
      </c>
      <c r="HD116" s="809">
        <f ca="1">SUMIFS(RZ[Sloupec65],RZ[0],AX116,RZ[Úroveň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HE116" s="919">
        <f t="shared" ca="1" si="899"/>
        <v>1</v>
      </c>
      <c r="HF116" s="920" t="str">
        <f t="shared" si="900"/>
        <v/>
      </c>
      <c r="HG116" s="94" t="str">
        <f t="shared" si="901"/>
        <v/>
      </c>
      <c r="HH116" s="95" t="str">
        <f t="shared" si="902"/>
        <v/>
      </c>
      <c r="HI116" s="95" t="str">
        <f t="shared" si="903"/>
        <v>Čep - průměr 63 x 135 mm</v>
      </c>
      <c r="HJ116" s="96" t="str">
        <f t="shared" si="904"/>
        <v/>
      </c>
      <c r="HK116" s="96" t="str">
        <f t="shared" si="905"/>
        <v/>
      </c>
      <c r="HL116" s="96" t="str">
        <f t="shared" si="906"/>
        <v/>
      </c>
      <c r="HM116" s="96" t="str">
        <f t="shared" si="907"/>
        <v/>
      </c>
      <c r="HN116" s="96" t="str">
        <f t="shared" si="908"/>
        <v/>
      </c>
      <c r="HO116" s="96" t="str">
        <f t="shared" si="909"/>
        <v/>
      </c>
      <c r="HP116" s="96" t="str">
        <f t="shared" si="910"/>
        <v/>
      </c>
      <c r="HQ116" s="145" t="str">
        <f t="shared" si="911"/>
        <v>STO2</v>
      </c>
      <c r="HR116" s="921" t="str">
        <f t="shared" si="912"/>
        <v/>
      </c>
      <c r="HS116" s="173">
        <f t="shared" si="913"/>
        <v>0</v>
      </c>
      <c r="HT116" s="100">
        <f t="shared" si="914"/>
        <v>0</v>
      </c>
      <c r="HU116" s="100">
        <f t="shared" si="915"/>
        <v>0</v>
      </c>
      <c r="HV116" s="908">
        <f t="shared" si="916"/>
        <v>0</v>
      </c>
      <c r="HW116" s="922">
        <f t="shared" si="917"/>
        <v>0</v>
      </c>
      <c r="HX116" s="224">
        <f t="shared" si="918"/>
        <v>0</v>
      </c>
      <c r="HY116" s="263" t="str">
        <f t="shared" si="919"/>
        <v>S</v>
      </c>
      <c r="HZ116" s="263">
        <f t="shared" si="920"/>
        <v>0</v>
      </c>
      <c r="IA116" s="150">
        <f t="shared" si="921"/>
        <v>1</v>
      </c>
      <c r="IB116" s="319">
        <f t="shared" si="922"/>
        <v>0</v>
      </c>
      <c r="IC116" s="923">
        <f t="shared" si="923"/>
        <v>0</v>
      </c>
      <c r="ID116" s="924" t="str">
        <f t="shared" ca="1" si="924"/>
        <v>OK</v>
      </c>
      <c r="IE116" s="201" t="str">
        <f t="shared" si="925"/>
        <v>ks</v>
      </c>
      <c r="IF116" s="145">
        <f t="shared" si="926"/>
        <v>1</v>
      </c>
      <c r="IG116" s="216">
        <f t="shared" si="927"/>
        <v>3</v>
      </c>
      <c r="IH116" s="217">
        <f t="shared" si="928"/>
        <v>1</v>
      </c>
      <c r="II116" s="224" t="str">
        <f ca="1">IF(RZ[[#This Row],[Rozhodný sloupec indikativní ceny]]=1,"kg",IF($IW116=$JL$15,IF(JX116=0,JO116,JX116),IF($IW116=$KE$15,IF(KQ116=0,KH116,KQ116),IF($IW116=$KX$15,IF(LJ116=0,LA116,LJ116),IF($IW116=$LQ$15,IF(MC116=0,LT116,MC116),IF($IW116=$MJ$15,IF(NQ116=0,NH116,NQ116),0))))))</f>
        <v>kg</v>
      </c>
      <c r="IJ116" s="224">
        <f ca="1">IF((BH116+OFFSET(BH116,1,1,1,1))=2,RZ[[#This Row],[Počet MJHR (P0)]],IF((BI116+OFFSET(BI116,1,1,1,1))=2,RZ[[#This Row],[Počet MJHR (P0)]],IF((BJ116+OFFSET(BJ116,1,1,1,1))=2,RZ[[#This Row],[Počet MJHR (P0)]],IF((BK116+OFFSET(BK116,1,1,1,1))=2,RZ[[#This Row],[Počet MJHR (P0)]],IF((BL116+OFFSET(BL116,1,1,1,1))=2,RZ[[#This Row],[Počet MJHR (P0)]],IF((BM116+OFFSET(BM116,1,1,1,1))=2,RZ[[#This Row],[Počet MJHR (P0)]],IF((BN116+OFFSET(BN116,1,1,1,1))=2,RZ[[#This Row],[Počet MJHR (P0)]],IF((BO116+OFFSET(BO116,1,1,1,1))=2,RZ[[#This Row],[Počet MJHR (P0)]],IF((BP116+OFFSET(BP116,1,1,1,1))=2,RZ[[#This Row],[Počet MJHR (P0)]],IF((BQ116+OFFSET(BQ116,1,1,1,1))=2,RZ[[#This Row],[Počet MJHR (P0)]],IF(RZ[[#This Row],[Měrná jednotka CR (MJCR) (P0)]]=RZ[[#This Row],[Měrná jednotka HR '[MJHR'] (P0)]],RZ[[#This Row],[Počet MJHR (P0)]],IF($IW116=$JL$15,JY116,IF($IW116=$KE$15,KR116,IF($IW116=$KX$15,LK116,IF($IW116=$LQ$15,MD116,IF($IW116=$MJ$15,NR116,0))))))))))))))))</f>
        <v>0</v>
      </c>
      <c r="IK11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116" s="145">
        <f ca="1">IF(AND(RZ[[#This Row],[Jednotková cena bez DPH '[cena/MJCR'] (P0)]]=0,RZ[[#This Row],[Indikativní jednotková cena '[CZK/kg'] (P1)]]&lt;&gt;0),1,0)</f>
        <v>1</v>
      </c>
      <c r="IM116" s="217">
        <f ca="1">VLOOKUP(RZ[[#This Row],[Kód položek]],INDIKAT_CENA,2,FALSE)</f>
        <v>115</v>
      </c>
      <c r="IN116" s="222">
        <f ca="1">IF(RZ[[#This Row],[Rozhodný sloupec indikativní ceny]]=1,RZ[[#This Row],[Indikativní jednotková cena '[CZK/kg'] (P1)]],RZ[[#This Row],[Jednotková cena bez DPH '[cena/MJCR'] (P0)]])</f>
        <v>115</v>
      </c>
      <c r="IO116" s="222">
        <f t="shared" si="929"/>
        <v>1</v>
      </c>
      <c r="IP116" s="224">
        <f ca="1">IF(RZ[[#This Row],[Rozhodný sloupec indikativní ceny]]=1,1,IF($IW116=$JL$15,KA116,IF($IW116=$KE$15,KT116,IF($IW116=$KX$15,LM116,IF($IW116=$LQ$15,MF116,IF($IW116=$MJ$15,NT116,0))))))</f>
        <v>1</v>
      </c>
      <c r="IQ116" s="225">
        <f ca="1">IF(RZ[[#This Row],[Jednotková cena bez DPH '[cena/MJCR'] (P1)]]="",0,IF(IP116=0,0,(RZ[[#This Row],[Jednotková cena bez DPH '[cena/MJCR'] (P1)]]*VLOOKUP(IP116,$BR$7:$BT$10,3))))</f>
        <v>115</v>
      </c>
      <c r="IR116" s="737"/>
      <c r="IS116" s="627">
        <f>IF(HY116=0,"",VLOOKUP(RZ[[#This Row],[Stav Projekce (P0)]],Vstupy!$E$11:'Vstupy'!$E$11:$H$17,4,FALSE))</f>
        <v>100</v>
      </c>
      <c r="IT116" s="925" t="str">
        <f>IF(RZ[[#This Row],[Stav Projekce (P0)]]=0,"",RZ[[#This Row],[Stav Projekce (P0)]])</f>
        <v>S</v>
      </c>
      <c r="IU116" s="925" t="str">
        <f>IF(RZ[[#This Row],[Stav Nákup (P0)]]=0,"",RZ[[#This Row],[Stav Nákup (P0)]])</f>
        <v/>
      </c>
      <c r="IV116" s="926" t="str">
        <f t="shared" si="930"/>
        <v/>
      </c>
      <c r="IW116" s="641">
        <v>1</v>
      </c>
      <c r="IX116" s="630"/>
      <c r="IY116" s="264"/>
      <c r="IZ116" s="648"/>
      <c r="JA116" s="100"/>
      <c r="JB116" s="100" t="s">
        <v>772</v>
      </c>
      <c r="JC116" s="100"/>
      <c r="JD116" s="100"/>
      <c r="JE116" s="100"/>
      <c r="JF116" s="100"/>
      <c r="JG116" s="100"/>
      <c r="JH116" s="100"/>
      <c r="JI116" s="100"/>
      <c r="JJ116" s="145" t="s">
        <v>773</v>
      </c>
      <c r="JK116" s="529"/>
      <c r="JL116" s="286"/>
      <c r="JM116" s="100"/>
      <c r="JN116" s="100"/>
      <c r="JO116" s="145" t="s">
        <v>35</v>
      </c>
      <c r="JP116" s="117">
        <v>1</v>
      </c>
      <c r="JQ116" s="117">
        <v>3</v>
      </c>
      <c r="JR116" s="148">
        <v>1</v>
      </c>
      <c r="JS116" s="145" t="s">
        <v>602</v>
      </c>
      <c r="JT116" s="631"/>
      <c r="JU116" s="148"/>
      <c r="JV116" s="154"/>
      <c r="JW116" s="145"/>
      <c r="JX116" s="210"/>
      <c r="JY116" s="117"/>
      <c r="JZ116" s="662"/>
      <c r="KA116" s="145"/>
      <c r="KB116" s="148"/>
      <c r="KC116" s="148"/>
      <c r="KD116" s="644"/>
      <c r="KE116" s="286"/>
      <c r="KF116" s="100"/>
      <c r="KG116" s="100"/>
      <c r="KH116" s="210"/>
      <c r="KI116" s="117"/>
      <c r="KJ116" s="117"/>
      <c r="KK116" s="148"/>
      <c r="KL116" s="145"/>
      <c r="KM116" s="632"/>
      <c r="KN116" s="148"/>
      <c r="KO116" s="154"/>
      <c r="KP116" s="154"/>
      <c r="KQ116" s="210"/>
      <c r="KR116" s="117"/>
      <c r="KS116" s="211"/>
      <c r="KT116" s="145"/>
      <c r="KU116" s="148"/>
      <c r="KV116" s="148"/>
      <c r="KW116" s="265"/>
      <c r="KX116" s="286"/>
      <c r="KY116" s="100"/>
      <c r="KZ116" s="100"/>
      <c r="LA116" s="210"/>
      <c r="LB116" s="117"/>
      <c r="LC116" s="117"/>
      <c r="LD116" s="148"/>
      <c r="LE116" s="145"/>
      <c r="LF116" s="632"/>
      <c r="LG116" s="148"/>
      <c r="LH116" s="154"/>
      <c r="LI116" s="154"/>
      <c r="LJ116" s="154"/>
      <c r="LK116" s="117"/>
      <c r="LL116" s="211"/>
      <c r="LM116" s="210"/>
      <c r="LN116" s="148"/>
      <c r="LO116" s="148"/>
      <c r="LP116" s="265"/>
      <c r="LQ116" s="286"/>
      <c r="LR116" s="100"/>
      <c r="LS116" s="100"/>
      <c r="LT116" s="210"/>
      <c r="LU116" s="117"/>
      <c r="LV116" s="117"/>
      <c r="LW116" s="148"/>
      <c r="LX116" s="145"/>
      <c r="LY116" s="632"/>
      <c r="LZ116" s="148"/>
      <c r="MA116" s="154"/>
      <c r="MB116" s="154"/>
      <c r="MC116" s="145"/>
      <c r="MD116" s="117"/>
      <c r="ME116" s="211"/>
      <c r="MF116" s="210"/>
      <c r="MG116" s="148"/>
      <c r="MH116" s="148"/>
      <c r="MI116" s="265"/>
      <c r="MJ116" s="647"/>
      <c r="MK116" s="264"/>
      <c r="ML116" s="153"/>
      <c r="MM116" s="153"/>
      <c r="MN116" s="153"/>
      <c r="MO116" s="153"/>
      <c r="MP116" s="153"/>
      <c r="MQ116" s="153"/>
      <c r="MR116" s="153"/>
      <c r="MS116" s="99"/>
      <c r="MT116" s="99"/>
      <c r="MU116" s="99"/>
      <c r="MV116" s="99"/>
      <c r="MW116" s="99"/>
      <c r="MX116" s="99"/>
      <c r="MY116" s="153"/>
      <c r="MZ116" s="153"/>
      <c r="NA116" s="153"/>
      <c r="NB116" s="153"/>
      <c r="NC116" s="153"/>
      <c r="ND116" s="153"/>
      <c r="NE116" s="153"/>
      <c r="NF116" s="153"/>
      <c r="NG116" s="153"/>
      <c r="NH116" s="330" t="str">
        <f t="shared" si="931"/>
        <v>ks</v>
      </c>
      <c r="NI116" s="797">
        <f>RZ[[#This Row],[Počet ks (K)]]</f>
        <v>0</v>
      </c>
      <c r="NJ116" s="798">
        <f>RZ[[#This Row],[Hmotnost '[kg/ks'] (K)]]</f>
        <v>0</v>
      </c>
      <c r="NK116" s="153"/>
      <c r="NL116" s="153"/>
      <c r="NM116" s="632"/>
      <c r="NN116" s="153"/>
      <c r="NO116" s="153"/>
      <c r="NP116" s="153"/>
      <c r="NQ116" s="153"/>
      <c r="NR116" s="153"/>
      <c r="NS116" s="153"/>
      <c r="NT116" s="153"/>
      <c r="NU116" s="153"/>
      <c r="NV116" s="148"/>
      <c r="NW116" s="633"/>
    </row>
    <row r="117" spans="2:387" ht="15.95" customHeight="1" thickBot="1" x14ac:dyDescent="0.4">
      <c r="B117" s="118" t="str">
        <f t="shared" si="824"/>
        <v/>
      </c>
      <c r="C1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7" s="262" t="str">
        <f t="shared" si="825"/>
        <v xml:space="preserve">    Spojovací materiál</v>
      </c>
      <c r="E117" s="120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Row],[Kód položek (P2)]]))))))))))</f>
        <v>STSM</v>
      </c>
      <c r="F117" s="791" t="str">
        <f t="shared" si="826"/>
        <v>N/A</v>
      </c>
      <c r="G117" s="792" t="str">
        <f t="shared" si="827"/>
        <v/>
      </c>
      <c r="H117" s="262" t="str">
        <f t="shared" si="828"/>
        <v/>
      </c>
      <c r="I117" s="123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HR '[MJHR'] (P0)]]))))))))))</f>
        <v>ks</v>
      </c>
      <c r="J117" s="123">
        <f t="shared" si="829"/>
        <v>1</v>
      </c>
      <c r="K117" s="793">
        <f>RZ[[#This Row],[Koeficient odhadu HR '[-'] (P1)]]</f>
        <v>1</v>
      </c>
      <c r="L117" s="124">
        <f ca="1">RZ[[#This Row],[Jednotková hmotnost s koef. '[kg/MJHR'] (P0)]]</f>
        <v>2.7559999999999998</v>
      </c>
      <c r="M117" s="794">
        <f t="shared" ca="1" si="830"/>
        <v>0</v>
      </c>
      <c r="N117" s="125">
        <f t="shared" ca="1" si="831"/>
        <v>2.7559999999999998</v>
      </c>
      <c r="O117" s="125">
        <f t="shared" ca="1" si="832"/>
        <v>0</v>
      </c>
      <c r="P117" s="126" t="str">
        <f t="shared" si="833"/>
        <v/>
      </c>
      <c r="Q117" s="795">
        <f ca="1">RZ[[#This Row],[Počet MJHR v rozpadu (P0)]]</f>
        <v>2</v>
      </c>
      <c r="R117" s="439" t="str">
        <f t="shared" si="834"/>
        <v/>
      </c>
      <c r="S117" s="129" t="str">
        <f t="shared" si="835"/>
        <v/>
      </c>
      <c r="T117" s="126" t="str">
        <f t="shared" si="836"/>
        <v/>
      </c>
      <c r="U117" s="126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CR (MJCR) (P0)]]))))))))))</f>
        <v>kg</v>
      </c>
      <c r="V117" s="575">
        <f t="shared" ca="1" si="837"/>
        <v>2.7559999999999998</v>
      </c>
      <c r="W117" s="322">
        <f>RZ[[#This Row],[Koeficient odhadu CR '[-'] (P1)]]</f>
        <v>1</v>
      </c>
      <c r="X117" s="440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Row],[Jednotková cena bez DPH '[cena/MJCR'] (P1)]]*RZ[[#This Row],[Koeficient odhadu CR '[-']]]))))))))))</f>
        <v>110</v>
      </c>
      <c r="Y117" s="440">
        <f t="shared" ca="1" si="838"/>
        <v>0</v>
      </c>
      <c r="Z117" s="142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VLOOKUP(IP117,$BR$7:$BS$11,2,FALSE)))))))))))</f>
        <v>CZK</v>
      </c>
      <c r="AA117" s="909">
        <f t="shared" ca="1" si="839"/>
        <v>5.5119999999999996</v>
      </c>
      <c r="AB117" s="910">
        <f ca="1">RZ[[#This Row],[Kumulovaný koeficient v rozpadu (P0)]]</f>
        <v>1</v>
      </c>
      <c r="AC117" s="261"/>
      <c r="AD117" s="796">
        <f ca="1">RZ[[#This Row],[Jednotková cena bez DPH '[cena/MJCR'] s koef. (P0)]]/RZ[[#This Row],[Koeficient odhadu CR '[-']]]*RZ[[#This Row],[Kumulovaný koeficient odhadu CR  '[-']]]</f>
        <v>110</v>
      </c>
      <c r="AE117" s="796">
        <f t="shared" ca="1" si="840"/>
        <v>606.31999999999994</v>
      </c>
      <c r="AF117" s="796">
        <f ca="1">-IF(ISNUMBER(AA117),RZ[[#This Row],[Celková cena bez DPH (1)]]-RZ[[#This Row],[Jednotková cena bez DPH '[cena/MJCR'] bez koef. (P0)]]*AA117,0)</f>
        <v>0</v>
      </c>
      <c r="AG11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7" s="261"/>
      <c r="AI117" s="796">
        <f ca="1">AD117/VLOOKUP($AJ$13,KURZY,3,FALSE)</f>
        <v>4.0740740740740744</v>
      </c>
      <c r="AJ117" s="796">
        <f ca="1">AE117/VLOOKUP($AJ$13,KURZY,3,FALSE)*IF(V117="",0,1)</f>
        <v>22.456296296296294</v>
      </c>
      <c r="AK117" s="796">
        <f ca="1">AF117/VLOOKUP($AJ$13,KURZY,3,FALSE)</f>
        <v>0</v>
      </c>
      <c r="AL117" s="753">
        <f ca="1">RZ[[#This Row],[Kilogramová cena bez DPH '[cena/kg'] (1)]]/$AK$13</f>
        <v>4.0740740740740744</v>
      </c>
      <c r="AM117" s="261"/>
      <c r="AN117" s="796">
        <f ca="1">AD117/VLOOKUP($AO$13,KURZY,3,FALSE)</f>
        <v>5.3140096618357493</v>
      </c>
      <c r="AO117" s="796">
        <f ca="1">AE117/VLOOKUP($AO$13,KURZY,3,FALSE)*IF(V117="",0,1)</f>
        <v>29.290821256038644</v>
      </c>
      <c r="AP117" s="796">
        <f ca="1">AF117/VLOOKUP($AO$13,KURZY,3,FALSE)</f>
        <v>0</v>
      </c>
      <c r="AQ117" s="753">
        <f ca="1">RZ[[#This Row],[Kilogramová cena bez DPH '[cena/kg'] (1)]]/$AP$13</f>
        <v>5.3140096618357493</v>
      </c>
      <c r="AR117" s="261"/>
      <c r="AS117" s="796">
        <f ca="1">AD117/VLOOKUP($AT$13,KURZY,3,FALSE)</f>
        <v>3.0087527352297592</v>
      </c>
      <c r="AT117" s="796">
        <f ca="1">AE117/VLOOKUP($AT$13,KURZY,3,FALSE)*IF(V117="",0,1)</f>
        <v>16.584245076586431</v>
      </c>
      <c r="AU117" s="789">
        <f ca="1">AF117/VLOOKUP($AT$13,KURZY,3,FALSE)</f>
        <v>0</v>
      </c>
      <c r="AV117" s="767">
        <f ca="1">RZ[[#This Row],[Kilogramová cena bez DPH '[cena/kg'] (1)]]/$AU$13</f>
        <v>3.0087527352297592</v>
      </c>
      <c r="AW117" s="165"/>
      <c r="AX117" s="911">
        <f t="shared" ca="1" si="841"/>
        <v>2</v>
      </c>
      <c r="AY117" s="111">
        <f t="shared" ca="1" si="842"/>
        <v>9</v>
      </c>
      <c r="AZ117" s="111">
        <f t="shared" ca="1" si="843"/>
        <v>4</v>
      </c>
      <c r="BA117" s="111">
        <f t="shared" ca="1" si="844"/>
        <v>0</v>
      </c>
      <c r="BB117" s="111">
        <f t="shared" ca="1" si="845"/>
        <v>0</v>
      </c>
      <c r="BC117" s="111">
        <f t="shared" ca="1" si="846"/>
        <v>0</v>
      </c>
      <c r="BD117" s="111">
        <f t="shared" ca="1" si="847"/>
        <v>0</v>
      </c>
      <c r="BE117" s="111">
        <f t="shared" ca="1" si="848"/>
        <v>0</v>
      </c>
      <c r="BF117" s="111">
        <f t="shared" ca="1" si="849"/>
        <v>0</v>
      </c>
      <c r="BG117" s="112">
        <f t="shared" ca="1" si="850"/>
        <v>0</v>
      </c>
      <c r="BH117" s="911">
        <f t="shared" si="851"/>
        <v>0</v>
      </c>
      <c r="BI117" s="111">
        <f t="shared" si="852"/>
        <v>0</v>
      </c>
      <c r="BJ117" s="111">
        <f t="shared" si="853"/>
        <v>1</v>
      </c>
      <c r="BK117" s="111">
        <f t="shared" si="854"/>
        <v>0</v>
      </c>
      <c r="BL117" s="111">
        <f t="shared" si="855"/>
        <v>0</v>
      </c>
      <c r="BM117" s="111">
        <f t="shared" si="856"/>
        <v>0</v>
      </c>
      <c r="BN117" s="111">
        <f t="shared" si="857"/>
        <v>0</v>
      </c>
      <c r="BO117" s="111">
        <f t="shared" si="858"/>
        <v>0</v>
      </c>
      <c r="BP117" s="111">
        <f t="shared" si="859"/>
        <v>0</v>
      </c>
      <c r="BQ117" s="112">
        <f t="shared" si="860"/>
        <v>0</v>
      </c>
      <c r="BR117" s="132">
        <f ca="1">IF(OFFSET(AY117,1,0,1,1)&lt;&gt;0,RZ[[#This Row],[Koeficient odhadu HR '[-'] (P1)]]*$BH117*SUMIFS(RZ[Úroveň 2 s koef. (P2)],RZ[0],AX117),RZ[[#This Row],[Koeficient odhadu HR '[-'] (P1)]]*$BH117*$IG117)</f>
        <v>0</v>
      </c>
      <c r="BS117" s="186">
        <f ca="1">IF(OFFSET(AY117,1,0,1,1)&lt;&gt;0,$BH117*SUMIFS(RZ[Úroveň 2 bez koef. (P2)],RZ[0],AX117),$BH117*$IG117)</f>
        <v>0</v>
      </c>
      <c r="BT117" s="138">
        <f ca="1">RZ[[#This Row],[Úroveň 2 s koef. (P2a)]]*RZ[[#This Row],[Počet MJHR (P0)]]</f>
        <v>0</v>
      </c>
      <c r="BU117" s="138">
        <f ca="1">RZ[[#This Row],[Úroveň 2 bez koef. (P2a)]]*RZ[[#This Row],[Počet MJHR (P0)]]</f>
        <v>0</v>
      </c>
      <c r="BV117" s="138">
        <f ca="1">IF(OFFSET(AZ117,1,0,1,1)&lt;&gt;0,RZ[[#This Row],[Koeficient odhadu HR '[-'] (P1)]]*$BI117*SUMIFS(RZ[Úroveň 3 s koef. (P2)],RZ[0],AX117,RZ[Úroveň 2 (P0)],AY117),RZ[[#This Row],[Koeficient odhadu HR '[-'] (P1)]]*$BI117*$IG117)</f>
        <v>0</v>
      </c>
      <c r="BW117" s="138">
        <f ca="1">IF(OFFSET(AZ117,1,0,1,1)&lt;&gt;0,$BI117*SUMIFS(RZ[Úroveň 3 bez koef. (P2)],RZ[0],AX117,RZ[Úroveň 2 (P0)],AY117),$BI117*$IG117)</f>
        <v>0</v>
      </c>
      <c r="BX117" s="132">
        <f ca="1">RZ[[#This Row],[Úroveň 3 s koef. (P2a)]]*RZ[[#This Row],[Počet MJHR (P0)]]</f>
        <v>2.7559999999999998</v>
      </c>
      <c r="BY117" s="132">
        <f ca="1">RZ[Úroveň 3 bez koef. (P2a)]*RZ[[#This Row],[Počet MJHR (P0)]]</f>
        <v>2.7559999999999998</v>
      </c>
      <c r="BZ117" s="132">
        <f ca="1">IF(OFFSET(BA117,1,0,1,1)&lt;&gt;0,RZ[[#This Row],[Koeficient odhadu HR '[-'] (P1)]]*$BJ117*SUMIFS(RZ[Úroveň 4 s koef. (P2)],RZ[0],AX117,RZ[Úroveň 2 (P0)],AY117,RZ[Úroveň 3 (P0)],AZ117),RZ[[#This Row],[Koeficient odhadu HR '[-'] (P1)]]*$BJ117*$IG117)</f>
        <v>2.7559999999999998</v>
      </c>
      <c r="CA117" s="132">
        <f ca="1">IF(OFFSET(BA117,1,0,1,1)&lt;&gt;0,$BJ117*SUMIFS(RZ[Úroveň 4 bez koef. (P2)],RZ[0],AX117,RZ[Úroveň 2 (P0)],AY117,RZ[Úroveň 3 (P0)],AZ117),$BJ117*$IG117)</f>
        <v>2.7559999999999998</v>
      </c>
      <c r="CB117" s="138">
        <f ca="1">RZ[[#This Row],[Úroveň 4 s koef. (P2a)]]*RZ[[#This Row],[Počet MJHR (P0)]]</f>
        <v>0</v>
      </c>
      <c r="CC117" s="138">
        <f ca="1">RZ[Úroveň 4 bez koef. (P2a)]*RZ[[#This Row],[Počet MJHR (P0)]]</f>
        <v>0</v>
      </c>
      <c r="CD117" s="138">
        <f ca="1">IF(OFFSET(BB117,1,0,1,1)&lt;&gt;0,RZ[[#This Row],[Koeficient odhadu HR '[-'] (P1)]]*$BK117*SUMIFS(RZ[Úroveň 5 s koef. (P2)],RZ[0],AX117,RZ[Úroveň 2 (P0)],AY117,RZ[Úroveň 3 (P0)],AZ117,RZ[Úroveň 4 (P0)],BA117),RZ[[#This Row],[Koeficient odhadu HR '[-'] (P1)]]*$BK117*$IG117)</f>
        <v>0</v>
      </c>
      <c r="CE117" s="138">
        <f ca="1">IF(OFFSET(BB117,1,0,1,1)&lt;&gt;0,$BK117*SUMIFS(RZ[Úroveň 5 bez koef. (P2)],RZ[0],AX117,RZ[Úroveň 2 (P0)],AY117,RZ[Úroveň 3 (P0)],AZ117,RZ[Úroveň 4 (P0)],BA117),$BK117*$IG117)</f>
        <v>0</v>
      </c>
      <c r="CF117" s="132">
        <f ca="1">RZ[[#This Row],[Úroveň 5 s koef. (P2a)]]*RZ[[#This Row],[Počet MJHR (P0)]]</f>
        <v>0</v>
      </c>
      <c r="CG117" s="132">
        <f ca="1">RZ[Úroveň 5 bez koef. (P2a)]*RZ[[#This Row],[Počet MJHR (P0)]]</f>
        <v>0</v>
      </c>
      <c r="CH117" s="132">
        <f ca="1">IF(OFFSET(BC117,1,0,1,1)&lt;&gt;0,RZ[[#This Row],[Koeficient odhadu HR '[-'] (P1)]]*$BL117*SUMIFS(RZ[Úroveň 6 s koef. (P2)],RZ[0],AX117,RZ[Úroveň 2 (P0)],AY117,RZ[Úroveň 3 (P0)],AZ117,RZ[Úroveň 4 (P0)],BA117,RZ[Úroveň 5 (P0)],BB117),RZ[[#This Row],[Koeficient odhadu HR '[-'] (P1)]]*$BL117*$IG117)</f>
        <v>0</v>
      </c>
      <c r="CI117" s="132">
        <f ca="1">IF(OFFSET(BC117,1,0,1,1)&lt;&gt;0,$BL117*SUMIFS(RZ[Úroveň 6 bez koef. (P2)],RZ[0],AX117,RZ[Úroveň 2 (P0)],AY117,RZ[Úroveň 3 (P0)],AZ117,RZ[Úroveň 4 (P0)],BA117,RZ[Úroveň 5 (P0)],BB117),$BL117*$IG117)</f>
        <v>0</v>
      </c>
      <c r="CJ117" s="138">
        <f ca="1">RZ[[#This Row],[Úroveň 6 s koef. (P2a)]]*RZ[[#This Row],[Počet MJHR (P0)]]</f>
        <v>0</v>
      </c>
      <c r="CK117" s="138">
        <f ca="1">RZ[Úroveň 6 bez koef. (P2a)]*RZ[[#This Row],[Počet MJHR (P0)]]</f>
        <v>0</v>
      </c>
      <c r="CL117" s="138">
        <f ca="1">IF(OFFSET(BD117,1,0,1,1)&lt;&gt;0,RZ[[#This Row],[Koeficient odhadu HR '[-'] (P1)]]*$BM117*SUMIFS(RZ[Úroveň 7 s koef. (P2)],RZ[0],AX117,RZ[Úroveň 2 (P0)],AY117,RZ[Úroveň 3 (P0)],AZ117,RZ[Úroveň 4 (P0)],BA117,RZ[Úroveň 5 (P0)],BB117,RZ[Úroveň 6 (P0)],BC117),RZ[[#This Row],[Koeficient odhadu HR '[-'] (P1)]]*$BM117*$IG117)</f>
        <v>0</v>
      </c>
      <c r="CM117" s="138">
        <f ca="1">IF(OFFSET(BD117,1,0,1,1)&lt;&gt;0,$BM117*SUMIFS(RZ[Úroveň 7 bez koef. (P2)],RZ[0],AX117,RZ[Úroveň 2 (P0)],AY117,RZ[Úroveň 3 (P0)],AZ117,RZ[Úroveň 4 (P0)],BA117,RZ[Úroveň 5 (P0)],BB117,RZ[Úroveň 6 (P0)],BC117),$BM117*$IG117)</f>
        <v>0</v>
      </c>
      <c r="CN117" s="132">
        <f ca="1">RZ[[#This Row],[Úroveň 7 s koef. (P2a)]]*RZ[[#This Row],[Počet MJHR (P0)]]</f>
        <v>0</v>
      </c>
      <c r="CO117" s="132">
        <f ca="1">RZ[Úroveň 7 bez koef. (P2a)]*RZ[[#This Row],[Počet MJHR (P0)]]</f>
        <v>0</v>
      </c>
      <c r="CP117" s="132">
        <f ca="1">IF(OFFSET(BE117,1,0,1,1)&lt;&gt;0,RZ[[#This Row],[Koeficient odhadu HR '[-'] (P1)]]*$BN117*SUMIFS(RZ[Úroveň 8 s koef. (P2)],RZ[0],AX117,RZ[Úroveň 2 (P0)],AY117,RZ[Úroveň 3 (P0)],AZ117,RZ[Úroveň 4 (P0)],BA117,RZ[Úroveň 5 (P0)],BB117,RZ[Úroveň 6 (P0)],BC117,RZ[Úroveň 7 (P0)],BD117),RZ[[#This Row],[Koeficient odhadu HR '[-'] (P1)]]*$BN117*$IG117)</f>
        <v>0</v>
      </c>
      <c r="CQ117" s="132">
        <f ca="1">IF(OFFSET(BE117,1,0,1,1)&lt;&gt;0,$BN117*SUMIFS(RZ[Úroveň 8 bez koef. (P2)],RZ[0],AX117,RZ[Úroveň 2 (P0)],AY117,RZ[Úroveň 3 (P0)],AZ117,RZ[Úroveň 4 (P0)],BA117,RZ[Úroveň 5 (P0)],BB117,RZ[Úroveň 6 (P0)],BC117,RZ[Úroveň 7 (P0)],BD117),$BN117*$IG117)</f>
        <v>0</v>
      </c>
      <c r="CR117" s="138">
        <f ca="1">RZ[[#This Row],[Úroveň 8 s koef. (P2a)]]*RZ[[#This Row],[Počet MJHR (P0)]]</f>
        <v>0</v>
      </c>
      <c r="CS117" s="138">
        <f ca="1">RZ[Úroveň 8 bez koef. (P2a)]*RZ[[#This Row],[Počet MJHR (P0)]]</f>
        <v>0</v>
      </c>
      <c r="CT117" s="138">
        <f ca="1">IF(OFFSET(BF117,1,0,1,1)&lt;&gt;0,RZ[[#This Row],[Koeficient odhadu HR '[-'] (P1)]]*$BO117*SUMIFS(RZ[Úroveň 9 s koef. (P2)],RZ[0],AX117,RZ[Úroveň 2 (P0)],AY117,RZ[Úroveň 3 (P0)],AZ117,RZ[Úroveň 4 (P0)],BA117,RZ[Úroveň 5 (P0)],BB117,RZ[Úroveň 6 (P0)],BC117,RZ[Úroveň 7 (P0)],BD117,RZ[Úroveň 8 (P0)],BE117),RZ[[#This Row],[Koeficient odhadu HR '[-'] (P1)]]*$BO117*$IG117)</f>
        <v>0</v>
      </c>
      <c r="CU117" s="138">
        <f ca="1">IF(OFFSET(BF117,1,0,1,1)&lt;&gt;0,$BO117*SUMIFS(RZ[Úroveň 9 bez koef. (P2)],RZ[0],AX117,RZ[Úroveň 2 (P0)],AY117,RZ[Úroveň 3 (P0)],AZ117,RZ[Úroveň 4 (P0)],BA117,RZ[Úroveň 5 (P0)],BB117,RZ[Úroveň 6 (P0)],BC117,RZ[Úroveň 7 (P0)],BD117,RZ[Úroveň 8 (P0)],BE117),$BO117*$IG117)</f>
        <v>0</v>
      </c>
      <c r="CV117" s="132">
        <f ca="1">RZ[[#This Row],[Úroveň 9 s koef. (P2a)]]*RZ[[#This Row],[Počet MJHR (P0)]]</f>
        <v>0</v>
      </c>
      <c r="CW117" s="132">
        <f ca="1">RZ[Úroveň 9 bez koef. (P2a)]*RZ[[#This Row],[Počet MJHR (P0)]]</f>
        <v>0</v>
      </c>
      <c r="CX117" s="132">
        <f ca="1">IF(OFFSET(BG117,1,0,1,1)&lt;&gt;0,RZ[[#This Row],[Koeficient odhadu HR '[-'] (P1)]]*$BP117*SUMIFS(RZ[Úroveň 10 s koef. (P2)],RZ[0],AX117,RZ[Úroveň 2 (P0)],AY117,RZ[Úroveň 3 (P0)],AZ117,RZ[Úroveň 4 (P0)],BA117,RZ[Úroveň 5 (P0)],BB117,RZ[Úroveň 6 (P0)],BC117,RZ[Úroveň 7 (P0)],BD117,RZ[Úroveň 8 (P0)],BE117,RZ[Úroveň 9 (P0)],BF117),RZ[[#This Row],[Koeficient odhadu HR '[-'] (P1)]]*$BP117*$IG117)</f>
        <v>0</v>
      </c>
      <c r="CY117" s="132">
        <f ca="1">IF(OFFSET(BG117,1,0,1,1)&lt;&gt;0,$BP117*SUMIFS(RZ[Úroveň 10 bez koef. (P2)],RZ[0],AX117,RZ[Úroveň 2 (P0)],AY117,RZ[Úroveň 3 (P0)],AZ117,RZ[Úroveň 4 (P0)],BA117,RZ[Úroveň 5 (P0)],BB117,RZ[Úroveň 6 (P0)],BC117,RZ[Úroveň 7 (P0)],BD117,RZ[Úroveň 8 (P0)],BE117,RZ[Úroveň 9 (P0)],BF117),$BP117*$IG117)</f>
        <v>0</v>
      </c>
      <c r="CZ117" s="138">
        <f>RZ[[#This Row],[Úroveň 10 s koef. (P2a)]]*RZ[[#This Row],[Počet MJHR (P0)]]</f>
        <v>0</v>
      </c>
      <c r="DA117" s="138">
        <f>RZ[Úroveň 10 bez koef. (P2a)]*RZ[[#This Row],[Počet MJHR (P0)]]</f>
        <v>0</v>
      </c>
      <c r="DB117" s="138">
        <f>RZ[[#This Row],[Koeficient odhadu HR '[-'] (P1)]]*$BQ117*IG117</f>
        <v>0</v>
      </c>
      <c r="DC117" s="231">
        <f t="shared" si="861"/>
        <v>0</v>
      </c>
      <c r="DD117" s="241">
        <f t="shared" ca="1" si="862"/>
        <v>2.7559999999999998</v>
      </c>
      <c r="DE117" s="229">
        <f t="shared" ca="1" si="863"/>
        <v>2.7559999999999998</v>
      </c>
      <c r="DF117" s="912">
        <f t="shared" si="864"/>
        <v>0</v>
      </c>
      <c r="DG117" s="913">
        <f t="shared" si="865"/>
        <v>0</v>
      </c>
      <c r="DH117" s="913">
        <f t="shared" si="866"/>
        <v>1</v>
      </c>
      <c r="DI117" s="913">
        <f t="shared" si="867"/>
        <v>0</v>
      </c>
      <c r="DJ117" s="913">
        <f t="shared" si="868"/>
        <v>0</v>
      </c>
      <c r="DK117" s="913">
        <f t="shared" si="869"/>
        <v>0</v>
      </c>
      <c r="DL117" s="913">
        <f t="shared" si="870"/>
        <v>0</v>
      </c>
      <c r="DM117" s="913">
        <f t="shared" si="871"/>
        <v>0</v>
      </c>
      <c r="DN117" s="913">
        <f t="shared" si="872"/>
        <v>0</v>
      </c>
      <c r="DO117" s="913">
        <f t="shared" si="873"/>
        <v>0</v>
      </c>
      <c r="DP117" s="914">
        <f ca="1">SUMIFS(RZ[Úroveň 1 (P4)],RZ[0],AX117)</f>
        <v>1</v>
      </c>
      <c r="DQ117" s="914">
        <f ca="1">SUMIFS(RZ[Úroveň 2 (P4)],RZ[0],AX117,RZ[Úroveň 2 (P0)],AY117)</f>
        <v>2</v>
      </c>
      <c r="DR117" s="914">
        <f ca="1">SUMIFS(RZ[Úroveň 3 (P4)],RZ[0],AX117,RZ[Úroveň 2 (P0)],AY117,RZ[Úroveň 3 (P0)],AZ117)</f>
        <v>1</v>
      </c>
      <c r="DS117" s="914">
        <f ca="1">SUMIFS(RZ[Úroveň 4 (P4)],RZ[0],AX117,RZ[Úroveň 2 (P0)],AY117,RZ[Úroveň 3 (P0)],AZ117,RZ[Úroveň 4 (P0)],BA117)</f>
        <v>0</v>
      </c>
      <c r="DT117" s="914">
        <f ca="1">SUMIFS(RZ[Úroveň 5 (P4)],RZ[0],AX117,RZ[Úroveň 2 (P0)],AY117,RZ[Úroveň 3 (P0)],AZ117,RZ[Úroveň 4 (P0)],BA117,RZ[Úroveň 5 (P0)],BB117)</f>
        <v>0</v>
      </c>
      <c r="DU117" s="914">
        <f ca="1">SUMIFS(RZ[Úroveň 6 (P4)],RZ[0],AX117,RZ[Úroveň 2 (P0)],AY117,RZ[Úroveň 3 (P0)],AZ117,RZ[Úroveň 4 (P0)],BA117,RZ[Úroveň 5 (P0)],BB117,RZ[Úroveň 6 (P0)],BC117)</f>
        <v>0</v>
      </c>
      <c r="DV117" s="914">
        <f ca="1">SUMIFS(RZ[Úroveň 7 (P4)],RZ[0],AX117,RZ[Úroveň 2 (P0)],AY117,RZ[Úroveň 3 (P0)],AZ117,RZ[Úroveň 4 (P0)],BA117,RZ[Úroveň 5 (P0)],BB117,RZ[Úroveň 6 (P0)],BC117,RZ[Úroveň 7 (P0)],BD117)</f>
        <v>0</v>
      </c>
      <c r="DW117" s="914">
        <f ca="1">SUMIFS(RZ[Úroveň 8 (P4)],RZ[0],AX117,RZ[Úroveň 2 (P0)],AY117,RZ[Úroveň 3 (P0)],AZ117,RZ[Úroveň 4 (P0)],BA117,RZ[Úroveň 5 (P0)],BB117,RZ[Úroveň 6 (P0)],BC117,RZ[Úroveň 7 (P0)],BD117,RZ[Úroveň 8 (P0)],BE117)</f>
        <v>0</v>
      </c>
      <c r="DX117" s="914">
        <f ca="1">SUMIFS(RZ[Úroveň 9 (P4)],RZ[0],AX117,RZ[Úroveň 2 (P0)],AY117,RZ[Úroveň 3 (P0)],AZ117,RZ[Úroveň 4 (P0)],BA117,RZ[Úroveň 5 (P0)],BB117,RZ[Úroveň 6 (P0)],BC117,RZ[Úroveň 7 (P0)],BD117,RZ[Úroveň 8 (P0)],BE117,RZ[Úroveň 9 (P0)],BF117)</f>
        <v>0</v>
      </c>
      <c r="DY117" s="914">
        <f ca="1">SUMIFS(RZ[Úroveň 10 (P4)],RZ[0],AX117,RZ[Úroveň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DZ117" s="915">
        <f t="shared" ca="1" si="874"/>
        <v>2</v>
      </c>
      <c r="EA117" s="916">
        <f ca="1">RZ[[#This Row],[Jednotková hmotnost bez koef. '[kg/MJHR'] (P0)]]*RZ[[#This Row],[Počet MJHR v rozpadu (P0)]]</f>
        <v>5.5119999999999996</v>
      </c>
      <c r="EB117" s="917">
        <f ca="1">IF(OFFSET(AY117,1,0,1,1)&lt;&gt;0,RZ[[#This Row],[Koeficient odhadu CR '[-'] (P1)]]*$BH117*SUMIFS(RZ[Úroveň 2 s koef. (P3)],RZ[0],AX117),RZ[[#This Row],[Koeficient odhadu CR '[-'] (P1)]]*$BH117*$IQ117)</f>
        <v>0</v>
      </c>
      <c r="EC117" s="191">
        <f ca="1">IF(OFFSET(AY117,1,0,1,1)&lt;&gt;0,$BH117*SUMIFS(RZ[Úroveň 2 bez koef. (P3)],RZ[0],AX117),$BH117*$IQ117)</f>
        <v>0</v>
      </c>
      <c r="ED117" s="140">
        <f ca="1">RZ[[#This Row],[Úroveň 2 s koef. (P3a)]]*RZ[[#This Row],[Počet MJCR (P0) pro "kg"]]</f>
        <v>0</v>
      </c>
      <c r="EE117" s="140">
        <f ca="1">RZ[Úroveň 2 bez koef. (P3a)]*RZ[[#This Row],[Počet MJCR (P0) pro "kg"]]</f>
        <v>0</v>
      </c>
      <c r="EF117" s="140">
        <f ca="1">IF(OFFSET(AZ117,1,0,1,1)&lt;&gt;0,RZ[[#This Row],[Koeficient odhadu CR '[-'] (P1)]]*$BI117*SUMIFS(RZ[Úroveň 3 s koef. (P3)],RZ[0],AX117,RZ[Úroveň 2 (P0)],AY117),RZ[[#This Row],[Koeficient odhadu CR '[-'] (P1)]]*$BI117*$IQ117)</f>
        <v>0</v>
      </c>
      <c r="EG117" s="140">
        <f ca="1">IF(OFFSET(AZ117,1,0,1,1)&lt;&gt;0,$BI117*SUMIFS(RZ[Úroveň 3 bez koef. (P3)],RZ[0],AX117,RZ[Úroveň 2 (P0)],AY117),$BI117*$IQ117)</f>
        <v>0</v>
      </c>
      <c r="EH117" s="135">
        <f ca="1">RZ[[#This Row],[Úroveň 3 s koef. (P3a)]]*RZ[[#This Row],[Počet MJCR (P0) pro "kg"]]</f>
        <v>303.15999999999997</v>
      </c>
      <c r="EI117" s="135">
        <f ca="1">RZ[Úroveň 3 bez koef. (P3a)]*RZ[[#This Row],[Počet MJCR (P0) pro "kg"]]</f>
        <v>303.15999999999997</v>
      </c>
      <c r="EJ117" s="135">
        <f ca="1">IF(OFFSET(BA117,1,0,1,1)&lt;&gt;0,RZ[[#This Row],[Koeficient odhadu CR '[-'] (P1)]]*$BJ117*SUMIFS(RZ[Úroveň 4 s koef. (P3)],RZ[0],AX117,RZ[Úroveň 2 (P0)],AY117,RZ[Úroveň 3 (P0)],AZ117),RZ[[#This Row],[Koeficient odhadu CR '[-'] (P1)]]*$BJ117*$IQ117)</f>
        <v>110</v>
      </c>
      <c r="EK117" s="135">
        <f ca="1">IF(OFFSET(BA117,1,0,1,1)&lt;&gt;0,$BJ117*SUMIFS(RZ[Úroveň 4 bez koef. (P3)],RZ[0],AX117,RZ[Úroveň 2 (P0)],AY117,RZ[Úroveň 3 (P0)],AZ117),$BJ117*$IQ117)</f>
        <v>110</v>
      </c>
      <c r="EL117" s="140">
        <f ca="1">RZ[[#This Row],[Úroveň 4 s koef. (P3a)]]*RZ[[#This Row],[Počet MJCR (P0) pro "kg"]]</f>
        <v>0</v>
      </c>
      <c r="EM117" s="140">
        <f ca="1">RZ[Úroveň 4 bez koef. (P3a)]*RZ[[#This Row],[Počet MJCR (P0) pro "kg"]]</f>
        <v>0</v>
      </c>
      <c r="EN117" s="140">
        <f ca="1">IF(OFFSET(BB117,1,0,1,1)&lt;&gt;0,RZ[[#This Row],[Koeficient odhadu CR '[-'] (P1)]]*$BK117*SUMIFS(RZ[Úroveň 5 s koef. (P3)],RZ[0],AX117,RZ[Úroveň 2 (P0)],AY117,RZ[Úroveň 3 (P0)],AZ117,RZ[Úroveň 4 (P0)],BA117),RZ[[#This Row],[Koeficient odhadu CR '[-'] (P1)]]*$BK117*$IQ117)</f>
        <v>0</v>
      </c>
      <c r="EO117" s="140">
        <f ca="1">IF(OFFSET(BB117,1,0,1,1)&lt;&gt;0,$BK117*SUMIFS(RZ[Úroveň 5 bez koef. (P3)],RZ[0],AX117,RZ[Úroveň 2 (P0)],AY117,RZ[Úroveň 3 (P0)],AZ117,RZ[Úroveň 4 (P0)],BA117),$BK117*$IQ117)</f>
        <v>0</v>
      </c>
      <c r="EP117" s="135">
        <f ca="1">RZ[[#This Row],[Úroveň 5 s koef. (P3a)]]*RZ[[#This Row],[Počet MJCR (P0) pro "kg"]]</f>
        <v>0</v>
      </c>
      <c r="EQ117" s="135">
        <f ca="1">RZ[Úroveň 5 bez koef. (P3a)]*RZ[[#This Row],[Počet MJCR (P0) pro "kg"]]</f>
        <v>0</v>
      </c>
      <c r="ER117" s="135">
        <f ca="1">IF(OFFSET(BC117,1,0,1,1)&lt;&gt;0,RZ[[#This Row],[Koeficient odhadu CR '[-'] (P1)]]*$BL117*SUMIFS(RZ[Úroveň 6 s koef. (P3)],RZ[0],AX117,RZ[Úroveň 2 (P0)],AY117,RZ[Úroveň 3 (P0)],AZ117,RZ[Úroveň 4 (P0)],BA117,RZ[Úroveň 5 (P0)],BB117),RZ[[#This Row],[Koeficient odhadu CR '[-'] (P1)]]*$BL117*$IQ117)</f>
        <v>0</v>
      </c>
      <c r="ES117" s="135">
        <f ca="1">IF(OFFSET(BC117,1,0,1,1)&lt;&gt;0,$BL117*SUMIFS(RZ[Úroveň 6 bez koef. (P3)],RZ[0],AX117,RZ[Úroveň 2 (P0)],AY117,RZ[Úroveň 3 (P0)],AZ117,RZ[Úroveň 4 (P0)],BA117,RZ[Úroveň 5 (P0)],BB117),$BL117*$IQ117)</f>
        <v>0</v>
      </c>
      <c r="ET117" s="140">
        <f ca="1">RZ[[#This Row],[Úroveň 6 s koef. (P3a)]]*RZ[[#This Row],[Počet MJCR (P0) pro "kg"]]</f>
        <v>0</v>
      </c>
      <c r="EU117" s="140">
        <f ca="1">RZ[Úroveň 6 bez koef. (P3a)]*RZ[[#This Row],[Počet MJCR (P0) pro "kg"]]</f>
        <v>0</v>
      </c>
      <c r="EV117" s="140">
        <f ca="1">IF(OFFSET(BD117,1,0,1,1)&lt;&gt;0,RZ[[#This Row],[Koeficient odhadu CR '[-'] (P1)]]*$BM117*SUMIFS(RZ[Úroveň 7 s koef. (P3)],RZ[0],AX117,RZ[Úroveň 2 (P0)],AY117,RZ[Úroveň 3 (P0)],AZ117,RZ[Úroveň 4 (P0)],BA117,RZ[Úroveň 5 (P0)],BB117,RZ[Úroveň 6 (P0)],BC117),RZ[[#This Row],[Koeficient odhadu CR '[-'] (P1)]]*$BM117*$IQ117)</f>
        <v>0</v>
      </c>
      <c r="EW117" s="140">
        <f ca="1">IF(OFFSET(BD117,1,0,1,1)&lt;&gt;0,$BM117*SUMIFS(RZ[Úroveň 7 bez koef. (P3)],RZ[0],AX117,RZ[Úroveň 2 (P0)],AY117,RZ[Úroveň 3 (P0)],AZ117,RZ[Úroveň 4 (P0)],BA117,RZ[Úroveň 5 (P0)],BB117,RZ[Úroveň 6 (P0)],BC117),$BM117*$IQ117)</f>
        <v>0</v>
      </c>
      <c r="EX117" s="135">
        <f ca="1">RZ[[#This Row],[Úroveň 7 s koef. (P3a)]]*RZ[[#This Row],[Počet MJCR (P0) pro "kg"]]</f>
        <v>0</v>
      </c>
      <c r="EY117" s="135">
        <f ca="1">RZ[Úroveň 7 bez koef. (P3a)]*RZ[[#This Row],[Počet MJCR (P0) pro "kg"]]</f>
        <v>0</v>
      </c>
      <c r="EZ117" s="135">
        <f ca="1">IF(OFFSET(BE117,1,0,1,1)&lt;&gt;0,RZ[[#This Row],[Koeficient odhadu CR '[-'] (P1)]]*$BN117*SUMIFS(RZ[Úroveň 8 s koef. (P3)],RZ[0],AX117,RZ[Úroveň 2 (P0)],AY117,RZ[Úroveň 3 (P0)],AZ117,RZ[Úroveň 4 (P0)],BA117,RZ[Úroveň 5 (P0)],BB117,RZ[Úroveň 6 (P0)],BC117,RZ[Úroveň 7 (P0)],BD117),RZ[[#This Row],[Koeficient odhadu CR '[-'] (P1)]]*$BN117*$IQ117)</f>
        <v>0</v>
      </c>
      <c r="FA117" s="135">
        <f ca="1">IF(OFFSET(BE117,1,0,1,1)&lt;&gt;0,$BN117*SUMIFS(RZ[Úroveň 8 bez koef. (P3)],RZ[0],AX117,RZ[Úroveň 2 (P0)],AY117,RZ[Úroveň 3 (P0)],AZ117,RZ[Úroveň 4 (P0)],BA117,RZ[Úroveň 5 (P0)],BB117,RZ[Úroveň 6 (P0)],BC117,RZ[Úroveň 7 (P0)],BD117),$BN117*$IQ117)</f>
        <v>0</v>
      </c>
      <c r="FB117" s="140">
        <f ca="1">RZ[[#This Row],[Úroveň 8 s koef. (P3a)]]*RZ[[#This Row],[Počet MJCR (P0) pro "kg"]]</f>
        <v>0</v>
      </c>
      <c r="FC117" s="140">
        <f ca="1">RZ[Úroveň 8 bez koef. (P3a)]*RZ[[#This Row],[Počet MJCR (P0) pro "kg"]]</f>
        <v>0</v>
      </c>
      <c r="FD117" s="140">
        <f ca="1">IF(OFFSET(BF117,1,0,1,1)&lt;&gt;0,RZ[[#This Row],[Koeficient odhadu CR '[-'] (P1)]]*$BO117*SUMIFS(RZ[Úroveň 9 s koef. (P3)],RZ[0],AX117,RZ[Úroveň 2 (P0)],AY117,RZ[Úroveň 3 (P0)],AZ117,RZ[Úroveň 4 (P0)],BA117,RZ[Úroveň 5 (P0)],BB117,RZ[Úroveň 6 (P0)],BC117,RZ[Úroveň 7 (P0)],BD117,RZ[Úroveň 8 (P0)],BE117),RZ[[#This Row],[Koeficient odhadu CR '[-'] (P1)]]*$BO117*$IQ117)</f>
        <v>0</v>
      </c>
      <c r="FE117" s="140">
        <f ca="1">IF(OFFSET(BF117,1,0,1,1)&lt;&gt;0,$BO117*SUMIFS(RZ[Úroveň 9 bez koef. (P3)],RZ[0],AX117,RZ[Úroveň 2 (P0)],AY117,RZ[Úroveň 3 (P0)],AZ117,RZ[Úroveň 4 (P0)],BA117,RZ[Úroveň 5 (P0)],BB117,RZ[Úroveň 6 (P0)],BC117,RZ[Úroveň 7 (P0)],BD117,RZ[Úroveň 8 (P0)],BE117),$BO117*$IQ117)</f>
        <v>0</v>
      </c>
      <c r="FF117" s="135">
        <f ca="1">RZ[[#This Row],[Úroveň 9 s koef. (P3a)]]*RZ[[#This Row],[Počet MJCR (P0) pro "kg"]]</f>
        <v>0</v>
      </c>
      <c r="FG117" s="135">
        <f ca="1">RZ[Úroveň 9 bez koef. (P3a)]*RZ[[#This Row],[Počet MJCR (P0) pro "kg"]]</f>
        <v>0</v>
      </c>
      <c r="FH117" s="135">
        <f ca="1">IF(OFFSET(BG117,1,0,1,1)&lt;&gt;0,RZ[[#This Row],[Koeficient odhadu CR '[-'] (P1)]]*$BP117*SUMIFS(RZ[Úroveň 10 s koef. (P3)],RZ[0],AX117,RZ[Úroveň 2 (P0)],AY117,RZ[Úroveň 3 (P0)],AZ117,RZ[Úroveň 4 (P0)],BA117,RZ[Úroveň 5 (P0)],BB117,RZ[Úroveň 6 (P0)],BC117,RZ[Úroveň 7 (P0)],BD117,RZ[Úroveň 8 (P0)],BE117,RZ[Úroveň 9 (P0)],BF117),RZ[[#This Row],[Koeficient odhadu CR '[-'] (P1)]]*$BP117*$IQ117)</f>
        <v>0</v>
      </c>
      <c r="FI117" s="135">
        <f ca="1">IF(OFFSET(BG117,1,0,1,1)&lt;&gt;0,$BP117*SUMIFS(RZ[Úroveň 10 bez koef. (P3)],RZ[0],AX117,RZ[Úroveň 2 (P0)],AY117,RZ[Úroveň 3 (P0)],AZ117,RZ[Úroveň 4 (P0)],BA117,RZ[Úroveň 5 (P0)],BB117,RZ[Úroveň 6 (P0)],BC117,RZ[Úroveň 7 (P0)],BD117,RZ[Úroveň 8 (P0)],BE117,RZ[Úroveň 9 (P0)],BF117),$BP117*$IQ117)</f>
        <v>0</v>
      </c>
      <c r="FJ117" s="140">
        <f ca="1">RZ[[#This Row],[Úroveň 10 s koef. (P3a)]]*RZ[[#This Row],[Počet MJCR (P0) pro "kg"]]</f>
        <v>0</v>
      </c>
      <c r="FK117" s="140">
        <f ca="1">RZ[Úroveň 10 bez koef. (P3a)]*RZ[[#This Row],[Počet MJCR (P0) pro "kg"]]</f>
        <v>0</v>
      </c>
      <c r="FL117" s="140">
        <f ca="1">RZ[[#This Row],[Koeficient odhadu CR '[-'] (P1)]]*$BQ117*IQ117</f>
        <v>0</v>
      </c>
      <c r="FM117" s="236">
        <f t="shared" ca="1" si="875"/>
        <v>0</v>
      </c>
      <c r="FN117" s="194">
        <f t="shared" ca="1" si="876"/>
        <v>110</v>
      </c>
      <c r="FO117" s="238">
        <f t="shared" ca="1" si="877"/>
        <v>110</v>
      </c>
      <c r="FP117" s="135">
        <f t="shared" ca="1" si="878"/>
        <v>0</v>
      </c>
      <c r="FQ117" s="135">
        <f t="shared" ca="1" si="879"/>
        <v>0</v>
      </c>
      <c r="FR117" s="135">
        <f t="shared" ca="1" si="880"/>
        <v>2.7559999999999998</v>
      </c>
      <c r="FS117" s="135">
        <f t="shared" ca="1" si="881"/>
        <v>0</v>
      </c>
      <c r="FT117" s="135">
        <f t="shared" ca="1" si="882"/>
        <v>0</v>
      </c>
      <c r="FU117" s="135">
        <f t="shared" ca="1" si="883"/>
        <v>0</v>
      </c>
      <c r="FV117" s="135">
        <f t="shared" ca="1" si="884"/>
        <v>0</v>
      </c>
      <c r="FW117" s="135">
        <f t="shared" ca="1" si="885"/>
        <v>0</v>
      </c>
      <c r="FX117" s="135">
        <f t="shared" ca="1" si="886"/>
        <v>0</v>
      </c>
      <c r="FY117" s="135">
        <f t="shared" ca="1" si="887"/>
        <v>0</v>
      </c>
      <c r="FZ117" s="140">
        <f ca="1">SUMIFS(RZ[Úroveň 1 (P6)],RZ[0],AX117)</f>
        <v>1</v>
      </c>
      <c r="GA117" s="140">
        <f ca="1">SUMIFS(RZ[Úroveň 2 (P6)],RZ[0],AX117,RZ[Úroveň 2 (P0)],AY117)</f>
        <v>2</v>
      </c>
      <c r="GB117" s="140">
        <f ca="1">SUMIFS(RZ[Úroveň 3 (P6)],RZ[0],AX117,RZ[Úroveň 2 (P0)],AY117,RZ[Úroveň 3 (P0)],AZ117)</f>
        <v>2.7559999999999998</v>
      </c>
      <c r="GC117" s="140">
        <f ca="1">SUMIFS(RZ[Úroveň 4 (P6)],RZ[0],AX117,RZ[Úroveň 2 (P0)],AY117,RZ[Úroveň 3 (P0)],AZ117,RZ[Úroveň 4 (P0)],BA117)</f>
        <v>0</v>
      </c>
      <c r="GD117" s="140">
        <f ca="1">SUMIFS(RZ[Úroveň 5 (P6)],RZ[0],AX117,RZ[Úroveň 2 (P0)],AY117,RZ[Úroveň 3 (P0)],AZ117,RZ[Úroveň 4 (P0)],BA117,RZ[Úroveň 5 (P0)],BB117)</f>
        <v>0</v>
      </c>
      <c r="GE117" s="140">
        <f ca="1">SUMIFS(RZ[Úroveň 6 (P6)],RZ[0],AX117,RZ[Úroveň 2 (P0)],AY117,RZ[Úroveň 3 (P0)],AZ117,RZ[Úroveň 4 (P0)],BA117,RZ[Úroveň 5 (P0)],BB117,RZ[Úroveň 6 (P0)],BC117)</f>
        <v>0</v>
      </c>
      <c r="GF117" s="140">
        <f ca="1">SUMIFS(RZ[Úroveň 7 (P6)],RZ[0],AX117,RZ[Úroveň 2 (P0)],AY117,RZ[Úroveň 3 (P0)],AZ117,RZ[Úroveň 4 (P0)],BA117,RZ[Úroveň 5 (P0)],BB117,RZ[Úroveň 6 (P0)],BC117,RZ[Úroveň 7 (P0)],BD117)</f>
        <v>0</v>
      </c>
      <c r="GG117" s="140">
        <f ca="1">SUMIFS(RZ[Úroveň 8 (P6)],RZ[0],AX117,RZ[Úroveň 2 (P0)],AY117,RZ[Úroveň 3 (P0)],AZ117,RZ[Úroveň 4 (P0)],BA117,RZ[Úroveň 5 (P0)],BB117,RZ[Úroveň 6 (P0)],BC117,RZ[Úroveň 7 (P0)],BD117,RZ[Úroveň 8 (P0)],BE117)</f>
        <v>0</v>
      </c>
      <c r="GH117" s="140">
        <f ca="1">SUMIFS(RZ[Úroveň 9 (P6)],RZ[0],AX117,RZ[Úroveň 2 (P0)],AY117,RZ[Úroveň 3 (P0)],AZ117,RZ[Úroveň 4 (P0)],BA117,RZ[Úroveň 5 (P0)],BB117,RZ[Úroveň 6 (P0)],BC117,RZ[Úroveň 7 (P0)],BD117,RZ[Úroveň 8 (P0)],BE117,RZ[Úroveň 9 (P0)],BF117)</f>
        <v>0</v>
      </c>
      <c r="GI117" s="140">
        <f ca="1">SUMIFS(RZ[Úroveň 10 (P6)],RZ[0],AX117,RZ[Úroveň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GJ117" s="918">
        <f t="shared" ca="1" si="888"/>
        <v>5.5119999999999996</v>
      </c>
      <c r="GK117" s="808">
        <f t="shared" si="889"/>
        <v>0</v>
      </c>
      <c r="GL117" s="808">
        <f t="shared" si="890"/>
        <v>0</v>
      </c>
      <c r="GM117" s="808">
        <f t="shared" si="891"/>
        <v>1</v>
      </c>
      <c r="GN117" s="808">
        <f t="shared" si="892"/>
        <v>0</v>
      </c>
      <c r="GO117" s="808">
        <f t="shared" si="893"/>
        <v>0</v>
      </c>
      <c r="GP117" s="808">
        <f t="shared" si="894"/>
        <v>0</v>
      </c>
      <c r="GQ117" s="808">
        <f t="shared" si="895"/>
        <v>0</v>
      </c>
      <c r="GR117" s="808">
        <f t="shared" si="896"/>
        <v>0</v>
      </c>
      <c r="GS117" s="808">
        <f t="shared" si="897"/>
        <v>0</v>
      </c>
      <c r="GT117" s="808">
        <f t="shared" si="898"/>
        <v>0</v>
      </c>
      <c r="GU117" s="809">
        <f ca="1">SUMIFS(RZ[Sloupec1],RZ[0],AX117)</f>
        <v>1</v>
      </c>
      <c r="GV117" s="809">
        <f ca="1">SUMIFS(RZ[Sloupec2],RZ[0],AX117,RZ[Úroveň 2 (P0)],AY117)</f>
        <v>1</v>
      </c>
      <c r="GW117" s="809">
        <f ca="1">SUMIFS(RZ[Sloupec3],RZ[0],AX117,RZ[Úroveň 2 (P0)],AY117,RZ[Úroveň 3 (P0)],AZ117)</f>
        <v>1</v>
      </c>
      <c r="GX117" s="809">
        <f ca="1">SUMIFS(RZ[Sloupec4],RZ[0],AX117,RZ[Úroveň 2 (P0)],AY117,RZ[Úroveň 3 (P0)],AZ117,RZ[Úroveň 4 (P0)],BA117)</f>
        <v>0</v>
      </c>
      <c r="GY117" s="809">
        <f ca="1">SUMIFS(RZ[Sloupec5],RZ[0],AX117,RZ[Úroveň 2 (P0)],AY117,RZ[Úroveň 3 (P0)],AZ117,RZ[Úroveň 4 (P0)],BA117,RZ[Úroveň 5 (P0)],BB117)</f>
        <v>0</v>
      </c>
      <c r="GZ117" s="809">
        <f ca="1">SUMIFS(RZ[Sloupec6],RZ[0],AX117,RZ[Úroveň 2 (P0)],AY117,RZ[Úroveň 3 (P0)],AZ117,RZ[Úroveň 4 (P0)],BA117,RZ[Úroveň 5 (P0)],BB117,RZ[Úroveň 6 (P0)],BC117)</f>
        <v>0</v>
      </c>
      <c r="HA117" s="809">
        <f ca="1">SUMIFS(RZ[Sloupec62],RZ[0],AX117,RZ[Úroveň 2 (P0)],AY117,RZ[Úroveň 3 (P0)],AZ117,RZ[Úroveň 4 (P0)],BA117,RZ[Úroveň 5 (P0)],BB117,RZ[Úroveň 6 (P0)],BC117,RZ[Úroveň 7 (P0)],BD117)</f>
        <v>0</v>
      </c>
      <c r="HB117" s="809">
        <f ca="1">SUMIFS(RZ[Sloupec63],RZ[0],AX117,RZ[Úroveň 2 (P0)],AY117,RZ[Úroveň 3 (P0)],AZ117,RZ[Úroveň 4 (P0)],BA117,RZ[Úroveň 5 (P0)],BB117,RZ[Úroveň 6 (P0)],BC117,RZ[Úroveň 7 (P0)],BD117,RZ[Úroveň 8 (P0)],BE117)</f>
        <v>0</v>
      </c>
      <c r="HC117" s="809">
        <f ca="1">SUMIFS(RZ[Sloupec64],RZ[0],AX117,RZ[Úroveň 2 (P0)],AY117,RZ[Úroveň 3 (P0)],AZ117,RZ[Úroveň 4 (P0)],BA117,RZ[Úroveň 5 (P0)],BB117,RZ[Úroveň 6 (P0)],BC117,RZ[Úroveň 7 (P0)],BD117,RZ[Úroveň 8 (P0)],BE117,RZ[Úroveň 9 (P0)],BF117)</f>
        <v>0</v>
      </c>
      <c r="HD117" s="809">
        <f ca="1">SUMIFS(RZ[Sloupec65],RZ[0],AX117,RZ[Úroveň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HE117" s="919">
        <f t="shared" ca="1" si="899"/>
        <v>1</v>
      </c>
      <c r="HF117" s="920" t="str">
        <f t="shared" si="900"/>
        <v/>
      </c>
      <c r="HG117" s="94" t="str">
        <f t="shared" si="901"/>
        <v/>
      </c>
      <c r="HH117" s="95" t="str">
        <f t="shared" si="902"/>
        <v/>
      </c>
      <c r="HI117" s="95" t="str">
        <f t="shared" si="903"/>
        <v>Spojovací materiál</v>
      </c>
      <c r="HJ117" s="96" t="str">
        <f t="shared" si="904"/>
        <v/>
      </c>
      <c r="HK117" s="96" t="str">
        <f t="shared" si="905"/>
        <v/>
      </c>
      <c r="HL117" s="96" t="str">
        <f t="shared" si="906"/>
        <v/>
      </c>
      <c r="HM117" s="96" t="str">
        <f t="shared" si="907"/>
        <v/>
      </c>
      <c r="HN117" s="96" t="str">
        <f t="shared" si="908"/>
        <v/>
      </c>
      <c r="HO117" s="96" t="str">
        <f t="shared" si="909"/>
        <v/>
      </c>
      <c r="HP117" s="96" t="str">
        <f t="shared" si="910"/>
        <v/>
      </c>
      <c r="HQ117" s="145" t="str">
        <f t="shared" si="911"/>
        <v>STSM</v>
      </c>
      <c r="HR117" s="921" t="str">
        <f t="shared" si="912"/>
        <v/>
      </c>
      <c r="HS117" s="173">
        <f t="shared" si="913"/>
        <v>0</v>
      </c>
      <c r="HT117" s="100">
        <f t="shared" si="914"/>
        <v>0</v>
      </c>
      <c r="HU117" s="100">
        <f t="shared" si="915"/>
        <v>0</v>
      </c>
      <c r="HV117" s="908">
        <f t="shared" si="916"/>
        <v>0</v>
      </c>
      <c r="HW117" s="922">
        <f t="shared" si="917"/>
        <v>0</v>
      </c>
      <c r="HX117" s="224">
        <f t="shared" si="918"/>
        <v>0</v>
      </c>
      <c r="HY117" s="263" t="str">
        <f t="shared" si="919"/>
        <v>S</v>
      </c>
      <c r="HZ117" s="263">
        <f t="shared" si="920"/>
        <v>0</v>
      </c>
      <c r="IA117" s="150">
        <f t="shared" si="921"/>
        <v>1</v>
      </c>
      <c r="IB117" s="319">
        <f t="shared" si="922"/>
        <v>0</v>
      </c>
      <c r="IC117" s="923">
        <f t="shared" si="923"/>
        <v>0</v>
      </c>
      <c r="ID117" s="924" t="str">
        <f t="shared" ca="1" si="924"/>
        <v>OK</v>
      </c>
      <c r="IE117" s="201" t="str">
        <f t="shared" si="925"/>
        <v>ks</v>
      </c>
      <c r="IF117" s="145">
        <f t="shared" si="926"/>
        <v>1</v>
      </c>
      <c r="IG117" s="216">
        <f t="shared" si="927"/>
        <v>2.7559999999999998</v>
      </c>
      <c r="IH117" s="217">
        <f t="shared" si="928"/>
        <v>1</v>
      </c>
      <c r="II117" s="224" t="str">
        <f ca="1">IF(RZ[[#This Row],[Rozhodný sloupec indikativní ceny]]=1,"kg",IF($IW117=$JL$15,IF(JX117=0,JO117,JX117),IF($IW117=$KE$15,IF(KQ117=0,KH117,KQ117),IF($IW117=$KX$15,IF(LJ117=0,LA117,LJ117),IF($IW117=$LQ$15,IF(MC117=0,LT117,MC117),IF($IW117=$MJ$15,IF(NQ117=0,NH117,NQ117),0))))))</f>
        <v>kg</v>
      </c>
      <c r="IJ117" s="224">
        <f ca="1">IF((BH117+OFFSET(BH117,1,1,1,1))=2,RZ[[#This Row],[Počet MJHR (P0)]],IF((BI117+OFFSET(BI117,1,1,1,1))=2,RZ[[#This Row],[Počet MJHR (P0)]],IF((BJ117+OFFSET(BJ117,1,1,1,1))=2,RZ[[#This Row],[Počet MJHR (P0)]],IF((BK117+OFFSET(BK117,1,1,1,1))=2,RZ[[#This Row],[Počet MJHR (P0)]],IF((BL117+OFFSET(BL117,1,1,1,1))=2,RZ[[#This Row],[Počet MJHR (P0)]],IF((BM117+OFFSET(BM117,1,1,1,1))=2,RZ[[#This Row],[Počet MJHR (P0)]],IF((BN117+OFFSET(BN117,1,1,1,1))=2,RZ[[#This Row],[Počet MJHR (P0)]],IF((BO117+OFFSET(BO117,1,1,1,1))=2,RZ[[#This Row],[Počet MJHR (P0)]],IF((BP117+OFFSET(BP117,1,1,1,1))=2,RZ[[#This Row],[Počet MJHR (P0)]],IF((BQ117+OFFSET(BQ117,1,1,1,1))=2,RZ[[#This Row],[Počet MJHR (P0)]],IF(RZ[[#This Row],[Měrná jednotka CR (MJCR) (P0)]]=RZ[[#This Row],[Měrná jednotka HR '[MJHR'] (P0)]],RZ[[#This Row],[Počet MJHR (P0)]],IF($IW117=$JL$15,JY117,IF($IW117=$KE$15,KR117,IF($IW117=$KX$15,LK117,IF($IW117=$LQ$15,MD117,IF($IW117=$MJ$15,NR117,0))))))))))))))))</f>
        <v>0</v>
      </c>
      <c r="IK1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2.7559999999999998</v>
      </c>
      <c r="IL117" s="145">
        <f ca="1">IF(AND(RZ[[#This Row],[Jednotková cena bez DPH '[cena/MJCR'] (P0)]]=0,RZ[[#This Row],[Indikativní jednotková cena '[CZK/kg'] (P1)]]&lt;&gt;0),1,0)</f>
        <v>1</v>
      </c>
      <c r="IM117" s="217">
        <f ca="1">VLOOKUP(RZ[[#This Row],[Kód položek]],INDIKAT_CENA,2,FALSE)</f>
        <v>110</v>
      </c>
      <c r="IN117" s="222">
        <f ca="1">IF(RZ[[#This Row],[Rozhodný sloupec indikativní ceny]]=1,RZ[[#This Row],[Indikativní jednotková cena '[CZK/kg'] (P1)]],RZ[[#This Row],[Jednotková cena bez DPH '[cena/MJCR'] (P0)]])</f>
        <v>110</v>
      </c>
      <c r="IO117" s="222">
        <f t="shared" si="929"/>
        <v>1</v>
      </c>
      <c r="IP117" s="224">
        <f ca="1">IF(RZ[[#This Row],[Rozhodný sloupec indikativní ceny]]=1,1,IF($IW117=$JL$15,KA117,IF($IW117=$KE$15,KT117,IF($IW117=$KX$15,LM117,IF($IW117=$LQ$15,MF117,IF($IW117=$MJ$15,NT117,0))))))</f>
        <v>1</v>
      </c>
      <c r="IQ117" s="225">
        <f ca="1">IF(RZ[[#This Row],[Jednotková cena bez DPH '[cena/MJCR'] (P1)]]="",0,IF(IP117=0,0,(RZ[[#This Row],[Jednotková cena bez DPH '[cena/MJCR'] (P1)]]*VLOOKUP(IP117,$BR$7:$BT$10,3))))</f>
        <v>110</v>
      </c>
      <c r="IR117" s="737"/>
      <c r="IS117" s="627">
        <f>IF(HY117=0,"",VLOOKUP(RZ[[#This Row],[Stav Projekce (P0)]],Vstupy!$E$11:'Vstupy'!$E$11:$H$17,4,FALSE))</f>
        <v>100</v>
      </c>
      <c r="IT117" s="925" t="str">
        <f>IF(RZ[[#This Row],[Stav Projekce (P0)]]=0,"",RZ[[#This Row],[Stav Projekce (P0)]])</f>
        <v>S</v>
      </c>
      <c r="IU117" s="925" t="str">
        <f>IF(RZ[[#This Row],[Stav Nákup (P0)]]=0,"",RZ[[#This Row],[Stav Nákup (P0)]])</f>
        <v/>
      </c>
      <c r="IV117" s="926" t="str">
        <f t="shared" si="930"/>
        <v/>
      </c>
      <c r="IW117" s="641">
        <v>1</v>
      </c>
      <c r="IX117" s="630"/>
      <c r="IY117" s="264"/>
      <c r="IZ117" s="648"/>
      <c r="JA117" s="100"/>
      <c r="JB117" s="100" t="s">
        <v>36</v>
      </c>
      <c r="JC117" s="100"/>
      <c r="JD117" s="100"/>
      <c r="JE117" s="100"/>
      <c r="JF117" s="100"/>
      <c r="JG117" s="100"/>
      <c r="JH117" s="100"/>
      <c r="JI117" s="100"/>
      <c r="JJ117" s="145" t="s">
        <v>766</v>
      </c>
      <c r="JK117" s="529"/>
      <c r="JL117" s="286"/>
      <c r="JM117" s="100"/>
      <c r="JN117" s="100"/>
      <c r="JO117" s="145" t="s">
        <v>35</v>
      </c>
      <c r="JP117" s="117">
        <v>1</v>
      </c>
      <c r="JQ117" s="117">
        <v>2.7559999999999998</v>
      </c>
      <c r="JR117" s="148">
        <v>1</v>
      </c>
      <c r="JS117" s="145" t="s">
        <v>602</v>
      </c>
      <c r="JT117" s="631"/>
      <c r="JU117" s="148"/>
      <c r="JV117" s="154"/>
      <c r="JW117" s="145"/>
      <c r="JX117" s="210"/>
      <c r="JY117" s="117"/>
      <c r="JZ117" s="662"/>
      <c r="KA117" s="145"/>
      <c r="KB117" s="148"/>
      <c r="KC117" s="148"/>
      <c r="KD117" s="644"/>
      <c r="KE117" s="286"/>
      <c r="KF117" s="100"/>
      <c r="KG117" s="100"/>
      <c r="KH117" s="210"/>
      <c r="KI117" s="117"/>
      <c r="KJ117" s="117"/>
      <c r="KK117" s="148"/>
      <c r="KL117" s="145"/>
      <c r="KM117" s="632"/>
      <c r="KN117" s="148"/>
      <c r="KO117" s="154"/>
      <c r="KP117" s="154"/>
      <c r="KQ117" s="210"/>
      <c r="KR117" s="117"/>
      <c r="KS117" s="211"/>
      <c r="KT117" s="145"/>
      <c r="KU117" s="148"/>
      <c r="KV117" s="148"/>
      <c r="KW117" s="265"/>
      <c r="KX117" s="286"/>
      <c r="KY117" s="100"/>
      <c r="KZ117" s="100"/>
      <c r="LA117" s="210"/>
      <c r="LB117" s="117"/>
      <c r="LC117" s="117"/>
      <c r="LD117" s="148"/>
      <c r="LE117" s="145"/>
      <c r="LF117" s="632"/>
      <c r="LG117" s="148"/>
      <c r="LH117" s="154"/>
      <c r="LI117" s="154"/>
      <c r="LJ117" s="154"/>
      <c r="LK117" s="117"/>
      <c r="LL117" s="211"/>
      <c r="LM117" s="210"/>
      <c r="LN117" s="148"/>
      <c r="LO117" s="148"/>
      <c r="LP117" s="265"/>
      <c r="LQ117" s="286"/>
      <c r="LR117" s="100"/>
      <c r="LS117" s="100"/>
      <c r="LT117" s="210"/>
      <c r="LU117" s="117"/>
      <c r="LV117" s="117"/>
      <c r="LW117" s="148"/>
      <c r="LX117" s="145"/>
      <c r="LY117" s="632"/>
      <c r="LZ117" s="148"/>
      <c r="MA117" s="154"/>
      <c r="MB117" s="154"/>
      <c r="MC117" s="145"/>
      <c r="MD117" s="117"/>
      <c r="ME117" s="211"/>
      <c r="MF117" s="210"/>
      <c r="MG117" s="148"/>
      <c r="MH117" s="148"/>
      <c r="MI117" s="265"/>
      <c r="MJ117" s="647"/>
      <c r="MK117" s="264"/>
      <c r="ML117" s="153"/>
      <c r="MM117" s="153"/>
      <c r="MN117" s="153"/>
      <c r="MO117" s="153"/>
      <c r="MP117" s="153"/>
      <c r="MQ117" s="153"/>
      <c r="MR117" s="153"/>
      <c r="MS117" s="99"/>
      <c r="MT117" s="99"/>
      <c r="MU117" s="99"/>
      <c r="MV117" s="99"/>
      <c r="MW117" s="99"/>
      <c r="MX117" s="99"/>
      <c r="MY117" s="153"/>
      <c r="MZ117" s="153"/>
      <c r="NA117" s="153"/>
      <c r="NB117" s="153"/>
      <c r="NC117" s="153"/>
      <c r="ND117" s="153"/>
      <c r="NE117" s="153"/>
      <c r="NF117" s="153"/>
      <c r="NG117" s="153"/>
      <c r="NH117" s="330" t="str">
        <f t="shared" si="931"/>
        <v>ks</v>
      </c>
      <c r="NI117" s="797">
        <f>RZ[[#This Row],[Počet ks (K)]]</f>
        <v>0</v>
      </c>
      <c r="NJ117" s="798">
        <f>RZ[[#This Row],[Hmotnost '[kg/ks'] (K)]]</f>
        <v>0</v>
      </c>
      <c r="NK117" s="153"/>
      <c r="NL117" s="153"/>
      <c r="NM117" s="632"/>
      <c r="NN117" s="153"/>
      <c r="NO117" s="153"/>
      <c r="NP117" s="153"/>
      <c r="NQ117" s="153"/>
      <c r="NR117" s="153"/>
      <c r="NS117" s="153"/>
      <c r="NT117" s="153"/>
      <c r="NU117" s="153"/>
      <c r="NV117" s="148"/>
      <c r="NW117" s="633"/>
    </row>
    <row r="118" spans="2:387" ht="15.95" customHeight="1" x14ac:dyDescent="0.35">
      <c r="B118" s="118" t="str">
        <f t="shared" si="1"/>
        <v/>
      </c>
      <c r="C1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8" s="262" t="str">
        <f t="shared" si="2"/>
        <v xml:space="preserve">  Vedení kabelu</v>
      </c>
      <c r="E118" s="12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Row],[Kód položek (P2)]]))))))))))</f>
        <v>-</v>
      </c>
      <c r="F118" s="122" t="str">
        <f t="shared" si="3"/>
        <v>Svařenec</v>
      </c>
      <c r="G118" s="121" t="str">
        <f t="shared" si="4"/>
        <v/>
      </c>
      <c r="H118" s="122" t="str">
        <f t="shared" si="5"/>
        <v/>
      </c>
      <c r="I118" s="123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HR '[MJHR'] (P0)]]))))))))))</f>
        <v>sest</v>
      </c>
      <c r="J118" s="123">
        <f t="shared" si="6"/>
        <v>2</v>
      </c>
      <c r="K118" s="151">
        <f>RZ[[#This Row],[Koeficient odhadu HR '[-'] (P1)]]</f>
        <v>1</v>
      </c>
      <c r="L118" s="124">
        <f ca="1">RZ[[#This Row],[Jednotková hmotnost s koef. '[kg/MJHR'] (P0)]]</f>
        <v>64.53</v>
      </c>
      <c r="M118" s="124">
        <f t="shared" ca="1" si="7"/>
        <v>0</v>
      </c>
      <c r="N118" s="125">
        <f t="shared" ca="1" si="8"/>
        <v>129.06</v>
      </c>
      <c r="O118" s="125">
        <f t="shared" ca="1" si="9"/>
        <v>0</v>
      </c>
      <c r="P118" s="328" t="str">
        <f t="shared" si="10"/>
        <v/>
      </c>
      <c r="Q118" s="743">
        <f ca="1">RZ[[#This Row],[Počet MJHR v rozpadu (P0)]]</f>
        <v>2</v>
      </c>
      <c r="R118" s="439" t="str">
        <f t="shared" si="11"/>
        <v/>
      </c>
      <c r="S118" s="129" t="str">
        <f t="shared" si="12"/>
        <v/>
      </c>
      <c r="T118" s="130" t="str">
        <f t="shared" si="13"/>
        <v/>
      </c>
      <c r="U118" s="126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CR (MJCR) (P0)]]))))))))))</f>
        <v>sest</v>
      </c>
      <c r="V118" s="575">
        <f t="shared" ca="1" si="14"/>
        <v>2</v>
      </c>
      <c r="W118" s="322">
        <f>RZ[[#This Row],[Koeficient odhadu CR '[-'] (P1)]]</f>
        <v>1</v>
      </c>
      <c r="X118" s="44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Row],[Jednotková cena bez DPH '[cena/MJCR'] (P1)]]*RZ[[#This Row],[Koeficient odhadu CR '[-']]]))))))))))</f>
        <v>-</v>
      </c>
      <c r="Y118" s="440">
        <f t="shared" ca="1" si="108"/>
        <v>0</v>
      </c>
      <c r="Z118" s="142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VLOOKUP(IP118,$BR$7:$BS$11,2,FALSE)))))))))))</f>
        <v>-</v>
      </c>
      <c r="AA118" s="811">
        <f t="shared" ca="1" si="16"/>
        <v>2</v>
      </c>
      <c r="AB118" s="814">
        <f ca="1">RZ[[#This Row],[Kumulovaný koeficient v rozpadu (P0)]]</f>
        <v>1</v>
      </c>
      <c r="AC118" s="260"/>
      <c r="AD118" s="510">
        <f ca="1">RZ[[#This Row],[Jednotková cena bez DPH '[cena/MJCR'] s koef. (P0)]]/RZ[[#This Row],[Koeficient odhadu CR '[-']]]*RZ[[#This Row],[Kumulovaný koeficient odhadu CR  '[-']]]</f>
        <v>6541.56</v>
      </c>
      <c r="AE118" s="511">
        <f t="shared" ca="1" si="17"/>
        <v>13083.12</v>
      </c>
      <c r="AF118" s="512">
        <f ca="1">-IF(ISNUMBER(AA118),RZ[[#This Row],[Celková cena bez DPH (1)]]-RZ[[#This Row],[Jednotková cena bez DPH '[cena/MJCR'] bez koef. (P0)]]*AA118,0)</f>
        <v>0</v>
      </c>
      <c r="AG1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101.37238493723849</v>
      </c>
      <c r="AH118" s="261"/>
      <c r="AI118" s="510">
        <f t="shared" ca="1" si="18"/>
        <v>242.28</v>
      </c>
      <c r="AJ118" s="511">
        <f t="shared" ca="1" si="19"/>
        <v>484.56</v>
      </c>
      <c r="AK118" s="512">
        <f t="shared" ca="1" si="20"/>
        <v>0</v>
      </c>
      <c r="AL118" s="753">
        <f ca="1">RZ[[#This Row],[Kilogramová cena bez DPH '[cena/kg'] (1)]]/$AK$13</f>
        <v>3.7545327754532773</v>
      </c>
      <c r="AM118" s="261"/>
      <c r="AN118" s="510">
        <f t="shared" ca="1" si="21"/>
        <v>316.01739130434788</v>
      </c>
      <c r="AO118" s="511">
        <f t="shared" ca="1" si="22"/>
        <v>632.03478260869576</v>
      </c>
      <c r="AP118" s="512">
        <f t="shared" ca="1" si="23"/>
        <v>0</v>
      </c>
      <c r="AQ118" s="753">
        <f ca="1">RZ[[#This Row],[Kilogramová cena bez DPH '[cena/kg'] (1)]]/$AP$13</f>
        <v>4.8972166636347101</v>
      </c>
      <c r="AR118" s="261"/>
      <c r="AS118" s="510">
        <f t="shared" ca="1" si="24"/>
        <v>178.92669584245075</v>
      </c>
      <c r="AT118" s="511">
        <f t="shared" ca="1" si="25"/>
        <v>357.85339168490151</v>
      </c>
      <c r="AU118" s="511">
        <f t="shared" ca="1" si="26"/>
        <v>0</v>
      </c>
      <c r="AV118" s="767">
        <f ca="1">RZ[[#This Row],[Kilogramová cena bez DPH '[cena/kg'] (1)]]/$AU$13</f>
        <v>2.7727676405152759</v>
      </c>
      <c r="AW118" s="165"/>
      <c r="AX118" s="110">
        <f t="shared" ca="1" si="27"/>
        <v>2</v>
      </c>
      <c r="AY118" s="55">
        <f t="shared" ca="1" si="28"/>
        <v>10</v>
      </c>
      <c r="AZ118" s="111">
        <f t="shared" ca="1" si="29"/>
        <v>0</v>
      </c>
      <c r="BA118" s="111">
        <f t="shared" ca="1" si="30"/>
        <v>0</v>
      </c>
      <c r="BB118" s="111">
        <f t="shared" ca="1" si="31"/>
        <v>0</v>
      </c>
      <c r="BC118" s="111">
        <f t="shared" ca="1" si="32"/>
        <v>0</v>
      </c>
      <c r="BD118" s="111">
        <f t="shared" ca="1" si="33"/>
        <v>0</v>
      </c>
      <c r="BE118" s="111">
        <f t="shared" ca="1" si="109"/>
        <v>0</v>
      </c>
      <c r="BF118" s="111">
        <f t="shared" ca="1" si="34"/>
        <v>0</v>
      </c>
      <c r="BG118" s="112">
        <f t="shared" ca="1" si="35"/>
        <v>0</v>
      </c>
      <c r="BH118" s="110">
        <f t="shared" si="110"/>
        <v>0</v>
      </c>
      <c r="BI118" s="55">
        <f t="shared" si="111"/>
        <v>1</v>
      </c>
      <c r="BJ118" s="55">
        <f t="shared" si="112"/>
        <v>0</v>
      </c>
      <c r="BK118" s="111">
        <f t="shared" si="113"/>
        <v>0</v>
      </c>
      <c r="BL118" s="111">
        <f t="shared" si="114"/>
        <v>0</v>
      </c>
      <c r="BM118" s="111">
        <f t="shared" si="115"/>
        <v>0</v>
      </c>
      <c r="BN118" s="111">
        <f t="shared" si="116"/>
        <v>0</v>
      </c>
      <c r="BO118" s="111">
        <f t="shared" si="117"/>
        <v>0</v>
      </c>
      <c r="BP118" s="111">
        <f t="shared" si="118"/>
        <v>0</v>
      </c>
      <c r="BQ118" s="112">
        <f t="shared" si="119"/>
        <v>0</v>
      </c>
      <c r="BR118" s="186">
        <f ca="1">IF(OFFSET(AY118,1,0,1,1)&lt;&gt;0,RZ[[#This Row],[Koeficient odhadu HR '[-'] (P1)]]*$BH118*SUMIFS(RZ[Úroveň 2 s koef. (P2)],RZ[0],AX118),RZ[[#This Row],[Koeficient odhadu HR '[-'] (P1)]]*$BH118*$IG118)</f>
        <v>0</v>
      </c>
      <c r="BS118" s="186">
        <f ca="1">IF(OFFSET(AY118,1,0,1,1)&lt;&gt;0,$BH118*SUMIFS(RZ[Úroveň 2 bez koef. (P2)],RZ[0],AX118),$BH118*$IG118)</f>
        <v>0</v>
      </c>
      <c r="BT118" s="138">
        <f ca="1">RZ[[#This Row],[Úroveň 2 s koef. (P2a)]]*RZ[[#This Row],[Počet MJHR (P0)]]</f>
        <v>129.06</v>
      </c>
      <c r="BU118" s="138">
        <f ca="1">RZ[[#This Row],[Úroveň 2 bez koef. (P2a)]]*RZ[[#This Row],[Počet MJHR (P0)]]</f>
        <v>129.06</v>
      </c>
      <c r="BV118" s="138">
        <f ca="1">IF(OFFSET(AZ118,1,0,1,1)&lt;&gt;0,RZ[[#This Row],[Koeficient odhadu HR '[-'] (P1)]]*$BI118*SUMIFS(RZ[Úroveň 3 s koef. (P2)],RZ[0],AX118,RZ[Úroveň 2 (P0)],AY118),RZ[[#This Row],[Koeficient odhadu HR '[-'] (P1)]]*$BI118*$IG118)</f>
        <v>64.53</v>
      </c>
      <c r="BW118" s="138">
        <f ca="1">IF(OFFSET(AZ118,1,0,1,1)&lt;&gt;0,$BI118*SUMIFS(RZ[Úroveň 3 bez koef. (P2)],RZ[0],AX118,RZ[Úroveň 2 (P0)],AY118),$BI118*$IG118)</f>
        <v>64.53</v>
      </c>
      <c r="BX118" s="132">
        <f ca="1">RZ[[#This Row],[Úroveň 3 s koef. (P2a)]]*RZ[[#This Row],[Počet MJHR (P0)]]</f>
        <v>0</v>
      </c>
      <c r="BY118" s="132">
        <f ca="1">RZ[Úroveň 3 bez koef. (P2a)]*RZ[[#This Row],[Počet MJHR (P0)]]</f>
        <v>0</v>
      </c>
      <c r="BZ118" s="132">
        <f ca="1">IF(OFFSET(BA118,1,0,1,1)&lt;&gt;0,RZ[[#This Row],[Koeficient odhadu HR '[-'] (P1)]]*$BJ118*SUMIFS(RZ[Úroveň 4 s koef. (P2)],RZ[0],AX118,RZ[Úroveň 2 (P0)],AY118,RZ[Úroveň 3 (P0)],AZ118),RZ[[#This Row],[Koeficient odhadu HR '[-'] (P1)]]*$BJ118*$IG118)</f>
        <v>0</v>
      </c>
      <c r="CA118" s="132">
        <f ca="1">IF(OFFSET(BA118,1,0,1,1)&lt;&gt;0,$BJ118*SUMIFS(RZ[Úroveň 4 bez koef. (P2)],RZ[0],AX118,RZ[Úroveň 2 (P0)],AY118,RZ[Úroveň 3 (P0)],AZ118),$BJ118*$IG118)</f>
        <v>0</v>
      </c>
      <c r="CB118" s="138">
        <f ca="1">RZ[[#This Row],[Úroveň 4 s koef. (P2a)]]*RZ[[#This Row],[Počet MJHR (P0)]]</f>
        <v>0</v>
      </c>
      <c r="CC118" s="138">
        <f ca="1">RZ[Úroveň 4 bez koef. (P2a)]*RZ[[#This Row],[Počet MJHR (P0)]]</f>
        <v>0</v>
      </c>
      <c r="CD118" s="138">
        <f ca="1">IF(OFFSET(BB118,1,0,1,1)&lt;&gt;0,RZ[[#This Row],[Koeficient odhadu HR '[-'] (P1)]]*$BK118*SUMIFS(RZ[Úroveň 5 s koef. (P2)],RZ[0],AX118,RZ[Úroveň 2 (P0)],AY118,RZ[Úroveň 3 (P0)],AZ118,RZ[Úroveň 4 (P0)],BA118),RZ[[#This Row],[Koeficient odhadu HR '[-'] (P1)]]*$BK118*$IG118)</f>
        <v>0</v>
      </c>
      <c r="CE118" s="138">
        <f ca="1">IF(OFFSET(BB118,1,0,1,1)&lt;&gt;0,$BK118*SUMIFS(RZ[Úroveň 5 bez koef. (P2)],RZ[0],AX118,RZ[Úroveň 2 (P0)],AY118,RZ[Úroveň 3 (P0)],AZ118,RZ[Úroveň 4 (P0)],BA118),$BK118*$IG118)</f>
        <v>0</v>
      </c>
      <c r="CF118" s="132">
        <f ca="1">RZ[[#This Row],[Úroveň 5 s koef. (P2a)]]*RZ[[#This Row],[Počet MJHR (P0)]]</f>
        <v>0</v>
      </c>
      <c r="CG118" s="132">
        <f ca="1">RZ[Úroveň 5 bez koef. (P2a)]*RZ[[#This Row],[Počet MJHR (P0)]]</f>
        <v>0</v>
      </c>
      <c r="CH118" s="132">
        <f ca="1">IF(OFFSET(BC118,1,0,1,1)&lt;&gt;0,RZ[[#This Row],[Koeficient odhadu HR '[-'] (P1)]]*$BL118*SUMIFS(RZ[Úroveň 6 s koef. (P2)],RZ[0],AX118,RZ[Úroveň 2 (P0)],AY118,RZ[Úroveň 3 (P0)],AZ118,RZ[Úroveň 4 (P0)],BA118,RZ[Úroveň 5 (P0)],BB118),RZ[[#This Row],[Koeficient odhadu HR '[-'] (P1)]]*$BL118*$IG118)</f>
        <v>0</v>
      </c>
      <c r="CI118" s="132">
        <f ca="1">IF(OFFSET(BC118,1,0,1,1)&lt;&gt;0,$BL118*SUMIFS(RZ[Úroveň 6 bez koef. (P2)],RZ[0],AX118,RZ[Úroveň 2 (P0)],AY118,RZ[Úroveň 3 (P0)],AZ118,RZ[Úroveň 4 (P0)],BA118,RZ[Úroveň 5 (P0)],BB118),$BL118*$IG118)</f>
        <v>0</v>
      </c>
      <c r="CJ118" s="138">
        <f ca="1">RZ[[#This Row],[Úroveň 6 s koef. (P2a)]]*RZ[[#This Row],[Počet MJHR (P0)]]</f>
        <v>0</v>
      </c>
      <c r="CK118" s="138">
        <f ca="1">RZ[Úroveň 6 bez koef. (P2a)]*RZ[[#This Row],[Počet MJHR (P0)]]</f>
        <v>0</v>
      </c>
      <c r="CL118" s="138">
        <f ca="1">IF(OFFSET(BD118,1,0,1,1)&lt;&gt;0,RZ[[#This Row],[Koeficient odhadu HR '[-'] (P1)]]*$BM118*SUMIFS(RZ[Úroveň 7 s koef. (P2)],RZ[0],AX118,RZ[Úroveň 2 (P0)],AY118,RZ[Úroveň 3 (P0)],AZ118,RZ[Úroveň 4 (P0)],BA118,RZ[Úroveň 5 (P0)],BB118,RZ[Úroveň 6 (P0)],BC118),RZ[[#This Row],[Koeficient odhadu HR '[-'] (P1)]]*$BM118*$IG118)</f>
        <v>0</v>
      </c>
      <c r="CM118" s="138">
        <f ca="1">IF(OFFSET(BD118,1,0,1,1)&lt;&gt;0,$BM118*SUMIFS(RZ[Úroveň 7 bez koef. (P2)],RZ[0],AX118,RZ[Úroveň 2 (P0)],AY118,RZ[Úroveň 3 (P0)],AZ118,RZ[Úroveň 4 (P0)],BA118,RZ[Úroveň 5 (P0)],BB118,RZ[Úroveň 6 (P0)],BC118),$BM118*$IG118)</f>
        <v>0</v>
      </c>
      <c r="CN118" s="132">
        <f ca="1">RZ[[#This Row],[Úroveň 7 s koef. (P2a)]]*RZ[[#This Row],[Počet MJHR (P0)]]</f>
        <v>0</v>
      </c>
      <c r="CO118" s="132">
        <f ca="1">RZ[Úroveň 7 bez koef. (P2a)]*RZ[[#This Row],[Počet MJHR (P0)]]</f>
        <v>0</v>
      </c>
      <c r="CP118" s="132">
        <f ca="1">IF(OFFSET(BE118,1,0,1,1)&lt;&gt;0,RZ[[#This Row],[Koeficient odhadu HR '[-'] (P1)]]*$BN118*SUMIFS(RZ[Úroveň 8 s koef. (P2)],RZ[0],AX118,RZ[Úroveň 2 (P0)],AY118,RZ[Úroveň 3 (P0)],AZ118,RZ[Úroveň 4 (P0)],BA118,RZ[Úroveň 5 (P0)],BB118,RZ[Úroveň 6 (P0)],BC118,RZ[Úroveň 7 (P0)],BD118),RZ[[#This Row],[Koeficient odhadu HR '[-'] (P1)]]*$BN118*$IG118)</f>
        <v>0</v>
      </c>
      <c r="CQ118" s="132">
        <f ca="1">IF(OFFSET(BE118,1,0,1,1)&lt;&gt;0,$BN118*SUMIFS(RZ[Úroveň 8 bez koef. (P2)],RZ[0],AX118,RZ[Úroveň 2 (P0)],AY118,RZ[Úroveň 3 (P0)],AZ118,RZ[Úroveň 4 (P0)],BA118,RZ[Úroveň 5 (P0)],BB118,RZ[Úroveň 6 (P0)],BC118,RZ[Úroveň 7 (P0)],BD118),$BN118*$IG118)</f>
        <v>0</v>
      </c>
      <c r="CR118" s="138">
        <f ca="1">RZ[[#This Row],[Úroveň 8 s koef. (P2a)]]*RZ[[#This Row],[Počet MJHR (P0)]]</f>
        <v>0</v>
      </c>
      <c r="CS118" s="138">
        <f ca="1">RZ[Úroveň 8 bez koef. (P2a)]*RZ[[#This Row],[Počet MJHR (P0)]]</f>
        <v>0</v>
      </c>
      <c r="CT118" s="138">
        <f ca="1">IF(OFFSET(BF118,1,0,1,1)&lt;&gt;0,RZ[[#This Row],[Koeficient odhadu HR '[-'] (P1)]]*$BO118*SUMIFS(RZ[Úroveň 9 s koef. (P2)],RZ[0],AX118,RZ[Úroveň 2 (P0)],AY118,RZ[Úroveň 3 (P0)],AZ118,RZ[Úroveň 4 (P0)],BA118,RZ[Úroveň 5 (P0)],BB118,RZ[Úroveň 6 (P0)],BC118,RZ[Úroveň 7 (P0)],BD118,RZ[Úroveň 8 (P0)],BE118),RZ[[#This Row],[Koeficient odhadu HR '[-'] (P1)]]*$BO118*$IG118)</f>
        <v>0</v>
      </c>
      <c r="CU118" s="138">
        <f ca="1">IF(OFFSET(BF118,1,0,1,1)&lt;&gt;0,$BO118*SUMIFS(RZ[Úroveň 9 bez koef. (P2)],RZ[0],AX118,RZ[Úroveň 2 (P0)],AY118,RZ[Úroveň 3 (P0)],AZ118,RZ[Úroveň 4 (P0)],BA118,RZ[Úroveň 5 (P0)],BB118,RZ[Úroveň 6 (P0)],BC118,RZ[Úroveň 7 (P0)],BD118,RZ[Úroveň 8 (P0)],BE118),$BO118*$IG118)</f>
        <v>0</v>
      </c>
      <c r="CV118" s="132">
        <f ca="1">RZ[[#This Row],[Úroveň 9 s koef. (P2a)]]*RZ[[#This Row],[Počet MJHR (P0)]]</f>
        <v>0</v>
      </c>
      <c r="CW118" s="132">
        <f ca="1">RZ[Úroveň 9 bez koef. (P2a)]*RZ[[#This Row],[Počet MJHR (P0)]]</f>
        <v>0</v>
      </c>
      <c r="CX118" s="132">
        <f ca="1">IF(OFFSET(BG118,1,0,1,1)&lt;&gt;0,RZ[[#This Row],[Koeficient odhadu HR '[-'] (P1)]]*$BP118*SUMIFS(RZ[Úroveň 10 s koef. (P2)],RZ[0],AX118,RZ[Úroveň 2 (P0)],AY118,RZ[Úroveň 3 (P0)],AZ118,RZ[Úroveň 4 (P0)],BA118,RZ[Úroveň 5 (P0)],BB118,RZ[Úroveň 6 (P0)],BC118,RZ[Úroveň 7 (P0)],BD118,RZ[Úroveň 8 (P0)],BE118,RZ[Úroveň 9 (P0)],BF118),RZ[[#This Row],[Koeficient odhadu HR '[-'] (P1)]]*$BP118*$IG118)</f>
        <v>0</v>
      </c>
      <c r="CY118" s="132">
        <f ca="1">IF(OFFSET(BG118,1,0,1,1)&lt;&gt;0,$BP118*SUMIFS(RZ[Úroveň 10 bez koef. (P2)],RZ[0],AX118,RZ[Úroveň 2 (P0)],AY118,RZ[Úroveň 3 (P0)],AZ118,RZ[Úroveň 4 (P0)],BA118,RZ[Úroveň 5 (P0)],BB118,RZ[Úroveň 6 (P0)],BC118,RZ[Úroveň 7 (P0)],BD118,RZ[Úroveň 8 (P0)],BE118,RZ[Úroveň 9 (P0)],BF118),$BP118*$IG118)</f>
        <v>0</v>
      </c>
      <c r="CZ118" s="138">
        <f>RZ[[#This Row],[Úroveň 10 s koef. (P2a)]]*RZ[[#This Row],[Počet MJHR (P0)]]</f>
        <v>0</v>
      </c>
      <c r="DA118" s="138">
        <f>RZ[Úroveň 10 bez koef. (P2a)]*RZ[[#This Row],[Počet MJHR (P0)]]</f>
        <v>0</v>
      </c>
      <c r="DB118" s="138">
        <f>RZ[[#This Row],[Koeficient odhadu HR '[-'] (P1)]]*$BQ118*IG118</f>
        <v>0</v>
      </c>
      <c r="DC118" s="231">
        <f t="shared" si="37"/>
        <v>0</v>
      </c>
      <c r="DD118" s="241">
        <f t="shared" ca="1" si="120"/>
        <v>64.53</v>
      </c>
      <c r="DE118" s="229">
        <f t="shared" ca="1" si="121"/>
        <v>64.53</v>
      </c>
      <c r="DF118" s="521">
        <f t="shared" si="40"/>
        <v>0</v>
      </c>
      <c r="DG118" s="522">
        <f t="shared" si="41"/>
        <v>2</v>
      </c>
      <c r="DH118" s="522">
        <f t="shared" si="42"/>
        <v>0</v>
      </c>
      <c r="DI118" s="523">
        <f t="shared" si="43"/>
        <v>0</v>
      </c>
      <c r="DJ118" s="524">
        <f t="shared" si="44"/>
        <v>0</v>
      </c>
      <c r="DK118" s="524">
        <f t="shared" si="45"/>
        <v>0</v>
      </c>
      <c r="DL118" s="524">
        <f t="shared" si="46"/>
        <v>0</v>
      </c>
      <c r="DM118" s="524">
        <f t="shared" si="47"/>
        <v>0</v>
      </c>
      <c r="DN118" s="524">
        <f t="shared" si="48"/>
        <v>0</v>
      </c>
      <c r="DO118" s="523">
        <f t="shared" si="49"/>
        <v>0</v>
      </c>
      <c r="DP118" s="525">
        <f ca="1">SUMIFS(RZ[Úroveň 1 (P4)],RZ[0],AX118)</f>
        <v>1</v>
      </c>
      <c r="DQ118" s="525">
        <f ca="1">SUMIFS(RZ[Úroveň 2 (P4)],RZ[0],AX118,RZ[Úroveň 2 (P0)],AY118)</f>
        <v>2</v>
      </c>
      <c r="DR118" s="525">
        <f ca="1">SUMIFS(RZ[Úroveň 3 (P4)],RZ[0],AX118,RZ[Úroveň 2 (P0)],AY118,RZ[Úroveň 3 (P0)],AZ118)</f>
        <v>0</v>
      </c>
      <c r="DS118" s="525">
        <f ca="1">SUMIFS(RZ[Úroveň 4 (P4)],RZ[0],AX118,RZ[Úroveň 2 (P0)],AY118,RZ[Úroveň 3 (P0)],AZ118,RZ[Úroveň 4 (P0)],BA118)</f>
        <v>0</v>
      </c>
      <c r="DT118" s="526">
        <f ca="1">SUMIFS(RZ[Úroveň 5 (P4)],RZ[0],AX118,RZ[Úroveň 2 (P0)],AY118,RZ[Úroveň 3 (P0)],AZ118,RZ[Úroveň 4 (P0)],BA118,RZ[Úroveň 5 (P0)],BB118)</f>
        <v>0</v>
      </c>
      <c r="DU118" s="526">
        <f ca="1">SUMIFS(RZ[Úroveň 6 (P4)],RZ[0],AX118,RZ[Úroveň 2 (P0)],AY118,RZ[Úroveň 3 (P0)],AZ118,RZ[Úroveň 4 (P0)],BA118,RZ[Úroveň 5 (P0)],BB118,RZ[Úroveň 6 (P0)],BC118)</f>
        <v>0</v>
      </c>
      <c r="DV118" s="526">
        <f ca="1">SUMIFS(RZ[Úroveň 7 (P4)],RZ[0],AX118,RZ[Úroveň 2 (P0)],AY118,RZ[Úroveň 3 (P0)],AZ118,RZ[Úroveň 4 (P0)],BA118,RZ[Úroveň 5 (P0)],BB118,RZ[Úroveň 6 (P0)],BC118,RZ[Úroveň 7 (P0)],BD118)</f>
        <v>0</v>
      </c>
      <c r="DW118" s="526">
        <f ca="1">SUMIFS(RZ[Úroveň 8 (P4)],RZ[0],AX118,RZ[Úroveň 2 (P0)],AY118,RZ[Úroveň 3 (P0)],AZ118,RZ[Úroveň 4 (P0)],BA118,RZ[Úroveň 5 (P0)],BB118,RZ[Úroveň 6 (P0)],BC118,RZ[Úroveň 7 (P0)],BD118,RZ[Úroveň 8 (P0)],BE118)</f>
        <v>0</v>
      </c>
      <c r="DX118" s="526">
        <f ca="1">SUMIFS(RZ[Úroveň 9 (P4)],RZ[0],AX118,RZ[Úroveň 2 (P0)],AY118,RZ[Úroveň 3 (P0)],AZ118,RZ[Úroveň 4 (P0)],BA118,RZ[Úroveň 5 (P0)],BB118,RZ[Úroveň 6 (P0)],BC118,RZ[Úroveň 7 (P0)],BD118,RZ[Úroveň 8 (P0)],BE118,RZ[Úroveň 9 (P0)],BF118)</f>
        <v>0</v>
      </c>
      <c r="DY118" s="526">
        <f ca="1">SUMIFS(RZ[Úroveň 10 (P4)],RZ[0],AX118,RZ[Úroveň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DZ118" s="527">
        <f t="shared" ca="1" si="122"/>
        <v>2</v>
      </c>
      <c r="EA118" s="528">
        <f ca="1">RZ[[#This Row],[Jednotková hmotnost bez koef. '[kg/MJHR'] (P0)]]*RZ[[#This Row],[Počet MJHR v rozpadu (P0)]]</f>
        <v>129.06</v>
      </c>
      <c r="EB118" s="191">
        <f ca="1">IF(OFFSET(AY118,1,0,1,1)&lt;&gt;0,RZ[[#This Row],[Koeficient odhadu CR '[-'] (P1)]]*$BH118*SUMIFS(RZ[Úroveň 2 s koef. (P3)],RZ[0],AX118),RZ[[#This Row],[Koeficient odhadu CR '[-'] (P1)]]*$BH118*$IQ118)</f>
        <v>0</v>
      </c>
      <c r="EC118" s="191">
        <f ca="1">IF(OFFSET(AY118,1,0,1,1)&lt;&gt;0,$BH118*SUMIFS(RZ[Úroveň 2 bez koef. (P3)],RZ[0],AX118),$BH118*$IQ118)</f>
        <v>0</v>
      </c>
      <c r="ED118" s="140">
        <f ca="1">RZ[[#This Row],[Úroveň 2 s koef. (P3a)]]*RZ[[#This Row],[Počet MJCR (P0) pro "kg"]]</f>
        <v>13083.12</v>
      </c>
      <c r="EE118" s="140">
        <f ca="1">RZ[Úroveň 2 bez koef. (P3a)]*RZ[[#This Row],[Počet MJCR (P0) pro "kg"]]</f>
        <v>13083.12</v>
      </c>
      <c r="EF118" s="140">
        <f ca="1">IF(OFFSET(AZ118,1,0,1,1)&lt;&gt;0,RZ[[#This Row],[Koeficient odhadu CR '[-'] (P1)]]*$BI118*SUMIFS(RZ[Úroveň 3 s koef. (P3)],RZ[0],AX118,RZ[Úroveň 2 (P0)],AY118),RZ[[#This Row],[Koeficient odhadu CR '[-'] (P1)]]*$BI118*$IQ118)</f>
        <v>6541.56</v>
      </c>
      <c r="EG118" s="140">
        <f ca="1">IF(OFFSET(AZ118,1,0,1,1)&lt;&gt;0,$BI118*SUMIFS(RZ[Úroveň 3 bez koef. (P3)],RZ[0],AX118,RZ[Úroveň 2 (P0)],AY118),$BI118*$IQ118)</f>
        <v>6541.56</v>
      </c>
      <c r="EH118" s="135">
        <f ca="1">RZ[[#This Row],[Úroveň 3 s koef. (P3a)]]*RZ[[#This Row],[Počet MJCR (P0) pro "kg"]]</f>
        <v>0</v>
      </c>
      <c r="EI118" s="135">
        <f ca="1">RZ[Úroveň 3 bez koef. (P3a)]*RZ[[#This Row],[Počet MJCR (P0) pro "kg"]]</f>
        <v>0</v>
      </c>
      <c r="EJ118" s="135">
        <f ca="1">IF(OFFSET(BA118,1,0,1,1)&lt;&gt;0,RZ[[#This Row],[Koeficient odhadu CR '[-'] (P1)]]*$BJ118*SUMIFS(RZ[Úroveň 4 s koef. (P3)],RZ[0],AX118,RZ[Úroveň 2 (P0)],AY118,RZ[Úroveň 3 (P0)],AZ118),RZ[[#This Row],[Koeficient odhadu CR '[-'] (P1)]]*$BJ118*$IQ118)</f>
        <v>0</v>
      </c>
      <c r="EK118" s="135">
        <f ca="1">IF(OFFSET(BA118,1,0,1,1)&lt;&gt;0,$BJ118*SUMIFS(RZ[Úroveň 4 bez koef. (P3)],RZ[0],AX118,RZ[Úroveň 2 (P0)],AY118,RZ[Úroveň 3 (P0)],AZ118),$BJ118*$IQ118)</f>
        <v>0</v>
      </c>
      <c r="EL118" s="140">
        <f ca="1">RZ[[#This Row],[Úroveň 4 s koef. (P3a)]]*RZ[[#This Row],[Počet MJCR (P0) pro "kg"]]</f>
        <v>0</v>
      </c>
      <c r="EM118" s="140">
        <f ca="1">RZ[Úroveň 4 bez koef. (P3a)]*RZ[[#This Row],[Počet MJCR (P0) pro "kg"]]</f>
        <v>0</v>
      </c>
      <c r="EN118" s="140">
        <f ca="1">IF(OFFSET(BB118,1,0,1,1)&lt;&gt;0,RZ[[#This Row],[Koeficient odhadu CR '[-'] (P1)]]*$BK118*SUMIFS(RZ[Úroveň 5 s koef. (P3)],RZ[0],AX118,RZ[Úroveň 2 (P0)],AY118,RZ[Úroveň 3 (P0)],AZ118,RZ[Úroveň 4 (P0)],BA118),RZ[[#This Row],[Koeficient odhadu CR '[-'] (P1)]]*$BK118*$IQ118)</f>
        <v>0</v>
      </c>
      <c r="EO118" s="140">
        <f ca="1">IF(OFFSET(BB118,1,0,1,1)&lt;&gt;0,$BK118*SUMIFS(RZ[Úroveň 5 bez koef. (P3)],RZ[0],AX118,RZ[Úroveň 2 (P0)],AY118,RZ[Úroveň 3 (P0)],AZ118,RZ[Úroveň 4 (P0)],BA118),$BK118*$IQ118)</f>
        <v>0</v>
      </c>
      <c r="EP118" s="135">
        <f ca="1">RZ[[#This Row],[Úroveň 5 s koef. (P3a)]]*RZ[[#This Row],[Počet MJCR (P0) pro "kg"]]</f>
        <v>0</v>
      </c>
      <c r="EQ118" s="135">
        <f ca="1">RZ[Úroveň 5 bez koef. (P3a)]*RZ[[#This Row],[Počet MJCR (P0) pro "kg"]]</f>
        <v>0</v>
      </c>
      <c r="ER118" s="135">
        <f ca="1">IF(OFFSET(BC118,1,0,1,1)&lt;&gt;0,RZ[[#This Row],[Koeficient odhadu CR '[-'] (P1)]]*$BL118*SUMIFS(RZ[Úroveň 6 s koef. (P3)],RZ[0],AX118,RZ[Úroveň 2 (P0)],AY118,RZ[Úroveň 3 (P0)],AZ118,RZ[Úroveň 4 (P0)],BA118,RZ[Úroveň 5 (P0)],BB118),RZ[[#This Row],[Koeficient odhadu CR '[-'] (P1)]]*$BL118*$IQ118)</f>
        <v>0</v>
      </c>
      <c r="ES118" s="135">
        <f ca="1">IF(OFFSET(BC118,1,0,1,1)&lt;&gt;0,$BL118*SUMIFS(RZ[Úroveň 6 bez koef. (P3)],RZ[0],AX118,RZ[Úroveň 2 (P0)],AY118,RZ[Úroveň 3 (P0)],AZ118,RZ[Úroveň 4 (P0)],BA118,RZ[Úroveň 5 (P0)],BB118),$BL118*$IQ118)</f>
        <v>0</v>
      </c>
      <c r="ET118" s="140">
        <f ca="1">RZ[[#This Row],[Úroveň 6 s koef. (P3a)]]*RZ[[#This Row],[Počet MJCR (P0) pro "kg"]]</f>
        <v>0</v>
      </c>
      <c r="EU118" s="140">
        <f ca="1">RZ[Úroveň 6 bez koef. (P3a)]*RZ[[#This Row],[Počet MJCR (P0) pro "kg"]]</f>
        <v>0</v>
      </c>
      <c r="EV118" s="140">
        <f ca="1">IF(OFFSET(BD118,1,0,1,1)&lt;&gt;0,RZ[[#This Row],[Koeficient odhadu CR '[-'] (P1)]]*$BM118*SUMIFS(RZ[Úroveň 7 s koef. (P3)],RZ[0],AX118,RZ[Úroveň 2 (P0)],AY118,RZ[Úroveň 3 (P0)],AZ118,RZ[Úroveň 4 (P0)],BA118,RZ[Úroveň 5 (P0)],BB118,RZ[Úroveň 6 (P0)],BC118),RZ[[#This Row],[Koeficient odhadu CR '[-'] (P1)]]*$BM118*$IQ118)</f>
        <v>0</v>
      </c>
      <c r="EW118" s="140">
        <f ca="1">IF(OFFSET(BD118,1,0,1,1)&lt;&gt;0,$BM118*SUMIFS(RZ[Úroveň 7 bez koef. (P3)],RZ[0],AX118,RZ[Úroveň 2 (P0)],AY118,RZ[Úroveň 3 (P0)],AZ118,RZ[Úroveň 4 (P0)],BA118,RZ[Úroveň 5 (P0)],BB118,RZ[Úroveň 6 (P0)],BC118),$BM118*$IQ118)</f>
        <v>0</v>
      </c>
      <c r="EX118" s="135">
        <f ca="1">RZ[[#This Row],[Úroveň 7 s koef. (P3a)]]*RZ[[#This Row],[Počet MJCR (P0) pro "kg"]]</f>
        <v>0</v>
      </c>
      <c r="EY118" s="135">
        <f ca="1">RZ[Úroveň 7 bez koef. (P3a)]*RZ[[#This Row],[Počet MJCR (P0) pro "kg"]]</f>
        <v>0</v>
      </c>
      <c r="EZ118" s="135">
        <f ca="1">IF(OFFSET(BE118,1,0,1,1)&lt;&gt;0,RZ[[#This Row],[Koeficient odhadu CR '[-'] (P1)]]*$BN118*SUMIFS(RZ[Úroveň 8 s koef. (P3)],RZ[0],AX118,RZ[Úroveň 2 (P0)],AY118,RZ[Úroveň 3 (P0)],AZ118,RZ[Úroveň 4 (P0)],BA118,RZ[Úroveň 5 (P0)],BB118,RZ[Úroveň 6 (P0)],BC118,RZ[Úroveň 7 (P0)],BD118),RZ[[#This Row],[Koeficient odhadu CR '[-'] (P1)]]*$BN118*$IQ118)</f>
        <v>0</v>
      </c>
      <c r="FA118" s="135">
        <f ca="1">IF(OFFSET(BE118,1,0,1,1)&lt;&gt;0,$BN118*SUMIFS(RZ[Úroveň 8 bez koef. (P3)],RZ[0],AX118,RZ[Úroveň 2 (P0)],AY118,RZ[Úroveň 3 (P0)],AZ118,RZ[Úroveň 4 (P0)],BA118,RZ[Úroveň 5 (P0)],BB118,RZ[Úroveň 6 (P0)],BC118,RZ[Úroveň 7 (P0)],BD118),$BN118*$IQ118)</f>
        <v>0</v>
      </c>
      <c r="FB118" s="140">
        <f ca="1">RZ[[#This Row],[Úroveň 8 s koef. (P3a)]]*RZ[[#This Row],[Počet MJCR (P0) pro "kg"]]</f>
        <v>0</v>
      </c>
      <c r="FC118" s="140">
        <f ca="1">RZ[Úroveň 8 bez koef. (P3a)]*RZ[[#This Row],[Počet MJCR (P0) pro "kg"]]</f>
        <v>0</v>
      </c>
      <c r="FD118" s="140">
        <f ca="1">IF(OFFSET(BF118,1,0,1,1)&lt;&gt;0,RZ[[#This Row],[Koeficient odhadu CR '[-'] (P1)]]*$BO118*SUMIFS(RZ[Úroveň 9 s koef. (P3)],RZ[0],AX118,RZ[Úroveň 2 (P0)],AY118,RZ[Úroveň 3 (P0)],AZ118,RZ[Úroveň 4 (P0)],BA118,RZ[Úroveň 5 (P0)],BB118,RZ[Úroveň 6 (P0)],BC118,RZ[Úroveň 7 (P0)],BD118,RZ[Úroveň 8 (P0)],BE118),RZ[[#This Row],[Koeficient odhadu CR '[-'] (P1)]]*$BO118*$IQ118)</f>
        <v>0</v>
      </c>
      <c r="FE118" s="140">
        <f ca="1">IF(OFFSET(BF118,1,0,1,1)&lt;&gt;0,$BO118*SUMIFS(RZ[Úroveň 9 bez koef. (P3)],RZ[0],AX118,RZ[Úroveň 2 (P0)],AY118,RZ[Úroveň 3 (P0)],AZ118,RZ[Úroveň 4 (P0)],BA118,RZ[Úroveň 5 (P0)],BB118,RZ[Úroveň 6 (P0)],BC118,RZ[Úroveň 7 (P0)],BD118,RZ[Úroveň 8 (P0)],BE118),$BO118*$IQ118)</f>
        <v>0</v>
      </c>
      <c r="FF118" s="135">
        <f ca="1">RZ[[#This Row],[Úroveň 9 s koef. (P3a)]]*RZ[[#This Row],[Počet MJCR (P0) pro "kg"]]</f>
        <v>0</v>
      </c>
      <c r="FG118" s="135">
        <f ca="1">RZ[Úroveň 9 bez koef. (P3a)]*RZ[[#This Row],[Počet MJCR (P0) pro "kg"]]</f>
        <v>0</v>
      </c>
      <c r="FH118" s="135">
        <f ca="1">IF(OFFSET(BG118,1,0,1,1)&lt;&gt;0,RZ[[#This Row],[Koeficient odhadu CR '[-'] (P1)]]*$BP118*SUMIFS(RZ[Úroveň 10 s koef. (P3)],RZ[0],AX118,RZ[Úroveň 2 (P0)],AY118,RZ[Úroveň 3 (P0)],AZ118,RZ[Úroveň 4 (P0)],BA118,RZ[Úroveň 5 (P0)],BB118,RZ[Úroveň 6 (P0)],BC118,RZ[Úroveň 7 (P0)],BD118,RZ[Úroveň 8 (P0)],BE118,RZ[Úroveň 9 (P0)],BF118),RZ[[#This Row],[Koeficient odhadu CR '[-'] (P1)]]*$BP118*$IQ118)</f>
        <v>0</v>
      </c>
      <c r="FI118" s="135">
        <f ca="1">IF(OFFSET(BG118,1,0,1,1)&lt;&gt;0,$BP118*SUMIFS(RZ[Úroveň 10 bez koef. (P3)],RZ[0],AX118,RZ[Úroveň 2 (P0)],AY118,RZ[Úroveň 3 (P0)],AZ118,RZ[Úroveň 4 (P0)],BA118,RZ[Úroveň 5 (P0)],BB118,RZ[Úroveň 6 (P0)],BC118,RZ[Úroveň 7 (P0)],BD118,RZ[Úroveň 8 (P0)],BE118,RZ[Úroveň 9 (P0)],BF118),$BP118*$IQ118)</f>
        <v>0</v>
      </c>
      <c r="FJ118" s="140">
        <f ca="1">RZ[[#This Row],[Úroveň 10 s koef. (P3a)]]*RZ[[#This Row],[Počet MJCR (P0) pro "kg"]]</f>
        <v>0</v>
      </c>
      <c r="FK118" s="140">
        <f ca="1">RZ[Úroveň 10 bez koef. (P3a)]*RZ[[#This Row],[Počet MJCR (P0) pro "kg"]]</f>
        <v>0</v>
      </c>
      <c r="FL118" s="140">
        <f ca="1">RZ[[#This Row],[Koeficient odhadu CR '[-'] (P1)]]*$BQ118*IQ118</f>
        <v>0</v>
      </c>
      <c r="FM118" s="236">
        <f t="shared" ca="1" si="51"/>
        <v>0</v>
      </c>
      <c r="FN118" s="194">
        <f t="shared" ca="1" si="123"/>
        <v>6541.56</v>
      </c>
      <c r="FO118" s="238">
        <f t="shared" ca="1" si="124"/>
        <v>6541.56</v>
      </c>
      <c r="FP118" s="191">
        <f t="shared" ca="1" si="54"/>
        <v>0</v>
      </c>
      <c r="FQ118" s="135">
        <f t="shared" ca="1" si="55"/>
        <v>2</v>
      </c>
      <c r="FR118" s="135">
        <f t="shared" ca="1" si="56"/>
        <v>0</v>
      </c>
      <c r="FS118" s="135">
        <f t="shared" ca="1" si="57"/>
        <v>0</v>
      </c>
      <c r="FT118" s="135">
        <f t="shared" ca="1" si="58"/>
        <v>0</v>
      </c>
      <c r="FU118" s="135">
        <f t="shared" ca="1" si="59"/>
        <v>0</v>
      </c>
      <c r="FV118" s="135">
        <f t="shared" ca="1" si="60"/>
        <v>0</v>
      </c>
      <c r="FW118" s="135">
        <f t="shared" ca="1" si="61"/>
        <v>0</v>
      </c>
      <c r="FX118" s="135">
        <f t="shared" ca="1" si="62"/>
        <v>0</v>
      </c>
      <c r="FY118" s="135">
        <f t="shared" ca="1" si="63"/>
        <v>0</v>
      </c>
      <c r="FZ118" s="140">
        <f ca="1">SUMIFS(RZ[Úroveň 1 (P6)],RZ[0],AX118)</f>
        <v>1</v>
      </c>
      <c r="GA118" s="140">
        <f ca="1">SUMIFS(RZ[Úroveň 2 (P6)],RZ[0],AX118,RZ[Úroveň 2 (P0)],AY118)</f>
        <v>2</v>
      </c>
      <c r="GB118" s="140">
        <f ca="1">SUMIFS(RZ[Úroveň 3 (P6)],RZ[0],AX118,RZ[Úroveň 2 (P0)],AY118,RZ[Úroveň 3 (P0)],AZ118)</f>
        <v>0</v>
      </c>
      <c r="GC118" s="140">
        <f ca="1">SUMIFS(RZ[Úroveň 4 (P6)],RZ[0],AX118,RZ[Úroveň 2 (P0)],AY118,RZ[Úroveň 3 (P0)],AZ118,RZ[Úroveň 4 (P0)],BA118)</f>
        <v>0</v>
      </c>
      <c r="GD118" s="140">
        <f ca="1">SUMIFS(RZ[Úroveň 5 (P6)],RZ[0],AX118,RZ[Úroveň 2 (P0)],AY118,RZ[Úroveň 3 (P0)],AZ118,RZ[Úroveň 4 (P0)],BA118,RZ[Úroveň 5 (P0)],BB118)</f>
        <v>0</v>
      </c>
      <c r="GE118" s="140">
        <f ca="1">SUMIFS(RZ[Úroveň 6 (P6)],RZ[0],AX118,RZ[Úroveň 2 (P0)],AY118,RZ[Úroveň 3 (P0)],AZ118,RZ[Úroveň 4 (P0)],BA118,RZ[Úroveň 5 (P0)],BB118,RZ[Úroveň 6 (P0)],BC118)</f>
        <v>0</v>
      </c>
      <c r="GF118" s="140">
        <f ca="1">SUMIFS(RZ[Úroveň 7 (P6)],RZ[0],AX118,RZ[Úroveň 2 (P0)],AY118,RZ[Úroveň 3 (P0)],AZ118,RZ[Úroveň 4 (P0)],BA118,RZ[Úroveň 5 (P0)],BB118,RZ[Úroveň 6 (P0)],BC118,RZ[Úroveň 7 (P0)],BD118)</f>
        <v>0</v>
      </c>
      <c r="GG118" s="140">
        <f ca="1">SUMIFS(RZ[Úroveň 8 (P6)],RZ[0],AX118,RZ[Úroveň 2 (P0)],AY118,RZ[Úroveň 3 (P0)],AZ118,RZ[Úroveň 4 (P0)],BA118,RZ[Úroveň 5 (P0)],BB118,RZ[Úroveň 6 (P0)],BC118,RZ[Úroveň 7 (P0)],BD118,RZ[Úroveň 8 (P0)],BE118)</f>
        <v>0</v>
      </c>
      <c r="GH118" s="140">
        <f ca="1">SUMIFS(RZ[Úroveň 9 (P6)],RZ[0],AX118,RZ[Úroveň 2 (P0)],AY118,RZ[Úroveň 3 (P0)],AZ118,RZ[Úroveň 4 (P0)],BA118,RZ[Úroveň 5 (P0)],BB118,RZ[Úroveň 6 (P0)],BC118,RZ[Úroveň 7 (P0)],BD118,RZ[Úroveň 8 (P0)],BE118,RZ[Úroveň 9 (P0)],BF118)</f>
        <v>0</v>
      </c>
      <c r="GI118" s="140">
        <f ca="1">SUMIFS(RZ[Úroveň 10 (P6)],RZ[0],AX118,RZ[Úroveň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GJ118" s="194">
        <f t="shared" ca="1" si="125"/>
        <v>2</v>
      </c>
      <c r="GK118" s="807">
        <f t="shared" si="65"/>
        <v>0</v>
      </c>
      <c r="GL118" s="808">
        <f t="shared" si="66"/>
        <v>1</v>
      </c>
      <c r="GM118" s="808">
        <f t="shared" si="67"/>
        <v>0</v>
      </c>
      <c r="GN118" s="808">
        <f t="shared" si="68"/>
        <v>0</v>
      </c>
      <c r="GO118" s="808">
        <f t="shared" si="69"/>
        <v>0</v>
      </c>
      <c r="GP118" s="808">
        <f t="shared" si="70"/>
        <v>0</v>
      </c>
      <c r="GQ118" s="808">
        <f t="shared" si="71"/>
        <v>0</v>
      </c>
      <c r="GR118" s="808">
        <f t="shared" si="72"/>
        <v>0</v>
      </c>
      <c r="GS118" s="808">
        <f t="shared" si="73"/>
        <v>0</v>
      </c>
      <c r="GT118" s="808">
        <f t="shared" si="74"/>
        <v>0</v>
      </c>
      <c r="GU118" s="809">
        <f ca="1">SUMIFS(RZ[Sloupec1],RZ[0],AX118)</f>
        <v>1</v>
      </c>
      <c r="GV118" s="809">
        <f ca="1">SUMIFS(RZ[Sloupec2],RZ[0],AX118,RZ[Úroveň 2 (P0)],AY118)</f>
        <v>1</v>
      </c>
      <c r="GW118" s="809">
        <f ca="1">SUMIFS(RZ[Sloupec3],RZ[0],AX118,RZ[Úroveň 2 (P0)],AY118,RZ[Úroveň 3 (P0)],AZ118)</f>
        <v>0</v>
      </c>
      <c r="GX118" s="809">
        <f ca="1">SUMIFS(RZ[Sloupec4],RZ[0],AX118,RZ[Úroveň 2 (P0)],AY118,RZ[Úroveň 3 (P0)],AZ118,RZ[Úroveň 4 (P0)],BA118)</f>
        <v>0</v>
      </c>
      <c r="GY118" s="809">
        <f ca="1">SUMIFS(RZ[Sloupec5],RZ[0],AX118,RZ[Úroveň 2 (P0)],AY118,RZ[Úroveň 3 (P0)],AZ118,RZ[Úroveň 4 (P0)],BA118,RZ[Úroveň 5 (P0)],BB118)</f>
        <v>0</v>
      </c>
      <c r="GZ118" s="809">
        <f ca="1">SUMIFS(RZ[Sloupec6],RZ[0],AX118,RZ[Úroveň 2 (P0)],AY118,RZ[Úroveň 3 (P0)],AZ118,RZ[Úroveň 4 (P0)],BA118,RZ[Úroveň 5 (P0)],BB118,RZ[Úroveň 6 (P0)],BC118)</f>
        <v>0</v>
      </c>
      <c r="HA118" s="809">
        <f ca="1">SUMIFS(RZ[Sloupec62],RZ[0],AX118,RZ[Úroveň 2 (P0)],AY118,RZ[Úroveň 3 (P0)],AZ118,RZ[Úroveň 4 (P0)],BA118,RZ[Úroveň 5 (P0)],BB118,RZ[Úroveň 6 (P0)],BC118,RZ[Úroveň 7 (P0)],BD118)</f>
        <v>0</v>
      </c>
      <c r="HB118" s="809">
        <f ca="1">SUMIFS(RZ[Sloupec63],RZ[0],AX118,RZ[Úroveň 2 (P0)],AY118,RZ[Úroveň 3 (P0)],AZ118,RZ[Úroveň 4 (P0)],BA118,RZ[Úroveň 5 (P0)],BB118,RZ[Úroveň 6 (P0)],BC118,RZ[Úroveň 7 (P0)],BD118,RZ[Úroveň 8 (P0)],BE118)</f>
        <v>0</v>
      </c>
      <c r="HC118" s="809">
        <f ca="1">SUMIFS(RZ[Sloupec64],RZ[0],AX118,RZ[Úroveň 2 (P0)],AY118,RZ[Úroveň 3 (P0)],AZ118,RZ[Úroveň 4 (P0)],BA118,RZ[Úroveň 5 (P0)],BB118,RZ[Úroveň 6 (P0)],BC118,RZ[Úroveň 7 (P0)],BD118,RZ[Úroveň 8 (P0)],BE118,RZ[Úroveň 9 (P0)],BF118)</f>
        <v>0</v>
      </c>
      <c r="HD118" s="809">
        <f ca="1">SUMIFS(RZ[Sloupec65],RZ[0],AX118,RZ[Úroveň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HE118" s="803">
        <f t="shared" ca="1" si="75"/>
        <v>1</v>
      </c>
      <c r="HF118" s="48" t="str">
        <f t="shared" si="76"/>
        <v/>
      </c>
      <c r="HG118" s="94" t="str">
        <f t="shared" si="77"/>
        <v/>
      </c>
      <c r="HH118" s="95" t="str">
        <f t="shared" si="78"/>
        <v>Vedení kabelu</v>
      </c>
      <c r="HI118" s="95" t="str">
        <f t="shared" si="79"/>
        <v/>
      </c>
      <c r="HJ118" s="96" t="str">
        <f t="shared" si="80"/>
        <v/>
      </c>
      <c r="HK118" s="96" t="str">
        <f t="shared" si="81"/>
        <v/>
      </c>
      <c r="HL118" s="96" t="str">
        <f t="shared" si="82"/>
        <v/>
      </c>
      <c r="HM118" s="96" t="str">
        <f t="shared" si="83"/>
        <v/>
      </c>
      <c r="HN118" s="96" t="str">
        <f t="shared" si="84"/>
        <v/>
      </c>
      <c r="HO118" s="96" t="str">
        <f t="shared" si="85"/>
        <v/>
      </c>
      <c r="HP118" s="96" t="str">
        <f t="shared" si="86"/>
        <v/>
      </c>
      <c r="HQ118" s="145" t="str">
        <f t="shared" si="87"/>
        <v>-</v>
      </c>
      <c r="HR118" s="175" t="str">
        <f t="shared" si="88"/>
        <v/>
      </c>
      <c r="HS118" s="173" t="str">
        <f t="shared" si="89"/>
        <v>Svařenec</v>
      </c>
      <c r="HT118" s="99">
        <f t="shared" si="90"/>
        <v>0</v>
      </c>
      <c r="HU118" s="99">
        <f t="shared" si="91"/>
        <v>0</v>
      </c>
      <c r="HV118" s="209">
        <f t="shared" si="92"/>
        <v>0</v>
      </c>
      <c r="HW118" s="47">
        <f t="shared" si="93"/>
        <v>0</v>
      </c>
      <c r="HX118" s="46">
        <f t="shared" si="94"/>
        <v>0</v>
      </c>
      <c r="HY118" s="149" t="str">
        <f t="shared" si="95"/>
        <v>S</v>
      </c>
      <c r="HZ118" s="263">
        <f t="shared" si="96"/>
        <v>0</v>
      </c>
      <c r="IA118" s="150">
        <f t="shared" si="97"/>
        <v>1</v>
      </c>
      <c r="IB118" s="319">
        <f t="shared" si="98"/>
        <v>0</v>
      </c>
      <c r="IC118" s="220">
        <f t="shared" si="99"/>
        <v>0</v>
      </c>
      <c r="ID118" s="200" t="str">
        <f t="shared" ca="1" si="100"/>
        <v>--</v>
      </c>
      <c r="IE118" s="201">
        <f t="shared" si="101"/>
        <v>0</v>
      </c>
      <c r="IF118" s="145">
        <f t="shared" si="102"/>
        <v>2</v>
      </c>
      <c r="IG118" s="216">
        <f t="shared" si="103"/>
        <v>0</v>
      </c>
      <c r="IH118" s="217">
        <f t="shared" si="126"/>
        <v>1</v>
      </c>
      <c r="II118" s="224">
        <f ca="1">IF(RZ[[#This Row],[Rozhodný sloupec indikativní ceny]]=1,"kg",IF($IW118=$JL$15,IF(JX118=0,JO118,JX118),IF($IW118=$KE$15,IF(KQ118=0,KH118,KQ118),IF($IW118=$KX$15,IF(LJ118=0,LA118,LJ118),IF($IW118=$LQ$15,IF(MC118=0,LT118,MC118),IF($IW118=$MJ$15,IF(NQ118=0,NH118,NQ118),0))))))</f>
        <v>0</v>
      </c>
      <c r="IJ118" s="224">
        <f ca="1">IF((BH118+OFFSET(BH118,1,1,1,1))=2,RZ[[#This Row],[Počet MJHR (P0)]],IF((BI118+OFFSET(BI118,1,1,1,1))=2,RZ[[#This Row],[Počet MJHR (P0)]],IF((BJ118+OFFSET(BJ118,1,1,1,1))=2,RZ[[#This Row],[Počet MJHR (P0)]],IF((BK118+OFFSET(BK118,1,1,1,1))=2,RZ[[#This Row],[Počet MJHR (P0)]],IF((BL118+OFFSET(BL118,1,1,1,1))=2,RZ[[#This Row],[Počet MJHR (P0)]],IF((BM118+OFFSET(BM118,1,1,1,1))=2,RZ[[#This Row],[Počet MJHR (P0)]],IF((BN118+OFFSET(BN118,1,1,1,1))=2,RZ[[#This Row],[Počet MJHR (P0)]],IF((BO118+OFFSET(BO118,1,1,1,1))=2,RZ[[#This Row],[Počet MJHR (P0)]],IF((BP118+OFFSET(BP118,1,1,1,1))=2,RZ[[#This Row],[Počet MJHR (P0)]],IF((BQ118+OFFSET(BQ118,1,1,1,1))=2,RZ[[#This Row],[Počet MJHR (P0)]],IF(RZ[[#This Row],[Měrná jednotka CR (MJCR) (P0)]]=RZ[[#This Row],[Měrná jednotka HR '[MJHR'] (P0)]],RZ[[#This Row],[Počet MJHR (P0)]],IF($IW118=$JL$15,JY118,IF($IW118=$KE$15,KR118,IF($IW118=$KX$15,LK118,IF($IW118=$LQ$15,MD118,IF($IW118=$MJ$15,NR118,0))))))))))))))))</f>
        <v>2</v>
      </c>
      <c r="IK1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8" s="330">
        <f ca="1">IF(AND(RZ[[#This Row],[Jednotková cena bez DPH '[cena/MJCR'] (P0)]]=0,RZ[[#This Row],[Indikativní jednotková cena '[CZK/kg'] (P1)]]&lt;&gt;0),1,0)</f>
        <v>0</v>
      </c>
      <c r="IM118" s="217">
        <f ca="1">VLOOKUP(RZ[[#This Row],[Kód položek]],INDIKAT_CENA,2,FALSE)</f>
        <v>0</v>
      </c>
      <c r="IN118" s="222">
        <f ca="1">IF(RZ[[#This Row],[Rozhodný sloupec indikativní ceny]]=1,RZ[[#This Row],[Indikativní jednotková cena '[CZK/kg'] (P1)]],RZ[[#This Row],[Jednotková cena bez DPH '[cena/MJCR'] (P0)]])</f>
        <v>0</v>
      </c>
      <c r="IO118" s="222">
        <f t="shared" si="127"/>
        <v>1</v>
      </c>
      <c r="IP118" s="223">
        <f ca="1">IF(RZ[[#This Row],[Rozhodný sloupec indikativní ceny]]=1,1,IF($IW118=$JL$15,KA118,IF($IW118=$KE$15,KT118,IF($IW118=$KX$15,LM118,IF($IW118=$LQ$15,MF118,IF($IW118=$MJ$15,NT118,0))))))</f>
        <v>0</v>
      </c>
      <c r="IQ118" s="225">
        <f ca="1">IF(RZ[[#This Row],[Jednotková cena bez DPH '[cena/MJCR'] (P1)]]="",0,IF(IP118=0,0,(RZ[[#This Row],[Jednotková cena bez DPH '[cena/MJCR'] (P1)]]*VLOOKUP(IP118,$BR$7:$BT$10,3))))</f>
        <v>0</v>
      </c>
      <c r="IR118" s="737"/>
      <c r="IS118" s="627">
        <f>IF(HY118=0,"",VLOOKUP(RZ[[#This Row],[Stav Projekce (P0)]],Vstupy!$E$11:'Vstupy'!$E$11:$H$17,4,FALSE))</f>
        <v>100</v>
      </c>
      <c r="IT118" s="628" t="str">
        <f>IF(RZ[[#This Row],[Stav Projekce (P0)]]=0,"",RZ[[#This Row],[Stav Projekce (P0)]])</f>
        <v>S</v>
      </c>
      <c r="IU118" s="628" t="str">
        <f>IF(RZ[[#This Row],[Stav Nákup (P0)]]=0,"",RZ[[#This Row],[Stav Nákup (P0)]])</f>
        <v/>
      </c>
      <c r="IV118" s="636" t="str">
        <f t="shared" si="128"/>
        <v/>
      </c>
      <c r="IW118" s="641">
        <v>1</v>
      </c>
      <c r="IX118" s="630"/>
      <c r="IY118" s="264"/>
      <c r="IZ118" s="776"/>
      <c r="JA118" s="100" t="s">
        <v>746</v>
      </c>
      <c r="JB118" s="100"/>
      <c r="JC118" s="100"/>
      <c r="JD118" s="100"/>
      <c r="JE118" s="100"/>
      <c r="JF118" s="100"/>
      <c r="JG118" s="100"/>
      <c r="JH118" s="100"/>
      <c r="JI118" s="100"/>
      <c r="JJ118" s="145" t="s">
        <v>231</v>
      </c>
      <c r="JK118" s="529"/>
      <c r="JL118" s="286" t="s">
        <v>763</v>
      </c>
      <c r="JM118" s="100"/>
      <c r="JN118" s="100"/>
      <c r="JO118" s="145"/>
      <c r="JP118" s="117">
        <v>2</v>
      </c>
      <c r="JQ118" s="117"/>
      <c r="JR118" s="148">
        <v>1</v>
      </c>
      <c r="JS118" s="145" t="s">
        <v>602</v>
      </c>
      <c r="JT118" s="631"/>
      <c r="JU118" s="148"/>
      <c r="JV118" s="154"/>
      <c r="JW118" s="145"/>
      <c r="JX118" s="210"/>
      <c r="JY118" s="117"/>
      <c r="JZ118" s="662"/>
      <c r="KA118" s="145"/>
      <c r="KB118" s="148"/>
      <c r="KC118" s="148"/>
      <c r="KD118" s="644"/>
      <c r="KE118" s="286"/>
      <c r="KF118" s="100"/>
      <c r="KG118" s="100"/>
      <c r="KH118" s="210"/>
      <c r="KI118" s="117"/>
      <c r="KJ118" s="117"/>
      <c r="KK118" s="148"/>
      <c r="KL118" s="145"/>
      <c r="KM118" s="632"/>
      <c r="KN118" s="148"/>
      <c r="KO118" s="154"/>
      <c r="KP118" s="154"/>
      <c r="KQ118" s="210"/>
      <c r="KR118" s="117"/>
      <c r="KS118" s="211"/>
      <c r="KT118" s="145"/>
      <c r="KU118" s="148"/>
      <c r="KV118" s="148"/>
      <c r="KW118" s="265"/>
      <c r="KX118" s="286"/>
      <c r="KY118" s="100"/>
      <c r="KZ118" s="100"/>
      <c r="LA118" s="210"/>
      <c r="LB118" s="117"/>
      <c r="LC118" s="117"/>
      <c r="LD118" s="148"/>
      <c r="LE118" s="145"/>
      <c r="LF118" s="632"/>
      <c r="LG118" s="148"/>
      <c r="LH118" s="154"/>
      <c r="LI118" s="154"/>
      <c r="LJ118" s="154"/>
      <c r="LK118" s="117"/>
      <c r="LL118" s="211"/>
      <c r="LM118" s="210"/>
      <c r="LN118" s="148"/>
      <c r="LO118" s="148"/>
      <c r="LP118" s="265"/>
      <c r="LQ118" s="286"/>
      <c r="LR118" s="100"/>
      <c r="LS118" s="100"/>
      <c r="LT118" s="210"/>
      <c r="LU118" s="117"/>
      <c r="LV118" s="117"/>
      <c r="LW118" s="148"/>
      <c r="LX118" s="145"/>
      <c r="LY118" s="632"/>
      <c r="LZ118" s="148"/>
      <c r="MA118" s="154"/>
      <c r="MB118" s="154"/>
      <c r="MC118" s="145"/>
      <c r="MD118" s="117"/>
      <c r="ME118" s="211"/>
      <c r="MF118" s="210"/>
      <c r="MG118" s="148"/>
      <c r="MH118" s="148"/>
      <c r="MI118" s="265"/>
      <c r="MJ118" s="647"/>
      <c r="MK118" s="264"/>
      <c r="ML118" s="153"/>
      <c r="MM118" s="153"/>
      <c r="MN118" s="153"/>
      <c r="MO118" s="153"/>
      <c r="MP118" s="153"/>
      <c r="MQ118" s="153"/>
      <c r="MR118" s="153"/>
      <c r="MS118" s="99"/>
      <c r="MT118" s="99"/>
      <c r="MU118" s="99"/>
      <c r="MV118" s="99"/>
      <c r="MW118" s="99"/>
      <c r="MX118" s="99"/>
      <c r="MY118" s="153"/>
      <c r="MZ118" s="153"/>
      <c r="NA118" s="153"/>
      <c r="NB118" s="153"/>
      <c r="NC118" s="153"/>
      <c r="ND118" s="153"/>
      <c r="NE118" s="153"/>
      <c r="NF118" s="153"/>
      <c r="NG118" s="153"/>
      <c r="NH118" s="145" t="str">
        <f t="shared" si="823"/>
        <v>ks</v>
      </c>
      <c r="NI118" s="779">
        <f>RZ[[#This Row],[Počet ks (K)]]</f>
        <v>0</v>
      </c>
      <c r="NJ118" s="210">
        <f>RZ[[#This Row],[Hmotnost '[kg/ks'] (K)]]</f>
        <v>0</v>
      </c>
      <c r="NK118" s="153"/>
      <c r="NL118" s="153"/>
      <c r="NM118" s="632"/>
      <c r="NN118" s="153"/>
      <c r="NO118" s="153"/>
      <c r="NP118" s="153"/>
      <c r="NQ118" s="153"/>
      <c r="NR118" s="153"/>
      <c r="NS118" s="153"/>
      <c r="NT118" s="153"/>
      <c r="NU118" s="153"/>
      <c r="NV118" s="148"/>
      <c r="NW118" s="633"/>
    </row>
    <row r="119" spans="2:387" ht="15.95" customHeight="1" x14ac:dyDescent="0.35">
      <c r="B119" s="118" t="str">
        <f t="shared" ref="B119:B122" si="932">IF(HF119=0,"",HF119)</f>
        <v/>
      </c>
      <c r="C1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9" s="262" t="str">
        <f t="shared" ref="D119:D122" si="933">IF(HG119&lt;&gt;"",HG119,IF(HH119&lt;&gt;"","  "&amp;HH119,IF(HI119&lt;&gt;"","  "&amp;"  "&amp;HI119,IF(HJ119&lt;&gt;"","  "&amp;"  "&amp;"  "&amp;HJ119,IF(HK119&lt;&gt;"","  "&amp;"  "&amp;"  "&amp;"  "&amp;HK119,IF(HL119&lt;&gt;"","  "&amp;"  "&amp;"  "&amp;"  "&amp;"  "&amp;HL119,IF(HM119&lt;&gt;"","  "&amp;"  "&amp;"  "&amp;"  "&amp;"  "&amp;"  "&amp;HM119,IF(HN119&lt;&gt;"","  "&amp;"  "&amp;"  "&amp;"  "&amp;"  "&amp;"  "&amp;"  "&amp;HN119,IF(HO119&lt;&gt;"","  "&amp;"  "&amp;"  "&amp;"  "&amp;"  "&amp;"  "&amp;"  "&amp;"  "&amp;HO119,IF(HP119&lt;&gt;"","  "&amp;"  "&amp;"  "&amp;"  "&amp;"  "&amp;"  "&amp;"  "&amp;"  "&amp;"  "&amp;HP119,0))))))))))</f>
        <v xml:space="preserve">    Trubkový oblouk</v>
      </c>
      <c r="E119" s="120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Row],[Kód položek (P2)]]))))))))))</f>
        <v>OKS2</v>
      </c>
      <c r="F119" s="791" t="str">
        <f t="shared" ref="F119:F122" si="934">IF(HS119=0,"N/A",HS119)</f>
        <v>N/A</v>
      </c>
      <c r="G119" s="792" t="str">
        <f t="shared" ref="G119:G122" si="935">IF(HT119=0,"",HT119)</f>
        <v>Zkroužená trubka</v>
      </c>
      <c r="H119" s="262" t="str">
        <f t="shared" ref="H119:H122" si="936">IF(HU119=0,"",HU119)</f>
        <v/>
      </c>
      <c r="I119" s="123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HR '[MJHR'] (P0)]]))))))))))</f>
        <v>ks</v>
      </c>
      <c r="J119" s="123">
        <f t="shared" ref="J119:J122" si="937">IF(IF119=0,"",IF119)</f>
        <v>4</v>
      </c>
      <c r="K119" s="793">
        <f>RZ[[#This Row],[Koeficient odhadu HR '[-'] (P1)]]</f>
        <v>1</v>
      </c>
      <c r="L119" s="124">
        <f ca="1">RZ[[#This Row],[Jednotková hmotnost s koef. '[kg/MJHR'] (P0)]]</f>
        <v>13.8</v>
      </c>
      <c r="M119" s="794">
        <f t="shared" ref="M119:M122" ca="1" si="938">IF(ISNUMBER(K119),L119/K119*(K119-1),0)</f>
        <v>0</v>
      </c>
      <c r="N119" s="125">
        <f t="shared" ref="N119:N122" ca="1" si="939">IF(ISNUMBER(J119),J119*L119,0)</f>
        <v>55.2</v>
      </c>
      <c r="O119" s="125">
        <f t="shared" ref="O119:O122" ca="1" si="940">IF(ISNUMBER(J119),J119*M119,0)</f>
        <v>0</v>
      </c>
      <c r="P119" s="126" t="str">
        <f t="shared" ref="P119:P122" si="941">IF(HR119=0,"",HR119)</f>
        <v/>
      </c>
      <c r="Q119" s="795">
        <f ca="1">RZ[[#This Row],[Počet MJHR v rozpadu (P0)]]</f>
        <v>8</v>
      </c>
      <c r="R119" s="439" t="str">
        <f t="shared" ref="R119:R122" si="942">IF(HV119&lt;&gt;0,HV119,"")</f>
        <v/>
      </c>
      <c r="S119" s="129" t="str">
        <f t="shared" ref="S119:S122" si="943">IF(HW119&lt;&gt;0,HW119,"")</f>
        <v/>
      </c>
      <c r="T119" s="126" t="str">
        <f t="shared" ref="T119:T122" si="944">IF(HX119=0,"",HX119)</f>
        <v/>
      </c>
      <c r="U119" s="126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CR (MJCR) (P0)]]))))))))))</f>
        <v>kg</v>
      </c>
      <c r="V119" s="575">
        <f t="shared" ref="V119:V122" ca="1" si="945">IF(IK119=0,"",IK119)</f>
        <v>55.2</v>
      </c>
      <c r="W119" s="322">
        <f>RZ[[#This Row],[Koeficient odhadu CR '[-'] (P1)]]</f>
        <v>1</v>
      </c>
      <c r="X119" s="440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Row],[Jednotková cena bez DPH '[cena/MJCR'] (P1)]]*RZ[[#This Row],[Koeficient odhadu CR '[-']]]))))))))))</f>
        <v>110</v>
      </c>
      <c r="Y119" s="440">
        <f t="shared" ref="Y119:Y122" ca="1" si="946">IF(ISNUMBER(X119),-X119/W119*(W119-1),0)</f>
        <v>0</v>
      </c>
      <c r="Z119" s="142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VLOOKUP(IP119,$BR$7:$BS$11,2,FALSE)))))))))))</f>
        <v>CZK</v>
      </c>
      <c r="AA119" s="909">
        <f t="shared" ref="AA119:AA122" ca="1" si="947">GJ119</f>
        <v>110.4</v>
      </c>
      <c r="AB119" s="910">
        <f ca="1">RZ[[#This Row],[Kumulovaný koeficient v rozpadu (P0)]]</f>
        <v>1</v>
      </c>
      <c r="AC119" s="261"/>
      <c r="AD119" s="796">
        <f ca="1">RZ[[#This Row],[Jednotková cena bez DPH '[cena/MJCR'] s koef. (P0)]]/RZ[[#This Row],[Koeficient odhadu CR '[-']]]*RZ[[#This Row],[Kumulovaný koeficient odhadu CR  '[-']]]</f>
        <v>110</v>
      </c>
      <c r="AE119" s="796">
        <f t="shared" ref="AE119:AE122" ca="1" si="948">IF(ISNUMBER(AA119),AA119*AD119,0)*IF(V119="",0,1)</f>
        <v>12144</v>
      </c>
      <c r="AF119" s="796">
        <f ca="1">-IF(ISNUMBER(AA119),RZ[[#This Row],[Celková cena bez DPH (1)]]-RZ[[#This Row],[Jednotková cena bez DPH '[cena/MJCR'] bez koef. (P0)]]*AA119,0)</f>
        <v>0</v>
      </c>
      <c r="AG1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9" s="261"/>
      <c r="AI119" s="796">
        <f ca="1">AD119/VLOOKUP($AJ$13,KURZY,3,FALSE)</f>
        <v>4.0740740740740744</v>
      </c>
      <c r="AJ119" s="796">
        <f ca="1">AE119/VLOOKUP($AJ$13,KURZY,3,FALSE)*IF(V119="",0,1)</f>
        <v>449.77777777777777</v>
      </c>
      <c r="AK119" s="796">
        <f ca="1">AF119/VLOOKUP($AJ$13,KURZY,3,FALSE)</f>
        <v>0</v>
      </c>
      <c r="AL119" s="753">
        <f ca="1">RZ[[#This Row],[Kilogramová cena bez DPH '[cena/kg'] (1)]]/$AK$13</f>
        <v>4.0740740740740744</v>
      </c>
      <c r="AM119" s="261"/>
      <c r="AN119" s="796">
        <f ca="1">AD119/VLOOKUP($AO$13,KURZY,3,FALSE)</f>
        <v>5.3140096618357493</v>
      </c>
      <c r="AO119" s="796">
        <f ca="1">AE119/VLOOKUP($AO$13,KURZY,3,FALSE)*IF(V119="",0,1)</f>
        <v>586.66666666666674</v>
      </c>
      <c r="AP119" s="796">
        <f ca="1">AF119/VLOOKUP($AO$13,KURZY,3,FALSE)</f>
        <v>0</v>
      </c>
      <c r="AQ119" s="753">
        <f ca="1">RZ[[#This Row],[Kilogramová cena bez DPH '[cena/kg'] (1)]]/$AP$13</f>
        <v>5.3140096618357493</v>
      </c>
      <c r="AR119" s="261"/>
      <c r="AS119" s="796">
        <f ca="1">AD119/VLOOKUP($AT$13,KURZY,3,FALSE)</f>
        <v>3.0087527352297592</v>
      </c>
      <c r="AT119" s="796">
        <f ca="1">AE119/VLOOKUP($AT$13,KURZY,3,FALSE)*IF(V119="",0,1)</f>
        <v>332.16630196936541</v>
      </c>
      <c r="AU119" s="789">
        <f ca="1">AF119/VLOOKUP($AT$13,KURZY,3,FALSE)</f>
        <v>0</v>
      </c>
      <c r="AV119" s="767">
        <f ca="1">RZ[[#This Row],[Kilogramová cena bez DPH '[cena/kg'] (1)]]/$AU$13</f>
        <v>3.0087527352297592</v>
      </c>
      <c r="AW119" s="165"/>
      <c r="AX119" s="911">
        <f t="shared" ref="AX119:AX122" ca="1" si="949">IF($BH119=0,IF(AY119&gt;0,OFFSET(AX119,-1,0,1,1),0),OFFSET(AX119,-1,0,1,1)+1)</f>
        <v>2</v>
      </c>
      <c r="AY119" s="111">
        <f t="shared" ref="AY119:AY122" ca="1" si="950">IF($BI119=0,IF(AZ119&gt;0,OFFSET(AY119,-1,0,1,1),0),OFFSET(AY119,-1,0,1,1)+1)</f>
        <v>10</v>
      </c>
      <c r="AZ119" s="111">
        <f t="shared" ref="AZ119:AZ122" ca="1" si="951">IF($BJ119=0,IF(BA119&gt;0,OFFSET(AZ119,-1,0,1,1),0),OFFSET(AZ119,-1,0,1,1)+1)</f>
        <v>1</v>
      </c>
      <c r="BA119" s="111">
        <f t="shared" ref="BA119:BA122" ca="1" si="952">IF($BK119=0,IF(BB119&gt;0,OFFSET(BA119,-1,0,1,1),0),OFFSET(BA119,-1,0,1,1)+1)</f>
        <v>0</v>
      </c>
      <c r="BB119" s="111">
        <f t="shared" ref="BB119:BB122" ca="1" si="953">IF($BL119=0,IF(BC119&gt;0,OFFSET(BB119,-1,0,1,1),0),OFFSET(BB119,-1,0,1,1)+1)</f>
        <v>0</v>
      </c>
      <c r="BC119" s="111">
        <f t="shared" ref="BC119:BC122" ca="1" si="954">IF($BM119=0,IF(BD119&gt;0,OFFSET(BC119,-1,0,1,1),0),OFFSET(BC119,-1,0,1,1)+1)</f>
        <v>0</v>
      </c>
      <c r="BD119" s="111">
        <f t="shared" ref="BD119:BD122" ca="1" si="955">IF($BN119=0,IF(BE119&gt;0,OFFSET(BD119,-1,0,1,1),0),OFFSET(BD119,-1,0,1,1)+1)</f>
        <v>0</v>
      </c>
      <c r="BE119" s="111">
        <f t="shared" ref="BE119:BE122" ca="1" si="956">IF($BO119=0,IF(BF119&gt;0,OFFSET(BE119,-1,0,1,1),0),OFFSET(BE119,-1,0,1,1)+1)</f>
        <v>0</v>
      </c>
      <c r="BF119" s="111">
        <f t="shared" ref="BF119:BF122" ca="1" si="957">IF($BP119=0,IF(BG119&gt;0,OFFSET(BF119,-1,0,1,1),0),OFFSET(BF119,-1,0,1,1)+1)</f>
        <v>0</v>
      </c>
      <c r="BG119" s="112">
        <f t="shared" ref="BG119:BG122" ca="1" si="958">IF($BQ119=0,0,OFFSET($BG119,-1,0,1,1)+1)</f>
        <v>0</v>
      </c>
      <c r="BH119" s="911">
        <f t="shared" ref="BH119:BH122" si="959">IF(HG119="",0,1)</f>
        <v>0</v>
      </c>
      <c r="BI119" s="111">
        <f t="shared" ref="BI119:BI122" si="960">IF(HH119="",0,1)</f>
        <v>0</v>
      </c>
      <c r="BJ119" s="111">
        <f t="shared" ref="BJ119:BJ122" si="961">IF(HI119="",0,1)</f>
        <v>1</v>
      </c>
      <c r="BK119" s="111">
        <f t="shared" ref="BK119:BK122" si="962">IF(HJ119="",0,1)</f>
        <v>0</v>
      </c>
      <c r="BL119" s="111">
        <f t="shared" ref="BL119:BL122" si="963">IF(HK119="",0,1)</f>
        <v>0</v>
      </c>
      <c r="BM119" s="111">
        <f t="shared" ref="BM119:BM122" si="964">IF(HL119="",0,1)</f>
        <v>0</v>
      </c>
      <c r="BN119" s="111">
        <f t="shared" ref="BN119:BN122" si="965">IF(HM119="",0,1)</f>
        <v>0</v>
      </c>
      <c r="BO119" s="111">
        <f t="shared" ref="BO119:BO122" si="966">IF(HN119="",0,1)</f>
        <v>0</v>
      </c>
      <c r="BP119" s="111">
        <f t="shared" ref="BP119:BP122" si="967">IF(HO119="",0,1)</f>
        <v>0</v>
      </c>
      <c r="BQ119" s="112">
        <f t="shared" ref="BQ119:BQ122" si="968">IF(HP119="",0,1)</f>
        <v>0</v>
      </c>
      <c r="BR119" s="132">
        <f ca="1">IF(OFFSET(AY119,1,0,1,1)&lt;&gt;0,RZ[[#This Row],[Koeficient odhadu HR '[-'] (P1)]]*$BH119*SUMIFS(RZ[Úroveň 2 s koef. (P2)],RZ[0],AX119),RZ[[#This Row],[Koeficient odhadu HR '[-'] (P1)]]*$BH119*$IG119)</f>
        <v>0</v>
      </c>
      <c r="BS119" s="186">
        <f ca="1">IF(OFFSET(AY119,1,0,1,1)&lt;&gt;0,$BH119*SUMIFS(RZ[Úroveň 2 bez koef. (P2)],RZ[0],AX119),$BH119*$IG119)</f>
        <v>0</v>
      </c>
      <c r="BT119" s="138">
        <f ca="1">RZ[[#This Row],[Úroveň 2 s koef. (P2a)]]*RZ[[#This Row],[Počet MJHR (P0)]]</f>
        <v>0</v>
      </c>
      <c r="BU119" s="138">
        <f ca="1">RZ[[#This Row],[Úroveň 2 bez koef. (P2a)]]*RZ[[#This Row],[Počet MJHR (P0)]]</f>
        <v>0</v>
      </c>
      <c r="BV119" s="138">
        <f ca="1">IF(OFFSET(AZ119,1,0,1,1)&lt;&gt;0,RZ[[#This Row],[Koeficient odhadu HR '[-'] (P1)]]*$BI119*SUMIFS(RZ[Úroveň 3 s koef. (P2)],RZ[0],AX119,RZ[Úroveň 2 (P0)],AY119),RZ[[#This Row],[Koeficient odhadu HR '[-'] (P1)]]*$BI119*$IG119)</f>
        <v>0</v>
      </c>
      <c r="BW119" s="138">
        <f ca="1">IF(OFFSET(AZ119,1,0,1,1)&lt;&gt;0,$BI119*SUMIFS(RZ[Úroveň 3 bez koef. (P2)],RZ[0],AX119,RZ[Úroveň 2 (P0)],AY119),$BI119*$IG119)</f>
        <v>0</v>
      </c>
      <c r="BX119" s="132">
        <f ca="1">RZ[[#This Row],[Úroveň 3 s koef. (P2a)]]*RZ[[#This Row],[Počet MJHR (P0)]]</f>
        <v>55.2</v>
      </c>
      <c r="BY119" s="132">
        <f ca="1">RZ[Úroveň 3 bez koef. (P2a)]*RZ[[#This Row],[Počet MJHR (P0)]]</f>
        <v>55.2</v>
      </c>
      <c r="BZ119" s="132">
        <f ca="1">IF(OFFSET(BA119,1,0,1,1)&lt;&gt;0,RZ[[#This Row],[Koeficient odhadu HR '[-'] (P1)]]*$BJ119*SUMIFS(RZ[Úroveň 4 s koef. (P2)],RZ[0],AX119,RZ[Úroveň 2 (P0)],AY119,RZ[Úroveň 3 (P0)],AZ119),RZ[[#This Row],[Koeficient odhadu HR '[-'] (P1)]]*$BJ119*$IG119)</f>
        <v>13.8</v>
      </c>
      <c r="CA119" s="132">
        <f ca="1">IF(OFFSET(BA119,1,0,1,1)&lt;&gt;0,$BJ119*SUMIFS(RZ[Úroveň 4 bez koef. (P2)],RZ[0],AX119,RZ[Úroveň 2 (P0)],AY119,RZ[Úroveň 3 (P0)],AZ119),$BJ119*$IG119)</f>
        <v>13.8</v>
      </c>
      <c r="CB119" s="138">
        <f ca="1">RZ[[#This Row],[Úroveň 4 s koef. (P2a)]]*RZ[[#This Row],[Počet MJHR (P0)]]</f>
        <v>0</v>
      </c>
      <c r="CC119" s="138">
        <f ca="1">RZ[Úroveň 4 bez koef. (P2a)]*RZ[[#This Row],[Počet MJHR (P0)]]</f>
        <v>0</v>
      </c>
      <c r="CD119" s="138">
        <f ca="1">IF(OFFSET(BB119,1,0,1,1)&lt;&gt;0,RZ[[#This Row],[Koeficient odhadu HR '[-'] (P1)]]*$BK119*SUMIFS(RZ[Úroveň 5 s koef. (P2)],RZ[0],AX119,RZ[Úroveň 2 (P0)],AY119,RZ[Úroveň 3 (P0)],AZ119,RZ[Úroveň 4 (P0)],BA119),RZ[[#This Row],[Koeficient odhadu HR '[-'] (P1)]]*$BK119*$IG119)</f>
        <v>0</v>
      </c>
      <c r="CE119" s="138">
        <f ca="1">IF(OFFSET(BB119,1,0,1,1)&lt;&gt;0,$BK119*SUMIFS(RZ[Úroveň 5 bez koef. (P2)],RZ[0],AX119,RZ[Úroveň 2 (P0)],AY119,RZ[Úroveň 3 (P0)],AZ119,RZ[Úroveň 4 (P0)],BA119),$BK119*$IG119)</f>
        <v>0</v>
      </c>
      <c r="CF119" s="132">
        <f ca="1">RZ[[#This Row],[Úroveň 5 s koef. (P2a)]]*RZ[[#This Row],[Počet MJHR (P0)]]</f>
        <v>0</v>
      </c>
      <c r="CG119" s="132">
        <f ca="1">RZ[Úroveň 5 bez koef. (P2a)]*RZ[[#This Row],[Počet MJHR (P0)]]</f>
        <v>0</v>
      </c>
      <c r="CH119" s="132">
        <f ca="1">IF(OFFSET(BC119,1,0,1,1)&lt;&gt;0,RZ[[#This Row],[Koeficient odhadu HR '[-'] (P1)]]*$BL119*SUMIFS(RZ[Úroveň 6 s koef. (P2)],RZ[0],AX119,RZ[Úroveň 2 (P0)],AY119,RZ[Úroveň 3 (P0)],AZ119,RZ[Úroveň 4 (P0)],BA119,RZ[Úroveň 5 (P0)],BB119),RZ[[#This Row],[Koeficient odhadu HR '[-'] (P1)]]*$BL119*$IG119)</f>
        <v>0</v>
      </c>
      <c r="CI119" s="132">
        <f ca="1">IF(OFFSET(BC119,1,0,1,1)&lt;&gt;0,$BL119*SUMIFS(RZ[Úroveň 6 bez koef. (P2)],RZ[0],AX119,RZ[Úroveň 2 (P0)],AY119,RZ[Úroveň 3 (P0)],AZ119,RZ[Úroveň 4 (P0)],BA119,RZ[Úroveň 5 (P0)],BB119),$BL119*$IG119)</f>
        <v>0</v>
      </c>
      <c r="CJ119" s="138">
        <f ca="1">RZ[[#This Row],[Úroveň 6 s koef. (P2a)]]*RZ[[#This Row],[Počet MJHR (P0)]]</f>
        <v>0</v>
      </c>
      <c r="CK119" s="138">
        <f ca="1">RZ[Úroveň 6 bez koef. (P2a)]*RZ[[#This Row],[Počet MJHR (P0)]]</f>
        <v>0</v>
      </c>
      <c r="CL119" s="138">
        <f ca="1">IF(OFFSET(BD119,1,0,1,1)&lt;&gt;0,RZ[[#This Row],[Koeficient odhadu HR '[-'] (P1)]]*$BM119*SUMIFS(RZ[Úroveň 7 s koef. (P2)],RZ[0],AX119,RZ[Úroveň 2 (P0)],AY119,RZ[Úroveň 3 (P0)],AZ119,RZ[Úroveň 4 (P0)],BA119,RZ[Úroveň 5 (P0)],BB119,RZ[Úroveň 6 (P0)],BC119),RZ[[#This Row],[Koeficient odhadu HR '[-'] (P1)]]*$BM119*$IG119)</f>
        <v>0</v>
      </c>
      <c r="CM119" s="138">
        <f ca="1">IF(OFFSET(BD119,1,0,1,1)&lt;&gt;0,$BM119*SUMIFS(RZ[Úroveň 7 bez koef. (P2)],RZ[0],AX119,RZ[Úroveň 2 (P0)],AY119,RZ[Úroveň 3 (P0)],AZ119,RZ[Úroveň 4 (P0)],BA119,RZ[Úroveň 5 (P0)],BB119,RZ[Úroveň 6 (P0)],BC119),$BM119*$IG119)</f>
        <v>0</v>
      </c>
      <c r="CN119" s="132">
        <f ca="1">RZ[[#This Row],[Úroveň 7 s koef. (P2a)]]*RZ[[#This Row],[Počet MJHR (P0)]]</f>
        <v>0</v>
      </c>
      <c r="CO119" s="132">
        <f ca="1">RZ[Úroveň 7 bez koef. (P2a)]*RZ[[#This Row],[Počet MJHR (P0)]]</f>
        <v>0</v>
      </c>
      <c r="CP119" s="132">
        <f ca="1">IF(OFFSET(BE119,1,0,1,1)&lt;&gt;0,RZ[[#This Row],[Koeficient odhadu HR '[-'] (P1)]]*$BN119*SUMIFS(RZ[Úroveň 8 s koef. (P2)],RZ[0],AX119,RZ[Úroveň 2 (P0)],AY119,RZ[Úroveň 3 (P0)],AZ119,RZ[Úroveň 4 (P0)],BA119,RZ[Úroveň 5 (P0)],BB119,RZ[Úroveň 6 (P0)],BC119,RZ[Úroveň 7 (P0)],BD119),RZ[[#This Row],[Koeficient odhadu HR '[-'] (P1)]]*$BN119*$IG119)</f>
        <v>0</v>
      </c>
      <c r="CQ119" s="132">
        <f ca="1">IF(OFFSET(BE119,1,0,1,1)&lt;&gt;0,$BN119*SUMIFS(RZ[Úroveň 8 bez koef. (P2)],RZ[0],AX119,RZ[Úroveň 2 (P0)],AY119,RZ[Úroveň 3 (P0)],AZ119,RZ[Úroveň 4 (P0)],BA119,RZ[Úroveň 5 (P0)],BB119,RZ[Úroveň 6 (P0)],BC119,RZ[Úroveň 7 (P0)],BD119),$BN119*$IG119)</f>
        <v>0</v>
      </c>
      <c r="CR119" s="138">
        <f ca="1">RZ[[#This Row],[Úroveň 8 s koef. (P2a)]]*RZ[[#This Row],[Počet MJHR (P0)]]</f>
        <v>0</v>
      </c>
      <c r="CS119" s="138">
        <f ca="1">RZ[Úroveň 8 bez koef. (P2a)]*RZ[[#This Row],[Počet MJHR (P0)]]</f>
        <v>0</v>
      </c>
      <c r="CT119" s="138">
        <f ca="1">IF(OFFSET(BF119,1,0,1,1)&lt;&gt;0,RZ[[#This Row],[Koeficient odhadu HR '[-'] (P1)]]*$BO119*SUMIFS(RZ[Úroveň 9 s koef. (P2)],RZ[0],AX119,RZ[Úroveň 2 (P0)],AY119,RZ[Úroveň 3 (P0)],AZ119,RZ[Úroveň 4 (P0)],BA119,RZ[Úroveň 5 (P0)],BB119,RZ[Úroveň 6 (P0)],BC119,RZ[Úroveň 7 (P0)],BD119,RZ[Úroveň 8 (P0)],BE119),RZ[[#This Row],[Koeficient odhadu HR '[-'] (P1)]]*$BO119*$IG119)</f>
        <v>0</v>
      </c>
      <c r="CU119" s="138">
        <f ca="1">IF(OFFSET(BF119,1,0,1,1)&lt;&gt;0,$BO119*SUMIFS(RZ[Úroveň 9 bez koef. (P2)],RZ[0],AX119,RZ[Úroveň 2 (P0)],AY119,RZ[Úroveň 3 (P0)],AZ119,RZ[Úroveň 4 (P0)],BA119,RZ[Úroveň 5 (P0)],BB119,RZ[Úroveň 6 (P0)],BC119,RZ[Úroveň 7 (P0)],BD119,RZ[Úroveň 8 (P0)],BE119),$BO119*$IG119)</f>
        <v>0</v>
      </c>
      <c r="CV119" s="132">
        <f ca="1">RZ[[#This Row],[Úroveň 9 s koef. (P2a)]]*RZ[[#This Row],[Počet MJHR (P0)]]</f>
        <v>0</v>
      </c>
      <c r="CW119" s="132">
        <f ca="1">RZ[Úroveň 9 bez koef. (P2a)]*RZ[[#This Row],[Počet MJHR (P0)]]</f>
        <v>0</v>
      </c>
      <c r="CX119" s="132">
        <f ca="1">IF(OFFSET(BG119,1,0,1,1)&lt;&gt;0,RZ[[#This Row],[Koeficient odhadu HR '[-'] (P1)]]*$BP119*SUMIFS(RZ[Úroveň 10 s koef. (P2)],RZ[0],AX119,RZ[Úroveň 2 (P0)],AY119,RZ[Úroveň 3 (P0)],AZ119,RZ[Úroveň 4 (P0)],BA119,RZ[Úroveň 5 (P0)],BB119,RZ[Úroveň 6 (P0)],BC119,RZ[Úroveň 7 (P0)],BD119,RZ[Úroveň 8 (P0)],BE119,RZ[Úroveň 9 (P0)],BF119),RZ[[#This Row],[Koeficient odhadu HR '[-'] (P1)]]*$BP119*$IG119)</f>
        <v>0</v>
      </c>
      <c r="CY119" s="132">
        <f ca="1">IF(OFFSET(BG119,1,0,1,1)&lt;&gt;0,$BP119*SUMIFS(RZ[Úroveň 10 bez koef. (P2)],RZ[0],AX119,RZ[Úroveň 2 (P0)],AY119,RZ[Úroveň 3 (P0)],AZ119,RZ[Úroveň 4 (P0)],BA119,RZ[Úroveň 5 (P0)],BB119,RZ[Úroveň 6 (P0)],BC119,RZ[Úroveň 7 (P0)],BD119,RZ[Úroveň 8 (P0)],BE119,RZ[Úroveň 9 (P0)],BF119),$BP119*$IG119)</f>
        <v>0</v>
      </c>
      <c r="CZ119" s="138">
        <f>RZ[[#This Row],[Úroveň 10 s koef. (P2a)]]*RZ[[#This Row],[Počet MJHR (P0)]]</f>
        <v>0</v>
      </c>
      <c r="DA119" s="138">
        <f>RZ[Úroveň 10 bez koef. (P2a)]*RZ[[#This Row],[Počet MJHR (P0)]]</f>
        <v>0</v>
      </c>
      <c r="DB119" s="138">
        <f>RZ[[#This Row],[Koeficient odhadu HR '[-'] (P1)]]*$BQ119*IG119</f>
        <v>0</v>
      </c>
      <c r="DC119" s="231">
        <f t="shared" ref="DC119:DC122" si="969">$BQ119*IG119</f>
        <v>0</v>
      </c>
      <c r="DD119" s="241">
        <f t="shared" ref="DD119:DD122" ca="1" si="970">IF(BH119=1,BR119,IF(BI119=1,BV119,IF(BJ119=1,BZ119,IF(BK119=1,CD119,IF(BL119=1,CH119,IF(BM119=1,CL119,IF(BN119=1,CP119,IF(BO119=1,CT119,IF(BP119=1,CX119,DB119)))))))))</f>
        <v>13.8</v>
      </c>
      <c r="DE119" s="229">
        <f t="shared" ref="DE119:DE122" ca="1" si="971">IF(BH119=1,BS119,IF(BI119=1,BW119,IF(BJ119=1,CA119,IF(BK119=1,CE119,IF(BL119=1,CI119,IF(BM119=1,CM119,IF(BN119=1,CQ119,IF(BO119=1,CU119,IF(BP119=1,CY119,DC119)))))))))</f>
        <v>13.8</v>
      </c>
      <c r="DF119" s="912">
        <f t="shared" ref="DF119:DF122" si="972">BH119*$IF119</f>
        <v>0</v>
      </c>
      <c r="DG119" s="913">
        <f t="shared" ref="DG119:DG122" si="973">BI119*$IF119</f>
        <v>0</v>
      </c>
      <c r="DH119" s="913">
        <f t="shared" ref="DH119:DH122" si="974">BJ119*$IF119</f>
        <v>4</v>
      </c>
      <c r="DI119" s="913">
        <f t="shared" ref="DI119:DI122" si="975">BK119*$IF119</f>
        <v>0</v>
      </c>
      <c r="DJ119" s="913">
        <f t="shared" ref="DJ119:DJ122" si="976">BL119*$IF119</f>
        <v>0</v>
      </c>
      <c r="DK119" s="913">
        <f t="shared" ref="DK119:DK122" si="977">BM119*$IF119</f>
        <v>0</v>
      </c>
      <c r="DL119" s="913">
        <f t="shared" ref="DL119:DL122" si="978">BN119*$IF119</f>
        <v>0</v>
      </c>
      <c r="DM119" s="913">
        <f t="shared" ref="DM119:DM122" si="979">BO119*$IF119</f>
        <v>0</v>
      </c>
      <c r="DN119" s="913">
        <f t="shared" ref="DN119:DN122" si="980">BP119*$IF119</f>
        <v>0</v>
      </c>
      <c r="DO119" s="913">
        <f t="shared" ref="DO119:DO122" si="981">BQ119*$IF119</f>
        <v>0</v>
      </c>
      <c r="DP119" s="914">
        <f ca="1">SUMIFS(RZ[Úroveň 1 (P4)],RZ[0],AX119)</f>
        <v>1</v>
      </c>
      <c r="DQ119" s="914">
        <f ca="1">SUMIFS(RZ[Úroveň 2 (P4)],RZ[0],AX119,RZ[Úroveň 2 (P0)],AY119)</f>
        <v>2</v>
      </c>
      <c r="DR119" s="914">
        <f ca="1">SUMIFS(RZ[Úroveň 3 (P4)],RZ[0],AX119,RZ[Úroveň 2 (P0)],AY119,RZ[Úroveň 3 (P0)],AZ119)</f>
        <v>4</v>
      </c>
      <c r="DS119" s="914">
        <f ca="1">SUMIFS(RZ[Úroveň 4 (P4)],RZ[0],AX119,RZ[Úroveň 2 (P0)],AY119,RZ[Úroveň 3 (P0)],AZ119,RZ[Úroveň 4 (P0)],BA119)</f>
        <v>0</v>
      </c>
      <c r="DT119" s="914">
        <f ca="1">SUMIFS(RZ[Úroveň 5 (P4)],RZ[0],AX119,RZ[Úroveň 2 (P0)],AY119,RZ[Úroveň 3 (P0)],AZ119,RZ[Úroveň 4 (P0)],BA119,RZ[Úroveň 5 (P0)],BB119)</f>
        <v>0</v>
      </c>
      <c r="DU119" s="914">
        <f ca="1">SUMIFS(RZ[Úroveň 6 (P4)],RZ[0],AX119,RZ[Úroveň 2 (P0)],AY119,RZ[Úroveň 3 (P0)],AZ119,RZ[Úroveň 4 (P0)],BA119,RZ[Úroveň 5 (P0)],BB119,RZ[Úroveň 6 (P0)],BC119)</f>
        <v>0</v>
      </c>
      <c r="DV119" s="914">
        <f ca="1">SUMIFS(RZ[Úroveň 7 (P4)],RZ[0],AX119,RZ[Úroveň 2 (P0)],AY119,RZ[Úroveň 3 (P0)],AZ119,RZ[Úroveň 4 (P0)],BA119,RZ[Úroveň 5 (P0)],BB119,RZ[Úroveň 6 (P0)],BC119,RZ[Úroveň 7 (P0)],BD119)</f>
        <v>0</v>
      </c>
      <c r="DW119" s="914">
        <f ca="1">SUMIFS(RZ[Úroveň 8 (P4)],RZ[0],AX119,RZ[Úroveň 2 (P0)],AY119,RZ[Úroveň 3 (P0)],AZ119,RZ[Úroveň 4 (P0)],BA119,RZ[Úroveň 5 (P0)],BB119,RZ[Úroveň 6 (P0)],BC119,RZ[Úroveň 7 (P0)],BD119,RZ[Úroveň 8 (P0)],BE119)</f>
        <v>0</v>
      </c>
      <c r="DX119" s="914">
        <f ca="1">SUMIFS(RZ[Úroveň 9 (P4)],RZ[0],AX119,RZ[Úroveň 2 (P0)],AY119,RZ[Úroveň 3 (P0)],AZ119,RZ[Úroveň 4 (P0)],BA119,RZ[Úroveň 5 (P0)],BB119,RZ[Úroveň 6 (P0)],BC119,RZ[Úroveň 7 (P0)],BD119,RZ[Úroveň 8 (P0)],BE119,RZ[Úroveň 9 (P0)],BF119)</f>
        <v>0</v>
      </c>
      <c r="DY119" s="914">
        <f ca="1">SUMIFS(RZ[Úroveň 10 (P4)],RZ[0],AX119,RZ[Úroveň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DZ119" s="915">
        <f t="shared" ref="DZ119:DZ122" ca="1" si="982">IF(DP119&lt;&gt;0,DP119,1)*IF(DQ119&lt;&gt;0,DQ119,1)*IF(DR119&lt;&gt;0,DR119,1)*IF(DS119&lt;&gt;0,DS119,1)*IF(DT119&lt;&gt;0,DT119,1)*IF(DU119&lt;&gt;0,DU119,1)*IF(DV119&lt;&gt;0,DV119,1)*IF(DW119&lt;&gt;0,DW119,1)*IF(DX119&lt;&gt;0,DX119,1)*IF(DY119&lt;&gt;0,DY119,1)</f>
        <v>8</v>
      </c>
      <c r="EA119" s="916">
        <f ca="1">RZ[[#This Row],[Jednotková hmotnost bez koef. '[kg/MJHR'] (P0)]]*RZ[[#This Row],[Počet MJHR v rozpadu (P0)]]</f>
        <v>110.4</v>
      </c>
      <c r="EB119" s="917">
        <f ca="1">IF(OFFSET(AY119,1,0,1,1)&lt;&gt;0,RZ[[#This Row],[Koeficient odhadu CR '[-'] (P1)]]*$BH119*SUMIFS(RZ[Úroveň 2 s koef. (P3)],RZ[0],AX119),RZ[[#This Row],[Koeficient odhadu CR '[-'] (P1)]]*$BH119*$IQ119)</f>
        <v>0</v>
      </c>
      <c r="EC119" s="191">
        <f ca="1">IF(OFFSET(AY119,1,0,1,1)&lt;&gt;0,$BH119*SUMIFS(RZ[Úroveň 2 bez koef. (P3)],RZ[0],AX119),$BH119*$IQ119)</f>
        <v>0</v>
      </c>
      <c r="ED119" s="140">
        <f ca="1">RZ[[#This Row],[Úroveň 2 s koef. (P3a)]]*RZ[[#This Row],[Počet MJCR (P0) pro "kg"]]</f>
        <v>0</v>
      </c>
      <c r="EE119" s="140">
        <f ca="1">RZ[Úroveň 2 bez koef. (P3a)]*RZ[[#This Row],[Počet MJCR (P0) pro "kg"]]</f>
        <v>0</v>
      </c>
      <c r="EF119" s="140">
        <f ca="1">IF(OFFSET(AZ119,1,0,1,1)&lt;&gt;0,RZ[[#This Row],[Koeficient odhadu CR '[-'] (P1)]]*$BI119*SUMIFS(RZ[Úroveň 3 s koef. (P3)],RZ[0],AX119,RZ[Úroveň 2 (P0)],AY119),RZ[[#This Row],[Koeficient odhadu CR '[-'] (P1)]]*$BI119*$IQ119)</f>
        <v>0</v>
      </c>
      <c r="EG119" s="140">
        <f ca="1">IF(OFFSET(AZ119,1,0,1,1)&lt;&gt;0,$BI119*SUMIFS(RZ[Úroveň 3 bez koef. (P3)],RZ[0],AX119,RZ[Úroveň 2 (P0)],AY119),$BI119*$IQ119)</f>
        <v>0</v>
      </c>
      <c r="EH119" s="135">
        <f ca="1">RZ[[#This Row],[Úroveň 3 s koef. (P3a)]]*RZ[[#This Row],[Počet MJCR (P0) pro "kg"]]</f>
        <v>6072</v>
      </c>
      <c r="EI119" s="135">
        <f ca="1">RZ[Úroveň 3 bez koef. (P3a)]*RZ[[#This Row],[Počet MJCR (P0) pro "kg"]]</f>
        <v>6072</v>
      </c>
      <c r="EJ119" s="135">
        <f ca="1">IF(OFFSET(BA119,1,0,1,1)&lt;&gt;0,RZ[[#This Row],[Koeficient odhadu CR '[-'] (P1)]]*$BJ119*SUMIFS(RZ[Úroveň 4 s koef. (P3)],RZ[0],AX119,RZ[Úroveň 2 (P0)],AY119,RZ[Úroveň 3 (P0)],AZ119),RZ[[#This Row],[Koeficient odhadu CR '[-'] (P1)]]*$BJ119*$IQ119)</f>
        <v>110</v>
      </c>
      <c r="EK119" s="135">
        <f ca="1">IF(OFFSET(BA119,1,0,1,1)&lt;&gt;0,$BJ119*SUMIFS(RZ[Úroveň 4 bez koef. (P3)],RZ[0],AX119,RZ[Úroveň 2 (P0)],AY119,RZ[Úroveň 3 (P0)],AZ119),$BJ119*$IQ119)</f>
        <v>110</v>
      </c>
      <c r="EL119" s="140">
        <f ca="1">RZ[[#This Row],[Úroveň 4 s koef. (P3a)]]*RZ[[#This Row],[Počet MJCR (P0) pro "kg"]]</f>
        <v>0</v>
      </c>
      <c r="EM119" s="140">
        <f ca="1">RZ[Úroveň 4 bez koef. (P3a)]*RZ[[#This Row],[Počet MJCR (P0) pro "kg"]]</f>
        <v>0</v>
      </c>
      <c r="EN119" s="140">
        <f ca="1">IF(OFFSET(BB119,1,0,1,1)&lt;&gt;0,RZ[[#This Row],[Koeficient odhadu CR '[-'] (P1)]]*$BK119*SUMIFS(RZ[Úroveň 5 s koef. (P3)],RZ[0],AX119,RZ[Úroveň 2 (P0)],AY119,RZ[Úroveň 3 (P0)],AZ119,RZ[Úroveň 4 (P0)],BA119),RZ[[#This Row],[Koeficient odhadu CR '[-'] (P1)]]*$BK119*$IQ119)</f>
        <v>0</v>
      </c>
      <c r="EO119" s="140">
        <f ca="1">IF(OFFSET(BB119,1,0,1,1)&lt;&gt;0,$BK119*SUMIFS(RZ[Úroveň 5 bez koef. (P3)],RZ[0],AX119,RZ[Úroveň 2 (P0)],AY119,RZ[Úroveň 3 (P0)],AZ119,RZ[Úroveň 4 (P0)],BA119),$BK119*$IQ119)</f>
        <v>0</v>
      </c>
      <c r="EP119" s="135">
        <f ca="1">RZ[[#This Row],[Úroveň 5 s koef. (P3a)]]*RZ[[#This Row],[Počet MJCR (P0) pro "kg"]]</f>
        <v>0</v>
      </c>
      <c r="EQ119" s="135">
        <f ca="1">RZ[Úroveň 5 bez koef. (P3a)]*RZ[[#This Row],[Počet MJCR (P0) pro "kg"]]</f>
        <v>0</v>
      </c>
      <c r="ER119" s="135">
        <f ca="1">IF(OFFSET(BC119,1,0,1,1)&lt;&gt;0,RZ[[#This Row],[Koeficient odhadu CR '[-'] (P1)]]*$BL119*SUMIFS(RZ[Úroveň 6 s koef. (P3)],RZ[0],AX119,RZ[Úroveň 2 (P0)],AY119,RZ[Úroveň 3 (P0)],AZ119,RZ[Úroveň 4 (P0)],BA119,RZ[Úroveň 5 (P0)],BB119),RZ[[#This Row],[Koeficient odhadu CR '[-'] (P1)]]*$BL119*$IQ119)</f>
        <v>0</v>
      </c>
      <c r="ES119" s="135">
        <f ca="1">IF(OFFSET(BC119,1,0,1,1)&lt;&gt;0,$BL119*SUMIFS(RZ[Úroveň 6 bez koef. (P3)],RZ[0],AX119,RZ[Úroveň 2 (P0)],AY119,RZ[Úroveň 3 (P0)],AZ119,RZ[Úroveň 4 (P0)],BA119,RZ[Úroveň 5 (P0)],BB119),$BL119*$IQ119)</f>
        <v>0</v>
      </c>
      <c r="ET119" s="140">
        <f ca="1">RZ[[#This Row],[Úroveň 6 s koef. (P3a)]]*RZ[[#This Row],[Počet MJCR (P0) pro "kg"]]</f>
        <v>0</v>
      </c>
      <c r="EU119" s="140">
        <f ca="1">RZ[Úroveň 6 bez koef. (P3a)]*RZ[[#This Row],[Počet MJCR (P0) pro "kg"]]</f>
        <v>0</v>
      </c>
      <c r="EV119" s="140">
        <f ca="1">IF(OFFSET(BD119,1,0,1,1)&lt;&gt;0,RZ[[#This Row],[Koeficient odhadu CR '[-'] (P1)]]*$BM119*SUMIFS(RZ[Úroveň 7 s koef. (P3)],RZ[0],AX119,RZ[Úroveň 2 (P0)],AY119,RZ[Úroveň 3 (P0)],AZ119,RZ[Úroveň 4 (P0)],BA119,RZ[Úroveň 5 (P0)],BB119,RZ[Úroveň 6 (P0)],BC119),RZ[[#This Row],[Koeficient odhadu CR '[-'] (P1)]]*$BM119*$IQ119)</f>
        <v>0</v>
      </c>
      <c r="EW119" s="140">
        <f ca="1">IF(OFFSET(BD119,1,0,1,1)&lt;&gt;0,$BM119*SUMIFS(RZ[Úroveň 7 bez koef. (P3)],RZ[0],AX119,RZ[Úroveň 2 (P0)],AY119,RZ[Úroveň 3 (P0)],AZ119,RZ[Úroveň 4 (P0)],BA119,RZ[Úroveň 5 (P0)],BB119,RZ[Úroveň 6 (P0)],BC119),$BM119*$IQ119)</f>
        <v>0</v>
      </c>
      <c r="EX119" s="135">
        <f ca="1">RZ[[#This Row],[Úroveň 7 s koef. (P3a)]]*RZ[[#This Row],[Počet MJCR (P0) pro "kg"]]</f>
        <v>0</v>
      </c>
      <c r="EY119" s="135">
        <f ca="1">RZ[Úroveň 7 bez koef. (P3a)]*RZ[[#This Row],[Počet MJCR (P0) pro "kg"]]</f>
        <v>0</v>
      </c>
      <c r="EZ119" s="135">
        <f ca="1">IF(OFFSET(BE119,1,0,1,1)&lt;&gt;0,RZ[[#This Row],[Koeficient odhadu CR '[-'] (P1)]]*$BN119*SUMIFS(RZ[Úroveň 8 s koef. (P3)],RZ[0],AX119,RZ[Úroveň 2 (P0)],AY119,RZ[Úroveň 3 (P0)],AZ119,RZ[Úroveň 4 (P0)],BA119,RZ[Úroveň 5 (P0)],BB119,RZ[Úroveň 6 (P0)],BC119,RZ[Úroveň 7 (P0)],BD119),RZ[[#This Row],[Koeficient odhadu CR '[-'] (P1)]]*$BN119*$IQ119)</f>
        <v>0</v>
      </c>
      <c r="FA119" s="135">
        <f ca="1">IF(OFFSET(BE119,1,0,1,1)&lt;&gt;0,$BN119*SUMIFS(RZ[Úroveň 8 bez koef. (P3)],RZ[0],AX119,RZ[Úroveň 2 (P0)],AY119,RZ[Úroveň 3 (P0)],AZ119,RZ[Úroveň 4 (P0)],BA119,RZ[Úroveň 5 (P0)],BB119,RZ[Úroveň 6 (P0)],BC119,RZ[Úroveň 7 (P0)],BD119),$BN119*$IQ119)</f>
        <v>0</v>
      </c>
      <c r="FB119" s="140">
        <f ca="1">RZ[[#This Row],[Úroveň 8 s koef. (P3a)]]*RZ[[#This Row],[Počet MJCR (P0) pro "kg"]]</f>
        <v>0</v>
      </c>
      <c r="FC119" s="140">
        <f ca="1">RZ[Úroveň 8 bez koef. (P3a)]*RZ[[#This Row],[Počet MJCR (P0) pro "kg"]]</f>
        <v>0</v>
      </c>
      <c r="FD119" s="140">
        <f ca="1">IF(OFFSET(BF119,1,0,1,1)&lt;&gt;0,RZ[[#This Row],[Koeficient odhadu CR '[-'] (P1)]]*$BO119*SUMIFS(RZ[Úroveň 9 s koef. (P3)],RZ[0],AX119,RZ[Úroveň 2 (P0)],AY119,RZ[Úroveň 3 (P0)],AZ119,RZ[Úroveň 4 (P0)],BA119,RZ[Úroveň 5 (P0)],BB119,RZ[Úroveň 6 (P0)],BC119,RZ[Úroveň 7 (P0)],BD119,RZ[Úroveň 8 (P0)],BE119),RZ[[#This Row],[Koeficient odhadu CR '[-'] (P1)]]*$BO119*$IQ119)</f>
        <v>0</v>
      </c>
      <c r="FE119" s="140">
        <f ca="1">IF(OFFSET(BF119,1,0,1,1)&lt;&gt;0,$BO119*SUMIFS(RZ[Úroveň 9 bez koef. (P3)],RZ[0],AX119,RZ[Úroveň 2 (P0)],AY119,RZ[Úroveň 3 (P0)],AZ119,RZ[Úroveň 4 (P0)],BA119,RZ[Úroveň 5 (P0)],BB119,RZ[Úroveň 6 (P0)],BC119,RZ[Úroveň 7 (P0)],BD119,RZ[Úroveň 8 (P0)],BE119),$BO119*$IQ119)</f>
        <v>0</v>
      </c>
      <c r="FF119" s="135">
        <f ca="1">RZ[[#This Row],[Úroveň 9 s koef. (P3a)]]*RZ[[#This Row],[Počet MJCR (P0) pro "kg"]]</f>
        <v>0</v>
      </c>
      <c r="FG119" s="135">
        <f ca="1">RZ[Úroveň 9 bez koef. (P3a)]*RZ[[#This Row],[Počet MJCR (P0) pro "kg"]]</f>
        <v>0</v>
      </c>
      <c r="FH119" s="135">
        <f ca="1">IF(OFFSET(BG119,1,0,1,1)&lt;&gt;0,RZ[[#This Row],[Koeficient odhadu CR '[-'] (P1)]]*$BP119*SUMIFS(RZ[Úroveň 10 s koef. (P3)],RZ[0],AX119,RZ[Úroveň 2 (P0)],AY119,RZ[Úroveň 3 (P0)],AZ119,RZ[Úroveň 4 (P0)],BA119,RZ[Úroveň 5 (P0)],BB119,RZ[Úroveň 6 (P0)],BC119,RZ[Úroveň 7 (P0)],BD119,RZ[Úroveň 8 (P0)],BE119,RZ[Úroveň 9 (P0)],BF119),RZ[[#This Row],[Koeficient odhadu CR '[-'] (P1)]]*$BP119*$IQ119)</f>
        <v>0</v>
      </c>
      <c r="FI119" s="135">
        <f ca="1">IF(OFFSET(BG119,1,0,1,1)&lt;&gt;0,$BP119*SUMIFS(RZ[Úroveň 10 bez koef. (P3)],RZ[0],AX119,RZ[Úroveň 2 (P0)],AY119,RZ[Úroveň 3 (P0)],AZ119,RZ[Úroveň 4 (P0)],BA119,RZ[Úroveň 5 (P0)],BB119,RZ[Úroveň 6 (P0)],BC119,RZ[Úroveň 7 (P0)],BD119,RZ[Úroveň 8 (P0)],BE119,RZ[Úroveň 9 (P0)],BF119),$BP119*$IQ119)</f>
        <v>0</v>
      </c>
      <c r="FJ119" s="140">
        <f ca="1">RZ[[#This Row],[Úroveň 10 s koef. (P3a)]]*RZ[[#This Row],[Počet MJCR (P0) pro "kg"]]</f>
        <v>0</v>
      </c>
      <c r="FK119" s="140">
        <f ca="1">RZ[Úroveň 10 bez koef. (P3a)]*RZ[[#This Row],[Počet MJCR (P0) pro "kg"]]</f>
        <v>0</v>
      </c>
      <c r="FL119" s="140">
        <f ca="1">RZ[[#This Row],[Koeficient odhadu CR '[-'] (P1)]]*$BQ119*IQ119</f>
        <v>0</v>
      </c>
      <c r="FM119" s="236">
        <f t="shared" ref="FM119:FM122" ca="1" si="983">$BQ119*IQ119</f>
        <v>0</v>
      </c>
      <c r="FN119" s="194">
        <f t="shared" ref="FN119:FN122" ca="1" si="984">IF(BH119=1,EB119,IF(BI119=1,EF119,IF(BJ119=1,EJ119,IF(BK119=1,EN119,IF(BL119=1,ER119,IF(BM119=1,EV119,IF(BN119=1,EZ119,IF(BO119=1,FD119,IF(BP119=1,FH119,FL119)))))))))</f>
        <v>110</v>
      </c>
      <c r="FO119" s="238">
        <f t="shared" ref="FO119:FO122" ca="1" si="985">IF(BH119=1,EC119,IF(BI119=1,EG119,IF(BJ119=1,EK119,IF(BK119=1,EO119,IF(BL119=1,ES119,IF(BM119=1,EW119,IF(BN119=1,FA119,IF(BO119=1,FE119,IF(BP119=1,FI119,FM119)))))))))</f>
        <v>110</v>
      </c>
      <c r="FP119" s="135">
        <f t="shared" ref="FP119:FP122" ca="1" si="986">BH119*$IK119</f>
        <v>0</v>
      </c>
      <c r="FQ119" s="135">
        <f t="shared" ref="FQ119:FQ122" ca="1" si="987">BI119*$IK119</f>
        <v>0</v>
      </c>
      <c r="FR119" s="135">
        <f t="shared" ref="FR119:FR122" ca="1" si="988">BJ119*$IK119</f>
        <v>55.2</v>
      </c>
      <c r="FS119" s="135">
        <f t="shared" ref="FS119:FS122" ca="1" si="989">BK119*$IK119</f>
        <v>0</v>
      </c>
      <c r="FT119" s="135">
        <f t="shared" ref="FT119:FT122" ca="1" si="990">BL119*$IK119</f>
        <v>0</v>
      </c>
      <c r="FU119" s="135">
        <f t="shared" ref="FU119:FU122" ca="1" si="991">BM119*$IK119</f>
        <v>0</v>
      </c>
      <c r="FV119" s="135">
        <f t="shared" ref="FV119:FV122" ca="1" si="992">BN119*$IK119</f>
        <v>0</v>
      </c>
      <c r="FW119" s="135">
        <f t="shared" ref="FW119:FW122" ca="1" si="993">BO119*$IK119</f>
        <v>0</v>
      </c>
      <c r="FX119" s="135">
        <f t="shared" ref="FX119:FX122" ca="1" si="994">BP119*$IK119</f>
        <v>0</v>
      </c>
      <c r="FY119" s="135">
        <f t="shared" ref="FY119:FY122" ca="1" si="995">BQ119*$IK119</f>
        <v>0</v>
      </c>
      <c r="FZ119" s="140">
        <f ca="1">SUMIFS(RZ[Úroveň 1 (P6)],RZ[0],AX119)</f>
        <v>1</v>
      </c>
      <c r="GA119" s="140">
        <f ca="1">SUMIFS(RZ[Úroveň 2 (P6)],RZ[0],AX119,RZ[Úroveň 2 (P0)],AY119)</f>
        <v>2</v>
      </c>
      <c r="GB119" s="140">
        <f ca="1">SUMIFS(RZ[Úroveň 3 (P6)],RZ[0],AX119,RZ[Úroveň 2 (P0)],AY119,RZ[Úroveň 3 (P0)],AZ119)</f>
        <v>55.2</v>
      </c>
      <c r="GC119" s="140">
        <f ca="1">SUMIFS(RZ[Úroveň 4 (P6)],RZ[0],AX119,RZ[Úroveň 2 (P0)],AY119,RZ[Úroveň 3 (P0)],AZ119,RZ[Úroveň 4 (P0)],BA119)</f>
        <v>0</v>
      </c>
      <c r="GD119" s="140">
        <f ca="1">SUMIFS(RZ[Úroveň 5 (P6)],RZ[0],AX119,RZ[Úroveň 2 (P0)],AY119,RZ[Úroveň 3 (P0)],AZ119,RZ[Úroveň 4 (P0)],BA119,RZ[Úroveň 5 (P0)],BB119)</f>
        <v>0</v>
      </c>
      <c r="GE119" s="140">
        <f ca="1">SUMIFS(RZ[Úroveň 6 (P6)],RZ[0],AX119,RZ[Úroveň 2 (P0)],AY119,RZ[Úroveň 3 (P0)],AZ119,RZ[Úroveň 4 (P0)],BA119,RZ[Úroveň 5 (P0)],BB119,RZ[Úroveň 6 (P0)],BC119)</f>
        <v>0</v>
      </c>
      <c r="GF119" s="140">
        <f ca="1">SUMIFS(RZ[Úroveň 7 (P6)],RZ[0],AX119,RZ[Úroveň 2 (P0)],AY119,RZ[Úroveň 3 (P0)],AZ119,RZ[Úroveň 4 (P0)],BA119,RZ[Úroveň 5 (P0)],BB119,RZ[Úroveň 6 (P0)],BC119,RZ[Úroveň 7 (P0)],BD119)</f>
        <v>0</v>
      </c>
      <c r="GG119" s="140">
        <f ca="1">SUMIFS(RZ[Úroveň 8 (P6)],RZ[0],AX119,RZ[Úroveň 2 (P0)],AY119,RZ[Úroveň 3 (P0)],AZ119,RZ[Úroveň 4 (P0)],BA119,RZ[Úroveň 5 (P0)],BB119,RZ[Úroveň 6 (P0)],BC119,RZ[Úroveň 7 (P0)],BD119,RZ[Úroveň 8 (P0)],BE119)</f>
        <v>0</v>
      </c>
      <c r="GH119" s="140">
        <f ca="1">SUMIFS(RZ[Úroveň 9 (P6)],RZ[0],AX119,RZ[Úroveň 2 (P0)],AY119,RZ[Úroveň 3 (P0)],AZ119,RZ[Úroveň 4 (P0)],BA119,RZ[Úroveň 5 (P0)],BB119,RZ[Úroveň 6 (P0)],BC119,RZ[Úroveň 7 (P0)],BD119,RZ[Úroveň 8 (P0)],BE119,RZ[Úroveň 9 (P0)],BF119)</f>
        <v>0</v>
      </c>
      <c r="GI119" s="140">
        <f ca="1">SUMIFS(RZ[Úroveň 10 (P6)],RZ[0],AX119,RZ[Úroveň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GJ119" s="918">
        <f t="shared" ref="GJ119:GJ122" ca="1" si="996">IF(FZ119&lt;&gt;0,FZ119,1)*IF(GA119&lt;&gt;0,GA119,1)*IF(GB119&lt;&gt;0,GB119,1)*IF(GC119&lt;&gt;0,GC119,1)*IF(GD119&lt;&gt;0,GD119,1)*IF(GE119&lt;&gt;0,GE119,1)*IF(GF119&lt;&gt;0,GF119,1)*IF(GG119&lt;&gt;0,GG119,1)*IF(GH119&lt;&gt;0,GH119,1)*IF(GI119&lt;&gt;0,GI119,1)</f>
        <v>110.4</v>
      </c>
      <c r="GK119" s="808">
        <f t="shared" ref="GK119:GK122" si="997">BH119*$IO119</f>
        <v>0</v>
      </c>
      <c r="GL119" s="808">
        <f t="shared" ref="GL119:GL122" si="998">BI119*$IO119</f>
        <v>0</v>
      </c>
      <c r="GM119" s="808">
        <f t="shared" ref="GM119:GM122" si="999">BJ119*$IO119</f>
        <v>1</v>
      </c>
      <c r="GN119" s="808">
        <f t="shared" ref="GN119:GN122" si="1000">BK119*$IO119</f>
        <v>0</v>
      </c>
      <c r="GO119" s="808">
        <f t="shared" ref="GO119:GO122" si="1001">BL119*$IO119</f>
        <v>0</v>
      </c>
      <c r="GP119" s="808">
        <f t="shared" ref="GP119:GP122" si="1002">BM119*$IO119</f>
        <v>0</v>
      </c>
      <c r="GQ119" s="808">
        <f t="shared" ref="GQ119:GQ122" si="1003">BN119*$IO119</f>
        <v>0</v>
      </c>
      <c r="GR119" s="808">
        <f t="shared" ref="GR119:GR122" si="1004">BO119*$IO119</f>
        <v>0</v>
      </c>
      <c r="GS119" s="808">
        <f t="shared" ref="GS119:GS122" si="1005">BP119*$IO119</f>
        <v>0</v>
      </c>
      <c r="GT119" s="808">
        <f t="shared" ref="GT119:GT122" si="1006">BQ119*$IO119</f>
        <v>0</v>
      </c>
      <c r="GU119" s="809">
        <f ca="1">SUMIFS(RZ[Sloupec1],RZ[0],AX119)</f>
        <v>1</v>
      </c>
      <c r="GV119" s="809">
        <f ca="1">SUMIFS(RZ[Sloupec2],RZ[0],AX119,RZ[Úroveň 2 (P0)],AY119)</f>
        <v>1</v>
      </c>
      <c r="GW119" s="809">
        <f ca="1">SUMIFS(RZ[Sloupec3],RZ[0],AX119,RZ[Úroveň 2 (P0)],AY119,RZ[Úroveň 3 (P0)],AZ119)</f>
        <v>1</v>
      </c>
      <c r="GX119" s="809">
        <f ca="1">SUMIFS(RZ[Sloupec4],RZ[0],AX119,RZ[Úroveň 2 (P0)],AY119,RZ[Úroveň 3 (P0)],AZ119,RZ[Úroveň 4 (P0)],BA119)</f>
        <v>0</v>
      </c>
      <c r="GY119" s="809">
        <f ca="1">SUMIFS(RZ[Sloupec5],RZ[0],AX119,RZ[Úroveň 2 (P0)],AY119,RZ[Úroveň 3 (P0)],AZ119,RZ[Úroveň 4 (P0)],BA119,RZ[Úroveň 5 (P0)],BB119)</f>
        <v>0</v>
      </c>
      <c r="GZ119" s="809">
        <f ca="1">SUMIFS(RZ[Sloupec6],RZ[0],AX119,RZ[Úroveň 2 (P0)],AY119,RZ[Úroveň 3 (P0)],AZ119,RZ[Úroveň 4 (P0)],BA119,RZ[Úroveň 5 (P0)],BB119,RZ[Úroveň 6 (P0)],BC119)</f>
        <v>0</v>
      </c>
      <c r="HA119" s="809">
        <f ca="1">SUMIFS(RZ[Sloupec62],RZ[0],AX119,RZ[Úroveň 2 (P0)],AY119,RZ[Úroveň 3 (P0)],AZ119,RZ[Úroveň 4 (P0)],BA119,RZ[Úroveň 5 (P0)],BB119,RZ[Úroveň 6 (P0)],BC119,RZ[Úroveň 7 (P0)],BD119)</f>
        <v>0</v>
      </c>
      <c r="HB119" s="809">
        <f ca="1">SUMIFS(RZ[Sloupec63],RZ[0],AX119,RZ[Úroveň 2 (P0)],AY119,RZ[Úroveň 3 (P0)],AZ119,RZ[Úroveň 4 (P0)],BA119,RZ[Úroveň 5 (P0)],BB119,RZ[Úroveň 6 (P0)],BC119,RZ[Úroveň 7 (P0)],BD119,RZ[Úroveň 8 (P0)],BE119)</f>
        <v>0</v>
      </c>
      <c r="HC119" s="809">
        <f ca="1">SUMIFS(RZ[Sloupec64],RZ[0],AX119,RZ[Úroveň 2 (P0)],AY119,RZ[Úroveň 3 (P0)],AZ119,RZ[Úroveň 4 (P0)],BA119,RZ[Úroveň 5 (P0)],BB119,RZ[Úroveň 6 (P0)],BC119,RZ[Úroveň 7 (P0)],BD119,RZ[Úroveň 8 (P0)],BE119,RZ[Úroveň 9 (P0)],BF119)</f>
        <v>0</v>
      </c>
      <c r="HD119" s="809">
        <f ca="1">SUMIFS(RZ[Sloupec65],RZ[0],AX119,RZ[Úroveň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HE119" s="919">
        <f t="shared" ref="HE119:HE122" ca="1" si="1007">IF(GU119&lt;&gt;0,GU119,1)*IF(GV119&lt;&gt;0,GV119,1)*IF(GW119&lt;&gt;0,GW119,1)*IF(GX119&lt;&gt;0,GX119,1)*IF(GY119&lt;&gt;0,GY119,1)*IF(GZ119&lt;&gt;0,GZ119,1)*IF(HA119&lt;&gt;0,HA119,1)*IF(HB119&lt;&gt;0,HB119,1)*IF(HC119&lt;&gt;0,HC119,1)*IF(HD119&lt;&gt;0,HD119,1)</f>
        <v>1</v>
      </c>
      <c r="HF119" s="920" t="str">
        <f t="shared" ref="HF119:HF122" si="1008">IF($IW119=$MJ$15,IF(MK119="","",MK119),IF(IY119="","",IY119))</f>
        <v/>
      </c>
      <c r="HG119" s="94" t="str">
        <f t="shared" ref="HG119:HG122" si="1009">IF($IW119=$MJ$15,IF($MJ119=1,$MS119,""),IF(IZ119="","",IZ119))</f>
        <v/>
      </c>
      <c r="HH119" s="95" t="str">
        <f t="shared" ref="HH119:HH122" si="1010">IF($IW119=$MJ$15,IF($MJ119=2,$MS119,""),IF(JA119="","",JA119))</f>
        <v/>
      </c>
      <c r="HI119" s="95" t="str">
        <f t="shared" ref="HI119:HI122" si="1011">IF($IW119=$MJ$15,IF($MJ119=3,$MS119,""),IF(JB119="","",JB119))</f>
        <v>Trubkový oblouk</v>
      </c>
      <c r="HJ119" s="96" t="str">
        <f t="shared" ref="HJ119:HJ122" si="1012">IF($IW119=$MJ$15,IF($MJ119=4,$MS119,""),IF(JC119="","",JC119))</f>
        <v/>
      </c>
      <c r="HK119" s="96" t="str">
        <f t="shared" ref="HK119:HK122" si="1013">IF($IW119=$MJ$15,IF($MJ119=5,$MS119,""),IF(JD119="","",JD119))</f>
        <v/>
      </c>
      <c r="HL119" s="96" t="str">
        <f t="shared" ref="HL119:HL122" si="1014">IF($IW119=$MJ$15,IF($MJ119=6,$MS119,""),IF(JE119="","",JE119))</f>
        <v/>
      </c>
      <c r="HM119" s="96" t="str">
        <f t="shared" ref="HM119:HM122" si="1015">IF($IW119=$MJ$15,IF($MJ119=7,$MS119,""),IF(JF119="","",JF119))</f>
        <v/>
      </c>
      <c r="HN119" s="96" t="str">
        <f t="shared" ref="HN119:HN122" si="1016">IF($IW119=$MJ$15,IF($MJ119=8,$MS119,""),IF(JG119="","",JG119))</f>
        <v/>
      </c>
      <c r="HO119" s="96" t="str">
        <f t="shared" ref="HO119:HO122" si="1017">IF($IW119=$MJ$15,IF($MJ119=9,$MS119,""),IF(JH119="","",JH119))</f>
        <v/>
      </c>
      <c r="HP119" s="96" t="str">
        <f t="shared" ref="HP119:HP122" si="1018">IF($IW119=$MJ$15,IF($MJ119=10,$MS119,""),IF(JI119="","",JI119))</f>
        <v/>
      </c>
      <c r="HQ119" s="145" t="str">
        <f t="shared" ref="HQ119:HQ122" si="1019">IF($IW119=$MJ$15,IF(ML119="","N/A",ML119),IF(JJ119="","N/A",JJ119))</f>
        <v>OKS2</v>
      </c>
      <c r="HR119" s="921" t="str">
        <f t="shared" ref="HR119:HR122" si="1020">IF($IW119=$MJ$15,IF(MM119="","",MM119),IF(JK119="","",JK119))</f>
        <v/>
      </c>
      <c r="HS119" s="173">
        <f t="shared" ref="HS119:HS122" si="1021">IF($IW119=$JL$15,JL119,IF($IW119=$KE$15,KE119,IF($IW119=$KX$15,KX119,IF($IW119=$LQ$15,LQ119,IF($IW119=$MJ$15,NE119,0)))))</f>
        <v>0</v>
      </c>
      <c r="HT119" s="100" t="str">
        <f t="shared" ref="HT119:HT122" si="1022">IF($IW119=$JL$15,JM119,IF($IW119=$KE$15,KF119,IF($IW119=$KX$15,KY119,IF($IW119=$LQ$15,LR119,IF($IW119=$MJ$15,NF119,0)))))</f>
        <v>Zkroužená trubka</v>
      </c>
      <c r="HU119" s="100">
        <f t="shared" ref="HU119:HU122" si="1023">IF($IW119=$JL$15,JN119,IF($IW119=$KE$15,KG119,IF($IW119=$KX$15,KZ119,IF($IW119=$LQ$15,LS119,IF($IW119=$MJ$15,NG119,0)))))</f>
        <v>0</v>
      </c>
      <c r="HV119" s="908">
        <f t="shared" ref="HV119:HV122" si="1024">IF($IW119=$JL$15,JU119,IF($IW119=$KE$15,KN119,IF($IW119=$KX$15,LG119,IF($IW119=$LQ$15,LZ119,IF($IW119=$MJ$15,NN119,0)))))</f>
        <v>0</v>
      </c>
      <c r="HW119" s="922">
        <f t="shared" ref="HW119:HW122" si="1025">IF($IW119=$JL$15,JV119,IF($IW119=$KE$15,KO119,IF($IW119=$KX$15,LH119,IF($IW119=$LQ$15,MA119,IF($IW119=$MJ$15,NO119,0)))))</f>
        <v>0</v>
      </c>
      <c r="HX119" s="224">
        <f t="shared" ref="HX119:HX122" si="1026">IF($IW119=$JL$15,JW119,IF($IW119=$KE$15,KP119,IF($IW119=$KX$15,LI119,IF($IW119=$LQ$15,MB119,IF($IW119=$MJ$15,NP119,0)))))</f>
        <v>0</v>
      </c>
      <c r="HY119" s="263" t="str">
        <f t="shared" ref="HY119:HY122" si="1027">IF($IW119=$JL$15,JS119,IF($IW119=$KE$15,KL119,IF($IW119=$KX$15,LE119,IF($IW119=$LQ$15,LX119,IF($IW119=$MJ$15,NL119,0)))))</f>
        <v>S</v>
      </c>
      <c r="HZ119" s="263">
        <f t="shared" ref="HZ119:HZ122" si="1028">IF($IW119=$JL$15,KC119,IF($IW119=$KE$15,KV119,IF($IW119=$KX$15,LO119,IF($IW119=$LQ$15,MH119,IF($IW119=$MJ$15,NV119,0)))))</f>
        <v>0</v>
      </c>
      <c r="IA119" s="150">
        <f t="shared" ref="IA119:IA122" si="1029">IF($IW119=$JL$15,JR119,IF($IW119=$KE$15,KK119,IF($IW119=$KX$15,LD119,IF($IW119=$LQ$15,LW119,IF($IW119=$MJ$15,NK119,0)))))</f>
        <v>1</v>
      </c>
      <c r="IB119" s="319">
        <f t="shared" ref="IB119:IB122" si="1030">IF($IW119=$JL$15,JZ119,IF($IW119=$KE$15,KS119,IF($IW119=$KX$15,LL119,IF($IW119=$LQ$15,ME119,IF($IW119=$MJ$15,NS119,0)))))</f>
        <v>0</v>
      </c>
      <c r="IC119" s="923">
        <f t="shared" ref="IC119:IC122" si="1031">IF($IW119=$JL$15,KB119,IF($IW119=$KE$15,KU119,IF($IW119=$KX$15,LN119,IF($IW119=$LQ$15,MG119,IF($IW119=$MJ$15,NU119,0)))))</f>
        <v>0</v>
      </c>
      <c r="ID119" s="924" t="str">
        <f t="shared" ref="ID119:ID122" ca="1" si="1032">IF((BH119+OFFSET(BH119,1,1,1,1))=2,"--",IF((BI119+OFFSET(BI119,1,1,1,1))=2,"--",IF((BJ119+OFFSET(BJ119,1,1,1,1))=2,"--",IF((BK119+OFFSET(BK119,1,1,1,1))=2,"--",IF((BL119+OFFSET(BL119,1,1,1,1))=2,"--",IF((BM119+OFFSET(BM119,1,1,1,1))=2,"--",IF((BN119+OFFSET(BN119,1,1,1,1))=2,"--",IF((BO119+OFFSET(BO119,1,1,1,1))=2,"--",IF((BP119+OFFSET(BP119,1,1,1,1))=2,"--",IF((BQ119+OFFSET(BQ119,1,1,1,1))=2,"--","OK"))))))))))</f>
        <v>OK</v>
      </c>
      <c r="IE119" s="201" t="str">
        <f t="shared" ref="IE119:IE122" si="1033">IF($IW119=$JL$15,JO119,IF($IW119=$KE$15,KH119,IF($IW119=$KX$15,LA119,IF($IW119=$LQ$15,LT119,IF($IW119=$MJ$15,NH119,0)))))</f>
        <v>ks</v>
      </c>
      <c r="IF119" s="145">
        <f t="shared" ref="IF119:IF122" si="1034">IF($IW119=$JL$15,JP119,IF($IW119=$KE$15,KI119,IF($IW119=$KX$15,LB119,IF($IW119=$LQ$15,LU119,IF($IW119=$MJ$15,NI119,0)))))</f>
        <v>4</v>
      </c>
      <c r="IG119" s="216">
        <f t="shared" ref="IG119:IG122" si="1035">IF($IW119=$JL$15,JQ119,IF($IW119=$KE$15,KJ119,IF($IW119=$KX$15,LC119,IF($IW119=$LQ$15,LV119,IF($IW119=$MJ$15,NJ119,0)))))</f>
        <v>13.8</v>
      </c>
      <c r="IH119" s="217">
        <f t="shared" ref="IH119:IH122" si="1036">IF(IA119=0,1,IA119)</f>
        <v>1</v>
      </c>
      <c r="II119" s="224" t="str">
        <f ca="1">IF(RZ[[#This Row],[Rozhodný sloupec indikativní ceny]]=1,"kg",IF($IW119=$JL$15,IF(JX119=0,JO119,JX119),IF($IW119=$KE$15,IF(KQ119=0,KH119,KQ119),IF($IW119=$KX$15,IF(LJ119=0,LA119,LJ119),IF($IW119=$LQ$15,IF(MC119=0,LT119,MC119),IF($IW119=$MJ$15,IF(NQ119=0,NH119,NQ119),0))))))</f>
        <v>kg</v>
      </c>
      <c r="IJ119" s="224">
        <f ca="1">IF((BH119+OFFSET(BH119,1,1,1,1))=2,RZ[[#This Row],[Počet MJHR (P0)]],IF((BI119+OFFSET(BI119,1,1,1,1))=2,RZ[[#This Row],[Počet MJHR (P0)]],IF((BJ119+OFFSET(BJ119,1,1,1,1))=2,RZ[[#This Row],[Počet MJHR (P0)]],IF((BK119+OFFSET(BK119,1,1,1,1))=2,RZ[[#This Row],[Počet MJHR (P0)]],IF((BL119+OFFSET(BL119,1,1,1,1))=2,RZ[[#This Row],[Počet MJHR (P0)]],IF((BM119+OFFSET(BM119,1,1,1,1))=2,RZ[[#This Row],[Počet MJHR (P0)]],IF((BN119+OFFSET(BN119,1,1,1,1))=2,RZ[[#This Row],[Počet MJHR (P0)]],IF((BO119+OFFSET(BO119,1,1,1,1))=2,RZ[[#This Row],[Počet MJHR (P0)]],IF((BP119+OFFSET(BP119,1,1,1,1))=2,RZ[[#This Row],[Počet MJHR (P0)]],IF((BQ119+OFFSET(BQ119,1,1,1,1))=2,RZ[[#This Row],[Počet MJHR (P0)]],IF(RZ[[#This Row],[Měrná jednotka CR (MJCR) (P0)]]=RZ[[#This Row],[Měrná jednotka HR '[MJHR'] (P0)]],RZ[[#This Row],[Počet MJHR (P0)]],IF($IW119=$JL$15,JY119,IF($IW119=$KE$15,KR119,IF($IW119=$KX$15,LK119,IF($IW119=$LQ$15,MD119,IF($IW119=$MJ$15,NR119,0))))))))))))))))</f>
        <v>0</v>
      </c>
      <c r="IK1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55.2</v>
      </c>
      <c r="IL119" s="145">
        <f ca="1">IF(AND(RZ[[#This Row],[Jednotková cena bez DPH '[cena/MJCR'] (P0)]]=0,RZ[[#This Row],[Indikativní jednotková cena '[CZK/kg'] (P1)]]&lt;&gt;0),1,0)</f>
        <v>1</v>
      </c>
      <c r="IM119" s="217">
        <f ca="1">VLOOKUP(RZ[[#This Row],[Kód položek]],INDIKAT_CENA,2,FALSE)</f>
        <v>110</v>
      </c>
      <c r="IN119" s="222">
        <f ca="1">IF(RZ[[#This Row],[Rozhodný sloupec indikativní ceny]]=1,RZ[[#This Row],[Indikativní jednotková cena '[CZK/kg'] (P1)]],RZ[[#This Row],[Jednotková cena bez DPH '[cena/MJCR'] (P0)]])</f>
        <v>110</v>
      </c>
      <c r="IO119" s="222">
        <f t="shared" ref="IO119:IO122" si="1037">IF(IC119=0,1,IC119)</f>
        <v>1</v>
      </c>
      <c r="IP119" s="224">
        <f ca="1">IF(RZ[[#This Row],[Rozhodný sloupec indikativní ceny]]=1,1,IF($IW119=$JL$15,KA119,IF($IW119=$KE$15,KT119,IF($IW119=$KX$15,LM119,IF($IW119=$LQ$15,MF119,IF($IW119=$MJ$15,NT119,0))))))</f>
        <v>1</v>
      </c>
      <c r="IQ119" s="225">
        <f ca="1">IF(RZ[[#This Row],[Jednotková cena bez DPH '[cena/MJCR'] (P1)]]="",0,IF(IP119=0,0,(RZ[[#This Row],[Jednotková cena bez DPH '[cena/MJCR'] (P1)]]*VLOOKUP(IP119,$BR$7:$BT$10,3))))</f>
        <v>110</v>
      </c>
      <c r="IR119" s="737"/>
      <c r="IS119" s="627">
        <f>IF(HY119=0,"",VLOOKUP(RZ[[#This Row],[Stav Projekce (P0)]],Vstupy!$E$11:'Vstupy'!$E$11:$H$17,4,FALSE))</f>
        <v>100</v>
      </c>
      <c r="IT119" s="925" t="str">
        <f>IF(RZ[[#This Row],[Stav Projekce (P0)]]=0,"",RZ[[#This Row],[Stav Projekce (P0)]])</f>
        <v>S</v>
      </c>
      <c r="IU119" s="925" t="str">
        <f>IF(RZ[[#This Row],[Stav Nákup (P0)]]=0,"",RZ[[#This Row],[Stav Nákup (P0)]])</f>
        <v/>
      </c>
      <c r="IV119" s="926" t="str">
        <f t="shared" ref="IV119:IV122" si="1038">IF(HV119=0,"",HV119)</f>
        <v/>
      </c>
      <c r="IW119" s="641">
        <v>1</v>
      </c>
      <c r="IX119" s="630"/>
      <c r="IY119" s="264"/>
      <c r="IZ119" s="648"/>
      <c r="JA119" s="100"/>
      <c r="JB119" s="100" t="s">
        <v>759</v>
      </c>
      <c r="JC119" s="100"/>
      <c r="JD119" s="100"/>
      <c r="JE119" s="100"/>
      <c r="JF119" s="100"/>
      <c r="JG119" s="100"/>
      <c r="JH119" s="100"/>
      <c r="JI119" s="100"/>
      <c r="JJ119" s="145" t="s">
        <v>768</v>
      </c>
      <c r="JK119" s="529"/>
      <c r="JL119" s="286"/>
      <c r="JM119" s="100" t="s">
        <v>761</v>
      </c>
      <c r="JN119" s="100"/>
      <c r="JO119" s="145" t="s">
        <v>35</v>
      </c>
      <c r="JP119" s="117">
        <v>4</v>
      </c>
      <c r="JQ119" s="117">
        <v>13.8</v>
      </c>
      <c r="JR119" s="148">
        <v>1</v>
      </c>
      <c r="JS119" s="145" t="s">
        <v>602</v>
      </c>
      <c r="JT119" s="631"/>
      <c r="JU119" s="148"/>
      <c r="JV119" s="154"/>
      <c r="JW119" s="145"/>
      <c r="JX119" s="210"/>
      <c r="JY119" s="117"/>
      <c r="JZ119" s="662"/>
      <c r="KA119" s="145"/>
      <c r="KB119" s="148"/>
      <c r="KC119" s="148"/>
      <c r="KD119" s="644"/>
      <c r="KE119" s="286"/>
      <c r="KF119" s="100"/>
      <c r="KG119" s="100"/>
      <c r="KH119" s="210"/>
      <c r="KI119" s="117"/>
      <c r="KJ119" s="117"/>
      <c r="KK119" s="148"/>
      <c r="KL119" s="145"/>
      <c r="KM119" s="632"/>
      <c r="KN119" s="148"/>
      <c r="KO119" s="154"/>
      <c r="KP119" s="154"/>
      <c r="KQ119" s="210"/>
      <c r="KR119" s="117"/>
      <c r="KS119" s="211"/>
      <c r="KT119" s="145"/>
      <c r="KU119" s="148"/>
      <c r="KV119" s="148"/>
      <c r="KW119" s="265"/>
      <c r="KX119" s="286"/>
      <c r="KY119" s="100"/>
      <c r="KZ119" s="100"/>
      <c r="LA119" s="210"/>
      <c r="LB119" s="117"/>
      <c r="LC119" s="117"/>
      <c r="LD119" s="148"/>
      <c r="LE119" s="145"/>
      <c r="LF119" s="632"/>
      <c r="LG119" s="148"/>
      <c r="LH119" s="154"/>
      <c r="LI119" s="154"/>
      <c r="LJ119" s="154"/>
      <c r="LK119" s="117"/>
      <c r="LL119" s="211"/>
      <c r="LM119" s="210"/>
      <c r="LN119" s="148"/>
      <c r="LO119" s="148"/>
      <c r="LP119" s="265"/>
      <c r="LQ119" s="286"/>
      <c r="LR119" s="100"/>
      <c r="LS119" s="100"/>
      <c r="LT119" s="210"/>
      <c r="LU119" s="117"/>
      <c r="LV119" s="117"/>
      <c r="LW119" s="148"/>
      <c r="LX119" s="145"/>
      <c r="LY119" s="632"/>
      <c r="LZ119" s="148"/>
      <c r="MA119" s="154"/>
      <c r="MB119" s="154"/>
      <c r="MC119" s="145"/>
      <c r="MD119" s="117"/>
      <c r="ME119" s="211"/>
      <c r="MF119" s="210"/>
      <c r="MG119" s="148"/>
      <c r="MH119" s="148"/>
      <c r="MI119" s="265"/>
      <c r="MJ119" s="647"/>
      <c r="MK119" s="264"/>
      <c r="ML119" s="153"/>
      <c r="MM119" s="153"/>
      <c r="MN119" s="153"/>
      <c r="MO119" s="153"/>
      <c r="MP119" s="153"/>
      <c r="MQ119" s="153"/>
      <c r="MR119" s="153"/>
      <c r="MS119" s="99"/>
      <c r="MT119" s="99"/>
      <c r="MU119" s="99"/>
      <c r="MV119" s="99"/>
      <c r="MW119" s="99"/>
      <c r="MX119" s="99"/>
      <c r="MY119" s="153"/>
      <c r="MZ119" s="153"/>
      <c r="NA119" s="153"/>
      <c r="NB119" s="153"/>
      <c r="NC119" s="153"/>
      <c r="ND119" s="153"/>
      <c r="NE119" s="153"/>
      <c r="NF119" s="153"/>
      <c r="NG119" s="153"/>
      <c r="NH119" s="330" t="str">
        <f t="shared" ref="NH119:NH122" si="1039">"ks"</f>
        <v>ks</v>
      </c>
      <c r="NI119" s="797">
        <f>RZ[[#This Row],[Počet ks (K)]]</f>
        <v>0</v>
      </c>
      <c r="NJ119" s="798">
        <f>RZ[[#This Row],[Hmotnost '[kg/ks'] (K)]]</f>
        <v>0</v>
      </c>
      <c r="NK119" s="153"/>
      <c r="NL119" s="153"/>
      <c r="NM119" s="632"/>
      <c r="NN119" s="153"/>
      <c r="NO119" s="153"/>
      <c r="NP119" s="153"/>
      <c r="NQ119" s="153"/>
      <c r="NR119" s="153"/>
      <c r="NS119" s="153"/>
      <c r="NT119" s="153"/>
      <c r="NU119" s="153"/>
      <c r="NV119" s="148"/>
      <c r="NW119" s="633"/>
    </row>
    <row r="120" spans="2:387" ht="15.95" customHeight="1" x14ac:dyDescent="0.35">
      <c r="B120" s="118" t="str">
        <f t="shared" si="932"/>
        <v/>
      </c>
      <c r="C1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0" s="262" t="str">
        <f t="shared" si="933"/>
        <v xml:space="preserve">    Příčka</v>
      </c>
      <c r="E120" s="120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Row],[Kód položek (P2)]]))))))))))</f>
        <v>OKS3</v>
      </c>
      <c r="F120" s="791" t="str">
        <f t="shared" si="934"/>
        <v>N/A</v>
      </c>
      <c r="G120" s="792" t="str">
        <f t="shared" si="935"/>
        <v>Ohnutý plech</v>
      </c>
      <c r="H120" s="262" t="str">
        <f t="shared" si="936"/>
        <v/>
      </c>
      <c r="I120" s="123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HR '[MJHR'] (P0)]]))))))))))</f>
        <v>ks</v>
      </c>
      <c r="J120" s="123">
        <f t="shared" si="937"/>
        <v>46</v>
      </c>
      <c r="K120" s="793">
        <f>RZ[[#This Row],[Koeficient odhadu HR '[-'] (P1)]]</f>
        <v>1</v>
      </c>
      <c r="L120" s="124">
        <f ca="1">RZ[[#This Row],[Jednotková hmotnost s koef. '[kg/MJHR'] (P0)]]</f>
        <v>2.3E-2</v>
      </c>
      <c r="M120" s="794">
        <f t="shared" ca="1" si="938"/>
        <v>0</v>
      </c>
      <c r="N120" s="125">
        <f t="shared" ca="1" si="939"/>
        <v>1.0580000000000001</v>
      </c>
      <c r="O120" s="125">
        <f t="shared" ca="1" si="940"/>
        <v>0</v>
      </c>
      <c r="P120" s="126" t="str">
        <f t="shared" si="941"/>
        <v/>
      </c>
      <c r="Q120" s="795">
        <f ca="1">RZ[[#This Row],[Počet MJHR v rozpadu (P0)]]</f>
        <v>92</v>
      </c>
      <c r="R120" s="439" t="str">
        <f t="shared" si="942"/>
        <v/>
      </c>
      <c r="S120" s="129" t="str">
        <f t="shared" si="943"/>
        <v/>
      </c>
      <c r="T120" s="126" t="str">
        <f t="shared" si="944"/>
        <v/>
      </c>
      <c r="U120" s="126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CR (MJCR) (P0)]]))))))))))</f>
        <v>kg</v>
      </c>
      <c r="V120" s="575">
        <f t="shared" ca="1" si="945"/>
        <v>1.0580000000000001</v>
      </c>
      <c r="W120" s="322">
        <f>RZ[[#This Row],[Koeficient odhadu CR '[-'] (P1)]]</f>
        <v>1</v>
      </c>
      <c r="X120" s="440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Row],[Jednotková cena bez DPH '[cena/MJCR'] (P1)]]*RZ[[#This Row],[Koeficient odhadu CR '[-']]]))))))))))</f>
        <v>80</v>
      </c>
      <c r="Y120" s="440">
        <f t="shared" ca="1" si="946"/>
        <v>0</v>
      </c>
      <c r="Z120" s="142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VLOOKUP(IP120,$BR$7:$BS$11,2,FALSE)))))))))))</f>
        <v>CZK</v>
      </c>
      <c r="AA120" s="909">
        <f t="shared" ca="1" si="947"/>
        <v>2.1160000000000001</v>
      </c>
      <c r="AB120" s="910">
        <f ca="1">RZ[[#This Row],[Kumulovaný koeficient v rozpadu (P0)]]</f>
        <v>1</v>
      </c>
      <c r="AC120" s="261"/>
      <c r="AD120" s="796">
        <f ca="1">RZ[[#This Row],[Jednotková cena bez DPH '[cena/MJCR'] s koef. (P0)]]/RZ[[#This Row],[Koeficient odhadu CR '[-']]]*RZ[[#This Row],[Kumulovaný koeficient odhadu CR  '[-']]]</f>
        <v>80</v>
      </c>
      <c r="AE120" s="796">
        <f t="shared" ca="1" si="948"/>
        <v>169.28</v>
      </c>
      <c r="AF120" s="796">
        <f ca="1">-IF(ISNUMBER(AA120),RZ[[#This Row],[Celková cena bez DPH (1)]]-RZ[[#This Row],[Jednotková cena bez DPH '[cena/MJCR'] bez koef. (P0)]]*AA120,0)</f>
        <v>0</v>
      </c>
      <c r="AG1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120" s="261"/>
      <c r="AI120" s="796">
        <f ca="1">AD120/VLOOKUP($AJ$13,KURZY,3,FALSE)</f>
        <v>2.9629629629629628</v>
      </c>
      <c r="AJ120" s="796">
        <f ca="1">AE120/VLOOKUP($AJ$13,KURZY,3,FALSE)*IF(V120="",0,1)</f>
        <v>6.2696296296296294</v>
      </c>
      <c r="AK120" s="796">
        <f ca="1">AF120/VLOOKUP($AJ$13,KURZY,3,FALSE)</f>
        <v>0</v>
      </c>
      <c r="AL120" s="753">
        <f ca="1">RZ[[#This Row],[Kilogramová cena bez DPH '[cena/kg'] (1)]]/$AK$13</f>
        <v>2.9629629629629628</v>
      </c>
      <c r="AM120" s="261"/>
      <c r="AN120" s="796">
        <f ca="1">AD120/VLOOKUP($AO$13,KURZY,3,FALSE)</f>
        <v>3.8647342995169085</v>
      </c>
      <c r="AO120" s="796">
        <f ca="1">AE120/VLOOKUP($AO$13,KURZY,3,FALSE)*IF(V120="",0,1)</f>
        <v>8.1777777777777789</v>
      </c>
      <c r="AP120" s="796">
        <f ca="1">AF120/VLOOKUP($AO$13,KURZY,3,FALSE)</f>
        <v>0</v>
      </c>
      <c r="AQ120" s="753">
        <f ca="1">RZ[[#This Row],[Kilogramová cena bez DPH '[cena/kg'] (1)]]/$AP$13</f>
        <v>3.8647342995169085</v>
      </c>
      <c r="AR120" s="261"/>
      <c r="AS120" s="796">
        <f ca="1">AD120/VLOOKUP($AT$13,KURZY,3,FALSE)</f>
        <v>2.1881838074398248</v>
      </c>
      <c r="AT120" s="796">
        <f ca="1">AE120/VLOOKUP($AT$13,KURZY,3,FALSE)*IF(V120="",0,1)</f>
        <v>4.630196936542669</v>
      </c>
      <c r="AU120" s="789">
        <f ca="1">AF120/VLOOKUP($AT$13,KURZY,3,FALSE)</f>
        <v>0</v>
      </c>
      <c r="AV120" s="767">
        <f ca="1">RZ[[#This Row],[Kilogramová cena bez DPH '[cena/kg'] (1)]]/$AU$13</f>
        <v>2.1881838074398248</v>
      </c>
      <c r="AW120" s="165"/>
      <c r="AX120" s="911">
        <f t="shared" ca="1" si="949"/>
        <v>2</v>
      </c>
      <c r="AY120" s="111">
        <f t="shared" ca="1" si="950"/>
        <v>10</v>
      </c>
      <c r="AZ120" s="111">
        <f t="shared" ca="1" si="951"/>
        <v>2</v>
      </c>
      <c r="BA120" s="111">
        <f t="shared" ca="1" si="952"/>
        <v>0</v>
      </c>
      <c r="BB120" s="111">
        <f t="shared" ca="1" si="953"/>
        <v>0</v>
      </c>
      <c r="BC120" s="111">
        <f t="shared" ca="1" si="954"/>
        <v>0</v>
      </c>
      <c r="BD120" s="111">
        <f t="shared" ca="1" si="955"/>
        <v>0</v>
      </c>
      <c r="BE120" s="111">
        <f t="shared" ca="1" si="956"/>
        <v>0</v>
      </c>
      <c r="BF120" s="111">
        <f t="shared" ca="1" si="957"/>
        <v>0</v>
      </c>
      <c r="BG120" s="112">
        <f t="shared" ca="1" si="958"/>
        <v>0</v>
      </c>
      <c r="BH120" s="911">
        <f t="shared" si="959"/>
        <v>0</v>
      </c>
      <c r="BI120" s="111">
        <f t="shared" si="960"/>
        <v>0</v>
      </c>
      <c r="BJ120" s="111">
        <f t="shared" si="961"/>
        <v>1</v>
      </c>
      <c r="BK120" s="111">
        <f t="shared" si="962"/>
        <v>0</v>
      </c>
      <c r="BL120" s="111">
        <f t="shared" si="963"/>
        <v>0</v>
      </c>
      <c r="BM120" s="111">
        <f t="shared" si="964"/>
        <v>0</v>
      </c>
      <c r="BN120" s="111">
        <f t="shared" si="965"/>
        <v>0</v>
      </c>
      <c r="BO120" s="111">
        <f t="shared" si="966"/>
        <v>0</v>
      </c>
      <c r="BP120" s="111">
        <f t="shared" si="967"/>
        <v>0</v>
      </c>
      <c r="BQ120" s="112">
        <f t="shared" si="968"/>
        <v>0</v>
      </c>
      <c r="BR120" s="132">
        <f ca="1">IF(OFFSET(AY120,1,0,1,1)&lt;&gt;0,RZ[[#This Row],[Koeficient odhadu HR '[-'] (P1)]]*$BH120*SUMIFS(RZ[Úroveň 2 s koef. (P2)],RZ[0],AX120),RZ[[#This Row],[Koeficient odhadu HR '[-'] (P1)]]*$BH120*$IG120)</f>
        <v>0</v>
      </c>
      <c r="BS120" s="186">
        <f ca="1">IF(OFFSET(AY120,1,0,1,1)&lt;&gt;0,$BH120*SUMIFS(RZ[Úroveň 2 bez koef. (P2)],RZ[0],AX120),$BH120*$IG120)</f>
        <v>0</v>
      </c>
      <c r="BT120" s="138">
        <f ca="1">RZ[[#This Row],[Úroveň 2 s koef. (P2a)]]*RZ[[#This Row],[Počet MJHR (P0)]]</f>
        <v>0</v>
      </c>
      <c r="BU120" s="138">
        <f ca="1">RZ[[#This Row],[Úroveň 2 bez koef. (P2a)]]*RZ[[#This Row],[Počet MJHR (P0)]]</f>
        <v>0</v>
      </c>
      <c r="BV120" s="138">
        <f ca="1">IF(OFFSET(AZ120,1,0,1,1)&lt;&gt;0,RZ[[#This Row],[Koeficient odhadu HR '[-'] (P1)]]*$BI120*SUMIFS(RZ[Úroveň 3 s koef. (P2)],RZ[0],AX120,RZ[Úroveň 2 (P0)],AY120),RZ[[#This Row],[Koeficient odhadu HR '[-'] (P1)]]*$BI120*$IG120)</f>
        <v>0</v>
      </c>
      <c r="BW120" s="138">
        <f ca="1">IF(OFFSET(AZ120,1,0,1,1)&lt;&gt;0,$BI120*SUMIFS(RZ[Úroveň 3 bez koef. (P2)],RZ[0],AX120,RZ[Úroveň 2 (P0)],AY120),$BI120*$IG120)</f>
        <v>0</v>
      </c>
      <c r="BX120" s="132">
        <f ca="1">RZ[[#This Row],[Úroveň 3 s koef. (P2a)]]*RZ[[#This Row],[Počet MJHR (P0)]]</f>
        <v>1.0580000000000001</v>
      </c>
      <c r="BY120" s="132">
        <f ca="1">RZ[Úroveň 3 bez koef. (P2a)]*RZ[[#This Row],[Počet MJHR (P0)]]</f>
        <v>1.0580000000000001</v>
      </c>
      <c r="BZ120" s="132">
        <f ca="1">IF(OFFSET(BA120,1,0,1,1)&lt;&gt;0,RZ[[#This Row],[Koeficient odhadu HR '[-'] (P1)]]*$BJ120*SUMIFS(RZ[Úroveň 4 s koef. (P2)],RZ[0],AX120,RZ[Úroveň 2 (P0)],AY120,RZ[Úroveň 3 (P0)],AZ120),RZ[[#This Row],[Koeficient odhadu HR '[-'] (P1)]]*$BJ120*$IG120)</f>
        <v>2.3E-2</v>
      </c>
      <c r="CA120" s="132">
        <f ca="1">IF(OFFSET(BA120,1,0,1,1)&lt;&gt;0,$BJ120*SUMIFS(RZ[Úroveň 4 bez koef. (P2)],RZ[0],AX120,RZ[Úroveň 2 (P0)],AY120,RZ[Úroveň 3 (P0)],AZ120),$BJ120*$IG120)</f>
        <v>2.3E-2</v>
      </c>
      <c r="CB120" s="138">
        <f ca="1">RZ[[#This Row],[Úroveň 4 s koef. (P2a)]]*RZ[[#This Row],[Počet MJHR (P0)]]</f>
        <v>0</v>
      </c>
      <c r="CC120" s="138">
        <f ca="1">RZ[Úroveň 4 bez koef. (P2a)]*RZ[[#This Row],[Počet MJHR (P0)]]</f>
        <v>0</v>
      </c>
      <c r="CD120" s="138">
        <f ca="1">IF(OFFSET(BB120,1,0,1,1)&lt;&gt;0,RZ[[#This Row],[Koeficient odhadu HR '[-'] (P1)]]*$BK120*SUMIFS(RZ[Úroveň 5 s koef. (P2)],RZ[0],AX120,RZ[Úroveň 2 (P0)],AY120,RZ[Úroveň 3 (P0)],AZ120,RZ[Úroveň 4 (P0)],BA120),RZ[[#This Row],[Koeficient odhadu HR '[-'] (P1)]]*$BK120*$IG120)</f>
        <v>0</v>
      </c>
      <c r="CE120" s="138">
        <f ca="1">IF(OFFSET(BB120,1,0,1,1)&lt;&gt;0,$BK120*SUMIFS(RZ[Úroveň 5 bez koef. (P2)],RZ[0],AX120,RZ[Úroveň 2 (P0)],AY120,RZ[Úroveň 3 (P0)],AZ120,RZ[Úroveň 4 (P0)],BA120),$BK120*$IG120)</f>
        <v>0</v>
      </c>
      <c r="CF120" s="132">
        <f ca="1">RZ[[#This Row],[Úroveň 5 s koef. (P2a)]]*RZ[[#This Row],[Počet MJHR (P0)]]</f>
        <v>0</v>
      </c>
      <c r="CG120" s="132">
        <f ca="1">RZ[Úroveň 5 bez koef. (P2a)]*RZ[[#This Row],[Počet MJHR (P0)]]</f>
        <v>0</v>
      </c>
      <c r="CH120" s="132">
        <f ca="1">IF(OFFSET(BC120,1,0,1,1)&lt;&gt;0,RZ[[#This Row],[Koeficient odhadu HR '[-'] (P1)]]*$BL120*SUMIFS(RZ[Úroveň 6 s koef. (P2)],RZ[0],AX120,RZ[Úroveň 2 (P0)],AY120,RZ[Úroveň 3 (P0)],AZ120,RZ[Úroveň 4 (P0)],BA120,RZ[Úroveň 5 (P0)],BB120),RZ[[#This Row],[Koeficient odhadu HR '[-'] (P1)]]*$BL120*$IG120)</f>
        <v>0</v>
      </c>
      <c r="CI120" s="132">
        <f ca="1">IF(OFFSET(BC120,1,0,1,1)&lt;&gt;0,$BL120*SUMIFS(RZ[Úroveň 6 bez koef. (P2)],RZ[0],AX120,RZ[Úroveň 2 (P0)],AY120,RZ[Úroveň 3 (P0)],AZ120,RZ[Úroveň 4 (P0)],BA120,RZ[Úroveň 5 (P0)],BB120),$BL120*$IG120)</f>
        <v>0</v>
      </c>
      <c r="CJ120" s="138">
        <f ca="1">RZ[[#This Row],[Úroveň 6 s koef. (P2a)]]*RZ[[#This Row],[Počet MJHR (P0)]]</f>
        <v>0</v>
      </c>
      <c r="CK120" s="138">
        <f ca="1">RZ[Úroveň 6 bez koef. (P2a)]*RZ[[#This Row],[Počet MJHR (P0)]]</f>
        <v>0</v>
      </c>
      <c r="CL120" s="138">
        <f ca="1">IF(OFFSET(BD120,1,0,1,1)&lt;&gt;0,RZ[[#This Row],[Koeficient odhadu HR '[-'] (P1)]]*$BM120*SUMIFS(RZ[Úroveň 7 s koef. (P2)],RZ[0],AX120,RZ[Úroveň 2 (P0)],AY120,RZ[Úroveň 3 (P0)],AZ120,RZ[Úroveň 4 (P0)],BA120,RZ[Úroveň 5 (P0)],BB120,RZ[Úroveň 6 (P0)],BC120),RZ[[#This Row],[Koeficient odhadu HR '[-'] (P1)]]*$BM120*$IG120)</f>
        <v>0</v>
      </c>
      <c r="CM120" s="138">
        <f ca="1">IF(OFFSET(BD120,1,0,1,1)&lt;&gt;0,$BM120*SUMIFS(RZ[Úroveň 7 bez koef. (P2)],RZ[0],AX120,RZ[Úroveň 2 (P0)],AY120,RZ[Úroveň 3 (P0)],AZ120,RZ[Úroveň 4 (P0)],BA120,RZ[Úroveň 5 (P0)],BB120,RZ[Úroveň 6 (P0)],BC120),$BM120*$IG120)</f>
        <v>0</v>
      </c>
      <c r="CN120" s="132">
        <f ca="1">RZ[[#This Row],[Úroveň 7 s koef. (P2a)]]*RZ[[#This Row],[Počet MJHR (P0)]]</f>
        <v>0</v>
      </c>
      <c r="CO120" s="132">
        <f ca="1">RZ[Úroveň 7 bez koef. (P2a)]*RZ[[#This Row],[Počet MJHR (P0)]]</f>
        <v>0</v>
      </c>
      <c r="CP120" s="132">
        <f ca="1">IF(OFFSET(BE120,1,0,1,1)&lt;&gt;0,RZ[[#This Row],[Koeficient odhadu HR '[-'] (P1)]]*$BN120*SUMIFS(RZ[Úroveň 8 s koef. (P2)],RZ[0],AX120,RZ[Úroveň 2 (P0)],AY120,RZ[Úroveň 3 (P0)],AZ120,RZ[Úroveň 4 (P0)],BA120,RZ[Úroveň 5 (P0)],BB120,RZ[Úroveň 6 (P0)],BC120,RZ[Úroveň 7 (P0)],BD120),RZ[[#This Row],[Koeficient odhadu HR '[-'] (P1)]]*$BN120*$IG120)</f>
        <v>0</v>
      </c>
      <c r="CQ120" s="132">
        <f ca="1">IF(OFFSET(BE120,1,0,1,1)&lt;&gt;0,$BN120*SUMIFS(RZ[Úroveň 8 bez koef. (P2)],RZ[0],AX120,RZ[Úroveň 2 (P0)],AY120,RZ[Úroveň 3 (P0)],AZ120,RZ[Úroveň 4 (P0)],BA120,RZ[Úroveň 5 (P0)],BB120,RZ[Úroveň 6 (P0)],BC120,RZ[Úroveň 7 (P0)],BD120),$BN120*$IG120)</f>
        <v>0</v>
      </c>
      <c r="CR120" s="138">
        <f ca="1">RZ[[#This Row],[Úroveň 8 s koef. (P2a)]]*RZ[[#This Row],[Počet MJHR (P0)]]</f>
        <v>0</v>
      </c>
      <c r="CS120" s="138">
        <f ca="1">RZ[Úroveň 8 bez koef. (P2a)]*RZ[[#This Row],[Počet MJHR (P0)]]</f>
        <v>0</v>
      </c>
      <c r="CT120" s="138">
        <f ca="1">IF(OFFSET(BF120,1,0,1,1)&lt;&gt;0,RZ[[#This Row],[Koeficient odhadu HR '[-'] (P1)]]*$BO120*SUMIFS(RZ[Úroveň 9 s koef. (P2)],RZ[0],AX120,RZ[Úroveň 2 (P0)],AY120,RZ[Úroveň 3 (P0)],AZ120,RZ[Úroveň 4 (P0)],BA120,RZ[Úroveň 5 (P0)],BB120,RZ[Úroveň 6 (P0)],BC120,RZ[Úroveň 7 (P0)],BD120,RZ[Úroveň 8 (P0)],BE120),RZ[[#This Row],[Koeficient odhadu HR '[-'] (P1)]]*$BO120*$IG120)</f>
        <v>0</v>
      </c>
      <c r="CU120" s="138">
        <f ca="1">IF(OFFSET(BF120,1,0,1,1)&lt;&gt;0,$BO120*SUMIFS(RZ[Úroveň 9 bez koef. (P2)],RZ[0],AX120,RZ[Úroveň 2 (P0)],AY120,RZ[Úroveň 3 (P0)],AZ120,RZ[Úroveň 4 (P0)],BA120,RZ[Úroveň 5 (P0)],BB120,RZ[Úroveň 6 (P0)],BC120,RZ[Úroveň 7 (P0)],BD120,RZ[Úroveň 8 (P0)],BE120),$BO120*$IG120)</f>
        <v>0</v>
      </c>
      <c r="CV120" s="132">
        <f ca="1">RZ[[#This Row],[Úroveň 9 s koef. (P2a)]]*RZ[[#This Row],[Počet MJHR (P0)]]</f>
        <v>0</v>
      </c>
      <c r="CW120" s="132">
        <f ca="1">RZ[Úroveň 9 bez koef. (P2a)]*RZ[[#This Row],[Počet MJHR (P0)]]</f>
        <v>0</v>
      </c>
      <c r="CX120" s="132">
        <f ca="1">IF(OFFSET(BG120,1,0,1,1)&lt;&gt;0,RZ[[#This Row],[Koeficient odhadu HR '[-'] (P1)]]*$BP120*SUMIFS(RZ[Úroveň 10 s koef. (P2)],RZ[0],AX120,RZ[Úroveň 2 (P0)],AY120,RZ[Úroveň 3 (P0)],AZ120,RZ[Úroveň 4 (P0)],BA120,RZ[Úroveň 5 (P0)],BB120,RZ[Úroveň 6 (P0)],BC120,RZ[Úroveň 7 (P0)],BD120,RZ[Úroveň 8 (P0)],BE120,RZ[Úroveň 9 (P0)],BF120),RZ[[#This Row],[Koeficient odhadu HR '[-'] (P1)]]*$BP120*$IG120)</f>
        <v>0</v>
      </c>
      <c r="CY120" s="132">
        <f ca="1">IF(OFFSET(BG120,1,0,1,1)&lt;&gt;0,$BP120*SUMIFS(RZ[Úroveň 10 bez koef. (P2)],RZ[0],AX120,RZ[Úroveň 2 (P0)],AY120,RZ[Úroveň 3 (P0)],AZ120,RZ[Úroveň 4 (P0)],BA120,RZ[Úroveň 5 (P0)],BB120,RZ[Úroveň 6 (P0)],BC120,RZ[Úroveň 7 (P0)],BD120,RZ[Úroveň 8 (P0)],BE120,RZ[Úroveň 9 (P0)],BF120),$BP120*$IG120)</f>
        <v>0</v>
      </c>
      <c r="CZ120" s="138">
        <f>RZ[[#This Row],[Úroveň 10 s koef. (P2a)]]*RZ[[#This Row],[Počet MJHR (P0)]]</f>
        <v>0</v>
      </c>
      <c r="DA120" s="138">
        <f>RZ[Úroveň 10 bez koef. (P2a)]*RZ[[#This Row],[Počet MJHR (P0)]]</f>
        <v>0</v>
      </c>
      <c r="DB120" s="138">
        <f>RZ[[#This Row],[Koeficient odhadu HR '[-'] (P1)]]*$BQ120*IG120</f>
        <v>0</v>
      </c>
      <c r="DC120" s="231">
        <f t="shared" si="969"/>
        <v>0</v>
      </c>
      <c r="DD120" s="241">
        <f t="shared" ca="1" si="970"/>
        <v>2.3E-2</v>
      </c>
      <c r="DE120" s="229">
        <f t="shared" ca="1" si="971"/>
        <v>2.3E-2</v>
      </c>
      <c r="DF120" s="912">
        <f t="shared" si="972"/>
        <v>0</v>
      </c>
      <c r="DG120" s="913">
        <f t="shared" si="973"/>
        <v>0</v>
      </c>
      <c r="DH120" s="913">
        <f t="shared" si="974"/>
        <v>46</v>
      </c>
      <c r="DI120" s="913">
        <f t="shared" si="975"/>
        <v>0</v>
      </c>
      <c r="DJ120" s="913">
        <f t="shared" si="976"/>
        <v>0</v>
      </c>
      <c r="DK120" s="913">
        <f t="shared" si="977"/>
        <v>0</v>
      </c>
      <c r="DL120" s="913">
        <f t="shared" si="978"/>
        <v>0</v>
      </c>
      <c r="DM120" s="913">
        <f t="shared" si="979"/>
        <v>0</v>
      </c>
      <c r="DN120" s="913">
        <f t="shared" si="980"/>
        <v>0</v>
      </c>
      <c r="DO120" s="913">
        <f t="shared" si="981"/>
        <v>0</v>
      </c>
      <c r="DP120" s="914">
        <f ca="1">SUMIFS(RZ[Úroveň 1 (P4)],RZ[0],AX120)</f>
        <v>1</v>
      </c>
      <c r="DQ120" s="914">
        <f ca="1">SUMIFS(RZ[Úroveň 2 (P4)],RZ[0],AX120,RZ[Úroveň 2 (P0)],AY120)</f>
        <v>2</v>
      </c>
      <c r="DR120" s="914">
        <f ca="1">SUMIFS(RZ[Úroveň 3 (P4)],RZ[0],AX120,RZ[Úroveň 2 (P0)],AY120,RZ[Úroveň 3 (P0)],AZ120)</f>
        <v>46</v>
      </c>
      <c r="DS120" s="914">
        <f ca="1">SUMIFS(RZ[Úroveň 4 (P4)],RZ[0],AX120,RZ[Úroveň 2 (P0)],AY120,RZ[Úroveň 3 (P0)],AZ120,RZ[Úroveň 4 (P0)],BA120)</f>
        <v>0</v>
      </c>
      <c r="DT120" s="914">
        <f ca="1">SUMIFS(RZ[Úroveň 5 (P4)],RZ[0],AX120,RZ[Úroveň 2 (P0)],AY120,RZ[Úroveň 3 (P0)],AZ120,RZ[Úroveň 4 (P0)],BA120,RZ[Úroveň 5 (P0)],BB120)</f>
        <v>0</v>
      </c>
      <c r="DU120" s="914">
        <f ca="1">SUMIFS(RZ[Úroveň 6 (P4)],RZ[0],AX120,RZ[Úroveň 2 (P0)],AY120,RZ[Úroveň 3 (P0)],AZ120,RZ[Úroveň 4 (P0)],BA120,RZ[Úroveň 5 (P0)],BB120,RZ[Úroveň 6 (P0)],BC120)</f>
        <v>0</v>
      </c>
      <c r="DV120" s="914">
        <f ca="1">SUMIFS(RZ[Úroveň 7 (P4)],RZ[0],AX120,RZ[Úroveň 2 (P0)],AY120,RZ[Úroveň 3 (P0)],AZ120,RZ[Úroveň 4 (P0)],BA120,RZ[Úroveň 5 (P0)],BB120,RZ[Úroveň 6 (P0)],BC120,RZ[Úroveň 7 (P0)],BD120)</f>
        <v>0</v>
      </c>
      <c r="DW120" s="914">
        <f ca="1">SUMIFS(RZ[Úroveň 8 (P4)],RZ[0],AX120,RZ[Úroveň 2 (P0)],AY120,RZ[Úroveň 3 (P0)],AZ120,RZ[Úroveň 4 (P0)],BA120,RZ[Úroveň 5 (P0)],BB120,RZ[Úroveň 6 (P0)],BC120,RZ[Úroveň 7 (P0)],BD120,RZ[Úroveň 8 (P0)],BE120)</f>
        <v>0</v>
      </c>
      <c r="DX120" s="914">
        <f ca="1">SUMIFS(RZ[Úroveň 9 (P4)],RZ[0],AX120,RZ[Úroveň 2 (P0)],AY120,RZ[Úroveň 3 (P0)],AZ120,RZ[Úroveň 4 (P0)],BA120,RZ[Úroveň 5 (P0)],BB120,RZ[Úroveň 6 (P0)],BC120,RZ[Úroveň 7 (P0)],BD120,RZ[Úroveň 8 (P0)],BE120,RZ[Úroveň 9 (P0)],BF120)</f>
        <v>0</v>
      </c>
      <c r="DY120" s="914">
        <f ca="1">SUMIFS(RZ[Úroveň 10 (P4)],RZ[0],AX120,RZ[Úroveň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DZ120" s="915">
        <f t="shared" ca="1" si="982"/>
        <v>92</v>
      </c>
      <c r="EA120" s="916">
        <f ca="1">RZ[[#This Row],[Jednotková hmotnost bez koef. '[kg/MJHR'] (P0)]]*RZ[[#This Row],[Počet MJHR v rozpadu (P0)]]</f>
        <v>2.1160000000000001</v>
      </c>
      <c r="EB120" s="917">
        <f ca="1">IF(OFFSET(AY120,1,0,1,1)&lt;&gt;0,RZ[[#This Row],[Koeficient odhadu CR '[-'] (P1)]]*$BH120*SUMIFS(RZ[Úroveň 2 s koef. (P3)],RZ[0],AX120),RZ[[#This Row],[Koeficient odhadu CR '[-'] (P1)]]*$BH120*$IQ120)</f>
        <v>0</v>
      </c>
      <c r="EC120" s="191">
        <f ca="1">IF(OFFSET(AY120,1,0,1,1)&lt;&gt;0,$BH120*SUMIFS(RZ[Úroveň 2 bez koef. (P3)],RZ[0],AX120),$BH120*$IQ120)</f>
        <v>0</v>
      </c>
      <c r="ED120" s="140">
        <f ca="1">RZ[[#This Row],[Úroveň 2 s koef. (P3a)]]*RZ[[#This Row],[Počet MJCR (P0) pro "kg"]]</f>
        <v>0</v>
      </c>
      <c r="EE120" s="140">
        <f ca="1">RZ[Úroveň 2 bez koef. (P3a)]*RZ[[#This Row],[Počet MJCR (P0) pro "kg"]]</f>
        <v>0</v>
      </c>
      <c r="EF120" s="140">
        <f ca="1">IF(OFFSET(AZ120,1,0,1,1)&lt;&gt;0,RZ[[#This Row],[Koeficient odhadu CR '[-'] (P1)]]*$BI120*SUMIFS(RZ[Úroveň 3 s koef. (P3)],RZ[0],AX120,RZ[Úroveň 2 (P0)],AY120),RZ[[#This Row],[Koeficient odhadu CR '[-'] (P1)]]*$BI120*$IQ120)</f>
        <v>0</v>
      </c>
      <c r="EG120" s="140">
        <f ca="1">IF(OFFSET(AZ120,1,0,1,1)&lt;&gt;0,$BI120*SUMIFS(RZ[Úroveň 3 bez koef. (P3)],RZ[0],AX120,RZ[Úroveň 2 (P0)],AY120),$BI120*$IQ120)</f>
        <v>0</v>
      </c>
      <c r="EH120" s="135">
        <f ca="1">RZ[[#This Row],[Úroveň 3 s koef. (P3a)]]*RZ[[#This Row],[Počet MJCR (P0) pro "kg"]]</f>
        <v>84.64</v>
      </c>
      <c r="EI120" s="135">
        <f ca="1">RZ[Úroveň 3 bez koef. (P3a)]*RZ[[#This Row],[Počet MJCR (P0) pro "kg"]]</f>
        <v>84.64</v>
      </c>
      <c r="EJ120" s="135">
        <f ca="1">IF(OFFSET(BA120,1,0,1,1)&lt;&gt;0,RZ[[#This Row],[Koeficient odhadu CR '[-'] (P1)]]*$BJ120*SUMIFS(RZ[Úroveň 4 s koef. (P3)],RZ[0],AX120,RZ[Úroveň 2 (P0)],AY120,RZ[Úroveň 3 (P0)],AZ120),RZ[[#This Row],[Koeficient odhadu CR '[-'] (P1)]]*$BJ120*$IQ120)</f>
        <v>80</v>
      </c>
      <c r="EK120" s="135">
        <f ca="1">IF(OFFSET(BA120,1,0,1,1)&lt;&gt;0,$BJ120*SUMIFS(RZ[Úroveň 4 bez koef. (P3)],RZ[0],AX120,RZ[Úroveň 2 (P0)],AY120,RZ[Úroveň 3 (P0)],AZ120),$BJ120*$IQ120)</f>
        <v>80</v>
      </c>
      <c r="EL120" s="140">
        <f ca="1">RZ[[#This Row],[Úroveň 4 s koef. (P3a)]]*RZ[[#This Row],[Počet MJCR (P0) pro "kg"]]</f>
        <v>0</v>
      </c>
      <c r="EM120" s="140">
        <f ca="1">RZ[Úroveň 4 bez koef. (P3a)]*RZ[[#This Row],[Počet MJCR (P0) pro "kg"]]</f>
        <v>0</v>
      </c>
      <c r="EN120" s="140">
        <f ca="1">IF(OFFSET(BB120,1,0,1,1)&lt;&gt;0,RZ[[#This Row],[Koeficient odhadu CR '[-'] (P1)]]*$BK120*SUMIFS(RZ[Úroveň 5 s koef. (P3)],RZ[0],AX120,RZ[Úroveň 2 (P0)],AY120,RZ[Úroveň 3 (P0)],AZ120,RZ[Úroveň 4 (P0)],BA120),RZ[[#This Row],[Koeficient odhadu CR '[-'] (P1)]]*$BK120*$IQ120)</f>
        <v>0</v>
      </c>
      <c r="EO120" s="140">
        <f ca="1">IF(OFFSET(BB120,1,0,1,1)&lt;&gt;0,$BK120*SUMIFS(RZ[Úroveň 5 bez koef. (P3)],RZ[0],AX120,RZ[Úroveň 2 (P0)],AY120,RZ[Úroveň 3 (P0)],AZ120,RZ[Úroveň 4 (P0)],BA120),$BK120*$IQ120)</f>
        <v>0</v>
      </c>
      <c r="EP120" s="135">
        <f ca="1">RZ[[#This Row],[Úroveň 5 s koef. (P3a)]]*RZ[[#This Row],[Počet MJCR (P0) pro "kg"]]</f>
        <v>0</v>
      </c>
      <c r="EQ120" s="135">
        <f ca="1">RZ[Úroveň 5 bez koef. (P3a)]*RZ[[#This Row],[Počet MJCR (P0) pro "kg"]]</f>
        <v>0</v>
      </c>
      <c r="ER120" s="135">
        <f ca="1">IF(OFFSET(BC120,1,0,1,1)&lt;&gt;0,RZ[[#This Row],[Koeficient odhadu CR '[-'] (P1)]]*$BL120*SUMIFS(RZ[Úroveň 6 s koef. (P3)],RZ[0],AX120,RZ[Úroveň 2 (P0)],AY120,RZ[Úroveň 3 (P0)],AZ120,RZ[Úroveň 4 (P0)],BA120,RZ[Úroveň 5 (P0)],BB120),RZ[[#This Row],[Koeficient odhadu CR '[-'] (P1)]]*$BL120*$IQ120)</f>
        <v>0</v>
      </c>
      <c r="ES120" s="135">
        <f ca="1">IF(OFFSET(BC120,1,0,1,1)&lt;&gt;0,$BL120*SUMIFS(RZ[Úroveň 6 bez koef. (P3)],RZ[0],AX120,RZ[Úroveň 2 (P0)],AY120,RZ[Úroveň 3 (P0)],AZ120,RZ[Úroveň 4 (P0)],BA120,RZ[Úroveň 5 (P0)],BB120),$BL120*$IQ120)</f>
        <v>0</v>
      </c>
      <c r="ET120" s="140">
        <f ca="1">RZ[[#This Row],[Úroveň 6 s koef. (P3a)]]*RZ[[#This Row],[Počet MJCR (P0) pro "kg"]]</f>
        <v>0</v>
      </c>
      <c r="EU120" s="140">
        <f ca="1">RZ[Úroveň 6 bez koef. (P3a)]*RZ[[#This Row],[Počet MJCR (P0) pro "kg"]]</f>
        <v>0</v>
      </c>
      <c r="EV120" s="140">
        <f ca="1">IF(OFFSET(BD120,1,0,1,1)&lt;&gt;0,RZ[[#This Row],[Koeficient odhadu CR '[-'] (P1)]]*$BM120*SUMIFS(RZ[Úroveň 7 s koef. (P3)],RZ[0],AX120,RZ[Úroveň 2 (P0)],AY120,RZ[Úroveň 3 (P0)],AZ120,RZ[Úroveň 4 (P0)],BA120,RZ[Úroveň 5 (P0)],BB120,RZ[Úroveň 6 (P0)],BC120),RZ[[#This Row],[Koeficient odhadu CR '[-'] (P1)]]*$BM120*$IQ120)</f>
        <v>0</v>
      </c>
      <c r="EW120" s="140">
        <f ca="1">IF(OFFSET(BD120,1,0,1,1)&lt;&gt;0,$BM120*SUMIFS(RZ[Úroveň 7 bez koef. (P3)],RZ[0],AX120,RZ[Úroveň 2 (P0)],AY120,RZ[Úroveň 3 (P0)],AZ120,RZ[Úroveň 4 (P0)],BA120,RZ[Úroveň 5 (P0)],BB120,RZ[Úroveň 6 (P0)],BC120),$BM120*$IQ120)</f>
        <v>0</v>
      </c>
      <c r="EX120" s="135">
        <f ca="1">RZ[[#This Row],[Úroveň 7 s koef. (P3a)]]*RZ[[#This Row],[Počet MJCR (P0) pro "kg"]]</f>
        <v>0</v>
      </c>
      <c r="EY120" s="135">
        <f ca="1">RZ[Úroveň 7 bez koef. (P3a)]*RZ[[#This Row],[Počet MJCR (P0) pro "kg"]]</f>
        <v>0</v>
      </c>
      <c r="EZ120" s="135">
        <f ca="1">IF(OFFSET(BE120,1,0,1,1)&lt;&gt;0,RZ[[#This Row],[Koeficient odhadu CR '[-'] (P1)]]*$BN120*SUMIFS(RZ[Úroveň 8 s koef. (P3)],RZ[0],AX120,RZ[Úroveň 2 (P0)],AY120,RZ[Úroveň 3 (P0)],AZ120,RZ[Úroveň 4 (P0)],BA120,RZ[Úroveň 5 (P0)],BB120,RZ[Úroveň 6 (P0)],BC120,RZ[Úroveň 7 (P0)],BD120),RZ[[#This Row],[Koeficient odhadu CR '[-'] (P1)]]*$BN120*$IQ120)</f>
        <v>0</v>
      </c>
      <c r="FA120" s="135">
        <f ca="1">IF(OFFSET(BE120,1,0,1,1)&lt;&gt;0,$BN120*SUMIFS(RZ[Úroveň 8 bez koef. (P3)],RZ[0],AX120,RZ[Úroveň 2 (P0)],AY120,RZ[Úroveň 3 (P0)],AZ120,RZ[Úroveň 4 (P0)],BA120,RZ[Úroveň 5 (P0)],BB120,RZ[Úroveň 6 (P0)],BC120,RZ[Úroveň 7 (P0)],BD120),$BN120*$IQ120)</f>
        <v>0</v>
      </c>
      <c r="FB120" s="140">
        <f ca="1">RZ[[#This Row],[Úroveň 8 s koef. (P3a)]]*RZ[[#This Row],[Počet MJCR (P0) pro "kg"]]</f>
        <v>0</v>
      </c>
      <c r="FC120" s="140">
        <f ca="1">RZ[Úroveň 8 bez koef. (P3a)]*RZ[[#This Row],[Počet MJCR (P0) pro "kg"]]</f>
        <v>0</v>
      </c>
      <c r="FD120" s="140">
        <f ca="1">IF(OFFSET(BF120,1,0,1,1)&lt;&gt;0,RZ[[#This Row],[Koeficient odhadu CR '[-'] (P1)]]*$BO120*SUMIFS(RZ[Úroveň 9 s koef. (P3)],RZ[0],AX120,RZ[Úroveň 2 (P0)],AY120,RZ[Úroveň 3 (P0)],AZ120,RZ[Úroveň 4 (P0)],BA120,RZ[Úroveň 5 (P0)],BB120,RZ[Úroveň 6 (P0)],BC120,RZ[Úroveň 7 (P0)],BD120,RZ[Úroveň 8 (P0)],BE120),RZ[[#This Row],[Koeficient odhadu CR '[-'] (P1)]]*$BO120*$IQ120)</f>
        <v>0</v>
      </c>
      <c r="FE120" s="140">
        <f ca="1">IF(OFFSET(BF120,1,0,1,1)&lt;&gt;0,$BO120*SUMIFS(RZ[Úroveň 9 bez koef. (P3)],RZ[0],AX120,RZ[Úroveň 2 (P0)],AY120,RZ[Úroveň 3 (P0)],AZ120,RZ[Úroveň 4 (P0)],BA120,RZ[Úroveň 5 (P0)],BB120,RZ[Úroveň 6 (P0)],BC120,RZ[Úroveň 7 (P0)],BD120,RZ[Úroveň 8 (P0)],BE120),$BO120*$IQ120)</f>
        <v>0</v>
      </c>
      <c r="FF120" s="135">
        <f ca="1">RZ[[#This Row],[Úroveň 9 s koef. (P3a)]]*RZ[[#This Row],[Počet MJCR (P0) pro "kg"]]</f>
        <v>0</v>
      </c>
      <c r="FG120" s="135">
        <f ca="1">RZ[Úroveň 9 bez koef. (P3a)]*RZ[[#This Row],[Počet MJCR (P0) pro "kg"]]</f>
        <v>0</v>
      </c>
      <c r="FH120" s="135">
        <f ca="1">IF(OFFSET(BG120,1,0,1,1)&lt;&gt;0,RZ[[#This Row],[Koeficient odhadu CR '[-'] (P1)]]*$BP120*SUMIFS(RZ[Úroveň 10 s koef. (P3)],RZ[0],AX120,RZ[Úroveň 2 (P0)],AY120,RZ[Úroveň 3 (P0)],AZ120,RZ[Úroveň 4 (P0)],BA120,RZ[Úroveň 5 (P0)],BB120,RZ[Úroveň 6 (P0)],BC120,RZ[Úroveň 7 (P0)],BD120,RZ[Úroveň 8 (P0)],BE120,RZ[Úroveň 9 (P0)],BF120),RZ[[#This Row],[Koeficient odhadu CR '[-'] (P1)]]*$BP120*$IQ120)</f>
        <v>0</v>
      </c>
      <c r="FI120" s="135">
        <f ca="1">IF(OFFSET(BG120,1,0,1,1)&lt;&gt;0,$BP120*SUMIFS(RZ[Úroveň 10 bez koef. (P3)],RZ[0],AX120,RZ[Úroveň 2 (P0)],AY120,RZ[Úroveň 3 (P0)],AZ120,RZ[Úroveň 4 (P0)],BA120,RZ[Úroveň 5 (P0)],BB120,RZ[Úroveň 6 (P0)],BC120,RZ[Úroveň 7 (P0)],BD120,RZ[Úroveň 8 (P0)],BE120,RZ[Úroveň 9 (P0)],BF120),$BP120*$IQ120)</f>
        <v>0</v>
      </c>
      <c r="FJ120" s="140">
        <f ca="1">RZ[[#This Row],[Úroveň 10 s koef. (P3a)]]*RZ[[#This Row],[Počet MJCR (P0) pro "kg"]]</f>
        <v>0</v>
      </c>
      <c r="FK120" s="140">
        <f ca="1">RZ[Úroveň 10 bez koef. (P3a)]*RZ[[#This Row],[Počet MJCR (P0) pro "kg"]]</f>
        <v>0</v>
      </c>
      <c r="FL120" s="140">
        <f ca="1">RZ[[#This Row],[Koeficient odhadu CR '[-'] (P1)]]*$BQ120*IQ120</f>
        <v>0</v>
      </c>
      <c r="FM120" s="236">
        <f t="shared" ca="1" si="983"/>
        <v>0</v>
      </c>
      <c r="FN120" s="194">
        <f t="shared" ca="1" si="984"/>
        <v>80</v>
      </c>
      <c r="FO120" s="238">
        <f t="shared" ca="1" si="985"/>
        <v>80</v>
      </c>
      <c r="FP120" s="135">
        <f t="shared" ca="1" si="986"/>
        <v>0</v>
      </c>
      <c r="FQ120" s="135">
        <f t="shared" ca="1" si="987"/>
        <v>0</v>
      </c>
      <c r="FR120" s="135">
        <f t="shared" ca="1" si="988"/>
        <v>1.0580000000000001</v>
      </c>
      <c r="FS120" s="135">
        <f t="shared" ca="1" si="989"/>
        <v>0</v>
      </c>
      <c r="FT120" s="135">
        <f t="shared" ca="1" si="990"/>
        <v>0</v>
      </c>
      <c r="FU120" s="135">
        <f t="shared" ca="1" si="991"/>
        <v>0</v>
      </c>
      <c r="FV120" s="135">
        <f t="shared" ca="1" si="992"/>
        <v>0</v>
      </c>
      <c r="FW120" s="135">
        <f t="shared" ca="1" si="993"/>
        <v>0</v>
      </c>
      <c r="FX120" s="135">
        <f t="shared" ca="1" si="994"/>
        <v>0</v>
      </c>
      <c r="FY120" s="135">
        <f t="shared" ca="1" si="995"/>
        <v>0</v>
      </c>
      <c r="FZ120" s="140">
        <f ca="1">SUMIFS(RZ[Úroveň 1 (P6)],RZ[0],AX120)</f>
        <v>1</v>
      </c>
      <c r="GA120" s="140">
        <f ca="1">SUMIFS(RZ[Úroveň 2 (P6)],RZ[0],AX120,RZ[Úroveň 2 (P0)],AY120)</f>
        <v>2</v>
      </c>
      <c r="GB120" s="140">
        <f ca="1">SUMIFS(RZ[Úroveň 3 (P6)],RZ[0],AX120,RZ[Úroveň 2 (P0)],AY120,RZ[Úroveň 3 (P0)],AZ120)</f>
        <v>1.0580000000000001</v>
      </c>
      <c r="GC120" s="140">
        <f ca="1">SUMIFS(RZ[Úroveň 4 (P6)],RZ[0],AX120,RZ[Úroveň 2 (P0)],AY120,RZ[Úroveň 3 (P0)],AZ120,RZ[Úroveň 4 (P0)],BA120)</f>
        <v>0</v>
      </c>
      <c r="GD120" s="140">
        <f ca="1">SUMIFS(RZ[Úroveň 5 (P6)],RZ[0],AX120,RZ[Úroveň 2 (P0)],AY120,RZ[Úroveň 3 (P0)],AZ120,RZ[Úroveň 4 (P0)],BA120,RZ[Úroveň 5 (P0)],BB120)</f>
        <v>0</v>
      </c>
      <c r="GE120" s="140">
        <f ca="1">SUMIFS(RZ[Úroveň 6 (P6)],RZ[0],AX120,RZ[Úroveň 2 (P0)],AY120,RZ[Úroveň 3 (P0)],AZ120,RZ[Úroveň 4 (P0)],BA120,RZ[Úroveň 5 (P0)],BB120,RZ[Úroveň 6 (P0)],BC120)</f>
        <v>0</v>
      </c>
      <c r="GF120" s="140">
        <f ca="1">SUMIFS(RZ[Úroveň 7 (P6)],RZ[0],AX120,RZ[Úroveň 2 (P0)],AY120,RZ[Úroveň 3 (P0)],AZ120,RZ[Úroveň 4 (P0)],BA120,RZ[Úroveň 5 (P0)],BB120,RZ[Úroveň 6 (P0)],BC120,RZ[Úroveň 7 (P0)],BD120)</f>
        <v>0</v>
      </c>
      <c r="GG120" s="140">
        <f ca="1">SUMIFS(RZ[Úroveň 8 (P6)],RZ[0],AX120,RZ[Úroveň 2 (P0)],AY120,RZ[Úroveň 3 (P0)],AZ120,RZ[Úroveň 4 (P0)],BA120,RZ[Úroveň 5 (P0)],BB120,RZ[Úroveň 6 (P0)],BC120,RZ[Úroveň 7 (P0)],BD120,RZ[Úroveň 8 (P0)],BE120)</f>
        <v>0</v>
      </c>
      <c r="GH120" s="140">
        <f ca="1">SUMIFS(RZ[Úroveň 9 (P6)],RZ[0],AX120,RZ[Úroveň 2 (P0)],AY120,RZ[Úroveň 3 (P0)],AZ120,RZ[Úroveň 4 (P0)],BA120,RZ[Úroveň 5 (P0)],BB120,RZ[Úroveň 6 (P0)],BC120,RZ[Úroveň 7 (P0)],BD120,RZ[Úroveň 8 (P0)],BE120,RZ[Úroveň 9 (P0)],BF120)</f>
        <v>0</v>
      </c>
      <c r="GI120" s="140">
        <f ca="1">SUMIFS(RZ[Úroveň 10 (P6)],RZ[0],AX120,RZ[Úroveň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GJ120" s="918">
        <f t="shared" ca="1" si="996"/>
        <v>2.1160000000000001</v>
      </c>
      <c r="GK120" s="808">
        <f t="shared" si="997"/>
        <v>0</v>
      </c>
      <c r="GL120" s="808">
        <f t="shared" si="998"/>
        <v>0</v>
      </c>
      <c r="GM120" s="808">
        <f t="shared" si="999"/>
        <v>1</v>
      </c>
      <c r="GN120" s="808">
        <f t="shared" si="1000"/>
        <v>0</v>
      </c>
      <c r="GO120" s="808">
        <f t="shared" si="1001"/>
        <v>0</v>
      </c>
      <c r="GP120" s="808">
        <f t="shared" si="1002"/>
        <v>0</v>
      </c>
      <c r="GQ120" s="808">
        <f t="shared" si="1003"/>
        <v>0</v>
      </c>
      <c r="GR120" s="808">
        <f t="shared" si="1004"/>
        <v>0</v>
      </c>
      <c r="GS120" s="808">
        <f t="shared" si="1005"/>
        <v>0</v>
      </c>
      <c r="GT120" s="808">
        <f t="shared" si="1006"/>
        <v>0</v>
      </c>
      <c r="GU120" s="809">
        <f ca="1">SUMIFS(RZ[Sloupec1],RZ[0],AX120)</f>
        <v>1</v>
      </c>
      <c r="GV120" s="809">
        <f ca="1">SUMIFS(RZ[Sloupec2],RZ[0],AX120,RZ[Úroveň 2 (P0)],AY120)</f>
        <v>1</v>
      </c>
      <c r="GW120" s="809">
        <f ca="1">SUMIFS(RZ[Sloupec3],RZ[0],AX120,RZ[Úroveň 2 (P0)],AY120,RZ[Úroveň 3 (P0)],AZ120)</f>
        <v>1</v>
      </c>
      <c r="GX120" s="809">
        <f ca="1">SUMIFS(RZ[Sloupec4],RZ[0],AX120,RZ[Úroveň 2 (P0)],AY120,RZ[Úroveň 3 (P0)],AZ120,RZ[Úroveň 4 (P0)],BA120)</f>
        <v>0</v>
      </c>
      <c r="GY120" s="809">
        <f ca="1">SUMIFS(RZ[Sloupec5],RZ[0],AX120,RZ[Úroveň 2 (P0)],AY120,RZ[Úroveň 3 (P0)],AZ120,RZ[Úroveň 4 (P0)],BA120,RZ[Úroveň 5 (P0)],BB120)</f>
        <v>0</v>
      </c>
      <c r="GZ120" s="809">
        <f ca="1">SUMIFS(RZ[Sloupec6],RZ[0],AX120,RZ[Úroveň 2 (P0)],AY120,RZ[Úroveň 3 (P0)],AZ120,RZ[Úroveň 4 (P0)],BA120,RZ[Úroveň 5 (P0)],BB120,RZ[Úroveň 6 (P0)],BC120)</f>
        <v>0</v>
      </c>
      <c r="HA120" s="809">
        <f ca="1">SUMIFS(RZ[Sloupec62],RZ[0],AX120,RZ[Úroveň 2 (P0)],AY120,RZ[Úroveň 3 (P0)],AZ120,RZ[Úroveň 4 (P0)],BA120,RZ[Úroveň 5 (P0)],BB120,RZ[Úroveň 6 (P0)],BC120,RZ[Úroveň 7 (P0)],BD120)</f>
        <v>0</v>
      </c>
      <c r="HB120" s="809">
        <f ca="1">SUMIFS(RZ[Sloupec63],RZ[0],AX120,RZ[Úroveň 2 (P0)],AY120,RZ[Úroveň 3 (P0)],AZ120,RZ[Úroveň 4 (P0)],BA120,RZ[Úroveň 5 (P0)],BB120,RZ[Úroveň 6 (P0)],BC120,RZ[Úroveň 7 (P0)],BD120,RZ[Úroveň 8 (P0)],BE120)</f>
        <v>0</v>
      </c>
      <c r="HC120" s="809">
        <f ca="1">SUMIFS(RZ[Sloupec64],RZ[0],AX120,RZ[Úroveň 2 (P0)],AY120,RZ[Úroveň 3 (P0)],AZ120,RZ[Úroveň 4 (P0)],BA120,RZ[Úroveň 5 (P0)],BB120,RZ[Úroveň 6 (P0)],BC120,RZ[Úroveň 7 (P0)],BD120,RZ[Úroveň 8 (P0)],BE120,RZ[Úroveň 9 (P0)],BF120)</f>
        <v>0</v>
      </c>
      <c r="HD120" s="809">
        <f ca="1">SUMIFS(RZ[Sloupec65],RZ[0],AX120,RZ[Úroveň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HE120" s="919">
        <f t="shared" ca="1" si="1007"/>
        <v>1</v>
      </c>
      <c r="HF120" s="920" t="str">
        <f t="shared" si="1008"/>
        <v/>
      </c>
      <c r="HG120" s="94" t="str">
        <f t="shared" si="1009"/>
        <v/>
      </c>
      <c r="HH120" s="95" t="str">
        <f t="shared" si="1010"/>
        <v/>
      </c>
      <c r="HI120" s="95" t="str">
        <f t="shared" si="1011"/>
        <v>Příčka</v>
      </c>
      <c r="HJ120" s="96" t="str">
        <f t="shared" si="1012"/>
        <v/>
      </c>
      <c r="HK120" s="96" t="str">
        <f t="shared" si="1013"/>
        <v/>
      </c>
      <c r="HL120" s="96" t="str">
        <f t="shared" si="1014"/>
        <v/>
      </c>
      <c r="HM120" s="96" t="str">
        <f t="shared" si="1015"/>
        <v/>
      </c>
      <c r="HN120" s="96" t="str">
        <f t="shared" si="1016"/>
        <v/>
      </c>
      <c r="HO120" s="96" t="str">
        <f t="shared" si="1017"/>
        <v/>
      </c>
      <c r="HP120" s="96" t="str">
        <f t="shared" si="1018"/>
        <v/>
      </c>
      <c r="HQ120" s="145" t="str">
        <f t="shared" si="1019"/>
        <v>OKS3</v>
      </c>
      <c r="HR120" s="921" t="str">
        <f t="shared" si="1020"/>
        <v/>
      </c>
      <c r="HS120" s="173">
        <f t="shared" si="1021"/>
        <v>0</v>
      </c>
      <c r="HT120" s="100" t="str">
        <f t="shared" si="1022"/>
        <v>Ohnutý plech</v>
      </c>
      <c r="HU120" s="100">
        <f t="shared" si="1023"/>
        <v>0</v>
      </c>
      <c r="HV120" s="908">
        <f t="shared" si="1024"/>
        <v>0</v>
      </c>
      <c r="HW120" s="922">
        <f t="shared" si="1025"/>
        <v>0</v>
      </c>
      <c r="HX120" s="224">
        <f t="shared" si="1026"/>
        <v>0</v>
      </c>
      <c r="HY120" s="263" t="str">
        <f t="shared" si="1027"/>
        <v>S</v>
      </c>
      <c r="HZ120" s="263">
        <f t="shared" si="1028"/>
        <v>0</v>
      </c>
      <c r="IA120" s="150">
        <f t="shared" si="1029"/>
        <v>1</v>
      </c>
      <c r="IB120" s="319">
        <f t="shared" si="1030"/>
        <v>0</v>
      </c>
      <c r="IC120" s="923">
        <f t="shared" si="1031"/>
        <v>0</v>
      </c>
      <c r="ID120" s="924" t="str">
        <f t="shared" ca="1" si="1032"/>
        <v>OK</v>
      </c>
      <c r="IE120" s="201" t="str">
        <f t="shared" si="1033"/>
        <v>ks</v>
      </c>
      <c r="IF120" s="145">
        <f t="shared" si="1034"/>
        <v>46</v>
      </c>
      <c r="IG120" s="216">
        <f t="shared" si="1035"/>
        <v>2.3E-2</v>
      </c>
      <c r="IH120" s="217">
        <f t="shared" si="1036"/>
        <v>1</v>
      </c>
      <c r="II120" s="224" t="str">
        <f ca="1">IF(RZ[[#This Row],[Rozhodný sloupec indikativní ceny]]=1,"kg",IF($IW120=$JL$15,IF(JX120=0,JO120,JX120),IF($IW120=$KE$15,IF(KQ120=0,KH120,KQ120),IF($IW120=$KX$15,IF(LJ120=0,LA120,LJ120),IF($IW120=$LQ$15,IF(MC120=0,LT120,MC120),IF($IW120=$MJ$15,IF(NQ120=0,NH120,NQ120),0))))))</f>
        <v>kg</v>
      </c>
      <c r="IJ120" s="224">
        <f ca="1">IF((BH120+OFFSET(BH120,1,1,1,1))=2,RZ[[#This Row],[Počet MJHR (P0)]],IF((BI120+OFFSET(BI120,1,1,1,1))=2,RZ[[#This Row],[Počet MJHR (P0)]],IF((BJ120+OFFSET(BJ120,1,1,1,1))=2,RZ[[#This Row],[Počet MJHR (P0)]],IF((BK120+OFFSET(BK120,1,1,1,1))=2,RZ[[#This Row],[Počet MJHR (P0)]],IF((BL120+OFFSET(BL120,1,1,1,1))=2,RZ[[#This Row],[Počet MJHR (P0)]],IF((BM120+OFFSET(BM120,1,1,1,1))=2,RZ[[#This Row],[Počet MJHR (P0)]],IF((BN120+OFFSET(BN120,1,1,1,1))=2,RZ[[#This Row],[Počet MJHR (P0)]],IF((BO120+OFFSET(BO120,1,1,1,1))=2,RZ[[#This Row],[Počet MJHR (P0)]],IF((BP120+OFFSET(BP120,1,1,1,1))=2,RZ[[#This Row],[Počet MJHR (P0)]],IF((BQ120+OFFSET(BQ120,1,1,1,1))=2,RZ[[#This Row],[Počet MJHR (P0)]],IF(RZ[[#This Row],[Měrná jednotka CR (MJCR) (P0)]]=RZ[[#This Row],[Měrná jednotka HR '[MJHR'] (P0)]],RZ[[#This Row],[Počet MJHR (P0)]],IF($IW120=$JL$15,JY120,IF($IW120=$KE$15,KR120,IF($IW120=$KX$15,LK120,IF($IW120=$LQ$15,MD120,IF($IW120=$MJ$15,NR120,0))))))))))))))))</f>
        <v>0</v>
      </c>
      <c r="IK1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1.0580000000000001</v>
      </c>
      <c r="IL120" s="145">
        <f ca="1">IF(AND(RZ[[#This Row],[Jednotková cena bez DPH '[cena/MJCR'] (P0)]]=0,RZ[[#This Row],[Indikativní jednotková cena '[CZK/kg'] (P1)]]&lt;&gt;0),1,0)</f>
        <v>1</v>
      </c>
      <c r="IM120" s="217">
        <f ca="1">VLOOKUP(RZ[[#This Row],[Kód položek]],INDIKAT_CENA,2,FALSE)</f>
        <v>80</v>
      </c>
      <c r="IN120" s="222">
        <f ca="1">IF(RZ[[#This Row],[Rozhodný sloupec indikativní ceny]]=1,RZ[[#This Row],[Indikativní jednotková cena '[CZK/kg'] (P1)]],RZ[[#This Row],[Jednotková cena bez DPH '[cena/MJCR'] (P0)]])</f>
        <v>80</v>
      </c>
      <c r="IO120" s="222">
        <f t="shared" si="1037"/>
        <v>1</v>
      </c>
      <c r="IP120" s="224">
        <f ca="1">IF(RZ[[#This Row],[Rozhodný sloupec indikativní ceny]]=1,1,IF($IW120=$JL$15,KA120,IF($IW120=$KE$15,KT120,IF($IW120=$KX$15,LM120,IF($IW120=$LQ$15,MF120,IF($IW120=$MJ$15,NT120,0))))))</f>
        <v>1</v>
      </c>
      <c r="IQ120" s="225">
        <f ca="1">IF(RZ[[#This Row],[Jednotková cena bez DPH '[cena/MJCR'] (P1)]]="",0,IF(IP120=0,0,(RZ[[#This Row],[Jednotková cena bez DPH '[cena/MJCR'] (P1)]]*VLOOKUP(IP120,$BR$7:$BT$10,3))))</f>
        <v>80</v>
      </c>
      <c r="IR120" s="737"/>
      <c r="IS120" s="627">
        <f>IF(HY120=0,"",VLOOKUP(RZ[[#This Row],[Stav Projekce (P0)]],Vstupy!$E$11:'Vstupy'!$E$11:$H$17,4,FALSE))</f>
        <v>100</v>
      </c>
      <c r="IT120" s="925" t="str">
        <f>IF(RZ[[#This Row],[Stav Projekce (P0)]]=0,"",RZ[[#This Row],[Stav Projekce (P0)]])</f>
        <v>S</v>
      </c>
      <c r="IU120" s="925" t="str">
        <f>IF(RZ[[#This Row],[Stav Nákup (P0)]]=0,"",RZ[[#This Row],[Stav Nákup (P0)]])</f>
        <v/>
      </c>
      <c r="IV120" s="926" t="str">
        <f t="shared" si="1038"/>
        <v/>
      </c>
      <c r="IW120" s="641">
        <v>1</v>
      </c>
      <c r="IX120" s="630"/>
      <c r="IY120" s="264"/>
      <c r="IZ120" s="648"/>
      <c r="JA120" s="100"/>
      <c r="JB120" s="100" t="s">
        <v>760</v>
      </c>
      <c r="JC120" s="100"/>
      <c r="JD120" s="100"/>
      <c r="JE120" s="100"/>
      <c r="JF120" s="100"/>
      <c r="JG120" s="100"/>
      <c r="JH120" s="100"/>
      <c r="JI120" s="100"/>
      <c r="JJ120" s="145" t="s">
        <v>769</v>
      </c>
      <c r="JK120" s="529"/>
      <c r="JL120" s="286"/>
      <c r="JM120" s="100" t="s">
        <v>762</v>
      </c>
      <c r="JN120" s="100"/>
      <c r="JO120" s="145" t="s">
        <v>35</v>
      </c>
      <c r="JP120" s="117">
        <v>46</v>
      </c>
      <c r="JQ120" s="117">
        <v>2.3E-2</v>
      </c>
      <c r="JR120" s="148">
        <v>1</v>
      </c>
      <c r="JS120" s="145" t="s">
        <v>602</v>
      </c>
      <c r="JT120" s="631"/>
      <c r="JU120" s="148"/>
      <c r="JV120" s="154"/>
      <c r="JW120" s="145"/>
      <c r="JX120" s="210"/>
      <c r="JY120" s="117"/>
      <c r="JZ120" s="662"/>
      <c r="KA120" s="145"/>
      <c r="KB120" s="148"/>
      <c r="KC120" s="148"/>
      <c r="KD120" s="644"/>
      <c r="KE120" s="286"/>
      <c r="KF120" s="100"/>
      <c r="KG120" s="100"/>
      <c r="KH120" s="210"/>
      <c r="KI120" s="117"/>
      <c r="KJ120" s="117"/>
      <c r="KK120" s="148"/>
      <c r="KL120" s="145"/>
      <c r="KM120" s="632"/>
      <c r="KN120" s="148"/>
      <c r="KO120" s="154"/>
      <c r="KP120" s="154"/>
      <c r="KQ120" s="210"/>
      <c r="KR120" s="117"/>
      <c r="KS120" s="211"/>
      <c r="KT120" s="145"/>
      <c r="KU120" s="148"/>
      <c r="KV120" s="148"/>
      <c r="KW120" s="265"/>
      <c r="KX120" s="286"/>
      <c r="KY120" s="100"/>
      <c r="KZ120" s="100"/>
      <c r="LA120" s="210"/>
      <c r="LB120" s="117"/>
      <c r="LC120" s="117"/>
      <c r="LD120" s="148"/>
      <c r="LE120" s="145"/>
      <c r="LF120" s="632"/>
      <c r="LG120" s="148"/>
      <c r="LH120" s="154"/>
      <c r="LI120" s="154"/>
      <c r="LJ120" s="154"/>
      <c r="LK120" s="117"/>
      <c r="LL120" s="211"/>
      <c r="LM120" s="210"/>
      <c r="LN120" s="148"/>
      <c r="LO120" s="148"/>
      <c r="LP120" s="265"/>
      <c r="LQ120" s="286"/>
      <c r="LR120" s="100"/>
      <c r="LS120" s="100"/>
      <c r="LT120" s="210"/>
      <c r="LU120" s="117"/>
      <c r="LV120" s="117"/>
      <c r="LW120" s="148"/>
      <c r="LX120" s="145"/>
      <c r="LY120" s="632"/>
      <c r="LZ120" s="148"/>
      <c r="MA120" s="154"/>
      <c r="MB120" s="154"/>
      <c r="MC120" s="145"/>
      <c r="MD120" s="117"/>
      <c r="ME120" s="211"/>
      <c r="MF120" s="210"/>
      <c r="MG120" s="148"/>
      <c r="MH120" s="148"/>
      <c r="MI120" s="265"/>
      <c r="MJ120" s="647"/>
      <c r="MK120" s="264"/>
      <c r="ML120" s="153"/>
      <c r="MM120" s="153"/>
      <c r="MN120" s="153"/>
      <c r="MO120" s="153"/>
      <c r="MP120" s="153"/>
      <c r="MQ120" s="153"/>
      <c r="MR120" s="153"/>
      <c r="MS120" s="99"/>
      <c r="MT120" s="99"/>
      <c r="MU120" s="99"/>
      <c r="MV120" s="99"/>
      <c r="MW120" s="99"/>
      <c r="MX120" s="99"/>
      <c r="MY120" s="153"/>
      <c r="MZ120" s="153"/>
      <c r="NA120" s="153"/>
      <c r="NB120" s="153"/>
      <c r="NC120" s="153"/>
      <c r="ND120" s="153"/>
      <c r="NE120" s="153"/>
      <c r="NF120" s="153"/>
      <c r="NG120" s="153"/>
      <c r="NH120" s="330" t="str">
        <f t="shared" si="1039"/>
        <v>ks</v>
      </c>
      <c r="NI120" s="797">
        <f>RZ[[#This Row],[Počet ks (K)]]</f>
        <v>0</v>
      </c>
      <c r="NJ120" s="798">
        <f>RZ[[#This Row],[Hmotnost '[kg/ks'] (K)]]</f>
        <v>0</v>
      </c>
      <c r="NK120" s="153"/>
      <c r="NL120" s="153"/>
      <c r="NM120" s="632"/>
      <c r="NN120" s="153"/>
      <c r="NO120" s="153"/>
      <c r="NP120" s="153"/>
      <c r="NQ120" s="153"/>
      <c r="NR120" s="153"/>
      <c r="NS120" s="153"/>
      <c r="NT120" s="153"/>
      <c r="NU120" s="153"/>
      <c r="NV120" s="148"/>
      <c r="NW120" s="633"/>
    </row>
    <row r="121" spans="2:387" ht="15.95" customHeight="1" x14ac:dyDescent="0.35">
      <c r="B121" s="118" t="str">
        <f>IF(HF121=0,"",HF121)</f>
        <v/>
      </c>
      <c r="C1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1" s="262" t="str">
        <f>IF(HG121&lt;&gt;"",HG121,IF(HH121&lt;&gt;"","  "&amp;HH121,IF(HI121&lt;&gt;"","  "&amp;"  "&amp;HI121,IF(HJ121&lt;&gt;"","  "&amp;"  "&amp;"  "&amp;HJ121,IF(HK121&lt;&gt;"","  "&amp;"  "&amp;"  "&amp;"  "&amp;HK121,IF(HL121&lt;&gt;"","  "&amp;"  "&amp;"  "&amp;"  "&amp;"  "&amp;HL121,IF(HM121&lt;&gt;"","  "&amp;"  "&amp;"  "&amp;"  "&amp;"  "&amp;"  "&amp;HM121,IF(HN121&lt;&gt;"","  "&amp;"  "&amp;"  "&amp;"  "&amp;"  "&amp;"  "&amp;"  "&amp;HN121,IF(HO121&lt;&gt;"","  "&amp;"  "&amp;"  "&amp;"  "&amp;"  "&amp;"  "&amp;"  "&amp;"  "&amp;HO121,IF(HP121&lt;&gt;"","  "&amp;"  "&amp;"  "&amp;"  "&amp;"  "&amp;"  "&amp;"  "&amp;"  "&amp;"  "&amp;HP121,0))))))))))</f>
        <v xml:space="preserve">    Ocelové profily</v>
      </c>
      <c r="E121" s="120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Row],[Kód položek (P2)]]))))))))))</f>
        <v>OKHM</v>
      </c>
      <c r="F121" s="791" t="str">
        <f>IF(HS121=0,"N/A",HS121)</f>
        <v>N/A</v>
      </c>
      <c r="G121" s="792" t="str">
        <f>IF(HT121=0,"",HT121)</f>
        <v/>
      </c>
      <c r="H121" s="262" t="str">
        <f>IF(HU121=0,"",HU121)</f>
        <v/>
      </c>
      <c r="I121" s="123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HR '[MJHR'] (P0)]]))))))))))</f>
        <v>ks</v>
      </c>
      <c r="J121" s="123">
        <f>IF(IF121=0,"",IF121)</f>
        <v>1</v>
      </c>
      <c r="K121" s="793">
        <f>RZ[[#This Row],[Koeficient odhadu HR '[-'] (P1)]]</f>
        <v>1</v>
      </c>
      <c r="L121" s="124">
        <f ca="1">RZ[[#This Row],[Jednotková hmotnost s koef. '[kg/MJHR'] (P0)]]</f>
        <v>7.5</v>
      </c>
      <c r="M121" s="794">
        <f ca="1">IF(ISNUMBER(K121),L121/K121*(K121-1),0)</f>
        <v>0</v>
      </c>
      <c r="N121" s="125">
        <f ca="1">IF(ISNUMBER(J121),J121*L121,0)</f>
        <v>7.5</v>
      </c>
      <c r="O121" s="125">
        <f ca="1">IF(ISNUMBER(J121),J121*M121,0)</f>
        <v>0</v>
      </c>
      <c r="P121" s="126" t="str">
        <f>IF(HR121=0,"",HR121)</f>
        <v/>
      </c>
      <c r="Q121" s="795">
        <f ca="1">RZ[[#This Row],[Počet MJHR v rozpadu (P0)]]</f>
        <v>2</v>
      </c>
      <c r="R121" s="439" t="str">
        <f>IF(HV121&lt;&gt;0,HV121,"")</f>
        <v/>
      </c>
      <c r="S121" s="129" t="str">
        <f>IF(HW121&lt;&gt;0,HW121,"")</f>
        <v/>
      </c>
      <c r="T121" s="126" t="str">
        <f>IF(HX121=0,"",HX121)</f>
        <v/>
      </c>
      <c r="U121" s="126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CR (MJCR) (P0)]]))))))))))</f>
        <v>kg</v>
      </c>
      <c r="V121" s="575">
        <f ca="1">IF(IK121=0,"",IK121)</f>
        <v>7.5</v>
      </c>
      <c r="W121" s="322">
        <f>RZ[[#This Row],[Koeficient odhadu CR '[-'] (P1)]]</f>
        <v>1</v>
      </c>
      <c r="X121" s="440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Row],[Jednotková cena bez DPH '[cena/MJCR'] (P1)]]*RZ[[#This Row],[Koeficient odhadu CR '[-']]]))))))))))</f>
        <v>40</v>
      </c>
      <c r="Y121" s="440">
        <f ca="1">IF(ISNUMBER(X121),-X121/W121*(W121-1),0)</f>
        <v>0</v>
      </c>
      <c r="Z121" s="142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VLOOKUP(IP121,$BR$7:$BS$11,2,FALSE)))))))))))</f>
        <v>CZK</v>
      </c>
      <c r="AA121" s="909">
        <f ca="1">GJ121</f>
        <v>15</v>
      </c>
      <c r="AB121" s="910">
        <f ca="1">RZ[[#This Row],[Kumulovaný koeficient v rozpadu (P0)]]</f>
        <v>1</v>
      </c>
      <c r="AC121" s="261"/>
      <c r="AD121" s="796">
        <f ca="1">RZ[[#This Row],[Jednotková cena bez DPH '[cena/MJCR'] s koef. (P0)]]/RZ[[#This Row],[Koeficient odhadu CR '[-']]]*RZ[[#This Row],[Kumulovaný koeficient odhadu CR  '[-']]]</f>
        <v>40</v>
      </c>
      <c r="AE121" s="796">
        <f ca="1">IF(ISNUMBER(AA121),AA121*AD121,0)*IF(V121="",0,1)</f>
        <v>600</v>
      </c>
      <c r="AF121" s="796">
        <f ca="1">-IF(ISNUMBER(AA121),RZ[[#This Row],[Celková cena bez DPH (1)]]-RZ[[#This Row],[Jednotková cena bez DPH '[cena/MJCR'] bez koef. (P0)]]*AA121,0)</f>
        <v>0</v>
      </c>
      <c r="AG1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21" s="261"/>
      <c r="AI121" s="796">
        <f ca="1">AD121/VLOOKUP($AJ$13,KURZY,3,FALSE)</f>
        <v>1.4814814814814814</v>
      </c>
      <c r="AJ121" s="796">
        <f ca="1">AE121/VLOOKUP($AJ$13,KURZY,3,FALSE)*IF(V121="",0,1)</f>
        <v>22.222222222222221</v>
      </c>
      <c r="AK121" s="796">
        <f ca="1">AF121/VLOOKUP($AJ$13,KURZY,3,FALSE)</f>
        <v>0</v>
      </c>
      <c r="AL121" s="753">
        <f ca="1">RZ[[#This Row],[Kilogramová cena bez DPH '[cena/kg'] (1)]]/$AK$13</f>
        <v>1.4814814814814814</v>
      </c>
      <c r="AM121" s="261"/>
      <c r="AN121" s="796">
        <f ca="1">AD121/VLOOKUP($AO$13,KURZY,3,FALSE)</f>
        <v>1.9323671497584543</v>
      </c>
      <c r="AO121" s="796">
        <f ca="1">AE121/VLOOKUP($AO$13,KURZY,3,FALSE)*IF(V121="",0,1)</f>
        <v>28.985507246376812</v>
      </c>
      <c r="AP121" s="796">
        <f ca="1">AF121/VLOOKUP($AO$13,KURZY,3,FALSE)</f>
        <v>0</v>
      </c>
      <c r="AQ121" s="753">
        <f ca="1">RZ[[#This Row],[Kilogramová cena bez DPH '[cena/kg'] (1)]]/$AP$13</f>
        <v>1.9323671497584543</v>
      </c>
      <c r="AR121" s="261"/>
      <c r="AS121" s="796">
        <f ca="1">AD121/VLOOKUP($AT$13,KURZY,3,FALSE)</f>
        <v>1.0940919037199124</v>
      </c>
      <c r="AT121" s="796">
        <f ca="1">AE121/VLOOKUP($AT$13,KURZY,3,FALSE)*IF(V121="",0,1)</f>
        <v>16.411378555798684</v>
      </c>
      <c r="AU121" s="789">
        <f ca="1">AF121/VLOOKUP($AT$13,KURZY,3,FALSE)</f>
        <v>0</v>
      </c>
      <c r="AV121" s="767">
        <f ca="1">RZ[[#This Row],[Kilogramová cena bez DPH '[cena/kg'] (1)]]/$AU$13</f>
        <v>1.0940919037199124</v>
      </c>
      <c r="AW121" s="165"/>
      <c r="AX121" s="911">
        <f ca="1">IF($BH121=0,IF(AY121&gt;0,OFFSET(AX121,-1,0,1,1),0),OFFSET(AX121,-1,0,1,1)+1)</f>
        <v>2</v>
      </c>
      <c r="AY121" s="111">
        <f ca="1">IF($BI121=0,IF(AZ121&gt;0,OFFSET(AY121,-1,0,1,1),0),OFFSET(AY121,-1,0,1,1)+1)</f>
        <v>10</v>
      </c>
      <c r="AZ121" s="111">
        <f ca="1">IF($BJ121=0,IF(BA121&gt;0,OFFSET(AZ121,-1,0,1,1),0),OFFSET(AZ121,-1,0,1,1)+1)</f>
        <v>3</v>
      </c>
      <c r="BA121" s="111">
        <f ca="1">IF($BK121=0,IF(BB121&gt;0,OFFSET(BA121,-1,0,1,1),0),OFFSET(BA121,-1,0,1,1)+1)</f>
        <v>0</v>
      </c>
      <c r="BB121" s="111">
        <f ca="1">IF($BL121=0,IF(BC121&gt;0,OFFSET(BB121,-1,0,1,1),0),OFFSET(BB121,-1,0,1,1)+1)</f>
        <v>0</v>
      </c>
      <c r="BC121" s="111">
        <f ca="1">IF($BM121=0,IF(BD121&gt;0,OFFSET(BC121,-1,0,1,1),0),OFFSET(BC121,-1,0,1,1)+1)</f>
        <v>0</v>
      </c>
      <c r="BD121" s="111">
        <f ca="1">IF($BN121=0,IF(BE121&gt;0,OFFSET(BD121,-1,0,1,1),0),OFFSET(BD121,-1,0,1,1)+1)</f>
        <v>0</v>
      </c>
      <c r="BE121" s="111">
        <f ca="1">IF($BO121=0,IF(BF121&gt;0,OFFSET(BE121,-1,0,1,1),0),OFFSET(BE121,-1,0,1,1)+1)</f>
        <v>0</v>
      </c>
      <c r="BF121" s="111">
        <f ca="1">IF($BP121=0,IF(BG121&gt;0,OFFSET(BF121,-1,0,1,1),0),OFFSET(BF121,-1,0,1,1)+1)</f>
        <v>0</v>
      </c>
      <c r="BG121" s="112">
        <f ca="1">IF($BQ121=0,0,OFFSET($BG121,-1,0,1,1)+1)</f>
        <v>0</v>
      </c>
      <c r="BH121" s="911">
        <f t="shared" ref="BH121:BQ121" si="1040">IF(HG121="",0,1)</f>
        <v>0</v>
      </c>
      <c r="BI121" s="111">
        <f t="shared" si="1040"/>
        <v>0</v>
      </c>
      <c r="BJ121" s="111">
        <f t="shared" si="1040"/>
        <v>1</v>
      </c>
      <c r="BK121" s="111">
        <f t="shared" si="1040"/>
        <v>0</v>
      </c>
      <c r="BL121" s="111">
        <f t="shared" si="1040"/>
        <v>0</v>
      </c>
      <c r="BM121" s="111">
        <f t="shared" si="1040"/>
        <v>0</v>
      </c>
      <c r="BN121" s="111">
        <f t="shared" si="1040"/>
        <v>0</v>
      </c>
      <c r="BO121" s="111">
        <f t="shared" si="1040"/>
        <v>0</v>
      </c>
      <c r="BP121" s="111">
        <f t="shared" si="1040"/>
        <v>0</v>
      </c>
      <c r="BQ121" s="112">
        <f t="shared" si="1040"/>
        <v>0</v>
      </c>
      <c r="BR121" s="132">
        <f ca="1">IF(OFFSET(AY121,1,0,1,1)&lt;&gt;0,RZ[[#This Row],[Koeficient odhadu HR '[-'] (P1)]]*$BH121*SUMIFS(RZ[Úroveň 2 s koef. (P2)],RZ[0],AX121),RZ[[#This Row],[Koeficient odhadu HR '[-'] (P1)]]*$BH121*$IG121)</f>
        <v>0</v>
      </c>
      <c r="BS121" s="186">
        <f ca="1">IF(OFFSET(AY121,1,0,1,1)&lt;&gt;0,$BH121*SUMIFS(RZ[Úroveň 2 bez koef. (P2)],RZ[0],AX121),$BH121*$IG121)</f>
        <v>0</v>
      </c>
      <c r="BT121" s="138">
        <f ca="1">RZ[[#This Row],[Úroveň 2 s koef. (P2a)]]*RZ[[#This Row],[Počet MJHR (P0)]]</f>
        <v>0</v>
      </c>
      <c r="BU121" s="138">
        <f ca="1">RZ[[#This Row],[Úroveň 2 bez koef. (P2a)]]*RZ[[#This Row],[Počet MJHR (P0)]]</f>
        <v>0</v>
      </c>
      <c r="BV121" s="138">
        <f ca="1">IF(OFFSET(AZ121,1,0,1,1)&lt;&gt;0,RZ[[#This Row],[Koeficient odhadu HR '[-'] (P1)]]*$BI121*SUMIFS(RZ[Úroveň 3 s koef. (P2)],RZ[0],AX121,RZ[Úroveň 2 (P0)],AY121),RZ[[#This Row],[Koeficient odhadu HR '[-'] (P1)]]*$BI121*$IG121)</f>
        <v>0</v>
      </c>
      <c r="BW121" s="138">
        <f ca="1">IF(OFFSET(AZ121,1,0,1,1)&lt;&gt;0,$BI121*SUMIFS(RZ[Úroveň 3 bez koef. (P2)],RZ[0],AX121,RZ[Úroveň 2 (P0)],AY121),$BI121*$IG121)</f>
        <v>0</v>
      </c>
      <c r="BX121" s="132">
        <f ca="1">RZ[[#This Row],[Úroveň 3 s koef. (P2a)]]*RZ[[#This Row],[Počet MJHR (P0)]]</f>
        <v>7.5</v>
      </c>
      <c r="BY121" s="132">
        <f ca="1">RZ[Úroveň 3 bez koef. (P2a)]*RZ[[#This Row],[Počet MJHR (P0)]]</f>
        <v>7.5</v>
      </c>
      <c r="BZ121" s="132">
        <f ca="1">IF(OFFSET(BA121,1,0,1,1)&lt;&gt;0,RZ[[#This Row],[Koeficient odhadu HR '[-'] (P1)]]*$BJ121*SUMIFS(RZ[Úroveň 4 s koef. (P2)],RZ[0],AX121,RZ[Úroveň 2 (P0)],AY121,RZ[Úroveň 3 (P0)],AZ121),RZ[[#This Row],[Koeficient odhadu HR '[-'] (P1)]]*$BJ121*$IG121)</f>
        <v>7.5</v>
      </c>
      <c r="CA121" s="132">
        <f ca="1">IF(OFFSET(BA121,1,0,1,1)&lt;&gt;0,$BJ121*SUMIFS(RZ[Úroveň 4 bez koef. (P2)],RZ[0],AX121,RZ[Úroveň 2 (P0)],AY121,RZ[Úroveň 3 (P0)],AZ121),$BJ121*$IG121)</f>
        <v>7.5</v>
      </c>
      <c r="CB121" s="138">
        <f ca="1">RZ[[#This Row],[Úroveň 4 s koef. (P2a)]]*RZ[[#This Row],[Počet MJHR (P0)]]</f>
        <v>0</v>
      </c>
      <c r="CC121" s="138">
        <f ca="1">RZ[Úroveň 4 bez koef. (P2a)]*RZ[[#This Row],[Počet MJHR (P0)]]</f>
        <v>0</v>
      </c>
      <c r="CD121" s="138">
        <f ca="1">IF(OFFSET(BB121,1,0,1,1)&lt;&gt;0,RZ[[#This Row],[Koeficient odhadu HR '[-'] (P1)]]*$BK121*SUMIFS(RZ[Úroveň 5 s koef. (P2)],RZ[0],AX121,RZ[Úroveň 2 (P0)],AY121,RZ[Úroveň 3 (P0)],AZ121,RZ[Úroveň 4 (P0)],BA121),RZ[[#This Row],[Koeficient odhadu HR '[-'] (P1)]]*$BK121*$IG121)</f>
        <v>0</v>
      </c>
      <c r="CE121" s="138">
        <f ca="1">IF(OFFSET(BB121,1,0,1,1)&lt;&gt;0,$BK121*SUMIFS(RZ[Úroveň 5 bez koef. (P2)],RZ[0],AX121,RZ[Úroveň 2 (P0)],AY121,RZ[Úroveň 3 (P0)],AZ121,RZ[Úroveň 4 (P0)],BA121),$BK121*$IG121)</f>
        <v>0</v>
      </c>
      <c r="CF121" s="132">
        <f ca="1">RZ[[#This Row],[Úroveň 5 s koef. (P2a)]]*RZ[[#This Row],[Počet MJHR (P0)]]</f>
        <v>0</v>
      </c>
      <c r="CG121" s="132">
        <f ca="1">RZ[Úroveň 5 bez koef. (P2a)]*RZ[[#This Row],[Počet MJHR (P0)]]</f>
        <v>0</v>
      </c>
      <c r="CH121" s="132">
        <f ca="1">IF(OFFSET(BC121,1,0,1,1)&lt;&gt;0,RZ[[#This Row],[Koeficient odhadu HR '[-'] (P1)]]*$BL121*SUMIFS(RZ[Úroveň 6 s koef. (P2)],RZ[0],AX121,RZ[Úroveň 2 (P0)],AY121,RZ[Úroveň 3 (P0)],AZ121,RZ[Úroveň 4 (P0)],BA121,RZ[Úroveň 5 (P0)],BB121),RZ[[#This Row],[Koeficient odhadu HR '[-'] (P1)]]*$BL121*$IG121)</f>
        <v>0</v>
      </c>
      <c r="CI121" s="132">
        <f ca="1">IF(OFFSET(BC121,1,0,1,1)&lt;&gt;0,$BL121*SUMIFS(RZ[Úroveň 6 bez koef. (P2)],RZ[0],AX121,RZ[Úroveň 2 (P0)],AY121,RZ[Úroveň 3 (P0)],AZ121,RZ[Úroveň 4 (P0)],BA121,RZ[Úroveň 5 (P0)],BB121),$BL121*$IG121)</f>
        <v>0</v>
      </c>
      <c r="CJ121" s="138">
        <f ca="1">RZ[[#This Row],[Úroveň 6 s koef. (P2a)]]*RZ[[#This Row],[Počet MJHR (P0)]]</f>
        <v>0</v>
      </c>
      <c r="CK121" s="138">
        <f ca="1">RZ[Úroveň 6 bez koef. (P2a)]*RZ[[#This Row],[Počet MJHR (P0)]]</f>
        <v>0</v>
      </c>
      <c r="CL121" s="138">
        <f ca="1">IF(OFFSET(BD121,1,0,1,1)&lt;&gt;0,RZ[[#This Row],[Koeficient odhadu HR '[-'] (P1)]]*$BM121*SUMIFS(RZ[Úroveň 7 s koef. (P2)],RZ[0],AX121,RZ[Úroveň 2 (P0)],AY121,RZ[Úroveň 3 (P0)],AZ121,RZ[Úroveň 4 (P0)],BA121,RZ[Úroveň 5 (P0)],BB121,RZ[Úroveň 6 (P0)],BC121),RZ[[#This Row],[Koeficient odhadu HR '[-'] (P1)]]*$BM121*$IG121)</f>
        <v>0</v>
      </c>
      <c r="CM121" s="138">
        <f ca="1">IF(OFFSET(BD121,1,0,1,1)&lt;&gt;0,$BM121*SUMIFS(RZ[Úroveň 7 bez koef. (P2)],RZ[0],AX121,RZ[Úroveň 2 (P0)],AY121,RZ[Úroveň 3 (P0)],AZ121,RZ[Úroveň 4 (P0)],BA121,RZ[Úroveň 5 (P0)],BB121,RZ[Úroveň 6 (P0)],BC121),$BM121*$IG121)</f>
        <v>0</v>
      </c>
      <c r="CN121" s="132">
        <f ca="1">RZ[[#This Row],[Úroveň 7 s koef. (P2a)]]*RZ[[#This Row],[Počet MJHR (P0)]]</f>
        <v>0</v>
      </c>
      <c r="CO121" s="132">
        <f ca="1">RZ[Úroveň 7 bez koef. (P2a)]*RZ[[#This Row],[Počet MJHR (P0)]]</f>
        <v>0</v>
      </c>
      <c r="CP121" s="132">
        <f ca="1">IF(OFFSET(BE121,1,0,1,1)&lt;&gt;0,RZ[[#This Row],[Koeficient odhadu HR '[-'] (P1)]]*$BN121*SUMIFS(RZ[Úroveň 8 s koef. (P2)],RZ[0],AX121,RZ[Úroveň 2 (P0)],AY121,RZ[Úroveň 3 (P0)],AZ121,RZ[Úroveň 4 (P0)],BA121,RZ[Úroveň 5 (P0)],BB121,RZ[Úroveň 6 (P0)],BC121,RZ[Úroveň 7 (P0)],BD121),RZ[[#This Row],[Koeficient odhadu HR '[-'] (P1)]]*$BN121*$IG121)</f>
        <v>0</v>
      </c>
      <c r="CQ121" s="132">
        <f ca="1">IF(OFFSET(BE121,1,0,1,1)&lt;&gt;0,$BN121*SUMIFS(RZ[Úroveň 8 bez koef. (P2)],RZ[0],AX121,RZ[Úroveň 2 (P0)],AY121,RZ[Úroveň 3 (P0)],AZ121,RZ[Úroveň 4 (P0)],BA121,RZ[Úroveň 5 (P0)],BB121,RZ[Úroveň 6 (P0)],BC121,RZ[Úroveň 7 (P0)],BD121),$BN121*$IG121)</f>
        <v>0</v>
      </c>
      <c r="CR121" s="138">
        <f ca="1">RZ[[#This Row],[Úroveň 8 s koef. (P2a)]]*RZ[[#This Row],[Počet MJHR (P0)]]</f>
        <v>0</v>
      </c>
      <c r="CS121" s="138">
        <f ca="1">RZ[Úroveň 8 bez koef. (P2a)]*RZ[[#This Row],[Počet MJHR (P0)]]</f>
        <v>0</v>
      </c>
      <c r="CT121" s="138">
        <f ca="1">IF(OFFSET(BF121,1,0,1,1)&lt;&gt;0,RZ[[#This Row],[Koeficient odhadu HR '[-'] (P1)]]*$BO121*SUMIFS(RZ[Úroveň 9 s koef. (P2)],RZ[0],AX121,RZ[Úroveň 2 (P0)],AY121,RZ[Úroveň 3 (P0)],AZ121,RZ[Úroveň 4 (P0)],BA121,RZ[Úroveň 5 (P0)],BB121,RZ[Úroveň 6 (P0)],BC121,RZ[Úroveň 7 (P0)],BD121,RZ[Úroveň 8 (P0)],BE121),RZ[[#This Row],[Koeficient odhadu HR '[-'] (P1)]]*$BO121*$IG121)</f>
        <v>0</v>
      </c>
      <c r="CU121" s="138">
        <f ca="1">IF(OFFSET(BF121,1,0,1,1)&lt;&gt;0,$BO121*SUMIFS(RZ[Úroveň 9 bez koef. (P2)],RZ[0],AX121,RZ[Úroveň 2 (P0)],AY121,RZ[Úroveň 3 (P0)],AZ121,RZ[Úroveň 4 (P0)],BA121,RZ[Úroveň 5 (P0)],BB121,RZ[Úroveň 6 (P0)],BC121,RZ[Úroveň 7 (P0)],BD121,RZ[Úroveň 8 (P0)],BE121),$BO121*$IG121)</f>
        <v>0</v>
      </c>
      <c r="CV121" s="132">
        <f ca="1">RZ[[#This Row],[Úroveň 9 s koef. (P2a)]]*RZ[[#This Row],[Počet MJHR (P0)]]</f>
        <v>0</v>
      </c>
      <c r="CW121" s="132">
        <f ca="1">RZ[Úroveň 9 bez koef. (P2a)]*RZ[[#This Row],[Počet MJHR (P0)]]</f>
        <v>0</v>
      </c>
      <c r="CX121" s="132">
        <f ca="1">IF(OFFSET(BG121,1,0,1,1)&lt;&gt;0,RZ[[#This Row],[Koeficient odhadu HR '[-'] (P1)]]*$BP121*SUMIFS(RZ[Úroveň 10 s koef. (P2)],RZ[0],AX121,RZ[Úroveň 2 (P0)],AY121,RZ[Úroveň 3 (P0)],AZ121,RZ[Úroveň 4 (P0)],BA121,RZ[Úroveň 5 (P0)],BB121,RZ[Úroveň 6 (P0)],BC121,RZ[Úroveň 7 (P0)],BD121,RZ[Úroveň 8 (P0)],BE121,RZ[Úroveň 9 (P0)],BF121),RZ[[#This Row],[Koeficient odhadu HR '[-'] (P1)]]*$BP121*$IG121)</f>
        <v>0</v>
      </c>
      <c r="CY121" s="132">
        <f ca="1">IF(OFFSET(BG121,1,0,1,1)&lt;&gt;0,$BP121*SUMIFS(RZ[Úroveň 10 bez koef. (P2)],RZ[0],AX121,RZ[Úroveň 2 (P0)],AY121,RZ[Úroveň 3 (P0)],AZ121,RZ[Úroveň 4 (P0)],BA121,RZ[Úroveň 5 (P0)],BB121,RZ[Úroveň 6 (P0)],BC121,RZ[Úroveň 7 (P0)],BD121,RZ[Úroveň 8 (P0)],BE121,RZ[Úroveň 9 (P0)],BF121),$BP121*$IG121)</f>
        <v>0</v>
      </c>
      <c r="CZ121" s="138">
        <f>RZ[[#This Row],[Úroveň 10 s koef. (P2a)]]*RZ[[#This Row],[Počet MJHR (P0)]]</f>
        <v>0</v>
      </c>
      <c r="DA121" s="138">
        <f>RZ[Úroveň 10 bez koef. (P2a)]*RZ[[#This Row],[Počet MJHR (P0)]]</f>
        <v>0</v>
      </c>
      <c r="DB121" s="138">
        <f>RZ[[#This Row],[Koeficient odhadu HR '[-'] (P1)]]*$BQ121*IG121</f>
        <v>0</v>
      </c>
      <c r="DC121" s="231">
        <f>$BQ121*IG121</f>
        <v>0</v>
      </c>
      <c r="DD121" s="241">
        <f ca="1">IF(BH121=1,BR121,IF(BI121=1,BV121,IF(BJ121=1,BZ121,IF(BK121=1,CD121,IF(BL121=1,CH121,IF(BM121=1,CL121,IF(BN121=1,CP121,IF(BO121=1,CT121,IF(BP121=1,CX121,DB121)))))))))</f>
        <v>7.5</v>
      </c>
      <c r="DE121" s="229">
        <f ca="1">IF(BH121=1,BS121,IF(BI121=1,BW121,IF(BJ121=1,CA121,IF(BK121=1,CE121,IF(BL121=1,CI121,IF(BM121=1,CM121,IF(BN121=1,CQ121,IF(BO121=1,CU121,IF(BP121=1,CY121,DC121)))))))))</f>
        <v>7.5</v>
      </c>
      <c r="DF121" s="912">
        <f t="shared" ref="DF121:DO121" si="1041">BH121*$IF121</f>
        <v>0</v>
      </c>
      <c r="DG121" s="913">
        <f t="shared" si="1041"/>
        <v>0</v>
      </c>
      <c r="DH121" s="913">
        <f t="shared" si="1041"/>
        <v>1</v>
      </c>
      <c r="DI121" s="913">
        <f t="shared" si="1041"/>
        <v>0</v>
      </c>
      <c r="DJ121" s="913">
        <f t="shared" si="1041"/>
        <v>0</v>
      </c>
      <c r="DK121" s="913">
        <f t="shared" si="1041"/>
        <v>0</v>
      </c>
      <c r="DL121" s="913">
        <f t="shared" si="1041"/>
        <v>0</v>
      </c>
      <c r="DM121" s="913">
        <f t="shared" si="1041"/>
        <v>0</v>
      </c>
      <c r="DN121" s="913">
        <f t="shared" si="1041"/>
        <v>0</v>
      </c>
      <c r="DO121" s="913">
        <f t="shared" si="1041"/>
        <v>0</v>
      </c>
      <c r="DP121" s="914">
        <f ca="1">SUMIFS(RZ[Úroveň 1 (P4)],RZ[0],AX121)</f>
        <v>1</v>
      </c>
      <c r="DQ121" s="914">
        <f ca="1">SUMIFS(RZ[Úroveň 2 (P4)],RZ[0],AX121,RZ[Úroveň 2 (P0)],AY121)</f>
        <v>2</v>
      </c>
      <c r="DR121" s="914">
        <f ca="1">SUMIFS(RZ[Úroveň 3 (P4)],RZ[0],AX121,RZ[Úroveň 2 (P0)],AY121,RZ[Úroveň 3 (P0)],AZ121)</f>
        <v>1</v>
      </c>
      <c r="DS121" s="914">
        <f ca="1">SUMIFS(RZ[Úroveň 4 (P4)],RZ[0],AX121,RZ[Úroveň 2 (P0)],AY121,RZ[Úroveň 3 (P0)],AZ121,RZ[Úroveň 4 (P0)],BA121)</f>
        <v>0</v>
      </c>
      <c r="DT121" s="914">
        <f ca="1">SUMIFS(RZ[Úroveň 5 (P4)],RZ[0],AX121,RZ[Úroveň 2 (P0)],AY121,RZ[Úroveň 3 (P0)],AZ121,RZ[Úroveň 4 (P0)],BA121,RZ[Úroveň 5 (P0)],BB121)</f>
        <v>0</v>
      </c>
      <c r="DU121" s="914">
        <f ca="1">SUMIFS(RZ[Úroveň 6 (P4)],RZ[0],AX121,RZ[Úroveň 2 (P0)],AY121,RZ[Úroveň 3 (P0)],AZ121,RZ[Úroveň 4 (P0)],BA121,RZ[Úroveň 5 (P0)],BB121,RZ[Úroveň 6 (P0)],BC121)</f>
        <v>0</v>
      </c>
      <c r="DV121" s="914">
        <f ca="1">SUMIFS(RZ[Úroveň 7 (P4)],RZ[0],AX121,RZ[Úroveň 2 (P0)],AY121,RZ[Úroveň 3 (P0)],AZ121,RZ[Úroveň 4 (P0)],BA121,RZ[Úroveň 5 (P0)],BB121,RZ[Úroveň 6 (P0)],BC121,RZ[Úroveň 7 (P0)],BD121)</f>
        <v>0</v>
      </c>
      <c r="DW121" s="914">
        <f ca="1">SUMIFS(RZ[Úroveň 8 (P4)],RZ[0],AX121,RZ[Úroveň 2 (P0)],AY121,RZ[Úroveň 3 (P0)],AZ121,RZ[Úroveň 4 (P0)],BA121,RZ[Úroveň 5 (P0)],BB121,RZ[Úroveň 6 (P0)],BC121,RZ[Úroveň 7 (P0)],BD121,RZ[Úroveň 8 (P0)],BE121)</f>
        <v>0</v>
      </c>
      <c r="DX121" s="914">
        <f ca="1">SUMIFS(RZ[Úroveň 9 (P4)],RZ[0],AX121,RZ[Úroveň 2 (P0)],AY121,RZ[Úroveň 3 (P0)],AZ121,RZ[Úroveň 4 (P0)],BA121,RZ[Úroveň 5 (P0)],BB121,RZ[Úroveň 6 (P0)],BC121,RZ[Úroveň 7 (P0)],BD121,RZ[Úroveň 8 (P0)],BE121,RZ[Úroveň 9 (P0)],BF121)</f>
        <v>0</v>
      </c>
      <c r="DY121" s="914">
        <f ca="1">SUMIFS(RZ[Úroveň 10 (P4)],RZ[0],AX121,RZ[Úroveň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DZ121" s="915">
        <f ca="1">IF(DP121&lt;&gt;0,DP121,1)*IF(DQ121&lt;&gt;0,DQ121,1)*IF(DR121&lt;&gt;0,DR121,1)*IF(DS121&lt;&gt;0,DS121,1)*IF(DT121&lt;&gt;0,DT121,1)*IF(DU121&lt;&gt;0,DU121,1)*IF(DV121&lt;&gt;0,DV121,1)*IF(DW121&lt;&gt;0,DW121,1)*IF(DX121&lt;&gt;0,DX121,1)*IF(DY121&lt;&gt;0,DY121,1)</f>
        <v>2</v>
      </c>
      <c r="EA121" s="916">
        <f ca="1">RZ[[#This Row],[Jednotková hmotnost bez koef. '[kg/MJHR'] (P0)]]*RZ[[#This Row],[Počet MJHR v rozpadu (P0)]]</f>
        <v>15</v>
      </c>
      <c r="EB121" s="917">
        <f ca="1">IF(OFFSET(AY121,1,0,1,1)&lt;&gt;0,RZ[[#This Row],[Koeficient odhadu CR '[-'] (P1)]]*$BH121*SUMIFS(RZ[Úroveň 2 s koef. (P3)],RZ[0],AX121),RZ[[#This Row],[Koeficient odhadu CR '[-'] (P1)]]*$BH121*$IQ121)</f>
        <v>0</v>
      </c>
      <c r="EC121" s="191">
        <f ca="1">IF(OFFSET(AY121,1,0,1,1)&lt;&gt;0,$BH121*SUMIFS(RZ[Úroveň 2 bez koef. (P3)],RZ[0],AX121),$BH121*$IQ121)</f>
        <v>0</v>
      </c>
      <c r="ED121" s="140">
        <f ca="1">RZ[[#This Row],[Úroveň 2 s koef. (P3a)]]*RZ[[#This Row],[Počet MJCR (P0) pro "kg"]]</f>
        <v>0</v>
      </c>
      <c r="EE121" s="140">
        <f ca="1">RZ[Úroveň 2 bez koef. (P3a)]*RZ[[#This Row],[Počet MJCR (P0) pro "kg"]]</f>
        <v>0</v>
      </c>
      <c r="EF121" s="140">
        <f ca="1">IF(OFFSET(AZ121,1,0,1,1)&lt;&gt;0,RZ[[#This Row],[Koeficient odhadu CR '[-'] (P1)]]*$BI121*SUMIFS(RZ[Úroveň 3 s koef. (P3)],RZ[0],AX121,RZ[Úroveň 2 (P0)],AY121),RZ[[#This Row],[Koeficient odhadu CR '[-'] (P1)]]*$BI121*$IQ121)</f>
        <v>0</v>
      </c>
      <c r="EG121" s="140">
        <f ca="1">IF(OFFSET(AZ121,1,0,1,1)&lt;&gt;0,$BI121*SUMIFS(RZ[Úroveň 3 bez koef. (P3)],RZ[0],AX121,RZ[Úroveň 2 (P0)],AY121),$BI121*$IQ121)</f>
        <v>0</v>
      </c>
      <c r="EH121" s="135">
        <f ca="1">RZ[[#This Row],[Úroveň 3 s koef. (P3a)]]*RZ[[#This Row],[Počet MJCR (P0) pro "kg"]]</f>
        <v>300</v>
      </c>
      <c r="EI121" s="135">
        <f ca="1">RZ[Úroveň 3 bez koef. (P3a)]*RZ[[#This Row],[Počet MJCR (P0) pro "kg"]]</f>
        <v>300</v>
      </c>
      <c r="EJ121" s="135">
        <f ca="1">IF(OFFSET(BA121,1,0,1,1)&lt;&gt;0,RZ[[#This Row],[Koeficient odhadu CR '[-'] (P1)]]*$BJ121*SUMIFS(RZ[Úroveň 4 s koef. (P3)],RZ[0],AX121,RZ[Úroveň 2 (P0)],AY121,RZ[Úroveň 3 (P0)],AZ121),RZ[[#This Row],[Koeficient odhadu CR '[-'] (P1)]]*$BJ121*$IQ121)</f>
        <v>40</v>
      </c>
      <c r="EK121" s="135">
        <f ca="1">IF(OFFSET(BA121,1,0,1,1)&lt;&gt;0,$BJ121*SUMIFS(RZ[Úroveň 4 bez koef. (P3)],RZ[0],AX121,RZ[Úroveň 2 (P0)],AY121,RZ[Úroveň 3 (P0)],AZ121),$BJ121*$IQ121)</f>
        <v>40</v>
      </c>
      <c r="EL121" s="140">
        <f ca="1">RZ[[#This Row],[Úroveň 4 s koef. (P3a)]]*RZ[[#This Row],[Počet MJCR (P0) pro "kg"]]</f>
        <v>0</v>
      </c>
      <c r="EM121" s="140">
        <f ca="1">RZ[Úroveň 4 bez koef. (P3a)]*RZ[[#This Row],[Počet MJCR (P0) pro "kg"]]</f>
        <v>0</v>
      </c>
      <c r="EN121" s="140">
        <f ca="1">IF(OFFSET(BB121,1,0,1,1)&lt;&gt;0,RZ[[#This Row],[Koeficient odhadu CR '[-'] (P1)]]*$BK121*SUMIFS(RZ[Úroveň 5 s koef. (P3)],RZ[0],AX121,RZ[Úroveň 2 (P0)],AY121,RZ[Úroveň 3 (P0)],AZ121,RZ[Úroveň 4 (P0)],BA121),RZ[[#This Row],[Koeficient odhadu CR '[-'] (P1)]]*$BK121*$IQ121)</f>
        <v>0</v>
      </c>
      <c r="EO121" s="140">
        <f ca="1">IF(OFFSET(BB121,1,0,1,1)&lt;&gt;0,$BK121*SUMIFS(RZ[Úroveň 5 bez koef. (P3)],RZ[0],AX121,RZ[Úroveň 2 (P0)],AY121,RZ[Úroveň 3 (P0)],AZ121,RZ[Úroveň 4 (P0)],BA121),$BK121*$IQ121)</f>
        <v>0</v>
      </c>
      <c r="EP121" s="135">
        <f ca="1">RZ[[#This Row],[Úroveň 5 s koef. (P3a)]]*RZ[[#This Row],[Počet MJCR (P0) pro "kg"]]</f>
        <v>0</v>
      </c>
      <c r="EQ121" s="135">
        <f ca="1">RZ[Úroveň 5 bez koef. (P3a)]*RZ[[#This Row],[Počet MJCR (P0) pro "kg"]]</f>
        <v>0</v>
      </c>
      <c r="ER121" s="135">
        <f ca="1">IF(OFFSET(BC121,1,0,1,1)&lt;&gt;0,RZ[[#This Row],[Koeficient odhadu CR '[-'] (P1)]]*$BL121*SUMIFS(RZ[Úroveň 6 s koef. (P3)],RZ[0],AX121,RZ[Úroveň 2 (P0)],AY121,RZ[Úroveň 3 (P0)],AZ121,RZ[Úroveň 4 (P0)],BA121,RZ[Úroveň 5 (P0)],BB121),RZ[[#This Row],[Koeficient odhadu CR '[-'] (P1)]]*$BL121*$IQ121)</f>
        <v>0</v>
      </c>
      <c r="ES121" s="135">
        <f ca="1">IF(OFFSET(BC121,1,0,1,1)&lt;&gt;0,$BL121*SUMIFS(RZ[Úroveň 6 bez koef. (P3)],RZ[0],AX121,RZ[Úroveň 2 (P0)],AY121,RZ[Úroveň 3 (P0)],AZ121,RZ[Úroveň 4 (P0)],BA121,RZ[Úroveň 5 (P0)],BB121),$BL121*$IQ121)</f>
        <v>0</v>
      </c>
      <c r="ET121" s="140">
        <f ca="1">RZ[[#This Row],[Úroveň 6 s koef. (P3a)]]*RZ[[#This Row],[Počet MJCR (P0) pro "kg"]]</f>
        <v>0</v>
      </c>
      <c r="EU121" s="140">
        <f ca="1">RZ[Úroveň 6 bez koef. (P3a)]*RZ[[#This Row],[Počet MJCR (P0) pro "kg"]]</f>
        <v>0</v>
      </c>
      <c r="EV121" s="140">
        <f ca="1">IF(OFFSET(BD121,1,0,1,1)&lt;&gt;0,RZ[[#This Row],[Koeficient odhadu CR '[-'] (P1)]]*$BM121*SUMIFS(RZ[Úroveň 7 s koef. (P3)],RZ[0],AX121,RZ[Úroveň 2 (P0)],AY121,RZ[Úroveň 3 (P0)],AZ121,RZ[Úroveň 4 (P0)],BA121,RZ[Úroveň 5 (P0)],BB121,RZ[Úroveň 6 (P0)],BC121),RZ[[#This Row],[Koeficient odhadu CR '[-'] (P1)]]*$BM121*$IQ121)</f>
        <v>0</v>
      </c>
      <c r="EW121" s="140">
        <f ca="1">IF(OFFSET(BD121,1,0,1,1)&lt;&gt;0,$BM121*SUMIFS(RZ[Úroveň 7 bez koef. (P3)],RZ[0],AX121,RZ[Úroveň 2 (P0)],AY121,RZ[Úroveň 3 (P0)],AZ121,RZ[Úroveň 4 (P0)],BA121,RZ[Úroveň 5 (P0)],BB121,RZ[Úroveň 6 (P0)],BC121),$BM121*$IQ121)</f>
        <v>0</v>
      </c>
      <c r="EX121" s="135">
        <f ca="1">RZ[[#This Row],[Úroveň 7 s koef. (P3a)]]*RZ[[#This Row],[Počet MJCR (P0) pro "kg"]]</f>
        <v>0</v>
      </c>
      <c r="EY121" s="135">
        <f ca="1">RZ[Úroveň 7 bez koef. (P3a)]*RZ[[#This Row],[Počet MJCR (P0) pro "kg"]]</f>
        <v>0</v>
      </c>
      <c r="EZ121" s="135">
        <f ca="1">IF(OFFSET(BE121,1,0,1,1)&lt;&gt;0,RZ[[#This Row],[Koeficient odhadu CR '[-'] (P1)]]*$BN121*SUMIFS(RZ[Úroveň 8 s koef. (P3)],RZ[0],AX121,RZ[Úroveň 2 (P0)],AY121,RZ[Úroveň 3 (P0)],AZ121,RZ[Úroveň 4 (P0)],BA121,RZ[Úroveň 5 (P0)],BB121,RZ[Úroveň 6 (P0)],BC121,RZ[Úroveň 7 (P0)],BD121),RZ[[#This Row],[Koeficient odhadu CR '[-'] (P1)]]*$BN121*$IQ121)</f>
        <v>0</v>
      </c>
      <c r="FA121" s="135">
        <f ca="1">IF(OFFSET(BE121,1,0,1,1)&lt;&gt;0,$BN121*SUMIFS(RZ[Úroveň 8 bez koef. (P3)],RZ[0],AX121,RZ[Úroveň 2 (P0)],AY121,RZ[Úroveň 3 (P0)],AZ121,RZ[Úroveň 4 (P0)],BA121,RZ[Úroveň 5 (P0)],BB121,RZ[Úroveň 6 (P0)],BC121,RZ[Úroveň 7 (P0)],BD121),$BN121*$IQ121)</f>
        <v>0</v>
      </c>
      <c r="FB121" s="140">
        <f ca="1">RZ[[#This Row],[Úroveň 8 s koef. (P3a)]]*RZ[[#This Row],[Počet MJCR (P0) pro "kg"]]</f>
        <v>0</v>
      </c>
      <c r="FC121" s="140">
        <f ca="1">RZ[Úroveň 8 bez koef. (P3a)]*RZ[[#This Row],[Počet MJCR (P0) pro "kg"]]</f>
        <v>0</v>
      </c>
      <c r="FD121" s="140">
        <f ca="1">IF(OFFSET(BF121,1,0,1,1)&lt;&gt;0,RZ[[#This Row],[Koeficient odhadu CR '[-'] (P1)]]*$BO121*SUMIFS(RZ[Úroveň 9 s koef. (P3)],RZ[0],AX121,RZ[Úroveň 2 (P0)],AY121,RZ[Úroveň 3 (P0)],AZ121,RZ[Úroveň 4 (P0)],BA121,RZ[Úroveň 5 (P0)],BB121,RZ[Úroveň 6 (P0)],BC121,RZ[Úroveň 7 (P0)],BD121,RZ[Úroveň 8 (P0)],BE121),RZ[[#This Row],[Koeficient odhadu CR '[-'] (P1)]]*$BO121*$IQ121)</f>
        <v>0</v>
      </c>
      <c r="FE121" s="140">
        <f ca="1">IF(OFFSET(BF121,1,0,1,1)&lt;&gt;0,$BO121*SUMIFS(RZ[Úroveň 9 bez koef. (P3)],RZ[0],AX121,RZ[Úroveň 2 (P0)],AY121,RZ[Úroveň 3 (P0)],AZ121,RZ[Úroveň 4 (P0)],BA121,RZ[Úroveň 5 (P0)],BB121,RZ[Úroveň 6 (P0)],BC121,RZ[Úroveň 7 (P0)],BD121,RZ[Úroveň 8 (P0)],BE121),$BO121*$IQ121)</f>
        <v>0</v>
      </c>
      <c r="FF121" s="135">
        <f ca="1">RZ[[#This Row],[Úroveň 9 s koef. (P3a)]]*RZ[[#This Row],[Počet MJCR (P0) pro "kg"]]</f>
        <v>0</v>
      </c>
      <c r="FG121" s="135">
        <f ca="1">RZ[Úroveň 9 bez koef. (P3a)]*RZ[[#This Row],[Počet MJCR (P0) pro "kg"]]</f>
        <v>0</v>
      </c>
      <c r="FH121" s="135">
        <f ca="1">IF(OFFSET(BG121,1,0,1,1)&lt;&gt;0,RZ[[#This Row],[Koeficient odhadu CR '[-'] (P1)]]*$BP121*SUMIFS(RZ[Úroveň 10 s koef. (P3)],RZ[0],AX121,RZ[Úroveň 2 (P0)],AY121,RZ[Úroveň 3 (P0)],AZ121,RZ[Úroveň 4 (P0)],BA121,RZ[Úroveň 5 (P0)],BB121,RZ[Úroveň 6 (P0)],BC121,RZ[Úroveň 7 (P0)],BD121,RZ[Úroveň 8 (P0)],BE121,RZ[Úroveň 9 (P0)],BF121),RZ[[#This Row],[Koeficient odhadu CR '[-'] (P1)]]*$BP121*$IQ121)</f>
        <v>0</v>
      </c>
      <c r="FI121" s="135">
        <f ca="1">IF(OFFSET(BG121,1,0,1,1)&lt;&gt;0,$BP121*SUMIFS(RZ[Úroveň 10 bez koef. (P3)],RZ[0],AX121,RZ[Úroveň 2 (P0)],AY121,RZ[Úroveň 3 (P0)],AZ121,RZ[Úroveň 4 (P0)],BA121,RZ[Úroveň 5 (P0)],BB121,RZ[Úroveň 6 (P0)],BC121,RZ[Úroveň 7 (P0)],BD121,RZ[Úroveň 8 (P0)],BE121,RZ[Úroveň 9 (P0)],BF121),$BP121*$IQ121)</f>
        <v>0</v>
      </c>
      <c r="FJ121" s="140">
        <f ca="1">RZ[[#This Row],[Úroveň 10 s koef. (P3a)]]*RZ[[#This Row],[Počet MJCR (P0) pro "kg"]]</f>
        <v>0</v>
      </c>
      <c r="FK121" s="140">
        <f ca="1">RZ[Úroveň 10 bez koef. (P3a)]*RZ[[#This Row],[Počet MJCR (P0) pro "kg"]]</f>
        <v>0</v>
      </c>
      <c r="FL121" s="140">
        <f ca="1">RZ[[#This Row],[Koeficient odhadu CR '[-'] (P1)]]*$BQ121*IQ121</f>
        <v>0</v>
      </c>
      <c r="FM121" s="236">
        <f ca="1">$BQ121*IQ121</f>
        <v>0</v>
      </c>
      <c r="FN121" s="194">
        <f ca="1">IF(BH121=1,EB121,IF(BI121=1,EF121,IF(BJ121=1,EJ121,IF(BK121=1,EN121,IF(BL121=1,ER121,IF(BM121=1,EV121,IF(BN121=1,EZ121,IF(BO121=1,FD121,IF(BP121=1,FH121,FL121)))))))))</f>
        <v>40</v>
      </c>
      <c r="FO121" s="238">
        <f ca="1">IF(BH121=1,EC121,IF(BI121=1,EG121,IF(BJ121=1,EK121,IF(BK121=1,EO121,IF(BL121=1,ES121,IF(BM121=1,EW121,IF(BN121=1,FA121,IF(BO121=1,FE121,IF(BP121=1,FI121,FM121)))))))))</f>
        <v>40</v>
      </c>
      <c r="FP121" s="135">
        <f t="shared" ref="FP121:FY121" ca="1" si="1042">BH121*$IK121</f>
        <v>0</v>
      </c>
      <c r="FQ121" s="135">
        <f t="shared" ca="1" si="1042"/>
        <v>0</v>
      </c>
      <c r="FR121" s="135">
        <f t="shared" ca="1" si="1042"/>
        <v>7.5</v>
      </c>
      <c r="FS121" s="135">
        <f t="shared" ca="1" si="1042"/>
        <v>0</v>
      </c>
      <c r="FT121" s="135">
        <f t="shared" ca="1" si="1042"/>
        <v>0</v>
      </c>
      <c r="FU121" s="135">
        <f t="shared" ca="1" si="1042"/>
        <v>0</v>
      </c>
      <c r="FV121" s="135">
        <f t="shared" ca="1" si="1042"/>
        <v>0</v>
      </c>
      <c r="FW121" s="135">
        <f t="shared" ca="1" si="1042"/>
        <v>0</v>
      </c>
      <c r="FX121" s="135">
        <f t="shared" ca="1" si="1042"/>
        <v>0</v>
      </c>
      <c r="FY121" s="135">
        <f t="shared" ca="1" si="1042"/>
        <v>0</v>
      </c>
      <c r="FZ121" s="140">
        <f ca="1">SUMIFS(RZ[Úroveň 1 (P6)],RZ[0],AX121)</f>
        <v>1</v>
      </c>
      <c r="GA121" s="140">
        <f ca="1">SUMIFS(RZ[Úroveň 2 (P6)],RZ[0],AX121,RZ[Úroveň 2 (P0)],AY121)</f>
        <v>2</v>
      </c>
      <c r="GB121" s="140">
        <f ca="1">SUMIFS(RZ[Úroveň 3 (P6)],RZ[0],AX121,RZ[Úroveň 2 (P0)],AY121,RZ[Úroveň 3 (P0)],AZ121)</f>
        <v>7.5</v>
      </c>
      <c r="GC121" s="140">
        <f ca="1">SUMIFS(RZ[Úroveň 4 (P6)],RZ[0],AX121,RZ[Úroveň 2 (P0)],AY121,RZ[Úroveň 3 (P0)],AZ121,RZ[Úroveň 4 (P0)],BA121)</f>
        <v>0</v>
      </c>
      <c r="GD121" s="140">
        <f ca="1">SUMIFS(RZ[Úroveň 5 (P6)],RZ[0],AX121,RZ[Úroveň 2 (P0)],AY121,RZ[Úroveň 3 (P0)],AZ121,RZ[Úroveň 4 (P0)],BA121,RZ[Úroveň 5 (P0)],BB121)</f>
        <v>0</v>
      </c>
      <c r="GE121" s="140">
        <f ca="1">SUMIFS(RZ[Úroveň 6 (P6)],RZ[0],AX121,RZ[Úroveň 2 (P0)],AY121,RZ[Úroveň 3 (P0)],AZ121,RZ[Úroveň 4 (P0)],BA121,RZ[Úroveň 5 (P0)],BB121,RZ[Úroveň 6 (P0)],BC121)</f>
        <v>0</v>
      </c>
      <c r="GF121" s="140">
        <f ca="1">SUMIFS(RZ[Úroveň 7 (P6)],RZ[0],AX121,RZ[Úroveň 2 (P0)],AY121,RZ[Úroveň 3 (P0)],AZ121,RZ[Úroveň 4 (P0)],BA121,RZ[Úroveň 5 (P0)],BB121,RZ[Úroveň 6 (P0)],BC121,RZ[Úroveň 7 (P0)],BD121)</f>
        <v>0</v>
      </c>
      <c r="GG121" s="140">
        <f ca="1">SUMIFS(RZ[Úroveň 8 (P6)],RZ[0],AX121,RZ[Úroveň 2 (P0)],AY121,RZ[Úroveň 3 (P0)],AZ121,RZ[Úroveň 4 (P0)],BA121,RZ[Úroveň 5 (P0)],BB121,RZ[Úroveň 6 (P0)],BC121,RZ[Úroveň 7 (P0)],BD121,RZ[Úroveň 8 (P0)],BE121)</f>
        <v>0</v>
      </c>
      <c r="GH121" s="140">
        <f ca="1">SUMIFS(RZ[Úroveň 9 (P6)],RZ[0],AX121,RZ[Úroveň 2 (P0)],AY121,RZ[Úroveň 3 (P0)],AZ121,RZ[Úroveň 4 (P0)],BA121,RZ[Úroveň 5 (P0)],BB121,RZ[Úroveň 6 (P0)],BC121,RZ[Úroveň 7 (P0)],BD121,RZ[Úroveň 8 (P0)],BE121,RZ[Úroveň 9 (P0)],BF121)</f>
        <v>0</v>
      </c>
      <c r="GI121" s="140">
        <f ca="1">SUMIFS(RZ[Úroveň 10 (P6)],RZ[0],AX121,RZ[Úroveň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GJ121" s="918">
        <f ca="1">IF(FZ121&lt;&gt;0,FZ121,1)*IF(GA121&lt;&gt;0,GA121,1)*IF(GB121&lt;&gt;0,GB121,1)*IF(GC121&lt;&gt;0,GC121,1)*IF(GD121&lt;&gt;0,GD121,1)*IF(GE121&lt;&gt;0,GE121,1)*IF(GF121&lt;&gt;0,GF121,1)*IF(GG121&lt;&gt;0,GG121,1)*IF(GH121&lt;&gt;0,GH121,1)*IF(GI121&lt;&gt;0,GI121,1)</f>
        <v>15</v>
      </c>
      <c r="GK121" s="808">
        <f t="shared" ref="GK121:GT121" si="1043">BH121*$IO121</f>
        <v>0</v>
      </c>
      <c r="GL121" s="808">
        <f t="shared" si="1043"/>
        <v>0</v>
      </c>
      <c r="GM121" s="808">
        <f t="shared" si="1043"/>
        <v>1</v>
      </c>
      <c r="GN121" s="808">
        <f t="shared" si="1043"/>
        <v>0</v>
      </c>
      <c r="GO121" s="808">
        <f t="shared" si="1043"/>
        <v>0</v>
      </c>
      <c r="GP121" s="808">
        <f t="shared" si="1043"/>
        <v>0</v>
      </c>
      <c r="GQ121" s="808">
        <f t="shared" si="1043"/>
        <v>0</v>
      </c>
      <c r="GR121" s="808">
        <f t="shared" si="1043"/>
        <v>0</v>
      </c>
      <c r="GS121" s="808">
        <f t="shared" si="1043"/>
        <v>0</v>
      </c>
      <c r="GT121" s="808">
        <f t="shared" si="1043"/>
        <v>0</v>
      </c>
      <c r="GU121" s="809">
        <f ca="1">SUMIFS(RZ[Sloupec1],RZ[0],AX121)</f>
        <v>1</v>
      </c>
      <c r="GV121" s="809">
        <f ca="1">SUMIFS(RZ[Sloupec2],RZ[0],AX121,RZ[Úroveň 2 (P0)],AY121)</f>
        <v>1</v>
      </c>
      <c r="GW121" s="809">
        <f ca="1">SUMIFS(RZ[Sloupec3],RZ[0],AX121,RZ[Úroveň 2 (P0)],AY121,RZ[Úroveň 3 (P0)],AZ121)</f>
        <v>1</v>
      </c>
      <c r="GX121" s="809">
        <f ca="1">SUMIFS(RZ[Sloupec4],RZ[0],AX121,RZ[Úroveň 2 (P0)],AY121,RZ[Úroveň 3 (P0)],AZ121,RZ[Úroveň 4 (P0)],BA121)</f>
        <v>0</v>
      </c>
      <c r="GY121" s="809">
        <f ca="1">SUMIFS(RZ[Sloupec5],RZ[0],AX121,RZ[Úroveň 2 (P0)],AY121,RZ[Úroveň 3 (P0)],AZ121,RZ[Úroveň 4 (P0)],BA121,RZ[Úroveň 5 (P0)],BB121)</f>
        <v>0</v>
      </c>
      <c r="GZ121" s="809">
        <f ca="1">SUMIFS(RZ[Sloupec6],RZ[0],AX121,RZ[Úroveň 2 (P0)],AY121,RZ[Úroveň 3 (P0)],AZ121,RZ[Úroveň 4 (P0)],BA121,RZ[Úroveň 5 (P0)],BB121,RZ[Úroveň 6 (P0)],BC121)</f>
        <v>0</v>
      </c>
      <c r="HA121" s="809">
        <f ca="1">SUMIFS(RZ[Sloupec62],RZ[0],AX121,RZ[Úroveň 2 (P0)],AY121,RZ[Úroveň 3 (P0)],AZ121,RZ[Úroveň 4 (P0)],BA121,RZ[Úroveň 5 (P0)],BB121,RZ[Úroveň 6 (P0)],BC121,RZ[Úroveň 7 (P0)],BD121)</f>
        <v>0</v>
      </c>
      <c r="HB121" s="809">
        <f ca="1">SUMIFS(RZ[Sloupec63],RZ[0],AX121,RZ[Úroveň 2 (P0)],AY121,RZ[Úroveň 3 (P0)],AZ121,RZ[Úroveň 4 (P0)],BA121,RZ[Úroveň 5 (P0)],BB121,RZ[Úroveň 6 (P0)],BC121,RZ[Úroveň 7 (P0)],BD121,RZ[Úroveň 8 (P0)],BE121)</f>
        <v>0</v>
      </c>
      <c r="HC121" s="809">
        <f ca="1">SUMIFS(RZ[Sloupec64],RZ[0],AX121,RZ[Úroveň 2 (P0)],AY121,RZ[Úroveň 3 (P0)],AZ121,RZ[Úroveň 4 (P0)],BA121,RZ[Úroveň 5 (P0)],BB121,RZ[Úroveň 6 (P0)],BC121,RZ[Úroveň 7 (P0)],BD121,RZ[Úroveň 8 (P0)],BE121,RZ[Úroveň 9 (P0)],BF121)</f>
        <v>0</v>
      </c>
      <c r="HD121" s="809">
        <f ca="1">SUMIFS(RZ[Sloupec65],RZ[0],AX121,RZ[Úroveň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HE121" s="919">
        <f ca="1">IF(GU121&lt;&gt;0,GU121,1)*IF(GV121&lt;&gt;0,GV121,1)*IF(GW121&lt;&gt;0,GW121,1)*IF(GX121&lt;&gt;0,GX121,1)*IF(GY121&lt;&gt;0,GY121,1)*IF(GZ121&lt;&gt;0,GZ121,1)*IF(HA121&lt;&gt;0,HA121,1)*IF(HB121&lt;&gt;0,HB121,1)*IF(HC121&lt;&gt;0,HC121,1)*IF(HD121&lt;&gt;0,HD121,1)</f>
        <v>1</v>
      </c>
      <c r="HF121" s="920" t="str">
        <f>IF($IW121=$MJ$15,IF(MK121="","",MK121),IF(IY121="","",IY121))</f>
        <v/>
      </c>
      <c r="HG121" s="94" t="str">
        <f>IF($IW121=$MJ$15,IF($MJ121=1,$MS121,""),IF(IZ121="","",IZ121))</f>
        <v/>
      </c>
      <c r="HH121" s="95" t="str">
        <f>IF($IW121=$MJ$15,IF($MJ121=2,$MS121,""),IF(JA121="","",JA121))</f>
        <v/>
      </c>
      <c r="HI121" s="95" t="str">
        <f>IF($IW121=$MJ$15,IF($MJ121=3,$MS121,""),IF(JB121="","",JB121))</f>
        <v>Ocelové profily</v>
      </c>
      <c r="HJ121" s="96" t="str">
        <f>IF($IW121=$MJ$15,IF($MJ121=4,$MS121,""),IF(JC121="","",JC121))</f>
        <v/>
      </c>
      <c r="HK121" s="96" t="str">
        <f>IF($IW121=$MJ$15,IF($MJ121=5,$MS121,""),IF(JD121="","",JD121))</f>
        <v/>
      </c>
      <c r="HL121" s="96" t="str">
        <f>IF($IW121=$MJ$15,IF($MJ121=6,$MS121,""),IF(JE121="","",JE121))</f>
        <v/>
      </c>
      <c r="HM121" s="96" t="str">
        <f>IF($IW121=$MJ$15,IF($MJ121=7,$MS121,""),IF(JF121="","",JF121))</f>
        <v/>
      </c>
      <c r="HN121" s="96" t="str">
        <f>IF($IW121=$MJ$15,IF($MJ121=8,$MS121,""),IF(JG121="","",JG121))</f>
        <v/>
      </c>
      <c r="HO121" s="96" t="str">
        <f>IF($IW121=$MJ$15,IF($MJ121=9,$MS121,""),IF(JH121="","",JH121))</f>
        <v/>
      </c>
      <c r="HP121" s="96" t="str">
        <f>IF($IW121=$MJ$15,IF($MJ121=10,$MS121,""),IF(JI121="","",JI121))</f>
        <v/>
      </c>
      <c r="HQ121" s="145" t="str">
        <f>IF($IW121=$MJ$15,IF(ML121="","N/A",ML121),IF(JJ121="","N/A",JJ121))</f>
        <v>OKHM</v>
      </c>
      <c r="HR121" s="921" t="str">
        <f>IF($IW121=$MJ$15,IF(MM121="","",MM121),IF(JK121="","",JK121))</f>
        <v/>
      </c>
      <c r="HS121" s="173">
        <f>IF($IW121=$JL$15,JL121,IF($IW121=$KE$15,KE121,IF($IW121=$KX$15,KX121,IF($IW121=$LQ$15,LQ121,IF($IW121=$MJ$15,NE121,0)))))</f>
        <v>0</v>
      </c>
      <c r="HT121" s="100">
        <f>IF($IW121=$JL$15,JM121,IF($IW121=$KE$15,KF121,IF($IW121=$KX$15,KY121,IF($IW121=$LQ$15,LR121,IF($IW121=$MJ$15,NF121,0)))))</f>
        <v>0</v>
      </c>
      <c r="HU121" s="100">
        <f>IF($IW121=$JL$15,JN121,IF($IW121=$KE$15,KG121,IF($IW121=$KX$15,KZ121,IF($IW121=$LQ$15,LS121,IF($IW121=$MJ$15,NG121,0)))))</f>
        <v>0</v>
      </c>
      <c r="HV121" s="908">
        <f>IF($IW121=$JL$15,JU121,IF($IW121=$KE$15,KN121,IF($IW121=$KX$15,LG121,IF($IW121=$LQ$15,LZ121,IF($IW121=$MJ$15,NN121,0)))))</f>
        <v>0</v>
      </c>
      <c r="HW121" s="922">
        <f>IF($IW121=$JL$15,JV121,IF($IW121=$KE$15,KO121,IF($IW121=$KX$15,LH121,IF($IW121=$LQ$15,MA121,IF($IW121=$MJ$15,NO121,0)))))</f>
        <v>0</v>
      </c>
      <c r="HX121" s="224">
        <f>IF($IW121=$JL$15,JW121,IF($IW121=$KE$15,KP121,IF($IW121=$KX$15,LI121,IF($IW121=$LQ$15,MB121,IF($IW121=$MJ$15,NP121,0)))))</f>
        <v>0</v>
      </c>
      <c r="HY121" s="263" t="str">
        <f>IF($IW121=$JL$15,JS121,IF($IW121=$KE$15,KL121,IF($IW121=$KX$15,LE121,IF($IW121=$LQ$15,LX121,IF($IW121=$MJ$15,NL121,0)))))</f>
        <v>S</v>
      </c>
      <c r="HZ121" s="263">
        <f>IF($IW121=$JL$15,KC121,IF($IW121=$KE$15,KV121,IF($IW121=$KX$15,LO121,IF($IW121=$LQ$15,MH121,IF($IW121=$MJ$15,NV121,0)))))</f>
        <v>0</v>
      </c>
      <c r="IA121" s="150">
        <f>IF($IW121=$JL$15,JR121,IF($IW121=$KE$15,KK121,IF($IW121=$KX$15,LD121,IF($IW121=$LQ$15,LW121,IF($IW121=$MJ$15,NK121,0)))))</f>
        <v>1</v>
      </c>
      <c r="IB121" s="319">
        <f>IF($IW121=$JL$15,JZ121,IF($IW121=$KE$15,KS121,IF($IW121=$KX$15,LL121,IF($IW121=$LQ$15,ME121,IF($IW121=$MJ$15,NS121,0)))))</f>
        <v>0</v>
      </c>
      <c r="IC121" s="923">
        <f>IF($IW121=$JL$15,KB121,IF($IW121=$KE$15,KU121,IF($IW121=$KX$15,LN121,IF($IW121=$LQ$15,MG121,IF($IW121=$MJ$15,NU121,0)))))</f>
        <v>0</v>
      </c>
      <c r="ID121" s="924" t="str">
        <f ca="1">IF((BH121+OFFSET(BH121,1,1,1,1))=2,"--",IF((BI121+OFFSET(BI121,1,1,1,1))=2,"--",IF((BJ121+OFFSET(BJ121,1,1,1,1))=2,"--",IF((BK121+OFFSET(BK121,1,1,1,1))=2,"--",IF((BL121+OFFSET(BL121,1,1,1,1))=2,"--",IF((BM121+OFFSET(BM121,1,1,1,1))=2,"--",IF((BN121+OFFSET(BN121,1,1,1,1))=2,"--",IF((BO121+OFFSET(BO121,1,1,1,1))=2,"--",IF((BP121+OFFSET(BP121,1,1,1,1))=2,"--",IF((BQ121+OFFSET(BQ121,1,1,1,1))=2,"--","OK"))))))))))</f>
        <v>OK</v>
      </c>
      <c r="IE121" s="201" t="str">
        <f>IF($IW121=$JL$15,JO121,IF($IW121=$KE$15,KH121,IF($IW121=$KX$15,LA121,IF($IW121=$LQ$15,LT121,IF($IW121=$MJ$15,NH121,0)))))</f>
        <v>ks</v>
      </c>
      <c r="IF121" s="145">
        <f>IF($IW121=$JL$15,JP121,IF($IW121=$KE$15,KI121,IF($IW121=$KX$15,LB121,IF($IW121=$LQ$15,LU121,IF($IW121=$MJ$15,NI121,0)))))</f>
        <v>1</v>
      </c>
      <c r="IG121" s="216">
        <f>IF($IW121=$JL$15,JQ121,IF($IW121=$KE$15,KJ121,IF($IW121=$KX$15,LC121,IF($IW121=$LQ$15,LV121,IF($IW121=$MJ$15,NJ121,0)))))</f>
        <v>7.5</v>
      </c>
      <c r="IH121" s="217">
        <f>IF(IA121=0,1,IA121)</f>
        <v>1</v>
      </c>
      <c r="II121" s="224" t="str">
        <f ca="1">IF(RZ[[#This Row],[Rozhodný sloupec indikativní ceny]]=1,"kg",IF($IW121=$JL$15,IF(JX121=0,JO121,JX121),IF($IW121=$KE$15,IF(KQ121=0,KH121,KQ121),IF($IW121=$KX$15,IF(LJ121=0,LA121,LJ121),IF($IW121=$LQ$15,IF(MC121=0,LT121,MC121),IF($IW121=$MJ$15,IF(NQ121=0,NH121,NQ121),0))))))</f>
        <v>kg</v>
      </c>
      <c r="IJ121" s="224">
        <f ca="1">IF((BH121+OFFSET(BH121,1,1,1,1))=2,RZ[[#This Row],[Počet MJHR (P0)]],IF((BI121+OFFSET(BI121,1,1,1,1))=2,RZ[[#This Row],[Počet MJHR (P0)]],IF((BJ121+OFFSET(BJ121,1,1,1,1))=2,RZ[[#This Row],[Počet MJHR (P0)]],IF((BK121+OFFSET(BK121,1,1,1,1))=2,RZ[[#This Row],[Počet MJHR (P0)]],IF((BL121+OFFSET(BL121,1,1,1,1))=2,RZ[[#This Row],[Počet MJHR (P0)]],IF((BM121+OFFSET(BM121,1,1,1,1))=2,RZ[[#This Row],[Počet MJHR (P0)]],IF((BN121+OFFSET(BN121,1,1,1,1))=2,RZ[[#This Row],[Počet MJHR (P0)]],IF((BO121+OFFSET(BO121,1,1,1,1))=2,RZ[[#This Row],[Počet MJHR (P0)]],IF((BP121+OFFSET(BP121,1,1,1,1))=2,RZ[[#This Row],[Počet MJHR (P0)]],IF((BQ121+OFFSET(BQ121,1,1,1,1))=2,RZ[[#This Row],[Počet MJHR (P0)]],IF(RZ[[#This Row],[Měrná jednotka CR (MJCR) (P0)]]=RZ[[#This Row],[Měrná jednotka HR '[MJHR'] (P0)]],RZ[[#This Row],[Počet MJHR (P0)]],IF($IW121=$JL$15,JY121,IF($IW121=$KE$15,KR121,IF($IW121=$KX$15,LK121,IF($IW121=$LQ$15,MD121,IF($IW121=$MJ$15,NR121,0))))))))))))))))</f>
        <v>0</v>
      </c>
      <c r="IK1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7.5</v>
      </c>
      <c r="IL121" s="145">
        <f ca="1">IF(AND(RZ[[#This Row],[Jednotková cena bez DPH '[cena/MJCR'] (P0)]]=0,RZ[[#This Row],[Indikativní jednotková cena '[CZK/kg'] (P1)]]&lt;&gt;0),1,0)</f>
        <v>1</v>
      </c>
      <c r="IM121" s="217">
        <f ca="1">VLOOKUP(RZ[[#This Row],[Kód položek]],INDIKAT_CENA,2,FALSE)</f>
        <v>40</v>
      </c>
      <c r="IN121" s="222">
        <f ca="1">IF(RZ[[#This Row],[Rozhodný sloupec indikativní ceny]]=1,RZ[[#This Row],[Indikativní jednotková cena '[CZK/kg'] (P1)]],RZ[[#This Row],[Jednotková cena bez DPH '[cena/MJCR'] (P0)]])</f>
        <v>40</v>
      </c>
      <c r="IO121" s="222">
        <f>IF(IC121=0,1,IC121)</f>
        <v>1</v>
      </c>
      <c r="IP121" s="224">
        <f ca="1">IF(RZ[[#This Row],[Rozhodný sloupec indikativní ceny]]=1,1,IF($IW121=$JL$15,KA121,IF($IW121=$KE$15,KT121,IF($IW121=$KX$15,LM121,IF($IW121=$LQ$15,MF121,IF($IW121=$MJ$15,NT121,0))))))</f>
        <v>1</v>
      </c>
      <c r="IQ121" s="225">
        <f ca="1">IF(RZ[[#This Row],[Jednotková cena bez DPH '[cena/MJCR'] (P1)]]="",0,IF(IP121=0,0,(RZ[[#This Row],[Jednotková cena bez DPH '[cena/MJCR'] (P1)]]*VLOOKUP(IP121,$BR$7:$BT$10,3))))</f>
        <v>40</v>
      </c>
      <c r="IR121" s="737"/>
      <c r="IS121" s="627">
        <f>IF(HY121=0,"",VLOOKUP(RZ[[#This Row],[Stav Projekce (P0)]],Vstupy!$E$11:'Vstupy'!$E$11:$H$17,4,FALSE))</f>
        <v>100</v>
      </c>
      <c r="IT121" s="925" t="str">
        <f>IF(RZ[[#This Row],[Stav Projekce (P0)]]=0,"",RZ[[#This Row],[Stav Projekce (P0)]])</f>
        <v>S</v>
      </c>
      <c r="IU121" s="925" t="str">
        <f>IF(RZ[[#This Row],[Stav Nákup (P0)]]=0,"",RZ[[#This Row],[Stav Nákup (P0)]])</f>
        <v/>
      </c>
      <c r="IV121" s="926" t="str">
        <f>IF(HV121=0,"",HV121)</f>
        <v/>
      </c>
      <c r="IW121" s="555">
        <v>1</v>
      </c>
      <c r="IX121" s="630"/>
      <c r="IY121" s="264"/>
      <c r="IZ121" s="648"/>
      <c r="JA121" s="100"/>
      <c r="JB121" s="100" t="s">
        <v>758</v>
      </c>
      <c r="JC121" s="100"/>
      <c r="JD121" s="100"/>
      <c r="JE121" s="100"/>
      <c r="JF121" s="100"/>
      <c r="JG121" s="100"/>
      <c r="JH121" s="100"/>
      <c r="JI121" s="100"/>
      <c r="JJ121" s="145" t="s">
        <v>767</v>
      </c>
      <c r="JK121" s="529"/>
      <c r="JL121" s="286"/>
      <c r="JM121" s="100"/>
      <c r="JN121" s="100"/>
      <c r="JO121" s="145" t="s">
        <v>35</v>
      </c>
      <c r="JP121" s="117">
        <v>1</v>
      </c>
      <c r="JQ121" s="117">
        <v>7.5</v>
      </c>
      <c r="JR121" s="148">
        <v>1</v>
      </c>
      <c r="JS121" s="145" t="s">
        <v>602</v>
      </c>
      <c r="JT121" s="631"/>
      <c r="JU121" s="148"/>
      <c r="JV121" s="154"/>
      <c r="JW121" s="145"/>
      <c r="JX121" s="210"/>
      <c r="JY121" s="117"/>
      <c r="JZ121" s="662"/>
      <c r="KA121" s="145"/>
      <c r="KB121" s="148"/>
      <c r="KC121" s="148"/>
      <c r="KD121" s="644"/>
      <c r="KE121" s="286"/>
      <c r="KF121" s="100"/>
      <c r="KG121" s="100"/>
      <c r="KH121" s="210"/>
      <c r="KI121" s="117"/>
      <c r="KJ121" s="117"/>
      <c r="KK121" s="148"/>
      <c r="KL121" s="145"/>
      <c r="KM121" s="632"/>
      <c r="KN121" s="148"/>
      <c r="KO121" s="154"/>
      <c r="KP121" s="154"/>
      <c r="KQ121" s="210"/>
      <c r="KR121" s="117"/>
      <c r="KS121" s="211"/>
      <c r="KT121" s="145"/>
      <c r="KU121" s="148"/>
      <c r="KV121" s="148"/>
      <c r="KW121" s="265"/>
      <c r="KX121" s="286"/>
      <c r="KY121" s="100"/>
      <c r="KZ121" s="100"/>
      <c r="LA121" s="210"/>
      <c r="LB121" s="117"/>
      <c r="LC121" s="117"/>
      <c r="LD121" s="148"/>
      <c r="LE121" s="145"/>
      <c r="LF121" s="632"/>
      <c r="LG121" s="148"/>
      <c r="LH121" s="154"/>
      <c r="LI121" s="154"/>
      <c r="LJ121" s="154"/>
      <c r="LK121" s="117"/>
      <c r="LL121" s="211"/>
      <c r="LM121" s="210"/>
      <c r="LN121" s="148"/>
      <c r="LO121" s="148"/>
      <c r="LP121" s="265"/>
      <c r="LQ121" s="286"/>
      <c r="LR121" s="100"/>
      <c r="LS121" s="100"/>
      <c r="LT121" s="210"/>
      <c r="LU121" s="117"/>
      <c r="LV121" s="117"/>
      <c r="LW121" s="148"/>
      <c r="LX121" s="145"/>
      <c r="LY121" s="632"/>
      <c r="LZ121" s="148"/>
      <c r="MA121" s="154"/>
      <c r="MB121" s="154"/>
      <c r="MC121" s="145"/>
      <c r="MD121" s="117"/>
      <c r="ME121" s="211"/>
      <c r="MF121" s="210"/>
      <c r="MG121" s="148"/>
      <c r="MH121" s="148"/>
      <c r="MI121" s="265"/>
      <c r="MJ121" s="647"/>
      <c r="MK121" s="264"/>
      <c r="ML121" s="153"/>
      <c r="MM121" s="153"/>
      <c r="MN121" s="153"/>
      <c r="MO121" s="153"/>
      <c r="MP121" s="153"/>
      <c r="MQ121" s="153"/>
      <c r="MR121" s="153"/>
      <c r="MS121" s="99"/>
      <c r="MT121" s="99"/>
      <c r="MU121" s="99"/>
      <c r="MV121" s="99"/>
      <c r="MW121" s="99"/>
      <c r="MX121" s="99"/>
      <c r="MY121" s="153"/>
      <c r="MZ121" s="153"/>
      <c r="NA121" s="153"/>
      <c r="NB121" s="153"/>
      <c r="NC121" s="153"/>
      <c r="ND121" s="153"/>
      <c r="NE121" s="153"/>
      <c r="NF121" s="153"/>
      <c r="NG121" s="153"/>
      <c r="NH121" s="330" t="str">
        <f>"ks"</f>
        <v>ks</v>
      </c>
      <c r="NI121" s="797">
        <f>RZ[[#This Row],[Počet ks (K)]]</f>
        <v>0</v>
      </c>
      <c r="NJ121" s="798">
        <f>RZ[[#This Row],[Hmotnost '[kg/ks'] (K)]]</f>
        <v>0</v>
      </c>
      <c r="NK121" s="153"/>
      <c r="NL121" s="153"/>
      <c r="NM121" s="632"/>
      <c r="NN121" s="153"/>
      <c r="NO121" s="153"/>
      <c r="NP121" s="153"/>
      <c r="NQ121" s="153"/>
      <c r="NR121" s="153"/>
      <c r="NS121" s="153"/>
      <c r="NT121" s="153"/>
      <c r="NU121" s="153"/>
      <c r="NV121" s="148"/>
      <c r="NW121" s="633"/>
    </row>
    <row r="122" spans="2:387" ht="15.95" customHeight="1" thickBot="1" x14ac:dyDescent="0.4">
      <c r="B122" s="118" t="str">
        <f t="shared" si="932"/>
        <v/>
      </c>
      <c r="C1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2" s="262" t="str">
        <f t="shared" si="933"/>
        <v xml:space="preserve">    Spojovací materiál</v>
      </c>
      <c r="E122" s="120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Row],[Kód položek (P2)]]))))))))))</f>
        <v>STSM</v>
      </c>
      <c r="F122" s="791" t="str">
        <f t="shared" si="934"/>
        <v>N/A</v>
      </c>
      <c r="G122" s="792" t="str">
        <f t="shared" si="935"/>
        <v/>
      </c>
      <c r="H122" s="262" t="str">
        <f t="shared" si="936"/>
        <v/>
      </c>
      <c r="I122" s="123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HR '[MJHR'] (P0)]]))))))))))</f>
        <v>ks</v>
      </c>
      <c r="J122" s="123">
        <f t="shared" si="937"/>
        <v>1</v>
      </c>
      <c r="K122" s="793">
        <f>RZ[[#This Row],[Koeficient odhadu HR '[-'] (P1)]]</f>
        <v>1</v>
      </c>
      <c r="L122" s="124">
        <f ca="1">RZ[[#This Row],[Jednotková hmotnost s koef. '[kg/MJHR'] (P0)]]</f>
        <v>0.77200000000000002</v>
      </c>
      <c r="M122" s="794">
        <f t="shared" ca="1" si="938"/>
        <v>0</v>
      </c>
      <c r="N122" s="125">
        <f t="shared" ca="1" si="939"/>
        <v>0.77200000000000002</v>
      </c>
      <c r="O122" s="125">
        <f t="shared" ca="1" si="940"/>
        <v>0</v>
      </c>
      <c r="P122" s="126" t="str">
        <f t="shared" si="941"/>
        <v/>
      </c>
      <c r="Q122" s="795">
        <f ca="1">RZ[[#This Row],[Počet MJHR v rozpadu (P0)]]</f>
        <v>2</v>
      </c>
      <c r="R122" s="439" t="str">
        <f t="shared" si="942"/>
        <v/>
      </c>
      <c r="S122" s="129" t="str">
        <f t="shared" si="943"/>
        <v/>
      </c>
      <c r="T122" s="126" t="str">
        <f t="shared" si="944"/>
        <v/>
      </c>
      <c r="U122" s="126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CR (MJCR) (P0)]]))))))))))</f>
        <v>kg</v>
      </c>
      <c r="V122" s="575">
        <f t="shared" ca="1" si="945"/>
        <v>0.77200000000000002</v>
      </c>
      <c r="W122" s="322">
        <f>RZ[[#This Row],[Koeficient odhadu CR '[-'] (P1)]]</f>
        <v>1</v>
      </c>
      <c r="X122" s="440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Row],[Jednotková cena bez DPH '[cena/MJCR'] (P1)]]*RZ[[#This Row],[Koeficient odhadu CR '[-']]]))))))))))</f>
        <v>110</v>
      </c>
      <c r="Y122" s="440">
        <f t="shared" ca="1" si="946"/>
        <v>0</v>
      </c>
      <c r="Z122" s="142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VLOOKUP(IP122,$BR$7:$BS$11,2,FALSE)))))))))))</f>
        <v>CZK</v>
      </c>
      <c r="AA122" s="909">
        <f t="shared" ca="1" si="947"/>
        <v>1.544</v>
      </c>
      <c r="AB122" s="910">
        <f ca="1">RZ[[#This Row],[Kumulovaný koeficient v rozpadu (P0)]]</f>
        <v>1</v>
      </c>
      <c r="AC122" s="261"/>
      <c r="AD122" s="796">
        <f ca="1">RZ[[#This Row],[Jednotková cena bez DPH '[cena/MJCR'] s koef. (P0)]]/RZ[[#This Row],[Koeficient odhadu CR '[-']]]*RZ[[#This Row],[Kumulovaný koeficient odhadu CR  '[-']]]</f>
        <v>110</v>
      </c>
      <c r="AE122" s="796">
        <f t="shared" ca="1" si="948"/>
        <v>169.84</v>
      </c>
      <c r="AF122" s="796">
        <f ca="1">-IF(ISNUMBER(AA122),RZ[[#This Row],[Celková cena bez DPH (1)]]-RZ[[#This Row],[Jednotková cena bez DPH '[cena/MJCR'] bez koef. (P0)]]*AA122,0)</f>
        <v>0</v>
      </c>
      <c r="AG1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2" s="261"/>
      <c r="AI122" s="796">
        <f ca="1">AD122/VLOOKUP($AJ$13,KURZY,3,FALSE)</f>
        <v>4.0740740740740744</v>
      </c>
      <c r="AJ122" s="796">
        <f ca="1">AE122/VLOOKUP($AJ$13,KURZY,3,FALSE)*IF(V122="",0,1)</f>
        <v>6.2903703703703702</v>
      </c>
      <c r="AK122" s="796">
        <f ca="1">AF122/VLOOKUP($AJ$13,KURZY,3,FALSE)</f>
        <v>0</v>
      </c>
      <c r="AL122" s="753">
        <f ca="1">RZ[[#This Row],[Kilogramová cena bez DPH '[cena/kg'] (1)]]/$AK$13</f>
        <v>4.0740740740740744</v>
      </c>
      <c r="AM122" s="261"/>
      <c r="AN122" s="796">
        <f ca="1">AD122/VLOOKUP($AO$13,KURZY,3,FALSE)</f>
        <v>5.3140096618357493</v>
      </c>
      <c r="AO122" s="796">
        <f ca="1">AE122/VLOOKUP($AO$13,KURZY,3,FALSE)*IF(V122="",0,1)</f>
        <v>8.2048309178743963</v>
      </c>
      <c r="AP122" s="796">
        <f ca="1">AF122/VLOOKUP($AO$13,KURZY,3,FALSE)</f>
        <v>0</v>
      </c>
      <c r="AQ122" s="753">
        <f ca="1">RZ[[#This Row],[Kilogramová cena bez DPH '[cena/kg'] (1)]]/$AP$13</f>
        <v>5.3140096618357493</v>
      </c>
      <c r="AR122" s="261"/>
      <c r="AS122" s="796">
        <f ca="1">AD122/VLOOKUP($AT$13,KURZY,3,FALSE)</f>
        <v>3.0087527352297592</v>
      </c>
      <c r="AT122" s="796">
        <f ca="1">AE122/VLOOKUP($AT$13,KURZY,3,FALSE)*IF(V122="",0,1)</f>
        <v>4.6455142231947484</v>
      </c>
      <c r="AU122" s="789">
        <f ca="1">AF122/VLOOKUP($AT$13,KURZY,3,FALSE)</f>
        <v>0</v>
      </c>
      <c r="AV122" s="767">
        <f ca="1">RZ[[#This Row],[Kilogramová cena bez DPH '[cena/kg'] (1)]]/$AU$13</f>
        <v>3.0087527352297592</v>
      </c>
      <c r="AW122" s="165"/>
      <c r="AX122" s="911">
        <f t="shared" ca="1" si="949"/>
        <v>2</v>
      </c>
      <c r="AY122" s="111">
        <f t="shared" ca="1" si="950"/>
        <v>10</v>
      </c>
      <c r="AZ122" s="111">
        <f t="shared" ca="1" si="951"/>
        <v>4</v>
      </c>
      <c r="BA122" s="111">
        <f t="shared" ca="1" si="952"/>
        <v>0</v>
      </c>
      <c r="BB122" s="111">
        <f t="shared" ca="1" si="953"/>
        <v>0</v>
      </c>
      <c r="BC122" s="111">
        <f t="shared" ca="1" si="954"/>
        <v>0</v>
      </c>
      <c r="BD122" s="111">
        <f t="shared" ca="1" si="955"/>
        <v>0</v>
      </c>
      <c r="BE122" s="111">
        <f t="shared" ca="1" si="956"/>
        <v>0</v>
      </c>
      <c r="BF122" s="111">
        <f t="shared" ca="1" si="957"/>
        <v>0</v>
      </c>
      <c r="BG122" s="112">
        <f t="shared" ca="1" si="958"/>
        <v>0</v>
      </c>
      <c r="BH122" s="911">
        <f t="shared" si="959"/>
        <v>0</v>
      </c>
      <c r="BI122" s="111">
        <f t="shared" si="960"/>
        <v>0</v>
      </c>
      <c r="BJ122" s="111">
        <f t="shared" si="961"/>
        <v>1</v>
      </c>
      <c r="BK122" s="111">
        <f t="shared" si="962"/>
        <v>0</v>
      </c>
      <c r="BL122" s="111">
        <f t="shared" si="963"/>
        <v>0</v>
      </c>
      <c r="BM122" s="111">
        <f t="shared" si="964"/>
        <v>0</v>
      </c>
      <c r="BN122" s="111">
        <f t="shared" si="965"/>
        <v>0</v>
      </c>
      <c r="BO122" s="111">
        <f t="shared" si="966"/>
        <v>0</v>
      </c>
      <c r="BP122" s="111">
        <f t="shared" si="967"/>
        <v>0</v>
      </c>
      <c r="BQ122" s="112">
        <f t="shared" si="968"/>
        <v>0</v>
      </c>
      <c r="BR122" s="132">
        <f ca="1">IF(OFFSET(AY122,1,0,1,1)&lt;&gt;0,RZ[[#This Row],[Koeficient odhadu HR '[-'] (P1)]]*$BH122*SUMIFS(RZ[Úroveň 2 s koef. (P2)],RZ[0],AX122),RZ[[#This Row],[Koeficient odhadu HR '[-'] (P1)]]*$BH122*$IG122)</f>
        <v>0</v>
      </c>
      <c r="BS122" s="186">
        <f ca="1">IF(OFFSET(AY122,1,0,1,1)&lt;&gt;0,$BH122*SUMIFS(RZ[Úroveň 2 bez koef. (P2)],RZ[0],AX122),$BH122*$IG122)</f>
        <v>0</v>
      </c>
      <c r="BT122" s="138">
        <f ca="1">RZ[[#This Row],[Úroveň 2 s koef. (P2a)]]*RZ[[#This Row],[Počet MJHR (P0)]]</f>
        <v>0</v>
      </c>
      <c r="BU122" s="138">
        <f ca="1">RZ[[#This Row],[Úroveň 2 bez koef. (P2a)]]*RZ[[#This Row],[Počet MJHR (P0)]]</f>
        <v>0</v>
      </c>
      <c r="BV122" s="138">
        <f ca="1">IF(OFFSET(AZ122,1,0,1,1)&lt;&gt;0,RZ[[#This Row],[Koeficient odhadu HR '[-'] (P1)]]*$BI122*SUMIFS(RZ[Úroveň 3 s koef. (P2)],RZ[0],AX122,RZ[Úroveň 2 (P0)],AY122),RZ[[#This Row],[Koeficient odhadu HR '[-'] (P1)]]*$BI122*$IG122)</f>
        <v>0</v>
      </c>
      <c r="BW122" s="138">
        <f ca="1">IF(OFFSET(AZ122,1,0,1,1)&lt;&gt;0,$BI122*SUMIFS(RZ[Úroveň 3 bez koef. (P2)],RZ[0],AX122,RZ[Úroveň 2 (P0)],AY122),$BI122*$IG122)</f>
        <v>0</v>
      </c>
      <c r="BX122" s="132">
        <f ca="1">RZ[[#This Row],[Úroveň 3 s koef. (P2a)]]*RZ[[#This Row],[Počet MJHR (P0)]]</f>
        <v>0.77200000000000002</v>
      </c>
      <c r="BY122" s="132">
        <f ca="1">RZ[Úroveň 3 bez koef. (P2a)]*RZ[[#This Row],[Počet MJHR (P0)]]</f>
        <v>0.77200000000000002</v>
      </c>
      <c r="BZ122" s="132">
        <f ca="1">IF(OFFSET(BA122,1,0,1,1)&lt;&gt;0,RZ[[#This Row],[Koeficient odhadu HR '[-'] (P1)]]*$BJ122*SUMIFS(RZ[Úroveň 4 s koef. (P2)],RZ[0],AX122,RZ[Úroveň 2 (P0)],AY122,RZ[Úroveň 3 (P0)],AZ122),RZ[[#This Row],[Koeficient odhadu HR '[-'] (P1)]]*$BJ122*$IG122)</f>
        <v>0.77200000000000002</v>
      </c>
      <c r="CA122" s="132">
        <f ca="1">IF(OFFSET(BA122,1,0,1,1)&lt;&gt;0,$BJ122*SUMIFS(RZ[Úroveň 4 bez koef. (P2)],RZ[0],AX122,RZ[Úroveň 2 (P0)],AY122,RZ[Úroveň 3 (P0)],AZ122),$BJ122*$IG122)</f>
        <v>0.77200000000000002</v>
      </c>
      <c r="CB122" s="138">
        <f ca="1">RZ[[#This Row],[Úroveň 4 s koef. (P2a)]]*RZ[[#This Row],[Počet MJHR (P0)]]</f>
        <v>0</v>
      </c>
      <c r="CC122" s="138">
        <f ca="1">RZ[Úroveň 4 bez koef. (P2a)]*RZ[[#This Row],[Počet MJHR (P0)]]</f>
        <v>0</v>
      </c>
      <c r="CD122" s="138">
        <f ca="1">IF(OFFSET(BB122,1,0,1,1)&lt;&gt;0,RZ[[#This Row],[Koeficient odhadu HR '[-'] (P1)]]*$BK122*SUMIFS(RZ[Úroveň 5 s koef. (P2)],RZ[0],AX122,RZ[Úroveň 2 (P0)],AY122,RZ[Úroveň 3 (P0)],AZ122,RZ[Úroveň 4 (P0)],BA122),RZ[[#This Row],[Koeficient odhadu HR '[-'] (P1)]]*$BK122*$IG122)</f>
        <v>0</v>
      </c>
      <c r="CE122" s="138">
        <f ca="1">IF(OFFSET(BB122,1,0,1,1)&lt;&gt;0,$BK122*SUMIFS(RZ[Úroveň 5 bez koef. (P2)],RZ[0],AX122,RZ[Úroveň 2 (P0)],AY122,RZ[Úroveň 3 (P0)],AZ122,RZ[Úroveň 4 (P0)],BA122),$BK122*$IG122)</f>
        <v>0</v>
      </c>
      <c r="CF122" s="132">
        <f ca="1">RZ[[#This Row],[Úroveň 5 s koef. (P2a)]]*RZ[[#This Row],[Počet MJHR (P0)]]</f>
        <v>0</v>
      </c>
      <c r="CG122" s="132">
        <f ca="1">RZ[Úroveň 5 bez koef. (P2a)]*RZ[[#This Row],[Počet MJHR (P0)]]</f>
        <v>0</v>
      </c>
      <c r="CH122" s="132">
        <f ca="1">IF(OFFSET(BC122,1,0,1,1)&lt;&gt;0,RZ[[#This Row],[Koeficient odhadu HR '[-'] (P1)]]*$BL122*SUMIFS(RZ[Úroveň 6 s koef. (P2)],RZ[0],AX122,RZ[Úroveň 2 (P0)],AY122,RZ[Úroveň 3 (P0)],AZ122,RZ[Úroveň 4 (P0)],BA122,RZ[Úroveň 5 (P0)],BB122),RZ[[#This Row],[Koeficient odhadu HR '[-'] (P1)]]*$BL122*$IG122)</f>
        <v>0</v>
      </c>
      <c r="CI122" s="132">
        <f ca="1">IF(OFFSET(BC122,1,0,1,1)&lt;&gt;0,$BL122*SUMIFS(RZ[Úroveň 6 bez koef. (P2)],RZ[0],AX122,RZ[Úroveň 2 (P0)],AY122,RZ[Úroveň 3 (P0)],AZ122,RZ[Úroveň 4 (P0)],BA122,RZ[Úroveň 5 (P0)],BB122),$BL122*$IG122)</f>
        <v>0</v>
      </c>
      <c r="CJ122" s="138">
        <f ca="1">RZ[[#This Row],[Úroveň 6 s koef. (P2a)]]*RZ[[#This Row],[Počet MJHR (P0)]]</f>
        <v>0</v>
      </c>
      <c r="CK122" s="138">
        <f ca="1">RZ[Úroveň 6 bez koef. (P2a)]*RZ[[#This Row],[Počet MJHR (P0)]]</f>
        <v>0</v>
      </c>
      <c r="CL122" s="138">
        <f ca="1">IF(OFFSET(BD122,1,0,1,1)&lt;&gt;0,RZ[[#This Row],[Koeficient odhadu HR '[-'] (P1)]]*$BM122*SUMIFS(RZ[Úroveň 7 s koef. (P2)],RZ[0],AX122,RZ[Úroveň 2 (P0)],AY122,RZ[Úroveň 3 (P0)],AZ122,RZ[Úroveň 4 (P0)],BA122,RZ[Úroveň 5 (P0)],BB122,RZ[Úroveň 6 (P0)],BC122),RZ[[#This Row],[Koeficient odhadu HR '[-'] (P1)]]*$BM122*$IG122)</f>
        <v>0</v>
      </c>
      <c r="CM122" s="138">
        <f ca="1">IF(OFFSET(BD122,1,0,1,1)&lt;&gt;0,$BM122*SUMIFS(RZ[Úroveň 7 bez koef. (P2)],RZ[0],AX122,RZ[Úroveň 2 (P0)],AY122,RZ[Úroveň 3 (P0)],AZ122,RZ[Úroveň 4 (P0)],BA122,RZ[Úroveň 5 (P0)],BB122,RZ[Úroveň 6 (P0)],BC122),$BM122*$IG122)</f>
        <v>0</v>
      </c>
      <c r="CN122" s="132">
        <f ca="1">RZ[[#This Row],[Úroveň 7 s koef. (P2a)]]*RZ[[#This Row],[Počet MJHR (P0)]]</f>
        <v>0</v>
      </c>
      <c r="CO122" s="132">
        <f ca="1">RZ[Úroveň 7 bez koef. (P2a)]*RZ[[#This Row],[Počet MJHR (P0)]]</f>
        <v>0</v>
      </c>
      <c r="CP122" s="132">
        <f ca="1">IF(OFFSET(BE122,1,0,1,1)&lt;&gt;0,RZ[[#This Row],[Koeficient odhadu HR '[-'] (P1)]]*$BN122*SUMIFS(RZ[Úroveň 8 s koef. (P2)],RZ[0],AX122,RZ[Úroveň 2 (P0)],AY122,RZ[Úroveň 3 (P0)],AZ122,RZ[Úroveň 4 (P0)],BA122,RZ[Úroveň 5 (P0)],BB122,RZ[Úroveň 6 (P0)],BC122,RZ[Úroveň 7 (P0)],BD122),RZ[[#This Row],[Koeficient odhadu HR '[-'] (P1)]]*$BN122*$IG122)</f>
        <v>0</v>
      </c>
      <c r="CQ122" s="132">
        <f ca="1">IF(OFFSET(BE122,1,0,1,1)&lt;&gt;0,$BN122*SUMIFS(RZ[Úroveň 8 bez koef. (P2)],RZ[0],AX122,RZ[Úroveň 2 (P0)],AY122,RZ[Úroveň 3 (P0)],AZ122,RZ[Úroveň 4 (P0)],BA122,RZ[Úroveň 5 (P0)],BB122,RZ[Úroveň 6 (P0)],BC122,RZ[Úroveň 7 (P0)],BD122),$BN122*$IG122)</f>
        <v>0</v>
      </c>
      <c r="CR122" s="138">
        <f ca="1">RZ[[#This Row],[Úroveň 8 s koef. (P2a)]]*RZ[[#This Row],[Počet MJHR (P0)]]</f>
        <v>0</v>
      </c>
      <c r="CS122" s="138">
        <f ca="1">RZ[Úroveň 8 bez koef. (P2a)]*RZ[[#This Row],[Počet MJHR (P0)]]</f>
        <v>0</v>
      </c>
      <c r="CT122" s="138">
        <f ca="1">IF(OFFSET(BF122,1,0,1,1)&lt;&gt;0,RZ[[#This Row],[Koeficient odhadu HR '[-'] (P1)]]*$BO122*SUMIFS(RZ[Úroveň 9 s koef. (P2)],RZ[0],AX122,RZ[Úroveň 2 (P0)],AY122,RZ[Úroveň 3 (P0)],AZ122,RZ[Úroveň 4 (P0)],BA122,RZ[Úroveň 5 (P0)],BB122,RZ[Úroveň 6 (P0)],BC122,RZ[Úroveň 7 (P0)],BD122,RZ[Úroveň 8 (P0)],BE122),RZ[[#This Row],[Koeficient odhadu HR '[-'] (P1)]]*$BO122*$IG122)</f>
        <v>0</v>
      </c>
      <c r="CU122" s="138">
        <f ca="1">IF(OFFSET(BF122,1,0,1,1)&lt;&gt;0,$BO122*SUMIFS(RZ[Úroveň 9 bez koef. (P2)],RZ[0],AX122,RZ[Úroveň 2 (P0)],AY122,RZ[Úroveň 3 (P0)],AZ122,RZ[Úroveň 4 (P0)],BA122,RZ[Úroveň 5 (P0)],BB122,RZ[Úroveň 6 (P0)],BC122,RZ[Úroveň 7 (P0)],BD122,RZ[Úroveň 8 (P0)],BE122),$BO122*$IG122)</f>
        <v>0</v>
      </c>
      <c r="CV122" s="132">
        <f ca="1">RZ[[#This Row],[Úroveň 9 s koef. (P2a)]]*RZ[[#This Row],[Počet MJHR (P0)]]</f>
        <v>0</v>
      </c>
      <c r="CW122" s="132">
        <f ca="1">RZ[Úroveň 9 bez koef. (P2a)]*RZ[[#This Row],[Počet MJHR (P0)]]</f>
        <v>0</v>
      </c>
      <c r="CX122" s="132">
        <f ca="1">IF(OFFSET(BG122,1,0,1,1)&lt;&gt;0,RZ[[#This Row],[Koeficient odhadu HR '[-'] (P1)]]*$BP122*SUMIFS(RZ[Úroveň 10 s koef. (P2)],RZ[0],AX122,RZ[Úroveň 2 (P0)],AY122,RZ[Úroveň 3 (P0)],AZ122,RZ[Úroveň 4 (P0)],BA122,RZ[Úroveň 5 (P0)],BB122,RZ[Úroveň 6 (P0)],BC122,RZ[Úroveň 7 (P0)],BD122,RZ[Úroveň 8 (P0)],BE122,RZ[Úroveň 9 (P0)],BF122),RZ[[#This Row],[Koeficient odhadu HR '[-'] (P1)]]*$BP122*$IG122)</f>
        <v>0</v>
      </c>
      <c r="CY122" s="132">
        <f ca="1">IF(OFFSET(BG122,1,0,1,1)&lt;&gt;0,$BP122*SUMIFS(RZ[Úroveň 10 bez koef. (P2)],RZ[0],AX122,RZ[Úroveň 2 (P0)],AY122,RZ[Úroveň 3 (P0)],AZ122,RZ[Úroveň 4 (P0)],BA122,RZ[Úroveň 5 (P0)],BB122,RZ[Úroveň 6 (P0)],BC122,RZ[Úroveň 7 (P0)],BD122,RZ[Úroveň 8 (P0)],BE122,RZ[Úroveň 9 (P0)],BF122),$BP122*$IG122)</f>
        <v>0</v>
      </c>
      <c r="CZ122" s="138">
        <f>RZ[[#This Row],[Úroveň 10 s koef. (P2a)]]*RZ[[#This Row],[Počet MJHR (P0)]]</f>
        <v>0</v>
      </c>
      <c r="DA122" s="138">
        <f>RZ[Úroveň 10 bez koef. (P2a)]*RZ[[#This Row],[Počet MJHR (P0)]]</f>
        <v>0</v>
      </c>
      <c r="DB122" s="138">
        <f>RZ[[#This Row],[Koeficient odhadu HR '[-'] (P1)]]*$BQ122*IG122</f>
        <v>0</v>
      </c>
      <c r="DC122" s="231">
        <f t="shared" si="969"/>
        <v>0</v>
      </c>
      <c r="DD122" s="241">
        <f t="shared" ca="1" si="970"/>
        <v>0.77200000000000002</v>
      </c>
      <c r="DE122" s="229">
        <f t="shared" ca="1" si="971"/>
        <v>0.77200000000000002</v>
      </c>
      <c r="DF122" s="912">
        <f t="shared" si="972"/>
        <v>0</v>
      </c>
      <c r="DG122" s="913">
        <f t="shared" si="973"/>
        <v>0</v>
      </c>
      <c r="DH122" s="913">
        <f t="shared" si="974"/>
        <v>1</v>
      </c>
      <c r="DI122" s="913">
        <f t="shared" si="975"/>
        <v>0</v>
      </c>
      <c r="DJ122" s="913">
        <f t="shared" si="976"/>
        <v>0</v>
      </c>
      <c r="DK122" s="913">
        <f t="shared" si="977"/>
        <v>0</v>
      </c>
      <c r="DL122" s="913">
        <f t="shared" si="978"/>
        <v>0</v>
      </c>
      <c r="DM122" s="913">
        <f t="shared" si="979"/>
        <v>0</v>
      </c>
      <c r="DN122" s="913">
        <f t="shared" si="980"/>
        <v>0</v>
      </c>
      <c r="DO122" s="913">
        <f t="shared" si="981"/>
        <v>0</v>
      </c>
      <c r="DP122" s="914">
        <f ca="1">SUMIFS(RZ[Úroveň 1 (P4)],RZ[0],AX122)</f>
        <v>1</v>
      </c>
      <c r="DQ122" s="914">
        <f ca="1">SUMIFS(RZ[Úroveň 2 (P4)],RZ[0],AX122,RZ[Úroveň 2 (P0)],AY122)</f>
        <v>2</v>
      </c>
      <c r="DR122" s="914">
        <f ca="1">SUMIFS(RZ[Úroveň 3 (P4)],RZ[0],AX122,RZ[Úroveň 2 (P0)],AY122,RZ[Úroveň 3 (P0)],AZ122)</f>
        <v>1</v>
      </c>
      <c r="DS122" s="914">
        <f ca="1">SUMIFS(RZ[Úroveň 4 (P4)],RZ[0],AX122,RZ[Úroveň 2 (P0)],AY122,RZ[Úroveň 3 (P0)],AZ122,RZ[Úroveň 4 (P0)],BA122)</f>
        <v>0</v>
      </c>
      <c r="DT122" s="914">
        <f ca="1">SUMIFS(RZ[Úroveň 5 (P4)],RZ[0],AX122,RZ[Úroveň 2 (P0)],AY122,RZ[Úroveň 3 (P0)],AZ122,RZ[Úroveň 4 (P0)],BA122,RZ[Úroveň 5 (P0)],BB122)</f>
        <v>0</v>
      </c>
      <c r="DU122" s="914">
        <f ca="1">SUMIFS(RZ[Úroveň 6 (P4)],RZ[0],AX122,RZ[Úroveň 2 (P0)],AY122,RZ[Úroveň 3 (P0)],AZ122,RZ[Úroveň 4 (P0)],BA122,RZ[Úroveň 5 (P0)],BB122,RZ[Úroveň 6 (P0)],BC122)</f>
        <v>0</v>
      </c>
      <c r="DV122" s="914">
        <f ca="1">SUMIFS(RZ[Úroveň 7 (P4)],RZ[0],AX122,RZ[Úroveň 2 (P0)],AY122,RZ[Úroveň 3 (P0)],AZ122,RZ[Úroveň 4 (P0)],BA122,RZ[Úroveň 5 (P0)],BB122,RZ[Úroveň 6 (P0)],BC122,RZ[Úroveň 7 (P0)],BD122)</f>
        <v>0</v>
      </c>
      <c r="DW122" s="914">
        <f ca="1">SUMIFS(RZ[Úroveň 8 (P4)],RZ[0],AX122,RZ[Úroveň 2 (P0)],AY122,RZ[Úroveň 3 (P0)],AZ122,RZ[Úroveň 4 (P0)],BA122,RZ[Úroveň 5 (P0)],BB122,RZ[Úroveň 6 (P0)],BC122,RZ[Úroveň 7 (P0)],BD122,RZ[Úroveň 8 (P0)],BE122)</f>
        <v>0</v>
      </c>
      <c r="DX122" s="914">
        <f ca="1">SUMIFS(RZ[Úroveň 9 (P4)],RZ[0],AX122,RZ[Úroveň 2 (P0)],AY122,RZ[Úroveň 3 (P0)],AZ122,RZ[Úroveň 4 (P0)],BA122,RZ[Úroveň 5 (P0)],BB122,RZ[Úroveň 6 (P0)],BC122,RZ[Úroveň 7 (P0)],BD122,RZ[Úroveň 8 (P0)],BE122,RZ[Úroveň 9 (P0)],BF122)</f>
        <v>0</v>
      </c>
      <c r="DY122" s="914">
        <f ca="1">SUMIFS(RZ[Úroveň 10 (P4)],RZ[0],AX122,RZ[Úroveň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DZ122" s="915">
        <f t="shared" ca="1" si="982"/>
        <v>2</v>
      </c>
      <c r="EA122" s="916">
        <f ca="1">RZ[[#This Row],[Jednotková hmotnost bez koef. '[kg/MJHR'] (P0)]]*RZ[[#This Row],[Počet MJHR v rozpadu (P0)]]</f>
        <v>1.544</v>
      </c>
      <c r="EB122" s="917">
        <f ca="1">IF(OFFSET(AY122,1,0,1,1)&lt;&gt;0,RZ[[#This Row],[Koeficient odhadu CR '[-'] (P1)]]*$BH122*SUMIFS(RZ[Úroveň 2 s koef. (P3)],RZ[0],AX122),RZ[[#This Row],[Koeficient odhadu CR '[-'] (P1)]]*$BH122*$IQ122)</f>
        <v>0</v>
      </c>
      <c r="EC122" s="191">
        <f ca="1">IF(OFFSET(AY122,1,0,1,1)&lt;&gt;0,$BH122*SUMIFS(RZ[Úroveň 2 bez koef. (P3)],RZ[0],AX122),$BH122*$IQ122)</f>
        <v>0</v>
      </c>
      <c r="ED122" s="140">
        <f ca="1">RZ[[#This Row],[Úroveň 2 s koef. (P3a)]]*RZ[[#This Row],[Počet MJCR (P0) pro "kg"]]</f>
        <v>0</v>
      </c>
      <c r="EE122" s="140">
        <f ca="1">RZ[Úroveň 2 bez koef. (P3a)]*RZ[[#This Row],[Počet MJCR (P0) pro "kg"]]</f>
        <v>0</v>
      </c>
      <c r="EF122" s="140">
        <f ca="1">IF(OFFSET(AZ122,1,0,1,1)&lt;&gt;0,RZ[[#This Row],[Koeficient odhadu CR '[-'] (P1)]]*$BI122*SUMIFS(RZ[Úroveň 3 s koef. (P3)],RZ[0],AX122,RZ[Úroveň 2 (P0)],AY122),RZ[[#This Row],[Koeficient odhadu CR '[-'] (P1)]]*$BI122*$IQ122)</f>
        <v>0</v>
      </c>
      <c r="EG122" s="140">
        <f ca="1">IF(OFFSET(AZ122,1,0,1,1)&lt;&gt;0,$BI122*SUMIFS(RZ[Úroveň 3 bez koef. (P3)],RZ[0],AX122,RZ[Úroveň 2 (P0)],AY122),$BI122*$IQ122)</f>
        <v>0</v>
      </c>
      <c r="EH122" s="135">
        <f ca="1">RZ[[#This Row],[Úroveň 3 s koef. (P3a)]]*RZ[[#This Row],[Počet MJCR (P0) pro "kg"]]</f>
        <v>84.92</v>
      </c>
      <c r="EI122" s="135">
        <f ca="1">RZ[Úroveň 3 bez koef. (P3a)]*RZ[[#This Row],[Počet MJCR (P0) pro "kg"]]</f>
        <v>84.92</v>
      </c>
      <c r="EJ122" s="135">
        <f ca="1">IF(OFFSET(BA122,1,0,1,1)&lt;&gt;0,RZ[[#This Row],[Koeficient odhadu CR '[-'] (P1)]]*$BJ122*SUMIFS(RZ[Úroveň 4 s koef. (P3)],RZ[0],AX122,RZ[Úroveň 2 (P0)],AY122,RZ[Úroveň 3 (P0)],AZ122),RZ[[#This Row],[Koeficient odhadu CR '[-'] (P1)]]*$BJ122*$IQ122)</f>
        <v>110</v>
      </c>
      <c r="EK122" s="135">
        <f ca="1">IF(OFFSET(BA122,1,0,1,1)&lt;&gt;0,$BJ122*SUMIFS(RZ[Úroveň 4 bez koef. (P3)],RZ[0],AX122,RZ[Úroveň 2 (P0)],AY122,RZ[Úroveň 3 (P0)],AZ122),$BJ122*$IQ122)</f>
        <v>110</v>
      </c>
      <c r="EL122" s="140">
        <f ca="1">RZ[[#This Row],[Úroveň 4 s koef. (P3a)]]*RZ[[#This Row],[Počet MJCR (P0) pro "kg"]]</f>
        <v>0</v>
      </c>
      <c r="EM122" s="140">
        <f ca="1">RZ[Úroveň 4 bez koef. (P3a)]*RZ[[#This Row],[Počet MJCR (P0) pro "kg"]]</f>
        <v>0</v>
      </c>
      <c r="EN122" s="140">
        <f ca="1">IF(OFFSET(BB122,1,0,1,1)&lt;&gt;0,RZ[[#This Row],[Koeficient odhadu CR '[-'] (P1)]]*$BK122*SUMIFS(RZ[Úroveň 5 s koef. (P3)],RZ[0],AX122,RZ[Úroveň 2 (P0)],AY122,RZ[Úroveň 3 (P0)],AZ122,RZ[Úroveň 4 (P0)],BA122),RZ[[#This Row],[Koeficient odhadu CR '[-'] (P1)]]*$BK122*$IQ122)</f>
        <v>0</v>
      </c>
      <c r="EO122" s="140">
        <f ca="1">IF(OFFSET(BB122,1,0,1,1)&lt;&gt;0,$BK122*SUMIFS(RZ[Úroveň 5 bez koef. (P3)],RZ[0],AX122,RZ[Úroveň 2 (P0)],AY122,RZ[Úroveň 3 (P0)],AZ122,RZ[Úroveň 4 (P0)],BA122),$BK122*$IQ122)</f>
        <v>0</v>
      </c>
      <c r="EP122" s="135">
        <f ca="1">RZ[[#This Row],[Úroveň 5 s koef. (P3a)]]*RZ[[#This Row],[Počet MJCR (P0) pro "kg"]]</f>
        <v>0</v>
      </c>
      <c r="EQ122" s="135">
        <f ca="1">RZ[Úroveň 5 bez koef. (P3a)]*RZ[[#This Row],[Počet MJCR (P0) pro "kg"]]</f>
        <v>0</v>
      </c>
      <c r="ER122" s="135">
        <f ca="1">IF(OFFSET(BC122,1,0,1,1)&lt;&gt;0,RZ[[#This Row],[Koeficient odhadu CR '[-'] (P1)]]*$BL122*SUMIFS(RZ[Úroveň 6 s koef. (P3)],RZ[0],AX122,RZ[Úroveň 2 (P0)],AY122,RZ[Úroveň 3 (P0)],AZ122,RZ[Úroveň 4 (P0)],BA122,RZ[Úroveň 5 (P0)],BB122),RZ[[#This Row],[Koeficient odhadu CR '[-'] (P1)]]*$BL122*$IQ122)</f>
        <v>0</v>
      </c>
      <c r="ES122" s="135">
        <f ca="1">IF(OFFSET(BC122,1,0,1,1)&lt;&gt;0,$BL122*SUMIFS(RZ[Úroveň 6 bez koef. (P3)],RZ[0],AX122,RZ[Úroveň 2 (P0)],AY122,RZ[Úroveň 3 (P0)],AZ122,RZ[Úroveň 4 (P0)],BA122,RZ[Úroveň 5 (P0)],BB122),$BL122*$IQ122)</f>
        <v>0</v>
      </c>
      <c r="ET122" s="140">
        <f ca="1">RZ[[#This Row],[Úroveň 6 s koef. (P3a)]]*RZ[[#This Row],[Počet MJCR (P0) pro "kg"]]</f>
        <v>0</v>
      </c>
      <c r="EU122" s="140">
        <f ca="1">RZ[Úroveň 6 bez koef. (P3a)]*RZ[[#This Row],[Počet MJCR (P0) pro "kg"]]</f>
        <v>0</v>
      </c>
      <c r="EV122" s="140">
        <f ca="1">IF(OFFSET(BD122,1,0,1,1)&lt;&gt;0,RZ[[#This Row],[Koeficient odhadu CR '[-'] (P1)]]*$BM122*SUMIFS(RZ[Úroveň 7 s koef. (P3)],RZ[0],AX122,RZ[Úroveň 2 (P0)],AY122,RZ[Úroveň 3 (P0)],AZ122,RZ[Úroveň 4 (P0)],BA122,RZ[Úroveň 5 (P0)],BB122,RZ[Úroveň 6 (P0)],BC122),RZ[[#This Row],[Koeficient odhadu CR '[-'] (P1)]]*$BM122*$IQ122)</f>
        <v>0</v>
      </c>
      <c r="EW122" s="140">
        <f ca="1">IF(OFFSET(BD122,1,0,1,1)&lt;&gt;0,$BM122*SUMIFS(RZ[Úroveň 7 bez koef. (P3)],RZ[0],AX122,RZ[Úroveň 2 (P0)],AY122,RZ[Úroveň 3 (P0)],AZ122,RZ[Úroveň 4 (P0)],BA122,RZ[Úroveň 5 (P0)],BB122,RZ[Úroveň 6 (P0)],BC122),$BM122*$IQ122)</f>
        <v>0</v>
      </c>
      <c r="EX122" s="135">
        <f ca="1">RZ[[#This Row],[Úroveň 7 s koef. (P3a)]]*RZ[[#This Row],[Počet MJCR (P0) pro "kg"]]</f>
        <v>0</v>
      </c>
      <c r="EY122" s="135">
        <f ca="1">RZ[Úroveň 7 bez koef. (P3a)]*RZ[[#This Row],[Počet MJCR (P0) pro "kg"]]</f>
        <v>0</v>
      </c>
      <c r="EZ122" s="135">
        <f ca="1">IF(OFFSET(BE122,1,0,1,1)&lt;&gt;0,RZ[[#This Row],[Koeficient odhadu CR '[-'] (P1)]]*$BN122*SUMIFS(RZ[Úroveň 8 s koef. (P3)],RZ[0],AX122,RZ[Úroveň 2 (P0)],AY122,RZ[Úroveň 3 (P0)],AZ122,RZ[Úroveň 4 (P0)],BA122,RZ[Úroveň 5 (P0)],BB122,RZ[Úroveň 6 (P0)],BC122,RZ[Úroveň 7 (P0)],BD122),RZ[[#This Row],[Koeficient odhadu CR '[-'] (P1)]]*$BN122*$IQ122)</f>
        <v>0</v>
      </c>
      <c r="FA122" s="135">
        <f ca="1">IF(OFFSET(BE122,1,0,1,1)&lt;&gt;0,$BN122*SUMIFS(RZ[Úroveň 8 bez koef. (P3)],RZ[0],AX122,RZ[Úroveň 2 (P0)],AY122,RZ[Úroveň 3 (P0)],AZ122,RZ[Úroveň 4 (P0)],BA122,RZ[Úroveň 5 (P0)],BB122,RZ[Úroveň 6 (P0)],BC122,RZ[Úroveň 7 (P0)],BD122),$BN122*$IQ122)</f>
        <v>0</v>
      </c>
      <c r="FB122" s="140">
        <f ca="1">RZ[[#This Row],[Úroveň 8 s koef. (P3a)]]*RZ[[#This Row],[Počet MJCR (P0) pro "kg"]]</f>
        <v>0</v>
      </c>
      <c r="FC122" s="140">
        <f ca="1">RZ[Úroveň 8 bez koef. (P3a)]*RZ[[#This Row],[Počet MJCR (P0) pro "kg"]]</f>
        <v>0</v>
      </c>
      <c r="FD122" s="140">
        <f ca="1">IF(OFFSET(BF122,1,0,1,1)&lt;&gt;0,RZ[[#This Row],[Koeficient odhadu CR '[-'] (P1)]]*$BO122*SUMIFS(RZ[Úroveň 9 s koef. (P3)],RZ[0],AX122,RZ[Úroveň 2 (P0)],AY122,RZ[Úroveň 3 (P0)],AZ122,RZ[Úroveň 4 (P0)],BA122,RZ[Úroveň 5 (P0)],BB122,RZ[Úroveň 6 (P0)],BC122,RZ[Úroveň 7 (P0)],BD122,RZ[Úroveň 8 (P0)],BE122),RZ[[#This Row],[Koeficient odhadu CR '[-'] (P1)]]*$BO122*$IQ122)</f>
        <v>0</v>
      </c>
      <c r="FE122" s="140">
        <f ca="1">IF(OFFSET(BF122,1,0,1,1)&lt;&gt;0,$BO122*SUMIFS(RZ[Úroveň 9 bez koef. (P3)],RZ[0],AX122,RZ[Úroveň 2 (P0)],AY122,RZ[Úroveň 3 (P0)],AZ122,RZ[Úroveň 4 (P0)],BA122,RZ[Úroveň 5 (P0)],BB122,RZ[Úroveň 6 (P0)],BC122,RZ[Úroveň 7 (P0)],BD122,RZ[Úroveň 8 (P0)],BE122),$BO122*$IQ122)</f>
        <v>0</v>
      </c>
      <c r="FF122" s="135">
        <f ca="1">RZ[[#This Row],[Úroveň 9 s koef. (P3a)]]*RZ[[#This Row],[Počet MJCR (P0) pro "kg"]]</f>
        <v>0</v>
      </c>
      <c r="FG122" s="135">
        <f ca="1">RZ[Úroveň 9 bez koef. (P3a)]*RZ[[#This Row],[Počet MJCR (P0) pro "kg"]]</f>
        <v>0</v>
      </c>
      <c r="FH122" s="135">
        <f ca="1">IF(OFFSET(BG122,1,0,1,1)&lt;&gt;0,RZ[[#This Row],[Koeficient odhadu CR '[-'] (P1)]]*$BP122*SUMIFS(RZ[Úroveň 10 s koef. (P3)],RZ[0],AX122,RZ[Úroveň 2 (P0)],AY122,RZ[Úroveň 3 (P0)],AZ122,RZ[Úroveň 4 (P0)],BA122,RZ[Úroveň 5 (P0)],BB122,RZ[Úroveň 6 (P0)],BC122,RZ[Úroveň 7 (P0)],BD122,RZ[Úroveň 8 (P0)],BE122,RZ[Úroveň 9 (P0)],BF122),RZ[[#This Row],[Koeficient odhadu CR '[-'] (P1)]]*$BP122*$IQ122)</f>
        <v>0</v>
      </c>
      <c r="FI122" s="135">
        <f ca="1">IF(OFFSET(BG122,1,0,1,1)&lt;&gt;0,$BP122*SUMIFS(RZ[Úroveň 10 bez koef. (P3)],RZ[0],AX122,RZ[Úroveň 2 (P0)],AY122,RZ[Úroveň 3 (P0)],AZ122,RZ[Úroveň 4 (P0)],BA122,RZ[Úroveň 5 (P0)],BB122,RZ[Úroveň 6 (P0)],BC122,RZ[Úroveň 7 (P0)],BD122,RZ[Úroveň 8 (P0)],BE122,RZ[Úroveň 9 (P0)],BF122),$BP122*$IQ122)</f>
        <v>0</v>
      </c>
      <c r="FJ122" s="140">
        <f ca="1">RZ[[#This Row],[Úroveň 10 s koef. (P3a)]]*RZ[[#This Row],[Počet MJCR (P0) pro "kg"]]</f>
        <v>0</v>
      </c>
      <c r="FK122" s="140">
        <f ca="1">RZ[Úroveň 10 bez koef. (P3a)]*RZ[[#This Row],[Počet MJCR (P0) pro "kg"]]</f>
        <v>0</v>
      </c>
      <c r="FL122" s="140">
        <f ca="1">RZ[[#This Row],[Koeficient odhadu CR '[-'] (P1)]]*$BQ122*IQ122</f>
        <v>0</v>
      </c>
      <c r="FM122" s="236">
        <f t="shared" ca="1" si="983"/>
        <v>0</v>
      </c>
      <c r="FN122" s="194">
        <f t="shared" ca="1" si="984"/>
        <v>110</v>
      </c>
      <c r="FO122" s="238">
        <f t="shared" ca="1" si="985"/>
        <v>110</v>
      </c>
      <c r="FP122" s="135">
        <f t="shared" ca="1" si="986"/>
        <v>0</v>
      </c>
      <c r="FQ122" s="135">
        <f t="shared" ca="1" si="987"/>
        <v>0</v>
      </c>
      <c r="FR122" s="135">
        <f t="shared" ca="1" si="988"/>
        <v>0.77200000000000002</v>
      </c>
      <c r="FS122" s="135">
        <f t="shared" ca="1" si="989"/>
        <v>0</v>
      </c>
      <c r="FT122" s="135">
        <f t="shared" ca="1" si="990"/>
        <v>0</v>
      </c>
      <c r="FU122" s="135">
        <f t="shared" ca="1" si="991"/>
        <v>0</v>
      </c>
      <c r="FV122" s="135">
        <f t="shared" ca="1" si="992"/>
        <v>0</v>
      </c>
      <c r="FW122" s="135">
        <f t="shared" ca="1" si="993"/>
        <v>0</v>
      </c>
      <c r="FX122" s="135">
        <f t="shared" ca="1" si="994"/>
        <v>0</v>
      </c>
      <c r="FY122" s="135">
        <f t="shared" ca="1" si="995"/>
        <v>0</v>
      </c>
      <c r="FZ122" s="140">
        <f ca="1">SUMIFS(RZ[Úroveň 1 (P6)],RZ[0],AX122)</f>
        <v>1</v>
      </c>
      <c r="GA122" s="140">
        <f ca="1">SUMIFS(RZ[Úroveň 2 (P6)],RZ[0],AX122,RZ[Úroveň 2 (P0)],AY122)</f>
        <v>2</v>
      </c>
      <c r="GB122" s="140">
        <f ca="1">SUMIFS(RZ[Úroveň 3 (P6)],RZ[0],AX122,RZ[Úroveň 2 (P0)],AY122,RZ[Úroveň 3 (P0)],AZ122)</f>
        <v>0.77200000000000002</v>
      </c>
      <c r="GC122" s="140">
        <f ca="1">SUMIFS(RZ[Úroveň 4 (P6)],RZ[0],AX122,RZ[Úroveň 2 (P0)],AY122,RZ[Úroveň 3 (P0)],AZ122,RZ[Úroveň 4 (P0)],BA122)</f>
        <v>0</v>
      </c>
      <c r="GD122" s="140">
        <f ca="1">SUMIFS(RZ[Úroveň 5 (P6)],RZ[0],AX122,RZ[Úroveň 2 (P0)],AY122,RZ[Úroveň 3 (P0)],AZ122,RZ[Úroveň 4 (P0)],BA122,RZ[Úroveň 5 (P0)],BB122)</f>
        <v>0</v>
      </c>
      <c r="GE122" s="140">
        <f ca="1">SUMIFS(RZ[Úroveň 6 (P6)],RZ[0],AX122,RZ[Úroveň 2 (P0)],AY122,RZ[Úroveň 3 (P0)],AZ122,RZ[Úroveň 4 (P0)],BA122,RZ[Úroveň 5 (P0)],BB122,RZ[Úroveň 6 (P0)],BC122)</f>
        <v>0</v>
      </c>
      <c r="GF122" s="140">
        <f ca="1">SUMIFS(RZ[Úroveň 7 (P6)],RZ[0],AX122,RZ[Úroveň 2 (P0)],AY122,RZ[Úroveň 3 (P0)],AZ122,RZ[Úroveň 4 (P0)],BA122,RZ[Úroveň 5 (P0)],BB122,RZ[Úroveň 6 (P0)],BC122,RZ[Úroveň 7 (P0)],BD122)</f>
        <v>0</v>
      </c>
      <c r="GG122" s="140">
        <f ca="1">SUMIFS(RZ[Úroveň 8 (P6)],RZ[0],AX122,RZ[Úroveň 2 (P0)],AY122,RZ[Úroveň 3 (P0)],AZ122,RZ[Úroveň 4 (P0)],BA122,RZ[Úroveň 5 (P0)],BB122,RZ[Úroveň 6 (P0)],BC122,RZ[Úroveň 7 (P0)],BD122,RZ[Úroveň 8 (P0)],BE122)</f>
        <v>0</v>
      </c>
      <c r="GH122" s="140">
        <f ca="1">SUMIFS(RZ[Úroveň 9 (P6)],RZ[0],AX122,RZ[Úroveň 2 (P0)],AY122,RZ[Úroveň 3 (P0)],AZ122,RZ[Úroveň 4 (P0)],BA122,RZ[Úroveň 5 (P0)],BB122,RZ[Úroveň 6 (P0)],BC122,RZ[Úroveň 7 (P0)],BD122,RZ[Úroveň 8 (P0)],BE122,RZ[Úroveň 9 (P0)],BF122)</f>
        <v>0</v>
      </c>
      <c r="GI122" s="140">
        <f ca="1">SUMIFS(RZ[Úroveň 10 (P6)],RZ[0],AX122,RZ[Úroveň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GJ122" s="918">
        <f t="shared" ca="1" si="996"/>
        <v>1.544</v>
      </c>
      <c r="GK122" s="808">
        <f t="shared" si="997"/>
        <v>0</v>
      </c>
      <c r="GL122" s="808">
        <f t="shared" si="998"/>
        <v>0</v>
      </c>
      <c r="GM122" s="808">
        <f t="shared" si="999"/>
        <v>1</v>
      </c>
      <c r="GN122" s="808">
        <f t="shared" si="1000"/>
        <v>0</v>
      </c>
      <c r="GO122" s="808">
        <f t="shared" si="1001"/>
        <v>0</v>
      </c>
      <c r="GP122" s="808">
        <f t="shared" si="1002"/>
        <v>0</v>
      </c>
      <c r="GQ122" s="808">
        <f t="shared" si="1003"/>
        <v>0</v>
      </c>
      <c r="GR122" s="808">
        <f t="shared" si="1004"/>
        <v>0</v>
      </c>
      <c r="GS122" s="808">
        <f t="shared" si="1005"/>
        <v>0</v>
      </c>
      <c r="GT122" s="808">
        <f t="shared" si="1006"/>
        <v>0</v>
      </c>
      <c r="GU122" s="809">
        <f ca="1">SUMIFS(RZ[Sloupec1],RZ[0],AX122)</f>
        <v>1</v>
      </c>
      <c r="GV122" s="809">
        <f ca="1">SUMIFS(RZ[Sloupec2],RZ[0],AX122,RZ[Úroveň 2 (P0)],AY122)</f>
        <v>1</v>
      </c>
      <c r="GW122" s="809">
        <f ca="1">SUMIFS(RZ[Sloupec3],RZ[0],AX122,RZ[Úroveň 2 (P0)],AY122,RZ[Úroveň 3 (P0)],AZ122)</f>
        <v>1</v>
      </c>
      <c r="GX122" s="809">
        <f ca="1">SUMIFS(RZ[Sloupec4],RZ[0],AX122,RZ[Úroveň 2 (P0)],AY122,RZ[Úroveň 3 (P0)],AZ122,RZ[Úroveň 4 (P0)],BA122)</f>
        <v>0</v>
      </c>
      <c r="GY122" s="809">
        <f ca="1">SUMIFS(RZ[Sloupec5],RZ[0],AX122,RZ[Úroveň 2 (P0)],AY122,RZ[Úroveň 3 (P0)],AZ122,RZ[Úroveň 4 (P0)],BA122,RZ[Úroveň 5 (P0)],BB122)</f>
        <v>0</v>
      </c>
      <c r="GZ122" s="809">
        <f ca="1">SUMIFS(RZ[Sloupec6],RZ[0],AX122,RZ[Úroveň 2 (P0)],AY122,RZ[Úroveň 3 (P0)],AZ122,RZ[Úroveň 4 (P0)],BA122,RZ[Úroveň 5 (P0)],BB122,RZ[Úroveň 6 (P0)],BC122)</f>
        <v>0</v>
      </c>
      <c r="HA122" s="809">
        <f ca="1">SUMIFS(RZ[Sloupec62],RZ[0],AX122,RZ[Úroveň 2 (P0)],AY122,RZ[Úroveň 3 (P0)],AZ122,RZ[Úroveň 4 (P0)],BA122,RZ[Úroveň 5 (P0)],BB122,RZ[Úroveň 6 (P0)],BC122,RZ[Úroveň 7 (P0)],BD122)</f>
        <v>0</v>
      </c>
      <c r="HB122" s="809">
        <f ca="1">SUMIFS(RZ[Sloupec63],RZ[0],AX122,RZ[Úroveň 2 (P0)],AY122,RZ[Úroveň 3 (P0)],AZ122,RZ[Úroveň 4 (P0)],BA122,RZ[Úroveň 5 (P0)],BB122,RZ[Úroveň 6 (P0)],BC122,RZ[Úroveň 7 (P0)],BD122,RZ[Úroveň 8 (P0)],BE122)</f>
        <v>0</v>
      </c>
      <c r="HC122" s="809">
        <f ca="1">SUMIFS(RZ[Sloupec64],RZ[0],AX122,RZ[Úroveň 2 (P0)],AY122,RZ[Úroveň 3 (P0)],AZ122,RZ[Úroveň 4 (P0)],BA122,RZ[Úroveň 5 (P0)],BB122,RZ[Úroveň 6 (P0)],BC122,RZ[Úroveň 7 (P0)],BD122,RZ[Úroveň 8 (P0)],BE122,RZ[Úroveň 9 (P0)],BF122)</f>
        <v>0</v>
      </c>
      <c r="HD122" s="809">
        <f ca="1">SUMIFS(RZ[Sloupec65],RZ[0],AX122,RZ[Úroveň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HE122" s="919">
        <f t="shared" ca="1" si="1007"/>
        <v>1</v>
      </c>
      <c r="HF122" s="920" t="str">
        <f t="shared" si="1008"/>
        <v/>
      </c>
      <c r="HG122" s="94" t="str">
        <f t="shared" si="1009"/>
        <v/>
      </c>
      <c r="HH122" s="95" t="str">
        <f t="shared" si="1010"/>
        <v/>
      </c>
      <c r="HI122" s="95" t="str">
        <f t="shared" si="1011"/>
        <v>Spojovací materiál</v>
      </c>
      <c r="HJ122" s="96" t="str">
        <f t="shared" si="1012"/>
        <v/>
      </c>
      <c r="HK122" s="96" t="str">
        <f t="shared" si="1013"/>
        <v/>
      </c>
      <c r="HL122" s="96" t="str">
        <f t="shared" si="1014"/>
        <v/>
      </c>
      <c r="HM122" s="96" t="str">
        <f t="shared" si="1015"/>
        <v/>
      </c>
      <c r="HN122" s="96" t="str">
        <f t="shared" si="1016"/>
        <v/>
      </c>
      <c r="HO122" s="96" t="str">
        <f t="shared" si="1017"/>
        <v/>
      </c>
      <c r="HP122" s="96" t="str">
        <f t="shared" si="1018"/>
        <v/>
      </c>
      <c r="HQ122" s="145" t="str">
        <f t="shared" si="1019"/>
        <v>STSM</v>
      </c>
      <c r="HR122" s="921" t="str">
        <f t="shared" si="1020"/>
        <v/>
      </c>
      <c r="HS122" s="173">
        <f t="shared" si="1021"/>
        <v>0</v>
      </c>
      <c r="HT122" s="100">
        <f t="shared" si="1022"/>
        <v>0</v>
      </c>
      <c r="HU122" s="100">
        <f t="shared" si="1023"/>
        <v>0</v>
      </c>
      <c r="HV122" s="908">
        <f t="shared" si="1024"/>
        <v>0</v>
      </c>
      <c r="HW122" s="922">
        <f t="shared" si="1025"/>
        <v>0</v>
      </c>
      <c r="HX122" s="224">
        <f t="shared" si="1026"/>
        <v>0</v>
      </c>
      <c r="HY122" s="263" t="str">
        <f t="shared" si="1027"/>
        <v>S</v>
      </c>
      <c r="HZ122" s="263">
        <f t="shared" si="1028"/>
        <v>0</v>
      </c>
      <c r="IA122" s="150">
        <f t="shared" si="1029"/>
        <v>1</v>
      </c>
      <c r="IB122" s="319">
        <f t="shared" si="1030"/>
        <v>0</v>
      </c>
      <c r="IC122" s="923">
        <f t="shared" si="1031"/>
        <v>0</v>
      </c>
      <c r="ID122" s="924" t="str">
        <f t="shared" ca="1" si="1032"/>
        <v>OK</v>
      </c>
      <c r="IE122" s="201" t="str">
        <f t="shared" si="1033"/>
        <v>ks</v>
      </c>
      <c r="IF122" s="145">
        <f t="shared" si="1034"/>
        <v>1</v>
      </c>
      <c r="IG122" s="216">
        <f t="shared" si="1035"/>
        <v>0.77200000000000002</v>
      </c>
      <c r="IH122" s="217">
        <f t="shared" si="1036"/>
        <v>1</v>
      </c>
      <c r="II122" s="224" t="str">
        <f ca="1">IF(RZ[[#This Row],[Rozhodný sloupec indikativní ceny]]=1,"kg",IF($IW122=$JL$15,IF(JX122=0,JO122,JX122),IF($IW122=$KE$15,IF(KQ122=0,KH122,KQ122),IF($IW122=$KX$15,IF(LJ122=0,LA122,LJ122),IF($IW122=$LQ$15,IF(MC122=0,LT122,MC122),IF($IW122=$MJ$15,IF(NQ122=0,NH122,NQ122),0))))))</f>
        <v>kg</v>
      </c>
      <c r="IJ122" s="224">
        <f ca="1">IF((BH122+OFFSET(BH122,1,1,1,1))=2,RZ[[#This Row],[Počet MJHR (P0)]],IF((BI122+OFFSET(BI122,1,1,1,1))=2,RZ[[#This Row],[Počet MJHR (P0)]],IF((BJ122+OFFSET(BJ122,1,1,1,1))=2,RZ[[#This Row],[Počet MJHR (P0)]],IF((BK122+OFFSET(BK122,1,1,1,1))=2,RZ[[#This Row],[Počet MJHR (P0)]],IF((BL122+OFFSET(BL122,1,1,1,1))=2,RZ[[#This Row],[Počet MJHR (P0)]],IF((BM122+OFFSET(BM122,1,1,1,1))=2,RZ[[#This Row],[Počet MJHR (P0)]],IF((BN122+OFFSET(BN122,1,1,1,1))=2,RZ[[#This Row],[Počet MJHR (P0)]],IF((BO122+OFFSET(BO122,1,1,1,1))=2,RZ[[#This Row],[Počet MJHR (P0)]],IF((BP122+OFFSET(BP122,1,1,1,1))=2,RZ[[#This Row],[Počet MJHR (P0)]],IF((BQ122+OFFSET(BQ122,1,1,1,1))=2,RZ[[#This Row],[Počet MJHR (P0)]],IF(RZ[[#This Row],[Měrná jednotka CR (MJCR) (P0)]]=RZ[[#This Row],[Měrná jednotka HR '[MJHR'] (P0)]],RZ[[#This Row],[Počet MJHR (P0)]],IF($IW122=$JL$15,JY122,IF($IW122=$KE$15,KR122,IF($IW122=$KX$15,LK122,IF($IW122=$LQ$15,MD122,IF($IW122=$MJ$15,NR122,0))))))))))))))))</f>
        <v>0</v>
      </c>
      <c r="IK1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0.77200000000000002</v>
      </c>
      <c r="IL122" s="145">
        <f ca="1">IF(AND(RZ[[#This Row],[Jednotková cena bez DPH '[cena/MJCR'] (P0)]]=0,RZ[[#This Row],[Indikativní jednotková cena '[CZK/kg'] (P1)]]&lt;&gt;0),1,0)</f>
        <v>1</v>
      </c>
      <c r="IM122" s="217">
        <f ca="1">VLOOKUP(RZ[[#This Row],[Kód položek]],INDIKAT_CENA,2,FALSE)</f>
        <v>110</v>
      </c>
      <c r="IN122" s="222">
        <f ca="1">IF(RZ[[#This Row],[Rozhodný sloupec indikativní ceny]]=1,RZ[[#This Row],[Indikativní jednotková cena '[CZK/kg'] (P1)]],RZ[[#This Row],[Jednotková cena bez DPH '[cena/MJCR'] (P0)]])</f>
        <v>110</v>
      </c>
      <c r="IO122" s="222">
        <f t="shared" si="1037"/>
        <v>1</v>
      </c>
      <c r="IP122" s="224">
        <f ca="1">IF(RZ[[#This Row],[Rozhodný sloupec indikativní ceny]]=1,1,IF($IW122=$JL$15,KA122,IF($IW122=$KE$15,KT122,IF($IW122=$KX$15,LM122,IF($IW122=$LQ$15,MF122,IF($IW122=$MJ$15,NT122,0))))))</f>
        <v>1</v>
      </c>
      <c r="IQ122" s="225">
        <f ca="1">IF(RZ[[#This Row],[Jednotková cena bez DPH '[cena/MJCR'] (P1)]]="",0,IF(IP122=0,0,(RZ[[#This Row],[Jednotková cena bez DPH '[cena/MJCR'] (P1)]]*VLOOKUP(IP122,$BR$7:$BT$10,3))))</f>
        <v>110</v>
      </c>
      <c r="IR122" s="737"/>
      <c r="IS122" s="627">
        <f>IF(HY122=0,"",VLOOKUP(RZ[[#This Row],[Stav Projekce (P0)]],Vstupy!$E$11:'Vstupy'!$E$11:$H$17,4,FALSE))</f>
        <v>100</v>
      </c>
      <c r="IT122" s="925" t="str">
        <f>IF(RZ[[#This Row],[Stav Projekce (P0)]]=0,"",RZ[[#This Row],[Stav Projekce (P0)]])</f>
        <v>S</v>
      </c>
      <c r="IU122" s="925" t="str">
        <f>IF(RZ[[#This Row],[Stav Nákup (P0)]]=0,"",RZ[[#This Row],[Stav Nákup (P0)]])</f>
        <v/>
      </c>
      <c r="IV122" s="926" t="str">
        <f t="shared" si="1038"/>
        <v/>
      </c>
      <c r="IW122" s="641">
        <v>1</v>
      </c>
      <c r="IX122" s="630"/>
      <c r="IY122" s="264"/>
      <c r="IZ122" s="648"/>
      <c r="JA122" s="100"/>
      <c r="JB122" s="100" t="s">
        <v>36</v>
      </c>
      <c r="JC122" s="100"/>
      <c r="JD122" s="100"/>
      <c r="JE122" s="100"/>
      <c r="JF122" s="100"/>
      <c r="JG122" s="100"/>
      <c r="JH122" s="100"/>
      <c r="JI122" s="100"/>
      <c r="JJ122" s="145" t="s">
        <v>766</v>
      </c>
      <c r="JK122" s="529"/>
      <c r="JL122" s="286"/>
      <c r="JM122" s="100"/>
      <c r="JN122" s="100"/>
      <c r="JO122" s="145" t="s">
        <v>35</v>
      </c>
      <c r="JP122" s="117">
        <v>1</v>
      </c>
      <c r="JQ122" s="117">
        <v>0.77200000000000002</v>
      </c>
      <c r="JR122" s="148">
        <v>1</v>
      </c>
      <c r="JS122" s="145" t="s">
        <v>602</v>
      </c>
      <c r="JT122" s="631"/>
      <c r="JU122" s="148"/>
      <c r="JV122" s="154"/>
      <c r="JW122" s="145"/>
      <c r="JX122" s="210"/>
      <c r="JY122" s="117"/>
      <c r="JZ122" s="662"/>
      <c r="KA122" s="145"/>
      <c r="KB122" s="148"/>
      <c r="KC122" s="148"/>
      <c r="KD122" s="644"/>
      <c r="KE122" s="286"/>
      <c r="KF122" s="100"/>
      <c r="KG122" s="100"/>
      <c r="KH122" s="210"/>
      <c r="KI122" s="117"/>
      <c r="KJ122" s="117"/>
      <c r="KK122" s="148"/>
      <c r="KL122" s="145"/>
      <c r="KM122" s="632"/>
      <c r="KN122" s="148"/>
      <c r="KO122" s="154"/>
      <c r="KP122" s="154"/>
      <c r="KQ122" s="210"/>
      <c r="KR122" s="117"/>
      <c r="KS122" s="211"/>
      <c r="KT122" s="145"/>
      <c r="KU122" s="148"/>
      <c r="KV122" s="148"/>
      <c r="KW122" s="265"/>
      <c r="KX122" s="286"/>
      <c r="KY122" s="100"/>
      <c r="KZ122" s="100"/>
      <c r="LA122" s="210"/>
      <c r="LB122" s="117"/>
      <c r="LC122" s="117"/>
      <c r="LD122" s="148"/>
      <c r="LE122" s="145"/>
      <c r="LF122" s="632"/>
      <c r="LG122" s="148"/>
      <c r="LH122" s="154"/>
      <c r="LI122" s="154"/>
      <c r="LJ122" s="154"/>
      <c r="LK122" s="117"/>
      <c r="LL122" s="211"/>
      <c r="LM122" s="210"/>
      <c r="LN122" s="148"/>
      <c r="LO122" s="148"/>
      <c r="LP122" s="265"/>
      <c r="LQ122" s="286"/>
      <c r="LR122" s="100"/>
      <c r="LS122" s="100"/>
      <c r="LT122" s="210"/>
      <c r="LU122" s="117"/>
      <c r="LV122" s="117"/>
      <c r="LW122" s="148"/>
      <c r="LX122" s="145"/>
      <c r="LY122" s="632"/>
      <c r="LZ122" s="148"/>
      <c r="MA122" s="154"/>
      <c r="MB122" s="154"/>
      <c r="MC122" s="145"/>
      <c r="MD122" s="117"/>
      <c r="ME122" s="211"/>
      <c r="MF122" s="210"/>
      <c r="MG122" s="148"/>
      <c r="MH122" s="148"/>
      <c r="MI122" s="265"/>
      <c r="MJ122" s="647"/>
      <c r="MK122" s="264"/>
      <c r="ML122" s="153"/>
      <c r="MM122" s="153"/>
      <c r="MN122" s="153"/>
      <c r="MO122" s="153"/>
      <c r="MP122" s="153"/>
      <c r="MQ122" s="153"/>
      <c r="MR122" s="153"/>
      <c r="MS122" s="99"/>
      <c r="MT122" s="99"/>
      <c r="MU122" s="99"/>
      <c r="MV122" s="99"/>
      <c r="MW122" s="99"/>
      <c r="MX122" s="99"/>
      <c r="MY122" s="153"/>
      <c r="MZ122" s="153"/>
      <c r="NA122" s="153"/>
      <c r="NB122" s="153"/>
      <c r="NC122" s="153"/>
      <c r="ND122" s="153"/>
      <c r="NE122" s="153"/>
      <c r="NF122" s="153"/>
      <c r="NG122" s="153"/>
      <c r="NH122" s="330" t="str">
        <f t="shared" si="1039"/>
        <v>ks</v>
      </c>
      <c r="NI122" s="797">
        <f>RZ[[#This Row],[Počet ks (K)]]</f>
        <v>0</v>
      </c>
      <c r="NJ122" s="798">
        <f>RZ[[#This Row],[Hmotnost '[kg/ks'] (K)]]</f>
        <v>0</v>
      </c>
      <c r="NK122" s="153"/>
      <c r="NL122" s="153"/>
      <c r="NM122" s="632"/>
      <c r="NN122" s="153"/>
      <c r="NO122" s="153"/>
      <c r="NP122" s="153"/>
      <c r="NQ122" s="153"/>
      <c r="NR122" s="153"/>
      <c r="NS122" s="153"/>
      <c r="NT122" s="153"/>
      <c r="NU122" s="153"/>
      <c r="NV122" s="148"/>
      <c r="NW122" s="633"/>
    </row>
    <row r="123" spans="2:387" ht="15.95" customHeight="1" x14ac:dyDescent="0.35">
      <c r="B123" s="118" t="str">
        <f t="shared" si="1"/>
        <v/>
      </c>
      <c r="C1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3" s="262" t="str">
        <f t="shared" si="2"/>
        <v xml:space="preserve">  Krajní nárazník boční opěry</v>
      </c>
      <c r="E123" s="12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Row],[Kód položek (P2)]]))))))))))</f>
        <v>-</v>
      </c>
      <c r="F123" s="122" t="str">
        <f t="shared" si="3"/>
        <v>N/A</v>
      </c>
      <c r="G123" s="121" t="str">
        <f t="shared" si="4"/>
        <v/>
      </c>
      <c r="H123" s="122" t="str">
        <f t="shared" si="5"/>
        <v/>
      </c>
      <c r="I123" s="123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HR '[MJHR'] (P0)]]))))))))))</f>
        <v>sest</v>
      </c>
      <c r="J123" s="123">
        <f t="shared" si="6"/>
        <v>2</v>
      </c>
      <c r="K123" s="151">
        <f>RZ[[#This Row],[Koeficient odhadu HR '[-'] (P1)]]</f>
        <v>1</v>
      </c>
      <c r="L123" s="124">
        <f ca="1">RZ[[#This Row],[Jednotková hmotnost s koef. '[kg/MJHR'] (P0)]]</f>
        <v>61.576000000000001</v>
      </c>
      <c r="M123" s="124">
        <f t="shared" ca="1" si="7"/>
        <v>0</v>
      </c>
      <c r="N123" s="125">
        <f t="shared" ca="1" si="8"/>
        <v>123.152</v>
      </c>
      <c r="O123" s="125">
        <f t="shared" ca="1" si="9"/>
        <v>0</v>
      </c>
      <c r="P123" s="328" t="str">
        <f t="shared" si="10"/>
        <v/>
      </c>
      <c r="Q123" s="743">
        <f ca="1">RZ[[#This Row],[Počet MJHR v rozpadu (P0)]]</f>
        <v>2</v>
      </c>
      <c r="R123" s="439" t="str">
        <f t="shared" si="11"/>
        <v/>
      </c>
      <c r="S123" s="129" t="str">
        <f t="shared" si="12"/>
        <v/>
      </c>
      <c r="T123" s="130" t="str">
        <f t="shared" si="13"/>
        <v/>
      </c>
      <c r="U123" s="126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CR (MJCR) (P0)]]))))))))))</f>
        <v>sest</v>
      </c>
      <c r="V123" s="575">
        <f t="shared" ca="1" si="14"/>
        <v>2</v>
      </c>
      <c r="W123" s="322">
        <f>RZ[[#This Row],[Koeficient odhadu CR '[-'] (P1)]]</f>
        <v>1</v>
      </c>
      <c r="X123" s="44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Row],[Jednotková cena bez DPH '[cena/MJCR'] (P1)]]*RZ[[#This Row],[Koeficient odhadu CR '[-']]]))))))))))</f>
        <v>-</v>
      </c>
      <c r="Y123" s="440">
        <f t="shared" ca="1" si="108"/>
        <v>0</v>
      </c>
      <c r="Z123" s="142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VLOOKUP(IP123,$BR$7:$BS$11,2,FALSE)))))))))))</f>
        <v>-</v>
      </c>
      <c r="AA123" s="811">
        <f t="shared" ca="1" si="16"/>
        <v>2</v>
      </c>
      <c r="AB123" s="814">
        <f ca="1">RZ[[#This Row],[Kumulovaný koeficient v rozpadu (P0)]]</f>
        <v>1</v>
      </c>
      <c r="AC123" s="260"/>
      <c r="AD123" s="510">
        <f ca="1">RZ[[#This Row],[Jednotková cena bez DPH '[cena/MJCR'] s koef. (P0)]]/RZ[[#This Row],[Koeficient odhadu CR '[-']]]*RZ[[#This Row],[Kumulovaný koeficient odhadu CR  '[-']]]</f>
        <v>6874.16</v>
      </c>
      <c r="AE123" s="511">
        <f t="shared" ca="1" si="17"/>
        <v>13748.32</v>
      </c>
      <c r="AF123" s="512">
        <f ca="1">-IF(ISNUMBER(AA123),RZ[[#This Row],[Celková cena bez DPH (1)]]-RZ[[#This Row],[Jednotková cena bez DPH '[cena/MJCR'] bez koef. (P0)]]*AA123,0)</f>
        <v>0</v>
      </c>
      <c r="AG1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111.63700142912823</v>
      </c>
      <c r="AH123" s="261"/>
      <c r="AI123" s="510">
        <f t="shared" ca="1" si="18"/>
        <v>254.59851851851852</v>
      </c>
      <c r="AJ123" s="511">
        <f t="shared" ca="1" si="19"/>
        <v>509.19703703703703</v>
      </c>
      <c r="AK123" s="512">
        <f t="shared" ca="1" si="20"/>
        <v>0</v>
      </c>
      <c r="AL123" s="753">
        <f ca="1">RZ[[#This Row],[Kilogramová cena bez DPH '[cena/kg'] (1)]]/$AK$13</f>
        <v>4.1347037566343792</v>
      </c>
      <c r="AM123" s="261"/>
      <c r="AN123" s="510">
        <f t="shared" ca="1" si="21"/>
        <v>332.08502415458935</v>
      </c>
      <c r="AO123" s="511">
        <f t="shared" ca="1" si="22"/>
        <v>664.1700483091787</v>
      </c>
      <c r="AP123" s="512">
        <f t="shared" ca="1" si="23"/>
        <v>0</v>
      </c>
      <c r="AQ123" s="753">
        <f ca="1">RZ[[#This Row],[Kilogramová cena bez DPH '[cena/kg'] (1)]]/$AP$13</f>
        <v>5.3930918564796251</v>
      </c>
      <c r="AR123" s="261"/>
      <c r="AS123" s="510">
        <f t="shared" ca="1" si="24"/>
        <v>188.02407002188181</v>
      </c>
      <c r="AT123" s="511">
        <f t="shared" ca="1" si="25"/>
        <v>376.04814004376362</v>
      </c>
      <c r="AU123" s="511">
        <f t="shared" ca="1" si="26"/>
        <v>0</v>
      </c>
      <c r="AV123" s="767">
        <f ca="1">RZ[[#This Row],[Kilogramová cena bez DPH '[cena/kg'] (1)]]/$AU$13</f>
        <v>3.0535284854794371</v>
      </c>
      <c r="AW123" s="165"/>
      <c r="AX123" s="110">
        <f t="shared" ca="1" si="27"/>
        <v>2</v>
      </c>
      <c r="AY123" s="55">
        <f t="shared" ca="1" si="28"/>
        <v>11</v>
      </c>
      <c r="AZ123" s="111">
        <f t="shared" ca="1" si="29"/>
        <v>0</v>
      </c>
      <c r="BA123" s="111">
        <f t="shared" ca="1" si="30"/>
        <v>0</v>
      </c>
      <c r="BB123" s="111">
        <f t="shared" ca="1" si="31"/>
        <v>0</v>
      </c>
      <c r="BC123" s="111">
        <f t="shared" ca="1" si="32"/>
        <v>0</v>
      </c>
      <c r="BD123" s="111">
        <f t="shared" ca="1" si="33"/>
        <v>0</v>
      </c>
      <c r="BE123" s="111">
        <f t="shared" ca="1" si="109"/>
        <v>0</v>
      </c>
      <c r="BF123" s="111">
        <f t="shared" ca="1" si="34"/>
        <v>0</v>
      </c>
      <c r="BG123" s="112">
        <f t="shared" ca="1" si="35"/>
        <v>0</v>
      </c>
      <c r="BH123" s="110">
        <f t="shared" si="110"/>
        <v>0</v>
      </c>
      <c r="BI123" s="55">
        <f t="shared" si="111"/>
        <v>1</v>
      </c>
      <c r="BJ123" s="55">
        <f t="shared" si="112"/>
        <v>0</v>
      </c>
      <c r="BK123" s="111">
        <f t="shared" si="113"/>
        <v>0</v>
      </c>
      <c r="BL123" s="111">
        <f t="shared" si="114"/>
        <v>0</v>
      </c>
      <c r="BM123" s="111">
        <f t="shared" si="115"/>
        <v>0</v>
      </c>
      <c r="BN123" s="111">
        <f t="shared" si="116"/>
        <v>0</v>
      </c>
      <c r="BO123" s="111">
        <f t="shared" si="117"/>
        <v>0</v>
      </c>
      <c r="BP123" s="111">
        <f t="shared" si="118"/>
        <v>0</v>
      </c>
      <c r="BQ123" s="112">
        <f t="shared" si="119"/>
        <v>0</v>
      </c>
      <c r="BR123" s="186">
        <f ca="1">IF(OFFSET(AY123,1,0,1,1)&lt;&gt;0,RZ[[#This Row],[Koeficient odhadu HR '[-'] (P1)]]*$BH123*SUMIFS(RZ[Úroveň 2 s koef. (P2)],RZ[0],AX123),RZ[[#This Row],[Koeficient odhadu HR '[-'] (P1)]]*$BH123*$IG123)</f>
        <v>0</v>
      </c>
      <c r="BS123" s="186">
        <f ca="1">IF(OFFSET(AY123,1,0,1,1)&lt;&gt;0,$BH123*SUMIFS(RZ[Úroveň 2 bez koef. (P2)],RZ[0],AX123),$BH123*$IG123)</f>
        <v>0</v>
      </c>
      <c r="BT123" s="138">
        <f ca="1">RZ[[#This Row],[Úroveň 2 s koef. (P2a)]]*RZ[[#This Row],[Počet MJHR (P0)]]</f>
        <v>123.152</v>
      </c>
      <c r="BU123" s="138">
        <f ca="1">RZ[[#This Row],[Úroveň 2 bez koef. (P2a)]]*RZ[[#This Row],[Počet MJHR (P0)]]</f>
        <v>123.152</v>
      </c>
      <c r="BV123" s="138">
        <f ca="1">IF(OFFSET(AZ123,1,0,1,1)&lt;&gt;0,RZ[[#This Row],[Koeficient odhadu HR '[-'] (P1)]]*$BI123*SUMIFS(RZ[Úroveň 3 s koef. (P2)],RZ[0],AX123,RZ[Úroveň 2 (P0)],AY123),RZ[[#This Row],[Koeficient odhadu HR '[-'] (P1)]]*$BI123*$IG123)</f>
        <v>61.576000000000001</v>
      </c>
      <c r="BW123" s="138">
        <f ca="1">IF(OFFSET(AZ123,1,0,1,1)&lt;&gt;0,$BI123*SUMIFS(RZ[Úroveň 3 bez koef. (P2)],RZ[0],AX123,RZ[Úroveň 2 (P0)],AY123),$BI123*$IG123)</f>
        <v>61.576000000000001</v>
      </c>
      <c r="BX123" s="132">
        <f ca="1">RZ[[#This Row],[Úroveň 3 s koef. (P2a)]]*RZ[[#This Row],[Počet MJHR (P0)]]</f>
        <v>0</v>
      </c>
      <c r="BY123" s="132">
        <f ca="1">RZ[Úroveň 3 bez koef. (P2a)]*RZ[[#This Row],[Počet MJHR (P0)]]</f>
        <v>0</v>
      </c>
      <c r="BZ123" s="132">
        <f ca="1">IF(OFFSET(BA123,1,0,1,1)&lt;&gt;0,RZ[[#This Row],[Koeficient odhadu HR '[-'] (P1)]]*$BJ123*SUMIFS(RZ[Úroveň 4 s koef. (P2)],RZ[0],AX123,RZ[Úroveň 2 (P0)],AY123,RZ[Úroveň 3 (P0)],AZ123),RZ[[#This Row],[Koeficient odhadu HR '[-'] (P1)]]*$BJ123*$IG123)</f>
        <v>0</v>
      </c>
      <c r="CA123" s="132">
        <f ca="1">IF(OFFSET(BA123,1,0,1,1)&lt;&gt;0,$BJ123*SUMIFS(RZ[Úroveň 4 bez koef. (P2)],RZ[0],AX123,RZ[Úroveň 2 (P0)],AY123,RZ[Úroveň 3 (P0)],AZ123),$BJ123*$IG123)</f>
        <v>0</v>
      </c>
      <c r="CB123" s="138">
        <f ca="1">RZ[[#This Row],[Úroveň 4 s koef. (P2a)]]*RZ[[#This Row],[Počet MJHR (P0)]]</f>
        <v>0</v>
      </c>
      <c r="CC123" s="138">
        <f ca="1">RZ[Úroveň 4 bez koef. (P2a)]*RZ[[#This Row],[Počet MJHR (P0)]]</f>
        <v>0</v>
      </c>
      <c r="CD123" s="138">
        <f ca="1">IF(OFFSET(BB123,1,0,1,1)&lt;&gt;0,RZ[[#This Row],[Koeficient odhadu HR '[-'] (P1)]]*$BK123*SUMIFS(RZ[Úroveň 5 s koef. (P2)],RZ[0],AX123,RZ[Úroveň 2 (P0)],AY123,RZ[Úroveň 3 (P0)],AZ123,RZ[Úroveň 4 (P0)],BA123),RZ[[#This Row],[Koeficient odhadu HR '[-'] (P1)]]*$BK123*$IG123)</f>
        <v>0</v>
      </c>
      <c r="CE123" s="138">
        <f ca="1">IF(OFFSET(BB123,1,0,1,1)&lt;&gt;0,$BK123*SUMIFS(RZ[Úroveň 5 bez koef. (P2)],RZ[0],AX123,RZ[Úroveň 2 (P0)],AY123,RZ[Úroveň 3 (P0)],AZ123,RZ[Úroveň 4 (P0)],BA123),$BK123*$IG123)</f>
        <v>0</v>
      </c>
      <c r="CF123" s="132">
        <f ca="1">RZ[[#This Row],[Úroveň 5 s koef. (P2a)]]*RZ[[#This Row],[Počet MJHR (P0)]]</f>
        <v>0</v>
      </c>
      <c r="CG123" s="132">
        <f ca="1">RZ[Úroveň 5 bez koef. (P2a)]*RZ[[#This Row],[Počet MJHR (P0)]]</f>
        <v>0</v>
      </c>
      <c r="CH123" s="132">
        <f ca="1">IF(OFFSET(BC123,1,0,1,1)&lt;&gt;0,RZ[[#This Row],[Koeficient odhadu HR '[-'] (P1)]]*$BL123*SUMIFS(RZ[Úroveň 6 s koef. (P2)],RZ[0],AX123,RZ[Úroveň 2 (P0)],AY123,RZ[Úroveň 3 (P0)],AZ123,RZ[Úroveň 4 (P0)],BA123,RZ[Úroveň 5 (P0)],BB123),RZ[[#This Row],[Koeficient odhadu HR '[-'] (P1)]]*$BL123*$IG123)</f>
        <v>0</v>
      </c>
      <c r="CI123" s="132">
        <f ca="1">IF(OFFSET(BC123,1,0,1,1)&lt;&gt;0,$BL123*SUMIFS(RZ[Úroveň 6 bez koef. (P2)],RZ[0],AX123,RZ[Úroveň 2 (P0)],AY123,RZ[Úroveň 3 (P0)],AZ123,RZ[Úroveň 4 (P0)],BA123,RZ[Úroveň 5 (P0)],BB123),$BL123*$IG123)</f>
        <v>0</v>
      </c>
      <c r="CJ123" s="138">
        <f ca="1">RZ[[#This Row],[Úroveň 6 s koef. (P2a)]]*RZ[[#This Row],[Počet MJHR (P0)]]</f>
        <v>0</v>
      </c>
      <c r="CK123" s="138">
        <f ca="1">RZ[Úroveň 6 bez koef. (P2a)]*RZ[[#This Row],[Počet MJHR (P0)]]</f>
        <v>0</v>
      </c>
      <c r="CL123" s="138">
        <f ca="1">IF(OFFSET(BD123,1,0,1,1)&lt;&gt;0,RZ[[#This Row],[Koeficient odhadu HR '[-'] (P1)]]*$BM123*SUMIFS(RZ[Úroveň 7 s koef. (P2)],RZ[0],AX123,RZ[Úroveň 2 (P0)],AY123,RZ[Úroveň 3 (P0)],AZ123,RZ[Úroveň 4 (P0)],BA123,RZ[Úroveň 5 (P0)],BB123,RZ[Úroveň 6 (P0)],BC123),RZ[[#This Row],[Koeficient odhadu HR '[-'] (P1)]]*$BM123*$IG123)</f>
        <v>0</v>
      </c>
      <c r="CM123" s="138">
        <f ca="1">IF(OFFSET(BD123,1,0,1,1)&lt;&gt;0,$BM123*SUMIFS(RZ[Úroveň 7 bez koef. (P2)],RZ[0],AX123,RZ[Úroveň 2 (P0)],AY123,RZ[Úroveň 3 (P0)],AZ123,RZ[Úroveň 4 (P0)],BA123,RZ[Úroveň 5 (P0)],BB123,RZ[Úroveň 6 (P0)],BC123),$BM123*$IG123)</f>
        <v>0</v>
      </c>
      <c r="CN123" s="132">
        <f ca="1">RZ[[#This Row],[Úroveň 7 s koef. (P2a)]]*RZ[[#This Row],[Počet MJHR (P0)]]</f>
        <v>0</v>
      </c>
      <c r="CO123" s="132">
        <f ca="1">RZ[Úroveň 7 bez koef. (P2a)]*RZ[[#This Row],[Počet MJHR (P0)]]</f>
        <v>0</v>
      </c>
      <c r="CP123" s="132">
        <f ca="1">IF(OFFSET(BE123,1,0,1,1)&lt;&gt;0,RZ[[#This Row],[Koeficient odhadu HR '[-'] (P1)]]*$BN123*SUMIFS(RZ[Úroveň 8 s koef. (P2)],RZ[0],AX123,RZ[Úroveň 2 (P0)],AY123,RZ[Úroveň 3 (P0)],AZ123,RZ[Úroveň 4 (P0)],BA123,RZ[Úroveň 5 (P0)],BB123,RZ[Úroveň 6 (P0)],BC123,RZ[Úroveň 7 (P0)],BD123),RZ[[#This Row],[Koeficient odhadu HR '[-'] (P1)]]*$BN123*$IG123)</f>
        <v>0</v>
      </c>
      <c r="CQ123" s="132">
        <f ca="1">IF(OFFSET(BE123,1,0,1,1)&lt;&gt;0,$BN123*SUMIFS(RZ[Úroveň 8 bez koef. (P2)],RZ[0],AX123,RZ[Úroveň 2 (P0)],AY123,RZ[Úroveň 3 (P0)],AZ123,RZ[Úroveň 4 (P0)],BA123,RZ[Úroveň 5 (P0)],BB123,RZ[Úroveň 6 (P0)],BC123,RZ[Úroveň 7 (P0)],BD123),$BN123*$IG123)</f>
        <v>0</v>
      </c>
      <c r="CR123" s="138">
        <f ca="1">RZ[[#This Row],[Úroveň 8 s koef. (P2a)]]*RZ[[#This Row],[Počet MJHR (P0)]]</f>
        <v>0</v>
      </c>
      <c r="CS123" s="138">
        <f ca="1">RZ[Úroveň 8 bez koef. (P2a)]*RZ[[#This Row],[Počet MJHR (P0)]]</f>
        <v>0</v>
      </c>
      <c r="CT123" s="138">
        <f ca="1">IF(OFFSET(BF123,1,0,1,1)&lt;&gt;0,RZ[[#This Row],[Koeficient odhadu HR '[-'] (P1)]]*$BO123*SUMIFS(RZ[Úroveň 9 s koef. (P2)],RZ[0],AX123,RZ[Úroveň 2 (P0)],AY123,RZ[Úroveň 3 (P0)],AZ123,RZ[Úroveň 4 (P0)],BA123,RZ[Úroveň 5 (P0)],BB123,RZ[Úroveň 6 (P0)],BC123,RZ[Úroveň 7 (P0)],BD123,RZ[Úroveň 8 (P0)],BE123),RZ[[#This Row],[Koeficient odhadu HR '[-'] (P1)]]*$BO123*$IG123)</f>
        <v>0</v>
      </c>
      <c r="CU123" s="138">
        <f ca="1">IF(OFFSET(BF123,1,0,1,1)&lt;&gt;0,$BO123*SUMIFS(RZ[Úroveň 9 bez koef. (P2)],RZ[0],AX123,RZ[Úroveň 2 (P0)],AY123,RZ[Úroveň 3 (P0)],AZ123,RZ[Úroveň 4 (P0)],BA123,RZ[Úroveň 5 (P0)],BB123,RZ[Úroveň 6 (P0)],BC123,RZ[Úroveň 7 (P0)],BD123,RZ[Úroveň 8 (P0)],BE123),$BO123*$IG123)</f>
        <v>0</v>
      </c>
      <c r="CV123" s="132">
        <f ca="1">RZ[[#This Row],[Úroveň 9 s koef. (P2a)]]*RZ[[#This Row],[Počet MJHR (P0)]]</f>
        <v>0</v>
      </c>
      <c r="CW123" s="132">
        <f ca="1">RZ[Úroveň 9 bez koef. (P2a)]*RZ[[#This Row],[Počet MJHR (P0)]]</f>
        <v>0</v>
      </c>
      <c r="CX123" s="132">
        <f ca="1">IF(OFFSET(BG123,1,0,1,1)&lt;&gt;0,RZ[[#This Row],[Koeficient odhadu HR '[-'] (P1)]]*$BP123*SUMIFS(RZ[Úroveň 10 s koef. (P2)],RZ[0],AX123,RZ[Úroveň 2 (P0)],AY123,RZ[Úroveň 3 (P0)],AZ123,RZ[Úroveň 4 (P0)],BA123,RZ[Úroveň 5 (P0)],BB123,RZ[Úroveň 6 (P0)],BC123,RZ[Úroveň 7 (P0)],BD123,RZ[Úroveň 8 (P0)],BE123,RZ[Úroveň 9 (P0)],BF123),RZ[[#This Row],[Koeficient odhadu HR '[-'] (P1)]]*$BP123*$IG123)</f>
        <v>0</v>
      </c>
      <c r="CY123" s="132">
        <f ca="1">IF(OFFSET(BG123,1,0,1,1)&lt;&gt;0,$BP123*SUMIFS(RZ[Úroveň 10 bez koef. (P2)],RZ[0],AX123,RZ[Úroveň 2 (P0)],AY123,RZ[Úroveň 3 (P0)],AZ123,RZ[Úroveň 4 (P0)],BA123,RZ[Úroveň 5 (P0)],BB123,RZ[Úroveň 6 (P0)],BC123,RZ[Úroveň 7 (P0)],BD123,RZ[Úroveň 8 (P0)],BE123,RZ[Úroveň 9 (P0)],BF123),$BP123*$IG123)</f>
        <v>0</v>
      </c>
      <c r="CZ123" s="138">
        <f>RZ[[#This Row],[Úroveň 10 s koef. (P2a)]]*RZ[[#This Row],[Počet MJHR (P0)]]</f>
        <v>0</v>
      </c>
      <c r="DA123" s="138">
        <f>RZ[Úroveň 10 bez koef. (P2a)]*RZ[[#This Row],[Počet MJHR (P0)]]</f>
        <v>0</v>
      </c>
      <c r="DB123" s="138">
        <f>RZ[[#This Row],[Koeficient odhadu HR '[-'] (P1)]]*$BQ123*IG123</f>
        <v>0</v>
      </c>
      <c r="DC123" s="231">
        <f t="shared" si="37"/>
        <v>0</v>
      </c>
      <c r="DD123" s="241">
        <f t="shared" ca="1" si="120"/>
        <v>61.576000000000001</v>
      </c>
      <c r="DE123" s="229">
        <f t="shared" ca="1" si="121"/>
        <v>61.576000000000001</v>
      </c>
      <c r="DF123" s="521">
        <f t="shared" si="40"/>
        <v>0</v>
      </c>
      <c r="DG123" s="522">
        <f t="shared" si="41"/>
        <v>2</v>
      </c>
      <c r="DH123" s="522">
        <f t="shared" si="42"/>
        <v>0</v>
      </c>
      <c r="DI123" s="523">
        <f t="shared" si="43"/>
        <v>0</v>
      </c>
      <c r="DJ123" s="524">
        <f t="shared" si="44"/>
        <v>0</v>
      </c>
      <c r="DK123" s="524">
        <f t="shared" si="45"/>
        <v>0</v>
      </c>
      <c r="DL123" s="524">
        <f t="shared" si="46"/>
        <v>0</v>
      </c>
      <c r="DM123" s="524">
        <f t="shared" si="47"/>
        <v>0</v>
      </c>
      <c r="DN123" s="524">
        <f t="shared" si="48"/>
        <v>0</v>
      </c>
      <c r="DO123" s="523">
        <f t="shared" si="49"/>
        <v>0</v>
      </c>
      <c r="DP123" s="525">
        <f ca="1">SUMIFS(RZ[Úroveň 1 (P4)],RZ[0],AX123)</f>
        <v>1</v>
      </c>
      <c r="DQ123" s="525">
        <f ca="1">SUMIFS(RZ[Úroveň 2 (P4)],RZ[0],AX123,RZ[Úroveň 2 (P0)],AY123)</f>
        <v>2</v>
      </c>
      <c r="DR123" s="525">
        <f ca="1">SUMIFS(RZ[Úroveň 3 (P4)],RZ[0],AX123,RZ[Úroveň 2 (P0)],AY123,RZ[Úroveň 3 (P0)],AZ123)</f>
        <v>0</v>
      </c>
      <c r="DS123" s="525">
        <f ca="1">SUMIFS(RZ[Úroveň 4 (P4)],RZ[0],AX123,RZ[Úroveň 2 (P0)],AY123,RZ[Úroveň 3 (P0)],AZ123,RZ[Úroveň 4 (P0)],BA123)</f>
        <v>0</v>
      </c>
      <c r="DT123" s="526">
        <f ca="1">SUMIFS(RZ[Úroveň 5 (P4)],RZ[0],AX123,RZ[Úroveň 2 (P0)],AY123,RZ[Úroveň 3 (P0)],AZ123,RZ[Úroveň 4 (P0)],BA123,RZ[Úroveň 5 (P0)],BB123)</f>
        <v>0</v>
      </c>
      <c r="DU123" s="526">
        <f ca="1">SUMIFS(RZ[Úroveň 6 (P4)],RZ[0],AX123,RZ[Úroveň 2 (P0)],AY123,RZ[Úroveň 3 (P0)],AZ123,RZ[Úroveň 4 (P0)],BA123,RZ[Úroveň 5 (P0)],BB123,RZ[Úroveň 6 (P0)],BC123)</f>
        <v>0</v>
      </c>
      <c r="DV123" s="526">
        <f ca="1">SUMIFS(RZ[Úroveň 7 (P4)],RZ[0],AX123,RZ[Úroveň 2 (P0)],AY123,RZ[Úroveň 3 (P0)],AZ123,RZ[Úroveň 4 (P0)],BA123,RZ[Úroveň 5 (P0)],BB123,RZ[Úroveň 6 (P0)],BC123,RZ[Úroveň 7 (P0)],BD123)</f>
        <v>0</v>
      </c>
      <c r="DW123" s="526">
        <f ca="1">SUMIFS(RZ[Úroveň 8 (P4)],RZ[0],AX123,RZ[Úroveň 2 (P0)],AY123,RZ[Úroveň 3 (P0)],AZ123,RZ[Úroveň 4 (P0)],BA123,RZ[Úroveň 5 (P0)],BB123,RZ[Úroveň 6 (P0)],BC123,RZ[Úroveň 7 (P0)],BD123,RZ[Úroveň 8 (P0)],BE123)</f>
        <v>0</v>
      </c>
      <c r="DX123" s="526">
        <f ca="1">SUMIFS(RZ[Úroveň 9 (P4)],RZ[0],AX123,RZ[Úroveň 2 (P0)],AY123,RZ[Úroveň 3 (P0)],AZ123,RZ[Úroveň 4 (P0)],BA123,RZ[Úroveň 5 (P0)],BB123,RZ[Úroveň 6 (P0)],BC123,RZ[Úroveň 7 (P0)],BD123,RZ[Úroveň 8 (P0)],BE123,RZ[Úroveň 9 (P0)],BF123)</f>
        <v>0</v>
      </c>
      <c r="DY123" s="526">
        <f ca="1">SUMIFS(RZ[Úroveň 10 (P4)],RZ[0],AX123,RZ[Úroveň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DZ123" s="527">
        <f t="shared" ca="1" si="122"/>
        <v>2</v>
      </c>
      <c r="EA123" s="528">
        <f ca="1">RZ[[#This Row],[Jednotková hmotnost bez koef. '[kg/MJHR'] (P0)]]*RZ[[#This Row],[Počet MJHR v rozpadu (P0)]]</f>
        <v>123.152</v>
      </c>
      <c r="EB123" s="191">
        <f ca="1">IF(OFFSET(AY123,1,0,1,1)&lt;&gt;0,RZ[[#This Row],[Koeficient odhadu CR '[-'] (P1)]]*$BH123*SUMIFS(RZ[Úroveň 2 s koef. (P3)],RZ[0],AX123),RZ[[#This Row],[Koeficient odhadu CR '[-'] (P1)]]*$BH123*$IQ123)</f>
        <v>0</v>
      </c>
      <c r="EC123" s="191">
        <f ca="1">IF(OFFSET(AY123,1,0,1,1)&lt;&gt;0,$BH123*SUMIFS(RZ[Úroveň 2 bez koef. (P3)],RZ[0],AX123),$BH123*$IQ123)</f>
        <v>0</v>
      </c>
      <c r="ED123" s="140">
        <f ca="1">RZ[[#This Row],[Úroveň 2 s koef. (P3a)]]*RZ[[#This Row],[Počet MJCR (P0) pro "kg"]]</f>
        <v>13748.32</v>
      </c>
      <c r="EE123" s="140">
        <f ca="1">RZ[Úroveň 2 bez koef. (P3a)]*RZ[[#This Row],[Počet MJCR (P0) pro "kg"]]</f>
        <v>13748.32</v>
      </c>
      <c r="EF123" s="140">
        <f ca="1">IF(OFFSET(AZ123,1,0,1,1)&lt;&gt;0,RZ[[#This Row],[Koeficient odhadu CR '[-'] (P1)]]*$BI123*SUMIFS(RZ[Úroveň 3 s koef. (P3)],RZ[0],AX123,RZ[Úroveň 2 (P0)],AY123),RZ[[#This Row],[Koeficient odhadu CR '[-'] (P1)]]*$BI123*$IQ123)</f>
        <v>6874.16</v>
      </c>
      <c r="EG123" s="140">
        <f ca="1">IF(OFFSET(AZ123,1,0,1,1)&lt;&gt;0,$BI123*SUMIFS(RZ[Úroveň 3 bez koef. (P3)],RZ[0],AX123,RZ[Úroveň 2 (P0)],AY123),$BI123*$IQ123)</f>
        <v>6874.16</v>
      </c>
      <c r="EH123" s="135">
        <f ca="1">RZ[[#This Row],[Úroveň 3 s koef. (P3a)]]*RZ[[#This Row],[Počet MJCR (P0) pro "kg"]]</f>
        <v>0</v>
      </c>
      <c r="EI123" s="135">
        <f ca="1">RZ[Úroveň 3 bez koef. (P3a)]*RZ[[#This Row],[Počet MJCR (P0) pro "kg"]]</f>
        <v>0</v>
      </c>
      <c r="EJ123" s="135">
        <f ca="1">IF(OFFSET(BA123,1,0,1,1)&lt;&gt;0,RZ[[#This Row],[Koeficient odhadu CR '[-'] (P1)]]*$BJ123*SUMIFS(RZ[Úroveň 4 s koef. (P3)],RZ[0],AX123,RZ[Úroveň 2 (P0)],AY123,RZ[Úroveň 3 (P0)],AZ123),RZ[[#This Row],[Koeficient odhadu CR '[-'] (P1)]]*$BJ123*$IQ123)</f>
        <v>0</v>
      </c>
      <c r="EK123" s="135">
        <f ca="1">IF(OFFSET(BA123,1,0,1,1)&lt;&gt;0,$BJ123*SUMIFS(RZ[Úroveň 4 bez koef. (P3)],RZ[0],AX123,RZ[Úroveň 2 (P0)],AY123,RZ[Úroveň 3 (P0)],AZ123),$BJ123*$IQ123)</f>
        <v>0</v>
      </c>
      <c r="EL123" s="140">
        <f ca="1">RZ[[#This Row],[Úroveň 4 s koef. (P3a)]]*RZ[[#This Row],[Počet MJCR (P0) pro "kg"]]</f>
        <v>0</v>
      </c>
      <c r="EM123" s="140">
        <f ca="1">RZ[Úroveň 4 bez koef. (P3a)]*RZ[[#This Row],[Počet MJCR (P0) pro "kg"]]</f>
        <v>0</v>
      </c>
      <c r="EN123" s="140">
        <f ca="1">IF(OFFSET(BB123,1,0,1,1)&lt;&gt;0,RZ[[#This Row],[Koeficient odhadu CR '[-'] (P1)]]*$BK123*SUMIFS(RZ[Úroveň 5 s koef. (P3)],RZ[0],AX123,RZ[Úroveň 2 (P0)],AY123,RZ[Úroveň 3 (P0)],AZ123,RZ[Úroveň 4 (P0)],BA123),RZ[[#This Row],[Koeficient odhadu CR '[-'] (P1)]]*$BK123*$IQ123)</f>
        <v>0</v>
      </c>
      <c r="EO123" s="140">
        <f ca="1">IF(OFFSET(BB123,1,0,1,1)&lt;&gt;0,$BK123*SUMIFS(RZ[Úroveň 5 bez koef. (P3)],RZ[0],AX123,RZ[Úroveň 2 (P0)],AY123,RZ[Úroveň 3 (P0)],AZ123,RZ[Úroveň 4 (P0)],BA123),$BK123*$IQ123)</f>
        <v>0</v>
      </c>
      <c r="EP123" s="135">
        <f ca="1">RZ[[#This Row],[Úroveň 5 s koef. (P3a)]]*RZ[[#This Row],[Počet MJCR (P0) pro "kg"]]</f>
        <v>0</v>
      </c>
      <c r="EQ123" s="135">
        <f ca="1">RZ[Úroveň 5 bez koef. (P3a)]*RZ[[#This Row],[Počet MJCR (P0) pro "kg"]]</f>
        <v>0</v>
      </c>
      <c r="ER123" s="135">
        <f ca="1">IF(OFFSET(BC123,1,0,1,1)&lt;&gt;0,RZ[[#This Row],[Koeficient odhadu CR '[-'] (P1)]]*$BL123*SUMIFS(RZ[Úroveň 6 s koef. (P3)],RZ[0],AX123,RZ[Úroveň 2 (P0)],AY123,RZ[Úroveň 3 (P0)],AZ123,RZ[Úroveň 4 (P0)],BA123,RZ[Úroveň 5 (P0)],BB123),RZ[[#This Row],[Koeficient odhadu CR '[-'] (P1)]]*$BL123*$IQ123)</f>
        <v>0</v>
      </c>
      <c r="ES123" s="135">
        <f ca="1">IF(OFFSET(BC123,1,0,1,1)&lt;&gt;0,$BL123*SUMIFS(RZ[Úroveň 6 bez koef. (P3)],RZ[0],AX123,RZ[Úroveň 2 (P0)],AY123,RZ[Úroveň 3 (P0)],AZ123,RZ[Úroveň 4 (P0)],BA123,RZ[Úroveň 5 (P0)],BB123),$BL123*$IQ123)</f>
        <v>0</v>
      </c>
      <c r="ET123" s="140">
        <f ca="1">RZ[[#This Row],[Úroveň 6 s koef. (P3a)]]*RZ[[#This Row],[Počet MJCR (P0) pro "kg"]]</f>
        <v>0</v>
      </c>
      <c r="EU123" s="140">
        <f ca="1">RZ[Úroveň 6 bez koef. (P3a)]*RZ[[#This Row],[Počet MJCR (P0) pro "kg"]]</f>
        <v>0</v>
      </c>
      <c r="EV123" s="140">
        <f ca="1">IF(OFFSET(BD123,1,0,1,1)&lt;&gt;0,RZ[[#This Row],[Koeficient odhadu CR '[-'] (P1)]]*$BM123*SUMIFS(RZ[Úroveň 7 s koef. (P3)],RZ[0],AX123,RZ[Úroveň 2 (P0)],AY123,RZ[Úroveň 3 (P0)],AZ123,RZ[Úroveň 4 (P0)],BA123,RZ[Úroveň 5 (P0)],BB123,RZ[Úroveň 6 (P0)],BC123),RZ[[#This Row],[Koeficient odhadu CR '[-'] (P1)]]*$BM123*$IQ123)</f>
        <v>0</v>
      </c>
      <c r="EW123" s="140">
        <f ca="1">IF(OFFSET(BD123,1,0,1,1)&lt;&gt;0,$BM123*SUMIFS(RZ[Úroveň 7 bez koef. (P3)],RZ[0],AX123,RZ[Úroveň 2 (P0)],AY123,RZ[Úroveň 3 (P0)],AZ123,RZ[Úroveň 4 (P0)],BA123,RZ[Úroveň 5 (P0)],BB123,RZ[Úroveň 6 (P0)],BC123),$BM123*$IQ123)</f>
        <v>0</v>
      </c>
      <c r="EX123" s="135">
        <f ca="1">RZ[[#This Row],[Úroveň 7 s koef. (P3a)]]*RZ[[#This Row],[Počet MJCR (P0) pro "kg"]]</f>
        <v>0</v>
      </c>
      <c r="EY123" s="135">
        <f ca="1">RZ[Úroveň 7 bez koef. (P3a)]*RZ[[#This Row],[Počet MJCR (P0) pro "kg"]]</f>
        <v>0</v>
      </c>
      <c r="EZ123" s="135">
        <f ca="1">IF(OFFSET(BE123,1,0,1,1)&lt;&gt;0,RZ[[#This Row],[Koeficient odhadu CR '[-'] (P1)]]*$BN123*SUMIFS(RZ[Úroveň 8 s koef. (P3)],RZ[0],AX123,RZ[Úroveň 2 (P0)],AY123,RZ[Úroveň 3 (P0)],AZ123,RZ[Úroveň 4 (P0)],BA123,RZ[Úroveň 5 (P0)],BB123,RZ[Úroveň 6 (P0)],BC123,RZ[Úroveň 7 (P0)],BD123),RZ[[#This Row],[Koeficient odhadu CR '[-'] (P1)]]*$BN123*$IQ123)</f>
        <v>0</v>
      </c>
      <c r="FA123" s="135">
        <f ca="1">IF(OFFSET(BE123,1,0,1,1)&lt;&gt;0,$BN123*SUMIFS(RZ[Úroveň 8 bez koef. (P3)],RZ[0],AX123,RZ[Úroveň 2 (P0)],AY123,RZ[Úroveň 3 (P0)],AZ123,RZ[Úroveň 4 (P0)],BA123,RZ[Úroveň 5 (P0)],BB123,RZ[Úroveň 6 (P0)],BC123,RZ[Úroveň 7 (P0)],BD123),$BN123*$IQ123)</f>
        <v>0</v>
      </c>
      <c r="FB123" s="140">
        <f ca="1">RZ[[#This Row],[Úroveň 8 s koef. (P3a)]]*RZ[[#This Row],[Počet MJCR (P0) pro "kg"]]</f>
        <v>0</v>
      </c>
      <c r="FC123" s="140">
        <f ca="1">RZ[Úroveň 8 bez koef. (P3a)]*RZ[[#This Row],[Počet MJCR (P0) pro "kg"]]</f>
        <v>0</v>
      </c>
      <c r="FD123" s="140">
        <f ca="1">IF(OFFSET(BF123,1,0,1,1)&lt;&gt;0,RZ[[#This Row],[Koeficient odhadu CR '[-'] (P1)]]*$BO123*SUMIFS(RZ[Úroveň 9 s koef. (P3)],RZ[0],AX123,RZ[Úroveň 2 (P0)],AY123,RZ[Úroveň 3 (P0)],AZ123,RZ[Úroveň 4 (P0)],BA123,RZ[Úroveň 5 (P0)],BB123,RZ[Úroveň 6 (P0)],BC123,RZ[Úroveň 7 (P0)],BD123,RZ[Úroveň 8 (P0)],BE123),RZ[[#This Row],[Koeficient odhadu CR '[-'] (P1)]]*$BO123*$IQ123)</f>
        <v>0</v>
      </c>
      <c r="FE123" s="140">
        <f ca="1">IF(OFFSET(BF123,1,0,1,1)&lt;&gt;0,$BO123*SUMIFS(RZ[Úroveň 9 bez koef. (P3)],RZ[0],AX123,RZ[Úroveň 2 (P0)],AY123,RZ[Úroveň 3 (P0)],AZ123,RZ[Úroveň 4 (P0)],BA123,RZ[Úroveň 5 (P0)],BB123,RZ[Úroveň 6 (P0)],BC123,RZ[Úroveň 7 (P0)],BD123,RZ[Úroveň 8 (P0)],BE123),$BO123*$IQ123)</f>
        <v>0</v>
      </c>
      <c r="FF123" s="135">
        <f ca="1">RZ[[#This Row],[Úroveň 9 s koef. (P3a)]]*RZ[[#This Row],[Počet MJCR (P0) pro "kg"]]</f>
        <v>0</v>
      </c>
      <c r="FG123" s="135">
        <f ca="1">RZ[Úroveň 9 bez koef. (P3a)]*RZ[[#This Row],[Počet MJCR (P0) pro "kg"]]</f>
        <v>0</v>
      </c>
      <c r="FH123" s="135">
        <f ca="1">IF(OFFSET(BG123,1,0,1,1)&lt;&gt;0,RZ[[#This Row],[Koeficient odhadu CR '[-'] (P1)]]*$BP123*SUMIFS(RZ[Úroveň 10 s koef. (P3)],RZ[0],AX123,RZ[Úroveň 2 (P0)],AY123,RZ[Úroveň 3 (P0)],AZ123,RZ[Úroveň 4 (P0)],BA123,RZ[Úroveň 5 (P0)],BB123,RZ[Úroveň 6 (P0)],BC123,RZ[Úroveň 7 (P0)],BD123,RZ[Úroveň 8 (P0)],BE123,RZ[Úroveň 9 (P0)],BF123),RZ[[#This Row],[Koeficient odhadu CR '[-'] (P1)]]*$BP123*$IQ123)</f>
        <v>0</v>
      </c>
      <c r="FI123" s="135">
        <f ca="1">IF(OFFSET(BG123,1,0,1,1)&lt;&gt;0,$BP123*SUMIFS(RZ[Úroveň 10 bez koef. (P3)],RZ[0],AX123,RZ[Úroveň 2 (P0)],AY123,RZ[Úroveň 3 (P0)],AZ123,RZ[Úroveň 4 (P0)],BA123,RZ[Úroveň 5 (P0)],BB123,RZ[Úroveň 6 (P0)],BC123,RZ[Úroveň 7 (P0)],BD123,RZ[Úroveň 8 (P0)],BE123,RZ[Úroveň 9 (P0)],BF123),$BP123*$IQ123)</f>
        <v>0</v>
      </c>
      <c r="FJ123" s="140">
        <f ca="1">RZ[[#This Row],[Úroveň 10 s koef. (P3a)]]*RZ[[#This Row],[Počet MJCR (P0) pro "kg"]]</f>
        <v>0</v>
      </c>
      <c r="FK123" s="140">
        <f ca="1">RZ[Úroveň 10 bez koef. (P3a)]*RZ[[#This Row],[Počet MJCR (P0) pro "kg"]]</f>
        <v>0</v>
      </c>
      <c r="FL123" s="140">
        <f ca="1">RZ[[#This Row],[Koeficient odhadu CR '[-'] (P1)]]*$BQ123*IQ123</f>
        <v>0</v>
      </c>
      <c r="FM123" s="236">
        <f t="shared" ca="1" si="51"/>
        <v>0</v>
      </c>
      <c r="FN123" s="194">
        <f t="shared" ca="1" si="123"/>
        <v>6874.16</v>
      </c>
      <c r="FO123" s="238">
        <f t="shared" ca="1" si="124"/>
        <v>6874.16</v>
      </c>
      <c r="FP123" s="191">
        <f t="shared" ca="1" si="54"/>
        <v>0</v>
      </c>
      <c r="FQ123" s="135">
        <f t="shared" ca="1" si="55"/>
        <v>2</v>
      </c>
      <c r="FR123" s="135">
        <f t="shared" ca="1" si="56"/>
        <v>0</v>
      </c>
      <c r="FS123" s="135">
        <f t="shared" ca="1" si="57"/>
        <v>0</v>
      </c>
      <c r="FT123" s="135">
        <f t="shared" ca="1" si="58"/>
        <v>0</v>
      </c>
      <c r="FU123" s="135">
        <f t="shared" ca="1" si="59"/>
        <v>0</v>
      </c>
      <c r="FV123" s="135">
        <f t="shared" ca="1" si="60"/>
        <v>0</v>
      </c>
      <c r="FW123" s="135">
        <f t="shared" ca="1" si="61"/>
        <v>0</v>
      </c>
      <c r="FX123" s="135">
        <f t="shared" ca="1" si="62"/>
        <v>0</v>
      </c>
      <c r="FY123" s="135">
        <f t="shared" ca="1" si="63"/>
        <v>0</v>
      </c>
      <c r="FZ123" s="140">
        <f ca="1">SUMIFS(RZ[Úroveň 1 (P6)],RZ[0],AX123)</f>
        <v>1</v>
      </c>
      <c r="GA123" s="140">
        <f ca="1">SUMIFS(RZ[Úroveň 2 (P6)],RZ[0],AX123,RZ[Úroveň 2 (P0)],AY123)</f>
        <v>2</v>
      </c>
      <c r="GB123" s="140">
        <f ca="1">SUMIFS(RZ[Úroveň 3 (P6)],RZ[0],AX123,RZ[Úroveň 2 (P0)],AY123,RZ[Úroveň 3 (P0)],AZ123)</f>
        <v>0</v>
      </c>
      <c r="GC123" s="140">
        <f ca="1">SUMIFS(RZ[Úroveň 4 (P6)],RZ[0],AX123,RZ[Úroveň 2 (P0)],AY123,RZ[Úroveň 3 (P0)],AZ123,RZ[Úroveň 4 (P0)],BA123)</f>
        <v>0</v>
      </c>
      <c r="GD123" s="140">
        <f ca="1">SUMIFS(RZ[Úroveň 5 (P6)],RZ[0],AX123,RZ[Úroveň 2 (P0)],AY123,RZ[Úroveň 3 (P0)],AZ123,RZ[Úroveň 4 (P0)],BA123,RZ[Úroveň 5 (P0)],BB123)</f>
        <v>0</v>
      </c>
      <c r="GE123" s="140">
        <f ca="1">SUMIFS(RZ[Úroveň 6 (P6)],RZ[0],AX123,RZ[Úroveň 2 (P0)],AY123,RZ[Úroveň 3 (P0)],AZ123,RZ[Úroveň 4 (P0)],BA123,RZ[Úroveň 5 (P0)],BB123,RZ[Úroveň 6 (P0)],BC123)</f>
        <v>0</v>
      </c>
      <c r="GF123" s="140">
        <f ca="1">SUMIFS(RZ[Úroveň 7 (P6)],RZ[0],AX123,RZ[Úroveň 2 (P0)],AY123,RZ[Úroveň 3 (P0)],AZ123,RZ[Úroveň 4 (P0)],BA123,RZ[Úroveň 5 (P0)],BB123,RZ[Úroveň 6 (P0)],BC123,RZ[Úroveň 7 (P0)],BD123)</f>
        <v>0</v>
      </c>
      <c r="GG123" s="140">
        <f ca="1">SUMIFS(RZ[Úroveň 8 (P6)],RZ[0],AX123,RZ[Úroveň 2 (P0)],AY123,RZ[Úroveň 3 (P0)],AZ123,RZ[Úroveň 4 (P0)],BA123,RZ[Úroveň 5 (P0)],BB123,RZ[Úroveň 6 (P0)],BC123,RZ[Úroveň 7 (P0)],BD123,RZ[Úroveň 8 (P0)],BE123)</f>
        <v>0</v>
      </c>
      <c r="GH123" s="140">
        <f ca="1">SUMIFS(RZ[Úroveň 9 (P6)],RZ[0],AX123,RZ[Úroveň 2 (P0)],AY123,RZ[Úroveň 3 (P0)],AZ123,RZ[Úroveň 4 (P0)],BA123,RZ[Úroveň 5 (P0)],BB123,RZ[Úroveň 6 (P0)],BC123,RZ[Úroveň 7 (P0)],BD123,RZ[Úroveň 8 (P0)],BE123,RZ[Úroveň 9 (P0)],BF123)</f>
        <v>0</v>
      </c>
      <c r="GI123" s="140">
        <f ca="1">SUMIFS(RZ[Úroveň 10 (P6)],RZ[0],AX123,RZ[Úroveň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GJ123" s="194">
        <f t="shared" ca="1" si="125"/>
        <v>2</v>
      </c>
      <c r="GK123" s="807">
        <f t="shared" si="65"/>
        <v>0</v>
      </c>
      <c r="GL123" s="808">
        <f t="shared" si="66"/>
        <v>1</v>
      </c>
      <c r="GM123" s="808">
        <f t="shared" si="67"/>
        <v>0</v>
      </c>
      <c r="GN123" s="808">
        <f t="shared" si="68"/>
        <v>0</v>
      </c>
      <c r="GO123" s="808">
        <f t="shared" si="69"/>
        <v>0</v>
      </c>
      <c r="GP123" s="808">
        <f t="shared" si="70"/>
        <v>0</v>
      </c>
      <c r="GQ123" s="808">
        <f t="shared" si="71"/>
        <v>0</v>
      </c>
      <c r="GR123" s="808">
        <f t="shared" si="72"/>
        <v>0</v>
      </c>
      <c r="GS123" s="808">
        <f t="shared" si="73"/>
        <v>0</v>
      </c>
      <c r="GT123" s="808">
        <f t="shared" si="74"/>
        <v>0</v>
      </c>
      <c r="GU123" s="809">
        <f ca="1">SUMIFS(RZ[Sloupec1],RZ[0],AX123)</f>
        <v>1</v>
      </c>
      <c r="GV123" s="809">
        <f ca="1">SUMIFS(RZ[Sloupec2],RZ[0],AX123,RZ[Úroveň 2 (P0)],AY123)</f>
        <v>1</v>
      </c>
      <c r="GW123" s="809">
        <f ca="1">SUMIFS(RZ[Sloupec3],RZ[0],AX123,RZ[Úroveň 2 (P0)],AY123,RZ[Úroveň 3 (P0)],AZ123)</f>
        <v>0</v>
      </c>
      <c r="GX123" s="809">
        <f ca="1">SUMIFS(RZ[Sloupec4],RZ[0],AX123,RZ[Úroveň 2 (P0)],AY123,RZ[Úroveň 3 (P0)],AZ123,RZ[Úroveň 4 (P0)],BA123)</f>
        <v>0</v>
      </c>
      <c r="GY123" s="809">
        <f ca="1">SUMIFS(RZ[Sloupec5],RZ[0],AX123,RZ[Úroveň 2 (P0)],AY123,RZ[Úroveň 3 (P0)],AZ123,RZ[Úroveň 4 (P0)],BA123,RZ[Úroveň 5 (P0)],BB123)</f>
        <v>0</v>
      </c>
      <c r="GZ123" s="809">
        <f ca="1">SUMIFS(RZ[Sloupec6],RZ[0],AX123,RZ[Úroveň 2 (P0)],AY123,RZ[Úroveň 3 (P0)],AZ123,RZ[Úroveň 4 (P0)],BA123,RZ[Úroveň 5 (P0)],BB123,RZ[Úroveň 6 (P0)],BC123)</f>
        <v>0</v>
      </c>
      <c r="HA123" s="809">
        <f ca="1">SUMIFS(RZ[Sloupec62],RZ[0],AX123,RZ[Úroveň 2 (P0)],AY123,RZ[Úroveň 3 (P0)],AZ123,RZ[Úroveň 4 (P0)],BA123,RZ[Úroveň 5 (P0)],BB123,RZ[Úroveň 6 (P0)],BC123,RZ[Úroveň 7 (P0)],BD123)</f>
        <v>0</v>
      </c>
      <c r="HB123" s="809">
        <f ca="1">SUMIFS(RZ[Sloupec63],RZ[0],AX123,RZ[Úroveň 2 (P0)],AY123,RZ[Úroveň 3 (P0)],AZ123,RZ[Úroveň 4 (P0)],BA123,RZ[Úroveň 5 (P0)],BB123,RZ[Úroveň 6 (P0)],BC123,RZ[Úroveň 7 (P0)],BD123,RZ[Úroveň 8 (P0)],BE123)</f>
        <v>0</v>
      </c>
      <c r="HC123" s="809">
        <f ca="1">SUMIFS(RZ[Sloupec64],RZ[0],AX123,RZ[Úroveň 2 (P0)],AY123,RZ[Úroveň 3 (P0)],AZ123,RZ[Úroveň 4 (P0)],BA123,RZ[Úroveň 5 (P0)],BB123,RZ[Úroveň 6 (P0)],BC123,RZ[Úroveň 7 (P0)],BD123,RZ[Úroveň 8 (P0)],BE123,RZ[Úroveň 9 (P0)],BF123)</f>
        <v>0</v>
      </c>
      <c r="HD123" s="809">
        <f ca="1">SUMIFS(RZ[Sloupec65],RZ[0],AX123,RZ[Úroveň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HE123" s="803">
        <f t="shared" ca="1" si="75"/>
        <v>1</v>
      </c>
      <c r="HF123" s="48" t="str">
        <f t="shared" si="76"/>
        <v/>
      </c>
      <c r="HG123" s="94" t="str">
        <f t="shared" si="77"/>
        <v/>
      </c>
      <c r="HH123" s="95" t="str">
        <f t="shared" si="78"/>
        <v>Krajní nárazník boční opěry</v>
      </c>
      <c r="HI123" s="95" t="str">
        <f t="shared" si="79"/>
        <v/>
      </c>
      <c r="HJ123" s="96" t="str">
        <f t="shared" si="80"/>
        <v/>
      </c>
      <c r="HK123" s="96" t="str">
        <f t="shared" si="81"/>
        <v/>
      </c>
      <c r="HL123" s="96" t="str">
        <f t="shared" si="82"/>
        <v/>
      </c>
      <c r="HM123" s="96" t="str">
        <f t="shared" si="83"/>
        <v/>
      </c>
      <c r="HN123" s="96" t="str">
        <f t="shared" si="84"/>
        <v/>
      </c>
      <c r="HO123" s="96" t="str">
        <f t="shared" si="85"/>
        <v/>
      </c>
      <c r="HP123" s="96" t="str">
        <f t="shared" si="86"/>
        <v/>
      </c>
      <c r="HQ123" s="145" t="str">
        <f t="shared" si="87"/>
        <v>-</v>
      </c>
      <c r="HR123" s="175" t="str">
        <f t="shared" si="88"/>
        <v/>
      </c>
      <c r="HS123" s="173">
        <f t="shared" si="89"/>
        <v>0</v>
      </c>
      <c r="HT123" s="99">
        <f t="shared" si="90"/>
        <v>0</v>
      </c>
      <c r="HU123" s="99">
        <f t="shared" si="91"/>
        <v>0</v>
      </c>
      <c r="HV123" s="209">
        <f t="shared" si="92"/>
        <v>0</v>
      </c>
      <c r="HW123" s="47">
        <f t="shared" si="93"/>
        <v>0</v>
      </c>
      <c r="HX123" s="46">
        <f t="shared" si="94"/>
        <v>0</v>
      </c>
      <c r="HY123" s="149" t="str">
        <f t="shared" si="95"/>
        <v>S</v>
      </c>
      <c r="HZ123" s="263">
        <f t="shared" si="96"/>
        <v>0</v>
      </c>
      <c r="IA123" s="150">
        <f t="shared" si="97"/>
        <v>1</v>
      </c>
      <c r="IB123" s="319">
        <f t="shared" si="98"/>
        <v>0</v>
      </c>
      <c r="IC123" s="220">
        <f t="shared" si="99"/>
        <v>0</v>
      </c>
      <c r="ID123" s="200" t="str">
        <f t="shared" ca="1" si="100"/>
        <v>--</v>
      </c>
      <c r="IE123" s="201">
        <f t="shared" si="101"/>
        <v>0</v>
      </c>
      <c r="IF123" s="145">
        <f t="shared" si="102"/>
        <v>2</v>
      </c>
      <c r="IG123" s="216">
        <f t="shared" si="103"/>
        <v>0</v>
      </c>
      <c r="IH123" s="217">
        <f t="shared" si="126"/>
        <v>1</v>
      </c>
      <c r="II123" s="224">
        <f ca="1">IF(RZ[[#This Row],[Rozhodný sloupec indikativní ceny]]=1,"kg",IF($IW123=$JL$15,IF(JX123=0,JO123,JX123),IF($IW123=$KE$15,IF(KQ123=0,KH123,KQ123),IF($IW123=$KX$15,IF(LJ123=0,LA123,LJ123),IF($IW123=$LQ$15,IF(MC123=0,LT123,MC123),IF($IW123=$MJ$15,IF(NQ123=0,NH123,NQ123),0))))))</f>
        <v>0</v>
      </c>
      <c r="IJ123" s="224">
        <f ca="1">IF((BH123+OFFSET(BH123,1,1,1,1))=2,RZ[[#This Row],[Počet MJHR (P0)]],IF((BI123+OFFSET(BI123,1,1,1,1))=2,RZ[[#This Row],[Počet MJHR (P0)]],IF((BJ123+OFFSET(BJ123,1,1,1,1))=2,RZ[[#This Row],[Počet MJHR (P0)]],IF((BK123+OFFSET(BK123,1,1,1,1))=2,RZ[[#This Row],[Počet MJHR (P0)]],IF((BL123+OFFSET(BL123,1,1,1,1))=2,RZ[[#This Row],[Počet MJHR (P0)]],IF((BM123+OFFSET(BM123,1,1,1,1))=2,RZ[[#This Row],[Počet MJHR (P0)]],IF((BN123+OFFSET(BN123,1,1,1,1))=2,RZ[[#This Row],[Počet MJHR (P0)]],IF((BO123+OFFSET(BO123,1,1,1,1))=2,RZ[[#This Row],[Počet MJHR (P0)]],IF((BP123+OFFSET(BP123,1,1,1,1))=2,RZ[[#This Row],[Počet MJHR (P0)]],IF((BQ123+OFFSET(BQ123,1,1,1,1))=2,RZ[[#This Row],[Počet MJHR (P0)]],IF(RZ[[#This Row],[Měrná jednotka CR (MJCR) (P0)]]=RZ[[#This Row],[Měrná jednotka HR '[MJHR'] (P0)]],RZ[[#This Row],[Počet MJHR (P0)]],IF($IW123=$JL$15,JY123,IF($IW123=$KE$15,KR123,IF($IW123=$KX$15,LK123,IF($IW123=$LQ$15,MD123,IF($IW123=$MJ$15,NR123,0))))))))))))))))</f>
        <v>2</v>
      </c>
      <c r="IK1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23" s="330">
        <f ca="1">IF(AND(RZ[[#This Row],[Jednotková cena bez DPH '[cena/MJCR'] (P0)]]=0,RZ[[#This Row],[Indikativní jednotková cena '[CZK/kg'] (P1)]]&lt;&gt;0),1,0)</f>
        <v>0</v>
      </c>
      <c r="IM123" s="217">
        <f ca="1">VLOOKUP(RZ[[#This Row],[Kód položek]],INDIKAT_CENA,2,FALSE)</f>
        <v>0</v>
      </c>
      <c r="IN123" s="222">
        <f ca="1">IF(RZ[[#This Row],[Rozhodný sloupec indikativní ceny]]=1,RZ[[#This Row],[Indikativní jednotková cena '[CZK/kg'] (P1)]],RZ[[#This Row],[Jednotková cena bez DPH '[cena/MJCR'] (P0)]])</f>
        <v>0</v>
      </c>
      <c r="IO123" s="222">
        <f t="shared" si="127"/>
        <v>1</v>
      </c>
      <c r="IP123" s="223">
        <f ca="1">IF(RZ[[#This Row],[Rozhodný sloupec indikativní ceny]]=1,1,IF($IW123=$JL$15,KA123,IF($IW123=$KE$15,KT123,IF($IW123=$KX$15,LM123,IF($IW123=$LQ$15,MF123,IF($IW123=$MJ$15,NT123,0))))))</f>
        <v>0</v>
      </c>
      <c r="IQ123" s="225">
        <f ca="1">IF(RZ[[#This Row],[Jednotková cena bez DPH '[cena/MJCR'] (P1)]]="",0,IF(IP123=0,0,(RZ[[#This Row],[Jednotková cena bez DPH '[cena/MJCR'] (P1)]]*VLOOKUP(IP123,$BR$7:$BT$10,3))))</f>
        <v>0</v>
      </c>
      <c r="IR123" s="737"/>
      <c r="IS123" s="627">
        <f>IF(HY123=0,"",VLOOKUP(RZ[[#This Row],[Stav Projekce (P0)]],Vstupy!$E$11:'Vstupy'!$E$11:$H$17,4,FALSE))</f>
        <v>100</v>
      </c>
      <c r="IT123" s="628" t="str">
        <f>IF(RZ[[#This Row],[Stav Projekce (P0)]]=0,"",RZ[[#This Row],[Stav Projekce (P0)]])</f>
        <v>S</v>
      </c>
      <c r="IU123" s="628" t="str">
        <f>IF(RZ[[#This Row],[Stav Nákup (P0)]]=0,"",RZ[[#This Row],[Stav Nákup (P0)]])</f>
        <v/>
      </c>
      <c r="IV123" s="636" t="str">
        <f t="shared" si="128"/>
        <v/>
      </c>
      <c r="IW123" s="641">
        <v>1</v>
      </c>
      <c r="IX123" s="630"/>
      <c r="IY123" s="264"/>
      <c r="IZ123" s="776"/>
      <c r="JA123" s="100" t="s">
        <v>747</v>
      </c>
      <c r="JB123" s="100"/>
      <c r="JC123" s="100"/>
      <c r="JD123" s="100"/>
      <c r="JE123" s="100"/>
      <c r="JF123" s="100"/>
      <c r="JG123" s="100"/>
      <c r="JH123" s="100"/>
      <c r="JI123" s="100"/>
      <c r="JJ123" s="145" t="s">
        <v>231</v>
      </c>
      <c r="JK123" s="529"/>
      <c r="JL123" s="286"/>
      <c r="JM123" s="100"/>
      <c r="JN123" s="100"/>
      <c r="JO123" s="145"/>
      <c r="JP123" s="117">
        <v>2</v>
      </c>
      <c r="JQ123" s="117"/>
      <c r="JR123" s="148">
        <v>1</v>
      </c>
      <c r="JS123" s="145" t="s">
        <v>602</v>
      </c>
      <c r="JT123" s="631"/>
      <c r="JU123" s="148"/>
      <c r="JV123" s="154"/>
      <c r="JW123" s="145"/>
      <c r="JX123" s="210"/>
      <c r="JY123" s="117"/>
      <c r="JZ123" s="662"/>
      <c r="KA123" s="145"/>
      <c r="KB123" s="148"/>
      <c r="KC123" s="148"/>
      <c r="KD123" s="644"/>
      <c r="KE123" s="286"/>
      <c r="KF123" s="100"/>
      <c r="KG123" s="100"/>
      <c r="KH123" s="210"/>
      <c r="KI123" s="117"/>
      <c r="KJ123" s="117"/>
      <c r="KK123" s="148"/>
      <c r="KL123" s="145"/>
      <c r="KM123" s="632"/>
      <c r="KN123" s="148"/>
      <c r="KO123" s="154"/>
      <c r="KP123" s="154"/>
      <c r="KQ123" s="210"/>
      <c r="KR123" s="117"/>
      <c r="KS123" s="211"/>
      <c r="KT123" s="145"/>
      <c r="KU123" s="148"/>
      <c r="KV123" s="148"/>
      <c r="KW123" s="265"/>
      <c r="KX123" s="286"/>
      <c r="KY123" s="100"/>
      <c r="KZ123" s="100"/>
      <c r="LA123" s="210"/>
      <c r="LB123" s="117"/>
      <c r="LC123" s="117"/>
      <c r="LD123" s="148"/>
      <c r="LE123" s="145"/>
      <c r="LF123" s="632"/>
      <c r="LG123" s="148"/>
      <c r="LH123" s="154"/>
      <c r="LI123" s="154"/>
      <c r="LJ123" s="154"/>
      <c r="LK123" s="117"/>
      <c r="LL123" s="211"/>
      <c r="LM123" s="210"/>
      <c r="LN123" s="148"/>
      <c r="LO123" s="148"/>
      <c r="LP123" s="265"/>
      <c r="LQ123" s="286"/>
      <c r="LR123" s="100"/>
      <c r="LS123" s="100"/>
      <c r="LT123" s="210"/>
      <c r="LU123" s="117"/>
      <c r="LV123" s="117"/>
      <c r="LW123" s="148"/>
      <c r="LX123" s="145"/>
      <c r="LY123" s="632"/>
      <c r="LZ123" s="148"/>
      <c r="MA123" s="154"/>
      <c r="MB123" s="154"/>
      <c r="MC123" s="145"/>
      <c r="MD123" s="117"/>
      <c r="ME123" s="211"/>
      <c r="MF123" s="210"/>
      <c r="MG123" s="148"/>
      <c r="MH123" s="148"/>
      <c r="MI123" s="265"/>
      <c r="MJ123" s="647"/>
      <c r="MK123" s="264"/>
      <c r="ML123" s="153"/>
      <c r="MM123" s="153"/>
      <c r="MN123" s="153"/>
      <c r="MO123" s="153"/>
      <c r="MP123" s="153"/>
      <c r="MQ123" s="153"/>
      <c r="MR123" s="153"/>
      <c r="MS123" s="99"/>
      <c r="MT123" s="99"/>
      <c r="MU123" s="99"/>
      <c r="MV123" s="99"/>
      <c r="MW123" s="99"/>
      <c r="MX123" s="99"/>
      <c r="MY123" s="153"/>
      <c r="MZ123" s="153"/>
      <c r="NA123" s="153"/>
      <c r="NB123" s="153"/>
      <c r="NC123" s="153"/>
      <c r="ND123" s="153"/>
      <c r="NE123" s="153"/>
      <c r="NF123" s="153"/>
      <c r="NG123" s="153"/>
      <c r="NH123" s="145" t="str">
        <f t="shared" si="823"/>
        <v>ks</v>
      </c>
      <c r="NI123" s="779">
        <f>RZ[[#This Row],[Počet ks (K)]]</f>
        <v>0</v>
      </c>
      <c r="NJ123" s="210">
        <f>RZ[[#This Row],[Hmotnost '[kg/ks'] (K)]]</f>
        <v>0</v>
      </c>
      <c r="NK123" s="153"/>
      <c r="NL123" s="153"/>
      <c r="NM123" s="632"/>
      <c r="NN123" s="153"/>
      <c r="NO123" s="153"/>
      <c r="NP123" s="153"/>
      <c r="NQ123" s="153"/>
      <c r="NR123" s="153"/>
      <c r="NS123" s="153"/>
      <c r="NT123" s="153"/>
      <c r="NU123" s="153"/>
      <c r="NV123" s="148"/>
      <c r="NW123" s="633"/>
    </row>
    <row r="124" spans="2:387" ht="15.95" customHeight="1" x14ac:dyDescent="0.35">
      <c r="B124" s="118" t="str">
        <f t="shared" ref="B124:B128" si="1044">IF(HF124=0,"",HF124)</f>
        <v/>
      </c>
      <c r="C1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4" s="262" t="str">
        <f t="shared" ref="D124:D128" si="1045">IF(HG124&lt;&gt;"",HG124,IF(HH124&lt;&gt;"","  "&amp;HH124,IF(HI124&lt;&gt;"","  "&amp;"  "&amp;HI124,IF(HJ124&lt;&gt;"","  "&amp;"  "&amp;"  "&amp;HJ124,IF(HK124&lt;&gt;"","  "&amp;"  "&amp;"  "&amp;"  "&amp;HK124,IF(HL124&lt;&gt;"","  "&amp;"  "&amp;"  "&amp;"  "&amp;"  "&amp;HL124,IF(HM124&lt;&gt;"","  "&amp;"  "&amp;"  "&amp;"  "&amp;"  "&amp;"  "&amp;HM124,IF(HN124&lt;&gt;"","  "&amp;"  "&amp;"  "&amp;"  "&amp;"  "&amp;"  "&amp;"  "&amp;HN124,IF(HO124&lt;&gt;"","  "&amp;"  "&amp;"  "&amp;"  "&amp;"  "&amp;"  "&amp;"  "&amp;"  "&amp;HO124,IF(HP124&lt;&gt;"","  "&amp;"  "&amp;"  "&amp;"  "&amp;"  "&amp;"  "&amp;"  "&amp;"  "&amp;"  "&amp;HP124,0))))))))))</f>
        <v xml:space="preserve">    Nárazník</v>
      </c>
      <c r="E124" s="120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Row],[Kód položek (P2)]]))))))))))</f>
        <v>STO2</v>
      </c>
      <c r="F124" s="791" t="str">
        <f t="shared" ref="F124:F128" si="1046">IF(HS124=0,"N/A",HS124)</f>
        <v>N/A</v>
      </c>
      <c r="G124" s="792" t="str">
        <f t="shared" ref="G124:G128" si="1047">IF(HT124=0,"",HT124)</f>
        <v/>
      </c>
      <c r="H124" s="262" t="str">
        <f t="shared" ref="H124:H128" si="1048">IF(HU124=0,"",HU124)</f>
        <v/>
      </c>
      <c r="I124" s="123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HR '[MJHR'] (P0)]]))))))))))</f>
        <v>ks</v>
      </c>
      <c r="J124" s="123">
        <f t="shared" ref="J124:J128" si="1049">IF(IF124=0,"",IF124)</f>
        <v>1</v>
      </c>
      <c r="K124" s="793">
        <f>RZ[[#This Row],[Koeficient odhadu HR '[-'] (P1)]]</f>
        <v>1</v>
      </c>
      <c r="L124" s="124">
        <f ca="1">RZ[[#This Row],[Jednotková hmotnost s koef. '[kg/MJHR'] (P0)]]</f>
        <v>32.5</v>
      </c>
      <c r="M124" s="794">
        <f t="shared" ref="M124:M128" ca="1" si="1050">IF(ISNUMBER(K124),L124/K124*(K124-1),0)</f>
        <v>0</v>
      </c>
      <c r="N124" s="125">
        <f t="shared" ref="N124:N128" ca="1" si="1051">IF(ISNUMBER(J124),J124*L124,0)</f>
        <v>32.5</v>
      </c>
      <c r="O124" s="125">
        <f t="shared" ref="O124:O128" ca="1" si="1052">IF(ISNUMBER(J124),J124*M124,0)</f>
        <v>0</v>
      </c>
      <c r="P124" s="126" t="str">
        <f t="shared" ref="P124:P128" si="1053">IF(HR124=0,"",HR124)</f>
        <v/>
      </c>
      <c r="Q124" s="795">
        <f ca="1">RZ[[#This Row],[Počet MJHR v rozpadu (P0)]]</f>
        <v>2</v>
      </c>
      <c r="R124" s="439" t="str">
        <f t="shared" ref="R124:R128" si="1054">IF(HV124&lt;&gt;0,HV124,"")</f>
        <v/>
      </c>
      <c r="S124" s="129" t="str">
        <f t="shared" ref="S124:S128" si="1055">IF(HW124&lt;&gt;0,HW124,"")</f>
        <v/>
      </c>
      <c r="T124" s="126" t="str">
        <f t="shared" ref="T124:T128" si="1056">IF(HX124=0,"",HX124)</f>
        <v/>
      </c>
      <c r="U124" s="126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CR (MJCR) (P0)]]))))))))))</f>
        <v>kg</v>
      </c>
      <c r="V124" s="575">
        <f t="shared" ref="V124:V128" ca="1" si="1057">IF(IK124=0,"",IK124)</f>
        <v>32.5</v>
      </c>
      <c r="W124" s="322">
        <f>RZ[[#This Row],[Koeficient odhadu CR '[-'] (P1)]]</f>
        <v>1</v>
      </c>
      <c r="X124" s="440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Row],[Jednotková cena bez DPH '[cena/MJCR'] (P1)]]*RZ[[#This Row],[Koeficient odhadu CR '[-']]]))))))))))</f>
        <v>115</v>
      </c>
      <c r="Y124" s="440">
        <f t="shared" ref="Y124:Y128" ca="1" si="1058">IF(ISNUMBER(X124),-X124/W124*(W124-1),0)</f>
        <v>0</v>
      </c>
      <c r="Z124" s="142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VLOOKUP(IP124,$BR$7:$BS$11,2,FALSE)))))))))))</f>
        <v>CZK</v>
      </c>
      <c r="AA124" s="909">
        <f t="shared" ref="AA124:AA128" ca="1" si="1059">GJ124</f>
        <v>65</v>
      </c>
      <c r="AB124" s="910">
        <f ca="1">RZ[[#This Row],[Kumulovaný koeficient v rozpadu (P0)]]</f>
        <v>1</v>
      </c>
      <c r="AC124" s="261"/>
      <c r="AD124" s="796">
        <f ca="1">RZ[[#This Row],[Jednotková cena bez DPH '[cena/MJCR'] s koef. (P0)]]/RZ[[#This Row],[Koeficient odhadu CR '[-']]]*RZ[[#This Row],[Kumulovaný koeficient odhadu CR  '[-']]]</f>
        <v>115</v>
      </c>
      <c r="AE124" s="796">
        <f t="shared" ref="AE124:AE128" ca="1" si="1060">IF(ISNUMBER(AA124),AA124*AD124,0)*IF(V124="",0,1)</f>
        <v>7475</v>
      </c>
      <c r="AF124" s="796">
        <f ca="1">-IF(ISNUMBER(AA124),RZ[[#This Row],[Celková cena bez DPH (1)]]-RZ[[#This Row],[Jednotková cena bez DPH '[cena/MJCR'] bez koef. (P0)]]*AA124,0)</f>
        <v>0</v>
      </c>
      <c r="AG1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4" s="261"/>
      <c r="AI124" s="796">
        <f ca="1">AD124/VLOOKUP($AJ$13,KURZY,3,FALSE)</f>
        <v>4.2592592592592595</v>
      </c>
      <c r="AJ124" s="796">
        <f ca="1">AE124/VLOOKUP($AJ$13,KURZY,3,FALSE)*IF(V124="",0,1)</f>
        <v>276.85185185185185</v>
      </c>
      <c r="AK124" s="796">
        <f ca="1">AF124/VLOOKUP($AJ$13,KURZY,3,FALSE)</f>
        <v>0</v>
      </c>
      <c r="AL124" s="753">
        <f ca="1">RZ[[#This Row],[Kilogramová cena bez DPH '[cena/kg'] (1)]]/$AK$13</f>
        <v>4.2592592592592595</v>
      </c>
      <c r="AM124" s="261"/>
      <c r="AN124" s="796">
        <f ca="1">AD124/VLOOKUP($AO$13,KURZY,3,FALSE)</f>
        <v>5.5555555555555554</v>
      </c>
      <c r="AO124" s="796">
        <f ca="1">AE124/VLOOKUP($AO$13,KURZY,3,FALSE)*IF(V124="",0,1)</f>
        <v>361.11111111111114</v>
      </c>
      <c r="AP124" s="796">
        <f ca="1">AF124/VLOOKUP($AO$13,KURZY,3,FALSE)</f>
        <v>0</v>
      </c>
      <c r="AQ124" s="753">
        <f ca="1">RZ[[#This Row],[Kilogramová cena bez DPH '[cena/kg'] (1)]]/$AP$13</f>
        <v>5.5555555555555554</v>
      </c>
      <c r="AR124" s="261"/>
      <c r="AS124" s="796">
        <f ca="1">AD124/VLOOKUP($AT$13,KURZY,3,FALSE)</f>
        <v>3.1455142231947484</v>
      </c>
      <c r="AT124" s="796">
        <f ca="1">AE124/VLOOKUP($AT$13,KURZY,3,FALSE)*IF(V124="",0,1)</f>
        <v>204.45842450765863</v>
      </c>
      <c r="AU124" s="789">
        <f ca="1">AF124/VLOOKUP($AT$13,KURZY,3,FALSE)</f>
        <v>0</v>
      </c>
      <c r="AV124" s="767">
        <f ca="1">RZ[[#This Row],[Kilogramová cena bez DPH '[cena/kg'] (1)]]/$AU$13</f>
        <v>3.1455142231947484</v>
      </c>
      <c r="AW124" s="165"/>
      <c r="AX124" s="911">
        <f t="shared" ref="AX124:AX128" ca="1" si="1061">IF($BH124=0,IF(AY124&gt;0,OFFSET(AX124,-1,0,1,1),0),OFFSET(AX124,-1,0,1,1)+1)</f>
        <v>2</v>
      </c>
      <c r="AY124" s="111">
        <f t="shared" ref="AY124:AY128" ca="1" si="1062">IF($BI124=0,IF(AZ124&gt;0,OFFSET(AY124,-1,0,1,1),0),OFFSET(AY124,-1,0,1,1)+1)</f>
        <v>11</v>
      </c>
      <c r="AZ124" s="111">
        <f t="shared" ref="AZ124:AZ128" ca="1" si="1063">IF($BJ124=0,IF(BA124&gt;0,OFFSET(AZ124,-1,0,1,1),0),OFFSET(AZ124,-1,0,1,1)+1)</f>
        <v>1</v>
      </c>
      <c r="BA124" s="111">
        <f t="shared" ref="BA124:BA128" ca="1" si="1064">IF($BK124=0,IF(BB124&gt;0,OFFSET(BA124,-1,0,1,1),0),OFFSET(BA124,-1,0,1,1)+1)</f>
        <v>0</v>
      </c>
      <c r="BB124" s="111">
        <f t="shared" ref="BB124:BB128" ca="1" si="1065">IF($BL124=0,IF(BC124&gt;0,OFFSET(BB124,-1,0,1,1),0),OFFSET(BB124,-1,0,1,1)+1)</f>
        <v>0</v>
      </c>
      <c r="BC124" s="111">
        <f t="shared" ref="BC124:BC128" ca="1" si="1066">IF($BM124=0,IF(BD124&gt;0,OFFSET(BC124,-1,0,1,1),0),OFFSET(BC124,-1,0,1,1)+1)</f>
        <v>0</v>
      </c>
      <c r="BD124" s="111">
        <f t="shared" ref="BD124:BD128" ca="1" si="1067">IF($BN124=0,IF(BE124&gt;0,OFFSET(BD124,-1,0,1,1),0),OFFSET(BD124,-1,0,1,1)+1)</f>
        <v>0</v>
      </c>
      <c r="BE124" s="111">
        <f t="shared" ref="BE124:BE128" ca="1" si="1068">IF($BO124=0,IF(BF124&gt;0,OFFSET(BE124,-1,0,1,1),0),OFFSET(BE124,-1,0,1,1)+1)</f>
        <v>0</v>
      </c>
      <c r="BF124" s="111">
        <f t="shared" ref="BF124:BF128" ca="1" si="1069">IF($BP124=0,IF(BG124&gt;0,OFFSET(BF124,-1,0,1,1),0),OFFSET(BF124,-1,0,1,1)+1)</f>
        <v>0</v>
      </c>
      <c r="BG124" s="112">
        <f t="shared" ref="BG124:BG128" ca="1" si="1070">IF($BQ124=0,0,OFFSET($BG124,-1,0,1,1)+1)</f>
        <v>0</v>
      </c>
      <c r="BH124" s="911">
        <f t="shared" ref="BH124:BH128" si="1071">IF(HG124="",0,1)</f>
        <v>0</v>
      </c>
      <c r="BI124" s="111">
        <f t="shared" ref="BI124:BI128" si="1072">IF(HH124="",0,1)</f>
        <v>0</v>
      </c>
      <c r="BJ124" s="111">
        <f t="shared" ref="BJ124:BJ128" si="1073">IF(HI124="",0,1)</f>
        <v>1</v>
      </c>
      <c r="BK124" s="111">
        <f t="shared" ref="BK124:BK128" si="1074">IF(HJ124="",0,1)</f>
        <v>0</v>
      </c>
      <c r="BL124" s="111">
        <f t="shared" ref="BL124:BL128" si="1075">IF(HK124="",0,1)</f>
        <v>0</v>
      </c>
      <c r="BM124" s="111">
        <f t="shared" ref="BM124:BM128" si="1076">IF(HL124="",0,1)</f>
        <v>0</v>
      </c>
      <c r="BN124" s="111">
        <f t="shared" ref="BN124:BN128" si="1077">IF(HM124="",0,1)</f>
        <v>0</v>
      </c>
      <c r="BO124" s="111">
        <f t="shared" ref="BO124:BO128" si="1078">IF(HN124="",0,1)</f>
        <v>0</v>
      </c>
      <c r="BP124" s="111">
        <f t="shared" ref="BP124:BP128" si="1079">IF(HO124="",0,1)</f>
        <v>0</v>
      </c>
      <c r="BQ124" s="112">
        <f t="shared" ref="BQ124:BQ128" si="1080">IF(HP124="",0,1)</f>
        <v>0</v>
      </c>
      <c r="BR124" s="132">
        <f ca="1">IF(OFFSET(AY124,1,0,1,1)&lt;&gt;0,RZ[[#This Row],[Koeficient odhadu HR '[-'] (P1)]]*$BH124*SUMIFS(RZ[Úroveň 2 s koef. (P2)],RZ[0],AX124),RZ[[#This Row],[Koeficient odhadu HR '[-'] (P1)]]*$BH124*$IG124)</f>
        <v>0</v>
      </c>
      <c r="BS124" s="186">
        <f ca="1">IF(OFFSET(AY124,1,0,1,1)&lt;&gt;0,$BH124*SUMIFS(RZ[Úroveň 2 bez koef. (P2)],RZ[0],AX124),$BH124*$IG124)</f>
        <v>0</v>
      </c>
      <c r="BT124" s="138">
        <f ca="1">RZ[[#This Row],[Úroveň 2 s koef. (P2a)]]*RZ[[#This Row],[Počet MJHR (P0)]]</f>
        <v>0</v>
      </c>
      <c r="BU124" s="138">
        <f ca="1">RZ[[#This Row],[Úroveň 2 bez koef. (P2a)]]*RZ[[#This Row],[Počet MJHR (P0)]]</f>
        <v>0</v>
      </c>
      <c r="BV124" s="138">
        <f ca="1">IF(OFFSET(AZ124,1,0,1,1)&lt;&gt;0,RZ[[#This Row],[Koeficient odhadu HR '[-'] (P1)]]*$BI124*SUMIFS(RZ[Úroveň 3 s koef. (P2)],RZ[0],AX124,RZ[Úroveň 2 (P0)],AY124),RZ[[#This Row],[Koeficient odhadu HR '[-'] (P1)]]*$BI124*$IG124)</f>
        <v>0</v>
      </c>
      <c r="BW124" s="138">
        <f ca="1">IF(OFFSET(AZ124,1,0,1,1)&lt;&gt;0,$BI124*SUMIFS(RZ[Úroveň 3 bez koef. (P2)],RZ[0],AX124,RZ[Úroveň 2 (P0)],AY124),$BI124*$IG124)</f>
        <v>0</v>
      </c>
      <c r="BX124" s="132">
        <f ca="1">RZ[[#This Row],[Úroveň 3 s koef. (P2a)]]*RZ[[#This Row],[Počet MJHR (P0)]]</f>
        <v>32.5</v>
      </c>
      <c r="BY124" s="132">
        <f ca="1">RZ[Úroveň 3 bez koef. (P2a)]*RZ[[#This Row],[Počet MJHR (P0)]]</f>
        <v>32.5</v>
      </c>
      <c r="BZ124" s="132">
        <f ca="1">IF(OFFSET(BA124,1,0,1,1)&lt;&gt;0,RZ[[#This Row],[Koeficient odhadu HR '[-'] (P1)]]*$BJ124*SUMIFS(RZ[Úroveň 4 s koef. (P2)],RZ[0],AX124,RZ[Úroveň 2 (P0)],AY124,RZ[Úroveň 3 (P0)],AZ124),RZ[[#This Row],[Koeficient odhadu HR '[-'] (P1)]]*$BJ124*$IG124)</f>
        <v>32.5</v>
      </c>
      <c r="CA124" s="132">
        <f ca="1">IF(OFFSET(BA124,1,0,1,1)&lt;&gt;0,$BJ124*SUMIFS(RZ[Úroveň 4 bez koef. (P2)],RZ[0],AX124,RZ[Úroveň 2 (P0)],AY124,RZ[Úroveň 3 (P0)],AZ124),$BJ124*$IG124)</f>
        <v>32.5</v>
      </c>
      <c r="CB124" s="138">
        <f ca="1">RZ[[#This Row],[Úroveň 4 s koef. (P2a)]]*RZ[[#This Row],[Počet MJHR (P0)]]</f>
        <v>0</v>
      </c>
      <c r="CC124" s="138">
        <f ca="1">RZ[Úroveň 4 bez koef. (P2a)]*RZ[[#This Row],[Počet MJHR (P0)]]</f>
        <v>0</v>
      </c>
      <c r="CD124" s="138">
        <f ca="1">IF(OFFSET(BB124,1,0,1,1)&lt;&gt;0,RZ[[#This Row],[Koeficient odhadu HR '[-'] (P1)]]*$BK124*SUMIFS(RZ[Úroveň 5 s koef. (P2)],RZ[0],AX124,RZ[Úroveň 2 (P0)],AY124,RZ[Úroveň 3 (P0)],AZ124,RZ[Úroveň 4 (P0)],BA124),RZ[[#This Row],[Koeficient odhadu HR '[-'] (P1)]]*$BK124*$IG124)</f>
        <v>0</v>
      </c>
      <c r="CE124" s="138">
        <f ca="1">IF(OFFSET(BB124,1,0,1,1)&lt;&gt;0,$BK124*SUMIFS(RZ[Úroveň 5 bez koef. (P2)],RZ[0],AX124,RZ[Úroveň 2 (P0)],AY124,RZ[Úroveň 3 (P0)],AZ124,RZ[Úroveň 4 (P0)],BA124),$BK124*$IG124)</f>
        <v>0</v>
      </c>
      <c r="CF124" s="132">
        <f ca="1">RZ[[#This Row],[Úroveň 5 s koef. (P2a)]]*RZ[[#This Row],[Počet MJHR (P0)]]</f>
        <v>0</v>
      </c>
      <c r="CG124" s="132">
        <f ca="1">RZ[Úroveň 5 bez koef. (P2a)]*RZ[[#This Row],[Počet MJHR (P0)]]</f>
        <v>0</v>
      </c>
      <c r="CH124" s="132">
        <f ca="1">IF(OFFSET(BC124,1,0,1,1)&lt;&gt;0,RZ[[#This Row],[Koeficient odhadu HR '[-'] (P1)]]*$BL124*SUMIFS(RZ[Úroveň 6 s koef. (P2)],RZ[0],AX124,RZ[Úroveň 2 (P0)],AY124,RZ[Úroveň 3 (P0)],AZ124,RZ[Úroveň 4 (P0)],BA124,RZ[Úroveň 5 (P0)],BB124),RZ[[#This Row],[Koeficient odhadu HR '[-'] (P1)]]*$BL124*$IG124)</f>
        <v>0</v>
      </c>
      <c r="CI124" s="132">
        <f ca="1">IF(OFFSET(BC124,1,0,1,1)&lt;&gt;0,$BL124*SUMIFS(RZ[Úroveň 6 bez koef. (P2)],RZ[0],AX124,RZ[Úroveň 2 (P0)],AY124,RZ[Úroveň 3 (P0)],AZ124,RZ[Úroveň 4 (P0)],BA124,RZ[Úroveň 5 (P0)],BB124),$BL124*$IG124)</f>
        <v>0</v>
      </c>
      <c r="CJ124" s="138">
        <f ca="1">RZ[[#This Row],[Úroveň 6 s koef. (P2a)]]*RZ[[#This Row],[Počet MJHR (P0)]]</f>
        <v>0</v>
      </c>
      <c r="CK124" s="138">
        <f ca="1">RZ[Úroveň 6 bez koef. (P2a)]*RZ[[#This Row],[Počet MJHR (P0)]]</f>
        <v>0</v>
      </c>
      <c r="CL124" s="138">
        <f ca="1">IF(OFFSET(BD124,1,0,1,1)&lt;&gt;0,RZ[[#This Row],[Koeficient odhadu HR '[-'] (P1)]]*$BM124*SUMIFS(RZ[Úroveň 7 s koef. (P2)],RZ[0],AX124,RZ[Úroveň 2 (P0)],AY124,RZ[Úroveň 3 (P0)],AZ124,RZ[Úroveň 4 (P0)],BA124,RZ[Úroveň 5 (P0)],BB124,RZ[Úroveň 6 (P0)],BC124),RZ[[#This Row],[Koeficient odhadu HR '[-'] (P1)]]*$BM124*$IG124)</f>
        <v>0</v>
      </c>
      <c r="CM124" s="138">
        <f ca="1">IF(OFFSET(BD124,1,0,1,1)&lt;&gt;0,$BM124*SUMIFS(RZ[Úroveň 7 bez koef. (P2)],RZ[0],AX124,RZ[Úroveň 2 (P0)],AY124,RZ[Úroveň 3 (P0)],AZ124,RZ[Úroveň 4 (P0)],BA124,RZ[Úroveň 5 (P0)],BB124,RZ[Úroveň 6 (P0)],BC124),$BM124*$IG124)</f>
        <v>0</v>
      </c>
      <c r="CN124" s="132">
        <f ca="1">RZ[[#This Row],[Úroveň 7 s koef. (P2a)]]*RZ[[#This Row],[Počet MJHR (P0)]]</f>
        <v>0</v>
      </c>
      <c r="CO124" s="132">
        <f ca="1">RZ[Úroveň 7 bez koef. (P2a)]*RZ[[#This Row],[Počet MJHR (P0)]]</f>
        <v>0</v>
      </c>
      <c r="CP124" s="132">
        <f ca="1">IF(OFFSET(BE124,1,0,1,1)&lt;&gt;0,RZ[[#This Row],[Koeficient odhadu HR '[-'] (P1)]]*$BN124*SUMIFS(RZ[Úroveň 8 s koef. (P2)],RZ[0],AX124,RZ[Úroveň 2 (P0)],AY124,RZ[Úroveň 3 (P0)],AZ124,RZ[Úroveň 4 (P0)],BA124,RZ[Úroveň 5 (P0)],BB124,RZ[Úroveň 6 (P0)],BC124,RZ[Úroveň 7 (P0)],BD124),RZ[[#This Row],[Koeficient odhadu HR '[-'] (P1)]]*$BN124*$IG124)</f>
        <v>0</v>
      </c>
      <c r="CQ124" s="132">
        <f ca="1">IF(OFFSET(BE124,1,0,1,1)&lt;&gt;0,$BN124*SUMIFS(RZ[Úroveň 8 bez koef. (P2)],RZ[0],AX124,RZ[Úroveň 2 (P0)],AY124,RZ[Úroveň 3 (P0)],AZ124,RZ[Úroveň 4 (P0)],BA124,RZ[Úroveň 5 (P0)],BB124,RZ[Úroveň 6 (P0)],BC124,RZ[Úroveň 7 (P0)],BD124),$BN124*$IG124)</f>
        <v>0</v>
      </c>
      <c r="CR124" s="138">
        <f ca="1">RZ[[#This Row],[Úroveň 8 s koef. (P2a)]]*RZ[[#This Row],[Počet MJHR (P0)]]</f>
        <v>0</v>
      </c>
      <c r="CS124" s="138">
        <f ca="1">RZ[Úroveň 8 bez koef. (P2a)]*RZ[[#This Row],[Počet MJHR (P0)]]</f>
        <v>0</v>
      </c>
      <c r="CT124" s="138">
        <f ca="1">IF(OFFSET(BF124,1,0,1,1)&lt;&gt;0,RZ[[#This Row],[Koeficient odhadu HR '[-'] (P1)]]*$BO124*SUMIFS(RZ[Úroveň 9 s koef. (P2)],RZ[0],AX124,RZ[Úroveň 2 (P0)],AY124,RZ[Úroveň 3 (P0)],AZ124,RZ[Úroveň 4 (P0)],BA124,RZ[Úroveň 5 (P0)],BB124,RZ[Úroveň 6 (P0)],BC124,RZ[Úroveň 7 (P0)],BD124,RZ[Úroveň 8 (P0)],BE124),RZ[[#This Row],[Koeficient odhadu HR '[-'] (P1)]]*$BO124*$IG124)</f>
        <v>0</v>
      </c>
      <c r="CU124" s="138">
        <f ca="1">IF(OFFSET(BF124,1,0,1,1)&lt;&gt;0,$BO124*SUMIFS(RZ[Úroveň 9 bez koef. (P2)],RZ[0],AX124,RZ[Úroveň 2 (P0)],AY124,RZ[Úroveň 3 (P0)],AZ124,RZ[Úroveň 4 (P0)],BA124,RZ[Úroveň 5 (P0)],BB124,RZ[Úroveň 6 (P0)],BC124,RZ[Úroveň 7 (P0)],BD124,RZ[Úroveň 8 (P0)],BE124),$BO124*$IG124)</f>
        <v>0</v>
      </c>
      <c r="CV124" s="132">
        <f ca="1">RZ[[#This Row],[Úroveň 9 s koef. (P2a)]]*RZ[[#This Row],[Počet MJHR (P0)]]</f>
        <v>0</v>
      </c>
      <c r="CW124" s="132">
        <f ca="1">RZ[Úroveň 9 bez koef. (P2a)]*RZ[[#This Row],[Počet MJHR (P0)]]</f>
        <v>0</v>
      </c>
      <c r="CX124" s="132">
        <f ca="1">IF(OFFSET(BG124,1,0,1,1)&lt;&gt;0,RZ[[#This Row],[Koeficient odhadu HR '[-'] (P1)]]*$BP124*SUMIFS(RZ[Úroveň 10 s koef. (P2)],RZ[0],AX124,RZ[Úroveň 2 (P0)],AY124,RZ[Úroveň 3 (P0)],AZ124,RZ[Úroveň 4 (P0)],BA124,RZ[Úroveň 5 (P0)],BB124,RZ[Úroveň 6 (P0)],BC124,RZ[Úroveň 7 (P0)],BD124,RZ[Úroveň 8 (P0)],BE124,RZ[Úroveň 9 (P0)],BF124),RZ[[#This Row],[Koeficient odhadu HR '[-'] (P1)]]*$BP124*$IG124)</f>
        <v>0</v>
      </c>
      <c r="CY124" s="132">
        <f ca="1">IF(OFFSET(BG124,1,0,1,1)&lt;&gt;0,$BP124*SUMIFS(RZ[Úroveň 10 bez koef. (P2)],RZ[0],AX124,RZ[Úroveň 2 (P0)],AY124,RZ[Úroveň 3 (P0)],AZ124,RZ[Úroveň 4 (P0)],BA124,RZ[Úroveň 5 (P0)],BB124,RZ[Úroveň 6 (P0)],BC124,RZ[Úroveň 7 (P0)],BD124,RZ[Úroveň 8 (P0)],BE124,RZ[Úroveň 9 (P0)],BF124),$BP124*$IG124)</f>
        <v>0</v>
      </c>
      <c r="CZ124" s="138">
        <f>RZ[[#This Row],[Úroveň 10 s koef. (P2a)]]*RZ[[#This Row],[Počet MJHR (P0)]]</f>
        <v>0</v>
      </c>
      <c r="DA124" s="138">
        <f>RZ[Úroveň 10 bez koef. (P2a)]*RZ[[#This Row],[Počet MJHR (P0)]]</f>
        <v>0</v>
      </c>
      <c r="DB124" s="138">
        <f>RZ[[#This Row],[Koeficient odhadu HR '[-'] (P1)]]*$BQ124*IG124</f>
        <v>0</v>
      </c>
      <c r="DC124" s="231">
        <f t="shared" ref="DC124:DC128" si="1081">$BQ124*IG124</f>
        <v>0</v>
      </c>
      <c r="DD124" s="241">
        <f t="shared" ref="DD124:DD128" ca="1" si="1082">IF(BH124=1,BR124,IF(BI124=1,BV124,IF(BJ124=1,BZ124,IF(BK124=1,CD124,IF(BL124=1,CH124,IF(BM124=1,CL124,IF(BN124=1,CP124,IF(BO124=1,CT124,IF(BP124=1,CX124,DB124)))))))))</f>
        <v>32.5</v>
      </c>
      <c r="DE124" s="229">
        <f t="shared" ref="DE124:DE128" ca="1" si="1083">IF(BH124=1,BS124,IF(BI124=1,BW124,IF(BJ124=1,CA124,IF(BK124=1,CE124,IF(BL124=1,CI124,IF(BM124=1,CM124,IF(BN124=1,CQ124,IF(BO124=1,CU124,IF(BP124=1,CY124,DC124)))))))))</f>
        <v>32.5</v>
      </c>
      <c r="DF124" s="912">
        <f t="shared" ref="DF124:DF128" si="1084">BH124*$IF124</f>
        <v>0</v>
      </c>
      <c r="DG124" s="913">
        <f t="shared" ref="DG124:DG128" si="1085">BI124*$IF124</f>
        <v>0</v>
      </c>
      <c r="DH124" s="913">
        <f t="shared" ref="DH124:DH128" si="1086">BJ124*$IF124</f>
        <v>1</v>
      </c>
      <c r="DI124" s="913">
        <f t="shared" ref="DI124:DI128" si="1087">BK124*$IF124</f>
        <v>0</v>
      </c>
      <c r="DJ124" s="913">
        <f t="shared" ref="DJ124:DJ128" si="1088">BL124*$IF124</f>
        <v>0</v>
      </c>
      <c r="DK124" s="913">
        <f t="shared" ref="DK124:DK128" si="1089">BM124*$IF124</f>
        <v>0</v>
      </c>
      <c r="DL124" s="913">
        <f t="shared" ref="DL124:DL128" si="1090">BN124*$IF124</f>
        <v>0</v>
      </c>
      <c r="DM124" s="913">
        <f t="shared" ref="DM124:DM128" si="1091">BO124*$IF124</f>
        <v>0</v>
      </c>
      <c r="DN124" s="913">
        <f t="shared" ref="DN124:DN128" si="1092">BP124*$IF124</f>
        <v>0</v>
      </c>
      <c r="DO124" s="913">
        <f t="shared" ref="DO124:DO128" si="1093">BQ124*$IF124</f>
        <v>0</v>
      </c>
      <c r="DP124" s="914">
        <f ca="1">SUMIFS(RZ[Úroveň 1 (P4)],RZ[0],AX124)</f>
        <v>1</v>
      </c>
      <c r="DQ124" s="914">
        <f ca="1">SUMIFS(RZ[Úroveň 2 (P4)],RZ[0],AX124,RZ[Úroveň 2 (P0)],AY124)</f>
        <v>2</v>
      </c>
      <c r="DR124" s="914">
        <f ca="1">SUMIFS(RZ[Úroveň 3 (P4)],RZ[0],AX124,RZ[Úroveň 2 (P0)],AY124,RZ[Úroveň 3 (P0)],AZ124)</f>
        <v>1</v>
      </c>
      <c r="DS124" s="914">
        <f ca="1">SUMIFS(RZ[Úroveň 4 (P4)],RZ[0],AX124,RZ[Úroveň 2 (P0)],AY124,RZ[Úroveň 3 (P0)],AZ124,RZ[Úroveň 4 (P0)],BA124)</f>
        <v>0</v>
      </c>
      <c r="DT124" s="914">
        <f ca="1">SUMIFS(RZ[Úroveň 5 (P4)],RZ[0],AX124,RZ[Úroveň 2 (P0)],AY124,RZ[Úroveň 3 (P0)],AZ124,RZ[Úroveň 4 (P0)],BA124,RZ[Úroveň 5 (P0)],BB124)</f>
        <v>0</v>
      </c>
      <c r="DU124" s="914">
        <f ca="1">SUMIFS(RZ[Úroveň 6 (P4)],RZ[0],AX124,RZ[Úroveň 2 (P0)],AY124,RZ[Úroveň 3 (P0)],AZ124,RZ[Úroveň 4 (P0)],BA124,RZ[Úroveň 5 (P0)],BB124,RZ[Úroveň 6 (P0)],BC124)</f>
        <v>0</v>
      </c>
      <c r="DV124" s="914">
        <f ca="1">SUMIFS(RZ[Úroveň 7 (P4)],RZ[0],AX124,RZ[Úroveň 2 (P0)],AY124,RZ[Úroveň 3 (P0)],AZ124,RZ[Úroveň 4 (P0)],BA124,RZ[Úroveň 5 (P0)],BB124,RZ[Úroveň 6 (P0)],BC124,RZ[Úroveň 7 (P0)],BD124)</f>
        <v>0</v>
      </c>
      <c r="DW124" s="914">
        <f ca="1">SUMIFS(RZ[Úroveň 8 (P4)],RZ[0],AX124,RZ[Úroveň 2 (P0)],AY124,RZ[Úroveň 3 (P0)],AZ124,RZ[Úroveň 4 (P0)],BA124,RZ[Úroveň 5 (P0)],BB124,RZ[Úroveň 6 (P0)],BC124,RZ[Úroveň 7 (P0)],BD124,RZ[Úroveň 8 (P0)],BE124)</f>
        <v>0</v>
      </c>
      <c r="DX124" s="914">
        <f ca="1">SUMIFS(RZ[Úroveň 9 (P4)],RZ[0],AX124,RZ[Úroveň 2 (P0)],AY124,RZ[Úroveň 3 (P0)],AZ124,RZ[Úroveň 4 (P0)],BA124,RZ[Úroveň 5 (P0)],BB124,RZ[Úroveň 6 (P0)],BC124,RZ[Úroveň 7 (P0)],BD124,RZ[Úroveň 8 (P0)],BE124,RZ[Úroveň 9 (P0)],BF124)</f>
        <v>0</v>
      </c>
      <c r="DY124" s="914">
        <f ca="1">SUMIFS(RZ[Úroveň 10 (P4)],RZ[0],AX124,RZ[Úroveň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DZ124" s="915">
        <f t="shared" ref="DZ124:DZ128" ca="1" si="1094">IF(DP124&lt;&gt;0,DP124,1)*IF(DQ124&lt;&gt;0,DQ124,1)*IF(DR124&lt;&gt;0,DR124,1)*IF(DS124&lt;&gt;0,DS124,1)*IF(DT124&lt;&gt;0,DT124,1)*IF(DU124&lt;&gt;0,DU124,1)*IF(DV124&lt;&gt;0,DV124,1)*IF(DW124&lt;&gt;0,DW124,1)*IF(DX124&lt;&gt;0,DX124,1)*IF(DY124&lt;&gt;0,DY124,1)</f>
        <v>2</v>
      </c>
      <c r="EA124" s="916">
        <f ca="1">RZ[[#This Row],[Jednotková hmotnost bez koef. '[kg/MJHR'] (P0)]]*RZ[[#This Row],[Počet MJHR v rozpadu (P0)]]</f>
        <v>65</v>
      </c>
      <c r="EB124" s="917">
        <f ca="1">IF(OFFSET(AY124,1,0,1,1)&lt;&gt;0,RZ[[#This Row],[Koeficient odhadu CR '[-'] (P1)]]*$BH124*SUMIFS(RZ[Úroveň 2 s koef. (P3)],RZ[0],AX124),RZ[[#This Row],[Koeficient odhadu CR '[-'] (P1)]]*$BH124*$IQ124)</f>
        <v>0</v>
      </c>
      <c r="EC124" s="191">
        <f ca="1">IF(OFFSET(AY124,1,0,1,1)&lt;&gt;0,$BH124*SUMIFS(RZ[Úroveň 2 bez koef. (P3)],RZ[0],AX124),$BH124*$IQ124)</f>
        <v>0</v>
      </c>
      <c r="ED124" s="140">
        <f ca="1">RZ[[#This Row],[Úroveň 2 s koef. (P3a)]]*RZ[[#This Row],[Počet MJCR (P0) pro "kg"]]</f>
        <v>0</v>
      </c>
      <c r="EE124" s="140">
        <f ca="1">RZ[Úroveň 2 bez koef. (P3a)]*RZ[[#This Row],[Počet MJCR (P0) pro "kg"]]</f>
        <v>0</v>
      </c>
      <c r="EF124" s="140">
        <f ca="1">IF(OFFSET(AZ124,1,0,1,1)&lt;&gt;0,RZ[[#This Row],[Koeficient odhadu CR '[-'] (P1)]]*$BI124*SUMIFS(RZ[Úroveň 3 s koef. (P3)],RZ[0],AX124,RZ[Úroveň 2 (P0)],AY124),RZ[[#This Row],[Koeficient odhadu CR '[-'] (P1)]]*$BI124*$IQ124)</f>
        <v>0</v>
      </c>
      <c r="EG124" s="140">
        <f ca="1">IF(OFFSET(AZ124,1,0,1,1)&lt;&gt;0,$BI124*SUMIFS(RZ[Úroveň 3 bez koef. (P3)],RZ[0],AX124,RZ[Úroveň 2 (P0)],AY124),$BI124*$IQ124)</f>
        <v>0</v>
      </c>
      <c r="EH124" s="135">
        <f ca="1">RZ[[#This Row],[Úroveň 3 s koef. (P3a)]]*RZ[[#This Row],[Počet MJCR (P0) pro "kg"]]</f>
        <v>3737.5</v>
      </c>
      <c r="EI124" s="135">
        <f ca="1">RZ[Úroveň 3 bez koef. (P3a)]*RZ[[#This Row],[Počet MJCR (P0) pro "kg"]]</f>
        <v>3737.5</v>
      </c>
      <c r="EJ124" s="135">
        <f ca="1">IF(OFFSET(BA124,1,0,1,1)&lt;&gt;0,RZ[[#This Row],[Koeficient odhadu CR '[-'] (P1)]]*$BJ124*SUMIFS(RZ[Úroveň 4 s koef. (P3)],RZ[0],AX124,RZ[Úroveň 2 (P0)],AY124,RZ[Úroveň 3 (P0)],AZ124),RZ[[#This Row],[Koeficient odhadu CR '[-'] (P1)]]*$BJ124*$IQ124)</f>
        <v>115</v>
      </c>
      <c r="EK124" s="135">
        <f ca="1">IF(OFFSET(BA124,1,0,1,1)&lt;&gt;0,$BJ124*SUMIFS(RZ[Úroveň 4 bez koef. (P3)],RZ[0],AX124,RZ[Úroveň 2 (P0)],AY124,RZ[Úroveň 3 (P0)],AZ124),$BJ124*$IQ124)</f>
        <v>115</v>
      </c>
      <c r="EL124" s="140">
        <f ca="1">RZ[[#This Row],[Úroveň 4 s koef. (P3a)]]*RZ[[#This Row],[Počet MJCR (P0) pro "kg"]]</f>
        <v>0</v>
      </c>
      <c r="EM124" s="140">
        <f ca="1">RZ[Úroveň 4 bez koef. (P3a)]*RZ[[#This Row],[Počet MJCR (P0) pro "kg"]]</f>
        <v>0</v>
      </c>
      <c r="EN124" s="140">
        <f ca="1">IF(OFFSET(BB124,1,0,1,1)&lt;&gt;0,RZ[[#This Row],[Koeficient odhadu CR '[-'] (P1)]]*$BK124*SUMIFS(RZ[Úroveň 5 s koef. (P3)],RZ[0],AX124,RZ[Úroveň 2 (P0)],AY124,RZ[Úroveň 3 (P0)],AZ124,RZ[Úroveň 4 (P0)],BA124),RZ[[#This Row],[Koeficient odhadu CR '[-'] (P1)]]*$BK124*$IQ124)</f>
        <v>0</v>
      </c>
      <c r="EO124" s="140">
        <f ca="1">IF(OFFSET(BB124,1,0,1,1)&lt;&gt;0,$BK124*SUMIFS(RZ[Úroveň 5 bez koef. (P3)],RZ[0],AX124,RZ[Úroveň 2 (P0)],AY124,RZ[Úroveň 3 (P0)],AZ124,RZ[Úroveň 4 (P0)],BA124),$BK124*$IQ124)</f>
        <v>0</v>
      </c>
      <c r="EP124" s="135">
        <f ca="1">RZ[[#This Row],[Úroveň 5 s koef. (P3a)]]*RZ[[#This Row],[Počet MJCR (P0) pro "kg"]]</f>
        <v>0</v>
      </c>
      <c r="EQ124" s="135">
        <f ca="1">RZ[Úroveň 5 bez koef. (P3a)]*RZ[[#This Row],[Počet MJCR (P0) pro "kg"]]</f>
        <v>0</v>
      </c>
      <c r="ER124" s="135">
        <f ca="1">IF(OFFSET(BC124,1,0,1,1)&lt;&gt;0,RZ[[#This Row],[Koeficient odhadu CR '[-'] (P1)]]*$BL124*SUMIFS(RZ[Úroveň 6 s koef. (P3)],RZ[0],AX124,RZ[Úroveň 2 (P0)],AY124,RZ[Úroveň 3 (P0)],AZ124,RZ[Úroveň 4 (P0)],BA124,RZ[Úroveň 5 (P0)],BB124),RZ[[#This Row],[Koeficient odhadu CR '[-'] (P1)]]*$BL124*$IQ124)</f>
        <v>0</v>
      </c>
      <c r="ES124" s="135">
        <f ca="1">IF(OFFSET(BC124,1,0,1,1)&lt;&gt;0,$BL124*SUMIFS(RZ[Úroveň 6 bez koef. (P3)],RZ[0],AX124,RZ[Úroveň 2 (P0)],AY124,RZ[Úroveň 3 (P0)],AZ124,RZ[Úroveň 4 (P0)],BA124,RZ[Úroveň 5 (P0)],BB124),$BL124*$IQ124)</f>
        <v>0</v>
      </c>
      <c r="ET124" s="140">
        <f ca="1">RZ[[#This Row],[Úroveň 6 s koef. (P3a)]]*RZ[[#This Row],[Počet MJCR (P0) pro "kg"]]</f>
        <v>0</v>
      </c>
      <c r="EU124" s="140">
        <f ca="1">RZ[Úroveň 6 bez koef. (P3a)]*RZ[[#This Row],[Počet MJCR (P0) pro "kg"]]</f>
        <v>0</v>
      </c>
      <c r="EV124" s="140">
        <f ca="1">IF(OFFSET(BD124,1,0,1,1)&lt;&gt;0,RZ[[#This Row],[Koeficient odhadu CR '[-'] (P1)]]*$BM124*SUMIFS(RZ[Úroveň 7 s koef. (P3)],RZ[0],AX124,RZ[Úroveň 2 (P0)],AY124,RZ[Úroveň 3 (P0)],AZ124,RZ[Úroveň 4 (P0)],BA124,RZ[Úroveň 5 (P0)],BB124,RZ[Úroveň 6 (P0)],BC124),RZ[[#This Row],[Koeficient odhadu CR '[-'] (P1)]]*$BM124*$IQ124)</f>
        <v>0</v>
      </c>
      <c r="EW124" s="140">
        <f ca="1">IF(OFFSET(BD124,1,0,1,1)&lt;&gt;0,$BM124*SUMIFS(RZ[Úroveň 7 bez koef. (P3)],RZ[0],AX124,RZ[Úroveň 2 (P0)],AY124,RZ[Úroveň 3 (P0)],AZ124,RZ[Úroveň 4 (P0)],BA124,RZ[Úroveň 5 (P0)],BB124,RZ[Úroveň 6 (P0)],BC124),$BM124*$IQ124)</f>
        <v>0</v>
      </c>
      <c r="EX124" s="135">
        <f ca="1">RZ[[#This Row],[Úroveň 7 s koef. (P3a)]]*RZ[[#This Row],[Počet MJCR (P0) pro "kg"]]</f>
        <v>0</v>
      </c>
      <c r="EY124" s="135">
        <f ca="1">RZ[Úroveň 7 bez koef. (P3a)]*RZ[[#This Row],[Počet MJCR (P0) pro "kg"]]</f>
        <v>0</v>
      </c>
      <c r="EZ124" s="135">
        <f ca="1">IF(OFFSET(BE124,1,0,1,1)&lt;&gt;0,RZ[[#This Row],[Koeficient odhadu CR '[-'] (P1)]]*$BN124*SUMIFS(RZ[Úroveň 8 s koef. (P3)],RZ[0],AX124,RZ[Úroveň 2 (P0)],AY124,RZ[Úroveň 3 (P0)],AZ124,RZ[Úroveň 4 (P0)],BA124,RZ[Úroveň 5 (P0)],BB124,RZ[Úroveň 6 (P0)],BC124,RZ[Úroveň 7 (P0)],BD124),RZ[[#This Row],[Koeficient odhadu CR '[-'] (P1)]]*$BN124*$IQ124)</f>
        <v>0</v>
      </c>
      <c r="FA124" s="135">
        <f ca="1">IF(OFFSET(BE124,1,0,1,1)&lt;&gt;0,$BN124*SUMIFS(RZ[Úroveň 8 bez koef. (P3)],RZ[0],AX124,RZ[Úroveň 2 (P0)],AY124,RZ[Úroveň 3 (P0)],AZ124,RZ[Úroveň 4 (P0)],BA124,RZ[Úroveň 5 (P0)],BB124,RZ[Úroveň 6 (P0)],BC124,RZ[Úroveň 7 (P0)],BD124),$BN124*$IQ124)</f>
        <v>0</v>
      </c>
      <c r="FB124" s="140">
        <f ca="1">RZ[[#This Row],[Úroveň 8 s koef. (P3a)]]*RZ[[#This Row],[Počet MJCR (P0) pro "kg"]]</f>
        <v>0</v>
      </c>
      <c r="FC124" s="140">
        <f ca="1">RZ[Úroveň 8 bez koef. (P3a)]*RZ[[#This Row],[Počet MJCR (P0) pro "kg"]]</f>
        <v>0</v>
      </c>
      <c r="FD124" s="140">
        <f ca="1">IF(OFFSET(BF124,1,0,1,1)&lt;&gt;0,RZ[[#This Row],[Koeficient odhadu CR '[-'] (P1)]]*$BO124*SUMIFS(RZ[Úroveň 9 s koef. (P3)],RZ[0],AX124,RZ[Úroveň 2 (P0)],AY124,RZ[Úroveň 3 (P0)],AZ124,RZ[Úroveň 4 (P0)],BA124,RZ[Úroveň 5 (P0)],BB124,RZ[Úroveň 6 (P0)],BC124,RZ[Úroveň 7 (P0)],BD124,RZ[Úroveň 8 (P0)],BE124),RZ[[#This Row],[Koeficient odhadu CR '[-'] (P1)]]*$BO124*$IQ124)</f>
        <v>0</v>
      </c>
      <c r="FE124" s="140">
        <f ca="1">IF(OFFSET(BF124,1,0,1,1)&lt;&gt;0,$BO124*SUMIFS(RZ[Úroveň 9 bez koef. (P3)],RZ[0],AX124,RZ[Úroveň 2 (P0)],AY124,RZ[Úroveň 3 (P0)],AZ124,RZ[Úroveň 4 (P0)],BA124,RZ[Úroveň 5 (P0)],BB124,RZ[Úroveň 6 (P0)],BC124,RZ[Úroveň 7 (P0)],BD124,RZ[Úroveň 8 (P0)],BE124),$BO124*$IQ124)</f>
        <v>0</v>
      </c>
      <c r="FF124" s="135">
        <f ca="1">RZ[[#This Row],[Úroveň 9 s koef. (P3a)]]*RZ[[#This Row],[Počet MJCR (P0) pro "kg"]]</f>
        <v>0</v>
      </c>
      <c r="FG124" s="135">
        <f ca="1">RZ[Úroveň 9 bez koef. (P3a)]*RZ[[#This Row],[Počet MJCR (P0) pro "kg"]]</f>
        <v>0</v>
      </c>
      <c r="FH124" s="135">
        <f ca="1">IF(OFFSET(BG124,1,0,1,1)&lt;&gt;0,RZ[[#This Row],[Koeficient odhadu CR '[-'] (P1)]]*$BP124*SUMIFS(RZ[Úroveň 10 s koef. (P3)],RZ[0],AX124,RZ[Úroveň 2 (P0)],AY124,RZ[Úroveň 3 (P0)],AZ124,RZ[Úroveň 4 (P0)],BA124,RZ[Úroveň 5 (P0)],BB124,RZ[Úroveň 6 (P0)],BC124,RZ[Úroveň 7 (P0)],BD124,RZ[Úroveň 8 (P0)],BE124,RZ[Úroveň 9 (P0)],BF124),RZ[[#This Row],[Koeficient odhadu CR '[-'] (P1)]]*$BP124*$IQ124)</f>
        <v>0</v>
      </c>
      <c r="FI124" s="135">
        <f ca="1">IF(OFFSET(BG124,1,0,1,1)&lt;&gt;0,$BP124*SUMIFS(RZ[Úroveň 10 bez koef. (P3)],RZ[0],AX124,RZ[Úroveň 2 (P0)],AY124,RZ[Úroveň 3 (P0)],AZ124,RZ[Úroveň 4 (P0)],BA124,RZ[Úroveň 5 (P0)],BB124,RZ[Úroveň 6 (P0)],BC124,RZ[Úroveň 7 (P0)],BD124,RZ[Úroveň 8 (P0)],BE124,RZ[Úroveň 9 (P0)],BF124),$BP124*$IQ124)</f>
        <v>0</v>
      </c>
      <c r="FJ124" s="140">
        <f ca="1">RZ[[#This Row],[Úroveň 10 s koef. (P3a)]]*RZ[[#This Row],[Počet MJCR (P0) pro "kg"]]</f>
        <v>0</v>
      </c>
      <c r="FK124" s="140">
        <f ca="1">RZ[Úroveň 10 bez koef. (P3a)]*RZ[[#This Row],[Počet MJCR (P0) pro "kg"]]</f>
        <v>0</v>
      </c>
      <c r="FL124" s="140">
        <f ca="1">RZ[[#This Row],[Koeficient odhadu CR '[-'] (P1)]]*$BQ124*IQ124</f>
        <v>0</v>
      </c>
      <c r="FM124" s="236">
        <f t="shared" ref="FM124:FM128" ca="1" si="1095">$BQ124*IQ124</f>
        <v>0</v>
      </c>
      <c r="FN124" s="194">
        <f t="shared" ref="FN124:FN128" ca="1" si="1096">IF(BH124=1,EB124,IF(BI124=1,EF124,IF(BJ124=1,EJ124,IF(BK124=1,EN124,IF(BL124=1,ER124,IF(BM124=1,EV124,IF(BN124=1,EZ124,IF(BO124=1,FD124,IF(BP124=1,FH124,FL124)))))))))</f>
        <v>115</v>
      </c>
      <c r="FO124" s="238">
        <f t="shared" ref="FO124:FO128" ca="1" si="1097">IF(BH124=1,EC124,IF(BI124=1,EG124,IF(BJ124=1,EK124,IF(BK124=1,EO124,IF(BL124=1,ES124,IF(BM124=1,EW124,IF(BN124=1,FA124,IF(BO124=1,FE124,IF(BP124=1,FI124,FM124)))))))))</f>
        <v>115</v>
      </c>
      <c r="FP124" s="135">
        <f t="shared" ref="FP124:FP128" ca="1" si="1098">BH124*$IK124</f>
        <v>0</v>
      </c>
      <c r="FQ124" s="135">
        <f t="shared" ref="FQ124:FQ128" ca="1" si="1099">BI124*$IK124</f>
        <v>0</v>
      </c>
      <c r="FR124" s="135">
        <f t="shared" ref="FR124:FR128" ca="1" si="1100">BJ124*$IK124</f>
        <v>32.5</v>
      </c>
      <c r="FS124" s="135">
        <f t="shared" ref="FS124:FS128" ca="1" si="1101">BK124*$IK124</f>
        <v>0</v>
      </c>
      <c r="FT124" s="135">
        <f t="shared" ref="FT124:FT128" ca="1" si="1102">BL124*$IK124</f>
        <v>0</v>
      </c>
      <c r="FU124" s="135">
        <f t="shared" ref="FU124:FU128" ca="1" si="1103">BM124*$IK124</f>
        <v>0</v>
      </c>
      <c r="FV124" s="135">
        <f t="shared" ref="FV124:FV128" ca="1" si="1104">BN124*$IK124</f>
        <v>0</v>
      </c>
      <c r="FW124" s="135">
        <f t="shared" ref="FW124:FW128" ca="1" si="1105">BO124*$IK124</f>
        <v>0</v>
      </c>
      <c r="FX124" s="135">
        <f t="shared" ref="FX124:FX128" ca="1" si="1106">BP124*$IK124</f>
        <v>0</v>
      </c>
      <c r="FY124" s="135">
        <f t="shared" ref="FY124:FY128" ca="1" si="1107">BQ124*$IK124</f>
        <v>0</v>
      </c>
      <c r="FZ124" s="140">
        <f ca="1">SUMIFS(RZ[Úroveň 1 (P6)],RZ[0],AX124)</f>
        <v>1</v>
      </c>
      <c r="GA124" s="140">
        <f ca="1">SUMIFS(RZ[Úroveň 2 (P6)],RZ[0],AX124,RZ[Úroveň 2 (P0)],AY124)</f>
        <v>2</v>
      </c>
      <c r="GB124" s="140">
        <f ca="1">SUMIFS(RZ[Úroveň 3 (P6)],RZ[0],AX124,RZ[Úroveň 2 (P0)],AY124,RZ[Úroveň 3 (P0)],AZ124)</f>
        <v>32.5</v>
      </c>
      <c r="GC124" s="140">
        <f ca="1">SUMIFS(RZ[Úroveň 4 (P6)],RZ[0],AX124,RZ[Úroveň 2 (P0)],AY124,RZ[Úroveň 3 (P0)],AZ124,RZ[Úroveň 4 (P0)],BA124)</f>
        <v>0</v>
      </c>
      <c r="GD124" s="140">
        <f ca="1">SUMIFS(RZ[Úroveň 5 (P6)],RZ[0],AX124,RZ[Úroveň 2 (P0)],AY124,RZ[Úroveň 3 (P0)],AZ124,RZ[Úroveň 4 (P0)],BA124,RZ[Úroveň 5 (P0)],BB124)</f>
        <v>0</v>
      </c>
      <c r="GE124" s="140">
        <f ca="1">SUMIFS(RZ[Úroveň 6 (P6)],RZ[0],AX124,RZ[Úroveň 2 (P0)],AY124,RZ[Úroveň 3 (P0)],AZ124,RZ[Úroveň 4 (P0)],BA124,RZ[Úroveň 5 (P0)],BB124,RZ[Úroveň 6 (P0)],BC124)</f>
        <v>0</v>
      </c>
      <c r="GF124" s="140">
        <f ca="1">SUMIFS(RZ[Úroveň 7 (P6)],RZ[0],AX124,RZ[Úroveň 2 (P0)],AY124,RZ[Úroveň 3 (P0)],AZ124,RZ[Úroveň 4 (P0)],BA124,RZ[Úroveň 5 (P0)],BB124,RZ[Úroveň 6 (P0)],BC124,RZ[Úroveň 7 (P0)],BD124)</f>
        <v>0</v>
      </c>
      <c r="GG124" s="140">
        <f ca="1">SUMIFS(RZ[Úroveň 8 (P6)],RZ[0],AX124,RZ[Úroveň 2 (P0)],AY124,RZ[Úroveň 3 (P0)],AZ124,RZ[Úroveň 4 (P0)],BA124,RZ[Úroveň 5 (P0)],BB124,RZ[Úroveň 6 (P0)],BC124,RZ[Úroveň 7 (P0)],BD124,RZ[Úroveň 8 (P0)],BE124)</f>
        <v>0</v>
      </c>
      <c r="GH124" s="140">
        <f ca="1">SUMIFS(RZ[Úroveň 9 (P6)],RZ[0],AX124,RZ[Úroveň 2 (P0)],AY124,RZ[Úroveň 3 (P0)],AZ124,RZ[Úroveň 4 (P0)],BA124,RZ[Úroveň 5 (P0)],BB124,RZ[Úroveň 6 (P0)],BC124,RZ[Úroveň 7 (P0)],BD124,RZ[Úroveň 8 (P0)],BE124,RZ[Úroveň 9 (P0)],BF124)</f>
        <v>0</v>
      </c>
      <c r="GI124" s="140">
        <f ca="1">SUMIFS(RZ[Úroveň 10 (P6)],RZ[0],AX124,RZ[Úroveň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GJ124" s="918">
        <f t="shared" ref="GJ124:GJ128" ca="1" si="1108">IF(FZ124&lt;&gt;0,FZ124,1)*IF(GA124&lt;&gt;0,GA124,1)*IF(GB124&lt;&gt;0,GB124,1)*IF(GC124&lt;&gt;0,GC124,1)*IF(GD124&lt;&gt;0,GD124,1)*IF(GE124&lt;&gt;0,GE124,1)*IF(GF124&lt;&gt;0,GF124,1)*IF(GG124&lt;&gt;0,GG124,1)*IF(GH124&lt;&gt;0,GH124,1)*IF(GI124&lt;&gt;0,GI124,1)</f>
        <v>65</v>
      </c>
      <c r="GK124" s="808">
        <f t="shared" ref="GK124:GK128" si="1109">BH124*$IO124</f>
        <v>0</v>
      </c>
      <c r="GL124" s="808">
        <f t="shared" ref="GL124:GL128" si="1110">BI124*$IO124</f>
        <v>0</v>
      </c>
      <c r="GM124" s="808">
        <f t="shared" ref="GM124:GM128" si="1111">BJ124*$IO124</f>
        <v>1</v>
      </c>
      <c r="GN124" s="808">
        <f t="shared" ref="GN124:GN128" si="1112">BK124*$IO124</f>
        <v>0</v>
      </c>
      <c r="GO124" s="808">
        <f t="shared" ref="GO124:GO128" si="1113">BL124*$IO124</f>
        <v>0</v>
      </c>
      <c r="GP124" s="808">
        <f t="shared" ref="GP124:GP128" si="1114">BM124*$IO124</f>
        <v>0</v>
      </c>
      <c r="GQ124" s="808">
        <f t="shared" ref="GQ124:GQ128" si="1115">BN124*$IO124</f>
        <v>0</v>
      </c>
      <c r="GR124" s="808">
        <f t="shared" ref="GR124:GR128" si="1116">BO124*$IO124</f>
        <v>0</v>
      </c>
      <c r="GS124" s="808">
        <f t="shared" ref="GS124:GS128" si="1117">BP124*$IO124</f>
        <v>0</v>
      </c>
      <c r="GT124" s="808">
        <f t="shared" ref="GT124:GT128" si="1118">BQ124*$IO124</f>
        <v>0</v>
      </c>
      <c r="GU124" s="809">
        <f ca="1">SUMIFS(RZ[Sloupec1],RZ[0],AX124)</f>
        <v>1</v>
      </c>
      <c r="GV124" s="809">
        <f ca="1">SUMIFS(RZ[Sloupec2],RZ[0],AX124,RZ[Úroveň 2 (P0)],AY124)</f>
        <v>1</v>
      </c>
      <c r="GW124" s="809">
        <f ca="1">SUMIFS(RZ[Sloupec3],RZ[0],AX124,RZ[Úroveň 2 (P0)],AY124,RZ[Úroveň 3 (P0)],AZ124)</f>
        <v>1</v>
      </c>
      <c r="GX124" s="809">
        <f ca="1">SUMIFS(RZ[Sloupec4],RZ[0],AX124,RZ[Úroveň 2 (P0)],AY124,RZ[Úroveň 3 (P0)],AZ124,RZ[Úroveň 4 (P0)],BA124)</f>
        <v>0</v>
      </c>
      <c r="GY124" s="809">
        <f ca="1">SUMIFS(RZ[Sloupec5],RZ[0],AX124,RZ[Úroveň 2 (P0)],AY124,RZ[Úroveň 3 (P0)],AZ124,RZ[Úroveň 4 (P0)],BA124,RZ[Úroveň 5 (P0)],BB124)</f>
        <v>0</v>
      </c>
      <c r="GZ124" s="809">
        <f ca="1">SUMIFS(RZ[Sloupec6],RZ[0],AX124,RZ[Úroveň 2 (P0)],AY124,RZ[Úroveň 3 (P0)],AZ124,RZ[Úroveň 4 (P0)],BA124,RZ[Úroveň 5 (P0)],BB124,RZ[Úroveň 6 (P0)],BC124)</f>
        <v>0</v>
      </c>
      <c r="HA124" s="809">
        <f ca="1">SUMIFS(RZ[Sloupec62],RZ[0],AX124,RZ[Úroveň 2 (P0)],AY124,RZ[Úroveň 3 (P0)],AZ124,RZ[Úroveň 4 (P0)],BA124,RZ[Úroveň 5 (P0)],BB124,RZ[Úroveň 6 (P0)],BC124,RZ[Úroveň 7 (P0)],BD124)</f>
        <v>0</v>
      </c>
      <c r="HB124" s="809">
        <f ca="1">SUMIFS(RZ[Sloupec63],RZ[0],AX124,RZ[Úroveň 2 (P0)],AY124,RZ[Úroveň 3 (P0)],AZ124,RZ[Úroveň 4 (P0)],BA124,RZ[Úroveň 5 (P0)],BB124,RZ[Úroveň 6 (P0)],BC124,RZ[Úroveň 7 (P0)],BD124,RZ[Úroveň 8 (P0)],BE124)</f>
        <v>0</v>
      </c>
      <c r="HC124" s="809">
        <f ca="1">SUMIFS(RZ[Sloupec64],RZ[0],AX124,RZ[Úroveň 2 (P0)],AY124,RZ[Úroveň 3 (P0)],AZ124,RZ[Úroveň 4 (P0)],BA124,RZ[Úroveň 5 (P0)],BB124,RZ[Úroveň 6 (P0)],BC124,RZ[Úroveň 7 (P0)],BD124,RZ[Úroveň 8 (P0)],BE124,RZ[Úroveň 9 (P0)],BF124)</f>
        <v>0</v>
      </c>
      <c r="HD124" s="809">
        <f ca="1">SUMIFS(RZ[Sloupec65],RZ[0],AX124,RZ[Úroveň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HE124" s="919">
        <f t="shared" ref="HE124:HE128" ca="1" si="1119">IF(GU124&lt;&gt;0,GU124,1)*IF(GV124&lt;&gt;0,GV124,1)*IF(GW124&lt;&gt;0,GW124,1)*IF(GX124&lt;&gt;0,GX124,1)*IF(GY124&lt;&gt;0,GY124,1)*IF(GZ124&lt;&gt;0,GZ124,1)*IF(HA124&lt;&gt;0,HA124,1)*IF(HB124&lt;&gt;0,HB124,1)*IF(HC124&lt;&gt;0,HC124,1)*IF(HD124&lt;&gt;0,HD124,1)</f>
        <v>1</v>
      </c>
      <c r="HF124" s="920" t="str">
        <f t="shared" ref="HF124:HF128" si="1120">IF($IW124=$MJ$15,IF(MK124="","",MK124),IF(IY124="","",IY124))</f>
        <v/>
      </c>
      <c r="HG124" s="94" t="str">
        <f t="shared" ref="HG124:HG128" si="1121">IF($IW124=$MJ$15,IF($MJ124=1,$MS124,""),IF(IZ124="","",IZ124))</f>
        <v/>
      </c>
      <c r="HH124" s="95" t="str">
        <f t="shared" ref="HH124:HH128" si="1122">IF($IW124=$MJ$15,IF($MJ124=2,$MS124,""),IF(JA124="","",JA124))</f>
        <v/>
      </c>
      <c r="HI124" s="95" t="str">
        <f t="shared" ref="HI124:HI128" si="1123">IF($IW124=$MJ$15,IF($MJ124=3,$MS124,""),IF(JB124="","",JB124))</f>
        <v>Nárazník</v>
      </c>
      <c r="HJ124" s="96" t="str">
        <f t="shared" ref="HJ124:HJ128" si="1124">IF($IW124=$MJ$15,IF($MJ124=4,$MS124,""),IF(JC124="","",JC124))</f>
        <v/>
      </c>
      <c r="HK124" s="96" t="str">
        <f t="shared" ref="HK124:HK128" si="1125">IF($IW124=$MJ$15,IF($MJ124=5,$MS124,""),IF(JD124="","",JD124))</f>
        <v/>
      </c>
      <c r="HL124" s="96" t="str">
        <f t="shared" ref="HL124:HL128" si="1126">IF($IW124=$MJ$15,IF($MJ124=6,$MS124,""),IF(JE124="","",JE124))</f>
        <v/>
      </c>
      <c r="HM124" s="96" t="str">
        <f t="shared" ref="HM124:HM128" si="1127">IF($IW124=$MJ$15,IF($MJ124=7,$MS124,""),IF(JF124="","",JF124))</f>
        <v/>
      </c>
      <c r="HN124" s="96" t="str">
        <f t="shared" ref="HN124:HN128" si="1128">IF($IW124=$MJ$15,IF($MJ124=8,$MS124,""),IF(JG124="","",JG124))</f>
        <v/>
      </c>
      <c r="HO124" s="96" t="str">
        <f t="shared" ref="HO124:HO128" si="1129">IF($IW124=$MJ$15,IF($MJ124=9,$MS124,""),IF(JH124="","",JH124))</f>
        <v/>
      </c>
      <c r="HP124" s="96" t="str">
        <f t="shared" ref="HP124:HP128" si="1130">IF($IW124=$MJ$15,IF($MJ124=10,$MS124,""),IF(JI124="","",JI124))</f>
        <v/>
      </c>
      <c r="HQ124" s="145" t="str">
        <f t="shared" ref="HQ124:HQ128" si="1131">IF($IW124=$MJ$15,IF(ML124="","N/A",ML124),IF(JJ124="","N/A",JJ124))</f>
        <v>STO2</v>
      </c>
      <c r="HR124" s="921" t="str">
        <f t="shared" ref="HR124:HR128" si="1132">IF($IW124=$MJ$15,IF(MM124="","",MM124),IF(JK124="","",JK124))</f>
        <v/>
      </c>
      <c r="HS124" s="173">
        <f t="shared" ref="HS124:HS128" si="1133">IF($IW124=$JL$15,JL124,IF($IW124=$KE$15,KE124,IF($IW124=$KX$15,KX124,IF($IW124=$LQ$15,LQ124,IF($IW124=$MJ$15,NE124,0)))))</f>
        <v>0</v>
      </c>
      <c r="HT124" s="100">
        <f t="shared" ref="HT124:HT128" si="1134">IF($IW124=$JL$15,JM124,IF($IW124=$KE$15,KF124,IF($IW124=$KX$15,KY124,IF($IW124=$LQ$15,LR124,IF($IW124=$MJ$15,NF124,0)))))</f>
        <v>0</v>
      </c>
      <c r="HU124" s="100">
        <f t="shared" ref="HU124:HU128" si="1135">IF($IW124=$JL$15,JN124,IF($IW124=$KE$15,KG124,IF($IW124=$KX$15,KZ124,IF($IW124=$LQ$15,LS124,IF($IW124=$MJ$15,NG124,0)))))</f>
        <v>0</v>
      </c>
      <c r="HV124" s="908">
        <f t="shared" ref="HV124:HV128" si="1136">IF($IW124=$JL$15,JU124,IF($IW124=$KE$15,KN124,IF($IW124=$KX$15,LG124,IF($IW124=$LQ$15,LZ124,IF($IW124=$MJ$15,NN124,0)))))</f>
        <v>0</v>
      </c>
      <c r="HW124" s="922">
        <f t="shared" ref="HW124:HW128" si="1137">IF($IW124=$JL$15,JV124,IF($IW124=$KE$15,KO124,IF($IW124=$KX$15,LH124,IF($IW124=$LQ$15,MA124,IF($IW124=$MJ$15,NO124,0)))))</f>
        <v>0</v>
      </c>
      <c r="HX124" s="224">
        <f t="shared" ref="HX124:HX128" si="1138">IF($IW124=$JL$15,JW124,IF($IW124=$KE$15,KP124,IF($IW124=$KX$15,LI124,IF($IW124=$LQ$15,MB124,IF($IW124=$MJ$15,NP124,0)))))</f>
        <v>0</v>
      </c>
      <c r="HY124" s="263" t="str">
        <f t="shared" ref="HY124:HY128" si="1139">IF($IW124=$JL$15,JS124,IF($IW124=$KE$15,KL124,IF($IW124=$KX$15,LE124,IF($IW124=$LQ$15,LX124,IF($IW124=$MJ$15,NL124,0)))))</f>
        <v>S</v>
      </c>
      <c r="HZ124" s="263">
        <f t="shared" ref="HZ124:HZ128" si="1140">IF($IW124=$JL$15,KC124,IF($IW124=$KE$15,KV124,IF($IW124=$KX$15,LO124,IF($IW124=$LQ$15,MH124,IF($IW124=$MJ$15,NV124,0)))))</f>
        <v>0</v>
      </c>
      <c r="IA124" s="150">
        <f t="shared" ref="IA124:IA128" si="1141">IF($IW124=$JL$15,JR124,IF($IW124=$KE$15,KK124,IF($IW124=$KX$15,LD124,IF($IW124=$LQ$15,LW124,IF($IW124=$MJ$15,NK124,0)))))</f>
        <v>1</v>
      </c>
      <c r="IB124" s="319">
        <f t="shared" ref="IB124:IB128" si="1142">IF($IW124=$JL$15,JZ124,IF($IW124=$KE$15,KS124,IF($IW124=$KX$15,LL124,IF($IW124=$LQ$15,ME124,IF($IW124=$MJ$15,NS124,0)))))</f>
        <v>0</v>
      </c>
      <c r="IC124" s="923">
        <f t="shared" ref="IC124:IC128" si="1143">IF($IW124=$JL$15,KB124,IF($IW124=$KE$15,KU124,IF($IW124=$KX$15,LN124,IF($IW124=$LQ$15,MG124,IF($IW124=$MJ$15,NU124,0)))))</f>
        <v>0</v>
      </c>
      <c r="ID124" s="924" t="str">
        <f t="shared" ref="ID124:ID128" ca="1" si="1144">IF((BH124+OFFSET(BH124,1,1,1,1))=2,"--",IF((BI124+OFFSET(BI124,1,1,1,1))=2,"--",IF((BJ124+OFFSET(BJ124,1,1,1,1))=2,"--",IF((BK124+OFFSET(BK124,1,1,1,1))=2,"--",IF((BL124+OFFSET(BL124,1,1,1,1))=2,"--",IF((BM124+OFFSET(BM124,1,1,1,1))=2,"--",IF((BN124+OFFSET(BN124,1,1,1,1))=2,"--",IF((BO124+OFFSET(BO124,1,1,1,1))=2,"--",IF((BP124+OFFSET(BP124,1,1,1,1))=2,"--",IF((BQ124+OFFSET(BQ124,1,1,1,1))=2,"--","OK"))))))))))</f>
        <v>OK</v>
      </c>
      <c r="IE124" s="201" t="str">
        <f t="shared" ref="IE124:IE128" si="1145">IF($IW124=$JL$15,JO124,IF($IW124=$KE$15,KH124,IF($IW124=$KX$15,LA124,IF($IW124=$LQ$15,LT124,IF($IW124=$MJ$15,NH124,0)))))</f>
        <v>ks</v>
      </c>
      <c r="IF124" s="145">
        <f t="shared" ref="IF124:IF128" si="1146">IF($IW124=$JL$15,JP124,IF($IW124=$KE$15,KI124,IF($IW124=$KX$15,LB124,IF($IW124=$LQ$15,LU124,IF($IW124=$MJ$15,NI124,0)))))</f>
        <v>1</v>
      </c>
      <c r="IG124" s="216">
        <f t="shared" ref="IG124:IG128" si="1147">IF($IW124=$JL$15,JQ124,IF($IW124=$KE$15,KJ124,IF($IW124=$KX$15,LC124,IF($IW124=$LQ$15,LV124,IF($IW124=$MJ$15,NJ124,0)))))</f>
        <v>32.5</v>
      </c>
      <c r="IH124" s="217">
        <f t="shared" ref="IH124:IH128" si="1148">IF(IA124=0,1,IA124)</f>
        <v>1</v>
      </c>
      <c r="II124" s="224" t="str">
        <f ca="1">IF(RZ[[#This Row],[Rozhodný sloupec indikativní ceny]]=1,"kg",IF($IW124=$JL$15,IF(JX124=0,JO124,JX124),IF($IW124=$KE$15,IF(KQ124=0,KH124,KQ124),IF($IW124=$KX$15,IF(LJ124=0,LA124,LJ124),IF($IW124=$LQ$15,IF(MC124=0,LT124,MC124),IF($IW124=$MJ$15,IF(NQ124=0,NH124,NQ124),0))))))</f>
        <v>kg</v>
      </c>
      <c r="IJ124" s="224">
        <f ca="1">IF((BH124+OFFSET(BH124,1,1,1,1))=2,RZ[[#This Row],[Počet MJHR (P0)]],IF((BI124+OFFSET(BI124,1,1,1,1))=2,RZ[[#This Row],[Počet MJHR (P0)]],IF((BJ124+OFFSET(BJ124,1,1,1,1))=2,RZ[[#This Row],[Počet MJHR (P0)]],IF((BK124+OFFSET(BK124,1,1,1,1))=2,RZ[[#This Row],[Počet MJHR (P0)]],IF((BL124+OFFSET(BL124,1,1,1,1))=2,RZ[[#This Row],[Počet MJHR (P0)]],IF((BM124+OFFSET(BM124,1,1,1,1))=2,RZ[[#This Row],[Počet MJHR (P0)]],IF((BN124+OFFSET(BN124,1,1,1,1))=2,RZ[[#This Row],[Počet MJHR (P0)]],IF((BO124+OFFSET(BO124,1,1,1,1))=2,RZ[[#This Row],[Počet MJHR (P0)]],IF((BP124+OFFSET(BP124,1,1,1,1))=2,RZ[[#This Row],[Počet MJHR (P0)]],IF((BQ124+OFFSET(BQ124,1,1,1,1))=2,RZ[[#This Row],[Počet MJHR (P0)]],IF(RZ[[#This Row],[Měrná jednotka CR (MJCR) (P0)]]=RZ[[#This Row],[Měrná jednotka HR '[MJHR'] (P0)]],RZ[[#This Row],[Počet MJHR (P0)]],IF($IW124=$JL$15,JY124,IF($IW124=$KE$15,KR124,IF($IW124=$KX$15,LK124,IF($IW124=$LQ$15,MD124,IF($IW124=$MJ$15,NR124,0))))))))))))))))</f>
        <v>0</v>
      </c>
      <c r="IK1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32.5</v>
      </c>
      <c r="IL124" s="145">
        <f ca="1">IF(AND(RZ[[#This Row],[Jednotková cena bez DPH '[cena/MJCR'] (P0)]]=0,RZ[[#This Row],[Indikativní jednotková cena '[CZK/kg'] (P1)]]&lt;&gt;0),1,0)</f>
        <v>1</v>
      </c>
      <c r="IM124" s="217">
        <f ca="1">VLOOKUP(RZ[[#This Row],[Kód položek]],INDIKAT_CENA,2,FALSE)</f>
        <v>115</v>
      </c>
      <c r="IN124" s="222">
        <f ca="1">IF(RZ[[#This Row],[Rozhodný sloupec indikativní ceny]]=1,RZ[[#This Row],[Indikativní jednotková cena '[CZK/kg'] (P1)]],RZ[[#This Row],[Jednotková cena bez DPH '[cena/MJCR'] (P0)]])</f>
        <v>115</v>
      </c>
      <c r="IO124" s="222">
        <f t="shared" ref="IO124:IO128" si="1149">IF(IC124=0,1,IC124)</f>
        <v>1</v>
      </c>
      <c r="IP124" s="224">
        <f ca="1">IF(RZ[[#This Row],[Rozhodný sloupec indikativní ceny]]=1,1,IF($IW124=$JL$15,KA124,IF($IW124=$KE$15,KT124,IF($IW124=$KX$15,LM124,IF($IW124=$LQ$15,MF124,IF($IW124=$MJ$15,NT124,0))))))</f>
        <v>1</v>
      </c>
      <c r="IQ124" s="225">
        <f ca="1">IF(RZ[[#This Row],[Jednotková cena bez DPH '[cena/MJCR'] (P1)]]="",0,IF(IP124=0,0,(RZ[[#This Row],[Jednotková cena bez DPH '[cena/MJCR'] (P1)]]*VLOOKUP(IP124,$BR$7:$BT$10,3))))</f>
        <v>115</v>
      </c>
      <c r="IR124" s="737"/>
      <c r="IS124" s="627">
        <f>IF(HY124=0,"",VLOOKUP(RZ[[#This Row],[Stav Projekce (P0)]],Vstupy!$E$11:'Vstupy'!$E$11:$H$17,4,FALSE))</f>
        <v>100</v>
      </c>
      <c r="IT124" s="925" t="str">
        <f>IF(RZ[[#This Row],[Stav Projekce (P0)]]=0,"",RZ[[#This Row],[Stav Projekce (P0)]])</f>
        <v>S</v>
      </c>
      <c r="IU124" s="925" t="str">
        <f>IF(RZ[[#This Row],[Stav Nákup (P0)]]=0,"",RZ[[#This Row],[Stav Nákup (P0)]])</f>
        <v/>
      </c>
      <c r="IV124" s="926" t="str">
        <f t="shared" ref="IV124:IV128" si="1150">IF(HV124=0,"",HV124)</f>
        <v/>
      </c>
      <c r="IW124" s="641">
        <v>1</v>
      </c>
      <c r="IX124" s="630"/>
      <c r="IY124" s="264"/>
      <c r="IZ124" s="648"/>
      <c r="JA124" s="100"/>
      <c r="JB124" s="100" t="s">
        <v>778</v>
      </c>
      <c r="JC124" s="100"/>
      <c r="JD124" s="100"/>
      <c r="JE124" s="100"/>
      <c r="JF124" s="100"/>
      <c r="JG124" s="100"/>
      <c r="JH124" s="100"/>
      <c r="JI124" s="100"/>
      <c r="JJ124" s="145" t="s">
        <v>773</v>
      </c>
      <c r="JK124" s="529"/>
      <c r="JL124" s="286"/>
      <c r="JM124" s="100"/>
      <c r="JN124" s="100"/>
      <c r="JO124" s="145" t="s">
        <v>35</v>
      </c>
      <c r="JP124" s="117">
        <v>1</v>
      </c>
      <c r="JQ124" s="117">
        <v>32.5</v>
      </c>
      <c r="JR124" s="148">
        <v>1</v>
      </c>
      <c r="JS124" s="145" t="s">
        <v>602</v>
      </c>
      <c r="JT124" s="631"/>
      <c r="JU124" s="148"/>
      <c r="JV124" s="154"/>
      <c r="JW124" s="145"/>
      <c r="JX124" s="210"/>
      <c r="JY124" s="117"/>
      <c r="JZ124" s="662"/>
      <c r="KA124" s="145"/>
      <c r="KB124" s="148"/>
      <c r="KC124" s="148"/>
      <c r="KD124" s="644"/>
      <c r="KE124" s="286"/>
      <c r="KF124" s="100"/>
      <c r="KG124" s="100"/>
      <c r="KH124" s="210"/>
      <c r="KI124" s="117"/>
      <c r="KJ124" s="117"/>
      <c r="KK124" s="148"/>
      <c r="KL124" s="145"/>
      <c r="KM124" s="632"/>
      <c r="KN124" s="148"/>
      <c r="KO124" s="154"/>
      <c r="KP124" s="154"/>
      <c r="KQ124" s="210"/>
      <c r="KR124" s="117"/>
      <c r="KS124" s="211"/>
      <c r="KT124" s="145"/>
      <c r="KU124" s="148"/>
      <c r="KV124" s="148"/>
      <c r="KW124" s="265"/>
      <c r="KX124" s="286"/>
      <c r="KY124" s="100"/>
      <c r="KZ124" s="100"/>
      <c r="LA124" s="210"/>
      <c r="LB124" s="117"/>
      <c r="LC124" s="117"/>
      <c r="LD124" s="148"/>
      <c r="LE124" s="145"/>
      <c r="LF124" s="632"/>
      <c r="LG124" s="148"/>
      <c r="LH124" s="154"/>
      <c r="LI124" s="154"/>
      <c r="LJ124" s="154"/>
      <c r="LK124" s="117"/>
      <c r="LL124" s="211"/>
      <c r="LM124" s="210"/>
      <c r="LN124" s="148"/>
      <c r="LO124" s="148"/>
      <c r="LP124" s="265"/>
      <c r="LQ124" s="286"/>
      <c r="LR124" s="100"/>
      <c r="LS124" s="100"/>
      <c r="LT124" s="210"/>
      <c r="LU124" s="117"/>
      <c r="LV124" s="117"/>
      <c r="LW124" s="148"/>
      <c r="LX124" s="145"/>
      <c r="LY124" s="632"/>
      <c r="LZ124" s="148"/>
      <c r="MA124" s="154"/>
      <c r="MB124" s="154"/>
      <c r="MC124" s="145"/>
      <c r="MD124" s="117"/>
      <c r="ME124" s="211"/>
      <c r="MF124" s="210"/>
      <c r="MG124" s="148"/>
      <c r="MH124" s="148"/>
      <c r="MI124" s="265"/>
      <c r="MJ124" s="647"/>
      <c r="MK124" s="264"/>
      <c r="ML124" s="153"/>
      <c r="MM124" s="153"/>
      <c r="MN124" s="153"/>
      <c r="MO124" s="153"/>
      <c r="MP124" s="153"/>
      <c r="MQ124" s="153"/>
      <c r="MR124" s="153"/>
      <c r="MS124" s="99"/>
      <c r="MT124" s="99"/>
      <c r="MU124" s="99"/>
      <c r="MV124" s="99"/>
      <c r="MW124" s="99"/>
      <c r="MX124" s="99"/>
      <c r="MY124" s="153"/>
      <c r="MZ124" s="153"/>
      <c r="NA124" s="153"/>
      <c r="NB124" s="153"/>
      <c r="NC124" s="153"/>
      <c r="ND124" s="153"/>
      <c r="NE124" s="153"/>
      <c r="NF124" s="153"/>
      <c r="NG124" s="153"/>
      <c r="NH124" s="330" t="str">
        <f t="shared" ref="NH124:NH128" si="1151">"ks"</f>
        <v>ks</v>
      </c>
      <c r="NI124" s="797">
        <f>RZ[[#This Row],[Počet ks (K)]]</f>
        <v>0</v>
      </c>
      <c r="NJ124" s="798">
        <f>RZ[[#This Row],[Hmotnost '[kg/ks'] (K)]]</f>
        <v>0</v>
      </c>
      <c r="NK124" s="153"/>
      <c r="NL124" s="153"/>
      <c r="NM124" s="632"/>
      <c r="NN124" s="153"/>
      <c r="NO124" s="153"/>
      <c r="NP124" s="153"/>
      <c r="NQ124" s="153"/>
      <c r="NR124" s="153"/>
      <c r="NS124" s="153"/>
      <c r="NT124" s="153"/>
      <c r="NU124" s="153"/>
      <c r="NV124" s="148"/>
      <c r="NW124" s="633"/>
    </row>
    <row r="125" spans="2:387" ht="15.95" customHeight="1" x14ac:dyDescent="0.35">
      <c r="B125" s="118" t="str">
        <f t="shared" si="1044"/>
        <v/>
      </c>
      <c r="C1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5" s="262" t="str">
        <f t="shared" si="1045"/>
        <v xml:space="preserve">    Lišta</v>
      </c>
      <c r="E125" s="120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Row],[Kód položek (P2)]]))))))))))</f>
        <v>STO3</v>
      </c>
      <c r="F125" s="791" t="str">
        <f t="shared" si="1046"/>
        <v>N/A</v>
      </c>
      <c r="G125" s="792" t="str">
        <f t="shared" si="1047"/>
        <v/>
      </c>
      <c r="H125" s="262" t="str">
        <f t="shared" si="1048"/>
        <v/>
      </c>
      <c r="I125" s="123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HR '[MJHR'] (P0)]]))))))))))</f>
        <v>ks</v>
      </c>
      <c r="J125" s="123">
        <f t="shared" si="1049"/>
        <v>2</v>
      </c>
      <c r="K125" s="793">
        <f>RZ[[#This Row],[Koeficient odhadu HR '[-'] (P1)]]</f>
        <v>1</v>
      </c>
      <c r="L125" s="124">
        <f ca="1">RZ[[#This Row],[Jednotková hmotnost s koef. '[kg/MJHR'] (P0)]]</f>
        <v>3.3</v>
      </c>
      <c r="M125" s="794">
        <f t="shared" ca="1" si="1050"/>
        <v>0</v>
      </c>
      <c r="N125" s="125">
        <f t="shared" ca="1" si="1051"/>
        <v>6.6</v>
      </c>
      <c r="O125" s="125">
        <f t="shared" ca="1" si="1052"/>
        <v>0</v>
      </c>
      <c r="P125" s="126" t="str">
        <f t="shared" si="1053"/>
        <v/>
      </c>
      <c r="Q125" s="795">
        <f ca="1">RZ[[#This Row],[Počet MJHR v rozpadu (P0)]]</f>
        <v>4</v>
      </c>
      <c r="R125" s="439" t="str">
        <f t="shared" si="1054"/>
        <v/>
      </c>
      <c r="S125" s="129" t="str">
        <f t="shared" si="1055"/>
        <v/>
      </c>
      <c r="T125" s="126" t="str">
        <f t="shared" si="1056"/>
        <v/>
      </c>
      <c r="U125" s="126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CR (MJCR) (P0)]]))))))))))</f>
        <v>kg</v>
      </c>
      <c r="V125" s="575">
        <f t="shared" ca="1" si="1057"/>
        <v>6.6</v>
      </c>
      <c r="W125" s="322">
        <f>RZ[[#This Row],[Koeficient odhadu CR '[-'] (P1)]]</f>
        <v>1</v>
      </c>
      <c r="X125" s="440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Row],[Jednotková cena bez DPH '[cena/MJCR'] (P1)]]*RZ[[#This Row],[Koeficient odhadu CR '[-']]]))))))))))</f>
        <v>85</v>
      </c>
      <c r="Y125" s="440">
        <f t="shared" ca="1" si="1058"/>
        <v>0</v>
      </c>
      <c r="Z125" s="142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VLOOKUP(IP125,$BR$7:$BS$11,2,FALSE)))))))))))</f>
        <v>CZK</v>
      </c>
      <c r="AA125" s="909">
        <f t="shared" ca="1" si="1059"/>
        <v>13.2</v>
      </c>
      <c r="AB125" s="910">
        <f ca="1">RZ[[#This Row],[Kumulovaný koeficient v rozpadu (P0)]]</f>
        <v>1</v>
      </c>
      <c r="AC125" s="261"/>
      <c r="AD125" s="796">
        <f ca="1">RZ[[#This Row],[Jednotková cena bez DPH '[cena/MJCR'] s koef. (P0)]]/RZ[[#This Row],[Koeficient odhadu CR '[-']]]*RZ[[#This Row],[Kumulovaný koeficient odhadu CR  '[-']]]</f>
        <v>85</v>
      </c>
      <c r="AE125" s="796">
        <f t="shared" ca="1" si="1060"/>
        <v>1122</v>
      </c>
      <c r="AF125" s="796">
        <f ca="1">-IF(ISNUMBER(AA125),RZ[[#This Row],[Celková cena bez DPH (1)]]-RZ[[#This Row],[Jednotková cena bez DPH '[cena/MJCR'] bez koef. (P0)]]*AA125,0)</f>
        <v>0</v>
      </c>
      <c r="AG1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25" s="261"/>
      <c r="AI125" s="796">
        <f ca="1">AD125/VLOOKUP($AJ$13,KURZY,3,FALSE)</f>
        <v>3.1481481481481484</v>
      </c>
      <c r="AJ125" s="796">
        <f ca="1">AE125/VLOOKUP($AJ$13,KURZY,3,FALSE)*IF(V125="",0,1)</f>
        <v>41.555555555555557</v>
      </c>
      <c r="AK125" s="796">
        <f ca="1">AF125/VLOOKUP($AJ$13,KURZY,3,FALSE)</f>
        <v>0</v>
      </c>
      <c r="AL125" s="753">
        <f ca="1">RZ[[#This Row],[Kilogramová cena bez DPH '[cena/kg'] (1)]]/$AK$13</f>
        <v>3.1481481481481484</v>
      </c>
      <c r="AM125" s="261"/>
      <c r="AN125" s="796">
        <f ca="1">AD125/VLOOKUP($AO$13,KURZY,3,FALSE)</f>
        <v>4.1062801932367154</v>
      </c>
      <c r="AO125" s="796">
        <f ca="1">AE125/VLOOKUP($AO$13,KURZY,3,FALSE)*IF(V125="",0,1)</f>
        <v>54.20289855072464</v>
      </c>
      <c r="AP125" s="796">
        <f ca="1">AF125/VLOOKUP($AO$13,KURZY,3,FALSE)</f>
        <v>0</v>
      </c>
      <c r="AQ125" s="753">
        <f ca="1">RZ[[#This Row],[Kilogramová cena bez DPH '[cena/kg'] (1)]]/$AP$13</f>
        <v>4.1062801932367154</v>
      </c>
      <c r="AR125" s="261"/>
      <c r="AS125" s="796">
        <f ca="1">AD125/VLOOKUP($AT$13,KURZY,3,FALSE)</f>
        <v>2.324945295404814</v>
      </c>
      <c r="AT125" s="796">
        <f ca="1">AE125/VLOOKUP($AT$13,KURZY,3,FALSE)*IF(V125="",0,1)</f>
        <v>30.689277899343544</v>
      </c>
      <c r="AU125" s="789">
        <f ca="1">AF125/VLOOKUP($AT$13,KURZY,3,FALSE)</f>
        <v>0</v>
      </c>
      <c r="AV125" s="767">
        <f ca="1">RZ[[#This Row],[Kilogramová cena bez DPH '[cena/kg'] (1)]]/$AU$13</f>
        <v>2.324945295404814</v>
      </c>
      <c r="AW125" s="165"/>
      <c r="AX125" s="911">
        <f t="shared" ca="1" si="1061"/>
        <v>2</v>
      </c>
      <c r="AY125" s="111">
        <f t="shared" ca="1" si="1062"/>
        <v>11</v>
      </c>
      <c r="AZ125" s="111">
        <f t="shared" ca="1" si="1063"/>
        <v>2</v>
      </c>
      <c r="BA125" s="111">
        <f t="shared" ca="1" si="1064"/>
        <v>0</v>
      </c>
      <c r="BB125" s="111">
        <f t="shared" ca="1" si="1065"/>
        <v>0</v>
      </c>
      <c r="BC125" s="111">
        <f t="shared" ca="1" si="1066"/>
        <v>0</v>
      </c>
      <c r="BD125" s="111">
        <f t="shared" ca="1" si="1067"/>
        <v>0</v>
      </c>
      <c r="BE125" s="111">
        <f t="shared" ca="1" si="1068"/>
        <v>0</v>
      </c>
      <c r="BF125" s="111">
        <f t="shared" ca="1" si="1069"/>
        <v>0</v>
      </c>
      <c r="BG125" s="112">
        <f t="shared" ca="1" si="1070"/>
        <v>0</v>
      </c>
      <c r="BH125" s="911">
        <f t="shared" si="1071"/>
        <v>0</v>
      </c>
      <c r="BI125" s="111">
        <f t="shared" si="1072"/>
        <v>0</v>
      </c>
      <c r="BJ125" s="111">
        <f t="shared" si="1073"/>
        <v>1</v>
      </c>
      <c r="BK125" s="111">
        <f t="shared" si="1074"/>
        <v>0</v>
      </c>
      <c r="BL125" s="111">
        <f t="shared" si="1075"/>
        <v>0</v>
      </c>
      <c r="BM125" s="111">
        <f t="shared" si="1076"/>
        <v>0</v>
      </c>
      <c r="BN125" s="111">
        <f t="shared" si="1077"/>
        <v>0</v>
      </c>
      <c r="BO125" s="111">
        <f t="shared" si="1078"/>
        <v>0</v>
      </c>
      <c r="BP125" s="111">
        <f t="shared" si="1079"/>
        <v>0</v>
      </c>
      <c r="BQ125" s="112">
        <f t="shared" si="1080"/>
        <v>0</v>
      </c>
      <c r="BR125" s="132">
        <f ca="1">IF(OFFSET(AY125,1,0,1,1)&lt;&gt;0,RZ[[#This Row],[Koeficient odhadu HR '[-'] (P1)]]*$BH125*SUMIFS(RZ[Úroveň 2 s koef. (P2)],RZ[0],AX125),RZ[[#This Row],[Koeficient odhadu HR '[-'] (P1)]]*$BH125*$IG125)</f>
        <v>0</v>
      </c>
      <c r="BS125" s="186">
        <f ca="1">IF(OFFSET(AY125,1,0,1,1)&lt;&gt;0,$BH125*SUMIFS(RZ[Úroveň 2 bez koef. (P2)],RZ[0],AX125),$BH125*$IG125)</f>
        <v>0</v>
      </c>
      <c r="BT125" s="138">
        <f ca="1">RZ[[#This Row],[Úroveň 2 s koef. (P2a)]]*RZ[[#This Row],[Počet MJHR (P0)]]</f>
        <v>0</v>
      </c>
      <c r="BU125" s="138">
        <f ca="1">RZ[[#This Row],[Úroveň 2 bez koef. (P2a)]]*RZ[[#This Row],[Počet MJHR (P0)]]</f>
        <v>0</v>
      </c>
      <c r="BV125" s="138">
        <f ca="1">IF(OFFSET(AZ125,1,0,1,1)&lt;&gt;0,RZ[[#This Row],[Koeficient odhadu HR '[-'] (P1)]]*$BI125*SUMIFS(RZ[Úroveň 3 s koef. (P2)],RZ[0],AX125,RZ[Úroveň 2 (P0)],AY125),RZ[[#This Row],[Koeficient odhadu HR '[-'] (P1)]]*$BI125*$IG125)</f>
        <v>0</v>
      </c>
      <c r="BW125" s="138">
        <f ca="1">IF(OFFSET(AZ125,1,0,1,1)&lt;&gt;0,$BI125*SUMIFS(RZ[Úroveň 3 bez koef. (P2)],RZ[0],AX125,RZ[Úroveň 2 (P0)],AY125),$BI125*$IG125)</f>
        <v>0</v>
      </c>
      <c r="BX125" s="132">
        <f ca="1">RZ[[#This Row],[Úroveň 3 s koef. (P2a)]]*RZ[[#This Row],[Počet MJHR (P0)]]</f>
        <v>6.6</v>
      </c>
      <c r="BY125" s="132">
        <f ca="1">RZ[Úroveň 3 bez koef. (P2a)]*RZ[[#This Row],[Počet MJHR (P0)]]</f>
        <v>6.6</v>
      </c>
      <c r="BZ125" s="132">
        <f ca="1">IF(OFFSET(BA125,1,0,1,1)&lt;&gt;0,RZ[[#This Row],[Koeficient odhadu HR '[-'] (P1)]]*$BJ125*SUMIFS(RZ[Úroveň 4 s koef. (P2)],RZ[0],AX125,RZ[Úroveň 2 (P0)],AY125,RZ[Úroveň 3 (P0)],AZ125),RZ[[#This Row],[Koeficient odhadu HR '[-'] (P1)]]*$BJ125*$IG125)</f>
        <v>3.3</v>
      </c>
      <c r="CA125" s="132">
        <f ca="1">IF(OFFSET(BA125,1,0,1,1)&lt;&gt;0,$BJ125*SUMIFS(RZ[Úroveň 4 bez koef. (P2)],RZ[0],AX125,RZ[Úroveň 2 (P0)],AY125,RZ[Úroveň 3 (P0)],AZ125),$BJ125*$IG125)</f>
        <v>3.3</v>
      </c>
      <c r="CB125" s="138">
        <f ca="1">RZ[[#This Row],[Úroveň 4 s koef. (P2a)]]*RZ[[#This Row],[Počet MJHR (P0)]]</f>
        <v>0</v>
      </c>
      <c r="CC125" s="138">
        <f ca="1">RZ[Úroveň 4 bez koef. (P2a)]*RZ[[#This Row],[Počet MJHR (P0)]]</f>
        <v>0</v>
      </c>
      <c r="CD125" s="138">
        <f ca="1">IF(OFFSET(BB125,1,0,1,1)&lt;&gt;0,RZ[[#This Row],[Koeficient odhadu HR '[-'] (P1)]]*$BK125*SUMIFS(RZ[Úroveň 5 s koef. (P2)],RZ[0],AX125,RZ[Úroveň 2 (P0)],AY125,RZ[Úroveň 3 (P0)],AZ125,RZ[Úroveň 4 (P0)],BA125),RZ[[#This Row],[Koeficient odhadu HR '[-'] (P1)]]*$BK125*$IG125)</f>
        <v>0</v>
      </c>
      <c r="CE125" s="138">
        <f ca="1">IF(OFFSET(BB125,1,0,1,1)&lt;&gt;0,$BK125*SUMIFS(RZ[Úroveň 5 bez koef. (P2)],RZ[0],AX125,RZ[Úroveň 2 (P0)],AY125,RZ[Úroveň 3 (P0)],AZ125,RZ[Úroveň 4 (P0)],BA125),$BK125*$IG125)</f>
        <v>0</v>
      </c>
      <c r="CF125" s="132">
        <f ca="1">RZ[[#This Row],[Úroveň 5 s koef. (P2a)]]*RZ[[#This Row],[Počet MJHR (P0)]]</f>
        <v>0</v>
      </c>
      <c r="CG125" s="132">
        <f ca="1">RZ[Úroveň 5 bez koef. (P2a)]*RZ[[#This Row],[Počet MJHR (P0)]]</f>
        <v>0</v>
      </c>
      <c r="CH125" s="132">
        <f ca="1">IF(OFFSET(BC125,1,0,1,1)&lt;&gt;0,RZ[[#This Row],[Koeficient odhadu HR '[-'] (P1)]]*$BL125*SUMIFS(RZ[Úroveň 6 s koef. (P2)],RZ[0],AX125,RZ[Úroveň 2 (P0)],AY125,RZ[Úroveň 3 (P0)],AZ125,RZ[Úroveň 4 (P0)],BA125,RZ[Úroveň 5 (P0)],BB125),RZ[[#This Row],[Koeficient odhadu HR '[-'] (P1)]]*$BL125*$IG125)</f>
        <v>0</v>
      </c>
      <c r="CI125" s="132">
        <f ca="1">IF(OFFSET(BC125,1,0,1,1)&lt;&gt;0,$BL125*SUMIFS(RZ[Úroveň 6 bez koef. (P2)],RZ[0],AX125,RZ[Úroveň 2 (P0)],AY125,RZ[Úroveň 3 (P0)],AZ125,RZ[Úroveň 4 (P0)],BA125,RZ[Úroveň 5 (P0)],BB125),$BL125*$IG125)</f>
        <v>0</v>
      </c>
      <c r="CJ125" s="138">
        <f ca="1">RZ[[#This Row],[Úroveň 6 s koef. (P2a)]]*RZ[[#This Row],[Počet MJHR (P0)]]</f>
        <v>0</v>
      </c>
      <c r="CK125" s="138">
        <f ca="1">RZ[Úroveň 6 bez koef. (P2a)]*RZ[[#This Row],[Počet MJHR (P0)]]</f>
        <v>0</v>
      </c>
      <c r="CL125" s="138">
        <f ca="1">IF(OFFSET(BD125,1,0,1,1)&lt;&gt;0,RZ[[#This Row],[Koeficient odhadu HR '[-'] (P1)]]*$BM125*SUMIFS(RZ[Úroveň 7 s koef. (P2)],RZ[0],AX125,RZ[Úroveň 2 (P0)],AY125,RZ[Úroveň 3 (P0)],AZ125,RZ[Úroveň 4 (P0)],BA125,RZ[Úroveň 5 (P0)],BB125,RZ[Úroveň 6 (P0)],BC125),RZ[[#This Row],[Koeficient odhadu HR '[-'] (P1)]]*$BM125*$IG125)</f>
        <v>0</v>
      </c>
      <c r="CM125" s="138">
        <f ca="1">IF(OFFSET(BD125,1,0,1,1)&lt;&gt;0,$BM125*SUMIFS(RZ[Úroveň 7 bez koef. (P2)],RZ[0],AX125,RZ[Úroveň 2 (P0)],AY125,RZ[Úroveň 3 (P0)],AZ125,RZ[Úroveň 4 (P0)],BA125,RZ[Úroveň 5 (P0)],BB125,RZ[Úroveň 6 (P0)],BC125),$BM125*$IG125)</f>
        <v>0</v>
      </c>
      <c r="CN125" s="132">
        <f ca="1">RZ[[#This Row],[Úroveň 7 s koef. (P2a)]]*RZ[[#This Row],[Počet MJHR (P0)]]</f>
        <v>0</v>
      </c>
      <c r="CO125" s="132">
        <f ca="1">RZ[Úroveň 7 bez koef. (P2a)]*RZ[[#This Row],[Počet MJHR (P0)]]</f>
        <v>0</v>
      </c>
      <c r="CP125" s="132">
        <f ca="1">IF(OFFSET(BE125,1,0,1,1)&lt;&gt;0,RZ[[#This Row],[Koeficient odhadu HR '[-'] (P1)]]*$BN125*SUMIFS(RZ[Úroveň 8 s koef. (P2)],RZ[0],AX125,RZ[Úroveň 2 (P0)],AY125,RZ[Úroveň 3 (P0)],AZ125,RZ[Úroveň 4 (P0)],BA125,RZ[Úroveň 5 (P0)],BB125,RZ[Úroveň 6 (P0)],BC125,RZ[Úroveň 7 (P0)],BD125),RZ[[#This Row],[Koeficient odhadu HR '[-'] (P1)]]*$BN125*$IG125)</f>
        <v>0</v>
      </c>
      <c r="CQ125" s="132">
        <f ca="1">IF(OFFSET(BE125,1,0,1,1)&lt;&gt;0,$BN125*SUMIFS(RZ[Úroveň 8 bez koef. (P2)],RZ[0],AX125,RZ[Úroveň 2 (P0)],AY125,RZ[Úroveň 3 (P0)],AZ125,RZ[Úroveň 4 (P0)],BA125,RZ[Úroveň 5 (P0)],BB125,RZ[Úroveň 6 (P0)],BC125,RZ[Úroveň 7 (P0)],BD125),$BN125*$IG125)</f>
        <v>0</v>
      </c>
      <c r="CR125" s="138">
        <f ca="1">RZ[[#This Row],[Úroveň 8 s koef. (P2a)]]*RZ[[#This Row],[Počet MJHR (P0)]]</f>
        <v>0</v>
      </c>
      <c r="CS125" s="138">
        <f ca="1">RZ[Úroveň 8 bez koef. (P2a)]*RZ[[#This Row],[Počet MJHR (P0)]]</f>
        <v>0</v>
      </c>
      <c r="CT125" s="138">
        <f ca="1">IF(OFFSET(BF125,1,0,1,1)&lt;&gt;0,RZ[[#This Row],[Koeficient odhadu HR '[-'] (P1)]]*$BO125*SUMIFS(RZ[Úroveň 9 s koef. (P2)],RZ[0],AX125,RZ[Úroveň 2 (P0)],AY125,RZ[Úroveň 3 (P0)],AZ125,RZ[Úroveň 4 (P0)],BA125,RZ[Úroveň 5 (P0)],BB125,RZ[Úroveň 6 (P0)],BC125,RZ[Úroveň 7 (P0)],BD125,RZ[Úroveň 8 (P0)],BE125),RZ[[#This Row],[Koeficient odhadu HR '[-'] (P1)]]*$BO125*$IG125)</f>
        <v>0</v>
      </c>
      <c r="CU125" s="138">
        <f ca="1">IF(OFFSET(BF125,1,0,1,1)&lt;&gt;0,$BO125*SUMIFS(RZ[Úroveň 9 bez koef. (P2)],RZ[0],AX125,RZ[Úroveň 2 (P0)],AY125,RZ[Úroveň 3 (P0)],AZ125,RZ[Úroveň 4 (P0)],BA125,RZ[Úroveň 5 (P0)],BB125,RZ[Úroveň 6 (P0)],BC125,RZ[Úroveň 7 (P0)],BD125,RZ[Úroveň 8 (P0)],BE125),$BO125*$IG125)</f>
        <v>0</v>
      </c>
      <c r="CV125" s="132">
        <f ca="1">RZ[[#This Row],[Úroveň 9 s koef. (P2a)]]*RZ[[#This Row],[Počet MJHR (P0)]]</f>
        <v>0</v>
      </c>
      <c r="CW125" s="132">
        <f ca="1">RZ[Úroveň 9 bez koef. (P2a)]*RZ[[#This Row],[Počet MJHR (P0)]]</f>
        <v>0</v>
      </c>
      <c r="CX125" s="132">
        <f ca="1">IF(OFFSET(BG125,1,0,1,1)&lt;&gt;0,RZ[[#This Row],[Koeficient odhadu HR '[-'] (P1)]]*$BP125*SUMIFS(RZ[Úroveň 10 s koef. (P2)],RZ[0],AX125,RZ[Úroveň 2 (P0)],AY125,RZ[Úroveň 3 (P0)],AZ125,RZ[Úroveň 4 (P0)],BA125,RZ[Úroveň 5 (P0)],BB125,RZ[Úroveň 6 (P0)],BC125,RZ[Úroveň 7 (P0)],BD125,RZ[Úroveň 8 (P0)],BE125,RZ[Úroveň 9 (P0)],BF125),RZ[[#This Row],[Koeficient odhadu HR '[-'] (P1)]]*$BP125*$IG125)</f>
        <v>0</v>
      </c>
      <c r="CY125" s="132">
        <f ca="1">IF(OFFSET(BG125,1,0,1,1)&lt;&gt;0,$BP125*SUMIFS(RZ[Úroveň 10 bez koef. (P2)],RZ[0],AX125,RZ[Úroveň 2 (P0)],AY125,RZ[Úroveň 3 (P0)],AZ125,RZ[Úroveň 4 (P0)],BA125,RZ[Úroveň 5 (P0)],BB125,RZ[Úroveň 6 (P0)],BC125,RZ[Úroveň 7 (P0)],BD125,RZ[Úroveň 8 (P0)],BE125,RZ[Úroveň 9 (P0)],BF125),$BP125*$IG125)</f>
        <v>0</v>
      </c>
      <c r="CZ125" s="138">
        <f>RZ[[#This Row],[Úroveň 10 s koef. (P2a)]]*RZ[[#This Row],[Počet MJHR (P0)]]</f>
        <v>0</v>
      </c>
      <c r="DA125" s="138">
        <f>RZ[Úroveň 10 bez koef. (P2a)]*RZ[[#This Row],[Počet MJHR (P0)]]</f>
        <v>0</v>
      </c>
      <c r="DB125" s="138">
        <f>RZ[[#This Row],[Koeficient odhadu HR '[-'] (P1)]]*$BQ125*IG125</f>
        <v>0</v>
      </c>
      <c r="DC125" s="231">
        <f t="shared" si="1081"/>
        <v>0</v>
      </c>
      <c r="DD125" s="241">
        <f t="shared" ca="1" si="1082"/>
        <v>3.3</v>
      </c>
      <c r="DE125" s="229">
        <f t="shared" ca="1" si="1083"/>
        <v>3.3</v>
      </c>
      <c r="DF125" s="912">
        <f t="shared" si="1084"/>
        <v>0</v>
      </c>
      <c r="DG125" s="913">
        <f t="shared" si="1085"/>
        <v>0</v>
      </c>
      <c r="DH125" s="913">
        <f t="shared" si="1086"/>
        <v>2</v>
      </c>
      <c r="DI125" s="913">
        <f t="shared" si="1087"/>
        <v>0</v>
      </c>
      <c r="DJ125" s="913">
        <f t="shared" si="1088"/>
        <v>0</v>
      </c>
      <c r="DK125" s="913">
        <f t="shared" si="1089"/>
        <v>0</v>
      </c>
      <c r="DL125" s="913">
        <f t="shared" si="1090"/>
        <v>0</v>
      </c>
      <c r="DM125" s="913">
        <f t="shared" si="1091"/>
        <v>0</v>
      </c>
      <c r="DN125" s="913">
        <f t="shared" si="1092"/>
        <v>0</v>
      </c>
      <c r="DO125" s="913">
        <f t="shared" si="1093"/>
        <v>0</v>
      </c>
      <c r="DP125" s="914">
        <f ca="1">SUMIFS(RZ[Úroveň 1 (P4)],RZ[0],AX125)</f>
        <v>1</v>
      </c>
      <c r="DQ125" s="914">
        <f ca="1">SUMIFS(RZ[Úroveň 2 (P4)],RZ[0],AX125,RZ[Úroveň 2 (P0)],AY125)</f>
        <v>2</v>
      </c>
      <c r="DR125" s="914">
        <f ca="1">SUMIFS(RZ[Úroveň 3 (P4)],RZ[0],AX125,RZ[Úroveň 2 (P0)],AY125,RZ[Úroveň 3 (P0)],AZ125)</f>
        <v>2</v>
      </c>
      <c r="DS125" s="914">
        <f ca="1">SUMIFS(RZ[Úroveň 4 (P4)],RZ[0],AX125,RZ[Úroveň 2 (P0)],AY125,RZ[Úroveň 3 (P0)],AZ125,RZ[Úroveň 4 (P0)],BA125)</f>
        <v>0</v>
      </c>
      <c r="DT125" s="914">
        <f ca="1">SUMIFS(RZ[Úroveň 5 (P4)],RZ[0],AX125,RZ[Úroveň 2 (P0)],AY125,RZ[Úroveň 3 (P0)],AZ125,RZ[Úroveň 4 (P0)],BA125,RZ[Úroveň 5 (P0)],BB125)</f>
        <v>0</v>
      </c>
      <c r="DU125" s="914">
        <f ca="1">SUMIFS(RZ[Úroveň 6 (P4)],RZ[0],AX125,RZ[Úroveň 2 (P0)],AY125,RZ[Úroveň 3 (P0)],AZ125,RZ[Úroveň 4 (P0)],BA125,RZ[Úroveň 5 (P0)],BB125,RZ[Úroveň 6 (P0)],BC125)</f>
        <v>0</v>
      </c>
      <c r="DV125" s="914">
        <f ca="1">SUMIFS(RZ[Úroveň 7 (P4)],RZ[0],AX125,RZ[Úroveň 2 (P0)],AY125,RZ[Úroveň 3 (P0)],AZ125,RZ[Úroveň 4 (P0)],BA125,RZ[Úroveň 5 (P0)],BB125,RZ[Úroveň 6 (P0)],BC125,RZ[Úroveň 7 (P0)],BD125)</f>
        <v>0</v>
      </c>
      <c r="DW125" s="914">
        <f ca="1">SUMIFS(RZ[Úroveň 8 (P4)],RZ[0],AX125,RZ[Úroveň 2 (P0)],AY125,RZ[Úroveň 3 (P0)],AZ125,RZ[Úroveň 4 (P0)],BA125,RZ[Úroveň 5 (P0)],BB125,RZ[Úroveň 6 (P0)],BC125,RZ[Úroveň 7 (P0)],BD125,RZ[Úroveň 8 (P0)],BE125)</f>
        <v>0</v>
      </c>
      <c r="DX125" s="914">
        <f ca="1">SUMIFS(RZ[Úroveň 9 (P4)],RZ[0],AX125,RZ[Úroveň 2 (P0)],AY125,RZ[Úroveň 3 (P0)],AZ125,RZ[Úroveň 4 (P0)],BA125,RZ[Úroveň 5 (P0)],BB125,RZ[Úroveň 6 (P0)],BC125,RZ[Úroveň 7 (P0)],BD125,RZ[Úroveň 8 (P0)],BE125,RZ[Úroveň 9 (P0)],BF125)</f>
        <v>0</v>
      </c>
      <c r="DY125" s="914">
        <f ca="1">SUMIFS(RZ[Úroveň 10 (P4)],RZ[0],AX125,RZ[Úroveň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DZ125" s="915">
        <f t="shared" ca="1" si="1094"/>
        <v>4</v>
      </c>
      <c r="EA125" s="916">
        <f ca="1">RZ[[#This Row],[Jednotková hmotnost bez koef. '[kg/MJHR'] (P0)]]*RZ[[#This Row],[Počet MJHR v rozpadu (P0)]]</f>
        <v>13.2</v>
      </c>
      <c r="EB125" s="917">
        <f ca="1">IF(OFFSET(AY125,1,0,1,1)&lt;&gt;0,RZ[[#This Row],[Koeficient odhadu CR '[-'] (P1)]]*$BH125*SUMIFS(RZ[Úroveň 2 s koef. (P3)],RZ[0],AX125),RZ[[#This Row],[Koeficient odhadu CR '[-'] (P1)]]*$BH125*$IQ125)</f>
        <v>0</v>
      </c>
      <c r="EC125" s="191">
        <f ca="1">IF(OFFSET(AY125,1,0,1,1)&lt;&gt;0,$BH125*SUMIFS(RZ[Úroveň 2 bez koef. (P3)],RZ[0],AX125),$BH125*$IQ125)</f>
        <v>0</v>
      </c>
      <c r="ED125" s="140">
        <f ca="1">RZ[[#This Row],[Úroveň 2 s koef. (P3a)]]*RZ[[#This Row],[Počet MJCR (P0) pro "kg"]]</f>
        <v>0</v>
      </c>
      <c r="EE125" s="140">
        <f ca="1">RZ[Úroveň 2 bez koef. (P3a)]*RZ[[#This Row],[Počet MJCR (P0) pro "kg"]]</f>
        <v>0</v>
      </c>
      <c r="EF125" s="140">
        <f ca="1">IF(OFFSET(AZ125,1,0,1,1)&lt;&gt;0,RZ[[#This Row],[Koeficient odhadu CR '[-'] (P1)]]*$BI125*SUMIFS(RZ[Úroveň 3 s koef. (P3)],RZ[0],AX125,RZ[Úroveň 2 (P0)],AY125),RZ[[#This Row],[Koeficient odhadu CR '[-'] (P1)]]*$BI125*$IQ125)</f>
        <v>0</v>
      </c>
      <c r="EG125" s="140">
        <f ca="1">IF(OFFSET(AZ125,1,0,1,1)&lt;&gt;0,$BI125*SUMIFS(RZ[Úroveň 3 bez koef. (P3)],RZ[0],AX125,RZ[Úroveň 2 (P0)],AY125),$BI125*$IQ125)</f>
        <v>0</v>
      </c>
      <c r="EH125" s="135">
        <f ca="1">RZ[[#This Row],[Úroveň 3 s koef. (P3a)]]*RZ[[#This Row],[Počet MJCR (P0) pro "kg"]]</f>
        <v>561</v>
      </c>
      <c r="EI125" s="135">
        <f ca="1">RZ[Úroveň 3 bez koef. (P3a)]*RZ[[#This Row],[Počet MJCR (P0) pro "kg"]]</f>
        <v>561</v>
      </c>
      <c r="EJ125" s="135">
        <f ca="1">IF(OFFSET(BA125,1,0,1,1)&lt;&gt;0,RZ[[#This Row],[Koeficient odhadu CR '[-'] (P1)]]*$BJ125*SUMIFS(RZ[Úroveň 4 s koef. (P3)],RZ[0],AX125,RZ[Úroveň 2 (P0)],AY125,RZ[Úroveň 3 (P0)],AZ125),RZ[[#This Row],[Koeficient odhadu CR '[-'] (P1)]]*$BJ125*$IQ125)</f>
        <v>85</v>
      </c>
      <c r="EK125" s="135">
        <f ca="1">IF(OFFSET(BA125,1,0,1,1)&lt;&gt;0,$BJ125*SUMIFS(RZ[Úroveň 4 bez koef. (P3)],RZ[0],AX125,RZ[Úroveň 2 (P0)],AY125,RZ[Úroveň 3 (P0)],AZ125),$BJ125*$IQ125)</f>
        <v>85</v>
      </c>
      <c r="EL125" s="140">
        <f ca="1">RZ[[#This Row],[Úroveň 4 s koef. (P3a)]]*RZ[[#This Row],[Počet MJCR (P0) pro "kg"]]</f>
        <v>0</v>
      </c>
      <c r="EM125" s="140">
        <f ca="1">RZ[Úroveň 4 bez koef. (P3a)]*RZ[[#This Row],[Počet MJCR (P0) pro "kg"]]</f>
        <v>0</v>
      </c>
      <c r="EN125" s="140">
        <f ca="1">IF(OFFSET(BB125,1,0,1,1)&lt;&gt;0,RZ[[#This Row],[Koeficient odhadu CR '[-'] (P1)]]*$BK125*SUMIFS(RZ[Úroveň 5 s koef. (P3)],RZ[0],AX125,RZ[Úroveň 2 (P0)],AY125,RZ[Úroveň 3 (P0)],AZ125,RZ[Úroveň 4 (P0)],BA125),RZ[[#This Row],[Koeficient odhadu CR '[-'] (P1)]]*$BK125*$IQ125)</f>
        <v>0</v>
      </c>
      <c r="EO125" s="140">
        <f ca="1">IF(OFFSET(BB125,1,0,1,1)&lt;&gt;0,$BK125*SUMIFS(RZ[Úroveň 5 bez koef. (P3)],RZ[0],AX125,RZ[Úroveň 2 (P0)],AY125,RZ[Úroveň 3 (P0)],AZ125,RZ[Úroveň 4 (P0)],BA125),$BK125*$IQ125)</f>
        <v>0</v>
      </c>
      <c r="EP125" s="135">
        <f ca="1">RZ[[#This Row],[Úroveň 5 s koef. (P3a)]]*RZ[[#This Row],[Počet MJCR (P0) pro "kg"]]</f>
        <v>0</v>
      </c>
      <c r="EQ125" s="135">
        <f ca="1">RZ[Úroveň 5 bez koef. (P3a)]*RZ[[#This Row],[Počet MJCR (P0) pro "kg"]]</f>
        <v>0</v>
      </c>
      <c r="ER125" s="135">
        <f ca="1">IF(OFFSET(BC125,1,0,1,1)&lt;&gt;0,RZ[[#This Row],[Koeficient odhadu CR '[-'] (P1)]]*$BL125*SUMIFS(RZ[Úroveň 6 s koef. (P3)],RZ[0],AX125,RZ[Úroveň 2 (P0)],AY125,RZ[Úroveň 3 (P0)],AZ125,RZ[Úroveň 4 (P0)],BA125,RZ[Úroveň 5 (P0)],BB125),RZ[[#This Row],[Koeficient odhadu CR '[-'] (P1)]]*$BL125*$IQ125)</f>
        <v>0</v>
      </c>
      <c r="ES125" s="135">
        <f ca="1">IF(OFFSET(BC125,1,0,1,1)&lt;&gt;0,$BL125*SUMIFS(RZ[Úroveň 6 bez koef. (P3)],RZ[0],AX125,RZ[Úroveň 2 (P0)],AY125,RZ[Úroveň 3 (P0)],AZ125,RZ[Úroveň 4 (P0)],BA125,RZ[Úroveň 5 (P0)],BB125),$BL125*$IQ125)</f>
        <v>0</v>
      </c>
      <c r="ET125" s="140">
        <f ca="1">RZ[[#This Row],[Úroveň 6 s koef. (P3a)]]*RZ[[#This Row],[Počet MJCR (P0) pro "kg"]]</f>
        <v>0</v>
      </c>
      <c r="EU125" s="140">
        <f ca="1">RZ[Úroveň 6 bez koef. (P3a)]*RZ[[#This Row],[Počet MJCR (P0) pro "kg"]]</f>
        <v>0</v>
      </c>
      <c r="EV125" s="140">
        <f ca="1">IF(OFFSET(BD125,1,0,1,1)&lt;&gt;0,RZ[[#This Row],[Koeficient odhadu CR '[-'] (P1)]]*$BM125*SUMIFS(RZ[Úroveň 7 s koef. (P3)],RZ[0],AX125,RZ[Úroveň 2 (P0)],AY125,RZ[Úroveň 3 (P0)],AZ125,RZ[Úroveň 4 (P0)],BA125,RZ[Úroveň 5 (P0)],BB125,RZ[Úroveň 6 (P0)],BC125),RZ[[#This Row],[Koeficient odhadu CR '[-'] (P1)]]*$BM125*$IQ125)</f>
        <v>0</v>
      </c>
      <c r="EW125" s="140">
        <f ca="1">IF(OFFSET(BD125,1,0,1,1)&lt;&gt;0,$BM125*SUMIFS(RZ[Úroveň 7 bez koef. (P3)],RZ[0],AX125,RZ[Úroveň 2 (P0)],AY125,RZ[Úroveň 3 (P0)],AZ125,RZ[Úroveň 4 (P0)],BA125,RZ[Úroveň 5 (P0)],BB125,RZ[Úroveň 6 (P0)],BC125),$BM125*$IQ125)</f>
        <v>0</v>
      </c>
      <c r="EX125" s="135">
        <f ca="1">RZ[[#This Row],[Úroveň 7 s koef. (P3a)]]*RZ[[#This Row],[Počet MJCR (P0) pro "kg"]]</f>
        <v>0</v>
      </c>
      <c r="EY125" s="135">
        <f ca="1">RZ[Úroveň 7 bez koef. (P3a)]*RZ[[#This Row],[Počet MJCR (P0) pro "kg"]]</f>
        <v>0</v>
      </c>
      <c r="EZ125" s="135">
        <f ca="1">IF(OFFSET(BE125,1,0,1,1)&lt;&gt;0,RZ[[#This Row],[Koeficient odhadu CR '[-'] (P1)]]*$BN125*SUMIFS(RZ[Úroveň 8 s koef. (P3)],RZ[0],AX125,RZ[Úroveň 2 (P0)],AY125,RZ[Úroveň 3 (P0)],AZ125,RZ[Úroveň 4 (P0)],BA125,RZ[Úroveň 5 (P0)],BB125,RZ[Úroveň 6 (P0)],BC125,RZ[Úroveň 7 (P0)],BD125),RZ[[#This Row],[Koeficient odhadu CR '[-'] (P1)]]*$BN125*$IQ125)</f>
        <v>0</v>
      </c>
      <c r="FA125" s="135">
        <f ca="1">IF(OFFSET(BE125,1,0,1,1)&lt;&gt;0,$BN125*SUMIFS(RZ[Úroveň 8 bez koef. (P3)],RZ[0],AX125,RZ[Úroveň 2 (P0)],AY125,RZ[Úroveň 3 (P0)],AZ125,RZ[Úroveň 4 (P0)],BA125,RZ[Úroveň 5 (P0)],BB125,RZ[Úroveň 6 (P0)],BC125,RZ[Úroveň 7 (P0)],BD125),$BN125*$IQ125)</f>
        <v>0</v>
      </c>
      <c r="FB125" s="140">
        <f ca="1">RZ[[#This Row],[Úroveň 8 s koef. (P3a)]]*RZ[[#This Row],[Počet MJCR (P0) pro "kg"]]</f>
        <v>0</v>
      </c>
      <c r="FC125" s="140">
        <f ca="1">RZ[Úroveň 8 bez koef. (P3a)]*RZ[[#This Row],[Počet MJCR (P0) pro "kg"]]</f>
        <v>0</v>
      </c>
      <c r="FD125" s="140">
        <f ca="1">IF(OFFSET(BF125,1,0,1,1)&lt;&gt;0,RZ[[#This Row],[Koeficient odhadu CR '[-'] (P1)]]*$BO125*SUMIFS(RZ[Úroveň 9 s koef. (P3)],RZ[0],AX125,RZ[Úroveň 2 (P0)],AY125,RZ[Úroveň 3 (P0)],AZ125,RZ[Úroveň 4 (P0)],BA125,RZ[Úroveň 5 (P0)],BB125,RZ[Úroveň 6 (P0)],BC125,RZ[Úroveň 7 (P0)],BD125,RZ[Úroveň 8 (P0)],BE125),RZ[[#This Row],[Koeficient odhadu CR '[-'] (P1)]]*$BO125*$IQ125)</f>
        <v>0</v>
      </c>
      <c r="FE125" s="140">
        <f ca="1">IF(OFFSET(BF125,1,0,1,1)&lt;&gt;0,$BO125*SUMIFS(RZ[Úroveň 9 bez koef. (P3)],RZ[0],AX125,RZ[Úroveň 2 (P0)],AY125,RZ[Úroveň 3 (P0)],AZ125,RZ[Úroveň 4 (P0)],BA125,RZ[Úroveň 5 (P0)],BB125,RZ[Úroveň 6 (P0)],BC125,RZ[Úroveň 7 (P0)],BD125,RZ[Úroveň 8 (P0)],BE125),$BO125*$IQ125)</f>
        <v>0</v>
      </c>
      <c r="FF125" s="135">
        <f ca="1">RZ[[#This Row],[Úroveň 9 s koef. (P3a)]]*RZ[[#This Row],[Počet MJCR (P0) pro "kg"]]</f>
        <v>0</v>
      </c>
      <c r="FG125" s="135">
        <f ca="1">RZ[Úroveň 9 bez koef. (P3a)]*RZ[[#This Row],[Počet MJCR (P0) pro "kg"]]</f>
        <v>0</v>
      </c>
      <c r="FH125" s="135">
        <f ca="1">IF(OFFSET(BG125,1,0,1,1)&lt;&gt;0,RZ[[#This Row],[Koeficient odhadu CR '[-'] (P1)]]*$BP125*SUMIFS(RZ[Úroveň 10 s koef. (P3)],RZ[0],AX125,RZ[Úroveň 2 (P0)],AY125,RZ[Úroveň 3 (P0)],AZ125,RZ[Úroveň 4 (P0)],BA125,RZ[Úroveň 5 (P0)],BB125,RZ[Úroveň 6 (P0)],BC125,RZ[Úroveň 7 (P0)],BD125,RZ[Úroveň 8 (P0)],BE125,RZ[Úroveň 9 (P0)],BF125),RZ[[#This Row],[Koeficient odhadu CR '[-'] (P1)]]*$BP125*$IQ125)</f>
        <v>0</v>
      </c>
      <c r="FI125" s="135">
        <f ca="1">IF(OFFSET(BG125,1,0,1,1)&lt;&gt;0,$BP125*SUMIFS(RZ[Úroveň 10 bez koef. (P3)],RZ[0],AX125,RZ[Úroveň 2 (P0)],AY125,RZ[Úroveň 3 (P0)],AZ125,RZ[Úroveň 4 (P0)],BA125,RZ[Úroveň 5 (P0)],BB125,RZ[Úroveň 6 (P0)],BC125,RZ[Úroveň 7 (P0)],BD125,RZ[Úroveň 8 (P0)],BE125,RZ[Úroveň 9 (P0)],BF125),$BP125*$IQ125)</f>
        <v>0</v>
      </c>
      <c r="FJ125" s="140">
        <f ca="1">RZ[[#This Row],[Úroveň 10 s koef. (P3a)]]*RZ[[#This Row],[Počet MJCR (P0) pro "kg"]]</f>
        <v>0</v>
      </c>
      <c r="FK125" s="140">
        <f ca="1">RZ[Úroveň 10 bez koef. (P3a)]*RZ[[#This Row],[Počet MJCR (P0) pro "kg"]]</f>
        <v>0</v>
      </c>
      <c r="FL125" s="140">
        <f ca="1">RZ[[#This Row],[Koeficient odhadu CR '[-'] (P1)]]*$BQ125*IQ125</f>
        <v>0</v>
      </c>
      <c r="FM125" s="236">
        <f t="shared" ca="1" si="1095"/>
        <v>0</v>
      </c>
      <c r="FN125" s="194">
        <f t="shared" ca="1" si="1096"/>
        <v>85</v>
      </c>
      <c r="FO125" s="238">
        <f t="shared" ca="1" si="1097"/>
        <v>85</v>
      </c>
      <c r="FP125" s="135">
        <f t="shared" ca="1" si="1098"/>
        <v>0</v>
      </c>
      <c r="FQ125" s="135">
        <f t="shared" ca="1" si="1099"/>
        <v>0</v>
      </c>
      <c r="FR125" s="135">
        <f t="shared" ca="1" si="1100"/>
        <v>6.6</v>
      </c>
      <c r="FS125" s="135">
        <f t="shared" ca="1" si="1101"/>
        <v>0</v>
      </c>
      <c r="FT125" s="135">
        <f t="shared" ca="1" si="1102"/>
        <v>0</v>
      </c>
      <c r="FU125" s="135">
        <f t="shared" ca="1" si="1103"/>
        <v>0</v>
      </c>
      <c r="FV125" s="135">
        <f t="shared" ca="1" si="1104"/>
        <v>0</v>
      </c>
      <c r="FW125" s="135">
        <f t="shared" ca="1" si="1105"/>
        <v>0</v>
      </c>
      <c r="FX125" s="135">
        <f t="shared" ca="1" si="1106"/>
        <v>0</v>
      </c>
      <c r="FY125" s="135">
        <f t="shared" ca="1" si="1107"/>
        <v>0</v>
      </c>
      <c r="FZ125" s="140">
        <f ca="1">SUMIFS(RZ[Úroveň 1 (P6)],RZ[0],AX125)</f>
        <v>1</v>
      </c>
      <c r="GA125" s="140">
        <f ca="1">SUMIFS(RZ[Úroveň 2 (P6)],RZ[0],AX125,RZ[Úroveň 2 (P0)],AY125)</f>
        <v>2</v>
      </c>
      <c r="GB125" s="140">
        <f ca="1">SUMIFS(RZ[Úroveň 3 (P6)],RZ[0],AX125,RZ[Úroveň 2 (P0)],AY125,RZ[Úroveň 3 (P0)],AZ125)</f>
        <v>6.6</v>
      </c>
      <c r="GC125" s="140">
        <f ca="1">SUMIFS(RZ[Úroveň 4 (P6)],RZ[0],AX125,RZ[Úroveň 2 (P0)],AY125,RZ[Úroveň 3 (P0)],AZ125,RZ[Úroveň 4 (P0)],BA125)</f>
        <v>0</v>
      </c>
      <c r="GD125" s="140">
        <f ca="1">SUMIFS(RZ[Úroveň 5 (P6)],RZ[0],AX125,RZ[Úroveň 2 (P0)],AY125,RZ[Úroveň 3 (P0)],AZ125,RZ[Úroveň 4 (P0)],BA125,RZ[Úroveň 5 (P0)],BB125)</f>
        <v>0</v>
      </c>
      <c r="GE125" s="140">
        <f ca="1">SUMIFS(RZ[Úroveň 6 (P6)],RZ[0],AX125,RZ[Úroveň 2 (P0)],AY125,RZ[Úroveň 3 (P0)],AZ125,RZ[Úroveň 4 (P0)],BA125,RZ[Úroveň 5 (P0)],BB125,RZ[Úroveň 6 (P0)],BC125)</f>
        <v>0</v>
      </c>
      <c r="GF125" s="140">
        <f ca="1">SUMIFS(RZ[Úroveň 7 (P6)],RZ[0],AX125,RZ[Úroveň 2 (P0)],AY125,RZ[Úroveň 3 (P0)],AZ125,RZ[Úroveň 4 (P0)],BA125,RZ[Úroveň 5 (P0)],BB125,RZ[Úroveň 6 (P0)],BC125,RZ[Úroveň 7 (P0)],BD125)</f>
        <v>0</v>
      </c>
      <c r="GG125" s="140">
        <f ca="1">SUMIFS(RZ[Úroveň 8 (P6)],RZ[0],AX125,RZ[Úroveň 2 (P0)],AY125,RZ[Úroveň 3 (P0)],AZ125,RZ[Úroveň 4 (P0)],BA125,RZ[Úroveň 5 (P0)],BB125,RZ[Úroveň 6 (P0)],BC125,RZ[Úroveň 7 (P0)],BD125,RZ[Úroveň 8 (P0)],BE125)</f>
        <v>0</v>
      </c>
      <c r="GH125" s="140">
        <f ca="1">SUMIFS(RZ[Úroveň 9 (P6)],RZ[0],AX125,RZ[Úroveň 2 (P0)],AY125,RZ[Úroveň 3 (P0)],AZ125,RZ[Úroveň 4 (P0)],BA125,RZ[Úroveň 5 (P0)],BB125,RZ[Úroveň 6 (P0)],BC125,RZ[Úroveň 7 (P0)],BD125,RZ[Úroveň 8 (P0)],BE125,RZ[Úroveň 9 (P0)],BF125)</f>
        <v>0</v>
      </c>
      <c r="GI125" s="140">
        <f ca="1">SUMIFS(RZ[Úroveň 10 (P6)],RZ[0],AX125,RZ[Úroveň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GJ125" s="918">
        <f t="shared" ca="1" si="1108"/>
        <v>13.2</v>
      </c>
      <c r="GK125" s="808">
        <f t="shared" si="1109"/>
        <v>0</v>
      </c>
      <c r="GL125" s="808">
        <f t="shared" si="1110"/>
        <v>0</v>
      </c>
      <c r="GM125" s="808">
        <f t="shared" si="1111"/>
        <v>1</v>
      </c>
      <c r="GN125" s="808">
        <f t="shared" si="1112"/>
        <v>0</v>
      </c>
      <c r="GO125" s="808">
        <f t="shared" si="1113"/>
        <v>0</v>
      </c>
      <c r="GP125" s="808">
        <f t="shared" si="1114"/>
        <v>0</v>
      </c>
      <c r="GQ125" s="808">
        <f t="shared" si="1115"/>
        <v>0</v>
      </c>
      <c r="GR125" s="808">
        <f t="shared" si="1116"/>
        <v>0</v>
      </c>
      <c r="GS125" s="808">
        <f t="shared" si="1117"/>
        <v>0</v>
      </c>
      <c r="GT125" s="808">
        <f t="shared" si="1118"/>
        <v>0</v>
      </c>
      <c r="GU125" s="809">
        <f ca="1">SUMIFS(RZ[Sloupec1],RZ[0],AX125)</f>
        <v>1</v>
      </c>
      <c r="GV125" s="809">
        <f ca="1">SUMIFS(RZ[Sloupec2],RZ[0],AX125,RZ[Úroveň 2 (P0)],AY125)</f>
        <v>1</v>
      </c>
      <c r="GW125" s="809">
        <f ca="1">SUMIFS(RZ[Sloupec3],RZ[0],AX125,RZ[Úroveň 2 (P0)],AY125,RZ[Úroveň 3 (P0)],AZ125)</f>
        <v>1</v>
      </c>
      <c r="GX125" s="809">
        <f ca="1">SUMIFS(RZ[Sloupec4],RZ[0],AX125,RZ[Úroveň 2 (P0)],AY125,RZ[Úroveň 3 (P0)],AZ125,RZ[Úroveň 4 (P0)],BA125)</f>
        <v>0</v>
      </c>
      <c r="GY125" s="809">
        <f ca="1">SUMIFS(RZ[Sloupec5],RZ[0],AX125,RZ[Úroveň 2 (P0)],AY125,RZ[Úroveň 3 (P0)],AZ125,RZ[Úroveň 4 (P0)],BA125,RZ[Úroveň 5 (P0)],BB125)</f>
        <v>0</v>
      </c>
      <c r="GZ125" s="809">
        <f ca="1">SUMIFS(RZ[Sloupec6],RZ[0],AX125,RZ[Úroveň 2 (P0)],AY125,RZ[Úroveň 3 (P0)],AZ125,RZ[Úroveň 4 (P0)],BA125,RZ[Úroveň 5 (P0)],BB125,RZ[Úroveň 6 (P0)],BC125)</f>
        <v>0</v>
      </c>
      <c r="HA125" s="809">
        <f ca="1">SUMIFS(RZ[Sloupec62],RZ[0],AX125,RZ[Úroveň 2 (P0)],AY125,RZ[Úroveň 3 (P0)],AZ125,RZ[Úroveň 4 (P0)],BA125,RZ[Úroveň 5 (P0)],BB125,RZ[Úroveň 6 (P0)],BC125,RZ[Úroveň 7 (P0)],BD125)</f>
        <v>0</v>
      </c>
      <c r="HB125" s="809">
        <f ca="1">SUMIFS(RZ[Sloupec63],RZ[0],AX125,RZ[Úroveň 2 (P0)],AY125,RZ[Úroveň 3 (P0)],AZ125,RZ[Úroveň 4 (P0)],BA125,RZ[Úroveň 5 (P0)],BB125,RZ[Úroveň 6 (P0)],BC125,RZ[Úroveň 7 (P0)],BD125,RZ[Úroveň 8 (P0)],BE125)</f>
        <v>0</v>
      </c>
      <c r="HC125" s="809">
        <f ca="1">SUMIFS(RZ[Sloupec64],RZ[0],AX125,RZ[Úroveň 2 (P0)],AY125,RZ[Úroveň 3 (P0)],AZ125,RZ[Úroveň 4 (P0)],BA125,RZ[Úroveň 5 (P0)],BB125,RZ[Úroveň 6 (P0)],BC125,RZ[Úroveň 7 (P0)],BD125,RZ[Úroveň 8 (P0)],BE125,RZ[Úroveň 9 (P0)],BF125)</f>
        <v>0</v>
      </c>
      <c r="HD125" s="809">
        <f ca="1">SUMIFS(RZ[Sloupec65],RZ[0],AX125,RZ[Úroveň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HE125" s="919">
        <f t="shared" ca="1" si="1119"/>
        <v>1</v>
      </c>
      <c r="HF125" s="920" t="str">
        <f t="shared" si="1120"/>
        <v/>
      </c>
      <c r="HG125" s="94" t="str">
        <f t="shared" si="1121"/>
        <v/>
      </c>
      <c r="HH125" s="95" t="str">
        <f t="shared" si="1122"/>
        <v/>
      </c>
      <c r="HI125" s="95" t="str">
        <f t="shared" si="1123"/>
        <v>Lišta</v>
      </c>
      <c r="HJ125" s="96" t="str">
        <f t="shared" si="1124"/>
        <v/>
      </c>
      <c r="HK125" s="96" t="str">
        <f t="shared" si="1125"/>
        <v/>
      </c>
      <c r="HL125" s="96" t="str">
        <f t="shared" si="1126"/>
        <v/>
      </c>
      <c r="HM125" s="96" t="str">
        <f t="shared" si="1127"/>
        <v/>
      </c>
      <c r="HN125" s="96" t="str">
        <f t="shared" si="1128"/>
        <v/>
      </c>
      <c r="HO125" s="96" t="str">
        <f t="shared" si="1129"/>
        <v/>
      </c>
      <c r="HP125" s="96" t="str">
        <f t="shared" si="1130"/>
        <v/>
      </c>
      <c r="HQ125" s="145" t="str">
        <f t="shared" si="1131"/>
        <v>STO3</v>
      </c>
      <c r="HR125" s="921" t="str">
        <f t="shared" si="1132"/>
        <v/>
      </c>
      <c r="HS125" s="173">
        <f t="shared" si="1133"/>
        <v>0</v>
      </c>
      <c r="HT125" s="100">
        <f t="shared" si="1134"/>
        <v>0</v>
      </c>
      <c r="HU125" s="100">
        <f t="shared" si="1135"/>
        <v>0</v>
      </c>
      <c r="HV125" s="908">
        <f t="shared" si="1136"/>
        <v>0</v>
      </c>
      <c r="HW125" s="922">
        <f t="shared" si="1137"/>
        <v>0</v>
      </c>
      <c r="HX125" s="224">
        <f t="shared" si="1138"/>
        <v>0</v>
      </c>
      <c r="HY125" s="263" t="str">
        <f t="shared" si="1139"/>
        <v>S</v>
      </c>
      <c r="HZ125" s="263">
        <f t="shared" si="1140"/>
        <v>0</v>
      </c>
      <c r="IA125" s="150">
        <f t="shared" si="1141"/>
        <v>1</v>
      </c>
      <c r="IB125" s="319">
        <f t="shared" si="1142"/>
        <v>0</v>
      </c>
      <c r="IC125" s="923">
        <f t="shared" si="1143"/>
        <v>0</v>
      </c>
      <c r="ID125" s="924" t="str">
        <f t="shared" ca="1" si="1144"/>
        <v>OK</v>
      </c>
      <c r="IE125" s="201" t="str">
        <f t="shared" si="1145"/>
        <v>ks</v>
      </c>
      <c r="IF125" s="145">
        <f t="shared" si="1146"/>
        <v>2</v>
      </c>
      <c r="IG125" s="216">
        <f t="shared" si="1147"/>
        <v>3.3</v>
      </c>
      <c r="IH125" s="217">
        <f t="shared" si="1148"/>
        <v>1</v>
      </c>
      <c r="II125" s="224" t="str">
        <f ca="1">IF(RZ[[#This Row],[Rozhodný sloupec indikativní ceny]]=1,"kg",IF($IW125=$JL$15,IF(JX125=0,JO125,JX125),IF($IW125=$KE$15,IF(KQ125=0,KH125,KQ125),IF($IW125=$KX$15,IF(LJ125=0,LA125,LJ125),IF($IW125=$LQ$15,IF(MC125=0,LT125,MC125),IF($IW125=$MJ$15,IF(NQ125=0,NH125,NQ125),0))))))</f>
        <v>kg</v>
      </c>
      <c r="IJ125" s="224">
        <f ca="1">IF((BH125+OFFSET(BH125,1,1,1,1))=2,RZ[[#This Row],[Počet MJHR (P0)]],IF((BI125+OFFSET(BI125,1,1,1,1))=2,RZ[[#This Row],[Počet MJHR (P0)]],IF((BJ125+OFFSET(BJ125,1,1,1,1))=2,RZ[[#This Row],[Počet MJHR (P0)]],IF((BK125+OFFSET(BK125,1,1,1,1))=2,RZ[[#This Row],[Počet MJHR (P0)]],IF((BL125+OFFSET(BL125,1,1,1,1))=2,RZ[[#This Row],[Počet MJHR (P0)]],IF((BM125+OFFSET(BM125,1,1,1,1))=2,RZ[[#This Row],[Počet MJHR (P0)]],IF((BN125+OFFSET(BN125,1,1,1,1))=2,RZ[[#This Row],[Počet MJHR (P0)]],IF((BO125+OFFSET(BO125,1,1,1,1))=2,RZ[[#This Row],[Počet MJHR (P0)]],IF((BP125+OFFSET(BP125,1,1,1,1))=2,RZ[[#This Row],[Počet MJHR (P0)]],IF((BQ125+OFFSET(BQ125,1,1,1,1))=2,RZ[[#This Row],[Počet MJHR (P0)]],IF(RZ[[#This Row],[Měrná jednotka CR (MJCR) (P0)]]=RZ[[#This Row],[Měrná jednotka HR '[MJHR'] (P0)]],RZ[[#This Row],[Počet MJHR (P0)]],IF($IW125=$JL$15,JY125,IF($IW125=$KE$15,KR125,IF($IW125=$KX$15,LK125,IF($IW125=$LQ$15,MD125,IF($IW125=$MJ$15,NR125,0))))))))))))))))</f>
        <v>0</v>
      </c>
      <c r="IK1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6.6</v>
      </c>
      <c r="IL125" s="145">
        <f ca="1">IF(AND(RZ[[#This Row],[Jednotková cena bez DPH '[cena/MJCR'] (P0)]]=0,RZ[[#This Row],[Indikativní jednotková cena '[CZK/kg'] (P1)]]&lt;&gt;0),1,0)</f>
        <v>1</v>
      </c>
      <c r="IM125" s="217">
        <f ca="1">VLOOKUP(RZ[[#This Row],[Kód položek]],INDIKAT_CENA,2,FALSE)</f>
        <v>85</v>
      </c>
      <c r="IN125" s="222">
        <f ca="1">IF(RZ[[#This Row],[Rozhodný sloupec indikativní ceny]]=1,RZ[[#This Row],[Indikativní jednotková cena '[CZK/kg'] (P1)]],RZ[[#This Row],[Jednotková cena bez DPH '[cena/MJCR'] (P0)]])</f>
        <v>85</v>
      </c>
      <c r="IO125" s="222">
        <f t="shared" si="1149"/>
        <v>1</v>
      </c>
      <c r="IP125" s="224">
        <f ca="1">IF(RZ[[#This Row],[Rozhodný sloupec indikativní ceny]]=1,1,IF($IW125=$JL$15,KA125,IF($IW125=$KE$15,KT125,IF($IW125=$KX$15,LM125,IF($IW125=$LQ$15,MF125,IF($IW125=$MJ$15,NT125,0))))))</f>
        <v>1</v>
      </c>
      <c r="IQ125" s="225">
        <f ca="1">IF(RZ[[#This Row],[Jednotková cena bez DPH '[cena/MJCR'] (P1)]]="",0,IF(IP125=0,0,(RZ[[#This Row],[Jednotková cena bez DPH '[cena/MJCR'] (P1)]]*VLOOKUP(IP125,$BR$7:$BT$10,3))))</f>
        <v>85</v>
      </c>
      <c r="IR125" s="737"/>
      <c r="IS125" s="627">
        <f>IF(HY125=0,"",VLOOKUP(RZ[[#This Row],[Stav Projekce (P0)]],Vstupy!$E$11:'Vstupy'!$E$11:$H$17,4,FALSE))</f>
        <v>100</v>
      </c>
      <c r="IT125" s="925" t="str">
        <f>IF(RZ[[#This Row],[Stav Projekce (P0)]]=0,"",RZ[[#This Row],[Stav Projekce (P0)]])</f>
        <v>S</v>
      </c>
      <c r="IU125" s="925" t="str">
        <f>IF(RZ[[#This Row],[Stav Nákup (P0)]]=0,"",RZ[[#This Row],[Stav Nákup (P0)]])</f>
        <v/>
      </c>
      <c r="IV125" s="926" t="str">
        <f t="shared" si="1150"/>
        <v/>
      </c>
      <c r="IW125" s="641">
        <v>1</v>
      </c>
      <c r="IX125" s="630"/>
      <c r="IY125" s="264"/>
      <c r="IZ125" s="648"/>
      <c r="JA125" s="100"/>
      <c r="JB125" s="100" t="s">
        <v>840</v>
      </c>
      <c r="JC125" s="100"/>
      <c r="JD125" s="100"/>
      <c r="JE125" s="100"/>
      <c r="JF125" s="100"/>
      <c r="JG125" s="100"/>
      <c r="JH125" s="100"/>
      <c r="JI125" s="100"/>
      <c r="JJ125" s="145" t="s">
        <v>784</v>
      </c>
      <c r="JK125" s="529"/>
      <c r="JL125" s="286"/>
      <c r="JM125" s="100"/>
      <c r="JN125" s="100"/>
      <c r="JO125" s="145" t="s">
        <v>35</v>
      </c>
      <c r="JP125" s="117">
        <v>2</v>
      </c>
      <c r="JQ125" s="117">
        <v>3.3</v>
      </c>
      <c r="JR125" s="148">
        <v>1</v>
      </c>
      <c r="JS125" s="145" t="s">
        <v>602</v>
      </c>
      <c r="JT125" s="631"/>
      <c r="JU125" s="148"/>
      <c r="JV125" s="154"/>
      <c r="JW125" s="145"/>
      <c r="JX125" s="210"/>
      <c r="JY125" s="117"/>
      <c r="JZ125" s="662"/>
      <c r="KA125" s="145"/>
      <c r="KB125" s="148"/>
      <c r="KC125" s="148"/>
      <c r="KD125" s="644"/>
      <c r="KE125" s="286"/>
      <c r="KF125" s="100"/>
      <c r="KG125" s="100"/>
      <c r="KH125" s="210"/>
      <c r="KI125" s="117"/>
      <c r="KJ125" s="117"/>
      <c r="KK125" s="148"/>
      <c r="KL125" s="145"/>
      <c r="KM125" s="632"/>
      <c r="KN125" s="148"/>
      <c r="KO125" s="154"/>
      <c r="KP125" s="154"/>
      <c r="KQ125" s="210"/>
      <c r="KR125" s="117"/>
      <c r="KS125" s="211"/>
      <c r="KT125" s="145"/>
      <c r="KU125" s="148"/>
      <c r="KV125" s="148"/>
      <c r="KW125" s="265"/>
      <c r="KX125" s="286"/>
      <c r="KY125" s="100"/>
      <c r="KZ125" s="100"/>
      <c r="LA125" s="210"/>
      <c r="LB125" s="117"/>
      <c r="LC125" s="117"/>
      <c r="LD125" s="148"/>
      <c r="LE125" s="145"/>
      <c r="LF125" s="632"/>
      <c r="LG125" s="148"/>
      <c r="LH125" s="154"/>
      <c r="LI125" s="154"/>
      <c r="LJ125" s="154"/>
      <c r="LK125" s="117"/>
      <c r="LL125" s="211"/>
      <c r="LM125" s="210"/>
      <c r="LN125" s="148"/>
      <c r="LO125" s="148"/>
      <c r="LP125" s="265"/>
      <c r="LQ125" s="286"/>
      <c r="LR125" s="100"/>
      <c r="LS125" s="100"/>
      <c r="LT125" s="210"/>
      <c r="LU125" s="117"/>
      <c r="LV125" s="117"/>
      <c r="LW125" s="148"/>
      <c r="LX125" s="145"/>
      <c r="LY125" s="632"/>
      <c r="LZ125" s="148"/>
      <c r="MA125" s="154"/>
      <c r="MB125" s="154"/>
      <c r="MC125" s="145"/>
      <c r="MD125" s="117"/>
      <c r="ME125" s="211"/>
      <c r="MF125" s="210"/>
      <c r="MG125" s="148"/>
      <c r="MH125" s="148"/>
      <c r="MI125" s="265"/>
      <c r="MJ125" s="647"/>
      <c r="MK125" s="264"/>
      <c r="ML125" s="153"/>
      <c r="MM125" s="153"/>
      <c r="MN125" s="153"/>
      <c r="MO125" s="153"/>
      <c r="MP125" s="153"/>
      <c r="MQ125" s="153"/>
      <c r="MR125" s="153"/>
      <c r="MS125" s="99"/>
      <c r="MT125" s="99"/>
      <c r="MU125" s="99"/>
      <c r="MV125" s="99"/>
      <c r="MW125" s="99"/>
      <c r="MX125" s="99"/>
      <c r="MY125" s="153"/>
      <c r="MZ125" s="153"/>
      <c r="NA125" s="153"/>
      <c r="NB125" s="153"/>
      <c r="NC125" s="153"/>
      <c r="ND125" s="153"/>
      <c r="NE125" s="153"/>
      <c r="NF125" s="153"/>
      <c r="NG125" s="153"/>
      <c r="NH125" s="330" t="str">
        <f t="shared" si="1151"/>
        <v>ks</v>
      </c>
      <c r="NI125" s="797">
        <f>RZ[[#This Row],[Počet ks (K)]]</f>
        <v>0</v>
      </c>
      <c r="NJ125" s="798">
        <f>RZ[[#This Row],[Hmotnost '[kg/ks'] (K)]]</f>
        <v>0</v>
      </c>
      <c r="NK125" s="153"/>
      <c r="NL125" s="153"/>
      <c r="NM125" s="632"/>
      <c r="NN125" s="153"/>
      <c r="NO125" s="153"/>
      <c r="NP125" s="153"/>
      <c r="NQ125" s="153"/>
      <c r="NR125" s="153"/>
      <c r="NS125" s="153"/>
      <c r="NT125" s="153"/>
      <c r="NU125" s="153"/>
      <c r="NV125" s="148"/>
      <c r="NW125" s="633"/>
    </row>
    <row r="126" spans="2:387" ht="15.95" customHeight="1" x14ac:dyDescent="0.35">
      <c r="B126" s="118" t="str">
        <f t="shared" si="1044"/>
        <v/>
      </c>
      <c r="C1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6" s="262" t="str">
        <f t="shared" si="1045"/>
        <v xml:space="preserve">    Opěrný plech</v>
      </c>
      <c r="E126" s="120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Row],[Kód položek (P2)]]))))))))))</f>
        <v>STO2</v>
      </c>
      <c r="F126" s="791" t="str">
        <f t="shared" si="1046"/>
        <v>N/A</v>
      </c>
      <c r="G126" s="792" t="str">
        <f t="shared" si="1047"/>
        <v/>
      </c>
      <c r="H126" s="262" t="str">
        <f t="shared" si="1048"/>
        <v/>
      </c>
      <c r="I126" s="123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HR '[MJHR'] (P0)]]))))))))))</f>
        <v>ks</v>
      </c>
      <c r="J126" s="123">
        <f t="shared" si="1049"/>
        <v>1</v>
      </c>
      <c r="K126" s="793">
        <f>RZ[[#This Row],[Koeficient odhadu HR '[-'] (P1)]]</f>
        <v>1</v>
      </c>
      <c r="L126" s="124">
        <f ca="1">RZ[[#This Row],[Jednotková hmotnost s koef. '[kg/MJHR'] (P0)]]</f>
        <v>16.399999999999999</v>
      </c>
      <c r="M126" s="794">
        <f t="shared" ca="1" si="1050"/>
        <v>0</v>
      </c>
      <c r="N126" s="125">
        <f t="shared" ca="1" si="1051"/>
        <v>16.399999999999999</v>
      </c>
      <c r="O126" s="125">
        <f t="shared" ca="1" si="1052"/>
        <v>0</v>
      </c>
      <c r="P126" s="126" t="str">
        <f t="shared" si="1053"/>
        <v/>
      </c>
      <c r="Q126" s="795">
        <f ca="1">RZ[[#This Row],[Počet MJHR v rozpadu (P0)]]</f>
        <v>2</v>
      </c>
      <c r="R126" s="439" t="str">
        <f t="shared" si="1054"/>
        <v/>
      </c>
      <c r="S126" s="129" t="str">
        <f t="shared" si="1055"/>
        <v/>
      </c>
      <c r="T126" s="126" t="str">
        <f t="shared" si="1056"/>
        <v/>
      </c>
      <c r="U126" s="126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CR (MJCR) (P0)]]))))))))))</f>
        <v>kg</v>
      </c>
      <c r="V126" s="575">
        <f t="shared" ca="1" si="1057"/>
        <v>16.399999999999999</v>
      </c>
      <c r="W126" s="322">
        <f>RZ[[#This Row],[Koeficient odhadu CR '[-'] (P1)]]</f>
        <v>1</v>
      </c>
      <c r="X126" s="440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Row],[Jednotková cena bez DPH '[cena/MJCR'] (P1)]]*RZ[[#This Row],[Koeficient odhadu CR '[-']]]))))))))))</f>
        <v>115</v>
      </c>
      <c r="Y126" s="440">
        <f t="shared" ca="1" si="1058"/>
        <v>0</v>
      </c>
      <c r="Z126" s="142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VLOOKUP(IP126,$BR$7:$BS$11,2,FALSE)))))))))))</f>
        <v>CZK</v>
      </c>
      <c r="AA126" s="909">
        <f t="shared" ca="1" si="1059"/>
        <v>32.799999999999997</v>
      </c>
      <c r="AB126" s="910">
        <f ca="1">RZ[[#This Row],[Kumulovaný koeficient v rozpadu (P0)]]</f>
        <v>1</v>
      </c>
      <c r="AC126" s="261"/>
      <c r="AD126" s="796">
        <f ca="1">RZ[[#This Row],[Jednotková cena bez DPH '[cena/MJCR'] s koef. (P0)]]/RZ[[#This Row],[Koeficient odhadu CR '[-']]]*RZ[[#This Row],[Kumulovaný koeficient odhadu CR  '[-']]]</f>
        <v>115</v>
      </c>
      <c r="AE126" s="796">
        <f t="shared" ca="1" si="1060"/>
        <v>3771.9999999999995</v>
      </c>
      <c r="AF126" s="796">
        <f ca="1">-IF(ISNUMBER(AA126),RZ[[#This Row],[Celková cena bez DPH (1)]]-RZ[[#This Row],[Jednotková cena bez DPH '[cena/MJCR'] bez koef. (P0)]]*AA126,0)</f>
        <v>0</v>
      </c>
      <c r="AG1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6" s="261"/>
      <c r="AI126" s="796">
        <f ca="1">AD126/VLOOKUP($AJ$13,KURZY,3,FALSE)</f>
        <v>4.2592592592592595</v>
      </c>
      <c r="AJ126" s="796">
        <f ca="1">AE126/VLOOKUP($AJ$13,KURZY,3,FALSE)*IF(V126="",0,1)</f>
        <v>139.7037037037037</v>
      </c>
      <c r="AK126" s="796">
        <f ca="1">AF126/VLOOKUP($AJ$13,KURZY,3,FALSE)</f>
        <v>0</v>
      </c>
      <c r="AL126" s="753">
        <f ca="1">RZ[[#This Row],[Kilogramová cena bez DPH '[cena/kg'] (1)]]/$AK$13</f>
        <v>4.2592592592592595</v>
      </c>
      <c r="AM126" s="261"/>
      <c r="AN126" s="796">
        <f ca="1">AD126/VLOOKUP($AO$13,KURZY,3,FALSE)</f>
        <v>5.5555555555555554</v>
      </c>
      <c r="AO126" s="796">
        <f ca="1">AE126/VLOOKUP($AO$13,KURZY,3,FALSE)*IF(V126="",0,1)</f>
        <v>182.2222222222222</v>
      </c>
      <c r="AP126" s="796">
        <f ca="1">AF126/VLOOKUP($AO$13,KURZY,3,FALSE)</f>
        <v>0</v>
      </c>
      <c r="AQ126" s="753">
        <f ca="1">RZ[[#This Row],[Kilogramová cena bez DPH '[cena/kg'] (1)]]/$AP$13</f>
        <v>5.5555555555555554</v>
      </c>
      <c r="AR126" s="261"/>
      <c r="AS126" s="796">
        <f ca="1">AD126/VLOOKUP($AT$13,KURZY,3,FALSE)</f>
        <v>3.1455142231947484</v>
      </c>
      <c r="AT126" s="796">
        <f ca="1">AE126/VLOOKUP($AT$13,KURZY,3,FALSE)*IF(V126="",0,1)</f>
        <v>103.17286652078772</v>
      </c>
      <c r="AU126" s="789">
        <f ca="1">AF126/VLOOKUP($AT$13,KURZY,3,FALSE)</f>
        <v>0</v>
      </c>
      <c r="AV126" s="767">
        <f ca="1">RZ[[#This Row],[Kilogramová cena bez DPH '[cena/kg'] (1)]]/$AU$13</f>
        <v>3.1455142231947484</v>
      </c>
      <c r="AW126" s="165"/>
      <c r="AX126" s="911">
        <f t="shared" ca="1" si="1061"/>
        <v>2</v>
      </c>
      <c r="AY126" s="111">
        <f t="shared" ca="1" si="1062"/>
        <v>11</v>
      </c>
      <c r="AZ126" s="111">
        <f t="shared" ca="1" si="1063"/>
        <v>3</v>
      </c>
      <c r="BA126" s="111">
        <f t="shared" ca="1" si="1064"/>
        <v>0</v>
      </c>
      <c r="BB126" s="111">
        <f t="shared" ca="1" si="1065"/>
        <v>0</v>
      </c>
      <c r="BC126" s="111">
        <f t="shared" ca="1" si="1066"/>
        <v>0</v>
      </c>
      <c r="BD126" s="111">
        <f t="shared" ca="1" si="1067"/>
        <v>0</v>
      </c>
      <c r="BE126" s="111">
        <f t="shared" ca="1" si="1068"/>
        <v>0</v>
      </c>
      <c r="BF126" s="111">
        <f t="shared" ca="1" si="1069"/>
        <v>0</v>
      </c>
      <c r="BG126" s="112">
        <f t="shared" ca="1" si="1070"/>
        <v>0</v>
      </c>
      <c r="BH126" s="911">
        <f t="shared" si="1071"/>
        <v>0</v>
      </c>
      <c r="BI126" s="111">
        <f t="shared" si="1072"/>
        <v>0</v>
      </c>
      <c r="BJ126" s="111">
        <f t="shared" si="1073"/>
        <v>1</v>
      </c>
      <c r="BK126" s="111">
        <f t="shared" si="1074"/>
        <v>0</v>
      </c>
      <c r="BL126" s="111">
        <f t="shared" si="1075"/>
        <v>0</v>
      </c>
      <c r="BM126" s="111">
        <f t="shared" si="1076"/>
        <v>0</v>
      </c>
      <c r="BN126" s="111">
        <f t="shared" si="1077"/>
        <v>0</v>
      </c>
      <c r="BO126" s="111">
        <f t="shared" si="1078"/>
        <v>0</v>
      </c>
      <c r="BP126" s="111">
        <f t="shared" si="1079"/>
        <v>0</v>
      </c>
      <c r="BQ126" s="112">
        <f t="shared" si="1080"/>
        <v>0</v>
      </c>
      <c r="BR126" s="132">
        <f ca="1">IF(OFFSET(AY126,1,0,1,1)&lt;&gt;0,RZ[[#This Row],[Koeficient odhadu HR '[-'] (P1)]]*$BH126*SUMIFS(RZ[Úroveň 2 s koef. (P2)],RZ[0],AX126),RZ[[#This Row],[Koeficient odhadu HR '[-'] (P1)]]*$BH126*$IG126)</f>
        <v>0</v>
      </c>
      <c r="BS126" s="186">
        <f ca="1">IF(OFFSET(AY126,1,0,1,1)&lt;&gt;0,$BH126*SUMIFS(RZ[Úroveň 2 bez koef. (P2)],RZ[0],AX126),$BH126*$IG126)</f>
        <v>0</v>
      </c>
      <c r="BT126" s="138">
        <f ca="1">RZ[[#This Row],[Úroveň 2 s koef. (P2a)]]*RZ[[#This Row],[Počet MJHR (P0)]]</f>
        <v>0</v>
      </c>
      <c r="BU126" s="138">
        <f ca="1">RZ[[#This Row],[Úroveň 2 bez koef. (P2a)]]*RZ[[#This Row],[Počet MJHR (P0)]]</f>
        <v>0</v>
      </c>
      <c r="BV126" s="138">
        <f ca="1">IF(OFFSET(AZ126,1,0,1,1)&lt;&gt;0,RZ[[#This Row],[Koeficient odhadu HR '[-'] (P1)]]*$BI126*SUMIFS(RZ[Úroveň 3 s koef. (P2)],RZ[0],AX126,RZ[Úroveň 2 (P0)],AY126),RZ[[#This Row],[Koeficient odhadu HR '[-'] (P1)]]*$BI126*$IG126)</f>
        <v>0</v>
      </c>
      <c r="BW126" s="138">
        <f ca="1">IF(OFFSET(AZ126,1,0,1,1)&lt;&gt;0,$BI126*SUMIFS(RZ[Úroveň 3 bez koef. (P2)],RZ[0],AX126,RZ[Úroveň 2 (P0)],AY126),$BI126*$IG126)</f>
        <v>0</v>
      </c>
      <c r="BX126" s="132">
        <f ca="1">RZ[[#This Row],[Úroveň 3 s koef. (P2a)]]*RZ[[#This Row],[Počet MJHR (P0)]]</f>
        <v>16.399999999999999</v>
      </c>
      <c r="BY126" s="132">
        <f ca="1">RZ[Úroveň 3 bez koef. (P2a)]*RZ[[#This Row],[Počet MJHR (P0)]]</f>
        <v>16.399999999999999</v>
      </c>
      <c r="BZ126" s="132">
        <f ca="1">IF(OFFSET(BA126,1,0,1,1)&lt;&gt;0,RZ[[#This Row],[Koeficient odhadu HR '[-'] (P1)]]*$BJ126*SUMIFS(RZ[Úroveň 4 s koef. (P2)],RZ[0],AX126,RZ[Úroveň 2 (P0)],AY126,RZ[Úroveň 3 (P0)],AZ126),RZ[[#This Row],[Koeficient odhadu HR '[-'] (P1)]]*$BJ126*$IG126)</f>
        <v>16.399999999999999</v>
      </c>
      <c r="CA126" s="132">
        <f ca="1">IF(OFFSET(BA126,1,0,1,1)&lt;&gt;0,$BJ126*SUMIFS(RZ[Úroveň 4 bez koef. (P2)],RZ[0],AX126,RZ[Úroveň 2 (P0)],AY126,RZ[Úroveň 3 (P0)],AZ126),$BJ126*$IG126)</f>
        <v>16.399999999999999</v>
      </c>
      <c r="CB126" s="138">
        <f ca="1">RZ[[#This Row],[Úroveň 4 s koef. (P2a)]]*RZ[[#This Row],[Počet MJHR (P0)]]</f>
        <v>0</v>
      </c>
      <c r="CC126" s="138">
        <f ca="1">RZ[Úroveň 4 bez koef. (P2a)]*RZ[[#This Row],[Počet MJHR (P0)]]</f>
        <v>0</v>
      </c>
      <c r="CD126" s="138">
        <f ca="1">IF(OFFSET(BB126,1,0,1,1)&lt;&gt;0,RZ[[#This Row],[Koeficient odhadu HR '[-'] (P1)]]*$BK126*SUMIFS(RZ[Úroveň 5 s koef. (P2)],RZ[0],AX126,RZ[Úroveň 2 (P0)],AY126,RZ[Úroveň 3 (P0)],AZ126,RZ[Úroveň 4 (P0)],BA126),RZ[[#This Row],[Koeficient odhadu HR '[-'] (P1)]]*$BK126*$IG126)</f>
        <v>0</v>
      </c>
      <c r="CE126" s="138">
        <f ca="1">IF(OFFSET(BB126,1,0,1,1)&lt;&gt;0,$BK126*SUMIFS(RZ[Úroveň 5 bez koef. (P2)],RZ[0],AX126,RZ[Úroveň 2 (P0)],AY126,RZ[Úroveň 3 (P0)],AZ126,RZ[Úroveň 4 (P0)],BA126),$BK126*$IG126)</f>
        <v>0</v>
      </c>
      <c r="CF126" s="132">
        <f ca="1">RZ[[#This Row],[Úroveň 5 s koef. (P2a)]]*RZ[[#This Row],[Počet MJHR (P0)]]</f>
        <v>0</v>
      </c>
      <c r="CG126" s="132">
        <f ca="1">RZ[Úroveň 5 bez koef. (P2a)]*RZ[[#This Row],[Počet MJHR (P0)]]</f>
        <v>0</v>
      </c>
      <c r="CH126" s="132">
        <f ca="1">IF(OFFSET(BC126,1,0,1,1)&lt;&gt;0,RZ[[#This Row],[Koeficient odhadu HR '[-'] (P1)]]*$BL126*SUMIFS(RZ[Úroveň 6 s koef. (P2)],RZ[0],AX126,RZ[Úroveň 2 (P0)],AY126,RZ[Úroveň 3 (P0)],AZ126,RZ[Úroveň 4 (P0)],BA126,RZ[Úroveň 5 (P0)],BB126),RZ[[#This Row],[Koeficient odhadu HR '[-'] (P1)]]*$BL126*$IG126)</f>
        <v>0</v>
      </c>
      <c r="CI126" s="132">
        <f ca="1">IF(OFFSET(BC126,1,0,1,1)&lt;&gt;0,$BL126*SUMIFS(RZ[Úroveň 6 bez koef. (P2)],RZ[0],AX126,RZ[Úroveň 2 (P0)],AY126,RZ[Úroveň 3 (P0)],AZ126,RZ[Úroveň 4 (P0)],BA126,RZ[Úroveň 5 (P0)],BB126),$BL126*$IG126)</f>
        <v>0</v>
      </c>
      <c r="CJ126" s="138">
        <f ca="1">RZ[[#This Row],[Úroveň 6 s koef. (P2a)]]*RZ[[#This Row],[Počet MJHR (P0)]]</f>
        <v>0</v>
      </c>
      <c r="CK126" s="138">
        <f ca="1">RZ[Úroveň 6 bez koef. (P2a)]*RZ[[#This Row],[Počet MJHR (P0)]]</f>
        <v>0</v>
      </c>
      <c r="CL126" s="138">
        <f ca="1">IF(OFFSET(BD126,1,0,1,1)&lt;&gt;0,RZ[[#This Row],[Koeficient odhadu HR '[-'] (P1)]]*$BM126*SUMIFS(RZ[Úroveň 7 s koef. (P2)],RZ[0],AX126,RZ[Úroveň 2 (P0)],AY126,RZ[Úroveň 3 (P0)],AZ126,RZ[Úroveň 4 (P0)],BA126,RZ[Úroveň 5 (P0)],BB126,RZ[Úroveň 6 (P0)],BC126),RZ[[#This Row],[Koeficient odhadu HR '[-'] (P1)]]*$BM126*$IG126)</f>
        <v>0</v>
      </c>
      <c r="CM126" s="138">
        <f ca="1">IF(OFFSET(BD126,1,0,1,1)&lt;&gt;0,$BM126*SUMIFS(RZ[Úroveň 7 bez koef. (P2)],RZ[0],AX126,RZ[Úroveň 2 (P0)],AY126,RZ[Úroveň 3 (P0)],AZ126,RZ[Úroveň 4 (P0)],BA126,RZ[Úroveň 5 (P0)],BB126,RZ[Úroveň 6 (P0)],BC126),$BM126*$IG126)</f>
        <v>0</v>
      </c>
      <c r="CN126" s="132">
        <f ca="1">RZ[[#This Row],[Úroveň 7 s koef. (P2a)]]*RZ[[#This Row],[Počet MJHR (P0)]]</f>
        <v>0</v>
      </c>
      <c r="CO126" s="132">
        <f ca="1">RZ[Úroveň 7 bez koef. (P2a)]*RZ[[#This Row],[Počet MJHR (P0)]]</f>
        <v>0</v>
      </c>
      <c r="CP126" s="132">
        <f ca="1">IF(OFFSET(BE126,1,0,1,1)&lt;&gt;0,RZ[[#This Row],[Koeficient odhadu HR '[-'] (P1)]]*$BN126*SUMIFS(RZ[Úroveň 8 s koef. (P2)],RZ[0],AX126,RZ[Úroveň 2 (P0)],AY126,RZ[Úroveň 3 (P0)],AZ126,RZ[Úroveň 4 (P0)],BA126,RZ[Úroveň 5 (P0)],BB126,RZ[Úroveň 6 (P0)],BC126,RZ[Úroveň 7 (P0)],BD126),RZ[[#This Row],[Koeficient odhadu HR '[-'] (P1)]]*$BN126*$IG126)</f>
        <v>0</v>
      </c>
      <c r="CQ126" s="132">
        <f ca="1">IF(OFFSET(BE126,1,0,1,1)&lt;&gt;0,$BN126*SUMIFS(RZ[Úroveň 8 bez koef. (P2)],RZ[0],AX126,RZ[Úroveň 2 (P0)],AY126,RZ[Úroveň 3 (P0)],AZ126,RZ[Úroveň 4 (P0)],BA126,RZ[Úroveň 5 (P0)],BB126,RZ[Úroveň 6 (P0)],BC126,RZ[Úroveň 7 (P0)],BD126),$BN126*$IG126)</f>
        <v>0</v>
      </c>
      <c r="CR126" s="138">
        <f ca="1">RZ[[#This Row],[Úroveň 8 s koef. (P2a)]]*RZ[[#This Row],[Počet MJHR (P0)]]</f>
        <v>0</v>
      </c>
      <c r="CS126" s="138">
        <f ca="1">RZ[Úroveň 8 bez koef. (P2a)]*RZ[[#This Row],[Počet MJHR (P0)]]</f>
        <v>0</v>
      </c>
      <c r="CT126" s="138">
        <f ca="1">IF(OFFSET(BF126,1,0,1,1)&lt;&gt;0,RZ[[#This Row],[Koeficient odhadu HR '[-'] (P1)]]*$BO126*SUMIFS(RZ[Úroveň 9 s koef. (P2)],RZ[0],AX126,RZ[Úroveň 2 (P0)],AY126,RZ[Úroveň 3 (P0)],AZ126,RZ[Úroveň 4 (P0)],BA126,RZ[Úroveň 5 (P0)],BB126,RZ[Úroveň 6 (P0)],BC126,RZ[Úroveň 7 (P0)],BD126,RZ[Úroveň 8 (P0)],BE126),RZ[[#This Row],[Koeficient odhadu HR '[-'] (P1)]]*$BO126*$IG126)</f>
        <v>0</v>
      </c>
      <c r="CU126" s="138">
        <f ca="1">IF(OFFSET(BF126,1,0,1,1)&lt;&gt;0,$BO126*SUMIFS(RZ[Úroveň 9 bez koef. (P2)],RZ[0],AX126,RZ[Úroveň 2 (P0)],AY126,RZ[Úroveň 3 (P0)],AZ126,RZ[Úroveň 4 (P0)],BA126,RZ[Úroveň 5 (P0)],BB126,RZ[Úroveň 6 (P0)],BC126,RZ[Úroveň 7 (P0)],BD126,RZ[Úroveň 8 (P0)],BE126),$BO126*$IG126)</f>
        <v>0</v>
      </c>
      <c r="CV126" s="132">
        <f ca="1">RZ[[#This Row],[Úroveň 9 s koef. (P2a)]]*RZ[[#This Row],[Počet MJHR (P0)]]</f>
        <v>0</v>
      </c>
      <c r="CW126" s="132">
        <f ca="1">RZ[Úroveň 9 bez koef. (P2a)]*RZ[[#This Row],[Počet MJHR (P0)]]</f>
        <v>0</v>
      </c>
      <c r="CX126" s="132">
        <f ca="1">IF(OFFSET(BG126,1,0,1,1)&lt;&gt;0,RZ[[#This Row],[Koeficient odhadu HR '[-'] (P1)]]*$BP126*SUMIFS(RZ[Úroveň 10 s koef. (P2)],RZ[0],AX126,RZ[Úroveň 2 (P0)],AY126,RZ[Úroveň 3 (P0)],AZ126,RZ[Úroveň 4 (P0)],BA126,RZ[Úroveň 5 (P0)],BB126,RZ[Úroveň 6 (P0)],BC126,RZ[Úroveň 7 (P0)],BD126,RZ[Úroveň 8 (P0)],BE126,RZ[Úroveň 9 (P0)],BF126),RZ[[#This Row],[Koeficient odhadu HR '[-'] (P1)]]*$BP126*$IG126)</f>
        <v>0</v>
      </c>
      <c r="CY126" s="132">
        <f ca="1">IF(OFFSET(BG126,1,0,1,1)&lt;&gt;0,$BP126*SUMIFS(RZ[Úroveň 10 bez koef. (P2)],RZ[0],AX126,RZ[Úroveň 2 (P0)],AY126,RZ[Úroveň 3 (P0)],AZ126,RZ[Úroveň 4 (P0)],BA126,RZ[Úroveň 5 (P0)],BB126,RZ[Úroveň 6 (P0)],BC126,RZ[Úroveň 7 (P0)],BD126,RZ[Úroveň 8 (P0)],BE126,RZ[Úroveň 9 (P0)],BF126),$BP126*$IG126)</f>
        <v>0</v>
      </c>
      <c r="CZ126" s="138">
        <f>RZ[[#This Row],[Úroveň 10 s koef. (P2a)]]*RZ[[#This Row],[Počet MJHR (P0)]]</f>
        <v>0</v>
      </c>
      <c r="DA126" s="138">
        <f>RZ[Úroveň 10 bez koef. (P2a)]*RZ[[#This Row],[Počet MJHR (P0)]]</f>
        <v>0</v>
      </c>
      <c r="DB126" s="138">
        <f>RZ[[#This Row],[Koeficient odhadu HR '[-'] (P1)]]*$BQ126*IG126</f>
        <v>0</v>
      </c>
      <c r="DC126" s="231">
        <f t="shared" si="1081"/>
        <v>0</v>
      </c>
      <c r="DD126" s="241">
        <f t="shared" ca="1" si="1082"/>
        <v>16.399999999999999</v>
      </c>
      <c r="DE126" s="229">
        <f t="shared" ca="1" si="1083"/>
        <v>16.399999999999999</v>
      </c>
      <c r="DF126" s="912">
        <f t="shared" si="1084"/>
        <v>0</v>
      </c>
      <c r="DG126" s="913">
        <f t="shared" si="1085"/>
        <v>0</v>
      </c>
      <c r="DH126" s="913">
        <f t="shared" si="1086"/>
        <v>1</v>
      </c>
      <c r="DI126" s="913">
        <f t="shared" si="1087"/>
        <v>0</v>
      </c>
      <c r="DJ126" s="913">
        <f t="shared" si="1088"/>
        <v>0</v>
      </c>
      <c r="DK126" s="913">
        <f t="shared" si="1089"/>
        <v>0</v>
      </c>
      <c r="DL126" s="913">
        <f t="shared" si="1090"/>
        <v>0</v>
      </c>
      <c r="DM126" s="913">
        <f t="shared" si="1091"/>
        <v>0</v>
      </c>
      <c r="DN126" s="913">
        <f t="shared" si="1092"/>
        <v>0</v>
      </c>
      <c r="DO126" s="913">
        <f t="shared" si="1093"/>
        <v>0</v>
      </c>
      <c r="DP126" s="914">
        <f ca="1">SUMIFS(RZ[Úroveň 1 (P4)],RZ[0],AX126)</f>
        <v>1</v>
      </c>
      <c r="DQ126" s="914">
        <f ca="1">SUMIFS(RZ[Úroveň 2 (P4)],RZ[0],AX126,RZ[Úroveň 2 (P0)],AY126)</f>
        <v>2</v>
      </c>
      <c r="DR126" s="914">
        <f ca="1">SUMIFS(RZ[Úroveň 3 (P4)],RZ[0],AX126,RZ[Úroveň 2 (P0)],AY126,RZ[Úroveň 3 (P0)],AZ126)</f>
        <v>1</v>
      </c>
      <c r="DS126" s="914">
        <f ca="1">SUMIFS(RZ[Úroveň 4 (P4)],RZ[0],AX126,RZ[Úroveň 2 (P0)],AY126,RZ[Úroveň 3 (P0)],AZ126,RZ[Úroveň 4 (P0)],BA126)</f>
        <v>0</v>
      </c>
      <c r="DT126" s="914">
        <f ca="1">SUMIFS(RZ[Úroveň 5 (P4)],RZ[0],AX126,RZ[Úroveň 2 (P0)],AY126,RZ[Úroveň 3 (P0)],AZ126,RZ[Úroveň 4 (P0)],BA126,RZ[Úroveň 5 (P0)],BB126)</f>
        <v>0</v>
      </c>
      <c r="DU126" s="914">
        <f ca="1">SUMIFS(RZ[Úroveň 6 (P4)],RZ[0],AX126,RZ[Úroveň 2 (P0)],AY126,RZ[Úroveň 3 (P0)],AZ126,RZ[Úroveň 4 (P0)],BA126,RZ[Úroveň 5 (P0)],BB126,RZ[Úroveň 6 (P0)],BC126)</f>
        <v>0</v>
      </c>
      <c r="DV126" s="914">
        <f ca="1">SUMIFS(RZ[Úroveň 7 (P4)],RZ[0],AX126,RZ[Úroveň 2 (P0)],AY126,RZ[Úroveň 3 (P0)],AZ126,RZ[Úroveň 4 (P0)],BA126,RZ[Úroveň 5 (P0)],BB126,RZ[Úroveň 6 (P0)],BC126,RZ[Úroveň 7 (P0)],BD126)</f>
        <v>0</v>
      </c>
      <c r="DW126" s="914">
        <f ca="1">SUMIFS(RZ[Úroveň 8 (P4)],RZ[0],AX126,RZ[Úroveň 2 (P0)],AY126,RZ[Úroveň 3 (P0)],AZ126,RZ[Úroveň 4 (P0)],BA126,RZ[Úroveň 5 (P0)],BB126,RZ[Úroveň 6 (P0)],BC126,RZ[Úroveň 7 (P0)],BD126,RZ[Úroveň 8 (P0)],BE126)</f>
        <v>0</v>
      </c>
      <c r="DX126" s="914">
        <f ca="1">SUMIFS(RZ[Úroveň 9 (P4)],RZ[0],AX126,RZ[Úroveň 2 (P0)],AY126,RZ[Úroveň 3 (P0)],AZ126,RZ[Úroveň 4 (P0)],BA126,RZ[Úroveň 5 (P0)],BB126,RZ[Úroveň 6 (P0)],BC126,RZ[Úroveň 7 (P0)],BD126,RZ[Úroveň 8 (P0)],BE126,RZ[Úroveň 9 (P0)],BF126)</f>
        <v>0</v>
      </c>
      <c r="DY126" s="914">
        <f ca="1">SUMIFS(RZ[Úroveň 10 (P4)],RZ[0],AX126,RZ[Úroveň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DZ126" s="915">
        <f t="shared" ca="1" si="1094"/>
        <v>2</v>
      </c>
      <c r="EA126" s="916">
        <f ca="1">RZ[[#This Row],[Jednotková hmotnost bez koef. '[kg/MJHR'] (P0)]]*RZ[[#This Row],[Počet MJHR v rozpadu (P0)]]</f>
        <v>32.799999999999997</v>
      </c>
      <c r="EB126" s="917">
        <f ca="1">IF(OFFSET(AY126,1,0,1,1)&lt;&gt;0,RZ[[#This Row],[Koeficient odhadu CR '[-'] (P1)]]*$BH126*SUMIFS(RZ[Úroveň 2 s koef. (P3)],RZ[0],AX126),RZ[[#This Row],[Koeficient odhadu CR '[-'] (P1)]]*$BH126*$IQ126)</f>
        <v>0</v>
      </c>
      <c r="EC126" s="191">
        <f ca="1">IF(OFFSET(AY126,1,0,1,1)&lt;&gt;0,$BH126*SUMIFS(RZ[Úroveň 2 bez koef. (P3)],RZ[0],AX126),$BH126*$IQ126)</f>
        <v>0</v>
      </c>
      <c r="ED126" s="140">
        <f ca="1">RZ[[#This Row],[Úroveň 2 s koef. (P3a)]]*RZ[[#This Row],[Počet MJCR (P0) pro "kg"]]</f>
        <v>0</v>
      </c>
      <c r="EE126" s="140">
        <f ca="1">RZ[Úroveň 2 bez koef. (P3a)]*RZ[[#This Row],[Počet MJCR (P0) pro "kg"]]</f>
        <v>0</v>
      </c>
      <c r="EF126" s="140">
        <f ca="1">IF(OFFSET(AZ126,1,0,1,1)&lt;&gt;0,RZ[[#This Row],[Koeficient odhadu CR '[-'] (P1)]]*$BI126*SUMIFS(RZ[Úroveň 3 s koef. (P3)],RZ[0],AX126,RZ[Úroveň 2 (P0)],AY126),RZ[[#This Row],[Koeficient odhadu CR '[-'] (P1)]]*$BI126*$IQ126)</f>
        <v>0</v>
      </c>
      <c r="EG126" s="140">
        <f ca="1">IF(OFFSET(AZ126,1,0,1,1)&lt;&gt;0,$BI126*SUMIFS(RZ[Úroveň 3 bez koef. (P3)],RZ[0],AX126,RZ[Úroveň 2 (P0)],AY126),$BI126*$IQ126)</f>
        <v>0</v>
      </c>
      <c r="EH126" s="135">
        <f ca="1">RZ[[#This Row],[Úroveň 3 s koef. (P3a)]]*RZ[[#This Row],[Počet MJCR (P0) pro "kg"]]</f>
        <v>1885.9999999999998</v>
      </c>
      <c r="EI126" s="135">
        <f ca="1">RZ[Úroveň 3 bez koef. (P3a)]*RZ[[#This Row],[Počet MJCR (P0) pro "kg"]]</f>
        <v>1885.9999999999998</v>
      </c>
      <c r="EJ126" s="135">
        <f ca="1">IF(OFFSET(BA126,1,0,1,1)&lt;&gt;0,RZ[[#This Row],[Koeficient odhadu CR '[-'] (P1)]]*$BJ126*SUMIFS(RZ[Úroveň 4 s koef. (P3)],RZ[0],AX126,RZ[Úroveň 2 (P0)],AY126,RZ[Úroveň 3 (P0)],AZ126),RZ[[#This Row],[Koeficient odhadu CR '[-'] (P1)]]*$BJ126*$IQ126)</f>
        <v>115</v>
      </c>
      <c r="EK126" s="135">
        <f ca="1">IF(OFFSET(BA126,1,0,1,1)&lt;&gt;0,$BJ126*SUMIFS(RZ[Úroveň 4 bez koef. (P3)],RZ[0],AX126,RZ[Úroveň 2 (P0)],AY126,RZ[Úroveň 3 (P0)],AZ126),$BJ126*$IQ126)</f>
        <v>115</v>
      </c>
      <c r="EL126" s="140">
        <f ca="1">RZ[[#This Row],[Úroveň 4 s koef. (P3a)]]*RZ[[#This Row],[Počet MJCR (P0) pro "kg"]]</f>
        <v>0</v>
      </c>
      <c r="EM126" s="140">
        <f ca="1">RZ[Úroveň 4 bez koef. (P3a)]*RZ[[#This Row],[Počet MJCR (P0) pro "kg"]]</f>
        <v>0</v>
      </c>
      <c r="EN126" s="140">
        <f ca="1">IF(OFFSET(BB126,1,0,1,1)&lt;&gt;0,RZ[[#This Row],[Koeficient odhadu CR '[-'] (P1)]]*$BK126*SUMIFS(RZ[Úroveň 5 s koef. (P3)],RZ[0],AX126,RZ[Úroveň 2 (P0)],AY126,RZ[Úroveň 3 (P0)],AZ126,RZ[Úroveň 4 (P0)],BA126),RZ[[#This Row],[Koeficient odhadu CR '[-'] (P1)]]*$BK126*$IQ126)</f>
        <v>0</v>
      </c>
      <c r="EO126" s="140">
        <f ca="1">IF(OFFSET(BB126,1,0,1,1)&lt;&gt;0,$BK126*SUMIFS(RZ[Úroveň 5 bez koef. (P3)],RZ[0],AX126,RZ[Úroveň 2 (P0)],AY126,RZ[Úroveň 3 (P0)],AZ126,RZ[Úroveň 4 (P0)],BA126),$BK126*$IQ126)</f>
        <v>0</v>
      </c>
      <c r="EP126" s="135">
        <f ca="1">RZ[[#This Row],[Úroveň 5 s koef. (P3a)]]*RZ[[#This Row],[Počet MJCR (P0) pro "kg"]]</f>
        <v>0</v>
      </c>
      <c r="EQ126" s="135">
        <f ca="1">RZ[Úroveň 5 bez koef. (P3a)]*RZ[[#This Row],[Počet MJCR (P0) pro "kg"]]</f>
        <v>0</v>
      </c>
      <c r="ER126" s="135">
        <f ca="1">IF(OFFSET(BC126,1,0,1,1)&lt;&gt;0,RZ[[#This Row],[Koeficient odhadu CR '[-'] (P1)]]*$BL126*SUMIFS(RZ[Úroveň 6 s koef. (P3)],RZ[0],AX126,RZ[Úroveň 2 (P0)],AY126,RZ[Úroveň 3 (P0)],AZ126,RZ[Úroveň 4 (P0)],BA126,RZ[Úroveň 5 (P0)],BB126),RZ[[#This Row],[Koeficient odhadu CR '[-'] (P1)]]*$BL126*$IQ126)</f>
        <v>0</v>
      </c>
      <c r="ES126" s="135">
        <f ca="1">IF(OFFSET(BC126,1,0,1,1)&lt;&gt;0,$BL126*SUMIFS(RZ[Úroveň 6 bez koef. (P3)],RZ[0],AX126,RZ[Úroveň 2 (P0)],AY126,RZ[Úroveň 3 (P0)],AZ126,RZ[Úroveň 4 (P0)],BA126,RZ[Úroveň 5 (P0)],BB126),$BL126*$IQ126)</f>
        <v>0</v>
      </c>
      <c r="ET126" s="140">
        <f ca="1">RZ[[#This Row],[Úroveň 6 s koef. (P3a)]]*RZ[[#This Row],[Počet MJCR (P0) pro "kg"]]</f>
        <v>0</v>
      </c>
      <c r="EU126" s="140">
        <f ca="1">RZ[Úroveň 6 bez koef. (P3a)]*RZ[[#This Row],[Počet MJCR (P0) pro "kg"]]</f>
        <v>0</v>
      </c>
      <c r="EV126" s="140">
        <f ca="1">IF(OFFSET(BD126,1,0,1,1)&lt;&gt;0,RZ[[#This Row],[Koeficient odhadu CR '[-'] (P1)]]*$BM126*SUMIFS(RZ[Úroveň 7 s koef. (P3)],RZ[0],AX126,RZ[Úroveň 2 (P0)],AY126,RZ[Úroveň 3 (P0)],AZ126,RZ[Úroveň 4 (P0)],BA126,RZ[Úroveň 5 (P0)],BB126,RZ[Úroveň 6 (P0)],BC126),RZ[[#This Row],[Koeficient odhadu CR '[-'] (P1)]]*$BM126*$IQ126)</f>
        <v>0</v>
      </c>
      <c r="EW126" s="140">
        <f ca="1">IF(OFFSET(BD126,1,0,1,1)&lt;&gt;0,$BM126*SUMIFS(RZ[Úroveň 7 bez koef. (P3)],RZ[0],AX126,RZ[Úroveň 2 (P0)],AY126,RZ[Úroveň 3 (P0)],AZ126,RZ[Úroveň 4 (P0)],BA126,RZ[Úroveň 5 (P0)],BB126,RZ[Úroveň 6 (P0)],BC126),$BM126*$IQ126)</f>
        <v>0</v>
      </c>
      <c r="EX126" s="135">
        <f ca="1">RZ[[#This Row],[Úroveň 7 s koef. (P3a)]]*RZ[[#This Row],[Počet MJCR (P0) pro "kg"]]</f>
        <v>0</v>
      </c>
      <c r="EY126" s="135">
        <f ca="1">RZ[Úroveň 7 bez koef. (P3a)]*RZ[[#This Row],[Počet MJCR (P0) pro "kg"]]</f>
        <v>0</v>
      </c>
      <c r="EZ126" s="135">
        <f ca="1">IF(OFFSET(BE126,1,0,1,1)&lt;&gt;0,RZ[[#This Row],[Koeficient odhadu CR '[-'] (P1)]]*$BN126*SUMIFS(RZ[Úroveň 8 s koef. (P3)],RZ[0],AX126,RZ[Úroveň 2 (P0)],AY126,RZ[Úroveň 3 (P0)],AZ126,RZ[Úroveň 4 (P0)],BA126,RZ[Úroveň 5 (P0)],BB126,RZ[Úroveň 6 (P0)],BC126,RZ[Úroveň 7 (P0)],BD126),RZ[[#This Row],[Koeficient odhadu CR '[-'] (P1)]]*$BN126*$IQ126)</f>
        <v>0</v>
      </c>
      <c r="FA126" s="135">
        <f ca="1">IF(OFFSET(BE126,1,0,1,1)&lt;&gt;0,$BN126*SUMIFS(RZ[Úroveň 8 bez koef. (P3)],RZ[0],AX126,RZ[Úroveň 2 (P0)],AY126,RZ[Úroveň 3 (P0)],AZ126,RZ[Úroveň 4 (P0)],BA126,RZ[Úroveň 5 (P0)],BB126,RZ[Úroveň 6 (P0)],BC126,RZ[Úroveň 7 (P0)],BD126),$BN126*$IQ126)</f>
        <v>0</v>
      </c>
      <c r="FB126" s="140">
        <f ca="1">RZ[[#This Row],[Úroveň 8 s koef. (P3a)]]*RZ[[#This Row],[Počet MJCR (P0) pro "kg"]]</f>
        <v>0</v>
      </c>
      <c r="FC126" s="140">
        <f ca="1">RZ[Úroveň 8 bez koef. (P3a)]*RZ[[#This Row],[Počet MJCR (P0) pro "kg"]]</f>
        <v>0</v>
      </c>
      <c r="FD126" s="140">
        <f ca="1">IF(OFFSET(BF126,1,0,1,1)&lt;&gt;0,RZ[[#This Row],[Koeficient odhadu CR '[-'] (P1)]]*$BO126*SUMIFS(RZ[Úroveň 9 s koef. (P3)],RZ[0],AX126,RZ[Úroveň 2 (P0)],AY126,RZ[Úroveň 3 (P0)],AZ126,RZ[Úroveň 4 (P0)],BA126,RZ[Úroveň 5 (P0)],BB126,RZ[Úroveň 6 (P0)],BC126,RZ[Úroveň 7 (P0)],BD126,RZ[Úroveň 8 (P0)],BE126),RZ[[#This Row],[Koeficient odhadu CR '[-'] (P1)]]*$BO126*$IQ126)</f>
        <v>0</v>
      </c>
      <c r="FE126" s="140">
        <f ca="1">IF(OFFSET(BF126,1,0,1,1)&lt;&gt;0,$BO126*SUMIFS(RZ[Úroveň 9 bez koef. (P3)],RZ[0],AX126,RZ[Úroveň 2 (P0)],AY126,RZ[Úroveň 3 (P0)],AZ126,RZ[Úroveň 4 (P0)],BA126,RZ[Úroveň 5 (P0)],BB126,RZ[Úroveň 6 (P0)],BC126,RZ[Úroveň 7 (P0)],BD126,RZ[Úroveň 8 (P0)],BE126),$BO126*$IQ126)</f>
        <v>0</v>
      </c>
      <c r="FF126" s="135">
        <f ca="1">RZ[[#This Row],[Úroveň 9 s koef. (P3a)]]*RZ[[#This Row],[Počet MJCR (P0) pro "kg"]]</f>
        <v>0</v>
      </c>
      <c r="FG126" s="135">
        <f ca="1">RZ[Úroveň 9 bez koef. (P3a)]*RZ[[#This Row],[Počet MJCR (P0) pro "kg"]]</f>
        <v>0</v>
      </c>
      <c r="FH126" s="135">
        <f ca="1">IF(OFFSET(BG126,1,0,1,1)&lt;&gt;0,RZ[[#This Row],[Koeficient odhadu CR '[-'] (P1)]]*$BP126*SUMIFS(RZ[Úroveň 10 s koef. (P3)],RZ[0],AX126,RZ[Úroveň 2 (P0)],AY126,RZ[Úroveň 3 (P0)],AZ126,RZ[Úroveň 4 (P0)],BA126,RZ[Úroveň 5 (P0)],BB126,RZ[Úroveň 6 (P0)],BC126,RZ[Úroveň 7 (P0)],BD126,RZ[Úroveň 8 (P0)],BE126,RZ[Úroveň 9 (P0)],BF126),RZ[[#This Row],[Koeficient odhadu CR '[-'] (P1)]]*$BP126*$IQ126)</f>
        <v>0</v>
      </c>
      <c r="FI126" s="135">
        <f ca="1">IF(OFFSET(BG126,1,0,1,1)&lt;&gt;0,$BP126*SUMIFS(RZ[Úroveň 10 bez koef. (P3)],RZ[0],AX126,RZ[Úroveň 2 (P0)],AY126,RZ[Úroveň 3 (P0)],AZ126,RZ[Úroveň 4 (P0)],BA126,RZ[Úroveň 5 (P0)],BB126,RZ[Úroveň 6 (P0)],BC126,RZ[Úroveň 7 (P0)],BD126,RZ[Úroveň 8 (P0)],BE126,RZ[Úroveň 9 (P0)],BF126),$BP126*$IQ126)</f>
        <v>0</v>
      </c>
      <c r="FJ126" s="140">
        <f ca="1">RZ[[#This Row],[Úroveň 10 s koef. (P3a)]]*RZ[[#This Row],[Počet MJCR (P0) pro "kg"]]</f>
        <v>0</v>
      </c>
      <c r="FK126" s="140">
        <f ca="1">RZ[Úroveň 10 bez koef. (P3a)]*RZ[[#This Row],[Počet MJCR (P0) pro "kg"]]</f>
        <v>0</v>
      </c>
      <c r="FL126" s="140">
        <f ca="1">RZ[[#This Row],[Koeficient odhadu CR '[-'] (P1)]]*$BQ126*IQ126</f>
        <v>0</v>
      </c>
      <c r="FM126" s="236">
        <f t="shared" ca="1" si="1095"/>
        <v>0</v>
      </c>
      <c r="FN126" s="194">
        <f t="shared" ca="1" si="1096"/>
        <v>115</v>
      </c>
      <c r="FO126" s="238">
        <f t="shared" ca="1" si="1097"/>
        <v>115</v>
      </c>
      <c r="FP126" s="135">
        <f t="shared" ca="1" si="1098"/>
        <v>0</v>
      </c>
      <c r="FQ126" s="135">
        <f t="shared" ca="1" si="1099"/>
        <v>0</v>
      </c>
      <c r="FR126" s="135">
        <f t="shared" ca="1" si="1100"/>
        <v>16.399999999999999</v>
      </c>
      <c r="FS126" s="135">
        <f t="shared" ca="1" si="1101"/>
        <v>0</v>
      </c>
      <c r="FT126" s="135">
        <f t="shared" ca="1" si="1102"/>
        <v>0</v>
      </c>
      <c r="FU126" s="135">
        <f t="shared" ca="1" si="1103"/>
        <v>0</v>
      </c>
      <c r="FV126" s="135">
        <f t="shared" ca="1" si="1104"/>
        <v>0</v>
      </c>
      <c r="FW126" s="135">
        <f t="shared" ca="1" si="1105"/>
        <v>0</v>
      </c>
      <c r="FX126" s="135">
        <f t="shared" ca="1" si="1106"/>
        <v>0</v>
      </c>
      <c r="FY126" s="135">
        <f t="shared" ca="1" si="1107"/>
        <v>0</v>
      </c>
      <c r="FZ126" s="140">
        <f ca="1">SUMIFS(RZ[Úroveň 1 (P6)],RZ[0],AX126)</f>
        <v>1</v>
      </c>
      <c r="GA126" s="140">
        <f ca="1">SUMIFS(RZ[Úroveň 2 (P6)],RZ[0],AX126,RZ[Úroveň 2 (P0)],AY126)</f>
        <v>2</v>
      </c>
      <c r="GB126" s="140">
        <f ca="1">SUMIFS(RZ[Úroveň 3 (P6)],RZ[0],AX126,RZ[Úroveň 2 (P0)],AY126,RZ[Úroveň 3 (P0)],AZ126)</f>
        <v>16.399999999999999</v>
      </c>
      <c r="GC126" s="140">
        <f ca="1">SUMIFS(RZ[Úroveň 4 (P6)],RZ[0],AX126,RZ[Úroveň 2 (P0)],AY126,RZ[Úroveň 3 (P0)],AZ126,RZ[Úroveň 4 (P0)],BA126)</f>
        <v>0</v>
      </c>
      <c r="GD126" s="140">
        <f ca="1">SUMIFS(RZ[Úroveň 5 (P6)],RZ[0],AX126,RZ[Úroveň 2 (P0)],AY126,RZ[Úroveň 3 (P0)],AZ126,RZ[Úroveň 4 (P0)],BA126,RZ[Úroveň 5 (P0)],BB126)</f>
        <v>0</v>
      </c>
      <c r="GE126" s="140">
        <f ca="1">SUMIFS(RZ[Úroveň 6 (P6)],RZ[0],AX126,RZ[Úroveň 2 (P0)],AY126,RZ[Úroveň 3 (P0)],AZ126,RZ[Úroveň 4 (P0)],BA126,RZ[Úroveň 5 (P0)],BB126,RZ[Úroveň 6 (P0)],BC126)</f>
        <v>0</v>
      </c>
      <c r="GF126" s="140">
        <f ca="1">SUMIFS(RZ[Úroveň 7 (P6)],RZ[0],AX126,RZ[Úroveň 2 (P0)],AY126,RZ[Úroveň 3 (P0)],AZ126,RZ[Úroveň 4 (P0)],BA126,RZ[Úroveň 5 (P0)],BB126,RZ[Úroveň 6 (P0)],BC126,RZ[Úroveň 7 (P0)],BD126)</f>
        <v>0</v>
      </c>
      <c r="GG126" s="140">
        <f ca="1">SUMIFS(RZ[Úroveň 8 (P6)],RZ[0],AX126,RZ[Úroveň 2 (P0)],AY126,RZ[Úroveň 3 (P0)],AZ126,RZ[Úroveň 4 (P0)],BA126,RZ[Úroveň 5 (P0)],BB126,RZ[Úroveň 6 (P0)],BC126,RZ[Úroveň 7 (P0)],BD126,RZ[Úroveň 8 (P0)],BE126)</f>
        <v>0</v>
      </c>
      <c r="GH126" s="140">
        <f ca="1">SUMIFS(RZ[Úroveň 9 (P6)],RZ[0],AX126,RZ[Úroveň 2 (P0)],AY126,RZ[Úroveň 3 (P0)],AZ126,RZ[Úroveň 4 (P0)],BA126,RZ[Úroveň 5 (P0)],BB126,RZ[Úroveň 6 (P0)],BC126,RZ[Úroveň 7 (P0)],BD126,RZ[Úroveň 8 (P0)],BE126,RZ[Úroveň 9 (P0)],BF126)</f>
        <v>0</v>
      </c>
      <c r="GI126" s="140">
        <f ca="1">SUMIFS(RZ[Úroveň 10 (P6)],RZ[0],AX126,RZ[Úroveň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GJ126" s="918">
        <f t="shared" ca="1" si="1108"/>
        <v>32.799999999999997</v>
      </c>
      <c r="GK126" s="808">
        <f t="shared" si="1109"/>
        <v>0</v>
      </c>
      <c r="GL126" s="808">
        <f t="shared" si="1110"/>
        <v>0</v>
      </c>
      <c r="GM126" s="808">
        <f t="shared" si="1111"/>
        <v>1</v>
      </c>
      <c r="GN126" s="808">
        <f t="shared" si="1112"/>
        <v>0</v>
      </c>
      <c r="GO126" s="808">
        <f t="shared" si="1113"/>
        <v>0</v>
      </c>
      <c r="GP126" s="808">
        <f t="shared" si="1114"/>
        <v>0</v>
      </c>
      <c r="GQ126" s="808">
        <f t="shared" si="1115"/>
        <v>0</v>
      </c>
      <c r="GR126" s="808">
        <f t="shared" si="1116"/>
        <v>0</v>
      </c>
      <c r="GS126" s="808">
        <f t="shared" si="1117"/>
        <v>0</v>
      </c>
      <c r="GT126" s="808">
        <f t="shared" si="1118"/>
        <v>0</v>
      </c>
      <c r="GU126" s="809">
        <f ca="1">SUMIFS(RZ[Sloupec1],RZ[0],AX126)</f>
        <v>1</v>
      </c>
      <c r="GV126" s="809">
        <f ca="1">SUMIFS(RZ[Sloupec2],RZ[0],AX126,RZ[Úroveň 2 (P0)],AY126)</f>
        <v>1</v>
      </c>
      <c r="GW126" s="809">
        <f ca="1">SUMIFS(RZ[Sloupec3],RZ[0],AX126,RZ[Úroveň 2 (P0)],AY126,RZ[Úroveň 3 (P0)],AZ126)</f>
        <v>1</v>
      </c>
      <c r="GX126" s="809">
        <f ca="1">SUMIFS(RZ[Sloupec4],RZ[0],AX126,RZ[Úroveň 2 (P0)],AY126,RZ[Úroveň 3 (P0)],AZ126,RZ[Úroveň 4 (P0)],BA126)</f>
        <v>0</v>
      </c>
      <c r="GY126" s="809">
        <f ca="1">SUMIFS(RZ[Sloupec5],RZ[0],AX126,RZ[Úroveň 2 (P0)],AY126,RZ[Úroveň 3 (P0)],AZ126,RZ[Úroveň 4 (P0)],BA126,RZ[Úroveň 5 (P0)],BB126)</f>
        <v>0</v>
      </c>
      <c r="GZ126" s="809">
        <f ca="1">SUMIFS(RZ[Sloupec6],RZ[0],AX126,RZ[Úroveň 2 (P0)],AY126,RZ[Úroveň 3 (P0)],AZ126,RZ[Úroveň 4 (P0)],BA126,RZ[Úroveň 5 (P0)],BB126,RZ[Úroveň 6 (P0)],BC126)</f>
        <v>0</v>
      </c>
      <c r="HA126" s="809">
        <f ca="1">SUMIFS(RZ[Sloupec62],RZ[0],AX126,RZ[Úroveň 2 (P0)],AY126,RZ[Úroveň 3 (P0)],AZ126,RZ[Úroveň 4 (P0)],BA126,RZ[Úroveň 5 (P0)],BB126,RZ[Úroveň 6 (P0)],BC126,RZ[Úroveň 7 (P0)],BD126)</f>
        <v>0</v>
      </c>
      <c r="HB126" s="809">
        <f ca="1">SUMIFS(RZ[Sloupec63],RZ[0],AX126,RZ[Úroveň 2 (P0)],AY126,RZ[Úroveň 3 (P0)],AZ126,RZ[Úroveň 4 (P0)],BA126,RZ[Úroveň 5 (P0)],BB126,RZ[Úroveň 6 (P0)],BC126,RZ[Úroveň 7 (P0)],BD126,RZ[Úroveň 8 (P0)],BE126)</f>
        <v>0</v>
      </c>
      <c r="HC126" s="809">
        <f ca="1">SUMIFS(RZ[Sloupec64],RZ[0],AX126,RZ[Úroveň 2 (P0)],AY126,RZ[Úroveň 3 (P0)],AZ126,RZ[Úroveň 4 (P0)],BA126,RZ[Úroveň 5 (P0)],BB126,RZ[Úroveň 6 (P0)],BC126,RZ[Úroveň 7 (P0)],BD126,RZ[Úroveň 8 (P0)],BE126,RZ[Úroveň 9 (P0)],BF126)</f>
        <v>0</v>
      </c>
      <c r="HD126" s="809">
        <f ca="1">SUMIFS(RZ[Sloupec65],RZ[0],AX126,RZ[Úroveň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HE126" s="919">
        <f t="shared" ca="1" si="1119"/>
        <v>1</v>
      </c>
      <c r="HF126" s="920" t="str">
        <f t="shared" si="1120"/>
        <v/>
      </c>
      <c r="HG126" s="94" t="str">
        <f t="shared" si="1121"/>
        <v/>
      </c>
      <c r="HH126" s="95" t="str">
        <f t="shared" si="1122"/>
        <v/>
      </c>
      <c r="HI126" s="95" t="str">
        <f t="shared" si="1123"/>
        <v>Opěrný plech</v>
      </c>
      <c r="HJ126" s="96" t="str">
        <f t="shared" si="1124"/>
        <v/>
      </c>
      <c r="HK126" s="96" t="str">
        <f t="shared" si="1125"/>
        <v/>
      </c>
      <c r="HL126" s="96" t="str">
        <f t="shared" si="1126"/>
        <v/>
      </c>
      <c r="HM126" s="96" t="str">
        <f t="shared" si="1127"/>
        <v/>
      </c>
      <c r="HN126" s="96" t="str">
        <f t="shared" si="1128"/>
        <v/>
      </c>
      <c r="HO126" s="96" t="str">
        <f t="shared" si="1129"/>
        <v/>
      </c>
      <c r="HP126" s="96" t="str">
        <f t="shared" si="1130"/>
        <v/>
      </c>
      <c r="HQ126" s="145" t="str">
        <f t="shared" si="1131"/>
        <v>STO2</v>
      </c>
      <c r="HR126" s="921" t="str">
        <f t="shared" si="1132"/>
        <v/>
      </c>
      <c r="HS126" s="173">
        <f t="shared" si="1133"/>
        <v>0</v>
      </c>
      <c r="HT126" s="100">
        <f t="shared" si="1134"/>
        <v>0</v>
      </c>
      <c r="HU126" s="100">
        <f t="shared" si="1135"/>
        <v>0</v>
      </c>
      <c r="HV126" s="908">
        <f t="shared" si="1136"/>
        <v>0</v>
      </c>
      <c r="HW126" s="922">
        <f t="shared" si="1137"/>
        <v>0</v>
      </c>
      <c r="HX126" s="224">
        <f t="shared" si="1138"/>
        <v>0</v>
      </c>
      <c r="HY126" s="263" t="str">
        <f t="shared" si="1139"/>
        <v>S</v>
      </c>
      <c r="HZ126" s="263">
        <f t="shared" si="1140"/>
        <v>0</v>
      </c>
      <c r="IA126" s="150">
        <f t="shared" si="1141"/>
        <v>1</v>
      </c>
      <c r="IB126" s="319">
        <f t="shared" si="1142"/>
        <v>0</v>
      </c>
      <c r="IC126" s="923">
        <f t="shared" si="1143"/>
        <v>0</v>
      </c>
      <c r="ID126" s="924" t="str">
        <f t="shared" ca="1" si="1144"/>
        <v>OK</v>
      </c>
      <c r="IE126" s="201" t="str">
        <f t="shared" si="1145"/>
        <v>ks</v>
      </c>
      <c r="IF126" s="145">
        <f t="shared" si="1146"/>
        <v>1</v>
      </c>
      <c r="IG126" s="216">
        <f t="shared" si="1147"/>
        <v>16.399999999999999</v>
      </c>
      <c r="IH126" s="217">
        <f t="shared" si="1148"/>
        <v>1</v>
      </c>
      <c r="II126" s="224" t="str">
        <f ca="1">IF(RZ[[#This Row],[Rozhodný sloupec indikativní ceny]]=1,"kg",IF($IW126=$JL$15,IF(JX126=0,JO126,JX126),IF($IW126=$KE$15,IF(KQ126=0,KH126,KQ126),IF($IW126=$KX$15,IF(LJ126=0,LA126,LJ126),IF($IW126=$LQ$15,IF(MC126=0,LT126,MC126),IF($IW126=$MJ$15,IF(NQ126=0,NH126,NQ126),0))))))</f>
        <v>kg</v>
      </c>
      <c r="IJ126" s="224">
        <f ca="1">IF((BH126+OFFSET(BH126,1,1,1,1))=2,RZ[[#This Row],[Počet MJHR (P0)]],IF((BI126+OFFSET(BI126,1,1,1,1))=2,RZ[[#This Row],[Počet MJHR (P0)]],IF((BJ126+OFFSET(BJ126,1,1,1,1))=2,RZ[[#This Row],[Počet MJHR (P0)]],IF((BK126+OFFSET(BK126,1,1,1,1))=2,RZ[[#This Row],[Počet MJHR (P0)]],IF((BL126+OFFSET(BL126,1,1,1,1))=2,RZ[[#This Row],[Počet MJHR (P0)]],IF((BM126+OFFSET(BM126,1,1,1,1))=2,RZ[[#This Row],[Počet MJHR (P0)]],IF((BN126+OFFSET(BN126,1,1,1,1))=2,RZ[[#This Row],[Počet MJHR (P0)]],IF((BO126+OFFSET(BO126,1,1,1,1))=2,RZ[[#This Row],[Počet MJHR (P0)]],IF((BP126+OFFSET(BP126,1,1,1,1))=2,RZ[[#This Row],[Počet MJHR (P0)]],IF((BQ126+OFFSET(BQ126,1,1,1,1))=2,RZ[[#This Row],[Počet MJHR (P0)]],IF(RZ[[#This Row],[Měrná jednotka CR (MJCR) (P0)]]=RZ[[#This Row],[Měrná jednotka HR '[MJHR'] (P0)]],RZ[[#This Row],[Počet MJHR (P0)]],IF($IW126=$JL$15,JY126,IF($IW126=$KE$15,KR126,IF($IW126=$KX$15,LK126,IF($IW126=$LQ$15,MD126,IF($IW126=$MJ$15,NR126,0))))))))))))))))</f>
        <v>0</v>
      </c>
      <c r="IK1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16.399999999999999</v>
      </c>
      <c r="IL126" s="145">
        <f ca="1">IF(AND(RZ[[#This Row],[Jednotková cena bez DPH '[cena/MJCR'] (P0)]]=0,RZ[[#This Row],[Indikativní jednotková cena '[CZK/kg'] (P1)]]&lt;&gt;0),1,0)</f>
        <v>1</v>
      </c>
      <c r="IM126" s="217">
        <f ca="1">VLOOKUP(RZ[[#This Row],[Kód položek]],INDIKAT_CENA,2,FALSE)</f>
        <v>115</v>
      </c>
      <c r="IN126" s="222">
        <f ca="1">IF(RZ[[#This Row],[Rozhodný sloupec indikativní ceny]]=1,RZ[[#This Row],[Indikativní jednotková cena '[CZK/kg'] (P1)]],RZ[[#This Row],[Jednotková cena bez DPH '[cena/MJCR'] (P0)]])</f>
        <v>115</v>
      </c>
      <c r="IO126" s="222">
        <f t="shared" si="1149"/>
        <v>1</v>
      </c>
      <c r="IP126" s="224">
        <f ca="1">IF(RZ[[#This Row],[Rozhodný sloupec indikativní ceny]]=1,1,IF($IW126=$JL$15,KA126,IF($IW126=$KE$15,KT126,IF($IW126=$KX$15,LM126,IF($IW126=$LQ$15,MF126,IF($IW126=$MJ$15,NT126,0))))))</f>
        <v>1</v>
      </c>
      <c r="IQ126" s="225">
        <f ca="1">IF(RZ[[#This Row],[Jednotková cena bez DPH '[cena/MJCR'] (P1)]]="",0,IF(IP126=0,0,(RZ[[#This Row],[Jednotková cena bez DPH '[cena/MJCR'] (P1)]]*VLOOKUP(IP126,$BR$7:$BT$10,3))))</f>
        <v>115</v>
      </c>
      <c r="IR126" s="737"/>
      <c r="IS126" s="627">
        <f>IF(HY126=0,"",VLOOKUP(RZ[[#This Row],[Stav Projekce (P0)]],Vstupy!$E$11:'Vstupy'!$E$11:$H$17,4,FALSE))</f>
        <v>100</v>
      </c>
      <c r="IT126" s="925" t="str">
        <f>IF(RZ[[#This Row],[Stav Projekce (P0)]]=0,"",RZ[[#This Row],[Stav Projekce (P0)]])</f>
        <v>S</v>
      </c>
      <c r="IU126" s="925" t="str">
        <f>IF(RZ[[#This Row],[Stav Nákup (P0)]]=0,"",RZ[[#This Row],[Stav Nákup (P0)]])</f>
        <v/>
      </c>
      <c r="IV126" s="926" t="str">
        <f t="shared" si="1150"/>
        <v/>
      </c>
      <c r="IW126" s="641">
        <v>1</v>
      </c>
      <c r="IX126" s="630"/>
      <c r="IY126" s="264"/>
      <c r="IZ126" s="648"/>
      <c r="JA126" s="100"/>
      <c r="JB126" s="100" t="s">
        <v>841</v>
      </c>
      <c r="JC126" s="100"/>
      <c r="JD126" s="100"/>
      <c r="JE126" s="100"/>
      <c r="JF126" s="100"/>
      <c r="JG126" s="100"/>
      <c r="JH126" s="100"/>
      <c r="JI126" s="100"/>
      <c r="JJ126" s="145" t="s">
        <v>773</v>
      </c>
      <c r="JK126" s="529"/>
      <c r="JL126" s="286"/>
      <c r="JM126" s="100"/>
      <c r="JN126" s="100"/>
      <c r="JO126" s="145" t="s">
        <v>35</v>
      </c>
      <c r="JP126" s="117">
        <v>1</v>
      </c>
      <c r="JQ126" s="117">
        <v>16.399999999999999</v>
      </c>
      <c r="JR126" s="148">
        <v>1</v>
      </c>
      <c r="JS126" s="145" t="s">
        <v>602</v>
      </c>
      <c r="JT126" s="631"/>
      <c r="JU126" s="148"/>
      <c r="JV126" s="154"/>
      <c r="JW126" s="145"/>
      <c r="JX126" s="210"/>
      <c r="JY126" s="117"/>
      <c r="JZ126" s="662"/>
      <c r="KA126" s="145"/>
      <c r="KB126" s="148"/>
      <c r="KC126" s="148"/>
      <c r="KD126" s="644"/>
      <c r="KE126" s="286"/>
      <c r="KF126" s="100"/>
      <c r="KG126" s="100"/>
      <c r="KH126" s="210"/>
      <c r="KI126" s="117"/>
      <c r="KJ126" s="117"/>
      <c r="KK126" s="148"/>
      <c r="KL126" s="145"/>
      <c r="KM126" s="632"/>
      <c r="KN126" s="148"/>
      <c r="KO126" s="154"/>
      <c r="KP126" s="154"/>
      <c r="KQ126" s="210"/>
      <c r="KR126" s="117"/>
      <c r="KS126" s="211"/>
      <c r="KT126" s="145"/>
      <c r="KU126" s="148"/>
      <c r="KV126" s="148"/>
      <c r="KW126" s="265"/>
      <c r="KX126" s="286"/>
      <c r="KY126" s="100"/>
      <c r="KZ126" s="100"/>
      <c r="LA126" s="210"/>
      <c r="LB126" s="117"/>
      <c r="LC126" s="117"/>
      <c r="LD126" s="148"/>
      <c r="LE126" s="145"/>
      <c r="LF126" s="632"/>
      <c r="LG126" s="148"/>
      <c r="LH126" s="154"/>
      <c r="LI126" s="154"/>
      <c r="LJ126" s="154"/>
      <c r="LK126" s="117"/>
      <c r="LL126" s="211"/>
      <c r="LM126" s="210"/>
      <c r="LN126" s="148"/>
      <c r="LO126" s="148"/>
      <c r="LP126" s="265"/>
      <c r="LQ126" s="286"/>
      <c r="LR126" s="100"/>
      <c r="LS126" s="100"/>
      <c r="LT126" s="210"/>
      <c r="LU126" s="117"/>
      <c r="LV126" s="117"/>
      <c r="LW126" s="148"/>
      <c r="LX126" s="145"/>
      <c r="LY126" s="632"/>
      <c r="LZ126" s="148"/>
      <c r="MA126" s="154"/>
      <c r="MB126" s="154"/>
      <c r="MC126" s="145"/>
      <c r="MD126" s="117"/>
      <c r="ME126" s="211"/>
      <c r="MF126" s="210"/>
      <c r="MG126" s="148"/>
      <c r="MH126" s="148"/>
      <c r="MI126" s="265"/>
      <c r="MJ126" s="647"/>
      <c r="MK126" s="264"/>
      <c r="ML126" s="153"/>
      <c r="MM126" s="153"/>
      <c r="MN126" s="153"/>
      <c r="MO126" s="153"/>
      <c r="MP126" s="153"/>
      <c r="MQ126" s="153"/>
      <c r="MR126" s="153"/>
      <c r="MS126" s="99"/>
      <c r="MT126" s="99"/>
      <c r="MU126" s="99"/>
      <c r="MV126" s="99"/>
      <c r="MW126" s="99"/>
      <c r="MX126" s="99"/>
      <c r="MY126" s="153"/>
      <c r="MZ126" s="153"/>
      <c r="NA126" s="153"/>
      <c r="NB126" s="153"/>
      <c r="NC126" s="153"/>
      <c r="ND126" s="153"/>
      <c r="NE126" s="153"/>
      <c r="NF126" s="153"/>
      <c r="NG126" s="153"/>
      <c r="NH126" s="330" t="str">
        <f t="shared" si="1151"/>
        <v>ks</v>
      </c>
      <c r="NI126" s="797">
        <f>RZ[[#This Row],[Počet ks (K)]]</f>
        <v>0</v>
      </c>
      <c r="NJ126" s="798">
        <f>RZ[[#This Row],[Hmotnost '[kg/ks'] (K)]]</f>
        <v>0</v>
      </c>
      <c r="NK126" s="153"/>
      <c r="NL126" s="153"/>
      <c r="NM126" s="632"/>
      <c r="NN126" s="153"/>
      <c r="NO126" s="153"/>
      <c r="NP126" s="153"/>
      <c r="NQ126" s="153"/>
      <c r="NR126" s="153"/>
      <c r="NS126" s="153"/>
      <c r="NT126" s="153"/>
      <c r="NU126" s="153"/>
      <c r="NV126" s="148"/>
      <c r="NW126" s="633"/>
    </row>
    <row r="127" spans="2:387" ht="15.95" customHeight="1" x14ac:dyDescent="0.35">
      <c r="B127" s="118" t="str">
        <f t="shared" si="1044"/>
        <v/>
      </c>
      <c r="C1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7" s="262" t="str">
        <f t="shared" si="1045"/>
        <v xml:space="preserve">    Kotvení šroubu</v>
      </c>
      <c r="E127" s="120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Row],[Kód položek (P2)]]))))))))))</f>
        <v>STO2</v>
      </c>
      <c r="F127" s="791" t="str">
        <f t="shared" si="1046"/>
        <v>N/A</v>
      </c>
      <c r="G127" s="792" t="str">
        <f t="shared" si="1047"/>
        <v/>
      </c>
      <c r="H127" s="262" t="str">
        <f t="shared" si="1048"/>
        <v/>
      </c>
      <c r="I127" s="123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HR '[MJHR'] (P0)]]))))))))))</f>
        <v>ks</v>
      </c>
      <c r="J127" s="123">
        <f t="shared" si="1049"/>
        <v>2</v>
      </c>
      <c r="K127" s="793">
        <f>RZ[[#This Row],[Koeficient odhadu HR '[-'] (P1)]]</f>
        <v>1</v>
      </c>
      <c r="L127" s="124">
        <f ca="1">RZ[[#This Row],[Jednotková hmotnost s koef. '[kg/MJHR'] (P0)]]</f>
        <v>2.13</v>
      </c>
      <c r="M127" s="794">
        <f t="shared" ca="1" si="1050"/>
        <v>0</v>
      </c>
      <c r="N127" s="125">
        <f t="shared" ca="1" si="1051"/>
        <v>4.26</v>
      </c>
      <c r="O127" s="125">
        <f t="shared" ca="1" si="1052"/>
        <v>0</v>
      </c>
      <c r="P127" s="126" t="str">
        <f t="shared" si="1053"/>
        <v/>
      </c>
      <c r="Q127" s="795">
        <f ca="1">RZ[[#This Row],[Počet MJHR v rozpadu (P0)]]</f>
        <v>4</v>
      </c>
      <c r="R127" s="439" t="str">
        <f t="shared" si="1054"/>
        <v/>
      </c>
      <c r="S127" s="129" t="str">
        <f t="shared" si="1055"/>
        <v/>
      </c>
      <c r="T127" s="126" t="str">
        <f t="shared" si="1056"/>
        <v/>
      </c>
      <c r="U127" s="126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CR (MJCR) (P0)]]))))))))))</f>
        <v>kg</v>
      </c>
      <c r="V127" s="575">
        <f t="shared" ca="1" si="1057"/>
        <v>4.26</v>
      </c>
      <c r="W127" s="322">
        <f>RZ[[#This Row],[Koeficient odhadu CR '[-'] (P1)]]</f>
        <v>1</v>
      </c>
      <c r="X127" s="440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Row],[Jednotková cena bez DPH '[cena/MJCR'] (P1)]]*RZ[[#This Row],[Koeficient odhadu CR '[-']]]))))))))))</f>
        <v>115</v>
      </c>
      <c r="Y127" s="440">
        <f t="shared" ca="1" si="1058"/>
        <v>0</v>
      </c>
      <c r="Z127" s="142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VLOOKUP(IP127,$BR$7:$BS$11,2,FALSE)))))))))))</f>
        <v>CZK</v>
      </c>
      <c r="AA127" s="909">
        <f t="shared" ca="1" si="1059"/>
        <v>8.52</v>
      </c>
      <c r="AB127" s="910">
        <f ca="1">RZ[[#This Row],[Kumulovaný koeficient v rozpadu (P0)]]</f>
        <v>1</v>
      </c>
      <c r="AC127" s="261"/>
      <c r="AD127" s="796">
        <f ca="1">RZ[[#This Row],[Jednotková cena bez DPH '[cena/MJCR'] s koef. (P0)]]/RZ[[#This Row],[Koeficient odhadu CR '[-']]]*RZ[[#This Row],[Kumulovaný koeficient odhadu CR  '[-']]]</f>
        <v>115</v>
      </c>
      <c r="AE127" s="796">
        <f t="shared" ca="1" si="1060"/>
        <v>979.8</v>
      </c>
      <c r="AF127" s="796">
        <f ca="1">-IF(ISNUMBER(AA127),RZ[[#This Row],[Celková cena bez DPH (1)]]-RZ[[#This Row],[Jednotková cena bez DPH '[cena/MJCR'] bez koef. (P0)]]*AA127,0)</f>
        <v>0</v>
      </c>
      <c r="AG1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7" s="261"/>
      <c r="AI127" s="796">
        <f ca="1">AD127/VLOOKUP($AJ$13,KURZY,3,FALSE)</f>
        <v>4.2592592592592595</v>
      </c>
      <c r="AJ127" s="796">
        <f ca="1">AE127/VLOOKUP($AJ$13,KURZY,3,FALSE)*IF(V127="",0,1)</f>
        <v>36.288888888888884</v>
      </c>
      <c r="AK127" s="796">
        <f ca="1">AF127/VLOOKUP($AJ$13,KURZY,3,FALSE)</f>
        <v>0</v>
      </c>
      <c r="AL127" s="753">
        <f ca="1">RZ[[#This Row],[Kilogramová cena bez DPH '[cena/kg'] (1)]]/$AK$13</f>
        <v>4.2592592592592595</v>
      </c>
      <c r="AM127" s="261"/>
      <c r="AN127" s="796">
        <f ca="1">AD127/VLOOKUP($AO$13,KURZY,3,FALSE)</f>
        <v>5.5555555555555554</v>
      </c>
      <c r="AO127" s="796">
        <f ca="1">AE127/VLOOKUP($AO$13,KURZY,3,FALSE)*IF(V127="",0,1)</f>
        <v>47.333333333333336</v>
      </c>
      <c r="AP127" s="796">
        <f ca="1">AF127/VLOOKUP($AO$13,KURZY,3,FALSE)</f>
        <v>0</v>
      </c>
      <c r="AQ127" s="753">
        <f ca="1">RZ[[#This Row],[Kilogramová cena bez DPH '[cena/kg'] (1)]]/$AP$13</f>
        <v>5.5555555555555554</v>
      </c>
      <c r="AR127" s="261"/>
      <c r="AS127" s="796">
        <f ca="1">AD127/VLOOKUP($AT$13,KURZY,3,FALSE)</f>
        <v>3.1455142231947484</v>
      </c>
      <c r="AT127" s="796">
        <f ca="1">AE127/VLOOKUP($AT$13,KURZY,3,FALSE)*IF(V127="",0,1)</f>
        <v>26.799781181619252</v>
      </c>
      <c r="AU127" s="789">
        <f ca="1">AF127/VLOOKUP($AT$13,KURZY,3,FALSE)</f>
        <v>0</v>
      </c>
      <c r="AV127" s="767">
        <f ca="1">RZ[[#This Row],[Kilogramová cena bez DPH '[cena/kg'] (1)]]/$AU$13</f>
        <v>3.1455142231947484</v>
      </c>
      <c r="AW127" s="165"/>
      <c r="AX127" s="911">
        <f t="shared" ca="1" si="1061"/>
        <v>2</v>
      </c>
      <c r="AY127" s="111">
        <f t="shared" ca="1" si="1062"/>
        <v>11</v>
      </c>
      <c r="AZ127" s="111">
        <f t="shared" ca="1" si="1063"/>
        <v>4</v>
      </c>
      <c r="BA127" s="111">
        <f t="shared" ca="1" si="1064"/>
        <v>0</v>
      </c>
      <c r="BB127" s="111">
        <f t="shared" ca="1" si="1065"/>
        <v>0</v>
      </c>
      <c r="BC127" s="111">
        <f t="shared" ca="1" si="1066"/>
        <v>0</v>
      </c>
      <c r="BD127" s="111">
        <f t="shared" ca="1" si="1067"/>
        <v>0</v>
      </c>
      <c r="BE127" s="111">
        <f t="shared" ca="1" si="1068"/>
        <v>0</v>
      </c>
      <c r="BF127" s="111">
        <f t="shared" ca="1" si="1069"/>
        <v>0</v>
      </c>
      <c r="BG127" s="112">
        <f t="shared" ca="1" si="1070"/>
        <v>0</v>
      </c>
      <c r="BH127" s="911">
        <f t="shared" si="1071"/>
        <v>0</v>
      </c>
      <c r="BI127" s="111">
        <f t="shared" si="1072"/>
        <v>0</v>
      </c>
      <c r="BJ127" s="111">
        <f t="shared" si="1073"/>
        <v>1</v>
      </c>
      <c r="BK127" s="111">
        <f t="shared" si="1074"/>
        <v>0</v>
      </c>
      <c r="BL127" s="111">
        <f t="shared" si="1075"/>
        <v>0</v>
      </c>
      <c r="BM127" s="111">
        <f t="shared" si="1076"/>
        <v>0</v>
      </c>
      <c r="BN127" s="111">
        <f t="shared" si="1077"/>
        <v>0</v>
      </c>
      <c r="BO127" s="111">
        <f t="shared" si="1078"/>
        <v>0</v>
      </c>
      <c r="BP127" s="111">
        <f t="shared" si="1079"/>
        <v>0</v>
      </c>
      <c r="BQ127" s="112">
        <f t="shared" si="1080"/>
        <v>0</v>
      </c>
      <c r="BR127" s="132">
        <f ca="1">IF(OFFSET(AY127,1,0,1,1)&lt;&gt;0,RZ[[#This Row],[Koeficient odhadu HR '[-'] (P1)]]*$BH127*SUMIFS(RZ[Úroveň 2 s koef. (P2)],RZ[0],AX127),RZ[[#This Row],[Koeficient odhadu HR '[-'] (P1)]]*$BH127*$IG127)</f>
        <v>0</v>
      </c>
      <c r="BS127" s="186">
        <f ca="1">IF(OFFSET(AY127,1,0,1,1)&lt;&gt;0,$BH127*SUMIFS(RZ[Úroveň 2 bez koef. (P2)],RZ[0],AX127),$BH127*$IG127)</f>
        <v>0</v>
      </c>
      <c r="BT127" s="138">
        <f ca="1">RZ[[#This Row],[Úroveň 2 s koef. (P2a)]]*RZ[[#This Row],[Počet MJHR (P0)]]</f>
        <v>0</v>
      </c>
      <c r="BU127" s="138">
        <f ca="1">RZ[[#This Row],[Úroveň 2 bez koef. (P2a)]]*RZ[[#This Row],[Počet MJHR (P0)]]</f>
        <v>0</v>
      </c>
      <c r="BV127" s="138">
        <f ca="1">IF(OFFSET(AZ127,1,0,1,1)&lt;&gt;0,RZ[[#This Row],[Koeficient odhadu HR '[-'] (P1)]]*$BI127*SUMIFS(RZ[Úroveň 3 s koef. (P2)],RZ[0],AX127,RZ[Úroveň 2 (P0)],AY127),RZ[[#This Row],[Koeficient odhadu HR '[-'] (P1)]]*$BI127*$IG127)</f>
        <v>0</v>
      </c>
      <c r="BW127" s="138">
        <f ca="1">IF(OFFSET(AZ127,1,0,1,1)&lt;&gt;0,$BI127*SUMIFS(RZ[Úroveň 3 bez koef. (P2)],RZ[0],AX127,RZ[Úroveň 2 (P0)],AY127),$BI127*$IG127)</f>
        <v>0</v>
      </c>
      <c r="BX127" s="132">
        <f ca="1">RZ[[#This Row],[Úroveň 3 s koef. (P2a)]]*RZ[[#This Row],[Počet MJHR (P0)]]</f>
        <v>4.26</v>
      </c>
      <c r="BY127" s="132">
        <f ca="1">RZ[Úroveň 3 bez koef. (P2a)]*RZ[[#This Row],[Počet MJHR (P0)]]</f>
        <v>4.26</v>
      </c>
      <c r="BZ127" s="132">
        <f ca="1">IF(OFFSET(BA127,1,0,1,1)&lt;&gt;0,RZ[[#This Row],[Koeficient odhadu HR '[-'] (P1)]]*$BJ127*SUMIFS(RZ[Úroveň 4 s koef. (P2)],RZ[0],AX127,RZ[Úroveň 2 (P0)],AY127,RZ[Úroveň 3 (P0)],AZ127),RZ[[#This Row],[Koeficient odhadu HR '[-'] (P1)]]*$BJ127*$IG127)</f>
        <v>2.13</v>
      </c>
      <c r="CA127" s="132">
        <f ca="1">IF(OFFSET(BA127,1,0,1,1)&lt;&gt;0,$BJ127*SUMIFS(RZ[Úroveň 4 bez koef. (P2)],RZ[0],AX127,RZ[Úroveň 2 (P0)],AY127,RZ[Úroveň 3 (P0)],AZ127),$BJ127*$IG127)</f>
        <v>2.13</v>
      </c>
      <c r="CB127" s="138">
        <f ca="1">RZ[[#This Row],[Úroveň 4 s koef. (P2a)]]*RZ[[#This Row],[Počet MJHR (P0)]]</f>
        <v>0</v>
      </c>
      <c r="CC127" s="138">
        <f ca="1">RZ[Úroveň 4 bez koef. (P2a)]*RZ[[#This Row],[Počet MJHR (P0)]]</f>
        <v>0</v>
      </c>
      <c r="CD127" s="138">
        <f ca="1">IF(OFFSET(BB127,1,0,1,1)&lt;&gt;0,RZ[[#This Row],[Koeficient odhadu HR '[-'] (P1)]]*$BK127*SUMIFS(RZ[Úroveň 5 s koef. (P2)],RZ[0],AX127,RZ[Úroveň 2 (P0)],AY127,RZ[Úroveň 3 (P0)],AZ127,RZ[Úroveň 4 (P0)],BA127),RZ[[#This Row],[Koeficient odhadu HR '[-'] (P1)]]*$BK127*$IG127)</f>
        <v>0</v>
      </c>
      <c r="CE127" s="138">
        <f ca="1">IF(OFFSET(BB127,1,0,1,1)&lt;&gt;0,$BK127*SUMIFS(RZ[Úroveň 5 bez koef. (P2)],RZ[0],AX127,RZ[Úroveň 2 (P0)],AY127,RZ[Úroveň 3 (P0)],AZ127,RZ[Úroveň 4 (P0)],BA127),$BK127*$IG127)</f>
        <v>0</v>
      </c>
      <c r="CF127" s="132">
        <f ca="1">RZ[[#This Row],[Úroveň 5 s koef. (P2a)]]*RZ[[#This Row],[Počet MJHR (P0)]]</f>
        <v>0</v>
      </c>
      <c r="CG127" s="132">
        <f ca="1">RZ[Úroveň 5 bez koef. (P2a)]*RZ[[#This Row],[Počet MJHR (P0)]]</f>
        <v>0</v>
      </c>
      <c r="CH127" s="132">
        <f ca="1">IF(OFFSET(BC127,1,0,1,1)&lt;&gt;0,RZ[[#This Row],[Koeficient odhadu HR '[-'] (P1)]]*$BL127*SUMIFS(RZ[Úroveň 6 s koef. (P2)],RZ[0],AX127,RZ[Úroveň 2 (P0)],AY127,RZ[Úroveň 3 (P0)],AZ127,RZ[Úroveň 4 (P0)],BA127,RZ[Úroveň 5 (P0)],BB127),RZ[[#This Row],[Koeficient odhadu HR '[-'] (P1)]]*$BL127*$IG127)</f>
        <v>0</v>
      </c>
      <c r="CI127" s="132">
        <f ca="1">IF(OFFSET(BC127,1,0,1,1)&lt;&gt;0,$BL127*SUMIFS(RZ[Úroveň 6 bez koef. (P2)],RZ[0],AX127,RZ[Úroveň 2 (P0)],AY127,RZ[Úroveň 3 (P0)],AZ127,RZ[Úroveň 4 (P0)],BA127,RZ[Úroveň 5 (P0)],BB127),$BL127*$IG127)</f>
        <v>0</v>
      </c>
      <c r="CJ127" s="138">
        <f ca="1">RZ[[#This Row],[Úroveň 6 s koef. (P2a)]]*RZ[[#This Row],[Počet MJHR (P0)]]</f>
        <v>0</v>
      </c>
      <c r="CK127" s="138">
        <f ca="1">RZ[Úroveň 6 bez koef. (P2a)]*RZ[[#This Row],[Počet MJHR (P0)]]</f>
        <v>0</v>
      </c>
      <c r="CL127" s="138">
        <f ca="1">IF(OFFSET(BD127,1,0,1,1)&lt;&gt;0,RZ[[#This Row],[Koeficient odhadu HR '[-'] (P1)]]*$BM127*SUMIFS(RZ[Úroveň 7 s koef. (P2)],RZ[0],AX127,RZ[Úroveň 2 (P0)],AY127,RZ[Úroveň 3 (P0)],AZ127,RZ[Úroveň 4 (P0)],BA127,RZ[Úroveň 5 (P0)],BB127,RZ[Úroveň 6 (P0)],BC127),RZ[[#This Row],[Koeficient odhadu HR '[-'] (P1)]]*$BM127*$IG127)</f>
        <v>0</v>
      </c>
      <c r="CM127" s="138">
        <f ca="1">IF(OFFSET(BD127,1,0,1,1)&lt;&gt;0,$BM127*SUMIFS(RZ[Úroveň 7 bez koef. (P2)],RZ[0],AX127,RZ[Úroveň 2 (P0)],AY127,RZ[Úroveň 3 (P0)],AZ127,RZ[Úroveň 4 (P0)],BA127,RZ[Úroveň 5 (P0)],BB127,RZ[Úroveň 6 (P0)],BC127),$BM127*$IG127)</f>
        <v>0</v>
      </c>
      <c r="CN127" s="132">
        <f ca="1">RZ[[#This Row],[Úroveň 7 s koef. (P2a)]]*RZ[[#This Row],[Počet MJHR (P0)]]</f>
        <v>0</v>
      </c>
      <c r="CO127" s="132">
        <f ca="1">RZ[Úroveň 7 bez koef. (P2a)]*RZ[[#This Row],[Počet MJHR (P0)]]</f>
        <v>0</v>
      </c>
      <c r="CP127" s="132">
        <f ca="1">IF(OFFSET(BE127,1,0,1,1)&lt;&gt;0,RZ[[#This Row],[Koeficient odhadu HR '[-'] (P1)]]*$BN127*SUMIFS(RZ[Úroveň 8 s koef. (P2)],RZ[0],AX127,RZ[Úroveň 2 (P0)],AY127,RZ[Úroveň 3 (P0)],AZ127,RZ[Úroveň 4 (P0)],BA127,RZ[Úroveň 5 (P0)],BB127,RZ[Úroveň 6 (P0)],BC127,RZ[Úroveň 7 (P0)],BD127),RZ[[#This Row],[Koeficient odhadu HR '[-'] (P1)]]*$BN127*$IG127)</f>
        <v>0</v>
      </c>
      <c r="CQ127" s="132">
        <f ca="1">IF(OFFSET(BE127,1,0,1,1)&lt;&gt;0,$BN127*SUMIFS(RZ[Úroveň 8 bez koef. (P2)],RZ[0],AX127,RZ[Úroveň 2 (P0)],AY127,RZ[Úroveň 3 (P0)],AZ127,RZ[Úroveň 4 (P0)],BA127,RZ[Úroveň 5 (P0)],BB127,RZ[Úroveň 6 (P0)],BC127,RZ[Úroveň 7 (P0)],BD127),$BN127*$IG127)</f>
        <v>0</v>
      </c>
      <c r="CR127" s="138">
        <f ca="1">RZ[[#This Row],[Úroveň 8 s koef. (P2a)]]*RZ[[#This Row],[Počet MJHR (P0)]]</f>
        <v>0</v>
      </c>
      <c r="CS127" s="138">
        <f ca="1">RZ[Úroveň 8 bez koef. (P2a)]*RZ[[#This Row],[Počet MJHR (P0)]]</f>
        <v>0</v>
      </c>
      <c r="CT127" s="138">
        <f ca="1">IF(OFFSET(BF127,1,0,1,1)&lt;&gt;0,RZ[[#This Row],[Koeficient odhadu HR '[-'] (P1)]]*$BO127*SUMIFS(RZ[Úroveň 9 s koef. (P2)],RZ[0],AX127,RZ[Úroveň 2 (P0)],AY127,RZ[Úroveň 3 (P0)],AZ127,RZ[Úroveň 4 (P0)],BA127,RZ[Úroveň 5 (P0)],BB127,RZ[Úroveň 6 (P0)],BC127,RZ[Úroveň 7 (P0)],BD127,RZ[Úroveň 8 (P0)],BE127),RZ[[#This Row],[Koeficient odhadu HR '[-'] (P1)]]*$BO127*$IG127)</f>
        <v>0</v>
      </c>
      <c r="CU127" s="138">
        <f ca="1">IF(OFFSET(BF127,1,0,1,1)&lt;&gt;0,$BO127*SUMIFS(RZ[Úroveň 9 bez koef. (P2)],RZ[0],AX127,RZ[Úroveň 2 (P0)],AY127,RZ[Úroveň 3 (P0)],AZ127,RZ[Úroveň 4 (P0)],BA127,RZ[Úroveň 5 (P0)],BB127,RZ[Úroveň 6 (P0)],BC127,RZ[Úroveň 7 (P0)],BD127,RZ[Úroveň 8 (P0)],BE127),$BO127*$IG127)</f>
        <v>0</v>
      </c>
      <c r="CV127" s="132">
        <f ca="1">RZ[[#This Row],[Úroveň 9 s koef. (P2a)]]*RZ[[#This Row],[Počet MJHR (P0)]]</f>
        <v>0</v>
      </c>
      <c r="CW127" s="132">
        <f ca="1">RZ[Úroveň 9 bez koef. (P2a)]*RZ[[#This Row],[Počet MJHR (P0)]]</f>
        <v>0</v>
      </c>
      <c r="CX127" s="132">
        <f ca="1">IF(OFFSET(BG127,1,0,1,1)&lt;&gt;0,RZ[[#This Row],[Koeficient odhadu HR '[-'] (P1)]]*$BP127*SUMIFS(RZ[Úroveň 10 s koef. (P2)],RZ[0],AX127,RZ[Úroveň 2 (P0)],AY127,RZ[Úroveň 3 (P0)],AZ127,RZ[Úroveň 4 (P0)],BA127,RZ[Úroveň 5 (P0)],BB127,RZ[Úroveň 6 (P0)],BC127,RZ[Úroveň 7 (P0)],BD127,RZ[Úroveň 8 (P0)],BE127,RZ[Úroveň 9 (P0)],BF127),RZ[[#This Row],[Koeficient odhadu HR '[-'] (P1)]]*$BP127*$IG127)</f>
        <v>0</v>
      </c>
      <c r="CY127" s="132">
        <f ca="1">IF(OFFSET(BG127,1,0,1,1)&lt;&gt;0,$BP127*SUMIFS(RZ[Úroveň 10 bez koef. (P2)],RZ[0],AX127,RZ[Úroveň 2 (P0)],AY127,RZ[Úroveň 3 (P0)],AZ127,RZ[Úroveň 4 (P0)],BA127,RZ[Úroveň 5 (P0)],BB127,RZ[Úroveň 6 (P0)],BC127,RZ[Úroveň 7 (P0)],BD127,RZ[Úroveň 8 (P0)],BE127,RZ[Úroveň 9 (P0)],BF127),$BP127*$IG127)</f>
        <v>0</v>
      </c>
      <c r="CZ127" s="138">
        <f>RZ[[#This Row],[Úroveň 10 s koef. (P2a)]]*RZ[[#This Row],[Počet MJHR (P0)]]</f>
        <v>0</v>
      </c>
      <c r="DA127" s="138">
        <f>RZ[Úroveň 10 bez koef. (P2a)]*RZ[[#This Row],[Počet MJHR (P0)]]</f>
        <v>0</v>
      </c>
      <c r="DB127" s="138">
        <f>RZ[[#This Row],[Koeficient odhadu HR '[-'] (P1)]]*$BQ127*IG127</f>
        <v>0</v>
      </c>
      <c r="DC127" s="231">
        <f t="shared" si="1081"/>
        <v>0</v>
      </c>
      <c r="DD127" s="241">
        <f t="shared" ca="1" si="1082"/>
        <v>2.13</v>
      </c>
      <c r="DE127" s="229">
        <f t="shared" ca="1" si="1083"/>
        <v>2.13</v>
      </c>
      <c r="DF127" s="912">
        <f t="shared" si="1084"/>
        <v>0</v>
      </c>
      <c r="DG127" s="913">
        <f t="shared" si="1085"/>
        <v>0</v>
      </c>
      <c r="DH127" s="913">
        <f t="shared" si="1086"/>
        <v>2</v>
      </c>
      <c r="DI127" s="913">
        <f t="shared" si="1087"/>
        <v>0</v>
      </c>
      <c r="DJ127" s="913">
        <f t="shared" si="1088"/>
        <v>0</v>
      </c>
      <c r="DK127" s="913">
        <f t="shared" si="1089"/>
        <v>0</v>
      </c>
      <c r="DL127" s="913">
        <f t="shared" si="1090"/>
        <v>0</v>
      </c>
      <c r="DM127" s="913">
        <f t="shared" si="1091"/>
        <v>0</v>
      </c>
      <c r="DN127" s="913">
        <f t="shared" si="1092"/>
        <v>0</v>
      </c>
      <c r="DO127" s="913">
        <f t="shared" si="1093"/>
        <v>0</v>
      </c>
      <c r="DP127" s="914">
        <f ca="1">SUMIFS(RZ[Úroveň 1 (P4)],RZ[0],AX127)</f>
        <v>1</v>
      </c>
      <c r="DQ127" s="914">
        <f ca="1">SUMIFS(RZ[Úroveň 2 (P4)],RZ[0],AX127,RZ[Úroveň 2 (P0)],AY127)</f>
        <v>2</v>
      </c>
      <c r="DR127" s="914">
        <f ca="1">SUMIFS(RZ[Úroveň 3 (P4)],RZ[0],AX127,RZ[Úroveň 2 (P0)],AY127,RZ[Úroveň 3 (P0)],AZ127)</f>
        <v>2</v>
      </c>
      <c r="DS127" s="914">
        <f ca="1">SUMIFS(RZ[Úroveň 4 (P4)],RZ[0],AX127,RZ[Úroveň 2 (P0)],AY127,RZ[Úroveň 3 (P0)],AZ127,RZ[Úroveň 4 (P0)],BA127)</f>
        <v>0</v>
      </c>
      <c r="DT127" s="914">
        <f ca="1">SUMIFS(RZ[Úroveň 5 (P4)],RZ[0],AX127,RZ[Úroveň 2 (P0)],AY127,RZ[Úroveň 3 (P0)],AZ127,RZ[Úroveň 4 (P0)],BA127,RZ[Úroveň 5 (P0)],BB127)</f>
        <v>0</v>
      </c>
      <c r="DU127" s="914">
        <f ca="1">SUMIFS(RZ[Úroveň 6 (P4)],RZ[0],AX127,RZ[Úroveň 2 (P0)],AY127,RZ[Úroveň 3 (P0)],AZ127,RZ[Úroveň 4 (P0)],BA127,RZ[Úroveň 5 (P0)],BB127,RZ[Úroveň 6 (P0)],BC127)</f>
        <v>0</v>
      </c>
      <c r="DV127" s="914">
        <f ca="1">SUMIFS(RZ[Úroveň 7 (P4)],RZ[0],AX127,RZ[Úroveň 2 (P0)],AY127,RZ[Úroveň 3 (P0)],AZ127,RZ[Úroveň 4 (P0)],BA127,RZ[Úroveň 5 (P0)],BB127,RZ[Úroveň 6 (P0)],BC127,RZ[Úroveň 7 (P0)],BD127)</f>
        <v>0</v>
      </c>
      <c r="DW127" s="914">
        <f ca="1">SUMIFS(RZ[Úroveň 8 (P4)],RZ[0],AX127,RZ[Úroveň 2 (P0)],AY127,RZ[Úroveň 3 (P0)],AZ127,RZ[Úroveň 4 (P0)],BA127,RZ[Úroveň 5 (P0)],BB127,RZ[Úroveň 6 (P0)],BC127,RZ[Úroveň 7 (P0)],BD127,RZ[Úroveň 8 (P0)],BE127)</f>
        <v>0</v>
      </c>
      <c r="DX127" s="914">
        <f ca="1">SUMIFS(RZ[Úroveň 9 (P4)],RZ[0],AX127,RZ[Úroveň 2 (P0)],AY127,RZ[Úroveň 3 (P0)],AZ127,RZ[Úroveň 4 (P0)],BA127,RZ[Úroveň 5 (P0)],BB127,RZ[Úroveň 6 (P0)],BC127,RZ[Úroveň 7 (P0)],BD127,RZ[Úroveň 8 (P0)],BE127,RZ[Úroveň 9 (P0)],BF127)</f>
        <v>0</v>
      </c>
      <c r="DY127" s="914">
        <f ca="1">SUMIFS(RZ[Úroveň 10 (P4)],RZ[0],AX127,RZ[Úroveň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DZ127" s="915">
        <f t="shared" ca="1" si="1094"/>
        <v>4</v>
      </c>
      <c r="EA127" s="916">
        <f ca="1">RZ[[#This Row],[Jednotková hmotnost bez koef. '[kg/MJHR'] (P0)]]*RZ[[#This Row],[Počet MJHR v rozpadu (P0)]]</f>
        <v>8.52</v>
      </c>
      <c r="EB127" s="917">
        <f ca="1">IF(OFFSET(AY127,1,0,1,1)&lt;&gt;0,RZ[[#This Row],[Koeficient odhadu CR '[-'] (P1)]]*$BH127*SUMIFS(RZ[Úroveň 2 s koef. (P3)],RZ[0],AX127),RZ[[#This Row],[Koeficient odhadu CR '[-'] (P1)]]*$BH127*$IQ127)</f>
        <v>0</v>
      </c>
      <c r="EC127" s="191">
        <f ca="1">IF(OFFSET(AY127,1,0,1,1)&lt;&gt;0,$BH127*SUMIFS(RZ[Úroveň 2 bez koef. (P3)],RZ[0],AX127),$BH127*$IQ127)</f>
        <v>0</v>
      </c>
      <c r="ED127" s="140">
        <f ca="1">RZ[[#This Row],[Úroveň 2 s koef. (P3a)]]*RZ[[#This Row],[Počet MJCR (P0) pro "kg"]]</f>
        <v>0</v>
      </c>
      <c r="EE127" s="140">
        <f ca="1">RZ[Úroveň 2 bez koef. (P3a)]*RZ[[#This Row],[Počet MJCR (P0) pro "kg"]]</f>
        <v>0</v>
      </c>
      <c r="EF127" s="140">
        <f ca="1">IF(OFFSET(AZ127,1,0,1,1)&lt;&gt;0,RZ[[#This Row],[Koeficient odhadu CR '[-'] (P1)]]*$BI127*SUMIFS(RZ[Úroveň 3 s koef. (P3)],RZ[0],AX127,RZ[Úroveň 2 (P0)],AY127),RZ[[#This Row],[Koeficient odhadu CR '[-'] (P1)]]*$BI127*$IQ127)</f>
        <v>0</v>
      </c>
      <c r="EG127" s="140">
        <f ca="1">IF(OFFSET(AZ127,1,0,1,1)&lt;&gt;0,$BI127*SUMIFS(RZ[Úroveň 3 bez koef. (P3)],RZ[0],AX127,RZ[Úroveň 2 (P0)],AY127),$BI127*$IQ127)</f>
        <v>0</v>
      </c>
      <c r="EH127" s="135">
        <f ca="1">RZ[[#This Row],[Úroveň 3 s koef. (P3a)]]*RZ[[#This Row],[Počet MJCR (P0) pro "kg"]]</f>
        <v>489.9</v>
      </c>
      <c r="EI127" s="135">
        <f ca="1">RZ[Úroveň 3 bez koef. (P3a)]*RZ[[#This Row],[Počet MJCR (P0) pro "kg"]]</f>
        <v>489.9</v>
      </c>
      <c r="EJ127" s="135">
        <f ca="1">IF(OFFSET(BA127,1,0,1,1)&lt;&gt;0,RZ[[#This Row],[Koeficient odhadu CR '[-'] (P1)]]*$BJ127*SUMIFS(RZ[Úroveň 4 s koef. (P3)],RZ[0],AX127,RZ[Úroveň 2 (P0)],AY127,RZ[Úroveň 3 (P0)],AZ127),RZ[[#This Row],[Koeficient odhadu CR '[-'] (P1)]]*$BJ127*$IQ127)</f>
        <v>115</v>
      </c>
      <c r="EK127" s="135">
        <f ca="1">IF(OFFSET(BA127,1,0,1,1)&lt;&gt;0,$BJ127*SUMIFS(RZ[Úroveň 4 bez koef. (P3)],RZ[0],AX127,RZ[Úroveň 2 (P0)],AY127,RZ[Úroveň 3 (P0)],AZ127),$BJ127*$IQ127)</f>
        <v>115</v>
      </c>
      <c r="EL127" s="140">
        <f ca="1">RZ[[#This Row],[Úroveň 4 s koef. (P3a)]]*RZ[[#This Row],[Počet MJCR (P0) pro "kg"]]</f>
        <v>0</v>
      </c>
      <c r="EM127" s="140">
        <f ca="1">RZ[Úroveň 4 bez koef. (P3a)]*RZ[[#This Row],[Počet MJCR (P0) pro "kg"]]</f>
        <v>0</v>
      </c>
      <c r="EN127" s="140">
        <f ca="1">IF(OFFSET(BB127,1,0,1,1)&lt;&gt;0,RZ[[#This Row],[Koeficient odhadu CR '[-'] (P1)]]*$BK127*SUMIFS(RZ[Úroveň 5 s koef. (P3)],RZ[0],AX127,RZ[Úroveň 2 (P0)],AY127,RZ[Úroveň 3 (P0)],AZ127,RZ[Úroveň 4 (P0)],BA127),RZ[[#This Row],[Koeficient odhadu CR '[-'] (P1)]]*$BK127*$IQ127)</f>
        <v>0</v>
      </c>
      <c r="EO127" s="140">
        <f ca="1">IF(OFFSET(BB127,1,0,1,1)&lt;&gt;0,$BK127*SUMIFS(RZ[Úroveň 5 bez koef. (P3)],RZ[0],AX127,RZ[Úroveň 2 (P0)],AY127,RZ[Úroveň 3 (P0)],AZ127,RZ[Úroveň 4 (P0)],BA127),$BK127*$IQ127)</f>
        <v>0</v>
      </c>
      <c r="EP127" s="135">
        <f ca="1">RZ[[#This Row],[Úroveň 5 s koef. (P3a)]]*RZ[[#This Row],[Počet MJCR (P0) pro "kg"]]</f>
        <v>0</v>
      </c>
      <c r="EQ127" s="135">
        <f ca="1">RZ[Úroveň 5 bez koef. (P3a)]*RZ[[#This Row],[Počet MJCR (P0) pro "kg"]]</f>
        <v>0</v>
      </c>
      <c r="ER127" s="135">
        <f ca="1">IF(OFFSET(BC127,1,0,1,1)&lt;&gt;0,RZ[[#This Row],[Koeficient odhadu CR '[-'] (P1)]]*$BL127*SUMIFS(RZ[Úroveň 6 s koef. (P3)],RZ[0],AX127,RZ[Úroveň 2 (P0)],AY127,RZ[Úroveň 3 (P0)],AZ127,RZ[Úroveň 4 (P0)],BA127,RZ[Úroveň 5 (P0)],BB127),RZ[[#This Row],[Koeficient odhadu CR '[-'] (P1)]]*$BL127*$IQ127)</f>
        <v>0</v>
      </c>
      <c r="ES127" s="135">
        <f ca="1">IF(OFFSET(BC127,1,0,1,1)&lt;&gt;0,$BL127*SUMIFS(RZ[Úroveň 6 bez koef. (P3)],RZ[0],AX127,RZ[Úroveň 2 (P0)],AY127,RZ[Úroveň 3 (P0)],AZ127,RZ[Úroveň 4 (P0)],BA127,RZ[Úroveň 5 (P0)],BB127),$BL127*$IQ127)</f>
        <v>0</v>
      </c>
      <c r="ET127" s="140">
        <f ca="1">RZ[[#This Row],[Úroveň 6 s koef. (P3a)]]*RZ[[#This Row],[Počet MJCR (P0) pro "kg"]]</f>
        <v>0</v>
      </c>
      <c r="EU127" s="140">
        <f ca="1">RZ[Úroveň 6 bez koef. (P3a)]*RZ[[#This Row],[Počet MJCR (P0) pro "kg"]]</f>
        <v>0</v>
      </c>
      <c r="EV127" s="140">
        <f ca="1">IF(OFFSET(BD127,1,0,1,1)&lt;&gt;0,RZ[[#This Row],[Koeficient odhadu CR '[-'] (P1)]]*$BM127*SUMIFS(RZ[Úroveň 7 s koef. (P3)],RZ[0],AX127,RZ[Úroveň 2 (P0)],AY127,RZ[Úroveň 3 (P0)],AZ127,RZ[Úroveň 4 (P0)],BA127,RZ[Úroveň 5 (P0)],BB127,RZ[Úroveň 6 (P0)],BC127),RZ[[#This Row],[Koeficient odhadu CR '[-'] (P1)]]*$BM127*$IQ127)</f>
        <v>0</v>
      </c>
      <c r="EW127" s="140">
        <f ca="1">IF(OFFSET(BD127,1,0,1,1)&lt;&gt;0,$BM127*SUMIFS(RZ[Úroveň 7 bez koef. (P3)],RZ[0],AX127,RZ[Úroveň 2 (P0)],AY127,RZ[Úroveň 3 (P0)],AZ127,RZ[Úroveň 4 (P0)],BA127,RZ[Úroveň 5 (P0)],BB127,RZ[Úroveň 6 (P0)],BC127),$BM127*$IQ127)</f>
        <v>0</v>
      </c>
      <c r="EX127" s="135">
        <f ca="1">RZ[[#This Row],[Úroveň 7 s koef. (P3a)]]*RZ[[#This Row],[Počet MJCR (P0) pro "kg"]]</f>
        <v>0</v>
      </c>
      <c r="EY127" s="135">
        <f ca="1">RZ[Úroveň 7 bez koef. (P3a)]*RZ[[#This Row],[Počet MJCR (P0) pro "kg"]]</f>
        <v>0</v>
      </c>
      <c r="EZ127" s="135">
        <f ca="1">IF(OFFSET(BE127,1,0,1,1)&lt;&gt;0,RZ[[#This Row],[Koeficient odhadu CR '[-'] (P1)]]*$BN127*SUMIFS(RZ[Úroveň 8 s koef. (P3)],RZ[0],AX127,RZ[Úroveň 2 (P0)],AY127,RZ[Úroveň 3 (P0)],AZ127,RZ[Úroveň 4 (P0)],BA127,RZ[Úroveň 5 (P0)],BB127,RZ[Úroveň 6 (P0)],BC127,RZ[Úroveň 7 (P0)],BD127),RZ[[#This Row],[Koeficient odhadu CR '[-'] (P1)]]*$BN127*$IQ127)</f>
        <v>0</v>
      </c>
      <c r="FA127" s="135">
        <f ca="1">IF(OFFSET(BE127,1,0,1,1)&lt;&gt;0,$BN127*SUMIFS(RZ[Úroveň 8 bez koef. (P3)],RZ[0],AX127,RZ[Úroveň 2 (P0)],AY127,RZ[Úroveň 3 (P0)],AZ127,RZ[Úroveň 4 (P0)],BA127,RZ[Úroveň 5 (P0)],BB127,RZ[Úroveň 6 (P0)],BC127,RZ[Úroveň 7 (P0)],BD127),$BN127*$IQ127)</f>
        <v>0</v>
      </c>
      <c r="FB127" s="140">
        <f ca="1">RZ[[#This Row],[Úroveň 8 s koef. (P3a)]]*RZ[[#This Row],[Počet MJCR (P0) pro "kg"]]</f>
        <v>0</v>
      </c>
      <c r="FC127" s="140">
        <f ca="1">RZ[Úroveň 8 bez koef. (P3a)]*RZ[[#This Row],[Počet MJCR (P0) pro "kg"]]</f>
        <v>0</v>
      </c>
      <c r="FD127" s="140">
        <f ca="1">IF(OFFSET(BF127,1,0,1,1)&lt;&gt;0,RZ[[#This Row],[Koeficient odhadu CR '[-'] (P1)]]*$BO127*SUMIFS(RZ[Úroveň 9 s koef. (P3)],RZ[0],AX127,RZ[Úroveň 2 (P0)],AY127,RZ[Úroveň 3 (P0)],AZ127,RZ[Úroveň 4 (P0)],BA127,RZ[Úroveň 5 (P0)],BB127,RZ[Úroveň 6 (P0)],BC127,RZ[Úroveň 7 (P0)],BD127,RZ[Úroveň 8 (P0)],BE127),RZ[[#This Row],[Koeficient odhadu CR '[-'] (P1)]]*$BO127*$IQ127)</f>
        <v>0</v>
      </c>
      <c r="FE127" s="140">
        <f ca="1">IF(OFFSET(BF127,1,0,1,1)&lt;&gt;0,$BO127*SUMIFS(RZ[Úroveň 9 bez koef. (P3)],RZ[0],AX127,RZ[Úroveň 2 (P0)],AY127,RZ[Úroveň 3 (P0)],AZ127,RZ[Úroveň 4 (P0)],BA127,RZ[Úroveň 5 (P0)],BB127,RZ[Úroveň 6 (P0)],BC127,RZ[Úroveň 7 (P0)],BD127,RZ[Úroveň 8 (P0)],BE127),$BO127*$IQ127)</f>
        <v>0</v>
      </c>
      <c r="FF127" s="135">
        <f ca="1">RZ[[#This Row],[Úroveň 9 s koef. (P3a)]]*RZ[[#This Row],[Počet MJCR (P0) pro "kg"]]</f>
        <v>0</v>
      </c>
      <c r="FG127" s="135">
        <f ca="1">RZ[Úroveň 9 bez koef. (P3a)]*RZ[[#This Row],[Počet MJCR (P0) pro "kg"]]</f>
        <v>0</v>
      </c>
      <c r="FH127" s="135">
        <f ca="1">IF(OFFSET(BG127,1,0,1,1)&lt;&gt;0,RZ[[#This Row],[Koeficient odhadu CR '[-'] (P1)]]*$BP127*SUMIFS(RZ[Úroveň 10 s koef. (P3)],RZ[0],AX127,RZ[Úroveň 2 (P0)],AY127,RZ[Úroveň 3 (P0)],AZ127,RZ[Úroveň 4 (P0)],BA127,RZ[Úroveň 5 (P0)],BB127,RZ[Úroveň 6 (P0)],BC127,RZ[Úroveň 7 (P0)],BD127,RZ[Úroveň 8 (P0)],BE127,RZ[Úroveň 9 (P0)],BF127),RZ[[#This Row],[Koeficient odhadu CR '[-'] (P1)]]*$BP127*$IQ127)</f>
        <v>0</v>
      </c>
      <c r="FI127" s="135">
        <f ca="1">IF(OFFSET(BG127,1,0,1,1)&lt;&gt;0,$BP127*SUMIFS(RZ[Úroveň 10 bez koef. (P3)],RZ[0],AX127,RZ[Úroveň 2 (P0)],AY127,RZ[Úroveň 3 (P0)],AZ127,RZ[Úroveň 4 (P0)],BA127,RZ[Úroveň 5 (P0)],BB127,RZ[Úroveň 6 (P0)],BC127,RZ[Úroveň 7 (P0)],BD127,RZ[Úroveň 8 (P0)],BE127,RZ[Úroveň 9 (P0)],BF127),$BP127*$IQ127)</f>
        <v>0</v>
      </c>
      <c r="FJ127" s="140">
        <f ca="1">RZ[[#This Row],[Úroveň 10 s koef. (P3a)]]*RZ[[#This Row],[Počet MJCR (P0) pro "kg"]]</f>
        <v>0</v>
      </c>
      <c r="FK127" s="140">
        <f ca="1">RZ[Úroveň 10 bez koef. (P3a)]*RZ[[#This Row],[Počet MJCR (P0) pro "kg"]]</f>
        <v>0</v>
      </c>
      <c r="FL127" s="140">
        <f ca="1">RZ[[#This Row],[Koeficient odhadu CR '[-'] (P1)]]*$BQ127*IQ127</f>
        <v>0</v>
      </c>
      <c r="FM127" s="236">
        <f t="shared" ca="1" si="1095"/>
        <v>0</v>
      </c>
      <c r="FN127" s="194">
        <f t="shared" ca="1" si="1096"/>
        <v>115</v>
      </c>
      <c r="FO127" s="238">
        <f t="shared" ca="1" si="1097"/>
        <v>115</v>
      </c>
      <c r="FP127" s="135">
        <f t="shared" ca="1" si="1098"/>
        <v>0</v>
      </c>
      <c r="FQ127" s="135">
        <f t="shared" ca="1" si="1099"/>
        <v>0</v>
      </c>
      <c r="FR127" s="135">
        <f t="shared" ca="1" si="1100"/>
        <v>4.26</v>
      </c>
      <c r="FS127" s="135">
        <f t="shared" ca="1" si="1101"/>
        <v>0</v>
      </c>
      <c r="FT127" s="135">
        <f t="shared" ca="1" si="1102"/>
        <v>0</v>
      </c>
      <c r="FU127" s="135">
        <f t="shared" ca="1" si="1103"/>
        <v>0</v>
      </c>
      <c r="FV127" s="135">
        <f t="shared" ca="1" si="1104"/>
        <v>0</v>
      </c>
      <c r="FW127" s="135">
        <f t="shared" ca="1" si="1105"/>
        <v>0</v>
      </c>
      <c r="FX127" s="135">
        <f t="shared" ca="1" si="1106"/>
        <v>0</v>
      </c>
      <c r="FY127" s="135">
        <f t="shared" ca="1" si="1107"/>
        <v>0</v>
      </c>
      <c r="FZ127" s="140">
        <f ca="1">SUMIFS(RZ[Úroveň 1 (P6)],RZ[0],AX127)</f>
        <v>1</v>
      </c>
      <c r="GA127" s="140">
        <f ca="1">SUMIFS(RZ[Úroveň 2 (P6)],RZ[0],AX127,RZ[Úroveň 2 (P0)],AY127)</f>
        <v>2</v>
      </c>
      <c r="GB127" s="140">
        <f ca="1">SUMIFS(RZ[Úroveň 3 (P6)],RZ[0],AX127,RZ[Úroveň 2 (P0)],AY127,RZ[Úroveň 3 (P0)],AZ127)</f>
        <v>4.26</v>
      </c>
      <c r="GC127" s="140">
        <f ca="1">SUMIFS(RZ[Úroveň 4 (P6)],RZ[0],AX127,RZ[Úroveň 2 (P0)],AY127,RZ[Úroveň 3 (P0)],AZ127,RZ[Úroveň 4 (P0)],BA127)</f>
        <v>0</v>
      </c>
      <c r="GD127" s="140">
        <f ca="1">SUMIFS(RZ[Úroveň 5 (P6)],RZ[0],AX127,RZ[Úroveň 2 (P0)],AY127,RZ[Úroveň 3 (P0)],AZ127,RZ[Úroveň 4 (P0)],BA127,RZ[Úroveň 5 (P0)],BB127)</f>
        <v>0</v>
      </c>
      <c r="GE127" s="140">
        <f ca="1">SUMIFS(RZ[Úroveň 6 (P6)],RZ[0],AX127,RZ[Úroveň 2 (P0)],AY127,RZ[Úroveň 3 (P0)],AZ127,RZ[Úroveň 4 (P0)],BA127,RZ[Úroveň 5 (P0)],BB127,RZ[Úroveň 6 (P0)],BC127)</f>
        <v>0</v>
      </c>
      <c r="GF127" s="140">
        <f ca="1">SUMIFS(RZ[Úroveň 7 (P6)],RZ[0],AX127,RZ[Úroveň 2 (P0)],AY127,RZ[Úroveň 3 (P0)],AZ127,RZ[Úroveň 4 (P0)],BA127,RZ[Úroveň 5 (P0)],BB127,RZ[Úroveň 6 (P0)],BC127,RZ[Úroveň 7 (P0)],BD127)</f>
        <v>0</v>
      </c>
      <c r="GG127" s="140">
        <f ca="1">SUMIFS(RZ[Úroveň 8 (P6)],RZ[0],AX127,RZ[Úroveň 2 (P0)],AY127,RZ[Úroveň 3 (P0)],AZ127,RZ[Úroveň 4 (P0)],BA127,RZ[Úroveň 5 (P0)],BB127,RZ[Úroveň 6 (P0)],BC127,RZ[Úroveň 7 (P0)],BD127,RZ[Úroveň 8 (P0)],BE127)</f>
        <v>0</v>
      </c>
      <c r="GH127" s="140">
        <f ca="1">SUMIFS(RZ[Úroveň 9 (P6)],RZ[0],AX127,RZ[Úroveň 2 (P0)],AY127,RZ[Úroveň 3 (P0)],AZ127,RZ[Úroveň 4 (P0)],BA127,RZ[Úroveň 5 (P0)],BB127,RZ[Úroveň 6 (P0)],BC127,RZ[Úroveň 7 (P0)],BD127,RZ[Úroveň 8 (P0)],BE127,RZ[Úroveň 9 (P0)],BF127)</f>
        <v>0</v>
      </c>
      <c r="GI127" s="140">
        <f ca="1">SUMIFS(RZ[Úroveň 10 (P6)],RZ[0],AX127,RZ[Úroveň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GJ127" s="918">
        <f t="shared" ca="1" si="1108"/>
        <v>8.52</v>
      </c>
      <c r="GK127" s="808">
        <f t="shared" si="1109"/>
        <v>0</v>
      </c>
      <c r="GL127" s="808">
        <f t="shared" si="1110"/>
        <v>0</v>
      </c>
      <c r="GM127" s="808">
        <f t="shared" si="1111"/>
        <v>1</v>
      </c>
      <c r="GN127" s="808">
        <f t="shared" si="1112"/>
        <v>0</v>
      </c>
      <c r="GO127" s="808">
        <f t="shared" si="1113"/>
        <v>0</v>
      </c>
      <c r="GP127" s="808">
        <f t="shared" si="1114"/>
        <v>0</v>
      </c>
      <c r="GQ127" s="808">
        <f t="shared" si="1115"/>
        <v>0</v>
      </c>
      <c r="GR127" s="808">
        <f t="shared" si="1116"/>
        <v>0</v>
      </c>
      <c r="GS127" s="808">
        <f t="shared" si="1117"/>
        <v>0</v>
      </c>
      <c r="GT127" s="808">
        <f t="shared" si="1118"/>
        <v>0</v>
      </c>
      <c r="GU127" s="809">
        <f ca="1">SUMIFS(RZ[Sloupec1],RZ[0],AX127)</f>
        <v>1</v>
      </c>
      <c r="GV127" s="809">
        <f ca="1">SUMIFS(RZ[Sloupec2],RZ[0],AX127,RZ[Úroveň 2 (P0)],AY127)</f>
        <v>1</v>
      </c>
      <c r="GW127" s="809">
        <f ca="1">SUMIFS(RZ[Sloupec3],RZ[0],AX127,RZ[Úroveň 2 (P0)],AY127,RZ[Úroveň 3 (P0)],AZ127)</f>
        <v>1</v>
      </c>
      <c r="GX127" s="809">
        <f ca="1">SUMIFS(RZ[Sloupec4],RZ[0],AX127,RZ[Úroveň 2 (P0)],AY127,RZ[Úroveň 3 (P0)],AZ127,RZ[Úroveň 4 (P0)],BA127)</f>
        <v>0</v>
      </c>
      <c r="GY127" s="809">
        <f ca="1">SUMIFS(RZ[Sloupec5],RZ[0],AX127,RZ[Úroveň 2 (P0)],AY127,RZ[Úroveň 3 (P0)],AZ127,RZ[Úroveň 4 (P0)],BA127,RZ[Úroveň 5 (P0)],BB127)</f>
        <v>0</v>
      </c>
      <c r="GZ127" s="809">
        <f ca="1">SUMIFS(RZ[Sloupec6],RZ[0],AX127,RZ[Úroveň 2 (P0)],AY127,RZ[Úroveň 3 (P0)],AZ127,RZ[Úroveň 4 (P0)],BA127,RZ[Úroveň 5 (P0)],BB127,RZ[Úroveň 6 (P0)],BC127)</f>
        <v>0</v>
      </c>
      <c r="HA127" s="809">
        <f ca="1">SUMIFS(RZ[Sloupec62],RZ[0],AX127,RZ[Úroveň 2 (P0)],AY127,RZ[Úroveň 3 (P0)],AZ127,RZ[Úroveň 4 (P0)],BA127,RZ[Úroveň 5 (P0)],BB127,RZ[Úroveň 6 (P0)],BC127,RZ[Úroveň 7 (P0)],BD127)</f>
        <v>0</v>
      </c>
      <c r="HB127" s="809">
        <f ca="1">SUMIFS(RZ[Sloupec63],RZ[0],AX127,RZ[Úroveň 2 (P0)],AY127,RZ[Úroveň 3 (P0)],AZ127,RZ[Úroveň 4 (P0)],BA127,RZ[Úroveň 5 (P0)],BB127,RZ[Úroveň 6 (P0)],BC127,RZ[Úroveň 7 (P0)],BD127,RZ[Úroveň 8 (P0)],BE127)</f>
        <v>0</v>
      </c>
      <c r="HC127" s="809">
        <f ca="1">SUMIFS(RZ[Sloupec64],RZ[0],AX127,RZ[Úroveň 2 (P0)],AY127,RZ[Úroveň 3 (P0)],AZ127,RZ[Úroveň 4 (P0)],BA127,RZ[Úroveň 5 (P0)],BB127,RZ[Úroveň 6 (P0)],BC127,RZ[Úroveň 7 (P0)],BD127,RZ[Úroveň 8 (P0)],BE127,RZ[Úroveň 9 (P0)],BF127)</f>
        <v>0</v>
      </c>
      <c r="HD127" s="809">
        <f ca="1">SUMIFS(RZ[Sloupec65],RZ[0],AX127,RZ[Úroveň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HE127" s="919">
        <f t="shared" ca="1" si="1119"/>
        <v>1</v>
      </c>
      <c r="HF127" s="920" t="str">
        <f t="shared" si="1120"/>
        <v/>
      </c>
      <c r="HG127" s="94" t="str">
        <f t="shared" si="1121"/>
        <v/>
      </c>
      <c r="HH127" s="95" t="str">
        <f t="shared" si="1122"/>
        <v/>
      </c>
      <c r="HI127" s="95" t="str">
        <f t="shared" si="1123"/>
        <v>Kotvení šroubu</v>
      </c>
      <c r="HJ127" s="96" t="str">
        <f t="shared" si="1124"/>
        <v/>
      </c>
      <c r="HK127" s="96" t="str">
        <f t="shared" si="1125"/>
        <v/>
      </c>
      <c r="HL127" s="96" t="str">
        <f t="shared" si="1126"/>
        <v/>
      </c>
      <c r="HM127" s="96" t="str">
        <f t="shared" si="1127"/>
        <v/>
      </c>
      <c r="HN127" s="96" t="str">
        <f t="shared" si="1128"/>
        <v/>
      </c>
      <c r="HO127" s="96" t="str">
        <f t="shared" si="1129"/>
        <v/>
      </c>
      <c r="HP127" s="96" t="str">
        <f t="shared" si="1130"/>
        <v/>
      </c>
      <c r="HQ127" s="145" t="str">
        <f t="shared" si="1131"/>
        <v>STO2</v>
      </c>
      <c r="HR127" s="921" t="str">
        <f t="shared" si="1132"/>
        <v/>
      </c>
      <c r="HS127" s="173">
        <f t="shared" si="1133"/>
        <v>0</v>
      </c>
      <c r="HT127" s="100">
        <f t="shared" si="1134"/>
        <v>0</v>
      </c>
      <c r="HU127" s="100">
        <f t="shared" si="1135"/>
        <v>0</v>
      </c>
      <c r="HV127" s="908">
        <f t="shared" si="1136"/>
        <v>0</v>
      </c>
      <c r="HW127" s="922">
        <f t="shared" si="1137"/>
        <v>0</v>
      </c>
      <c r="HX127" s="224">
        <f t="shared" si="1138"/>
        <v>0</v>
      </c>
      <c r="HY127" s="263" t="str">
        <f t="shared" si="1139"/>
        <v>S</v>
      </c>
      <c r="HZ127" s="263">
        <f t="shared" si="1140"/>
        <v>0</v>
      </c>
      <c r="IA127" s="150">
        <f t="shared" si="1141"/>
        <v>1</v>
      </c>
      <c r="IB127" s="319">
        <f t="shared" si="1142"/>
        <v>0</v>
      </c>
      <c r="IC127" s="923">
        <f t="shared" si="1143"/>
        <v>0</v>
      </c>
      <c r="ID127" s="924" t="str">
        <f t="shared" ca="1" si="1144"/>
        <v>OK</v>
      </c>
      <c r="IE127" s="201" t="str">
        <f t="shared" si="1145"/>
        <v>ks</v>
      </c>
      <c r="IF127" s="145">
        <f t="shared" si="1146"/>
        <v>2</v>
      </c>
      <c r="IG127" s="216">
        <f t="shared" si="1147"/>
        <v>2.13</v>
      </c>
      <c r="IH127" s="217">
        <f t="shared" si="1148"/>
        <v>1</v>
      </c>
      <c r="II127" s="224" t="str">
        <f ca="1">IF(RZ[[#This Row],[Rozhodný sloupec indikativní ceny]]=1,"kg",IF($IW127=$JL$15,IF(JX127=0,JO127,JX127),IF($IW127=$KE$15,IF(KQ127=0,KH127,KQ127),IF($IW127=$KX$15,IF(LJ127=0,LA127,LJ127),IF($IW127=$LQ$15,IF(MC127=0,LT127,MC127),IF($IW127=$MJ$15,IF(NQ127=0,NH127,NQ127),0))))))</f>
        <v>kg</v>
      </c>
      <c r="IJ127" s="224">
        <f ca="1">IF((BH127+OFFSET(BH127,1,1,1,1))=2,RZ[[#This Row],[Počet MJHR (P0)]],IF((BI127+OFFSET(BI127,1,1,1,1))=2,RZ[[#This Row],[Počet MJHR (P0)]],IF((BJ127+OFFSET(BJ127,1,1,1,1))=2,RZ[[#This Row],[Počet MJHR (P0)]],IF((BK127+OFFSET(BK127,1,1,1,1))=2,RZ[[#This Row],[Počet MJHR (P0)]],IF((BL127+OFFSET(BL127,1,1,1,1))=2,RZ[[#This Row],[Počet MJHR (P0)]],IF((BM127+OFFSET(BM127,1,1,1,1))=2,RZ[[#This Row],[Počet MJHR (P0)]],IF((BN127+OFFSET(BN127,1,1,1,1))=2,RZ[[#This Row],[Počet MJHR (P0)]],IF((BO127+OFFSET(BO127,1,1,1,1))=2,RZ[[#This Row],[Počet MJHR (P0)]],IF((BP127+OFFSET(BP127,1,1,1,1))=2,RZ[[#This Row],[Počet MJHR (P0)]],IF((BQ127+OFFSET(BQ127,1,1,1,1))=2,RZ[[#This Row],[Počet MJHR (P0)]],IF(RZ[[#This Row],[Měrná jednotka CR (MJCR) (P0)]]=RZ[[#This Row],[Měrná jednotka HR '[MJHR'] (P0)]],RZ[[#This Row],[Počet MJHR (P0)]],IF($IW127=$JL$15,JY127,IF($IW127=$KE$15,KR127,IF($IW127=$KX$15,LK127,IF($IW127=$LQ$15,MD127,IF($IW127=$MJ$15,NR127,0))))))))))))))))</f>
        <v>0</v>
      </c>
      <c r="IK1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4.26</v>
      </c>
      <c r="IL127" s="145">
        <f ca="1">IF(AND(RZ[[#This Row],[Jednotková cena bez DPH '[cena/MJCR'] (P0)]]=0,RZ[[#This Row],[Indikativní jednotková cena '[CZK/kg'] (P1)]]&lt;&gt;0),1,0)</f>
        <v>1</v>
      </c>
      <c r="IM127" s="217">
        <f ca="1">VLOOKUP(RZ[[#This Row],[Kód položek]],INDIKAT_CENA,2,FALSE)</f>
        <v>115</v>
      </c>
      <c r="IN127" s="222">
        <f ca="1">IF(RZ[[#This Row],[Rozhodný sloupec indikativní ceny]]=1,RZ[[#This Row],[Indikativní jednotková cena '[CZK/kg'] (P1)]],RZ[[#This Row],[Jednotková cena bez DPH '[cena/MJCR'] (P0)]])</f>
        <v>115</v>
      </c>
      <c r="IO127" s="222">
        <f t="shared" si="1149"/>
        <v>1</v>
      </c>
      <c r="IP127" s="224">
        <f ca="1">IF(RZ[[#This Row],[Rozhodný sloupec indikativní ceny]]=1,1,IF($IW127=$JL$15,KA127,IF($IW127=$KE$15,KT127,IF($IW127=$KX$15,LM127,IF($IW127=$LQ$15,MF127,IF($IW127=$MJ$15,NT127,0))))))</f>
        <v>1</v>
      </c>
      <c r="IQ127" s="225">
        <f ca="1">IF(RZ[[#This Row],[Jednotková cena bez DPH '[cena/MJCR'] (P1)]]="",0,IF(IP127=0,0,(RZ[[#This Row],[Jednotková cena bez DPH '[cena/MJCR'] (P1)]]*VLOOKUP(IP127,$BR$7:$BT$10,3))))</f>
        <v>115</v>
      </c>
      <c r="IR127" s="737"/>
      <c r="IS127" s="627">
        <f>IF(HY127=0,"",VLOOKUP(RZ[[#This Row],[Stav Projekce (P0)]],Vstupy!$E$11:'Vstupy'!$E$11:$H$17,4,FALSE))</f>
        <v>100</v>
      </c>
      <c r="IT127" s="925" t="str">
        <f>IF(RZ[[#This Row],[Stav Projekce (P0)]]=0,"",RZ[[#This Row],[Stav Projekce (P0)]])</f>
        <v>S</v>
      </c>
      <c r="IU127" s="925" t="str">
        <f>IF(RZ[[#This Row],[Stav Nákup (P0)]]=0,"",RZ[[#This Row],[Stav Nákup (P0)]])</f>
        <v/>
      </c>
      <c r="IV127" s="926" t="str">
        <f t="shared" si="1150"/>
        <v/>
      </c>
      <c r="IW127" s="641">
        <v>1</v>
      </c>
      <c r="IX127" s="630"/>
      <c r="IY127" s="264"/>
      <c r="IZ127" s="648"/>
      <c r="JA127" s="100"/>
      <c r="JB127" s="100" t="s">
        <v>842</v>
      </c>
      <c r="JC127" s="100"/>
      <c r="JD127" s="100"/>
      <c r="JE127" s="100"/>
      <c r="JF127" s="100"/>
      <c r="JG127" s="100"/>
      <c r="JH127" s="100"/>
      <c r="JI127" s="100"/>
      <c r="JJ127" s="145" t="s">
        <v>773</v>
      </c>
      <c r="JK127" s="529"/>
      <c r="JL127" s="286"/>
      <c r="JM127" s="100"/>
      <c r="JN127" s="100"/>
      <c r="JO127" s="145" t="s">
        <v>35</v>
      </c>
      <c r="JP127" s="117">
        <v>2</v>
      </c>
      <c r="JQ127" s="117">
        <v>2.13</v>
      </c>
      <c r="JR127" s="148">
        <v>1</v>
      </c>
      <c r="JS127" s="145" t="s">
        <v>602</v>
      </c>
      <c r="JT127" s="631"/>
      <c r="JU127" s="148"/>
      <c r="JV127" s="154"/>
      <c r="JW127" s="145"/>
      <c r="JX127" s="210"/>
      <c r="JY127" s="117"/>
      <c r="JZ127" s="662"/>
      <c r="KA127" s="145"/>
      <c r="KB127" s="148"/>
      <c r="KC127" s="148"/>
      <c r="KD127" s="644"/>
      <c r="KE127" s="286"/>
      <c r="KF127" s="100"/>
      <c r="KG127" s="100"/>
      <c r="KH127" s="210"/>
      <c r="KI127" s="117"/>
      <c r="KJ127" s="117"/>
      <c r="KK127" s="148"/>
      <c r="KL127" s="145"/>
      <c r="KM127" s="632"/>
      <c r="KN127" s="148"/>
      <c r="KO127" s="154"/>
      <c r="KP127" s="154"/>
      <c r="KQ127" s="210"/>
      <c r="KR127" s="117"/>
      <c r="KS127" s="211"/>
      <c r="KT127" s="145"/>
      <c r="KU127" s="148"/>
      <c r="KV127" s="148"/>
      <c r="KW127" s="265"/>
      <c r="KX127" s="286"/>
      <c r="KY127" s="100"/>
      <c r="KZ127" s="100"/>
      <c r="LA127" s="210"/>
      <c r="LB127" s="117"/>
      <c r="LC127" s="117"/>
      <c r="LD127" s="148"/>
      <c r="LE127" s="145"/>
      <c r="LF127" s="632"/>
      <c r="LG127" s="148"/>
      <c r="LH127" s="154"/>
      <c r="LI127" s="154"/>
      <c r="LJ127" s="154"/>
      <c r="LK127" s="117"/>
      <c r="LL127" s="211"/>
      <c r="LM127" s="210"/>
      <c r="LN127" s="148"/>
      <c r="LO127" s="148"/>
      <c r="LP127" s="265"/>
      <c r="LQ127" s="286"/>
      <c r="LR127" s="100"/>
      <c r="LS127" s="100"/>
      <c r="LT127" s="210"/>
      <c r="LU127" s="117"/>
      <c r="LV127" s="117"/>
      <c r="LW127" s="148"/>
      <c r="LX127" s="145"/>
      <c r="LY127" s="632"/>
      <c r="LZ127" s="148"/>
      <c r="MA127" s="154"/>
      <c r="MB127" s="154"/>
      <c r="MC127" s="145"/>
      <c r="MD127" s="117"/>
      <c r="ME127" s="211"/>
      <c r="MF127" s="210"/>
      <c r="MG127" s="148"/>
      <c r="MH127" s="148"/>
      <c r="MI127" s="265"/>
      <c r="MJ127" s="647"/>
      <c r="MK127" s="264"/>
      <c r="ML127" s="153"/>
      <c r="MM127" s="153"/>
      <c r="MN127" s="153"/>
      <c r="MO127" s="153"/>
      <c r="MP127" s="153"/>
      <c r="MQ127" s="153"/>
      <c r="MR127" s="153"/>
      <c r="MS127" s="99"/>
      <c r="MT127" s="99"/>
      <c r="MU127" s="99"/>
      <c r="MV127" s="99"/>
      <c r="MW127" s="99"/>
      <c r="MX127" s="99"/>
      <c r="MY127" s="153"/>
      <c r="MZ127" s="153"/>
      <c r="NA127" s="153"/>
      <c r="NB127" s="153"/>
      <c r="NC127" s="153"/>
      <c r="ND127" s="153"/>
      <c r="NE127" s="153"/>
      <c r="NF127" s="153"/>
      <c r="NG127" s="153"/>
      <c r="NH127" s="330" t="str">
        <f t="shared" si="1151"/>
        <v>ks</v>
      </c>
      <c r="NI127" s="797">
        <f>RZ[[#This Row],[Počet ks (K)]]</f>
        <v>0</v>
      </c>
      <c r="NJ127" s="798">
        <f>RZ[[#This Row],[Hmotnost '[kg/ks'] (K)]]</f>
        <v>0</v>
      </c>
      <c r="NK127" s="153"/>
      <c r="NL127" s="153"/>
      <c r="NM127" s="632"/>
      <c r="NN127" s="153"/>
      <c r="NO127" s="153"/>
      <c r="NP127" s="153"/>
      <c r="NQ127" s="153"/>
      <c r="NR127" s="153"/>
      <c r="NS127" s="153"/>
      <c r="NT127" s="153"/>
      <c r="NU127" s="153"/>
      <c r="NV127" s="148"/>
      <c r="NW127" s="633"/>
    </row>
    <row r="128" spans="2:387" ht="15.95" customHeight="1" thickBot="1" x14ac:dyDescent="0.4">
      <c r="B128" s="118" t="str">
        <f t="shared" si="1044"/>
        <v/>
      </c>
      <c r="C1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8" s="262" t="str">
        <f t="shared" si="1045"/>
        <v xml:space="preserve">    Spojovací materiál</v>
      </c>
      <c r="E128" s="120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Row],[Kód položek (P2)]]))))))))))</f>
        <v>STSM</v>
      </c>
      <c r="F128" s="791" t="str">
        <f t="shared" si="1046"/>
        <v>N/A</v>
      </c>
      <c r="G128" s="792" t="str">
        <f t="shared" si="1047"/>
        <v/>
      </c>
      <c r="H128" s="262" t="str">
        <f t="shared" si="1048"/>
        <v/>
      </c>
      <c r="I128" s="123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HR '[MJHR'] (P0)]]))))))))))</f>
        <v>ks</v>
      </c>
      <c r="J128" s="123">
        <f t="shared" si="1049"/>
        <v>1</v>
      </c>
      <c r="K128" s="793">
        <f>RZ[[#This Row],[Koeficient odhadu HR '[-'] (P1)]]</f>
        <v>1</v>
      </c>
      <c r="L128" s="124">
        <f ca="1">RZ[[#This Row],[Jednotková hmotnost s koef. '[kg/MJHR'] (P0)]]</f>
        <v>1.8160000000000001</v>
      </c>
      <c r="M128" s="794">
        <f t="shared" ca="1" si="1050"/>
        <v>0</v>
      </c>
      <c r="N128" s="125">
        <f t="shared" ca="1" si="1051"/>
        <v>1.8160000000000001</v>
      </c>
      <c r="O128" s="125">
        <f t="shared" ca="1" si="1052"/>
        <v>0</v>
      </c>
      <c r="P128" s="126" t="str">
        <f t="shared" si="1053"/>
        <v/>
      </c>
      <c r="Q128" s="795">
        <f ca="1">RZ[[#This Row],[Počet MJHR v rozpadu (P0)]]</f>
        <v>2</v>
      </c>
      <c r="R128" s="439" t="str">
        <f t="shared" si="1054"/>
        <v/>
      </c>
      <c r="S128" s="129" t="str">
        <f t="shared" si="1055"/>
        <v/>
      </c>
      <c r="T128" s="126" t="str">
        <f t="shared" si="1056"/>
        <v/>
      </c>
      <c r="U128" s="126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CR (MJCR) (P0)]]))))))))))</f>
        <v>kg</v>
      </c>
      <c r="V128" s="575">
        <f t="shared" ca="1" si="1057"/>
        <v>1.8160000000000001</v>
      </c>
      <c r="W128" s="322">
        <f>RZ[[#This Row],[Koeficient odhadu CR '[-'] (P1)]]</f>
        <v>1</v>
      </c>
      <c r="X128" s="440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Row],[Jednotková cena bez DPH '[cena/MJCR'] (P1)]]*RZ[[#This Row],[Koeficient odhadu CR '[-']]]))))))))))</f>
        <v>110</v>
      </c>
      <c r="Y128" s="440">
        <f t="shared" ca="1" si="1058"/>
        <v>0</v>
      </c>
      <c r="Z128" s="142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VLOOKUP(IP128,$BR$7:$BS$11,2,FALSE)))))))))))</f>
        <v>CZK</v>
      </c>
      <c r="AA128" s="909">
        <f t="shared" ca="1" si="1059"/>
        <v>3.6320000000000001</v>
      </c>
      <c r="AB128" s="910">
        <f ca="1">RZ[[#This Row],[Kumulovaný koeficient v rozpadu (P0)]]</f>
        <v>1</v>
      </c>
      <c r="AC128" s="261"/>
      <c r="AD128" s="796">
        <f ca="1">RZ[[#This Row],[Jednotková cena bez DPH '[cena/MJCR'] s koef. (P0)]]/RZ[[#This Row],[Koeficient odhadu CR '[-']]]*RZ[[#This Row],[Kumulovaný koeficient odhadu CR  '[-']]]</f>
        <v>110</v>
      </c>
      <c r="AE128" s="796">
        <f t="shared" ca="1" si="1060"/>
        <v>399.52000000000004</v>
      </c>
      <c r="AF128" s="796">
        <f ca="1">-IF(ISNUMBER(AA128),RZ[[#This Row],[Celková cena bez DPH (1)]]-RZ[[#This Row],[Jednotková cena bez DPH '[cena/MJCR'] bez koef. (P0)]]*AA128,0)</f>
        <v>0</v>
      </c>
      <c r="AG1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8" s="261"/>
      <c r="AI128" s="796">
        <f ca="1">AD128/VLOOKUP($AJ$13,KURZY,3,FALSE)</f>
        <v>4.0740740740740744</v>
      </c>
      <c r="AJ128" s="796">
        <f ca="1">AE128/VLOOKUP($AJ$13,KURZY,3,FALSE)*IF(V128="",0,1)</f>
        <v>14.797037037037038</v>
      </c>
      <c r="AK128" s="796">
        <f ca="1">AF128/VLOOKUP($AJ$13,KURZY,3,FALSE)</f>
        <v>0</v>
      </c>
      <c r="AL128" s="753">
        <f ca="1">RZ[[#This Row],[Kilogramová cena bez DPH '[cena/kg'] (1)]]/$AK$13</f>
        <v>4.0740740740740744</v>
      </c>
      <c r="AM128" s="261"/>
      <c r="AN128" s="796">
        <f ca="1">AD128/VLOOKUP($AO$13,KURZY,3,FALSE)</f>
        <v>5.3140096618357493</v>
      </c>
      <c r="AO128" s="796">
        <f ca="1">AE128/VLOOKUP($AO$13,KURZY,3,FALSE)*IF(V128="",0,1)</f>
        <v>19.300483091787441</v>
      </c>
      <c r="AP128" s="796">
        <f ca="1">AF128/VLOOKUP($AO$13,KURZY,3,FALSE)</f>
        <v>0</v>
      </c>
      <c r="AQ128" s="753">
        <f ca="1">RZ[[#This Row],[Kilogramová cena bez DPH '[cena/kg'] (1)]]/$AP$13</f>
        <v>5.3140096618357493</v>
      </c>
      <c r="AR128" s="261"/>
      <c r="AS128" s="796">
        <f ca="1">AD128/VLOOKUP($AT$13,KURZY,3,FALSE)</f>
        <v>3.0087527352297592</v>
      </c>
      <c r="AT128" s="796">
        <f ca="1">AE128/VLOOKUP($AT$13,KURZY,3,FALSE)*IF(V128="",0,1)</f>
        <v>10.927789934354486</v>
      </c>
      <c r="AU128" s="789">
        <f ca="1">AF128/VLOOKUP($AT$13,KURZY,3,FALSE)</f>
        <v>0</v>
      </c>
      <c r="AV128" s="767">
        <f ca="1">RZ[[#This Row],[Kilogramová cena bez DPH '[cena/kg'] (1)]]/$AU$13</f>
        <v>3.0087527352297592</v>
      </c>
      <c r="AW128" s="165"/>
      <c r="AX128" s="911">
        <f t="shared" ca="1" si="1061"/>
        <v>2</v>
      </c>
      <c r="AY128" s="111">
        <f t="shared" ca="1" si="1062"/>
        <v>11</v>
      </c>
      <c r="AZ128" s="111">
        <f t="shared" ca="1" si="1063"/>
        <v>5</v>
      </c>
      <c r="BA128" s="111">
        <f t="shared" ca="1" si="1064"/>
        <v>0</v>
      </c>
      <c r="BB128" s="111">
        <f t="shared" ca="1" si="1065"/>
        <v>0</v>
      </c>
      <c r="BC128" s="111">
        <f t="shared" ca="1" si="1066"/>
        <v>0</v>
      </c>
      <c r="BD128" s="111">
        <f t="shared" ca="1" si="1067"/>
        <v>0</v>
      </c>
      <c r="BE128" s="111">
        <f t="shared" ca="1" si="1068"/>
        <v>0</v>
      </c>
      <c r="BF128" s="111">
        <f t="shared" ca="1" si="1069"/>
        <v>0</v>
      </c>
      <c r="BG128" s="112">
        <f t="shared" ca="1" si="1070"/>
        <v>0</v>
      </c>
      <c r="BH128" s="911">
        <f t="shared" si="1071"/>
        <v>0</v>
      </c>
      <c r="BI128" s="111">
        <f t="shared" si="1072"/>
        <v>0</v>
      </c>
      <c r="BJ128" s="111">
        <f t="shared" si="1073"/>
        <v>1</v>
      </c>
      <c r="BK128" s="111">
        <f t="shared" si="1074"/>
        <v>0</v>
      </c>
      <c r="BL128" s="111">
        <f t="shared" si="1075"/>
        <v>0</v>
      </c>
      <c r="BM128" s="111">
        <f t="shared" si="1076"/>
        <v>0</v>
      </c>
      <c r="BN128" s="111">
        <f t="shared" si="1077"/>
        <v>0</v>
      </c>
      <c r="BO128" s="111">
        <f t="shared" si="1078"/>
        <v>0</v>
      </c>
      <c r="BP128" s="111">
        <f t="shared" si="1079"/>
        <v>0</v>
      </c>
      <c r="BQ128" s="112">
        <f t="shared" si="1080"/>
        <v>0</v>
      </c>
      <c r="BR128" s="132">
        <f ca="1">IF(OFFSET(AY128,1,0,1,1)&lt;&gt;0,RZ[[#This Row],[Koeficient odhadu HR '[-'] (P1)]]*$BH128*SUMIFS(RZ[Úroveň 2 s koef. (P2)],RZ[0],AX128),RZ[[#This Row],[Koeficient odhadu HR '[-'] (P1)]]*$BH128*$IG128)</f>
        <v>0</v>
      </c>
      <c r="BS128" s="186">
        <f ca="1">IF(OFFSET(AY128,1,0,1,1)&lt;&gt;0,$BH128*SUMIFS(RZ[Úroveň 2 bez koef. (P2)],RZ[0],AX128),$BH128*$IG128)</f>
        <v>0</v>
      </c>
      <c r="BT128" s="138">
        <f ca="1">RZ[[#This Row],[Úroveň 2 s koef. (P2a)]]*RZ[[#This Row],[Počet MJHR (P0)]]</f>
        <v>0</v>
      </c>
      <c r="BU128" s="138">
        <f ca="1">RZ[[#This Row],[Úroveň 2 bez koef. (P2a)]]*RZ[[#This Row],[Počet MJHR (P0)]]</f>
        <v>0</v>
      </c>
      <c r="BV128" s="138">
        <f ca="1">IF(OFFSET(AZ128,1,0,1,1)&lt;&gt;0,RZ[[#This Row],[Koeficient odhadu HR '[-'] (P1)]]*$BI128*SUMIFS(RZ[Úroveň 3 s koef. (P2)],RZ[0],AX128,RZ[Úroveň 2 (P0)],AY128),RZ[[#This Row],[Koeficient odhadu HR '[-'] (P1)]]*$BI128*$IG128)</f>
        <v>0</v>
      </c>
      <c r="BW128" s="138">
        <f ca="1">IF(OFFSET(AZ128,1,0,1,1)&lt;&gt;0,$BI128*SUMIFS(RZ[Úroveň 3 bez koef. (P2)],RZ[0],AX128,RZ[Úroveň 2 (P0)],AY128),$BI128*$IG128)</f>
        <v>0</v>
      </c>
      <c r="BX128" s="132">
        <f ca="1">RZ[[#This Row],[Úroveň 3 s koef. (P2a)]]*RZ[[#This Row],[Počet MJHR (P0)]]</f>
        <v>1.8160000000000001</v>
      </c>
      <c r="BY128" s="132">
        <f ca="1">RZ[Úroveň 3 bez koef. (P2a)]*RZ[[#This Row],[Počet MJHR (P0)]]</f>
        <v>1.8160000000000001</v>
      </c>
      <c r="BZ128" s="132">
        <f ca="1">IF(OFFSET(BA128,1,0,1,1)&lt;&gt;0,RZ[[#This Row],[Koeficient odhadu HR '[-'] (P1)]]*$BJ128*SUMIFS(RZ[Úroveň 4 s koef. (P2)],RZ[0],AX128,RZ[Úroveň 2 (P0)],AY128,RZ[Úroveň 3 (P0)],AZ128),RZ[[#This Row],[Koeficient odhadu HR '[-'] (P1)]]*$BJ128*$IG128)</f>
        <v>1.8160000000000001</v>
      </c>
      <c r="CA128" s="132">
        <f ca="1">IF(OFFSET(BA128,1,0,1,1)&lt;&gt;0,$BJ128*SUMIFS(RZ[Úroveň 4 bez koef. (P2)],RZ[0],AX128,RZ[Úroveň 2 (P0)],AY128,RZ[Úroveň 3 (P0)],AZ128),$BJ128*$IG128)</f>
        <v>1.8160000000000001</v>
      </c>
      <c r="CB128" s="138">
        <f ca="1">RZ[[#This Row],[Úroveň 4 s koef. (P2a)]]*RZ[[#This Row],[Počet MJHR (P0)]]</f>
        <v>0</v>
      </c>
      <c r="CC128" s="138">
        <f ca="1">RZ[Úroveň 4 bez koef. (P2a)]*RZ[[#This Row],[Počet MJHR (P0)]]</f>
        <v>0</v>
      </c>
      <c r="CD128" s="138">
        <f ca="1">IF(OFFSET(BB128,1,0,1,1)&lt;&gt;0,RZ[[#This Row],[Koeficient odhadu HR '[-'] (P1)]]*$BK128*SUMIFS(RZ[Úroveň 5 s koef. (P2)],RZ[0],AX128,RZ[Úroveň 2 (P0)],AY128,RZ[Úroveň 3 (P0)],AZ128,RZ[Úroveň 4 (P0)],BA128),RZ[[#This Row],[Koeficient odhadu HR '[-'] (P1)]]*$BK128*$IG128)</f>
        <v>0</v>
      </c>
      <c r="CE128" s="138">
        <f ca="1">IF(OFFSET(BB128,1,0,1,1)&lt;&gt;0,$BK128*SUMIFS(RZ[Úroveň 5 bez koef. (P2)],RZ[0],AX128,RZ[Úroveň 2 (P0)],AY128,RZ[Úroveň 3 (P0)],AZ128,RZ[Úroveň 4 (P0)],BA128),$BK128*$IG128)</f>
        <v>0</v>
      </c>
      <c r="CF128" s="132">
        <f ca="1">RZ[[#This Row],[Úroveň 5 s koef. (P2a)]]*RZ[[#This Row],[Počet MJHR (P0)]]</f>
        <v>0</v>
      </c>
      <c r="CG128" s="132">
        <f ca="1">RZ[Úroveň 5 bez koef. (P2a)]*RZ[[#This Row],[Počet MJHR (P0)]]</f>
        <v>0</v>
      </c>
      <c r="CH128" s="132">
        <f ca="1">IF(OFFSET(BC128,1,0,1,1)&lt;&gt;0,RZ[[#This Row],[Koeficient odhadu HR '[-'] (P1)]]*$BL128*SUMIFS(RZ[Úroveň 6 s koef. (P2)],RZ[0],AX128,RZ[Úroveň 2 (P0)],AY128,RZ[Úroveň 3 (P0)],AZ128,RZ[Úroveň 4 (P0)],BA128,RZ[Úroveň 5 (P0)],BB128),RZ[[#This Row],[Koeficient odhadu HR '[-'] (P1)]]*$BL128*$IG128)</f>
        <v>0</v>
      </c>
      <c r="CI128" s="132">
        <f ca="1">IF(OFFSET(BC128,1,0,1,1)&lt;&gt;0,$BL128*SUMIFS(RZ[Úroveň 6 bez koef. (P2)],RZ[0],AX128,RZ[Úroveň 2 (P0)],AY128,RZ[Úroveň 3 (P0)],AZ128,RZ[Úroveň 4 (P0)],BA128,RZ[Úroveň 5 (P0)],BB128),$BL128*$IG128)</f>
        <v>0</v>
      </c>
      <c r="CJ128" s="138">
        <f ca="1">RZ[[#This Row],[Úroveň 6 s koef. (P2a)]]*RZ[[#This Row],[Počet MJHR (P0)]]</f>
        <v>0</v>
      </c>
      <c r="CK128" s="138">
        <f ca="1">RZ[Úroveň 6 bez koef. (P2a)]*RZ[[#This Row],[Počet MJHR (P0)]]</f>
        <v>0</v>
      </c>
      <c r="CL128" s="138">
        <f ca="1">IF(OFFSET(BD128,1,0,1,1)&lt;&gt;0,RZ[[#This Row],[Koeficient odhadu HR '[-'] (P1)]]*$BM128*SUMIFS(RZ[Úroveň 7 s koef. (P2)],RZ[0],AX128,RZ[Úroveň 2 (P0)],AY128,RZ[Úroveň 3 (P0)],AZ128,RZ[Úroveň 4 (P0)],BA128,RZ[Úroveň 5 (P0)],BB128,RZ[Úroveň 6 (P0)],BC128),RZ[[#This Row],[Koeficient odhadu HR '[-'] (P1)]]*$BM128*$IG128)</f>
        <v>0</v>
      </c>
      <c r="CM128" s="138">
        <f ca="1">IF(OFFSET(BD128,1,0,1,1)&lt;&gt;0,$BM128*SUMIFS(RZ[Úroveň 7 bez koef. (P2)],RZ[0],AX128,RZ[Úroveň 2 (P0)],AY128,RZ[Úroveň 3 (P0)],AZ128,RZ[Úroveň 4 (P0)],BA128,RZ[Úroveň 5 (P0)],BB128,RZ[Úroveň 6 (P0)],BC128),$BM128*$IG128)</f>
        <v>0</v>
      </c>
      <c r="CN128" s="132">
        <f ca="1">RZ[[#This Row],[Úroveň 7 s koef. (P2a)]]*RZ[[#This Row],[Počet MJHR (P0)]]</f>
        <v>0</v>
      </c>
      <c r="CO128" s="132">
        <f ca="1">RZ[Úroveň 7 bez koef. (P2a)]*RZ[[#This Row],[Počet MJHR (P0)]]</f>
        <v>0</v>
      </c>
      <c r="CP128" s="132">
        <f ca="1">IF(OFFSET(BE128,1,0,1,1)&lt;&gt;0,RZ[[#This Row],[Koeficient odhadu HR '[-'] (P1)]]*$BN128*SUMIFS(RZ[Úroveň 8 s koef. (P2)],RZ[0],AX128,RZ[Úroveň 2 (P0)],AY128,RZ[Úroveň 3 (P0)],AZ128,RZ[Úroveň 4 (P0)],BA128,RZ[Úroveň 5 (P0)],BB128,RZ[Úroveň 6 (P0)],BC128,RZ[Úroveň 7 (P0)],BD128),RZ[[#This Row],[Koeficient odhadu HR '[-'] (P1)]]*$BN128*$IG128)</f>
        <v>0</v>
      </c>
      <c r="CQ128" s="132">
        <f ca="1">IF(OFFSET(BE128,1,0,1,1)&lt;&gt;0,$BN128*SUMIFS(RZ[Úroveň 8 bez koef. (P2)],RZ[0],AX128,RZ[Úroveň 2 (P0)],AY128,RZ[Úroveň 3 (P0)],AZ128,RZ[Úroveň 4 (P0)],BA128,RZ[Úroveň 5 (P0)],BB128,RZ[Úroveň 6 (P0)],BC128,RZ[Úroveň 7 (P0)],BD128),$BN128*$IG128)</f>
        <v>0</v>
      </c>
      <c r="CR128" s="138">
        <f ca="1">RZ[[#This Row],[Úroveň 8 s koef. (P2a)]]*RZ[[#This Row],[Počet MJHR (P0)]]</f>
        <v>0</v>
      </c>
      <c r="CS128" s="138">
        <f ca="1">RZ[Úroveň 8 bez koef. (P2a)]*RZ[[#This Row],[Počet MJHR (P0)]]</f>
        <v>0</v>
      </c>
      <c r="CT128" s="138">
        <f ca="1">IF(OFFSET(BF128,1,0,1,1)&lt;&gt;0,RZ[[#This Row],[Koeficient odhadu HR '[-'] (P1)]]*$BO128*SUMIFS(RZ[Úroveň 9 s koef. (P2)],RZ[0],AX128,RZ[Úroveň 2 (P0)],AY128,RZ[Úroveň 3 (P0)],AZ128,RZ[Úroveň 4 (P0)],BA128,RZ[Úroveň 5 (P0)],BB128,RZ[Úroveň 6 (P0)],BC128,RZ[Úroveň 7 (P0)],BD128,RZ[Úroveň 8 (P0)],BE128),RZ[[#This Row],[Koeficient odhadu HR '[-'] (P1)]]*$BO128*$IG128)</f>
        <v>0</v>
      </c>
      <c r="CU128" s="138">
        <f ca="1">IF(OFFSET(BF128,1,0,1,1)&lt;&gt;0,$BO128*SUMIFS(RZ[Úroveň 9 bez koef. (P2)],RZ[0],AX128,RZ[Úroveň 2 (P0)],AY128,RZ[Úroveň 3 (P0)],AZ128,RZ[Úroveň 4 (P0)],BA128,RZ[Úroveň 5 (P0)],BB128,RZ[Úroveň 6 (P0)],BC128,RZ[Úroveň 7 (P0)],BD128,RZ[Úroveň 8 (P0)],BE128),$BO128*$IG128)</f>
        <v>0</v>
      </c>
      <c r="CV128" s="132">
        <f ca="1">RZ[[#This Row],[Úroveň 9 s koef. (P2a)]]*RZ[[#This Row],[Počet MJHR (P0)]]</f>
        <v>0</v>
      </c>
      <c r="CW128" s="132">
        <f ca="1">RZ[Úroveň 9 bez koef. (P2a)]*RZ[[#This Row],[Počet MJHR (P0)]]</f>
        <v>0</v>
      </c>
      <c r="CX128" s="132">
        <f ca="1">IF(OFFSET(BG128,1,0,1,1)&lt;&gt;0,RZ[[#This Row],[Koeficient odhadu HR '[-'] (P1)]]*$BP128*SUMIFS(RZ[Úroveň 10 s koef. (P2)],RZ[0],AX128,RZ[Úroveň 2 (P0)],AY128,RZ[Úroveň 3 (P0)],AZ128,RZ[Úroveň 4 (P0)],BA128,RZ[Úroveň 5 (P0)],BB128,RZ[Úroveň 6 (P0)],BC128,RZ[Úroveň 7 (P0)],BD128,RZ[Úroveň 8 (P0)],BE128,RZ[Úroveň 9 (P0)],BF128),RZ[[#This Row],[Koeficient odhadu HR '[-'] (P1)]]*$BP128*$IG128)</f>
        <v>0</v>
      </c>
      <c r="CY128" s="132">
        <f ca="1">IF(OFFSET(BG128,1,0,1,1)&lt;&gt;0,$BP128*SUMIFS(RZ[Úroveň 10 bez koef. (P2)],RZ[0],AX128,RZ[Úroveň 2 (P0)],AY128,RZ[Úroveň 3 (P0)],AZ128,RZ[Úroveň 4 (P0)],BA128,RZ[Úroveň 5 (P0)],BB128,RZ[Úroveň 6 (P0)],BC128,RZ[Úroveň 7 (P0)],BD128,RZ[Úroveň 8 (P0)],BE128,RZ[Úroveň 9 (P0)],BF128),$BP128*$IG128)</f>
        <v>0</v>
      </c>
      <c r="CZ128" s="138">
        <f>RZ[[#This Row],[Úroveň 10 s koef. (P2a)]]*RZ[[#This Row],[Počet MJHR (P0)]]</f>
        <v>0</v>
      </c>
      <c r="DA128" s="138">
        <f>RZ[Úroveň 10 bez koef. (P2a)]*RZ[[#This Row],[Počet MJHR (P0)]]</f>
        <v>0</v>
      </c>
      <c r="DB128" s="138">
        <f>RZ[[#This Row],[Koeficient odhadu HR '[-'] (P1)]]*$BQ128*IG128</f>
        <v>0</v>
      </c>
      <c r="DC128" s="231">
        <f t="shared" si="1081"/>
        <v>0</v>
      </c>
      <c r="DD128" s="241">
        <f t="shared" ca="1" si="1082"/>
        <v>1.8160000000000001</v>
      </c>
      <c r="DE128" s="229">
        <f t="shared" ca="1" si="1083"/>
        <v>1.8160000000000001</v>
      </c>
      <c r="DF128" s="912">
        <f t="shared" si="1084"/>
        <v>0</v>
      </c>
      <c r="DG128" s="913">
        <f t="shared" si="1085"/>
        <v>0</v>
      </c>
      <c r="DH128" s="913">
        <f t="shared" si="1086"/>
        <v>1</v>
      </c>
      <c r="DI128" s="913">
        <f t="shared" si="1087"/>
        <v>0</v>
      </c>
      <c r="DJ128" s="913">
        <f t="shared" si="1088"/>
        <v>0</v>
      </c>
      <c r="DK128" s="913">
        <f t="shared" si="1089"/>
        <v>0</v>
      </c>
      <c r="DL128" s="913">
        <f t="shared" si="1090"/>
        <v>0</v>
      </c>
      <c r="DM128" s="913">
        <f t="shared" si="1091"/>
        <v>0</v>
      </c>
      <c r="DN128" s="913">
        <f t="shared" si="1092"/>
        <v>0</v>
      </c>
      <c r="DO128" s="913">
        <f t="shared" si="1093"/>
        <v>0</v>
      </c>
      <c r="DP128" s="914">
        <f ca="1">SUMIFS(RZ[Úroveň 1 (P4)],RZ[0],AX128)</f>
        <v>1</v>
      </c>
      <c r="DQ128" s="914">
        <f ca="1">SUMIFS(RZ[Úroveň 2 (P4)],RZ[0],AX128,RZ[Úroveň 2 (P0)],AY128)</f>
        <v>2</v>
      </c>
      <c r="DR128" s="914">
        <f ca="1">SUMIFS(RZ[Úroveň 3 (P4)],RZ[0],AX128,RZ[Úroveň 2 (P0)],AY128,RZ[Úroveň 3 (P0)],AZ128)</f>
        <v>1</v>
      </c>
      <c r="DS128" s="914">
        <f ca="1">SUMIFS(RZ[Úroveň 4 (P4)],RZ[0],AX128,RZ[Úroveň 2 (P0)],AY128,RZ[Úroveň 3 (P0)],AZ128,RZ[Úroveň 4 (P0)],BA128)</f>
        <v>0</v>
      </c>
      <c r="DT128" s="914">
        <f ca="1">SUMIFS(RZ[Úroveň 5 (P4)],RZ[0],AX128,RZ[Úroveň 2 (P0)],AY128,RZ[Úroveň 3 (P0)],AZ128,RZ[Úroveň 4 (P0)],BA128,RZ[Úroveň 5 (P0)],BB128)</f>
        <v>0</v>
      </c>
      <c r="DU128" s="914">
        <f ca="1">SUMIFS(RZ[Úroveň 6 (P4)],RZ[0],AX128,RZ[Úroveň 2 (P0)],AY128,RZ[Úroveň 3 (P0)],AZ128,RZ[Úroveň 4 (P0)],BA128,RZ[Úroveň 5 (P0)],BB128,RZ[Úroveň 6 (P0)],BC128)</f>
        <v>0</v>
      </c>
      <c r="DV128" s="914">
        <f ca="1">SUMIFS(RZ[Úroveň 7 (P4)],RZ[0],AX128,RZ[Úroveň 2 (P0)],AY128,RZ[Úroveň 3 (P0)],AZ128,RZ[Úroveň 4 (P0)],BA128,RZ[Úroveň 5 (P0)],BB128,RZ[Úroveň 6 (P0)],BC128,RZ[Úroveň 7 (P0)],BD128)</f>
        <v>0</v>
      </c>
      <c r="DW128" s="914">
        <f ca="1">SUMIFS(RZ[Úroveň 8 (P4)],RZ[0],AX128,RZ[Úroveň 2 (P0)],AY128,RZ[Úroveň 3 (P0)],AZ128,RZ[Úroveň 4 (P0)],BA128,RZ[Úroveň 5 (P0)],BB128,RZ[Úroveň 6 (P0)],BC128,RZ[Úroveň 7 (P0)],BD128,RZ[Úroveň 8 (P0)],BE128)</f>
        <v>0</v>
      </c>
      <c r="DX128" s="914">
        <f ca="1">SUMIFS(RZ[Úroveň 9 (P4)],RZ[0],AX128,RZ[Úroveň 2 (P0)],AY128,RZ[Úroveň 3 (P0)],AZ128,RZ[Úroveň 4 (P0)],BA128,RZ[Úroveň 5 (P0)],BB128,RZ[Úroveň 6 (P0)],BC128,RZ[Úroveň 7 (P0)],BD128,RZ[Úroveň 8 (P0)],BE128,RZ[Úroveň 9 (P0)],BF128)</f>
        <v>0</v>
      </c>
      <c r="DY128" s="914">
        <f ca="1">SUMIFS(RZ[Úroveň 10 (P4)],RZ[0],AX128,RZ[Úroveň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DZ128" s="915">
        <f t="shared" ca="1" si="1094"/>
        <v>2</v>
      </c>
      <c r="EA128" s="916">
        <f ca="1">RZ[[#This Row],[Jednotková hmotnost bez koef. '[kg/MJHR'] (P0)]]*RZ[[#This Row],[Počet MJHR v rozpadu (P0)]]</f>
        <v>3.6320000000000001</v>
      </c>
      <c r="EB128" s="917">
        <f ca="1">IF(OFFSET(AY128,1,0,1,1)&lt;&gt;0,RZ[[#This Row],[Koeficient odhadu CR '[-'] (P1)]]*$BH128*SUMIFS(RZ[Úroveň 2 s koef. (P3)],RZ[0],AX128),RZ[[#This Row],[Koeficient odhadu CR '[-'] (P1)]]*$BH128*$IQ128)</f>
        <v>0</v>
      </c>
      <c r="EC128" s="191">
        <f ca="1">IF(OFFSET(AY128,1,0,1,1)&lt;&gt;0,$BH128*SUMIFS(RZ[Úroveň 2 bez koef. (P3)],RZ[0],AX128),$BH128*$IQ128)</f>
        <v>0</v>
      </c>
      <c r="ED128" s="140">
        <f ca="1">RZ[[#This Row],[Úroveň 2 s koef. (P3a)]]*RZ[[#This Row],[Počet MJCR (P0) pro "kg"]]</f>
        <v>0</v>
      </c>
      <c r="EE128" s="140">
        <f ca="1">RZ[Úroveň 2 bez koef. (P3a)]*RZ[[#This Row],[Počet MJCR (P0) pro "kg"]]</f>
        <v>0</v>
      </c>
      <c r="EF128" s="140">
        <f ca="1">IF(OFFSET(AZ128,1,0,1,1)&lt;&gt;0,RZ[[#This Row],[Koeficient odhadu CR '[-'] (P1)]]*$BI128*SUMIFS(RZ[Úroveň 3 s koef. (P3)],RZ[0],AX128,RZ[Úroveň 2 (P0)],AY128),RZ[[#This Row],[Koeficient odhadu CR '[-'] (P1)]]*$BI128*$IQ128)</f>
        <v>0</v>
      </c>
      <c r="EG128" s="140">
        <f ca="1">IF(OFFSET(AZ128,1,0,1,1)&lt;&gt;0,$BI128*SUMIFS(RZ[Úroveň 3 bez koef. (P3)],RZ[0],AX128,RZ[Úroveň 2 (P0)],AY128),$BI128*$IQ128)</f>
        <v>0</v>
      </c>
      <c r="EH128" s="135">
        <f ca="1">RZ[[#This Row],[Úroveň 3 s koef. (P3a)]]*RZ[[#This Row],[Počet MJCR (P0) pro "kg"]]</f>
        <v>199.76000000000002</v>
      </c>
      <c r="EI128" s="135">
        <f ca="1">RZ[Úroveň 3 bez koef. (P3a)]*RZ[[#This Row],[Počet MJCR (P0) pro "kg"]]</f>
        <v>199.76000000000002</v>
      </c>
      <c r="EJ128" s="135">
        <f ca="1">IF(OFFSET(BA128,1,0,1,1)&lt;&gt;0,RZ[[#This Row],[Koeficient odhadu CR '[-'] (P1)]]*$BJ128*SUMIFS(RZ[Úroveň 4 s koef. (P3)],RZ[0],AX128,RZ[Úroveň 2 (P0)],AY128,RZ[Úroveň 3 (P0)],AZ128),RZ[[#This Row],[Koeficient odhadu CR '[-'] (P1)]]*$BJ128*$IQ128)</f>
        <v>110</v>
      </c>
      <c r="EK128" s="135">
        <f ca="1">IF(OFFSET(BA128,1,0,1,1)&lt;&gt;0,$BJ128*SUMIFS(RZ[Úroveň 4 bez koef. (P3)],RZ[0],AX128,RZ[Úroveň 2 (P0)],AY128,RZ[Úroveň 3 (P0)],AZ128),$BJ128*$IQ128)</f>
        <v>110</v>
      </c>
      <c r="EL128" s="140">
        <f ca="1">RZ[[#This Row],[Úroveň 4 s koef. (P3a)]]*RZ[[#This Row],[Počet MJCR (P0) pro "kg"]]</f>
        <v>0</v>
      </c>
      <c r="EM128" s="140">
        <f ca="1">RZ[Úroveň 4 bez koef. (P3a)]*RZ[[#This Row],[Počet MJCR (P0) pro "kg"]]</f>
        <v>0</v>
      </c>
      <c r="EN128" s="140">
        <f ca="1">IF(OFFSET(BB128,1,0,1,1)&lt;&gt;0,RZ[[#This Row],[Koeficient odhadu CR '[-'] (P1)]]*$BK128*SUMIFS(RZ[Úroveň 5 s koef. (P3)],RZ[0],AX128,RZ[Úroveň 2 (P0)],AY128,RZ[Úroveň 3 (P0)],AZ128,RZ[Úroveň 4 (P0)],BA128),RZ[[#This Row],[Koeficient odhadu CR '[-'] (P1)]]*$BK128*$IQ128)</f>
        <v>0</v>
      </c>
      <c r="EO128" s="140">
        <f ca="1">IF(OFFSET(BB128,1,0,1,1)&lt;&gt;0,$BK128*SUMIFS(RZ[Úroveň 5 bez koef. (P3)],RZ[0],AX128,RZ[Úroveň 2 (P0)],AY128,RZ[Úroveň 3 (P0)],AZ128,RZ[Úroveň 4 (P0)],BA128),$BK128*$IQ128)</f>
        <v>0</v>
      </c>
      <c r="EP128" s="135">
        <f ca="1">RZ[[#This Row],[Úroveň 5 s koef. (P3a)]]*RZ[[#This Row],[Počet MJCR (P0) pro "kg"]]</f>
        <v>0</v>
      </c>
      <c r="EQ128" s="135">
        <f ca="1">RZ[Úroveň 5 bez koef. (P3a)]*RZ[[#This Row],[Počet MJCR (P0) pro "kg"]]</f>
        <v>0</v>
      </c>
      <c r="ER128" s="135">
        <f ca="1">IF(OFFSET(BC128,1,0,1,1)&lt;&gt;0,RZ[[#This Row],[Koeficient odhadu CR '[-'] (P1)]]*$BL128*SUMIFS(RZ[Úroveň 6 s koef. (P3)],RZ[0],AX128,RZ[Úroveň 2 (P0)],AY128,RZ[Úroveň 3 (P0)],AZ128,RZ[Úroveň 4 (P0)],BA128,RZ[Úroveň 5 (P0)],BB128),RZ[[#This Row],[Koeficient odhadu CR '[-'] (P1)]]*$BL128*$IQ128)</f>
        <v>0</v>
      </c>
      <c r="ES128" s="135">
        <f ca="1">IF(OFFSET(BC128,1,0,1,1)&lt;&gt;0,$BL128*SUMIFS(RZ[Úroveň 6 bez koef. (P3)],RZ[0],AX128,RZ[Úroveň 2 (P0)],AY128,RZ[Úroveň 3 (P0)],AZ128,RZ[Úroveň 4 (P0)],BA128,RZ[Úroveň 5 (P0)],BB128),$BL128*$IQ128)</f>
        <v>0</v>
      </c>
      <c r="ET128" s="140">
        <f ca="1">RZ[[#This Row],[Úroveň 6 s koef. (P3a)]]*RZ[[#This Row],[Počet MJCR (P0) pro "kg"]]</f>
        <v>0</v>
      </c>
      <c r="EU128" s="140">
        <f ca="1">RZ[Úroveň 6 bez koef. (P3a)]*RZ[[#This Row],[Počet MJCR (P0) pro "kg"]]</f>
        <v>0</v>
      </c>
      <c r="EV128" s="140">
        <f ca="1">IF(OFFSET(BD128,1,0,1,1)&lt;&gt;0,RZ[[#This Row],[Koeficient odhadu CR '[-'] (P1)]]*$BM128*SUMIFS(RZ[Úroveň 7 s koef. (P3)],RZ[0],AX128,RZ[Úroveň 2 (P0)],AY128,RZ[Úroveň 3 (P0)],AZ128,RZ[Úroveň 4 (P0)],BA128,RZ[Úroveň 5 (P0)],BB128,RZ[Úroveň 6 (P0)],BC128),RZ[[#This Row],[Koeficient odhadu CR '[-'] (P1)]]*$BM128*$IQ128)</f>
        <v>0</v>
      </c>
      <c r="EW128" s="140">
        <f ca="1">IF(OFFSET(BD128,1,0,1,1)&lt;&gt;0,$BM128*SUMIFS(RZ[Úroveň 7 bez koef. (P3)],RZ[0],AX128,RZ[Úroveň 2 (P0)],AY128,RZ[Úroveň 3 (P0)],AZ128,RZ[Úroveň 4 (P0)],BA128,RZ[Úroveň 5 (P0)],BB128,RZ[Úroveň 6 (P0)],BC128),$BM128*$IQ128)</f>
        <v>0</v>
      </c>
      <c r="EX128" s="135">
        <f ca="1">RZ[[#This Row],[Úroveň 7 s koef. (P3a)]]*RZ[[#This Row],[Počet MJCR (P0) pro "kg"]]</f>
        <v>0</v>
      </c>
      <c r="EY128" s="135">
        <f ca="1">RZ[Úroveň 7 bez koef. (P3a)]*RZ[[#This Row],[Počet MJCR (P0) pro "kg"]]</f>
        <v>0</v>
      </c>
      <c r="EZ128" s="135">
        <f ca="1">IF(OFFSET(BE128,1,0,1,1)&lt;&gt;0,RZ[[#This Row],[Koeficient odhadu CR '[-'] (P1)]]*$BN128*SUMIFS(RZ[Úroveň 8 s koef. (P3)],RZ[0],AX128,RZ[Úroveň 2 (P0)],AY128,RZ[Úroveň 3 (P0)],AZ128,RZ[Úroveň 4 (P0)],BA128,RZ[Úroveň 5 (P0)],BB128,RZ[Úroveň 6 (P0)],BC128,RZ[Úroveň 7 (P0)],BD128),RZ[[#This Row],[Koeficient odhadu CR '[-'] (P1)]]*$BN128*$IQ128)</f>
        <v>0</v>
      </c>
      <c r="FA128" s="135">
        <f ca="1">IF(OFFSET(BE128,1,0,1,1)&lt;&gt;0,$BN128*SUMIFS(RZ[Úroveň 8 bez koef. (P3)],RZ[0],AX128,RZ[Úroveň 2 (P0)],AY128,RZ[Úroveň 3 (P0)],AZ128,RZ[Úroveň 4 (P0)],BA128,RZ[Úroveň 5 (P0)],BB128,RZ[Úroveň 6 (P0)],BC128,RZ[Úroveň 7 (P0)],BD128),$BN128*$IQ128)</f>
        <v>0</v>
      </c>
      <c r="FB128" s="140">
        <f ca="1">RZ[[#This Row],[Úroveň 8 s koef. (P3a)]]*RZ[[#This Row],[Počet MJCR (P0) pro "kg"]]</f>
        <v>0</v>
      </c>
      <c r="FC128" s="140">
        <f ca="1">RZ[Úroveň 8 bez koef. (P3a)]*RZ[[#This Row],[Počet MJCR (P0) pro "kg"]]</f>
        <v>0</v>
      </c>
      <c r="FD128" s="140">
        <f ca="1">IF(OFFSET(BF128,1,0,1,1)&lt;&gt;0,RZ[[#This Row],[Koeficient odhadu CR '[-'] (P1)]]*$BO128*SUMIFS(RZ[Úroveň 9 s koef. (P3)],RZ[0],AX128,RZ[Úroveň 2 (P0)],AY128,RZ[Úroveň 3 (P0)],AZ128,RZ[Úroveň 4 (P0)],BA128,RZ[Úroveň 5 (P0)],BB128,RZ[Úroveň 6 (P0)],BC128,RZ[Úroveň 7 (P0)],BD128,RZ[Úroveň 8 (P0)],BE128),RZ[[#This Row],[Koeficient odhadu CR '[-'] (P1)]]*$BO128*$IQ128)</f>
        <v>0</v>
      </c>
      <c r="FE128" s="140">
        <f ca="1">IF(OFFSET(BF128,1,0,1,1)&lt;&gt;0,$BO128*SUMIFS(RZ[Úroveň 9 bez koef. (P3)],RZ[0],AX128,RZ[Úroveň 2 (P0)],AY128,RZ[Úroveň 3 (P0)],AZ128,RZ[Úroveň 4 (P0)],BA128,RZ[Úroveň 5 (P0)],BB128,RZ[Úroveň 6 (P0)],BC128,RZ[Úroveň 7 (P0)],BD128,RZ[Úroveň 8 (P0)],BE128),$BO128*$IQ128)</f>
        <v>0</v>
      </c>
      <c r="FF128" s="135">
        <f ca="1">RZ[[#This Row],[Úroveň 9 s koef. (P3a)]]*RZ[[#This Row],[Počet MJCR (P0) pro "kg"]]</f>
        <v>0</v>
      </c>
      <c r="FG128" s="135">
        <f ca="1">RZ[Úroveň 9 bez koef. (P3a)]*RZ[[#This Row],[Počet MJCR (P0) pro "kg"]]</f>
        <v>0</v>
      </c>
      <c r="FH128" s="135">
        <f ca="1">IF(OFFSET(BG128,1,0,1,1)&lt;&gt;0,RZ[[#This Row],[Koeficient odhadu CR '[-'] (P1)]]*$BP128*SUMIFS(RZ[Úroveň 10 s koef. (P3)],RZ[0],AX128,RZ[Úroveň 2 (P0)],AY128,RZ[Úroveň 3 (P0)],AZ128,RZ[Úroveň 4 (P0)],BA128,RZ[Úroveň 5 (P0)],BB128,RZ[Úroveň 6 (P0)],BC128,RZ[Úroveň 7 (P0)],BD128,RZ[Úroveň 8 (P0)],BE128,RZ[Úroveň 9 (P0)],BF128),RZ[[#This Row],[Koeficient odhadu CR '[-'] (P1)]]*$BP128*$IQ128)</f>
        <v>0</v>
      </c>
      <c r="FI128" s="135">
        <f ca="1">IF(OFFSET(BG128,1,0,1,1)&lt;&gt;0,$BP128*SUMIFS(RZ[Úroveň 10 bez koef. (P3)],RZ[0],AX128,RZ[Úroveň 2 (P0)],AY128,RZ[Úroveň 3 (P0)],AZ128,RZ[Úroveň 4 (P0)],BA128,RZ[Úroveň 5 (P0)],BB128,RZ[Úroveň 6 (P0)],BC128,RZ[Úroveň 7 (P0)],BD128,RZ[Úroveň 8 (P0)],BE128,RZ[Úroveň 9 (P0)],BF128),$BP128*$IQ128)</f>
        <v>0</v>
      </c>
      <c r="FJ128" s="140">
        <f ca="1">RZ[[#This Row],[Úroveň 10 s koef. (P3a)]]*RZ[[#This Row],[Počet MJCR (P0) pro "kg"]]</f>
        <v>0</v>
      </c>
      <c r="FK128" s="140">
        <f ca="1">RZ[Úroveň 10 bez koef. (P3a)]*RZ[[#This Row],[Počet MJCR (P0) pro "kg"]]</f>
        <v>0</v>
      </c>
      <c r="FL128" s="140">
        <f ca="1">RZ[[#This Row],[Koeficient odhadu CR '[-'] (P1)]]*$BQ128*IQ128</f>
        <v>0</v>
      </c>
      <c r="FM128" s="236">
        <f t="shared" ca="1" si="1095"/>
        <v>0</v>
      </c>
      <c r="FN128" s="194">
        <f t="shared" ca="1" si="1096"/>
        <v>110</v>
      </c>
      <c r="FO128" s="238">
        <f t="shared" ca="1" si="1097"/>
        <v>110</v>
      </c>
      <c r="FP128" s="135">
        <f t="shared" ca="1" si="1098"/>
        <v>0</v>
      </c>
      <c r="FQ128" s="135">
        <f t="shared" ca="1" si="1099"/>
        <v>0</v>
      </c>
      <c r="FR128" s="135">
        <f t="shared" ca="1" si="1100"/>
        <v>1.8160000000000001</v>
      </c>
      <c r="FS128" s="135">
        <f t="shared" ca="1" si="1101"/>
        <v>0</v>
      </c>
      <c r="FT128" s="135">
        <f t="shared" ca="1" si="1102"/>
        <v>0</v>
      </c>
      <c r="FU128" s="135">
        <f t="shared" ca="1" si="1103"/>
        <v>0</v>
      </c>
      <c r="FV128" s="135">
        <f t="shared" ca="1" si="1104"/>
        <v>0</v>
      </c>
      <c r="FW128" s="135">
        <f t="shared" ca="1" si="1105"/>
        <v>0</v>
      </c>
      <c r="FX128" s="135">
        <f t="shared" ca="1" si="1106"/>
        <v>0</v>
      </c>
      <c r="FY128" s="135">
        <f t="shared" ca="1" si="1107"/>
        <v>0</v>
      </c>
      <c r="FZ128" s="140">
        <f ca="1">SUMIFS(RZ[Úroveň 1 (P6)],RZ[0],AX128)</f>
        <v>1</v>
      </c>
      <c r="GA128" s="140">
        <f ca="1">SUMIFS(RZ[Úroveň 2 (P6)],RZ[0],AX128,RZ[Úroveň 2 (P0)],AY128)</f>
        <v>2</v>
      </c>
      <c r="GB128" s="140">
        <f ca="1">SUMIFS(RZ[Úroveň 3 (P6)],RZ[0],AX128,RZ[Úroveň 2 (P0)],AY128,RZ[Úroveň 3 (P0)],AZ128)</f>
        <v>1.8160000000000001</v>
      </c>
      <c r="GC128" s="140">
        <f ca="1">SUMIFS(RZ[Úroveň 4 (P6)],RZ[0],AX128,RZ[Úroveň 2 (P0)],AY128,RZ[Úroveň 3 (P0)],AZ128,RZ[Úroveň 4 (P0)],BA128)</f>
        <v>0</v>
      </c>
      <c r="GD128" s="140">
        <f ca="1">SUMIFS(RZ[Úroveň 5 (P6)],RZ[0],AX128,RZ[Úroveň 2 (P0)],AY128,RZ[Úroveň 3 (P0)],AZ128,RZ[Úroveň 4 (P0)],BA128,RZ[Úroveň 5 (P0)],BB128)</f>
        <v>0</v>
      </c>
      <c r="GE128" s="140">
        <f ca="1">SUMIFS(RZ[Úroveň 6 (P6)],RZ[0],AX128,RZ[Úroveň 2 (P0)],AY128,RZ[Úroveň 3 (P0)],AZ128,RZ[Úroveň 4 (P0)],BA128,RZ[Úroveň 5 (P0)],BB128,RZ[Úroveň 6 (P0)],BC128)</f>
        <v>0</v>
      </c>
      <c r="GF128" s="140">
        <f ca="1">SUMIFS(RZ[Úroveň 7 (P6)],RZ[0],AX128,RZ[Úroveň 2 (P0)],AY128,RZ[Úroveň 3 (P0)],AZ128,RZ[Úroveň 4 (P0)],BA128,RZ[Úroveň 5 (P0)],BB128,RZ[Úroveň 6 (P0)],BC128,RZ[Úroveň 7 (P0)],BD128)</f>
        <v>0</v>
      </c>
      <c r="GG128" s="140">
        <f ca="1">SUMIFS(RZ[Úroveň 8 (P6)],RZ[0],AX128,RZ[Úroveň 2 (P0)],AY128,RZ[Úroveň 3 (P0)],AZ128,RZ[Úroveň 4 (P0)],BA128,RZ[Úroveň 5 (P0)],BB128,RZ[Úroveň 6 (P0)],BC128,RZ[Úroveň 7 (P0)],BD128,RZ[Úroveň 8 (P0)],BE128)</f>
        <v>0</v>
      </c>
      <c r="GH128" s="140">
        <f ca="1">SUMIFS(RZ[Úroveň 9 (P6)],RZ[0],AX128,RZ[Úroveň 2 (P0)],AY128,RZ[Úroveň 3 (P0)],AZ128,RZ[Úroveň 4 (P0)],BA128,RZ[Úroveň 5 (P0)],BB128,RZ[Úroveň 6 (P0)],BC128,RZ[Úroveň 7 (P0)],BD128,RZ[Úroveň 8 (P0)],BE128,RZ[Úroveň 9 (P0)],BF128)</f>
        <v>0</v>
      </c>
      <c r="GI128" s="140">
        <f ca="1">SUMIFS(RZ[Úroveň 10 (P6)],RZ[0],AX128,RZ[Úroveň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GJ128" s="918">
        <f t="shared" ca="1" si="1108"/>
        <v>3.6320000000000001</v>
      </c>
      <c r="GK128" s="808">
        <f t="shared" si="1109"/>
        <v>0</v>
      </c>
      <c r="GL128" s="808">
        <f t="shared" si="1110"/>
        <v>0</v>
      </c>
      <c r="GM128" s="808">
        <f t="shared" si="1111"/>
        <v>1</v>
      </c>
      <c r="GN128" s="808">
        <f t="shared" si="1112"/>
        <v>0</v>
      </c>
      <c r="GO128" s="808">
        <f t="shared" si="1113"/>
        <v>0</v>
      </c>
      <c r="GP128" s="808">
        <f t="shared" si="1114"/>
        <v>0</v>
      </c>
      <c r="GQ128" s="808">
        <f t="shared" si="1115"/>
        <v>0</v>
      </c>
      <c r="GR128" s="808">
        <f t="shared" si="1116"/>
        <v>0</v>
      </c>
      <c r="GS128" s="808">
        <f t="shared" si="1117"/>
        <v>0</v>
      </c>
      <c r="GT128" s="808">
        <f t="shared" si="1118"/>
        <v>0</v>
      </c>
      <c r="GU128" s="809">
        <f ca="1">SUMIFS(RZ[Sloupec1],RZ[0],AX128)</f>
        <v>1</v>
      </c>
      <c r="GV128" s="809">
        <f ca="1">SUMIFS(RZ[Sloupec2],RZ[0],AX128,RZ[Úroveň 2 (P0)],AY128)</f>
        <v>1</v>
      </c>
      <c r="GW128" s="809">
        <f ca="1">SUMIFS(RZ[Sloupec3],RZ[0],AX128,RZ[Úroveň 2 (P0)],AY128,RZ[Úroveň 3 (P0)],AZ128)</f>
        <v>1</v>
      </c>
      <c r="GX128" s="809">
        <f ca="1">SUMIFS(RZ[Sloupec4],RZ[0],AX128,RZ[Úroveň 2 (P0)],AY128,RZ[Úroveň 3 (P0)],AZ128,RZ[Úroveň 4 (P0)],BA128)</f>
        <v>0</v>
      </c>
      <c r="GY128" s="809">
        <f ca="1">SUMIFS(RZ[Sloupec5],RZ[0],AX128,RZ[Úroveň 2 (P0)],AY128,RZ[Úroveň 3 (P0)],AZ128,RZ[Úroveň 4 (P0)],BA128,RZ[Úroveň 5 (P0)],BB128)</f>
        <v>0</v>
      </c>
      <c r="GZ128" s="809">
        <f ca="1">SUMIFS(RZ[Sloupec6],RZ[0],AX128,RZ[Úroveň 2 (P0)],AY128,RZ[Úroveň 3 (P0)],AZ128,RZ[Úroveň 4 (P0)],BA128,RZ[Úroveň 5 (P0)],BB128,RZ[Úroveň 6 (P0)],BC128)</f>
        <v>0</v>
      </c>
      <c r="HA128" s="809">
        <f ca="1">SUMIFS(RZ[Sloupec62],RZ[0],AX128,RZ[Úroveň 2 (P0)],AY128,RZ[Úroveň 3 (P0)],AZ128,RZ[Úroveň 4 (P0)],BA128,RZ[Úroveň 5 (P0)],BB128,RZ[Úroveň 6 (P0)],BC128,RZ[Úroveň 7 (P0)],BD128)</f>
        <v>0</v>
      </c>
      <c r="HB128" s="809">
        <f ca="1">SUMIFS(RZ[Sloupec63],RZ[0],AX128,RZ[Úroveň 2 (P0)],AY128,RZ[Úroveň 3 (P0)],AZ128,RZ[Úroveň 4 (P0)],BA128,RZ[Úroveň 5 (P0)],BB128,RZ[Úroveň 6 (P0)],BC128,RZ[Úroveň 7 (P0)],BD128,RZ[Úroveň 8 (P0)],BE128)</f>
        <v>0</v>
      </c>
      <c r="HC128" s="809">
        <f ca="1">SUMIFS(RZ[Sloupec64],RZ[0],AX128,RZ[Úroveň 2 (P0)],AY128,RZ[Úroveň 3 (P0)],AZ128,RZ[Úroveň 4 (P0)],BA128,RZ[Úroveň 5 (P0)],BB128,RZ[Úroveň 6 (P0)],BC128,RZ[Úroveň 7 (P0)],BD128,RZ[Úroveň 8 (P0)],BE128,RZ[Úroveň 9 (P0)],BF128)</f>
        <v>0</v>
      </c>
      <c r="HD128" s="809">
        <f ca="1">SUMIFS(RZ[Sloupec65],RZ[0],AX128,RZ[Úroveň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HE128" s="919">
        <f t="shared" ca="1" si="1119"/>
        <v>1</v>
      </c>
      <c r="HF128" s="920" t="str">
        <f t="shared" si="1120"/>
        <v/>
      </c>
      <c r="HG128" s="94" t="str">
        <f t="shared" si="1121"/>
        <v/>
      </c>
      <c r="HH128" s="95" t="str">
        <f t="shared" si="1122"/>
        <v/>
      </c>
      <c r="HI128" s="95" t="str">
        <f t="shared" si="1123"/>
        <v>Spojovací materiál</v>
      </c>
      <c r="HJ128" s="96" t="str">
        <f t="shared" si="1124"/>
        <v/>
      </c>
      <c r="HK128" s="96" t="str">
        <f t="shared" si="1125"/>
        <v/>
      </c>
      <c r="HL128" s="96" t="str">
        <f t="shared" si="1126"/>
        <v/>
      </c>
      <c r="HM128" s="96" t="str">
        <f t="shared" si="1127"/>
        <v/>
      </c>
      <c r="HN128" s="96" t="str">
        <f t="shared" si="1128"/>
        <v/>
      </c>
      <c r="HO128" s="96" t="str">
        <f t="shared" si="1129"/>
        <v/>
      </c>
      <c r="HP128" s="96" t="str">
        <f t="shared" si="1130"/>
        <v/>
      </c>
      <c r="HQ128" s="145" t="str">
        <f t="shared" si="1131"/>
        <v>STSM</v>
      </c>
      <c r="HR128" s="921" t="str">
        <f t="shared" si="1132"/>
        <v/>
      </c>
      <c r="HS128" s="173">
        <f t="shared" si="1133"/>
        <v>0</v>
      </c>
      <c r="HT128" s="100">
        <f t="shared" si="1134"/>
        <v>0</v>
      </c>
      <c r="HU128" s="100">
        <f t="shared" si="1135"/>
        <v>0</v>
      </c>
      <c r="HV128" s="908">
        <f t="shared" si="1136"/>
        <v>0</v>
      </c>
      <c r="HW128" s="922">
        <f t="shared" si="1137"/>
        <v>0</v>
      </c>
      <c r="HX128" s="224">
        <f t="shared" si="1138"/>
        <v>0</v>
      </c>
      <c r="HY128" s="263" t="str">
        <f t="shared" si="1139"/>
        <v>S</v>
      </c>
      <c r="HZ128" s="263">
        <f t="shared" si="1140"/>
        <v>0</v>
      </c>
      <c r="IA128" s="150">
        <f t="shared" si="1141"/>
        <v>1</v>
      </c>
      <c r="IB128" s="319">
        <f t="shared" si="1142"/>
        <v>0</v>
      </c>
      <c r="IC128" s="923">
        <f t="shared" si="1143"/>
        <v>0</v>
      </c>
      <c r="ID128" s="924" t="str">
        <f t="shared" ca="1" si="1144"/>
        <v>OK</v>
      </c>
      <c r="IE128" s="201" t="str">
        <f t="shared" si="1145"/>
        <v>ks</v>
      </c>
      <c r="IF128" s="145">
        <f t="shared" si="1146"/>
        <v>1</v>
      </c>
      <c r="IG128" s="216">
        <f t="shared" si="1147"/>
        <v>1.8160000000000001</v>
      </c>
      <c r="IH128" s="217">
        <f t="shared" si="1148"/>
        <v>1</v>
      </c>
      <c r="II128" s="224" t="str">
        <f ca="1">IF(RZ[[#This Row],[Rozhodný sloupec indikativní ceny]]=1,"kg",IF($IW128=$JL$15,IF(JX128=0,JO128,JX128),IF($IW128=$KE$15,IF(KQ128=0,KH128,KQ128),IF($IW128=$KX$15,IF(LJ128=0,LA128,LJ128),IF($IW128=$LQ$15,IF(MC128=0,LT128,MC128),IF($IW128=$MJ$15,IF(NQ128=0,NH128,NQ128),0))))))</f>
        <v>kg</v>
      </c>
      <c r="IJ128" s="224">
        <f ca="1">IF((BH128+OFFSET(BH128,1,1,1,1))=2,RZ[[#This Row],[Počet MJHR (P0)]],IF((BI128+OFFSET(BI128,1,1,1,1))=2,RZ[[#This Row],[Počet MJHR (P0)]],IF((BJ128+OFFSET(BJ128,1,1,1,1))=2,RZ[[#This Row],[Počet MJHR (P0)]],IF((BK128+OFFSET(BK128,1,1,1,1))=2,RZ[[#This Row],[Počet MJHR (P0)]],IF((BL128+OFFSET(BL128,1,1,1,1))=2,RZ[[#This Row],[Počet MJHR (P0)]],IF((BM128+OFFSET(BM128,1,1,1,1))=2,RZ[[#This Row],[Počet MJHR (P0)]],IF((BN128+OFFSET(BN128,1,1,1,1))=2,RZ[[#This Row],[Počet MJHR (P0)]],IF((BO128+OFFSET(BO128,1,1,1,1))=2,RZ[[#This Row],[Počet MJHR (P0)]],IF((BP128+OFFSET(BP128,1,1,1,1))=2,RZ[[#This Row],[Počet MJHR (P0)]],IF((BQ128+OFFSET(BQ128,1,1,1,1))=2,RZ[[#This Row],[Počet MJHR (P0)]],IF(RZ[[#This Row],[Měrná jednotka CR (MJCR) (P0)]]=RZ[[#This Row],[Měrná jednotka HR '[MJHR'] (P0)]],RZ[[#This Row],[Počet MJHR (P0)]],IF($IW128=$JL$15,JY128,IF($IW128=$KE$15,KR128,IF($IW128=$KX$15,LK128,IF($IW128=$LQ$15,MD128,IF($IW128=$MJ$15,NR128,0))))))))))))))))</f>
        <v>0</v>
      </c>
      <c r="IK1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1.8160000000000001</v>
      </c>
      <c r="IL128" s="145">
        <f ca="1">IF(AND(RZ[[#This Row],[Jednotková cena bez DPH '[cena/MJCR'] (P0)]]=0,RZ[[#This Row],[Indikativní jednotková cena '[CZK/kg'] (P1)]]&lt;&gt;0),1,0)</f>
        <v>1</v>
      </c>
      <c r="IM128" s="217">
        <f ca="1">VLOOKUP(RZ[[#This Row],[Kód položek]],INDIKAT_CENA,2,FALSE)</f>
        <v>110</v>
      </c>
      <c r="IN128" s="222">
        <f ca="1">IF(RZ[[#This Row],[Rozhodný sloupec indikativní ceny]]=1,RZ[[#This Row],[Indikativní jednotková cena '[CZK/kg'] (P1)]],RZ[[#This Row],[Jednotková cena bez DPH '[cena/MJCR'] (P0)]])</f>
        <v>110</v>
      </c>
      <c r="IO128" s="222">
        <f t="shared" si="1149"/>
        <v>1</v>
      </c>
      <c r="IP128" s="224">
        <f ca="1">IF(RZ[[#This Row],[Rozhodný sloupec indikativní ceny]]=1,1,IF($IW128=$JL$15,KA128,IF($IW128=$KE$15,KT128,IF($IW128=$KX$15,LM128,IF($IW128=$LQ$15,MF128,IF($IW128=$MJ$15,NT128,0))))))</f>
        <v>1</v>
      </c>
      <c r="IQ128" s="225">
        <f ca="1">IF(RZ[[#This Row],[Jednotková cena bez DPH '[cena/MJCR'] (P1)]]="",0,IF(IP128=0,0,(RZ[[#This Row],[Jednotková cena bez DPH '[cena/MJCR'] (P1)]]*VLOOKUP(IP128,$BR$7:$BT$10,3))))</f>
        <v>110</v>
      </c>
      <c r="IR128" s="737"/>
      <c r="IS128" s="627">
        <f>IF(HY128=0,"",VLOOKUP(RZ[[#This Row],[Stav Projekce (P0)]],Vstupy!$E$11:'Vstupy'!$E$11:$H$17,4,FALSE))</f>
        <v>100</v>
      </c>
      <c r="IT128" s="925" t="str">
        <f>IF(RZ[[#This Row],[Stav Projekce (P0)]]=0,"",RZ[[#This Row],[Stav Projekce (P0)]])</f>
        <v>S</v>
      </c>
      <c r="IU128" s="925" t="str">
        <f>IF(RZ[[#This Row],[Stav Nákup (P0)]]=0,"",RZ[[#This Row],[Stav Nákup (P0)]])</f>
        <v/>
      </c>
      <c r="IV128" s="926" t="str">
        <f t="shared" si="1150"/>
        <v/>
      </c>
      <c r="IW128" s="641">
        <v>1</v>
      </c>
      <c r="IX128" s="630"/>
      <c r="IY128" s="264"/>
      <c r="IZ128" s="648"/>
      <c r="JA128" s="100"/>
      <c r="JB128" s="100" t="s">
        <v>36</v>
      </c>
      <c r="JC128" s="100"/>
      <c r="JD128" s="100"/>
      <c r="JE128" s="100"/>
      <c r="JF128" s="100"/>
      <c r="JG128" s="100"/>
      <c r="JH128" s="100"/>
      <c r="JI128" s="100"/>
      <c r="JJ128" s="145" t="s">
        <v>766</v>
      </c>
      <c r="JK128" s="529"/>
      <c r="JL128" s="286"/>
      <c r="JM128" s="100"/>
      <c r="JN128" s="100"/>
      <c r="JO128" s="145" t="s">
        <v>35</v>
      </c>
      <c r="JP128" s="117">
        <v>1</v>
      </c>
      <c r="JQ128" s="117">
        <v>1.8160000000000001</v>
      </c>
      <c r="JR128" s="148">
        <v>1</v>
      </c>
      <c r="JS128" s="145" t="s">
        <v>602</v>
      </c>
      <c r="JT128" s="631"/>
      <c r="JU128" s="148"/>
      <c r="JV128" s="154"/>
      <c r="JW128" s="145"/>
      <c r="JX128" s="210"/>
      <c r="JY128" s="117"/>
      <c r="JZ128" s="662"/>
      <c r="KA128" s="145"/>
      <c r="KB128" s="148"/>
      <c r="KC128" s="148"/>
      <c r="KD128" s="644"/>
      <c r="KE128" s="286"/>
      <c r="KF128" s="100"/>
      <c r="KG128" s="100"/>
      <c r="KH128" s="210"/>
      <c r="KI128" s="117"/>
      <c r="KJ128" s="117"/>
      <c r="KK128" s="148"/>
      <c r="KL128" s="145"/>
      <c r="KM128" s="632"/>
      <c r="KN128" s="148"/>
      <c r="KO128" s="154"/>
      <c r="KP128" s="154"/>
      <c r="KQ128" s="210"/>
      <c r="KR128" s="117"/>
      <c r="KS128" s="211"/>
      <c r="KT128" s="145"/>
      <c r="KU128" s="148"/>
      <c r="KV128" s="148"/>
      <c r="KW128" s="265"/>
      <c r="KX128" s="286"/>
      <c r="KY128" s="100"/>
      <c r="KZ128" s="100"/>
      <c r="LA128" s="210"/>
      <c r="LB128" s="117"/>
      <c r="LC128" s="117"/>
      <c r="LD128" s="148"/>
      <c r="LE128" s="145"/>
      <c r="LF128" s="632"/>
      <c r="LG128" s="148"/>
      <c r="LH128" s="154"/>
      <c r="LI128" s="154"/>
      <c r="LJ128" s="154"/>
      <c r="LK128" s="117"/>
      <c r="LL128" s="211"/>
      <c r="LM128" s="210"/>
      <c r="LN128" s="148"/>
      <c r="LO128" s="148"/>
      <c r="LP128" s="265"/>
      <c r="LQ128" s="286"/>
      <c r="LR128" s="100"/>
      <c r="LS128" s="100"/>
      <c r="LT128" s="210"/>
      <c r="LU128" s="117"/>
      <c r="LV128" s="117"/>
      <c r="LW128" s="148"/>
      <c r="LX128" s="145"/>
      <c r="LY128" s="632"/>
      <c r="LZ128" s="148"/>
      <c r="MA128" s="154"/>
      <c r="MB128" s="154"/>
      <c r="MC128" s="145"/>
      <c r="MD128" s="117"/>
      <c r="ME128" s="211"/>
      <c r="MF128" s="210"/>
      <c r="MG128" s="148"/>
      <c r="MH128" s="148"/>
      <c r="MI128" s="265"/>
      <c r="MJ128" s="647"/>
      <c r="MK128" s="264"/>
      <c r="ML128" s="153"/>
      <c r="MM128" s="153"/>
      <c r="MN128" s="153"/>
      <c r="MO128" s="153"/>
      <c r="MP128" s="153"/>
      <c r="MQ128" s="153"/>
      <c r="MR128" s="153"/>
      <c r="MS128" s="99"/>
      <c r="MT128" s="99"/>
      <c r="MU128" s="99"/>
      <c r="MV128" s="99"/>
      <c r="MW128" s="99"/>
      <c r="MX128" s="99"/>
      <c r="MY128" s="153"/>
      <c r="MZ128" s="153"/>
      <c r="NA128" s="153"/>
      <c r="NB128" s="153"/>
      <c r="NC128" s="153"/>
      <c r="ND128" s="153"/>
      <c r="NE128" s="153"/>
      <c r="NF128" s="153"/>
      <c r="NG128" s="153"/>
      <c r="NH128" s="330" t="str">
        <f t="shared" si="1151"/>
        <v>ks</v>
      </c>
      <c r="NI128" s="797">
        <f>RZ[[#This Row],[Počet ks (K)]]</f>
        <v>0</v>
      </c>
      <c r="NJ128" s="798">
        <f>RZ[[#This Row],[Hmotnost '[kg/ks'] (K)]]</f>
        <v>0</v>
      </c>
      <c r="NK128" s="153"/>
      <c r="NL128" s="153"/>
      <c r="NM128" s="632"/>
      <c r="NN128" s="153"/>
      <c r="NO128" s="153"/>
      <c r="NP128" s="153"/>
      <c r="NQ128" s="153"/>
      <c r="NR128" s="153"/>
      <c r="NS128" s="153"/>
      <c r="NT128" s="153"/>
      <c r="NU128" s="153"/>
      <c r="NV128" s="148"/>
      <c r="NW128" s="633"/>
    </row>
    <row r="129" spans="2:387" ht="15.95" customHeight="1" thickBot="1" x14ac:dyDescent="0.4">
      <c r="B129" s="118" t="str">
        <f t="shared" si="1"/>
        <v/>
      </c>
      <c r="C1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9" s="262" t="str">
        <f t="shared" si="2"/>
        <v xml:space="preserve">  Koncové vypínání</v>
      </c>
      <c r="E129" s="120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Row],[Kód položek (P2)]]))))))))))</f>
        <v>STO2</v>
      </c>
      <c r="F129" s="122" t="str">
        <f t="shared" si="3"/>
        <v>N/A</v>
      </c>
      <c r="G129" s="121" t="str">
        <f t="shared" si="4"/>
        <v/>
      </c>
      <c r="H129" s="122" t="str">
        <f t="shared" si="5"/>
        <v/>
      </c>
      <c r="I129" s="123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HR '[MJHR'] (P0)]]))))))))))</f>
        <v>ks</v>
      </c>
      <c r="J129" s="123">
        <f t="shared" si="6"/>
        <v>1</v>
      </c>
      <c r="K129" s="151">
        <f>RZ[[#This Row],[Koeficient odhadu HR '[-'] (P1)]]</f>
        <v>1</v>
      </c>
      <c r="L129" s="124">
        <f ca="1">RZ[[#This Row],[Jednotková hmotnost s koef. '[kg/MJHR'] (P0)]]</f>
        <v>21.4</v>
      </c>
      <c r="M129" s="124">
        <f t="shared" ca="1" si="7"/>
        <v>0</v>
      </c>
      <c r="N129" s="125">
        <f t="shared" ca="1" si="8"/>
        <v>21.4</v>
      </c>
      <c r="O129" s="125">
        <f t="shared" ca="1" si="9"/>
        <v>0</v>
      </c>
      <c r="P129" s="328" t="str">
        <f t="shared" si="10"/>
        <v/>
      </c>
      <c r="Q129" s="743">
        <f ca="1">RZ[[#This Row],[Počet MJHR v rozpadu (P0)]]</f>
        <v>1</v>
      </c>
      <c r="R129" s="439" t="str">
        <f t="shared" si="11"/>
        <v/>
      </c>
      <c r="S129" s="129" t="str">
        <f t="shared" si="12"/>
        <v/>
      </c>
      <c r="T129" s="130" t="str">
        <f t="shared" si="13"/>
        <v/>
      </c>
      <c r="U129" s="126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CR (MJCR) (P0)]]))))))))))</f>
        <v>kg</v>
      </c>
      <c r="V129" s="575">
        <f t="shared" ca="1" si="14"/>
        <v>21.4</v>
      </c>
      <c r="W129" s="322">
        <f>RZ[[#This Row],[Koeficient odhadu CR '[-'] (P1)]]</f>
        <v>1</v>
      </c>
      <c r="X129" s="440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Row],[Jednotková cena bez DPH '[cena/MJCR'] (P1)]]*RZ[[#This Row],[Koeficient odhadu CR '[-']]]))))))))))</f>
        <v>115</v>
      </c>
      <c r="Y129" s="440">
        <f t="shared" ca="1" si="108"/>
        <v>0</v>
      </c>
      <c r="Z129" s="142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VLOOKUP(IP129,$BR$7:$BS$11,2,FALSE)))))))))))</f>
        <v>CZK</v>
      </c>
      <c r="AA129" s="811">
        <f t="shared" ca="1" si="16"/>
        <v>21.4</v>
      </c>
      <c r="AB129" s="814">
        <f ca="1">RZ[[#This Row],[Kumulovaný koeficient v rozpadu (P0)]]</f>
        <v>1</v>
      </c>
      <c r="AC129" s="260"/>
      <c r="AD129" s="510">
        <f ca="1">RZ[[#This Row],[Jednotková cena bez DPH '[cena/MJCR'] s koef. (P0)]]/RZ[[#This Row],[Koeficient odhadu CR '[-']]]*RZ[[#This Row],[Kumulovaný koeficient odhadu CR  '[-']]]</f>
        <v>115</v>
      </c>
      <c r="AE129" s="511">
        <f t="shared" ca="1" si="17"/>
        <v>2461</v>
      </c>
      <c r="AF129" s="512">
        <f ca="1">-IF(ISNUMBER(AA129),RZ[[#This Row],[Celková cena bez DPH (1)]]-RZ[[#This Row],[Jednotková cena bez DPH '[cena/MJCR'] bez koef. (P0)]]*AA129,0)</f>
        <v>0</v>
      </c>
      <c r="AG1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29" s="261"/>
      <c r="AI129" s="510">
        <f t="shared" ca="1" si="18"/>
        <v>4.2592592592592595</v>
      </c>
      <c r="AJ129" s="511">
        <f t="shared" ca="1" si="19"/>
        <v>91.148148148148152</v>
      </c>
      <c r="AK129" s="512">
        <f t="shared" ca="1" si="20"/>
        <v>0</v>
      </c>
      <c r="AL129" s="753">
        <f ca="1">RZ[[#This Row],[Kilogramová cena bez DPH '[cena/kg'] (1)]]/$AK$13</f>
        <v>4.2592592592592595</v>
      </c>
      <c r="AM129" s="261"/>
      <c r="AN129" s="510">
        <f t="shared" ca="1" si="21"/>
        <v>5.5555555555555554</v>
      </c>
      <c r="AO129" s="511">
        <f t="shared" ca="1" si="22"/>
        <v>118.8888888888889</v>
      </c>
      <c r="AP129" s="512">
        <f t="shared" ca="1" si="23"/>
        <v>0</v>
      </c>
      <c r="AQ129" s="753">
        <f ca="1">RZ[[#This Row],[Kilogramová cena bez DPH '[cena/kg'] (1)]]/$AP$13</f>
        <v>5.5555555555555562</v>
      </c>
      <c r="AR129" s="261"/>
      <c r="AS129" s="510">
        <f t="shared" ca="1" si="24"/>
        <v>3.1455142231947484</v>
      </c>
      <c r="AT129" s="511">
        <f t="shared" ca="1" si="25"/>
        <v>67.314004376367606</v>
      </c>
      <c r="AU129" s="511">
        <f t="shared" ca="1" si="26"/>
        <v>0</v>
      </c>
      <c r="AV129" s="767">
        <f ca="1">RZ[[#This Row],[Kilogramová cena bez DPH '[cena/kg'] (1)]]/$AU$13</f>
        <v>3.1455142231947484</v>
      </c>
      <c r="AW129" s="165"/>
      <c r="AX129" s="110">
        <f t="shared" ca="1" si="27"/>
        <v>2</v>
      </c>
      <c r="AY129" s="55">
        <f t="shared" ca="1" si="28"/>
        <v>12</v>
      </c>
      <c r="AZ129" s="111">
        <f t="shared" ca="1" si="29"/>
        <v>0</v>
      </c>
      <c r="BA129" s="111">
        <f t="shared" ca="1" si="30"/>
        <v>0</v>
      </c>
      <c r="BB129" s="111">
        <f t="shared" ca="1" si="31"/>
        <v>0</v>
      </c>
      <c r="BC129" s="111">
        <f t="shared" ca="1" si="32"/>
        <v>0</v>
      </c>
      <c r="BD129" s="111">
        <f t="shared" ca="1" si="33"/>
        <v>0</v>
      </c>
      <c r="BE129" s="111">
        <f t="shared" ca="1" si="109"/>
        <v>0</v>
      </c>
      <c r="BF129" s="111">
        <f t="shared" ca="1" si="34"/>
        <v>0</v>
      </c>
      <c r="BG129" s="112">
        <f t="shared" ca="1" si="35"/>
        <v>0</v>
      </c>
      <c r="BH129" s="110">
        <f t="shared" si="110"/>
        <v>0</v>
      </c>
      <c r="BI129" s="55">
        <f t="shared" si="111"/>
        <v>1</v>
      </c>
      <c r="BJ129" s="55">
        <f t="shared" si="112"/>
        <v>0</v>
      </c>
      <c r="BK129" s="111">
        <f t="shared" si="113"/>
        <v>0</v>
      </c>
      <c r="BL129" s="111">
        <f t="shared" si="114"/>
        <v>0</v>
      </c>
      <c r="BM129" s="111">
        <f t="shared" si="115"/>
        <v>0</v>
      </c>
      <c r="BN129" s="111">
        <f t="shared" si="116"/>
        <v>0</v>
      </c>
      <c r="BO129" s="111">
        <f t="shared" si="117"/>
        <v>0</v>
      </c>
      <c r="BP129" s="111">
        <f t="shared" si="118"/>
        <v>0</v>
      </c>
      <c r="BQ129" s="112">
        <f t="shared" si="119"/>
        <v>0</v>
      </c>
      <c r="BR129" s="186">
        <f ca="1">IF(OFFSET(AY129,1,0,1,1)&lt;&gt;0,RZ[[#This Row],[Koeficient odhadu HR '[-'] (P1)]]*$BH129*SUMIFS(RZ[Úroveň 2 s koef. (P2)],RZ[0],AX129),RZ[[#This Row],[Koeficient odhadu HR '[-'] (P1)]]*$BH129*$IG129)</f>
        <v>0</v>
      </c>
      <c r="BS129" s="186">
        <f ca="1">IF(OFFSET(AY129,1,0,1,1)&lt;&gt;0,$BH129*SUMIFS(RZ[Úroveň 2 bez koef. (P2)],RZ[0],AX129),$BH129*$IG129)</f>
        <v>0</v>
      </c>
      <c r="BT129" s="138">
        <f ca="1">RZ[[#This Row],[Úroveň 2 s koef. (P2a)]]*RZ[[#This Row],[Počet MJHR (P0)]]</f>
        <v>21.4</v>
      </c>
      <c r="BU129" s="138">
        <f ca="1">RZ[[#This Row],[Úroveň 2 bez koef. (P2a)]]*RZ[[#This Row],[Počet MJHR (P0)]]</f>
        <v>21.4</v>
      </c>
      <c r="BV129" s="138">
        <f ca="1">IF(OFFSET(AZ129,1,0,1,1)&lt;&gt;0,RZ[[#This Row],[Koeficient odhadu HR '[-'] (P1)]]*$BI129*SUMIFS(RZ[Úroveň 3 s koef. (P2)],RZ[0],AX129,RZ[Úroveň 2 (P0)],AY129),RZ[[#This Row],[Koeficient odhadu HR '[-'] (P1)]]*$BI129*$IG129)</f>
        <v>21.4</v>
      </c>
      <c r="BW129" s="138">
        <f ca="1">IF(OFFSET(AZ129,1,0,1,1)&lt;&gt;0,$BI129*SUMIFS(RZ[Úroveň 3 bez koef. (P2)],RZ[0],AX129,RZ[Úroveň 2 (P0)],AY129),$BI129*$IG129)</f>
        <v>21.4</v>
      </c>
      <c r="BX129" s="132">
        <f ca="1">RZ[[#This Row],[Úroveň 3 s koef. (P2a)]]*RZ[[#This Row],[Počet MJHR (P0)]]</f>
        <v>0</v>
      </c>
      <c r="BY129" s="132">
        <f ca="1">RZ[Úroveň 3 bez koef. (P2a)]*RZ[[#This Row],[Počet MJHR (P0)]]</f>
        <v>0</v>
      </c>
      <c r="BZ129" s="132">
        <f ca="1">IF(OFFSET(BA129,1,0,1,1)&lt;&gt;0,RZ[[#This Row],[Koeficient odhadu HR '[-'] (P1)]]*$BJ129*SUMIFS(RZ[Úroveň 4 s koef. (P2)],RZ[0],AX129,RZ[Úroveň 2 (P0)],AY129,RZ[Úroveň 3 (P0)],AZ129),RZ[[#This Row],[Koeficient odhadu HR '[-'] (P1)]]*$BJ129*$IG129)</f>
        <v>0</v>
      </c>
      <c r="CA129" s="132">
        <f ca="1">IF(OFFSET(BA129,1,0,1,1)&lt;&gt;0,$BJ129*SUMIFS(RZ[Úroveň 4 bez koef. (P2)],RZ[0],AX129,RZ[Úroveň 2 (P0)],AY129,RZ[Úroveň 3 (P0)],AZ129),$BJ129*$IG129)</f>
        <v>0</v>
      </c>
      <c r="CB129" s="138">
        <f ca="1">RZ[[#This Row],[Úroveň 4 s koef. (P2a)]]*RZ[[#This Row],[Počet MJHR (P0)]]</f>
        <v>0</v>
      </c>
      <c r="CC129" s="138">
        <f ca="1">RZ[Úroveň 4 bez koef. (P2a)]*RZ[[#This Row],[Počet MJHR (P0)]]</f>
        <v>0</v>
      </c>
      <c r="CD129" s="138">
        <f ca="1">IF(OFFSET(BB129,1,0,1,1)&lt;&gt;0,RZ[[#This Row],[Koeficient odhadu HR '[-'] (P1)]]*$BK129*SUMIFS(RZ[Úroveň 5 s koef. (P2)],RZ[0],AX129,RZ[Úroveň 2 (P0)],AY129,RZ[Úroveň 3 (P0)],AZ129,RZ[Úroveň 4 (P0)],BA129),RZ[[#This Row],[Koeficient odhadu HR '[-'] (P1)]]*$BK129*$IG129)</f>
        <v>0</v>
      </c>
      <c r="CE129" s="138">
        <f ca="1">IF(OFFSET(BB129,1,0,1,1)&lt;&gt;0,$BK129*SUMIFS(RZ[Úroveň 5 bez koef. (P2)],RZ[0],AX129,RZ[Úroveň 2 (P0)],AY129,RZ[Úroveň 3 (P0)],AZ129,RZ[Úroveň 4 (P0)],BA129),$BK129*$IG129)</f>
        <v>0</v>
      </c>
      <c r="CF129" s="132">
        <f ca="1">RZ[[#This Row],[Úroveň 5 s koef. (P2a)]]*RZ[[#This Row],[Počet MJHR (P0)]]</f>
        <v>0</v>
      </c>
      <c r="CG129" s="132">
        <f ca="1">RZ[Úroveň 5 bez koef. (P2a)]*RZ[[#This Row],[Počet MJHR (P0)]]</f>
        <v>0</v>
      </c>
      <c r="CH129" s="132">
        <f ca="1">IF(OFFSET(BC129,1,0,1,1)&lt;&gt;0,RZ[[#This Row],[Koeficient odhadu HR '[-'] (P1)]]*$BL129*SUMIFS(RZ[Úroveň 6 s koef. (P2)],RZ[0],AX129,RZ[Úroveň 2 (P0)],AY129,RZ[Úroveň 3 (P0)],AZ129,RZ[Úroveň 4 (P0)],BA129,RZ[Úroveň 5 (P0)],BB129),RZ[[#This Row],[Koeficient odhadu HR '[-'] (P1)]]*$BL129*$IG129)</f>
        <v>0</v>
      </c>
      <c r="CI129" s="132">
        <f ca="1">IF(OFFSET(BC129,1,0,1,1)&lt;&gt;0,$BL129*SUMIFS(RZ[Úroveň 6 bez koef. (P2)],RZ[0],AX129,RZ[Úroveň 2 (P0)],AY129,RZ[Úroveň 3 (P0)],AZ129,RZ[Úroveň 4 (P0)],BA129,RZ[Úroveň 5 (P0)],BB129),$BL129*$IG129)</f>
        <v>0</v>
      </c>
      <c r="CJ129" s="138">
        <f ca="1">RZ[[#This Row],[Úroveň 6 s koef. (P2a)]]*RZ[[#This Row],[Počet MJHR (P0)]]</f>
        <v>0</v>
      </c>
      <c r="CK129" s="138">
        <f ca="1">RZ[Úroveň 6 bez koef. (P2a)]*RZ[[#This Row],[Počet MJHR (P0)]]</f>
        <v>0</v>
      </c>
      <c r="CL129" s="138">
        <f ca="1">IF(OFFSET(BD129,1,0,1,1)&lt;&gt;0,RZ[[#This Row],[Koeficient odhadu HR '[-'] (P1)]]*$BM129*SUMIFS(RZ[Úroveň 7 s koef. (P2)],RZ[0],AX129,RZ[Úroveň 2 (P0)],AY129,RZ[Úroveň 3 (P0)],AZ129,RZ[Úroveň 4 (P0)],BA129,RZ[Úroveň 5 (P0)],BB129,RZ[Úroveň 6 (P0)],BC129),RZ[[#This Row],[Koeficient odhadu HR '[-'] (P1)]]*$BM129*$IG129)</f>
        <v>0</v>
      </c>
      <c r="CM129" s="138">
        <f ca="1">IF(OFFSET(BD129,1,0,1,1)&lt;&gt;0,$BM129*SUMIFS(RZ[Úroveň 7 bez koef. (P2)],RZ[0],AX129,RZ[Úroveň 2 (P0)],AY129,RZ[Úroveň 3 (P0)],AZ129,RZ[Úroveň 4 (P0)],BA129,RZ[Úroveň 5 (P0)],BB129,RZ[Úroveň 6 (P0)],BC129),$BM129*$IG129)</f>
        <v>0</v>
      </c>
      <c r="CN129" s="132">
        <f ca="1">RZ[[#This Row],[Úroveň 7 s koef. (P2a)]]*RZ[[#This Row],[Počet MJHR (P0)]]</f>
        <v>0</v>
      </c>
      <c r="CO129" s="132">
        <f ca="1">RZ[Úroveň 7 bez koef. (P2a)]*RZ[[#This Row],[Počet MJHR (P0)]]</f>
        <v>0</v>
      </c>
      <c r="CP129" s="132">
        <f ca="1">IF(OFFSET(BE129,1,0,1,1)&lt;&gt;0,RZ[[#This Row],[Koeficient odhadu HR '[-'] (P1)]]*$BN129*SUMIFS(RZ[Úroveň 8 s koef. (P2)],RZ[0],AX129,RZ[Úroveň 2 (P0)],AY129,RZ[Úroveň 3 (P0)],AZ129,RZ[Úroveň 4 (P0)],BA129,RZ[Úroveň 5 (P0)],BB129,RZ[Úroveň 6 (P0)],BC129,RZ[Úroveň 7 (P0)],BD129),RZ[[#This Row],[Koeficient odhadu HR '[-'] (P1)]]*$BN129*$IG129)</f>
        <v>0</v>
      </c>
      <c r="CQ129" s="132">
        <f ca="1">IF(OFFSET(BE129,1,0,1,1)&lt;&gt;0,$BN129*SUMIFS(RZ[Úroveň 8 bez koef. (P2)],RZ[0],AX129,RZ[Úroveň 2 (P0)],AY129,RZ[Úroveň 3 (P0)],AZ129,RZ[Úroveň 4 (P0)],BA129,RZ[Úroveň 5 (P0)],BB129,RZ[Úroveň 6 (P0)],BC129,RZ[Úroveň 7 (P0)],BD129),$BN129*$IG129)</f>
        <v>0</v>
      </c>
      <c r="CR129" s="138">
        <f ca="1">RZ[[#This Row],[Úroveň 8 s koef. (P2a)]]*RZ[[#This Row],[Počet MJHR (P0)]]</f>
        <v>0</v>
      </c>
      <c r="CS129" s="138">
        <f ca="1">RZ[Úroveň 8 bez koef. (P2a)]*RZ[[#This Row],[Počet MJHR (P0)]]</f>
        <v>0</v>
      </c>
      <c r="CT129" s="138">
        <f ca="1">IF(OFFSET(BF129,1,0,1,1)&lt;&gt;0,RZ[[#This Row],[Koeficient odhadu HR '[-'] (P1)]]*$BO129*SUMIFS(RZ[Úroveň 9 s koef. (P2)],RZ[0],AX129,RZ[Úroveň 2 (P0)],AY129,RZ[Úroveň 3 (P0)],AZ129,RZ[Úroveň 4 (P0)],BA129,RZ[Úroveň 5 (P0)],BB129,RZ[Úroveň 6 (P0)],BC129,RZ[Úroveň 7 (P0)],BD129,RZ[Úroveň 8 (P0)],BE129),RZ[[#This Row],[Koeficient odhadu HR '[-'] (P1)]]*$BO129*$IG129)</f>
        <v>0</v>
      </c>
      <c r="CU129" s="138">
        <f ca="1">IF(OFFSET(BF129,1,0,1,1)&lt;&gt;0,$BO129*SUMIFS(RZ[Úroveň 9 bez koef. (P2)],RZ[0],AX129,RZ[Úroveň 2 (P0)],AY129,RZ[Úroveň 3 (P0)],AZ129,RZ[Úroveň 4 (P0)],BA129,RZ[Úroveň 5 (P0)],BB129,RZ[Úroveň 6 (P0)],BC129,RZ[Úroveň 7 (P0)],BD129,RZ[Úroveň 8 (P0)],BE129),$BO129*$IG129)</f>
        <v>0</v>
      </c>
      <c r="CV129" s="132">
        <f ca="1">RZ[[#This Row],[Úroveň 9 s koef. (P2a)]]*RZ[[#This Row],[Počet MJHR (P0)]]</f>
        <v>0</v>
      </c>
      <c r="CW129" s="132">
        <f ca="1">RZ[Úroveň 9 bez koef. (P2a)]*RZ[[#This Row],[Počet MJHR (P0)]]</f>
        <v>0</v>
      </c>
      <c r="CX129" s="132">
        <f ca="1">IF(OFFSET(BG129,1,0,1,1)&lt;&gt;0,RZ[[#This Row],[Koeficient odhadu HR '[-'] (P1)]]*$BP129*SUMIFS(RZ[Úroveň 10 s koef. (P2)],RZ[0],AX129,RZ[Úroveň 2 (P0)],AY129,RZ[Úroveň 3 (P0)],AZ129,RZ[Úroveň 4 (P0)],BA129,RZ[Úroveň 5 (P0)],BB129,RZ[Úroveň 6 (P0)],BC129,RZ[Úroveň 7 (P0)],BD129,RZ[Úroveň 8 (P0)],BE129,RZ[Úroveň 9 (P0)],BF129),RZ[[#This Row],[Koeficient odhadu HR '[-'] (P1)]]*$BP129*$IG129)</f>
        <v>0</v>
      </c>
      <c r="CY129" s="132">
        <f ca="1">IF(OFFSET(BG129,1,0,1,1)&lt;&gt;0,$BP129*SUMIFS(RZ[Úroveň 10 bez koef. (P2)],RZ[0],AX129,RZ[Úroveň 2 (P0)],AY129,RZ[Úroveň 3 (P0)],AZ129,RZ[Úroveň 4 (P0)],BA129,RZ[Úroveň 5 (P0)],BB129,RZ[Úroveň 6 (P0)],BC129,RZ[Úroveň 7 (P0)],BD129,RZ[Úroveň 8 (P0)],BE129,RZ[Úroveň 9 (P0)],BF129),$BP129*$IG129)</f>
        <v>0</v>
      </c>
      <c r="CZ129" s="138">
        <f>RZ[[#This Row],[Úroveň 10 s koef. (P2a)]]*RZ[[#This Row],[Počet MJHR (P0)]]</f>
        <v>0</v>
      </c>
      <c r="DA129" s="138">
        <f>RZ[Úroveň 10 bez koef. (P2a)]*RZ[[#This Row],[Počet MJHR (P0)]]</f>
        <v>0</v>
      </c>
      <c r="DB129" s="138">
        <f>RZ[[#This Row],[Koeficient odhadu HR '[-'] (P1)]]*$BQ129*IG129</f>
        <v>0</v>
      </c>
      <c r="DC129" s="231">
        <f t="shared" si="37"/>
        <v>0</v>
      </c>
      <c r="DD129" s="241">
        <f t="shared" ca="1" si="120"/>
        <v>21.4</v>
      </c>
      <c r="DE129" s="229">
        <f t="shared" ca="1" si="121"/>
        <v>21.4</v>
      </c>
      <c r="DF129" s="521">
        <f t="shared" si="40"/>
        <v>0</v>
      </c>
      <c r="DG129" s="522">
        <f t="shared" si="41"/>
        <v>1</v>
      </c>
      <c r="DH129" s="522">
        <f t="shared" si="42"/>
        <v>0</v>
      </c>
      <c r="DI129" s="523">
        <f t="shared" si="43"/>
        <v>0</v>
      </c>
      <c r="DJ129" s="524">
        <f t="shared" si="44"/>
        <v>0</v>
      </c>
      <c r="DK129" s="524">
        <f t="shared" si="45"/>
        <v>0</v>
      </c>
      <c r="DL129" s="524">
        <f t="shared" si="46"/>
        <v>0</v>
      </c>
      <c r="DM129" s="524">
        <f t="shared" si="47"/>
        <v>0</v>
      </c>
      <c r="DN129" s="524">
        <f t="shared" si="48"/>
        <v>0</v>
      </c>
      <c r="DO129" s="523">
        <f t="shared" si="49"/>
        <v>0</v>
      </c>
      <c r="DP129" s="525">
        <f ca="1">SUMIFS(RZ[Úroveň 1 (P4)],RZ[0],AX129)</f>
        <v>1</v>
      </c>
      <c r="DQ129" s="525">
        <f ca="1">SUMIFS(RZ[Úroveň 2 (P4)],RZ[0],AX129,RZ[Úroveň 2 (P0)],AY129)</f>
        <v>1</v>
      </c>
      <c r="DR129" s="525">
        <f ca="1">SUMIFS(RZ[Úroveň 3 (P4)],RZ[0],AX129,RZ[Úroveň 2 (P0)],AY129,RZ[Úroveň 3 (P0)],AZ129)</f>
        <v>0</v>
      </c>
      <c r="DS129" s="525">
        <f ca="1">SUMIFS(RZ[Úroveň 4 (P4)],RZ[0],AX129,RZ[Úroveň 2 (P0)],AY129,RZ[Úroveň 3 (P0)],AZ129,RZ[Úroveň 4 (P0)],BA129)</f>
        <v>0</v>
      </c>
      <c r="DT129" s="526">
        <f ca="1">SUMIFS(RZ[Úroveň 5 (P4)],RZ[0],AX129,RZ[Úroveň 2 (P0)],AY129,RZ[Úroveň 3 (P0)],AZ129,RZ[Úroveň 4 (P0)],BA129,RZ[Úroveň 5 (P0)],BB129)</f>
        <v>0</v>
      </c>
      <c r="DU129" s="526">
        <f ca="1">SUMIFS(RZ[Úroveň 6 (P4)],RZ[0],AX129,RZ[Úroveň 2 (P0)],AY129,RZ[Úroveň 3 (P0)],AZ129,RZ[Úroveň 4 (P0)],BA129,RZ[Úroveň 5 (P0)],BB129,RZ[Úroveň 6 (P0)],BC129)</f>
        <v>0</v>
      </c>
      <c r="DV129" s="526">
        <f ca="1">SUMIFS(RZ[Úroveň 7 (P4)],RZ[0],AX129,RZ[Úroveň 2 (P0)],AY129,RZ[Úroveň 3 (P0)],AZ129,RZ[Úroveň 4 (P0)],BA129,RZ[Úroveň 5 (P0)],BB129,RZ[Úroveň 6 (P0)],BC129,RZ[Úroveň 7 (P0)],BD129)</f>
        <v>0</v>
      </c>
      <c r="DW129" s="526">
        <f ca="1">SUMIFS(RZ[Úroveň 8 (P4)],RZ[0],AX129,RZ[Úroveň 2 (P0)],AY129,RZ[Úroveň 3 (P0)],AZ129,RZ[Úroveň 4 (P0)],BA129,RZ[Úroveň 5 (P0)],BB129,RZ[Úroveň 6 (P0)],BC129,RZ[Úroveň 7 (P0)],BD129,RZ[Úroveň 8 (P0)],BE129)</f>
        <v>0</v>
      </c>
      <c r="DX129" s="526">
        <f ca="1">SUMIFS(RZ[Úroveň 9 (P4)],RZ[0],AX129,RZ[Úroveň 2 (P0)],AY129,RZ[Úroveň 3 (P0)],AZ129,RZ[Úroveň 4 (P0)],BA129,RZ[Úroveň 5 (P0)],BB129,RZ[Úroveň 6 (P0)],BC129,RZ[Úroveň 7 (P0)],BD129,RZ[Úroveň 8 (P0)],BE129,RZ[Úroveň 9 (P0)],BF129)</f>
        <v>0</v>
      </c>
      <c r="DY129" s="526">
        <f ca="1">SUMIFS(RZ[Úroveň 10 (P4)],RZ[0],AX129,RZ[Úroveň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DZ129" s="527">
        <f t="shared" ca="1" si="122"/>
        <v>1</v>
      </c>
      <c r="EA129" s="528">
        <f ca="1">RZ[[#This Row],[Jednotková hmotnost bez koef. '[kg/MJHR'] (P0)]]*RZ[[#This Row],[Počet MJHR v rozpadu (P0)]]</f>
        <v>21.4</v>
      </c>
      <c r="EB129" s="191">
        <f ca="1">IF(OFFSET(AY129,1,0,1,1)&lt;&gt;0,RZ[[#This Row],[Koeficient odhadu CR '[-'] (P1)]]*$BH129*SUMIFS(RZ[Úroveň 2 s koef. (P3)],RZ[0],AX129),RZ[[#This Row],[Koeficient odhadu CR '[-'] (P1)]]*$BH129*$IQ129)</f>
        <v>0</v>
      </c>
      <c r="EC129" s="191">
        <f ca="1">IF(OFFSET(AY129,1,0,1,1)&lt;&gt;0,$BH129*SUMIFS(RZ[Úroveň 2 bez koef. (P3)],RZ[0],AX129),$BH129*$IQ129)</f>
        <v>0</v>
      </c>
      <c r="ED129" s="140">
        <f ca="1">RZ[[#This Row],[Úroveň 2 s koef. (P3a)]]*RZ[[#This Row],[Počet MJCR (P0) pro "kg"]]</f>
        <v>2461</v>
      </c>
      <c r="EE129" s="140">
        <f ca="1">RZ[Úroveň 2 bez koef. (P3a)]*RZ[[#This Row],[Počet MJCR (P0) pro "kg"]]</f>
        <v>2461</v>
      </c>
      <c r="EF129" s="140">
        <f ca="1">IF(OFFSET(AZ129,1,0,1,1)&lt;&gt;0,RZ[[#This Row],[Koeficient odhadu CR '[-'] (P1)]]*$BI129*SUMIFS(RZ[Úroveň 3 s koef. (P3)],RZ[0],AX129,RZ[Úroveň 2 (P0)],AY129),RZ[[#This Row],[Koeficient odhadu CR '[-'] (P1)]]*$BI129*$IQ129)</f>
        <v>115</v>
      </c>
      <c r="EG129" s="140">
        <f ca="1">IF(OFFSET(AZ129,1,0,1,1)&lt;&gt;0,$BI129*SUMIFS(RZ[Úroveň 3 bez koef. (P3)],RZ[0],AX129,RZ[Úroveň 2 (P0)],AY129),$BI129*$IQ129)</f>
        <v>115</v>
      </c>
      <c r="EH129" s="135">
        <f ca="1">RZ[[#This Row],[Úroveň 3 s koef. (P3a)]]*RZ[[#This Row],[Počet MJCR (P0) pro "kg"]]</f>
        <v>0</v>
      </c>
      <c r="EI129" s="135">
        <f ca="1">RZ[Úroveň 3 bez koef. (P3a)]*RZ[[#This Row],[Počet MJCR (P0) pro "kg"]]</f>
        <v>0</v>
      </c>
      <c r="EJ129" s="135">
        <f ca="1">IF(OFFSET(BA129,1,0,1,1)&lt;&gt;0,RZ[[#This Row],[Koeficient odhadu CR '[-'] (P1)]]*$BJ129*SUMIFS(RZ[Úroveň 4 s koef. (P3)],RZ[0],AX129,RZ[Úroveň 2 (P0)],AY129,RZ[Úroveň 3 (P0)],AZ129),RZ[[#This Row],[Koeficient odhadu CR '[-'] (P1)]]*$BJ129*$IQ129)</f>
        <v>0</v>
      </c>
      <c r="EK129" s="135">
        <f ca="1">IF(OFFSET(BA129,1,0,1,1)&lt;&gt;0,$BJ129*SUMIFS(RZ[Úroveň 4 bez koef. (P3)],RZ[0],AX129,RZ[Úroveň 2 (P0)],AY129,RZ[Úroveň 3 (P0)],AZ129),$BJ129*$IQ129)</f>
        <v>0</v>
      </c>
      <c r="EL129" s="140">
        <f ca="1">RZ[[#This Row],[Úroveň 4 s koef. (P3a)]]*RZ[[#This Row],[Počet MJCR (P0) pro "kg"]]</f>
        <v>0</v>
      </c>
      <c r="EM129" s="140">
        <f ca="1">RZ[Úroveň 4 bez koef. (P3a)]*RZ[[#This Row],[Počet MJCR (P0) pro "kg"]]</f>
        <v>0</v>
      </c>
      <c r="EN129" s="140">
        <f ca="1">IF(OFFSET(BB129,1,0,1,1)&lt;&gt;0,RZ[[#This Row],[Koeficient odhadu CR '[-'] (P1)]]*$BK129*SUMIFS(RZ[Úroveň 5 s koef. (P3)],RZ[0],AX129,RZ[Úroveň 2 (P0)],AY129,RZ[Úroveň 3 (P0)],AZ129,RZ[Úroveň 4 (P0)],BA129),RZ[[#This Row],[Koeficient odhadu CR '[-'] (P1)]]*$BK129*$IQ129)</f>
        <v>0</v>
      </c>
      <c r="EO129" s="140">
        <f ca="1">IF(OFFSET(BB129,1,0,1,1)&lt;&gt;0,$BK129*SUMIFS(RZ[Úroveň 5 bez koef. (P3)],RZ[0],AX129,RZ[Úroveň 2 (P0)],AY129,RZ[Úroveň 3 (P0)],AZ129,RZ[Úroveň 4 (P0)],BA129),$BK129*$IQ129)</f>
        <v>0</v>
      </c>
      <c r="EP129" s="135">
        <f ca="1">RZ[[#This Row],[Úroveň 5 s koef. (P3a)]]*RZ[[#This Row],[Počet MJCR (P0) pro "kg"]]</f>
        <v>0</v>
      </c>
      <c r="EQ129" s="135">
        <f ca="1">RZ[Úroveň 5 bez koef. (P3a)]*RZ[[#This Row],[Počet MJCR (P0) pro "kg"]]</f>
        <v>0</v>
      </c>
      <c r="ER129" s="135">
        <f ca="1">IF(OFFSET(BC129,1,0,1,1)&lt;&gt;0,RZ[[#This Row],[Koeficient odhadu CR '[-'] (P1)]]*$BL129*SUMIFS(RZ[Úroveň 6 s koef. (P3)],RZ[0],AX129,RZ[Úroveň 2 (P0)],AY129,RZ[Úroveň 3 (P0)],AZ129,RZ[Úroveň 4 (P0)],BA129,RZ[Úroveň 5 (P0)],BB129),RZ[[#This Row],[Koeficient odhadu CR '[-'] (P1)]]*$BL129*$IQ129)</f>
        <v>0</v>
      </c>
      <c r="ES129" s="135">
        <f ca="1">IF(OFFSET(BC129,1,0,1,1)&lt;&gt;0,$BL129*SUMIFS(RZ[Úroveň 6 bez koef. (P3)],RZ[0],AX129,RZ[Úroveň 2 (P0)],AY129,RZ[Úroveň 3 (P0)],AZ129,RZ[Úroveň 4 (P0)],BA129,RZ[Úroveň 5 (P0)],BB129),$BL129*$IQ129)</f>
        <v>0</v>
      </c>
      <c r="ET129" s="140">
        <f ca="1">RZ[[#This Row],[Úroveň 6 s koef. (P3a)]]*RZ[[#This Row],[Počet MJCR (P0) pro "kg"]]</f>
        <v>0</v>
      </c>
      <c r="EU129" s="140">
        <f ca="1">RZ[Úroveň 6 bez koef. (P3a)]*RZ[[#This Row],[Počet MJCR (P0) pro "kg"]]</f>
        <v>0</v>
      </c>
      <c r="EV129" s="140">
        <f ca="1">IF(OFFSET(BD129,1,0,1,1)&lt;&gt;0,RZ[[#This Row],[Koeficient odhadu CR '[-'] (P1)]]*$BM129*SUMIFS(RZ[Úroveň 7 s koef. (P3)],RZ[0],AX129,RZ[Úroveň 2 (P0)],AY129,RZ[Úroveň 3 (P0)],AZ129,RZ[Úroveň 4 (P0)],BA129,RZ[Úroveň 5 (P0)],BB129,RZ[Úroveň 6 (P0)],BC129),RZ[[#This Row],[Koeficient odhadu CR '[-'] (P1)]]*$BM129*$IQ129)</f>
        <v>0</v>
      </c>
      <c r="EW129" s="140">
        <f ca="1">IF(OFFSET(BD129,1,0,1,1)&lt;&gt;0,$BM129*SUMIFS(RZ[Úroveň 7 bez koef. (P3)],RZ[0],AX129,RZ[Úroveň 2 (P0)],AY129,RZ[Úroveň 3 (P0)],AZ129,RZ[Úroveň 4 (P0)],BA129,RZ[Úroveň 5 (P0)],BB129,RZ[Úroveň 6 (P0)],BC129),$BM129*$IQ129)</f>
        <v>0</v>
      </c>
      <c r="EX129" s="135">
        <f ca="1">RZ[[#This Row],[Úroveň 7 s koef. (P3a)]]*RZ[[#This Row],[Počet MJCR (P0) pro "kg"]]</f>
        <v>0</v>
      </c>
      <c r="EY129" s="135">
        <f ca="1">RZ[Úroveň 7 bez koef. (P3a)]*RZ[[#This Row],[Počet MJCR (P0) pro "kg"]]</f>
        <v>0</v>
      </c>
      <c r="EZ129" s="135">
        <f ca="1">IF(OFFSET(BE129,1,0,1,1)&lt;&gt;0,RZ[[#This Row],[Koeficient odhadu CR '[-'] (P1)]]*$BN129*SUMIFS(RZ[Úroveň 8 s koef. (P3)],RZ[0],AX129,RZ[Úroveň 2 (P0)],AY129,RZ[Úroveň 3 (P0)],AZ129,RZ[Úroveň 4 (P0)],BA129,RZ[Úroveň 5 (P0)],BB129,RZ[Úroveň 6 (P0)],BC129,RZ[Úroveň 7 (P0)],BD129),RZ[[#This Row],[Koeficient odhadu CR '[-'] (P1)]]*$BN129*$IQ129)</f>
        <v>0</v>
      </c>
      <c r="FA129" s="135">
        <f ca="1">IF(OFFSET(BE129,1,0,1,1)&lt;&gt;0,$BN129*SUMIFS(RZ[Úroveň 8 bez koef. (P3)],RZ[0],AX129,RZ[Úroveň 2 (P0)],AY129,RZ[Úroveň 3 (P0)],AZ129,RZ[Úroveň 4 (P0)],BA129,RZ[Úroveň 5 (P0)],BB129,RZ[Úroveň 6 (P0)],BC129,RZ[Úroveň 7 (P0)],BD129),$BN129*$IQ129)</f>
        <v>0</v>
      </c>
      <c r="FB129" s="140">
        <f ca="1">RZ[[#This Row],[Úroveň 8 s koef. (P3a)]]*RZ[[#This Row],[Počet MJCR (P0) pro "kg"]]</f>
        <v>0</v>
      </c>
      <c r="FC129" s="140">
        <f ca="1">RZ[Úroveň 8 bez koef. (P3a)]*RZ[[#This Row],[Počet MJCR (P0) pro "kg"]]</f>
        <v>0</v>
      </c>
      <c r="FD129" s="140">
        <f ca="1">IF(OFFSET(BF129,1,0,1,1)&lt;&gt;0,RZ[[#This Row],[Koeficient odhadu CR '[-'] (P1)]]*$BO129*SUMIFS(RZ[Úroveň 9 s koef. (P3)],RZ[0],AX129,RZ[Úroveň 2 (P0)],AY129,RZ[Úroveň 3 (P0)],AZ129,RZ[Úroveň 4 (P0)],BA129,RZ[Úroveň 5 (P0)],BB129,RZ[Úroveň 6 (P0)],BC129,RZ[Úroveň 7 (P0)],BD129,RZ[Úroveň 8 (P0)],BE129),RZ[[#This Row],[Koeficient odhadu CR '[-'] (P1)]]*$BO129*$IQ129)</f>
        <v>0</v>
      </c>
      <c r="FE129" s="140">
        <f ca="1">IF(OFFSET(BF129,1,0,1,1)&lt;&gt;0,$BO129*SUMIFS(RZ[Úroveň 9 bez koef. (P3)],RZ[0],AX129,RZ[Úroveň 2 (P0)],AY129,RZ[Úroveň 3 (P0)],AZ129,RZ[Úroveň 4 (P0)],BA129,RZ[Úroveň 5 (P0)],BB129,RZ[Úroveň 6 (P0)],BC129,RZ[Úroveň 7 (P0)],BD129,RZ[Úroveň 8 (P0)],BE129),$BO129*$IQ129)</f>
        <v>0</v>
      </c>
      <c r="FF129" s="135">
        <f ca="1">RZ[[#This Row],[Úroveň 9 s koef. (P3a)]]*RZ[[#This Row],[Počet MJCR (P0) pro "kg"]]</f>
        <v>0</v>
      </c>
      <c r="FG129" s="135">
        <f ca="1">RZ[Úroveň 9 bez koef. (P3a)]*RZ[[#This Row],[Počet MJCR (P0) pro "kg"]]</f>
        <v>0</v>
      </c>
      <c r="FH129" s="135">
        <f ca="1">IF(OFFSET(BG129,1,0,1,1)&lt;&gt;0,RZ[[#This Row],[Koeficient odhadu CR '[-'] (P1)]]*$BP129*SUMIFS(RZ[Úroveň 10 s koef. (P3)],RZ[0],AX129,RZ[Úroveň 2 (P0)],AY129,RZ[Úroveň 3 (P0)],AZ129,RZ[Úroveň 4 (P0)],BA129,RZ[Úroveň 5 (P0)],BB129,RZ[Úroveň 6 (P0)],BC129,RZ[Úroveň 7 (P0)],BD129,RZ[Úroveň 8 (P0)],BE129,RZ[Úroveň 9 (P0)],BF129),RZ[[#This Row],[Koeficient odhadu CR '[-'] (P1)]]*$BP129*$IQ129)</f>
        <v>0</v>
      </c>
      <c r="FI129" s="135">
        <f ca="1">IF(OFFSET(BG129,1,0,1,1)&lt;&gt;0,$BP129*SUMIFS(RZ[Úroveň 10 bez koef. (P3)],RZ[0],AX129,RZ[Úroveň 2 (P0)],AY129,RZ[Úroveň 3 (P0)],AZ129,RZ[Úroveň 4 (P0)],BA129,RZ[Úroveň 5 (P0)],BB129,RZ[Úroveň 6 (P0)],BC129,RZ[Úroveň 7 (P0)],BD129,RZ[Úroveň 8 (P0)],BE129,RZ[Úroveň 9 (P0)],BF129),$BP129*$IQ129)</f>
        <v>0</v>
      </c>
      <c r="FJ129" s="140">
        <f ca="1">RZ[[#This Row],[Úroveň 10 s koef. (P3a)]]*RZ[[#This Row],[Počet MJCR (P0) pro "kg"]]</f>
        <v>0</v>
      </c>
      <c r="FK129" s="140">
        <f ca="1">RZ[Úroveň 10 bez koef. (P3a)]*RZ[[#This Row],[Počet MJCR (P0) pro "kg"]]</f>
        <v>0</v>
      </c>
      <c r="FL129" s="140">
        <f ca="1">RZ[[#This Row],[Koeficient odhadu CR '[-'] (P1)]]*$BQ129*IQ129</f>
        <v>0</v>
      </c>
      <c r="FM129" s="236">
        <f t="shared" ca="1" si="51"/>
        <v>0</v>
      </c>
      <c r="FN129" s="194">
        <f t="shared" ca="1" si="123"/>
        <v>115</v>
      </c>
      <c r="FO129" s="238">
        <f t="shared" ca="1" si="124"/>
        <v>115</v>
      </c>
      <c r="FP129" s="191">
        <f t="shared" ca="1" si="54"/>
        <v>0</v>
      </c>
      <c r="FQ129" s="135">
        <f t="shared" ca="1" si="55"/>
        <v>21.4</v>
      </c>
      <c r="FR129" s="135">
        <f t="shared" ca="1" si="56"/>
        <v>0</v>
      </c>
      <c r="FS129" s="135">
        <f t="shared" ca="1" si="57"/>
        <v>0</v>
      </c>
      <c r="FT129" s="135">
        <f t="shared" ca="1" si="58"/>
        <v>0</v>
      </c>
      <c r="FU129" s="135">
        <f t="shared" ca="1" si="59"/>
        <v>0</v>
      </c>
      <c r="FV129" s="135">
        <f t="shared" ca="1" si="60"/>
        <v>0</v>
      </c>
      <c r="FW129" s="135">
        <f t="shared" ca="1" si="61"/>
        <v>0</v>
      </c>
      <c r="FX129" s="135">
        <f t="shared" ca="1" si="62"/>
        <v>0</v>
      </c>
      <c r="FY129" s="135">
        <f t="shared" ca="1" si="63"/>
        <v>0</v>
      </c>
      <c r="FZ129" s="140">
        <f ca="1">SUMIFS(RZ[Úroveň 1 (P6)],RZ[0],AX129)</f>
        <v>1</v>
      </c>
      <c r="GA129" s="140">
        <f ca="1">SUMIFS(RZ[Úroveň 2 (P6)],RZ[0],AX129,RZ[Úroveň 2 (P0)],AY129)</f>
        <v>21.4</v>
      </c>
      <c r="GB129" s="140">
        <f ca="1">SUMIFS(RZ[Úroveň 3 (P6)],RZ[0],AX129,RZ[Úroveň 2 (P0)],AY129,RZ[Úroveň 3 (P0)],AZ129)</f>
        <v>0</v>
      </c>
      <c r="GC129" s="140">
        <f ca="1">SUMIFS(RZ[Úroveň 4 (P6)],RZ[0],AX129,RZ[Úroveň 2 (P0)],AY129,RZ[Úroveň 3 (P0)],AZ129,RZ[Úroveň 4 (P0)],BA129)</f>
        <v>0</v>
      </c>
      <c r="GD129" s="140">
        <f ca="1">SUMIFS(RZ[Úroveň 5 (P6)],RZ[0],AX129,RZ[Úroveň 2 (P0)],AY129,RZ[Úroveň 3 (P0)],AZ129,RZ[Úroveň 4 (P0)],BA129,RZ[Úroveň 5 (P0)],BB129)</f>
        <v>0</v>
      </c>
      <c r="GE129" s="140">
        <f ca="1">SUMIFS(RZ[Úroveň 6 (P6)],RZ[0],AX129,RZ[Úroveň 2 (P0)],AY129,RZ[Úroveň 3 (P0)],AZ129,RZ[Úroveň 4 (P0)],BA129,RZ[Úroveň 5 (P0)],BB129,RZ[Úroveň 6 (P0)],BC129)</f>
        <v>0</v>
      </c>
      <c r="GF129" s="140">
        <f ca="1">SUMIFS(RZ[Úroveň 7 (P6)],RZ[0],AX129,RZ[Úroveň 2 (P0)],AY129,RZ[Úroveň 3 (P0)],AZ129,RZ[Úroveň 4 (P0)],BA129,RZ[Úroveň 5 (P0)],BB129,RZ[Úroveň 6 (P0)],BC129,RZ[Úroveň 7 (P0)],BD129)</f>
        <v>0</v>
      </c>
      <c r="GG129" s="140">
        <f ca="1">SUMIFS(RZ[Úroveň 8 (P6)],RZ[0],AX129,RZ[Úroveň 2 (P0)],AY129,RZ[Úroveň 3 (P0)],AZ129,RZ[Úroveň 4 (P0)],BA129,RZ[Úroveň 5 (P0)],BB129,RZ[Úroveň 6 (P0)],BC129,RZ[Úroveň 7 (P0)],BD129,RZ[Úroveň 8 (P0)],BE129)</f>
        <v>0</v>
      </c>
      <c r="GH129" s="140">
        <f ca="1">SUMIFS(RZ[Úroveň 9 (P6)],RZ[0],AX129,RZ[Úroveň 2 (P0)],AY129,RZ[Úroveň 3 (P0)],AZ129,RZ[Úroveň 4 (P0)],BA129,RZ[Úroveň 5 (P0)],BB129,RZ[Úroveň 6 (P0)],BC129,RZ[Úroveň 7 (P0)],BD129,RZ[Úroveň 8 (P0)],BE129,RZ[Úroveň 9 (P0)],BF129)</f>
        <v>0</v>
      </c>
      <c r="GI129" s="140">
        <f ca="1">SUMIFS(RZ[Úroveň 10 (P6)],RZ[0],AX129,RZ[Úroveň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GJ129" s="194">
        <f t="shared" ca="1" si="125"/>
        <v>21.4</v>
      </c>
      <c r="GK129" s="807">
        <f t="shared" si="65"/>
        <v>0</v>
      </c>
      <c r="GL129" s="808">
        <f t="shared" si="66"/>
        <v>1</v>
      </c>
      <c r="GM129" s="808">
        <f t="shared" si="67"/>
        <v>0</v>
      </c>
      <c r="GN129" s="808">
        <f t="shared" si="68"/>
        <v>0</v>
      </c>
      <c r="GO129" s="808">
        <f t="shared" si="69"/>
        <v>0</v>
      </c>
      <c r="GP129" s="808">
        <f t="shared" si="70"/>
        <v>0</v>
      </c>
      <c r="GQ129" s="808">
        <f t="shared" si="71"/>
        <v>0</v>
      </c>
      <c r="GR129" s="808">
        <f t="shared" si="72"/>
        <v>0</v>
      </c>
      <c r="GS129" s="808">
        <f t="shared" si="73"/>
        <v>0</v>
      </c>
      <c r="GT129" s="808">
        <f t="shared" si="74"/>
        <v>0</v>
      </c>
      <c r="GU129" s="809">
        <f ca="1">SUMIFS(RZ[Sloupec1],RZ[0],AX129)</f>
        <v>1</v>
      </c>
      <c r="GV129" s="809">
        <f ca="1">SUMIFS(RZ[Sloupec2],RZ[0],AX129,RZ[Úroveň 2 (P0)],AY129)</f>
        <v>1</v>
      </c>
      <c r="GW129" s="809">
        <f ca="1">SUMIFS(RZ[Sloupec3],RZ[0],AX129,RZ[Úroveň 2 (P0)],AY129,RZ[Úroveň 3 (P0)],AZ129)</f>
        <v>0</v>
      </c>
      <c r="GX129" s="809">
        <f ca="1">SUMIFS(RZ[Sloupec4],RZ[0],AX129,RZ[Úroveň 2 (P0)],AY129,RZ[Úroveň 3 (P0)],AZ129,RZ[Úroveň 4 (P0)],BA129)</f>
        <v>0</v>
      </c>
      <c r="GY129" s="809">
        <f ca="1">SUMIFS(RZ[Sloupec5],RZ[0],AX129,RZ[Úroveň 2 (P0)],AY129,RZ[Úroveň 3 (P0)],AZ129,RZ[Úroveň 4 (P0)],BA129,RZ[Úroveň 5 (P0)],BB129)</f>
        <v>0</v>
      </c>
      <c r="GZ129" s="809">
        <f ca="1">SUMIFS(RZ[Sloupec6],RZ[0],AX129,RZ[Úroveň 2 (P0)],AY129,RZ[Úroveň 3 (P0)],AZ129,RZ[Úroveň 4 (P0)],BA129,RZ[Úroveň 5 (P0)],BB129,RZ[Úroveň 6 (P0)],BC129)</f>
        <v>0</v>
      </c>
      <c r="HA129" s="809">
        <f ca="1">SUMIFS(RZ[Sloupec62],RZ[0],AX129,RZ[Úroveň 2 (P0)],AY129,RZ[Úroveň 3 (P0)],AZ129,RZ[Úroveň 4 (P0)],BA129,RZ[Úroveň 5 (P0)],BB129,RZ[Úroveň 6 (P0)],BC129,RZ[Úroveň 7 (P0)],BD129)</f>
        <v>0</v>
      </c>
      <c r="HB129" s="809">
        <f ca="1">SUMIFS(RZ[Sloupec63],RZ[0],AX129,RZ[Úroveň 2 (P0)],AY129,RZ[Úroveň 3 (P0)],AZ129,RZ[Úroveň 4 (P0)],BA129,RZ[Úroveň 5 (P0)],BB129,RZ[Úroveň 6 (P0)],BC129,RZ[Úroveň 7 (P0)],BD129,RZ[Úroveň 8 (P0)],BE129)</f>
        <v>0</v>
      </c>
      <c r="HC129" s="809">
        <f ca="1">SUMIFS(RZ[Sloupec64],RZ[0],AX129,RZ[Úroveň 2 (P0)],AY129,RZ[Úroveň 3 (P0)],AZ129,RZ[Úroveň 4 (P0)],BA129,RZ[Úroveň 5 (P0)],BB129,RZ[Úroveň 6 (P0)],BC129,RZ[Úroveň 7 (P0)],BD129,RZ[Úroveň 8 (P0)],BE129,RZ[Úroveň 9 (P0)],BF129)</f>
        <v>0</v>
      </c>
      <c r="HD129" s="809">
        <f ca="1">SUMIFS(RZ[Sloupec65],RZ[0],AX129,RZ[Úroveň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HE129" s="803">
        <f t="shared" ca="1" si="75"/>
        <v>1</v>
      </c>
      <c r="HF129" s="48" t="str">
        <f t="shared" si="76"/>
        <v/>
      </c>
      <c r="HG129" s="94" t="str">
        <f t="shared" si="77"/>
        <v/>
      </c>
      <c r="HH129" s="95" t="str">
        <f t="shared" si="78"/>
        <v>Koncové vypínání</v>
      </c>
      <c r="HI129" s="95" t="str">
        <f t="shared" si="79"/>
        <v/>
      </c>
      <c r="HJ129" s="96" t="str">
        <f t="shared" si="80"/>
        <v/>
      </c>
      <c r="HK129" s="96" t="str">
        <f t="shared" si="81"/>
        <v/>
      </c>
      <c r="HL129" s="96" t="str">
        <f t="shared" si="82"/>
        <v/>
      </c>
      <c r="HM129" s="96" t="str">
        <f t="shared" si="83"/>
        <v/>
      </c>
      <c r="HN129" s="96" t="str">
        <f t="shared" si="84"/>
        <v/>
      </c>
      <c r="HO129" s="96" t="str">
        <f t="shared" si="85"/>
        <v/>
      </c>
      <c r="HP129" s="96" t="str">
        <f t="shared" si="86"/>
        <v/>
      </c>
      <c r="HQ129" s="145" t="str">
        <f t="shared" si="87"/>
        <v>STO2</v>
      </c>
      <c r="HR129" s="175" t="str">
        <f t="shared" si="88"/>
        <v/>
      </c>
      <c r="HS129" s="173">
        <f t="shared" si="89"/>
        <v>0</v>
      </c>
      <c r="HT129" s="99">
        <f t="shared" si="90"/>
        <v>0</v>
      </c>
      <c r="HU129" s="99">
        <f t="shared" si="91"/>
        <v>0</v>
      </c>
      <c r="HV129" s="209">
        <f t="shared" si="92"/>
        <v>0</v>
      </c>
      <c r="HW129" s="47">
        <f t="shared" si="93"/>
        <v>0</v>
      </c>
      <c r="HX129" s="46">
        <f t="shared" si="94"/>
        <v>0</v>
      </c>
      <c r="HY129" s="149" t="str">
        <f t="shared" si="95"/>
        <v>S</v>
      </c>
      <c r="HZ129" s="263">
        <f t="shared" si="96"/>
        <v>0</v>
      </c>
      <c r="IA129" s="150">
        <f t="shared" si="97"/>
        <v>1</v>
      </c>
      <c r="IB129" s="319">
        <f t="shared" si="98"/>
        <v>0</v>
      </c>
      <c r="IC129" s="220">
        <f t="shared" si="99"/>
        <v>0</v>
      </c>
      <c r="ID129" s="200" t="str">
        <f t="shared" ca="1" si="100"/>
        <v>OK</v>
      </c>
      <c r="IE129" s="201" t="str">
        <f t="shared" si="101"/>
        <v>ks</v>
      </c>
      <c r="IF129" s="145">
        <f t="shared" si="102"/>
        <v>1</v>
      </c>
      <c r="IG129" s="216">
        <f t="shared" si="103"/>
        <v>21.4</v>
      </c>
      <c r="IH129" s="217">
        <f t="shared" si="126"/>
        <v>1</v>
      </c>
      <c r="II129" s="224" t="str">
        <f ca="1">IF(RZ[[#This Row],[Rozhodný sloupec indikativní ceny]]=1,"kg",IF($IW129=$JL$15,IF(JX129=0,JO129,JX129),IF($IW129=$KE$15,IF(KQ129=0,KH129,KQ129),IF($IW129=$KX$15,IF(LJ129=0,LA129,LJ129),IF($IW129=$LQ$15,IF(MC129=0,LT129,MC129),IF($IW129=$MJ$15,IF(NQ129=0,NH129,NQ129),0))))))</f>
        <v>kg</v>
      </c>
      <c r="IJ129" s="224">
        <f ca="1">IF((BH129+OFFSET(BH129,1,1,1,1))=2,RZ[[#This Row],[Počet MJHR (P0)]],IF((BI129+OFFSET(BI129,1,1,1,1))=2,RZ[[#This Row],[Počet MJHR (P0)]],IF((BJ129+OFFSET(BJ129,1,1,1,1))=2,RZ[[#This Row],[Počet MJHR (P0)]],IF((BK129+OFFSET(BK129,1,1,1,1))=2,RZ[[#This Row],[Počet MJHR (P0)]],IF((BL129+OFFSET(BL129,1,1,1,1))=2,RZ[[#This Row],[Počet MJHR (P0)]],IF((BM129+OFFSET(BM129,1,1,1,1))=2,RZ[[#This Row],[Počet MJHR (P0)]],IF((BN129+OFFSET(BN129,1,1,1,1))=2,RZ[[#This Row],[Počet MJHR (P0)]],IF((BO129+OFFSET(BO129,1,1,1,1))=2,RZ[[#This Row],[Počet MJHR (P0)]],IF((BP129+OFFSET(BP129,1,1,1,1))=2,RZ[[#This Row],[Počet MJHR (P0)]],IF((BQ129+OFFSET(BQ129,1,1,1,1))=2,RZ[[#This Row],[Počet MJHR (P0)]],IF(RZ[[#This Row],[Měrná jednotka CR (MJCR) (P0)]]=RZ[[#This Row],[Měrná jednotka HR '[MJHR'] (P0)]],RZ[[#This Row],[Počet MJHR (P0)]],IF($IW129=$JL$15,JY129,IF($IW129=$KE$15,KR129,IF($IW129=$KX$15,LK129,IF($IW129=$LQ$15,MD129,IF($IW129=$MJ$15,NR129,0))))))))))))))))</f>
        <v>0</v>
      </c>
      <c r="IK1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21.4</v>
      </c>
      <c r="IL129" s="330">
        <f ca="1">IF(AND(RZ[[#This Row],[Jednotková cena bez DPH '[cena/MJCR'] (P0)]]=0,RZ[[#This Row],[Indikativní jednotková cena '[CZK/kg'] (P1)]]&lt;&gt;0),1,0)</f>
        <v>1</v>
      </c>
      <c r="IM129" s="217">
        <f ca="1">VLOOKUP(RZ[[#This Row],[Kód položek]],INDIKAT_CENA,2,FALSE)</f>
        <v>115</v>
      </c>
      <c r="IN129" s="222">
        <f ca="1">IF(RZ[[#This Row],[Rozhodný sloupec indikativní ceny]]=1,RZ[[#This Row],[Indikativní jednotková cena '[CZK/kg'] (P1)]],RZ[[#This Row],[Jednotková cena bez DPH '[cena/MJCR'] (P0)]])</f>
        <v>115</v>
      </c>
      <c r="IO129" s="222">
        <f t="shared" si="127"/>
        <v>1</v>
      </c>
      <c r="IP129" s="223">
        <f ca="1">IF(RZ[[#This Row],[Rozhodný sloupec indikativní ceny]]=1,1,IF($IW129=$JL$15,KA129,IF($IW129=$KE$15,KT129,IF($IW129=$KX$15,LM129,IF($IW129=$LQ$15,MF129,IF($IW129=$MJ$15,NT129,0))))))</f>
        <v>1</v>
      </c>
      <c r="IQ129" s="225">
        <f ca="1">IF(RZ[[#This Row],[Jednotková cena bez DPH '[cena/MJCR'] (P1)]]="",0,IF(IP129=0,0,(RZ[[#This Row],[Jednotková cena bez DPH '[cena/MJCR'] (P1)]]*VLOOKUP(IP129,$BR$7:$BT$10,3))))</f>
        <v>115</v>
      </c>
      <c r="IR129" s="737"/>
      <c r="IS129" s="627">
        <f>IF(HY129=0,"",VLOOKUP(RZ[[#This Row],[Stav Projekce (P0)]],Vstupy!$E$11:'Vstupy'!$E$11:$H$17,4,FALSE))</f>
        <v>100</v>
      </c>
      <c r="IT129" s="628" t="str">
        <f>IF(RZ[[#This Row],[Stav Projekce (P0)]]=0,"",RZ[[#This Row],[Stav Projekce (P0)]])</f>
        <v>S</v>
      </c>
      <c r="IU129" s="628" t="str">
        <f>IF(RZ[[#This Row],[Stav Nákup (P0)]]=0,"",RZ[[#This Row],[Stav Nákup (P0)]])</f>
        <v/>
      </c>
      <c r="IV129" s="636" t="str">
        <f t="shared" si="128"/>
        <v/>
      </c>
      <c r="IW129" s="641">
        <v>1</v>
      </c>
      <c r="IX129" s="630"/>
      <c r="IY129" s="264"/>
      <c r="IZ129" s="776"/>
      <c r="JA129" s="100" t="s">
        <v>748</v>
      </c>
      <c r="JB129" s="100"/>
      <c r="JC129" s="100"/>
      <c r="JD129" s="100"/>
      <c r="JE129" s="100"/>
      <c r="JF129" s="100"/>
      <c r="JG129" s="100"/>
      <c r="JH129" s="100"/>
      <c r="JI129" s="100"/>
      <c r="JJ129" s="145" t="s">
        <v>773</v>
      </c>
      <c r="JK129" s="529"/>
      <c r="JL129" s="286"/>
      <c r="JM129" s="100"/>
      <c r="JN129" s="100"/>
      <c r="JO129" s="145" t="s">
        <v>35</v>
      </c>
      <c r="JP129" s="117">
        <v>1</v>
      </c>
      <c r="JQ129" s="117">
        <v>21.4</v>
      </c>
      <c r="JR129" s="148">
        <v>1</v>
      </c>
      <c r="JS129" s="145" t="s">
        <v>602</v>
      </c>
      <c r="JT129" s="631"/>
      <c r="JU129" s="148"/>
      <c r="JV129" s="154"/>
      <c r="JW129" s="145"/>
      <c r="JX129" s="210"/>
      <c r="JY129" s="117"/>
      <c r="JZ129" s="662"/>
      <c r="KA129" s="145"/>
      <c r="KB129" s="148"/>
      <c r="KC129" s="148"/>
      <c r="KD129" s="644"/>
      <c r="KE129" s="286"/>
      <c r="KF129" s="100"/>
      <c r="KG129" s="100"/>
      <c r="KH129" s="210"/>
      <c r="KI129" s="117"/>
      <c r="KJ129" s="117"/>
      <c r="KK129" s="148"/>
      <c r="KL129" s="145"/>
      <c r="KM129" s="632"/>
      <c r="KN129" s="148"/>
      <c r="KO129" s="154"/>
      <c r="KP129" s="154"/>
      <c r="KQ129" s="210"/>
      <c r="KR129" s="117"/>
      <c r="KS129" s="211"/>
      <c r="KT129" s="145"/>
      <c r="KU129" s="148"/>
      <c r="KV129" s="148"/>
      <c r="KW129" s="265"/>
      <c r="KX129" s="286"/>
      <c r="KY129" s="100"/>
      <c r="KZ129" s="100"/>
      <c r="LA129" s="210"/>
      <c r="LB129" s="117"/>
      <c r="LC129" s="117"/>
      <c r="LD129" s="148"/>
      <c r="LE129" s="145"/>
      <c r="LF129" s="632"/>
      <c r="LG129" s="148"/>
      <c r="LH129" s="154"/>
      <c r="LI129" s="154"/>
      <c r="LJ129" s="154"/>
      <c r="LK129" s="117"/>
      <c r="LL129" s="211"/>
      <c r="LM129" s="210"/>
      <c r="LN129" s="148"/>
      <c r="LO129" s="148"/>
      <c r="LP129" s="265"/>
      <c r="LQ129" s="286"/>
      <c r="LR129" s="100"/>
      <c r="LS129" s="100"/>
      <c r="LT129" s="210"/>
      <c r="LU129" s="117"/>
      <c r="LV129" s="117"/>
      <c r="LW129" s="148"/>
      <c r="LX129" s="145"/>
      <c r="LY129" s="632"/>
      <c r="LZ129" s="148"/>
      <c r="MA129" s="154"/>
      <c r="MB129" s="154"/>
      <c r="MC129" s="145"/>
      <c r="MD129" s="117"/>
      <c r="ME129" s="211"/>
      <c r="MF129" s="210"/>
      <c r="MG129" s="148"/>
      <c r="MH129" s="148"/>
      <c r="MI129" s="265"/>
      <c r="MJ129" s="647"/>
      <c r="MK129" s="264"/>
      <c r="ML129" s="153"/>
      <c r="MM129" s="153"/>
      <c r="MN129" s="153"/>
      <c r="MO129" s="153"/>
      <c r="MP129" s="153"/>
      <c r="MQ129" s="153"/>
      <c r="MR129" s="153"/>
      <c r="MS129" s="99"/>
      <c r="MT129" s="99"/>
      <c r="MU129" s="99"/>
      <c r="MV129" s="99"/>
      <c r="MW129" s="99"/>
      <c r="MX129" s="99"/>
      <c r="MY129" s="153"/>
      <c r="MZ129" s="153"/>
      <c r="NA129" s="153"/>
      <c r="NB129" s="153"/>
      <c r="NC129" s="153"/>
      <c r="ND129" s="153"/>
      <c r="NE129" s="153"/>
      <c r="NF129" s="153"/>
      <c r="NG129" s="153"/>
      <c r="NH129" s="145" t="str">
        <f t="shared" si="823"/>
        <v>ks</v>
      </c>
      <c r="NI129" s="779">
        <f>RZ[[#This Row],[Počet ks (K)]]</f>
        <v>0</v>
      </c>
      <c r="NJ129" s="210">
        <f>RZ[[#This Row],[Hmotnost '[kg/ks'] (K)]]</f>
        <v>0</v>
      </c>
      <c r="NK129" s="153"/>
      <c r="NL129" s="153"/>
      <c r="NM129" s="632"/>
      <c r="NN129" s="153"/>
      <c r="NO129" s="153"/>
      <c r="NP129" s="153"/>
      <c r="NQ129" s="153"/>
      <c r="NR129" s="153"/>
      <c r="NS129" s="153"/>
      <c r="NT129" s="153"/>
      <c r="NU129" s="153"/>
      <c r="NV129" s="148"/>
      <c r="NW129" s="633"/>
    </row>
    <row r="130" spans="2:387" ht="15.95" customHeight="1" thickBot="1" x14ac:dyDescent="0.4">
      <c r="B130" s="118" t="str">
        <f t="shared" si="1"/>
        <v/>
      </c>
      <c r="C1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0" s="262" t="str">
        <f t="shared" si="2"/>
        <v xml:space="preserve">  Tabulky pro ustavení vagonů</v>
      </c>
      <c r="E130" s="120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Row],[Kód položek (P2)]]))))))))))</f>
        <v>OSTS</v>
      </c>
      <c r="F130" s="122" t="str">
        <f t="shared" si="3"/>
        <v>N/A</v>
      </c>
      <c r="G130" s="121" t="str">
        <f t="shared" si="4"/>
        <v/>
      </c>
      <c r="H130" s="122" t="str">
        <f t="shared" si="5"/>
        <v/>
      </c>
      <c r="I130" s="123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HR '[MJHR'] (P0)]]))))))))))</f>
        <v>ks</v>
      </c>
      <c r="J130" s="123">
        <f t="shared" si="6"/>
        <v>1</v>
      </c>
      <c r="K130" s="151">
        <f>RZ[[#This Row],[Koeficient odhadu HR '[-'] (P1)]]</f>
        <v>1</v>
      </c>
      <c r="L130" s="124">
        <f ca="1">RZ[[#This Row],[Jednotková hmotnost s koef. '[kg/MJHR'] (P0)]]</f>
        <v>49.4</v>
      </c>
      <c r="M130" s="124">
        <f t="shared" ca="1" si="7"/>
        <v>0</v>
      </c>
      <c r="N130" s="125">
        <f t="shared" ca="1" si="8"/>
        <v>49.4</v>
      </c>
      <c r="O130" s="125">
        <f t="shared" ca="1" si="9"/>
        <v>0</v>
      </c>
      <c r="P130" s="328" t="str">
        <f t="shared" si="10"/>
        <v/>
      </c>
      <c r="Q130" s="743">
        <f ca="1">RZ[[#This Row],[Počet MJHR v rozpadu (P0)]]</f>
        <v>1</v>
      </c>
      <c r="R130" s="439" t="str">
        <f t="shared" si="11"/>
        <v>Zajíc</v>
      </c>
      <c r="S130" s="129" t="str">
        <f t="shared" si="12"/>
        <v/>
      </c>
      <c r="T130" s="130" t="str">
        <f t="shared" si="13"/>
        <v/>
      </c>
      <c r="U130" s="126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CR (MJCR) (P0)]]))))))))))</f>
        <v>ks</v>
      </c>
      <c r="V130" s="575">
        <f t="shared" ca="1" si="14"/>
        <v>1</v>
      </c>
      <c r="W130" s="322">
        <f>RZ[[#This Row],[Koeficient odhadu CR '[-'] (P1)]]</f>
        <v>1</v>
      </c>
      <c r="X130" s="440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Row],[Jednotková cena bez DPH '[cena/MJCR'] (P1)]]*RZ[[#This Row],[Koeficient odhadu CR '[-']]]))))))))))</f>
        <v>10000</v>
      </c>
      <c r="Y130" s="440">
        <f t="shared" ca="1" si="108"/>
        <v>0</v>
      </c>
      <c r="Z130" s="142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VLOOKUP(IP130,$BR$7:$BS$11,2,FALSE)))))))))))</f>
        <v>CZK</v>
      </c>
      <c r="AA130" s="811">
        <f t="shared" ca="1" si="16"/>
        <v>1</v>
      </c>
      <c r="AB130" s="814">
        <f ca="1">RZ[[#This Row],[Kumulovaný koeficient v rozpadu (P0)]]</f>
        <v>1</v>
      </c>
      <c r="AC130" s="260"/>
      <c r="AD130" s="510">
        <f ca="1">RZ[[#This Row],[Jednotková cena bez DPH '[cena/MJCR'] s koef. (P0)]]/RZ[[#This Row],[Koeficient odhadu CR '[-']]]*RZ[[#This Row],[Kumulovaný koeficient odhadu CR  '[-']]]</f>
        <v>10000</v>
      </c>
      <c r="AE130" s="511">
        <f t="shared" ca="1" si="17"/>
        <v>10000</v>
      </c>
      <c r="AF130" s="512">
        <f ca="1">-IF(ISNUMBER(AA130),RZ[[#This Row],[Celková cena bez DPH (1)]]-RZ[[#This Row],[Jednotková cena bez DPH '[cena/MJCR'] bez koef. (P0)]]*AA130,0)</f>
        <v>0</v>
      </c>
      <c r="AG1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202.42914979757086</v>
      </c>
      <c r="AH130" s="261"/>
      <c r="AI130" s="510">
        <f t="shared" ca="1" si="18"/>
        <v>370.37037037037038</v>
      </c>
      <c r="AJ130" s="511">
        <f t="shared" ca="1" si="19"/>
        <v>370.37037037037038</v>
      </c>
      <c r="AK130" s="512">
        <f t="shared" ca="1" si="20"/>
        <v>0</v>
      </c>
      <c r="AL130" s="753">
        <f ca="1">RZ[[#This Row],[Kilogramová cena bez DPH '[cena/kg'] (1)]]/$AK$13</f>
        <v>7.49737591842855</v>
      </c>
      <c r="AM130" s="261"/>
      <c r="AN130" s="510">
        <f t="shared" ca="1" si="21"/>
        <v>483.09178743961354</v>
      </c>
      <c r="AO130" s="511">
        <f t="shared" ca="1" si="22"/>
        <v>483.09178743961354</v>
      </c>
      <c r="AP130" s="512">
        <f t="shared" ca="1" si="23"/>
        <v>0</v>
      </c>
      <c r="AQ130" s="753">
        <f ca="1">RZ[[#This Row],[Kilogramová cena bez DPH '[cena/kg'] (1)]]/$AP$13</f>
        <v>9.7791859805589798</v>
      </c>
      <c r="AR130" s="261"/>
      <c r="AS130" s="510">
        <f t="shared" ca="1" si="24"/>
        <v>273.52297592997809</v>
      </c>
      <c r="AT130" s="511">
        <f t="shared" ca="1" si="25"/>
        <v>273.52297592997809</v>
      </c>
      <c r="AU130" s="511">
        <f t="shared" ca="1" si="26"/>
        <v>0</v>
      </c>
      <c r="AV130" s="767">
        <f ca="1">RZ[[#This Row],[Kilogramová cena bez DPH '[cena/kg'] (1)]]/$AU$13</f>
        <v>5.5369023467606908</v>
      </c>
      <c r="AW130" s="165"/>
      <c r="AX130" s="110">
        <f t="shared" ca="1" si="27"/>
        <v>2</v>
      </c>
      <c r="AY130" s="55">
        <f t="shared" ca="1" si="28"/>
        <v>13</v>
      </c>
      <c r="AZ130" s="111">
        <f t="shared" ca="1" si="29"/>
        <v>0</v>
      </c>
      <c r="BA130" s="111">
        <f t="shared" ca="1" si="30"/>
        <v>0</v>
      </c>
      <c r="BB130" s="111">
        <f t="shared" ca="1" si="31"/>
        <v>0</v>
      </c>
      <c r="BC130" s="111">
        <f t="shared" ca="1" si="32"/>
        <v>0</v>
      </c>
      <c r="BD130" s="111">
        <f t="shared" ca="1" si="33"/>
        <v>0</v>
      </c>
      <c r="BE130" s="111">
        <f t="shared" ca="1" si="109"/>
        <v>0</v>
      </c>
      <c r="BF130" s="111">
        <f t="shared" ca="1" si="34"/>
        <v>0</v>
      </c>
      <c r="BG130" s="112">
        <f t="shared" ca="1" si="35"/>
        <v>0</v>
      </c>
      <c r="BH130" s="110">
        <f t="shared" si="110"/>
        <v>0</v>
      </c>
      <c r="BI130" s="55">
        <f t="shared" si="111"/>
        <v>1</v>
      </c>
      <c r="BJ130" s="55">
        <f t="shared" si="112"/>
        <v>0</v>
      </c>
      <c r="BK130" s="111">
        <f t="shared" si="113"/>
        <v>0</v>
      </c>
      <c r="BL130" s="111">
        <f t="shared" si="114"/>
        <v>0</v>
      </c>
      <c r="BM130" s="111">
        <f t="shared" si="115"/>
        <v>0</v>
      </c>
      <c r="BN130" s="111">
        <f t="shared" si="116"/>
        <v>0</v>
      </c>
      <c r="BO130" s="111">
        <f t="shared" si="117"/>
        <v>0</v>
      </c>
      <c r="BP130" s="111">
        <f t="shared" si="118"/>
        <v>0</v>
      </c>
      <c r="BQ130" s="112">
        <f t="shared" si="119"/>
        <v>0</v>
      </c>
      <c r="BR130" s="186">
        <f ca="1">IF(OFFSET(AY130,1,0,1,1)&lt;&gt;0,RZ[[#This Row],[Koeficient odhadu HR '[-'] (P1)]]*$BH130*SUMIFS(RZ[Úroveň 2 s koef. (P2)],RZ[0],AX130),RZ[[#This Row],[Koeficient odhadu HR '[-'] (P1)]]*$BH130*$IG130)</f>
        <v>0</v>
      </c>
      <c r="BS130" s="186">
        <f ca="1">IF(OFFSET(AY130,1,0,1,1)&lt;&gt;0,$BH130*SUMIFS(RZ[Úroveň 2 bez koef. (P2)],RZ[0],AX130),$BH130*$IG130)</f>
        <v>0</v>
      </c>
      <c r="BT130" s="138">
        <f ca="1">RZ[[#This Row],[Úroveň 2 s koef. (P2a)]]*RZ[[#This Row],[Počet MJHR (P0)]]</f>
        <v>49.4</v>
      </c>
      <c r="BU130" s="138">
        <f ca="1">RZ[[#This Row],[Úroveň 2 bez koef. (P2a)]]*RZ[[#This Row],[Počet MJHR (P0)]]</f>
        <v>49.4</v>
      </c>
      <c r="BV130" s="138">
        <f ca="1">IF(OFFSET(AZ130,1,0,1,1)&lt;&gt;0,RZ[[#This Row],[Koeficient odhadu HR '[-'] (P1)]]*$BI130*SUMIFS(RZ[Úroveň 3 s koef. (P2)],RZ[0],AX130,RZ[Úroveň 2 (P0)],AY130),RZ[[#This Row],[Koeficient odhadu HR '[-'] (P1)]]*$BI130*$IG130)</f>
        <v>49.4</v>
      </c>
      <c r="BW130" s="138">
        <f ca="1">IF(OFFSET(AZ130,1,0,1,1)&lt;&gt;0,$BI130*SUMIFS(RZ[Úroveň 3 bez koef. (P2)],RZ[0],AX130,RZ[Úroveň 2 (P0)],AY130),$BI130*$IG130)</f>
        <v>49.4</v>
      </c>
      <c r="BX130" s="132">
        <f ca="1">RZ[[#This Row],[Úroveň 3 s koef. (P2a)]]*RZ[[#This Row],[Počet MJHR (P0)]]</f>
        <v>0</v>
      </c>
      <c r="BY130" s="132">
        <f ca="1">RZ[Úroveň 3 bez koef. (P2a)]*RZ[[#This Row],[Počet MJHR (P0)]]</f>
        <v>0</v>
      </c>
      <c r="BZ130" s="132">
        <f ca="1">IF(OFFSET(BA130,1,0,1,1)&lt;&gt;0,RZ[[#This Row],[Koeficient odhadu HR '[-'] (P1)]]*$BJ130*SUMIFS(RZ[Úroveň 4 s koef. (P2)],RZ[0],AX130,RZ[Úroveň 2 (P0)],AY130,RZ[Úroveň 3 (P0)],AZ130),RZ[[#This Row],[Koeficient odhadu HR '[-'] (P1)]]*$BJ130*$IG130)</f>
        <v>0</v>
      </c>
      <c r="CA130" s="132">
        <f ca="1">IF(OFFSET(BA130,1,0,1,1)&lt;&gt;0,$BJ130*SUMIFS(RZ[Úroveň 4 bez koef. (P2)],RZ[0],AX130,RZ[Úroveň 2 (P0)],AY130,RZ[Úroveň 3 (P0)],AZ130),$BJ130*$IG130)</f>
        <v>0</v>
      </c>
      <c r="CB130" s="138">
        <f ca="1">RZ[[#This Row],[Úroveň 4 s koef. (P2a)]]*RZ[[#This Row],[Počet MJHR (P0)]]</f>
        <v>0</v>
      </c>
      <c r="CC130" s="138">
        <f ca="1">RZ[Úroveň 4 bez koef. (P2a)]*RZ[[#This Row],[Počet MJHR (P0)]]</f>
        <v>0</v>
      </c>
      <c r="CD130" s="138">
        <f ca="1">IF(OFFSET(BB130,1,0,1,1)&lt;&gt;0,RZ[[#This Row],[Koeficient odhadu HR '[-'] (P1)]]*$BK130*SUMIFS(RZ[Úroveň 5 s koef. (P2)],RZ[0],AX130,RZ[Úroveň 2 (P0)],AY130,RZ[Úroveň 3 (P0)],AZ130,RZ[Úroveň 4 (P0)],BA130),RZ[[#This Row],[Koeficient odhadu HR '[-'] (P1)]]*$BK130*$IG130)</f>
        <v>0</v>
      </c>
      <c r="CE130" s="138">
        <f ca="1">IF(OFFSET(BB130,1,0,1,1)&lt;&gt;0,$BK130*SUMIFS(RZ[Úroveň 5 bez koef. (P2)],RZ[0],AX130,RZ[Úroveň 2 (P0)],AY130,RZ[Úroveň 3 (P0)],AZ130,RZ[Úroveň 4 (P0)],BA130),$BK130*$IG130)</f>
        <v>0</v>
      </c>
      <c r="CF130" s="132">
        <f ca="1">RZ[[#This Row],[Úroveň 5 s koef. (P2a)]]*RZ[[#This Row],[Počet MJHR (P0)]]</f>
        <v>0</v>
      </c>
      <c r="CG130" s="132">
        <f ca="1">RZ[Úroveň 5 bez koef. (P2a)]*RZ[[#This Row],[Počet MJHR (P0)]]</f>
        <v>0</v>
      </c>
      <c r="CH130" s="132">
        <f ca="1">IF(OFFSET(BC130,1,0,1,1)&lt;&gt;0,RZ[[#This Row],[Koeficient odhadu HR '[-'] (P1)]]*$BL130*SUMIFS(RZ[Úroveň 6 s koef. (P2)],RZ[0],AX130,RZ[Úroveň 2 (P0)],AY130,RZ[Úroveň 3 (P0)],AZ130,RZ[Úroveň 4 (P0)],BA130,RZ[Úroveň 5 (P0)],BB130),RZ[[#This Row],[Koeficient odhadu HR '[-'] (P1)]]*$BL130*$IG130)</f>
        <v>0</v>
      </c>
      <c r="CI130" s="132">
        <f ca="1">IF(OFFSET(BC130,1,0,1,1)&lt;&gt;0,$BL130*SUMIFS(RZ[Úroveň 6 bez koef. (P2)],RZ[0],AX130,RZ[Úroveň 2 (P0)],AY130,RZ[Úroveň 3 (P0)],AZ130,RZ[Úroveň 4 (P0)],BA130,RZ[Úroveň 5 (P0)],BB130),$BL130*$IG130)</f>
        <v>0</v>
      </c>
      <c r="CJ130" s="138">
        <f ca="1">RZ[[#This Row],[Úroveň 6 s koef. (P2a)]]*RZ[[#This Row],[Počet MJHR (P0)]]</f>
        <v>0</v>
      </c>
      <c r="CK130" s="138">
        <f ca="1">RZ[Úroveň 6 bez koef. (P2a)]*RZ[[#This Row],[Počet MJHR (P0)]]</f>
        <v>0</v>
      </c>
      <c r="CL130" s="138">
        <f ca="1">IF(OFFSET(BD130,1,0,1,1)&lt;&gt;0,RZ[[#This Row],[Koeficient odhadu HR '[-'] (P1)]]*$BM130*SUMIFS(RZ[Úroveň 7 s koef. (P2)],RZ[0],AX130,RZ[Úroveň 2 (P0)],AY130,RZ[Úroveň 3 (P0)],AZ130,RZ[Úroveň 4 (P0)],BA130,RZ[Úroveň 5 (P0)],BB130,RZ[Úroveň 6 (P0)],BC130),RZ[[#This Row],[Koeficient odhadu HR '[-'] (P1)]]*$BM130*$IG130)</f>
        <v>0</v>
      </c>
      <c r="CM130" s="138">
        <f ca="1">IF(OFFSET(BD130,1,0,1,1)&lt;&gt;0,$BM130*SUMIFS(RZ[Úroveň 7 bez koef. (P2)],RZ[0],AX130,RZ[Úroveň 2 (P0)],AY130,RZ[Úroveň 3 (P0)],AZ130,RZ[Úroveň 4 (P0)],BA130,RZ[Úroveň 5 (P0)],BB130,RZ[Úroveň 6 (P0)],BC130),$BM130*$IG130)</f>
        <v>0</v>
      </c>
      <c r="CN130" s="132">
        <f ca="1">RZ[[#This Row],[Úroveň 7 s koef. (P2a)]]*RZ[[#This Row],[Počet MJHR (P0)]]</f>
        <v>0</v>
      </c>
      <c r="CO130" s="132">
        <f ca="1">RZ[Úroveň 7 bez koef. (P2a)]*RZ[[#This Row],[Počet MJHR (P0)]]</f>
        <v>0</v>
      </c>
      <c r="CP130" s="132">
        <f ca="1">IF(OFFSET(BE130,1,0,1,1)&lt;&gt;0,RZ[[#This Row],[Koeficient odhadu HR '[-'] (P1)]]*$BN130*SUMIFS(RZ[Úroveň 8 s koef. (P2)],RZ[0],AX130,RZ[Úroveň 2 (P0)],AY130,RZ[Úroveň 3 (P0)],AZ130,RZ[Úroveň 4 (P0)],BA130,RZ[Úroveň 5 (P0)],BB130,RZ[Úroveň 6 (P0)],BC130,RZ[Úroveň 7 (P0)],BD130),RZ[[#This Row],[Koeficient odhadu HR '[-'] (P1)]]*$BN130*$IG130)</f>
        <v>0</v>
      </c>
      <c r="CQ130" s="132">
        <f ca="1">IF(OFFSET(BE130,1,0,1,1)&lt;&gt;0,$BN130*SUMIFS(RZ[Úroveň 8 bez koef. (P2)],RZ[0],AX130,RZ[Úroveň 2 (P0)],AY130,RZ[Úroveň 3 (P0)],AZ130,RZ[Úroveň 4 (P0)],BA130,RZ[Úroveň 5 (P0)],BB130,RZ[Úroveň 6 (P0)],BC130,RZ[Úroveň 7 (P0)],BD130),$BN130*$IG130)</f>
        <v>0</v>
      </c>
      <c r="CR130" s="138">
        <f ca="1">RZ[[#This Row],[Úroveň 8 s koef. (P2a)]]*RZ[[#This Row],[Počet MJHR (P0)]]</f>
        <v>0</v>
      </c>
      <c r="CS130" s="138">
        <f ca="1">RZ[Úroveň 8 bez koef. (P2a)]*RZ[[#This Row],[Počet MJHR (P0)]]</f>
        <v>0</v>
      </c>
      <c r="CT130" s="138">
        <f ca="1">IF(OFFSET(BF130,1,0,1,1)&lt;&gt;0,RZ[[#This Row],[Koeficient odhadu HR '[-'] (P1)]]*$BO130*SUMIFS(RZ[Úroveň 9 s koef. (P2)],RZ[0],AX130,RZ[Úroveň 2 (P0)],AY130,RZ[Úroveň 3 (P0)],AZ130,RZ[Úroveň 4 (P0)],BA130,RZ[Úroveň 5 (P0)],BB130,RZ[Úroveň 6 (P0)],BC130,RZ[Úroveň 7 (P0)],BD130,RZ[Úroveň 8 (P0)],BE130),RZ[[#This Row],[Koeficient odhadu HR '[-'] (P1)]]*$BO130*$IG130)</f>
        <v>0</v>
      </c>
      <c r="CU130" s="138">
        <f ca="1">IF(OFFSET(BF130,1,0,1,1)&lt;&gt;0,$BO130*SUMIFS(RZ[Úroveň 9 bez koef. (P2)],RZ[0],AX130,RZ[Úroveň 2 (P0)],AY130,RZ[Úroveň 3 (P0)],AZ130,RZ[Úroveň 4 (P0)],BA130,RZ[Úroveň 5 (P0)],BB130,RZ[Úroveň 6 (P0)],BC130,RZ[Úroveň 7 (P0)],BD130,RZ[Úroveň 8 (P0)],BE130),$BO130*$IG130)</f>
        <v>0</v>
      </c>
      <c r="CV130" s="132">
        <f ca="1">RZ[[#This Row],[Úroveň 9 s koef. (P2a)]]*RZ[[#This Row],[Počet MJHR (P0)]]</f>
        <v>0</v>
      </c>
      <c r="CW130" s="132">
        <f ca="1">RZ[Úroveň 9 bez koef. (P2a)]*RZ[[#This Row],[Počet MJHR (P0)]]</f>
        <v>0</v>
      </c>
      <c r="CX130" s="132">
        <f ca="1">IF(OFFSET(BG130,1,0,1,1)&lt;&gt;0,RZ[[#This Row],[Koeficient odhadu HR '[-'] (P1)]]*$BP130*SUMIFS(RZ[Úroveň 10 s koef. (P2)],RZ[0],AX130,RZ[Úroveň 2 (P0)],AY130,RZ[Úroveň 3 (P0)],AZ130,RZ[Úroveň 4 (P0)],BA130,RZ[Úroveň 5 (P0)],BB130,RZ[Úroveň 6 (P0)],BC130,RZ[Úroveň 7 (P0)],BD130,RZ[Úroveň 8 (P0)],BE130,RZ[Úroveň 9 (P0)],BF130),RZ[[#This Row],[Koeficient odhadu HR '[-'] (P1)]]*$BP130*$IG130)</f>
        <v>0</v>
      </c>
      <c r="CY130" s="132">
        <f ca="1">IF(OFFSET(BG130,1,0,1,1)&lt;&gt;0,$BP130*SUMIFS(RZ[Úroveň 10 bez koef. (P2)],RZ[0],AX130,RZ[Úroveň 2 (P0)],AY130,RZ[Úroveň 3 (P0)],AZ130,RZ[Úroveň 4 (P0)],BA130,RZ[Úroveň 5 (P0)],BB130,RZ[Úroveň 6 (P0)],BC130,RZ[Úroveň 7 (P0)],BD130,RZ[Úroveň 8 (P0)],BE130,RZ[Úroveň 9 (P0)],BF130),$BP130*$IG130)</f>
        <v>0</v>
      </c>
      <c r="CZ130" s="138">
        <f>RZ[[#This Row],[Úroveň 10 s koef. (P2a)]]*RZ[[#This Row],[Počet MJHR (P0)]]</f>
        <v>0</v>
      </c>
      <c r="DA130" s="138">
        <f>RZ[Úroveň 10 bez koef. (P2a)]*RZ[[#This Row],[Počet MJHR (P0)]]</f>
        <v>0</v>
      </c>
      <c r="DB130" s="138">
        <f>RZ[[#This Row],[Koeficient odhadu HR '[-'] (P1)]]*$BQ130*IG130</f>
        <v>0</v>
      </c>
      <c r="DC130" s="231">
        <f t="shared" si="37"/>
        <v>0</v>
      </c>
      <c r="DD130" s="241">
        <f t="shared" ca="1" si="120"/>
        <v>49.4</v>
      </c>
      <c r="DE130" s="229">
        <f t="shared" ca="1" si="121"/>
        <v>49.4</v>
      </c>
      <c r="DF130" s="521">
        <f t="shared" si="40"/>
        <v>0</v>
      </c>
      <c r="DG130" s="522">
        <f t="shared" si="41"/>
        <v>1</v>
      </c>
      <c r="DH130" s="522">
        <f t="shared" si="42"/>
        <v>0</v>
      </c>
      <c r="DI130" s="523">
        <f t="shared" si="43"/>
        <v>0</v>
      </c>
      <c r="DJ130" s="524">
        <f t="shared" si="44"/>
        <v>0</v>
      </c>
      <c r="DK130" s="524">
        <f t="shared" si="45"/>
        <v>0</v>
      </c>
      <c r="DL130" s="524">
        <f t="shared" si="46"/>
        <v>0</v>
      </c>
      <c r="DM130" s="524">
        <f t="shared" si="47"/>
        <v>0</v>
      </c>
      <c r="DN130" s="524">
        <f t="shared" si="48"/>
        <v>0</v>
      </c>
      <c r="DO130" s="523">
        <f t="shared" si="49"/>
        <v>0</v>
      </c>
      <c r="DP130" s="525">
        <f ca="1">SUMIFS(RZ[Úroveň 1 (P4)],RZ[0],AX130)</f>
        <v>1</v>
      </c>
      <c r="DQ130" s="525">
        <f ca="1">SUMIFS(RZ[Úroveň 2 (P4)],RZ[0],AX130,RZ[Úroveň 2 (P0)],AY130)</f>
        <v>1</v>
      </c>
      <c r="DR130" s="525">
        <f ca="1">SUMIFS(RZ[Úroveň 3 (P4)],RZ[0],AX130,RZ[Úroveň 2 (P0)],AY130,RZ[Úroveň 3 (P0)],AZ130)</f>
        <v>0</v>
      </c>
      <c r="DS130" s="525">
        <f ca="1">SUMIFS(RZ[Úroveň 4 (P4)],RZ[0],AX130,RZ[Úroveň 2 (P0)],AY130,RZ[Úroveň 3 (P0)],AZ130,RZ[Úroveň 4 (P0)],BA130)</f>
        <v>0</v>
      </c>
      <c r="DT130" s="526">
        <f ca="1">SUMIFS(RZ[Úroveň 5 (P4)],RZ[0],AX130,RZ[Úroveň 2 (P0)],AY130,RZ[Úroveň 3 (P0)],AZ130,RZ[Úroveň 4 (P0)],BA130,RZ[Úroveň 5 (P0)],BB130)</f>
        <v>0</v>
      </c>
      <c r="DU130" s="526">
        <f ca="1">SUMIFS(RZ[Úroveň 6 (P4)],RZ[0],AX130,RZ[Úroveň 2 (P0)],AY130,RZ[Úroveň 3 (P0)],AZ130,RZ[Úroveň 4 (P0)],BA130,RZ[Úroveň 5 (P0)],BB130,RZ[Úroveň 6 (P0)],BC130)</f>
        <v>0</v>
      </c>
      <c r="DV130" s="526">
        <f ca="1">SUMIFS(RZ[Úroveň 7 (P4)],RZ[0],AX130,RZ[Úroveň 2 (P0)],AY130,RZ[Úroveň 3 (P0)],AZ130,RZ[Úroveň 4 (P0)],BA130,RZ[Úroveň 5 (P0)],BB130,RZ[Úroveň 6 (P0)],BC130,RZ[Úroveň 7 (P0)],BD130)</f>
        <v>0</v>
      </c>
      <c r="DW130" s="526">
        <f ca="1">SUMIFS(RZ[Úroveň 8 (P4)],RZ[0],AX130,RZ[Úroveň 2 (P0)],AY130,RZ[Úroveň 3 (P0)],AZ130,RZ[Úroveň 4 (P0)],BA130,RZ[Úroveň 5 (P0)],BB130,RZ[Úroveň 6 (P0)],BC130,RZ[Úroveň 7 (P0)],BD130,RZ[Úroveň 8 (P0)],BE130)</f>
        <v>0</v>
      </c>
      <c r="DX130" s="526">
        <f ca="1">SUMIFS(RZ[Úroveň 9 (P4)],RZ[0],AX130,RZ[Úroveň 2 (P0)],AY130,RZ[Úroveň 3 (P0)],AZ130,RZ[Úroveň 4 (P0)],BA130,RZ[Úroveň 5 (P0)],BB130,RZ[Úroveň 6 (P0)],BC130,RZ[Úroveň 7 (P0)],BD130,RZ[Úroveň 8 (P0)],BE130,RZ[Úroveň 9 (P0)],BF130)</f>
        <v>0</v>
      </c>
      <c r="DY130" s="526">
        <f ca="1">SUMIFS(RZ[Úroveň 10 (P4)],RZ[0],AX130,RZ[Úroveň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DZ130" s="527">
        <f t="shared" ca="1" si="122"/>
        <v>1</v>
      </c>
      <c r="EA130" s="528">
        <f ca="1">RZ[[#This Row],[Jednotková hmotnost bez koef. '[kg/MJHR'] (P0)]]*RZ[[#This Row],[Počet MJHR v rozpadu (P0)]]</f>
        <v>49.4</v>
      </c>
      <c r="EB130" s="191">
        <f ca="1">IF(OFFSET(AY130,1,0,1,1)&lt;&gt;0,RZ[[#This Row],[Koeficient odhadu CR '[-'] (P1)]]*$BH130*SUMIFS(RZ[Úroveň 2 s koef. (P3)],RZ[0],AX130),RZ[[#This Row],[Koeficient odhadu CR '[-'] (P1)]]*$BH130*$IQ130)</f>
        <v>0</v>
      </c>
      <c r="EC130" s="191">
        <f ca="1">IF(OFFSET(AY130,1,0,1,1)&lt;&gt;0,$BH130*SUMIFS(RZ[Úroveň 2 bez koef. (P3)],RZ[0],AX130),$BH130*$IQ130)</f>
        <v>0</v>
      </c>
      <c r="ED130" s="140">
        <f ca="1">RZ[[#This Row],[Úroveň 2 s koef. (P3a)]]*RZ[[#This Row],[Počet MJCR (P0) pro "kg"]]</f>
        <v>10000</v>
      </c>
      <c r="EE130" s="140">
        <f ca="1">RZ[Úroveň 2 bez koef. (P3a)]*RZ[[#This Row],[Počet MJCR (P0) pro "kg"]]</f>
        <v>10000</v>
      </c>
      <c r="EF130" s="140">
        <f ca="1">IF(OFFSET(AZ130,1,0,1,1)&lt;&gt;0,RZ[[#This Row],[Koeficient odhadu CR '[-'] (P1)]]*$BI130*SUMIFS(RZ[Úroveň 3 s koef. (P3)],RZ[0],AX130,RZ[Úroveň 2 (P0)],AY130),RZ[[#This Row],[Koeficient odhadu CR '[-'] (P1)]]*$BI130*$IQ130)</f>
        <v>10000</v>
      </c>
      <c r="EG130" s="140">
        <f ca="1">IF(OFFSET(AZ130,1,0,1,1)&lt;&gt;0,$BI130*SUMIFS(RZ[Úroveň 3 bez koef. (P3)],RZ[0],AX130,RZ[Úroveň 2 (P0)],AY130),$BI130*$IQ130)</f>
        <v>10000</v>
      </c>
      <c r="EH130" s="135">
        <f ca="1">RZ[[#This Row],[Úroveň 3 s koef. (P3a)]]*RZ[[#This Row],[Počet MJCR (P0) pro "kg"]]</f>
        <v>0</v>
      </c>
      <c r="EI130" s="135">
        <f ca="1">RZ[Úroveň 3 bez koef. (P3a)]*RZ[[#This Row],[Počet MJCR (P0) pro "kg"]]</f>
        <v>0</v>
      </c>
      <c r="EJ130" s="135">
        <f ca="1">IF(OFFSET(BA130,1,0,1,1)&lt;&gt;0,RZ[[#This Row],[Koeficient odhadu CR '[-'] (P1)]]*$BJ130*SUMIFS(RZ[Úroveň 4 s koef. (P3)],RZ[0],AX130,RZ[Úroveň 2 (P0)],AY130,RZ[Úroveň 3 (P0)],AZ130),RZ[[#This Row],[Koeficient odhadu CR '[-'] (P1)]]*$BJ130*$IQ130)</f>
        <v>0</v>
      </c>
      <c r="EK130" s="135">
        <f ca="1">IF(OFFSET(BA130,1,0,1,1)&lt;&gt;0,$BJ130*SUMIFS(RZ[Úroveň 4 bez koef. (P3)],RZ[0],AX130,RZ[Úroveň 2 (P0)],AY130,RZ[Úroveň 3 (P0)],AZ130),$BJ130*$IQ130)</f>
        <v>0</v>
      </c>
      <c r="EL130" s="140">
        <f ca="1">RZ[[#This Row],[Úroveň 4 s koef. (P3a)]]*RZ[[#This Row],[Počet MJCR (P0) pro "kg"]]</f>
        <v>0</v>
      </c>
      <c r="EM130" s="140">
        <f ca="1">RZ[Úroveň 4 bez koef. (P3a)]*RZ[[#This Row],[Počet MJCR (P0) pro "kg"]]</f>
        <v>0</v>
      </c>
      <c r="EN130" s="140">
        <f ca="1">IF(OFFSET(BB130,1,0,1,1)&lt;&gt;0,RZ[[#This Row],[Koeficient odhadu CR '[-'] (P1)]]*$BK130*SUMIFS(RZ[Úroveň 5 s koef. (P3)],RZ[0],AX130,RZ[Úroveň 2 (P0)],AY130,RZ[Úroveň 3 (P0)],AZ130,RZ[Úroveň 4 (P0)],BA130),RZ[[#This Row],[Koeficient odhadu CR '[-'] (P1)]]*$BK130*$IQ130)</f>
        <v>0</v>
      </c>
      <c r="EO130" s="140">
        <f ca="1">IF(OFFSET(BB130,1,0,1,1)&lt;&gt;0,$BK130*SUMIFS(RZ[Úroveň 5 bez koef. (P3)],RZ[0],AX130,RZ[Úroveň 2 (P0)],AY130,RZ[Úroveň 3 (P0)],AZ130,RZ[Úroveň 4 (P0)],BA130),$BK130*$IQ130)</f>
        <v>0</v>
      </c>
      <c r="EP130" s="135">
        <f ca="1">RZ[[#This Row],[Úroveň 5 s koef. (P3a)]]*RZ[[#This Row],[Počet MJCR (P0) pro "kg"]]</f>
        <v>0</v>
      </c>
      <c r="EQ130" s="135">
        <f ca="1">RZ[Úroveň 5 bez koef. (P3a)]*RZ[[#This Row],[Počet MJCR (P0) pro "kg"]]</f>
        <v>0</v>
      </c>
      <c r="ER130" s="135">
        <f ca="1">IF(OFFSET(BC130,1,0,1,1)&lt;&gt;0,RZ[[#This Row],[Koeficient odhadu CR '[-'] (P1)]]*$BL130*SUMIFS(RZ[Úroveň 6 s koef. (P3)],RZ[0],AX130,RZ[Úroveň 2 (P0)],AY130,RZ[Úroveň 3 (P0)],AZ130,RZ[Úroveň 4 (P0)],BA130,RZ[Úroveň 5 (P0)],BB130),RZ[[#This Row],[Koeficient odhadu CR '[-'] (P1)]]*$BL130*$IQ130)</f>
        <v>0</v>
      </c>
      <c r="ES130" s="135">
        <f ca="1">IF(OFFSET(BC130,1,0,1,1)&lt;&gt;0,$BL130*SUMIFS(RZ[Úroveň 6 bez koef. (P3)],RZ[0],AX130,RZ[Úroveň 2 (P0)],AY130,RZ[Úroveň 3 (P0)],AZ130,RZ[Úroveň 4 (P0)],BA130,RZ[Úroveň 5 (P0)],BB130),$BL130*$IQ130)</f>
        <v>0</v>
      </c>
      <c r="ET130" s="140">
        <f ca="1">RZ[[#This Row],[Úroveň 6 s koef. (P3a)]]*RZ[[#This Row],[Počet MJCR (P0) pro "kg"]]</f>
        <v>0</v>
      </c>
      <c r="EU130" s="140">
        <f ca="1">RZ[Úroveň 6 bez koef. (P3a)]*RZ[[#This Row],[Počet MJCR (P0) pro "kg"]]</f>
        <v>0</v>
      </c>
      <c r="EV130" s="140">
        <f ca="1">IF(OFFSET(BD130,1,0,1,1)&lt;&gt;0,RZ[[#This Row],[Koeficient odhadu CR '[-'] (P1)]]*$BM130*SUMIFS(RZ[Úroveň 7 s koef. (P3)],RZ[0],AX130,RZ[Úroveň 2 (P0)],AY130,RZ[Úroveň 3 (P0)],AZ130,RZ[Úroveň 4 (P0)],BA130,RZ[Úroveň 5 (P0)],BB130,RZ[Úroveň 6 (P0)],BC130),RZ[[#This Row],[Koeficient odhadu CR '[-'] (P1)]]*$BM130*$IQ130)</f>
        <v>0</v>
      </c>
      <c r="EW130" s="140">
        <f ca="1">IF(OFFSET(BD130,1,0,1,1)&lt;&gt;0,$BM130*SUMIFS(RZ[Úroveň 7 bez koef. (P3)],RZ[0],AX130,RZ[Úroveň 2 (P0)],AY130,RZ[Úroveň 3 (P0)],AZ130,RZ[Úroveň 4 (P0)],BA130,RZ[Úroveň 5 (P0)],BB130,RZ[Úroveň 6 (P0)],BC130),$BM130*$IQ130)</f>
        <v>0</v>
      </c>
      <c r="EX130" s="135">
        <f ca="1">RZ[[#This Row],[Úroveň 7 s koef. (P3a)]]*RZ[[#This Row],[Počet MJCR (P0) pro "kg"]]</f>
        <v>0</v>
      </c>
      <c r="EY130" s="135">
        <f ca="1">RZ[Úroveň 7 bez koef. (P3a)]*RZ[[#This Row],[Počet MJCR (P0) pro "kg"]]</f>
        <v>0</v>
      </c>
      <c r="EZ130" s="135">
        <f ca="1">IF(OFFSET(BE130,1,0,1,1)&lt;&gt;0,RZ[[#This Row],[Koeficient odhadu CR '[-'] (P1)]]*$BN130*SUMIFS(RZ[Úroveň 8 s koef. (P3)],RZ[0],AX130,RZ[Úroveň 2 (P0)],AY130,RZ[Úroveň 3 (P0)],AZ130,RZ[Úroveň 4 (P0)],BA130,RZ[Úroveň 5 (P0)],BB130,RZ[Úroveň 6 (P0)],BC130,RZ[Úroveň 7 (P0)],BD130),RZ[[#This Row],[Koeficient odhadu CR '[-'] (P1)]]*$BN130*$IQ130)</f>
        <v>0</v>
      </c>
      <c r="FA130" s="135">
        <f ca="1">IF(OFFSET(BE130,1,0,1,1)&lt;&gt;0,$BN130*SUMIFS(RZ[Úroveň 8 bez koef. (P3)],RZ[0],AX130,RZ[Úroveň 2 (P0)],AY130,RZ[Úroveň 3 (P0)],AZ130,RZ[Úroveň 4 (P0)],BA130,RZ[Úroveň 5 (P0)],BB130,RZ[Úroveň 6 (P0)],BC130,RZ[Úroveň 7 (P0)],BD130),$BN130*$IQ130)</f>
        <v>0</v>
      </c>
      <c r="FB130" s="140">
        <f ca="1">RZ[[#This Row],[Úroveň 8 s koef. (P3a)]]*RZ[[#This Row],[Počet MJCR (P0) pro "kg"]]</f>
        <v>0</v>
      </c>
      <c r="FC130" s="140">
        <f ca="1">RZ[Úroveň 8 bez koef. (P3a)]*RZ[[#This Row],[Počet MJCR (P0) pro "kg"]]</f>
        <v>0</v>
      </c>
      <c r="FD130" s="140">
        <f ca="1">IF(OFFSET(BF130,1,0,1,1)&lt;&gt;0,RZ[[#This Row],[Koeficient odhadu CR '[-'] (P1)]]*$BO130*SUMIFS(RZ[Úroveň 9 s koef. (P3)],RZ[0],AX130,RZ[Úroveň 2 (P0)],AY130,RZ[Úroveň 3 (P0)],AZ130,RZ[Úroveň 4 (P0)],BA130,RZ[Úroveň 5 (P0)],BB130,RZ[Úroveň 6 (P0)],BC130,RZ[Úroveň 7 (P0)],BD130,RZ[Úroveň 8 (P0)],BE130),RZ[[#This Row],[Koeficient odhadu CR '[-'] (P1)]]*$BO130*$IQ130)</f>
        <v>0</v>
      </c>
      <c r="FE130" s="140">
        <f ca="1">IF(OFFSET(BF130,1,0,1,1)&lt;&gt;0,$BO130*SUMIFS(RZ[Úroveň 9 bez koef. (P3)],RZ[0],AX130,RZ[Úroveň 2 (P0)],AY130,RZ[Úroveň 3 (P0)],AZ130,RZ[Úroveň 4 (P0)],BA130,RZ[Úroveň 5 (P0)],BB130,RZ[Úroveň 6 (P0)],BC130,RZ[Úroveň 7 (P0)],BD130,RZ[Úroveň 8 (P0)],BE130),$BO130*$IQ130)</f>
        <v>0</v>
      </c>
      <c r="FF130" s="135">
        <f ca="1">RZ[[#This Row],[Úroveň 9 s koef. (P3a)]]*RZ[[#This Row],[Počet MJCR (P0) pro "kg"]]</f>
        <v>0</v>
      </c>
      <c r="FG130" s="135">
        <f ca="1">RZ[Úroveň 9 bez koef. (P3a)]*RZ[[#This Row],[Počet MJCR (P0) pro "kg"]]</f>
        <v>0</v>
      </c>
      <c r="FH130" s="135">
        <f ca="1">IF(OFFSET(BG130,1,0,1,1)&lt;&gt;0,RZ[[#This Row],[Koeficient odhadu CR '[-'] (P1)]]*$BP130*SUMIFS(RZ[Úroveň 10 s koef. (P3)],RZ[0],AX130,RZ[Úroveň 2 (P0)],AY130,RZ[Úroveň 3 (P0)],AZ130,RZ[Úroveň 4 (P0)],BA130,RZ[Úroveň 5 (P0)],BB130,RZ[Úroveň 6 (P0)],BC130,RZ[Úroveň 7 (P0)],BD130,RZ[Úroveň 8 (P0)],BE130,RZ[Úroveň 9 (P0)],BF130),RZ[[#This Row],[Koeficient odhadu CR '[-'] (P1)]]*$BP130*$IQ130)</f>
        <v>0</v>
      </c>
      <c r="FI130" s="135">
        <f ca="1">IF(OFFSET(BG130,1,0,1,1)&lt;&gt;0,$BP130*SUMIFS(RZ[Úroveň 10 bez koef. (P3)],RZ[0],AX130,RZ[Úroveň 2 (P0)],AY130,RZ[Úroveň 3 (P0)],AZ130,RZ[Úroveň 4 (P0)],BA130,RZ[Úroveň 5 (P0)],BB130,RZ[Úroveň 6 (P0)],BC130,RZ[Úroveň 7 (P0)],BD130,RZ[Úroveň 8 (P0)],BE130,RZ[Úroveň 9 (P0)],BF130),$BP130*$IQ130)</f>
        <v>0</v>
      </c>
      <c r="FJ130" s="140">
        <f ca="1">RZ[[#This Row],[Úroveň 10 s koef. (P3a)]]*RZ[[#This Row],[Počet MJCR (P0) pro "kg"]]</f>
        <v>0</v>
      </c>
      <c r="FK130" s="140">
        <f ca="1">RZ[Úroveň 10 bez koef. (P3a)]*RZ[[#This Row],[Počet MJCR (P0) pro "kg"]]</f>
        <v>0</v>
      </c>
      <c r="FL130" s="140">
        <f ca="1">RZ[[#This Row],[Koeficient odhadu CR '[-'] (P1)]]*$BQ130*IQ130</f>
        <v>0</v>
      </c>
      <c r="FM130" s="236">
        <f t="shared" ca="1" si="51"/>
        <v>0</v>
      </c>
      <c r="FN130" s="194">
        <f t="shared" ca="1" si="123"/>
        <v>10000</v>
      </c>
      <c r="FO130" s="238">
        <f t="shared" ca="1" si="124"/>
        <v>10000</v>
      </c>
      <c r="FP130" s="191">
        <f t="shared" ca="1" si="54"/>
        <v>0</v>
      </c>
      <c r="FQ130" s="135">
        <f t="shared" ca="1" si="55"/>
        <v>1</v>
      </c>
      <c r="FR130" s="135">
        <f t="shared" ca="1" si="56"/>
        <v>0</v>
      </c>
      <c r="FS130" s="135">
        <f t="shared" ca="1" si="57"/>
        <v>0</v>
      </c>
      <c r="FT130" s="135">
        <f t="shared" ca="1" si="58"/>
        <v>0</v>
      </c>
      <c r="FU130" s="135">
        <f t="shared" ca="1" si="59"/>
        <v>0</v>
      </c>
      <c r="FV130" s="135">
        <f t="shared" ca="1" si="60"/>
        <v>0</v>
      </c>
      <c r="FW130" s="135">
        <f t="shared" ca="1" si="61"/>
        <v>0</v>
      </c>
      <c r="FX130" s="135">
        <f t="shared" ca="1" si="62"/>
        <v>0</v>
      </c>
      <c r="FY130" s="135">
        <f t="shared" ca="1" si="63"/>
        <v>0</v>
      </c>
      <c r="FZ130" s="140">
        <f ca="1">SUMIFS(RZ[Úroveň 1 (P6)],RZ[0],AX130)</f>
        <v>1</v>
      </c>
      <c r="GA130" s="140">
        <f ca="1">SUMIFS(RZ[Úroveň 2 (P6)],RZ[0],AX130,RZ[Úroveň 2 (P0)],AY130)</f>
        <v>1</v>
      </c>
      <c r="GB130" s="140">
        <f ca="1">SUMIFS(RZ[Úroveň 3 (P6)],RZ[0],AX130,RZ[Úroveň 2 (P0)],AY130,RZ[Úroveň 3 (P0)],AZ130)</f>
        <v>0</v>
      </c>
      <c r="GC130" s="140">
        <f ca="1">SUMIFS(RZ[Úroveň 4 (P6)],RZ[0],AX130,RZ[Úroveň 2 (P0)],AY130,RZ[Úroveň 3 (P0)],AZ130,RZ[Úroveň 4 (P0)],BA130)</f>
        <v>0</v>
      </c>
      <c r="GD130" s="140">
        <f ca="1">SUMIFS(RZ[Úroveň 5 (P6)],RZ[0],AX130,RZ[Úroveň 2 (P0)],AY130,RZ[Úroveň 3 (P0)],AZ130,RZ[Úroveň 4 (P0)],BA130,RZ[Úroveň 5 (P0)],BB130)</f>
        <v>0</v>
      </c>
      <c r="GE130" s="140">
        <f ca="1">SUMIFS(RZ[Úroveň 6 (P6)],RZ[0],AX130,RZ[Úroveň 2 (P0)],AY130,RZ[Úroveň 3 (P0)],AZ130,RZ[Úroveň 4 (P0)],BA130,RZ[Úroveň 5 (P0)],BB130,RZ[Úroveň 6 (P0)],BC130)</f>
        <v>0</v>
      </c>
      <c r="GF130" s="140">
        <f ca="1">SUMIFS(RZ[Úroveň 7 (P6)],RZ[0],AX130,RZ[Úroveň 2 (P0)],AY130,RZ[Úroveň 3 (P0)],AZ130,RZ[Úroveň 4 (P0)],BA130,RZ[Úroveň 5 (P0)],BB130,RZ[Úroveň 6 (P0)],BC130,RZ[Úroveň 7 (P0)],BD130)</f>
        <v>0</v>
      </c>
      <c r="GG130" s="140">
        <f ca="1">SUMIFS(RZ[Úroveň 8 (P6)],RZ[0],AX130,RZ[Úroveň 2 (P0)],AY130,RZ[Úroveň 3 (P0)],AZ130,RZ[Úroveň 4 (P0)],BA130,RZ[Úroveň 5 (P0)],BB130,RZ[Úroveň 6 (P0)],BC130,RZ[Úroveň 7 (P0)],BD130,RZ[Úroveň 8 (P0)],BE130)</f>
        <v>0</v>
      </c>
      <c r="GH130" s="140">
        <f ca="1">SUMIFS(RZ[Úroveň 9 (P6)],RZ[0],AX130,RZ[Úroveň 2 (P0)],AY130,RZ[Úroveň 3 (P0)],AZ130,RZ[Úroveň 4 (P0)],BA130,RZ[Úroveň 5 (P0)],BB130,RZ[Úroveň 6 (P0)],BC130,RZ[Úroveň 7 (P0)],BD130,RZ[Úroveň 8 (P0)],BE130,RZ[Úroveň 9 (P0)],BF130)</f>
        <v>0</v>
      </c>
      <c r="GI130" s="140">
        <f ca="1">SUMIFS(RZ[Úroveň 10 (P6)],RZ[0],AX130,RZ[Úroveň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GJ130" s="194">
        <f t="shared" ca="1" si="125"/>
        <v>1</v>
      </c>
      <c r="GK130" s="807">
        <f t="shared" si="65"/>
        <v>0</v>
      </c>
      <c r="GL130" s="808">
        <f t="shared" si="66"/>
        <v>1</v>
      </c>
      <c r="GM130" s="808">
        <f t="shared" si="67"/>
        <v>0</v>
      </c>
      <c r="GN130" s="808">
        <f t="shared" si="68"/>
        <v>0</v>
      </c>
      <c r="GO130" s="808">
        <f t="shared" si="69"/>
        <v>0</v>
      </c>
      <c r="GP130" s="808">
        <f t="shared" si="70"/>
        <v>0</v>
      </c>
      <c r="GQ130" s="808">
        <f t="shared" si="71"/>
        <v>0</v>
      </c>
      <c r="GR130" s="808">
        <f t="shared" si="72"/>
        <v>0</v>
      </c>
      <c r="GS130" s="808">
        <f t="shared" si="73"/>
        <v>0</v>
      </c>
      <c r="GT130" s="808">
        <f t="shared" si="74"/>
        <v>0</v>
      </c>
      <c r="GU130" s="809">
        <f ca="1">SUMIFS(RZ[Sloupec1],RZ[0],AX130)</f>
        <v>1</v>
      </c>
      <c r="GV130" s="809">
        <f ca="1">SUMIFS(RZ[Sloupec2],RZ[0],AX130,RZ[Úroveň 2 (P0)],AY130)</f>
        <v>1</v>
      </c>
      <c r="GW130" s="809">
        <f ca="1">SUMIFS(RZ[Sloupec3],RZ[0],AX130,RZ[Úroveň 2 (P0)],AY130,RZ[Úroveň 3 (P0)],AZ130)</f>
        <v>0</v>
      </c>
      <c r="GX130" s="809">
        <f ca="1">SUMIFS(RZ[Sloupec4],RZ[0],AX130,RZ[Úroveň 2 (P0)],AY130,RZ[Úroveň 3 (P0)],AZ130,RZ[Úroveň 4 (P0)],BA130)</f>
        <v>0</v>
      </c>
      <c r="GY130" s="809">
        <f ca="1">SUMIFS(RZ[Sloupec5],RZ[0],AX130,RZ[Úroveň 2 (P0)],AY130,RZ[Úroveň 3 (P0)],AZ130,RZ[Úroveň 4 (P0)],BA130,RZ[Úroveň 5 (P0)],BB130)</f>
        <v>0</v>
      </c>
      <c r="GZ130" s="809">
        <f ca="1">SUMIFS(RZ[Sloupec6],RZ[0],AX130,RZ[Úroveň 2 (P0)],AY130,RZ[Úroveň 3 (P0)],AZ130,RZ[Úroveň 4 (P0)],BA130,RZ[Úroveň 5 (P0)],BB130,RZ[Úroveň 6 (P0)],BC130)</f>
        <v>0</v>
      </c>
      <c r="HA130" s="809">
        <f ca="1">SUMIFS(RZ[Sloupec62],RZ[0],AX130,RZ[Úroveň 2 (P0)],AY130,RZ[Úroveň 3 (P0)],AZ130,RZ[Úroveň 4 (P0)],BA130,RZ[Úroveň 5 (P0)],BB130,RZ[Úroveň 6 (P0)],BC130,RZ[Úroveň 7 (P0)],BD130)</f>
        <v>0</v>
      </c>
      <c r="HB130" s="809">
        <f ca="1">SUMIFS(RZ[Sloupec63],RZ[0],AX130,RZ[Úroveň 2 (P0)],AY130,RZ[Úroveň 3 (P0)],AZ130,RZ[Úroveň 4 (P0)],BA130,RZ[Úroveň 5 (P0)],BB130,RZ[Úroveň 6 (P0)],BC130,RZ[Úroveň 7 (P0)],BD130,RZ[Úroveň 8 (P0)],BE130)</f>
        <v>0</v>
      </c>
      <c r="HC130" s="809">
        <f ca="1">SUMIFS(RZ[Sloupec64],RZ[0],AX130,RZ[Úroveň 2 (P0)],AY130,RZ[Úroveň 3 (P0)],AZ130,RZ[Úroveň 4 (P0)],BA130,RZ[Úroveň 5 (P0)],BB130,RZ[Úroveň 6 (P0)],BC130,RZ[Úroveň 7 (P0)],BD130,RZ[Úroveň 8 (P0)],BE130,RZ[Úroveň 9 (P0)],BF130)</f>
        <v>0</v>
      </c>
      <c r="HD130" s="809">
        <f ca="1">SUMIFS(RZ[Sloupec65],RZ[0],AX130,RZ[Úroveň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HE130" s="803">
        <f t="shared" ca="1" si="75"/>
        <v>1</v>
      </c>
      <c r="HF130" s="48" t="str">
        <f t="shared" si="76"/>
        <v/>
      </c>
      <c r="HG130" s="94" t="str">
        <f t="shared" si="77"/>
        <v/>
      </c>
      <c r="HH130" s="95" t="str">
        <f t="shared" si="78"/>
        <v>Tabulky pro ustavení vagonů</v>
      </c>
      <c r="HI130" s="95" t="str">
        <f t="shared" si="79"/>
        <v/>
      </c>
      <c r="HJ130" s="96" t="str">
        <f t="shared" si="80"/>
        <v/>
      </c>
      <c r="HK130" s="96" t="str">
        <f t="shared" si="81"/>
        <v/>
      </c>
      <c r="HL130" s="96" t="str">
        <f t="shared" si="82"/>
        <v/>
      </c>
      <c r="HM130" s="96" t="str">
        <f t="shared" si="83"/>
        <v/>
      </c>
      <c r="HN130" s="96" t="str">
        <f t="shared" si="84"/>
        <v/>
      </c>
      <c r="HO130" s="96" t="str">
        <f t="shared" si="85"/>
        <v/>
      </c>
      <c r="HP130" s="96" t="str">
        <f t="shared" si="86"/>
        <v/>
      </c>
      <c r="HQ130" s="145" t="str">
        <f t="shared" si="87"/>
        <v>OSTS</v>
      </c>
      <c r="HR130" s="175" t="str">
        <f t="shared" si="88"/>
        <v/>
      </c>
      <c r="HS130" s="173">
        <f t="shared" si="89"/>
        <v>0</v>
      </c>
      <c r="HT130" s="99">
        <f t="shared" si="90"/>
        <v>0</v>
      </c>
      <c r="HU130" s="99">
        <f t="shared" si="91"/>
        <v>0</v>
      </c>
      <c r="HV130" s="209" t="str">
        <f t="shared" si="92"/>
        <v>Zajíc</v>
      </c>
      <c r="HW130" s="47">
        <f t="shared" si="93"/>
        <v>0</v>
      </c>
      <c r="HX130" s="46">
        <f t="shared" si="94"/>
        <v>0</v>
      </c>
      <c r="HY130" s="149" t="str">
        <f t="shared" si="95"/>
        <v>S</v>
      </c>
      <c r="HZ130" s="263" t="str">
        <f t="shared" si="96"/>
        <v>N</v>
      </c>
      <c r="IA130" s="150">
        <f t="shared" si="97"/>
        <v>1</v>
      </c>
      <c r="IB130" s="319">
        <f t="shared" si="98"/>
        <v>10000</v>
      </c>
      <c r="IC130" s="220">
        <f t="shared" si="99"/>
        <v>1</v>
      </c>
      <c r="ID130" s="200" t="str">
        <f t="shared" ca="1" si="100"/>
        <v>OK</v>
      </c>
      <c r="IE130" s="201" t="str">
        <f t="shared" si="101"/>
        <v>ks</v>
      </c>
      <c r="IF130" s="145">
        <f t="shared" si="102"/>
        <v>1</v>
      </c>
      <c r="IG130" s="216">
        <f t="shared" si="103"/>
        <v>49.4</v>
      </c>
      <c r="IH130" s="217">
        <f t="shared" si="126"/>
        <v>1</v>
      </c>
      <c r="II130" s="224" t="str">
        <f ca="1">IF(RZ[[#This Row],[Rozhodný sloupec indikativní ceny]]=1,"kg",IF($IW130=$JL$15,IF(JX130=0,JO130,JX130),IF($IW130=$KE$15,IF(KQ130=0,KH130,KQ130),IF($IW130=$KX$15,IF(LJ130=0,LA130,LJ130),IF($IW130=$LQ$15,IF(MC130=0,LT130,MC130),IF($IW130=$MJ$15,IF(NQ130=0,NH130,NQ130),0))))))</f>
        <v>ks</v>
      </c>
      <c r="IJ130" s="224">
        <f ca="1">IF((BH130+OFFSET(BH130,1,1,1,1))=2,RZ[[#This Row],[Počet MJHR (P0)]],IF((BI130+OFFSET(BI130,1,1,1,1))=2,RZ[[#This Row],[Počet MJHR (P0)]],IF((BJ130+OFFSET(BJ130,1,1,1,1))=2,RZ[[#This Row],[Počet MJHR (P0)]],IF((BK130+OFFSET(BK130,1,1,1,1))=2,RZ[[#This Row],[Počet MJHR (P0)]],IF((BL130+OFFSET(BL130,1,1,1,1))=2,RZ[[#This Row],[Počet MJHR (P0)]],IF((BM130+OFFSET(BM130,1,1,1,1))=2,RZ[[#This Row],[Počet MJHR (P0)]],IF((BN130+OFFSET(BN130,1,1,1,1))=2,RZ[[#This Row],[Počet MJHR (P0)]],IF((BO130+OFFSET(BO130,1,1,1,1))=2,RZ[[#This Row],[Počet MJHR (P0)]],IF((BP130+OFFSET(BP130,1,1,1,1))=2,RZ[[#This Row],[Počet MJHR (P0)]],IF((BQ130+OFFSET(BQ130,1,1,1,1))=2,RZ[[#This Row],[Počet MJHR (P0)]],IF(RZ[[#This Row],[Měrná jednotka CR (MJCR) (P0)]]=RZ[[#This Row],[Měrná jednotka HR '[MJHR'] (P0)]],RZ[[#This Row],[Počet MJHR (P0)]],IF($IW130=$JL$15,JY130,IF($IW130=$KE$15,KR130,IF($IW130=$KX$15,LK130,IF($IW130=$LQ$15,MD130,IF($IW130=$MJ$15,NR130,0))))))))))))))))</f>
        <v>1</v>
      </c>
      <c r="IK1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0" s="330">
        <f ca="1">IF(AND(RZ[[#This Row],[Jednotková cena bez DPH '[cena/MJCR'] (P0)]]=0,RZ[[#This Row],[Indikativní jednotková cena '[CZK/kg'] (P1)]]&lt;&gt;0),1,0)</f>
        <v>0</v>
      </c>
      <c r="IM130" s="217">
        <f ca="1">VLOOKUP(RZ[[#This Row],[Kód položek]],INDIKAT_CENA,2,FALSE)</f>
        <v>0</v>
      </c>
      <c r="IN130" s="222">
        <f ca="1">IF(RZ[[#This Row],[Rozhodný sloupec indikativní ceny]]=1,RZ[[#This Row],[Indikativní jednotková cena '[CZK/kg'] (P1)]],RZ[[#This Row],[Jednotková cena bez DPH '[cena/MJCR'] (P0)]])</f>
        <v>10000</v>
      </c>
      <c r="IO130" s="222">
        <f t="shared" si="127"/>
        <v>1</v>
      </c>
      <c r="IP130" s="223">
        <f ca="1">IF(RZ[[#This Row],[Rozhodný sloupec indikativní ceny]]=1,1,IF($IW130=$JL$15,KA130,IF($IW130=$KE$15,KT130,IF($IW130=$KX$15,LM130,IF($IW130=$LQ$15,MF130,IF($IW130=$MJ$15,NT130,0))))))</f>
        <v>1</v>
      </c>
      <c r="IQ130" s="225">
        <f ca="1">IF(RZ[[#This Row],[Jednotková cena bez DPH '[cena/MJCR'] (P1)]]="",0,IF(IP130=0,0,(RZ[[#This Row],[Jednotková cena bez DPH '[cena/MJCR'] (P1)]]*VLOOKUP(IP130,$BR$7:$BT$10,3))))</f>
        <v>10000</v>
      </c>
      <c r="IR130" s="737"/>
      <c r="IS130" s="627">
        <f>IF(HY130=0,"",VLOOKUP(RZ[[#This Row],[Stav Projekce (P0)]],Vstupy!$E$11:'Vstupy'!$E$11:$H$17,4,FALSE))</f>
        <v>100</v>
      </c>
      <c r="IT130" s="628" t="str">
        <f>IF(RZ[[#This Row],[Stav Projekce (P0)]]=0,"",RZ[[#This Row],[Stav Projekce (P0)]])</f>
        <v>S</v>
      </c>
      <c r="IU130" s="628" t="str">
        <f>IF(RZ[[#This Row],[Stav Nákup (P0)]]=0,"",RZ[[#This Row],[Stav Nákup (P0)]])</f>
        <v>N</v>
      </c>
      <c r="IV130" s="636" t="str">
        <f t="shared" si="128"/>
        <v>Zajíc</v>
      </c>
      <c r="IW130" s="641">
        <v>1</v>
      </c>
      <c r="IX130" s="630"/>
      <c r="IY130" s="264"/>
      <c r="IZ130" s="648"/>
      <c r="JA130" s="100" t="s">
        <v>749</v>
      </c>
      <c r="JB130" s="100"/>
      <c r="JC130" s="100"/>
      <c r="JD130" s="100"/>
      <c r="JE130" s="100"/>
      <c r="JF130" s="100"/>
      <c r="JG130" s="100"/>
      <c r="JH130" s="100"/>
      <c r="JI130" s="100"/>
      <c r="JJ130" s="145" t="s">
        <v>844</v>
      </c>
      <c r="JK130" s="529"/>
      <c r="JL130" s="286"/>
      <c r="JM130" s="100"/>
      <c r="JN130" s="100"/>
      <c r="JO130" s="145" t="s">
        <v>35</v>
      </c>
      <c r="JP130" s="117">
        <v>1</v>
      </c>
      <c r="JQ130" s="117">
        <v>49.4</v>
      </c>
      <c r="JR130" s="148">
        <v>1</v>
      </c>
      <c r="JS130" s="145" t="s">
        <v>602</v>
      </c>
      <c r="JT130" s="631"/>
      <c r="JU130" s="148" t="s">
        <v>853</v>
      </c>
      <c r="JV130" s="154"/>
      <c r="JW130" s="145"/>
      <c r="JX130" s="210" t="s">
        <v>35</v>
      </c>
      <c r="JY130" s="117"/>
      <c r="JZ130" s="662">
        <v>10000</v>
      </c>
      <c r="KA130" s="145">
        <v>1</v>
      </c>
      <c r="KB130" s="148">
        <v>1</v>
      </c>
      <c r="KC130" s="148" t="s">
        <v>611</v>
      </c>
      <c r="KD130" s="644"/>
      <c r="KE130" s="286"/>
      <c r="KF130" s="100"/>
      <c r="KG130" s="100"/>
      <c r="KH130" s="210"/>
      <c r="KI130" s="117"/>
      <c r="KJ130" s="117"/>
      <c r="KK130" s="148"/>
      <c r="KL130" s="145"/>
      <c r="KM130" s="632"/>
      <c r="KN130" s="148"/>
      <c r="KO130" s="154"/>
      <c r="KP130" s="154"/>
      <c r="KQ130" s="210"/>
      <c r="KR130" s="117"/>
      <c r="KS130" s="211"/>
      <c r="KT130" s="145"/>
      <c r="KU130" s="148"/>
      <c r="KV130" s="148"/>
      <c r="KW130" s="265"/>
      <c r="KX130" s="286"/>
      <c r="KY130" s="100"/>
      <c r="KZ130" s="100"/>
      <c r="LA130" s="210"/>
      <c r="LB130" s="117"/>
      <c r="LC130" s="117"/>
      <c r="LD130" s="148"/>
      <c r="LE130" s="145"/>
      <c r="LF130" s="632"/>
      <c r="LG130" s="148"/>
      <c r="LH130" s="154"/>
      <c r="LI130" s="154"/>
      <c r="LJ130" s="154"/>
      <c r="LK130" s="117"/>
      <c r="LL130" s="211"/>
      <c r="LM130" s="210"/>
      <c r="LN130" s="148"/>
      <c r="LO130" s="148"/>
      <c r="LP130" s="265"/>
      <c r="LQ130" s="286"/>
      <c r="LR130" s="100"/>
      <c r="LS130" s="100"/>
      <c r="LT130" s="210"/>
      <c r="LU130" s="117"/>
      <c r="LV130" s="117"/>
      <c r="LW130" s="148"/>
      <c r="LX130" s="145"/>
      <c r="LY130" s="632"/>
      <c r="LZ130" s="148"/>
      <c r="MA130" s="154"/>
      <c r="MB130" s="154"/>
      <c r="MC130" s="145"/>
      <c r="MD130" s="117"/>
      <c r="ME130" s="211"/>
      <c r="MF130" s="210"/>
      <c r="MG130" s="148"/>
      <c r="MH130" s="148"/>
      <c r="MI130" s="265"/>
      <c r="MJ130" s="647"/>
      <c r="MK130" s="264"/>
      <c r="ML130" s="153"/>
      <c r="MM130" s="153"/>
      <c r="MN130" s="153"/>
      <c r="MO130" s="153"/>
      <c r="MP130" s="153"/>
      <c r="MQ130" s="153"/>
      <c r="MR130" s="153"/>
      <c r="MS130" s="99"/>
      <c r="MT130" s="99"/>
      <c r="MU130" s="99"/>
      <c r="MV130" s="99"/>
      <c r="MW130" s="99"/>
      <c r="MX130" s="99"/>
      <c r="MY130" s="153"/>
      <c r="MZ130" s="153"/>
      <c r="NA130" s="153"/>
      <c r="NB130" s="153"/>
      <c r="NC130" s="153"/>
      <c r="ND130" s="153"/>
      <c r="NE130" s="153"/>
      <c r="NF130" s="153"/>
      <c r="NG130" s="153"/>
      <c r="NH130" s="145" t="str">
        <f>"ks"</f>
        <v>ks</v>
      </c>
      <c r="NI130" s="779">
        <f>RZ[[#This Row],[Počet ks (K)]]</f>
        <v>0</v>
      </c>
      <c r="NJ130" s="210">
        <f>RZ[[#This Row],[Hmotnost '[kg/ks'] (K)]]</f>
        <v>0</v>
      </c>
      <c r="NK130" s="153"/>
      <c r="NL130" s="153"/>
      <c r="NM130" s="632"/>
      <c r="NN130" s="153"/>
      <c r="NO130" s="153"/>
      <c r="NP130" s="153"/>
      <c r="NQ130" s="153"/>
      <c r="NR130" s="153"/>
      <c r="NS130" s="153"/>
      <c r="NT130" s="153"/>
      <c r="NU130" s="153"/>
      <c r="NV130" s="148"/>
      <c r="NW130" s="633"/>
    </row>
    <row r="131" spans="2:387" ht="15.95" customHeight="1" x14ac:dyDescent="0.35">
      <c r="B131" s="118" t="str">
        <f t="shared" si="1"/>
        <v/>
      </c>
      <c r="C1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1" s="262" t="str">
        <f t="shared" si="2"/>
        <v xml:space="preserve">  Bezpečnostní tabulky</v>
      </c>
      <c r="E131" s="120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Row],[Kód položek (P2)]]))))))))))</f>
        <v>OSTS</v>
      </c>
      <c r="F131" s="122" t="str">
        <f t="shared" si="3"/>
        <v>N/A</v>
      </c>
      <c r="G131" s="121" t="str">
        <f t="shared" si="4"/>
        <v/>
      </c>
      <c r="H131" s="122" t="str">
        <f t="shared" si="5"/>
        <v/>
      </c>
      <c r="I131" s="123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HR '[MJHR'] (P0)]]))))))))))</f>
        <v>ks</v>
      </c>
      <c r="J131" s="123">
        <f t="shared" si="6"/>
        <v>1</v>
      </c>
      <c r="K131" s="151">
        <f>RZ[[#This Row],[Koeficient odhadu HR '[-'] (P1)]]</f>
        <v>1</v>
      </c>
      <c r="L131" s="124">
        <f ca="1">RZ[[#This Row],[Jednotková hmotnost s koef. '[kg/MJHR'] (P0)]]</f>
        <v>77</v>
      </c>
      <c r="M131" s="124">
        <f t="shared" ca="1" si="7"/>
        <v>0</v>
      </c>
      <c r="N131" s="125">
        <f t="shared" ca="1" si="8"/>
        <v>77</v>
      </c>
      <c r="O131" s="125">
        <f t="shared" ca="1" si="9"/>
        <v>0</v>
      </c>
      <c r="P131" s="328" t="str">
        <f t="shared" si="10"/>
        <v/>
      </c>
      <c r="Q131" s="743">
        <f ca="1">RZ[[#This Row],[Počet MJHR v rozpadu (P0)]]</f>
        <v>1</v>
      </c>
      <c r="R131" s="439" t="str">
        <f t="shared" si="11"/>
        <v>Zajíc</v>
      </c>
      <c r="S131" s="129" t="str">
        <f t="shared" si="12"/>
        <v/>
      </c>
      <c r="T131" s="130" t="str">
        <f t="shared" si="13"/>
        <v/>
      </c>
      <c r="U131" s="126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CR (MJCR) (P0)]]))))))))))</f>
        <v>ks</v>
      </c>
      <c r="V131" s="575">
        <f t="shared" ca="1" si="14"/>
        <v>1</v>
      </c>
      <c r="W131" s="322">
        <f>RZ[[#This Row],[Koeficient odhadu CR '[-'] (P1)]]</f>
        <v>1</v>
      </c>
      <c r="X131" s="440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Row],[Jednotková cena bez DPH '[cena/MJCR'] (P1)]]*RZ[[#This Row],[Koeficient odhadu CR '[-']]]))))))))))</f>
        <v>10000</v>
      </c>
      <c r="Y131" s="440">
        <f t="shared" ca="1" si="108"/>
        <v>0</v>
      </c>
      <c r="Z131" s="142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VLOOKUP(IP131,$BR$7:$BS$11,2,FALSE)))))))))))</f>
        <v>CZK</v>
      </c>
      <c r="AA131" s="811">
        <f t="shared" ca="1" si="16"/>
        <v>1</v>
      </c>
      <c r="AB131" s="814">
        <f ca="1">RZ[[#This Row],[Kumulovaný koeficient v rozpadu (P0)]]</f>
        <v>1</v>
      </c>
      <c r="AC131" s="260"/>
      <c r="AD131" s="510">
        <f ca="1">RZ[[#This Row],[Jednotková cena bez DPH '[cena/MJCR'] s koef. (P0)]]/RZ[[#This Row],[Koeficient odhadu CR '[-']]]*RZ[[#This Row],[Kumulovaný koeficient odhadu CR  '[-']]]</f>
        <v>10000</v>
      </c>
      <c r="AE131" s="511">
        <f t="shared" ca="1" si="17"/>
        <v>10000</v>
      </c>
      <c r="AF131" s="512">
        <f ca="1">-IF(ISNUMBER(AA131),RZ[[#This Row],[Celková cena bez DPH (1)]]-RZ[[#This Row],[Jednotková cena bez DPH '[cena/MJCR'] bez koef. (P0)]]*AA131,0)</f>
        <v>0</v>
      </c>
      <c r="AG1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129.87012987012986</v>
      </c>
      <c r="AH131" s="261"/>
      <c r="AI131" s="510">
        <f t="shared" ca="1" si="18"/>
        <v>370.37037037037038</v>
      </c>
      <c r="AJ131" s="511">
        <f t="shared" ca="1" si="19"/>
        <v>370.37037037037038</v>
      </c>
      <c r="AK131" s="512">
        <f t="shared" ca="1" si="20"/>
        <v>0</v>
      </c>
      <c r="AL131" s="753">
        <f ca="1">RZ[[#This Row],[Kilogramová cena bez DPH '[cena/kg'] (1)]]/$AK$13</f>
        <v>4.8100048100048092</v>
      </c>
      <c r="AM131" s="261"/>
      <c r="AN131" s="510">
        <f t="shared" ca="1" si="21"/>
        <v>483.09178743961354</v>
      </c>
      <c r="AO131" s="511">
        <f t="shared" ca="1" si="22"/>
        <v>483.09178743961354</v>
      </c>
      <c r="AP131" s="512">
        <f t="shared" ca="1" si="23"/>
        <v>0</v>
      </c>
      <c r="AQ131" s="753">
        <f ca="1">RZ[[#This Row],[Kilogramová cena bez DPH '[cena/kg'] (1)]]/$AP$13</f>
        <v>6.2739193173975778</v>
      </c>
      <c r="AR131" s="261"/>
      <c r="AS131" s="510">
        <f t="shared" ca="1" si="24"/>
        <v>273.52297592997809</v>
      </c>
      <c r="AT131" s="511">
        <f t="shared" ca="1" si="25"/>
        <v>273.52297592997809</v>
      </c>
      <c r="AU131" s="511">
        <f t="shared" ca="1" si="26"/>
        <v>0</v>
      </c>
      <c r="AV131" s="767">
        <f ca="1">RZ[[#This Row],[Kilogramová cena bez DPH '[cena/kg'] (1)]]/$AU$13</f>
        <v>3.5522464406490659</v>
      </c>
      <c r="AW131" s="165"/>
      <c r="AX131" s="110">
        <f t="shared" ca="1" si="27"/>
        <v>2</v>
      </c>
      <c r="AY131" s="55">
        <f t="shared" ca="1" si="28"/>
        <v>14</v>
      </c>
      <c r="AZ131" s="111">
        <f t="shared" ca="1" si="29"/>
        <v>0</v>
      </c>
      <c r="BA131" s="111">
        <f t="shared" ca="1" si="30"/>
        <v>0</v>
      </c>
      <c r="BB131" s="111">
        <f t="shared" ca="1" si="31"/>
        <v>0</v>
      </c>
      <c r="BC131" s="111">
        <f t="shared" ca="1" si="32"/>
        <v>0</v>
      </c>
      <c r="BD131" s="111">
        <f t="shared" ca="1" si="33"/>
        <v>0</v>
      </c>
      <c r="BE131" s="111">
        <f t="shared" ca="1" si="109"/>
        <v>0</v>
      </c>
      <c r="BF131" s="111">
        <f t="shared" ca="1" si="34"/>
        <v>0</v>
      </c>
      <c r="BG131" s="112">
        <f t="shared" ca="1" si="35"/>
        <v>0</v>
      </c>
      <c r="BH131" s="110">
        <f t="shared" si="110"/>
        <v>0</v>
      </c>
      <c r="BI131" s="55">
        <f t="shared" si="111"/>
        <v>1</v>
      </c>
      <c r="BJ131" s="55">
        <f t="shared" si="112"/>
        <v>0</v>
      </c>
      <c r="BK131" s="111">
        <f t="shared" si="113"/>
        <v>0</v>
      </c>
      <c r="BL131" s="111">
        <f t="shared" si="114"/>
        <v>0</v>
      </c>
      <c r="BM131" s="111">
        <f t="shared" si="115"/>
        <v>0</v>
      </c>
      <c r="BN131" s="111">
        <f t="shared" si="116"/>
        <v>0</v>
      </c>
      <c r="BO131" s="111">
        <f t="shared" si="117"/>
        <v>0</v>
      </c>
      <c r="BP131" s="111">
        <f t="shared" si="118"/>
        <v>0</v>
      </c>
      <c r="BQ131" s="112">
        <f t="shared" si="119"/>
        <v>0</v>
      </c>
      <c r="BR131" s="186">
        <f ca="1">IF(OFFSET(AY131,1,0,1,1)&lt;&gt;0,RZ[[#This Row],[Koeficient odhadu HR '[-'] (P1)]]*$BH131*SUMIFS(RZ[Úroveň 2 s koef. (P2)],RZ[0],AX131),RZ[[#This Row],[Koeficient odhadu HR '[-'] (P1)]]*$BH131*$IG131)</f>
        <v>0</v>
      </c>
      <c r="BS131" s="186">
        <f ca="1">IF(OFFSET(AY131,1,0,1,1)&lt;&gt;0,$BH131*SUMIFS(RZ[Úroveň 2 bez koef. (P2)],RZ[0],AX131),$BH131*$IG131)</f>
        <v>0</v>
      </c>
      <c r="BT131" s="138">
        <f ca="1">RZ[[#This Row],[Úroveň 2 s koef. (P2a)]]*RZ[[#This Row],[Počet MJHR (P0)]]</f>
        <v>77</v>
      </c>
      <c r="BU131" s="138">
        <f ca="1">RZ[[#This Row],[Úroveň 2 bez koef. (P2a)]]*RZ[[#This Row],[Počet MJHR (P0)]]</f>
        <v>77</v>
      </c>
      <c r="BV131" s="138">
        <f ca="1">IF(OFFSET(AZ131,1,0,1,1)&lt;&gt;0,RZ[[#This Row],[Koeficient odhadu HR '[-'] (P1)]]*$BI131*SUMIFS(RZ[Úroveň 3 s koef. (P2)],RZ[0],AX131,RZ[Úroveň 2 (P0)],AY131),RZ[[#This Row],[Koeficient odhadu HR '[-'] (P1)]]*$BI131*$IG131)</f>
        <v>77</v>
      </c>
      <c r="BW131" s="138">
        <f ca="1">IF(OFFSET(AZ131,1,0,1,1)&lt;&gt;0,$BI131*SUMIFS(RZ[Úroveň 3 bez koef. (P2)],RZ[0],AX131,RZ[Úroveň 2 (P0)],AY131),$BI131*$IG131)</f>
        <v>77</v>
      </c>
      <c r="BX131" s="132">
        <f ca="1">RZ[[#This Row],[Úroveň 3 s koef. (P2a)]]*RZ[[#This Row],[Počet MJHR (P0)]]</f>
        <v>0</v>
      </c>
      <c r="BY131" s="132">
        <f ca="1">RZ[Úroveň 3 bez koef. (P2a)]*RZ[[#This Row],[Počet MJHR (P0)]]</f>
        <v>0</v>
      </c>
      <c r="BZ131" s="132">
        <f ca="1">IF(OFFSET(BA131,1,0,1,1)&lt;&gt;0,RZ[[#This Row],[Koeficient odhadu HR '[-'] (P1)]]*$BJ131*SUMIFS(RZ[Úroveň 4 s koef. (P2)],RZ[0],AX131,RZ[Úroveň 2 (P0)],AY131,RZ[Úroveň 3 (P0)],AZ131),RZ[[#This Row],[Koeficient odhadu HR '[-'] (P1)]]*$BJ131*$IG131)</f>
        <v>0</v>
      </c>
      <c r="CA131" s="132">
        <f ca="1">IF(OFFSET(BA131,1,0,1,1)&lt;&gt;0,$BJ131*SUMIFS(RZ[Úroveň 4 bez koef. (P2)],RZ[0],AX131,RZ[Úroveň 2 (P0)],AY131,RZ[Úroveň 3 (P0)],AZ131),$BJ131*$IG131)</f>
        <v>0</v>
      </c>
      <c r="CB131" s="138">
        <f ca="1">RZ[[#This Row],[Úroveň 4 s koef. (P2a)]]*RZ[[#This Row],[Počet MJHR (P0)]]</f>
        <v>0</v>
      </c>
      <c r="CC131" s="138">
        <f ca="1">RZ[Úroveň 4 bez koef. (P2a)]*RZ[[#This Row],[Počet MJHR (P0)]]</f>
        <v>0</v>
      </c>
      <c r="CD131" s="138">
        <f ca="1">IF(OFFSET(BB131,1,0,1,1)&lt;&gt;0,RZ[[#This Row],[Koeficient odhadu HR '[-'] (P1)]]*$BK131*SUMIFS(RZ[Úroveň 5 s koef. (P2)],RZ[0],AX131,RZ[Úroveň 2 (P0)],AY131,RZ[Úroveň 3 (P0)],AZ131,RZ[Úroveň 4 (P0)],BA131),RZ[[#This Row],[Koeficient odhadu HR '[-'] (P1)]]*$BK131*$IG131)</f>
        <v>0</v>
      </c>
      <c r="CE131" s="138">
        <f ca="1">IF(OFFSET(BB131,1,0,1,1)&lt;&gt;0,$BK131*SUMIFS(RZ[Úroveň 5 bez koef. (P2)],RZ[0],AX131,RZ[Úroveň 2 (P0)],AY131,RZ[Úroveň 3 (P0)],AZ131,RZ[Úroveň 4 (P0)],BA131),$BK131*$IG131)</f>
        <v>0</v>
      </c>
      <c r="CF131" s="132">
        <f ca="1">RZ[[#This Row],[Úroveň 5 s koef. (P2a)]]*RZ[[#This Row],[Počet MJHR (P0)]]</f>
        <v>0</v>
      </c>
      <c r="CG131" s="132">
        <f ca="1">RZ[Úroveň 5 bez koef. (P2a)]*RZ[[#This Row],[Počet MJHR (P0)]]</f>
        <v>0</v>
      </c>
      <c r="CH131" s="132">
        <f ca="1">IF(OFFSET(BC131,1,0,1,1)&lt;&gt;0,RZ[[#This Row],[Koeficient odhadu HR '[-'] (P1)]]*$BL131*SUMIFS(RZ[Úroveň 6 s koef. (P2)],RZ[0],AX131,RZ[Úroveň 2 (P0)],AY131,RZ[Úroveň 3 (P0)],AZ131,RZ[Úroveň 4 (P0)],BA131,RZ[Úroveň 5 (P0)],BB131),RZ[[#This Row],[Koeficient odhadu HR '[-'] (P1)]]*$BL131*$IG131)</f>
        <v>0</v>
      </c>
      <c r="CI131" s="132">
        <f ca="1">IF(OFFSET(BC131,1,0,1,1)&lt;&gt;0,$BL131*SUMIFS(RZ[Úroveň 6 bez koef. (P2)],RZ[0],AX131,RZ[Úroveň 2 (P0)],AY131,RZ[Úroveň 3 (P0)],AZ131,RZ[Úroveň 4 (P0)],BA131,RZ[Úroveň 5 (P0)],BB131),$BL131*$IG131)</f>
        <v>0</v>
      </c>
      <c r="CJ131" s="138">
        <f ca="1">RZ[[#This Row],[Úroveň 6 s koef. (P2a)]]*RZ[[#This Row],[Počet MJHR (P0)]]</f>
        <v>0</v>
      </c>
      <c r="CK131" s="138">
        <f ca="1">RZ[Úroveň 6 bez koef. (P2a)]*RZ[[#This Row],[Počet MJHR (P0)]]</f>
        <v>0</v>
      </c>
      <c r="CL131" s="138">
        <f ca="1">IF(OFFSET(BD131,1,0,1,1)&lt;&gt;0,RZ[[#This Row],[Koeficient odhadu HR '[-'] (P1)]]*$BM131*SUMIFS(RZ[Úroveň 7 s koef. (P2)],RZ[0],AX131,RZ[Úroveň 2 (P0)],AY131,RZ[Úroveň 3 (P0)],AZ131,RZ[Úroveň 4 (P0)],BA131,RZ[Úroveň 5 (P0)],BB131,RZ[Úroveň 6 (P0)],BC131),RZ[[#This Row],[Koeficient odhadu HR '[-'] (P1)]]*$BM131*$IG131)</f>
        <v>0</v>
      </c>
      <c r="CM131" s="138">
        <f ca="1">IF(OFFSET(BD131,1,0,1,1)&lt;&gt;0,$BM131*SUMIFS(RZ[Úroveň 7 bez koef. (P2)],RZ[0],AX131,RZ[Úroveň 2 (P0)],AY131,RZ[Úroveň 3 (P0)],AZ131,RZ[Úroveň 4 (P0)],BA131,RZ[Úroveň 5 (P0)],BB131,RZ[Úroveň 6 (P0)],BC131),$BM131*$IG131)</f>
        <v>0</v>
      </c>
      <c r="CN131" s="132">
        <f ca="1">RZ[[#This Row],[Úroveň 7 s koef. (P2a)]]*RZ[[#This Row],[Počet MJHR (P0)]]</f>
        <v>0</v>
      </c>
      <c r="CO131" s="132">
        <f ca="1">RZ[Úroveň 7 bez koef. (P2a)]*RZ[[#This Row],[Počet MJHR (P0)]]</f>
        <v>0</v>
      </c>
      <c r="CP131" s="132">
        <f ca="1">IF(OFFSET(BE131,1,0,1,1)&lt;&gt;0,RZ[[#This Row],[Koeficient odhadu HR '[-'] (P1)]]*$BN131*SUMIFS(RZ[Úroveň 8 s koef. (P2)],RZ[0],AX131,RZ[Úroveň 2 (P0)],AY131,RZ[Úroveň 3 (P0)],AZ131,RZ[Úroveň 4 (P0)],BA131,RZ[Úroveň 5 (P0)],BB131,RZ[Úroveň 6 (P0)],BC131,RZ[Úroveň 7 (P0)],BD131),RZ[[#This Row],[Koeficient odhadu HR '[-'] (P1)]]*$BN131*$IG131)</f>
        <v>0</v>
      </c>
      <c r="CQ131" s="132">
        <f ca="1">IF(OFFSET(BE131,1,0,1,1)&lt;&gt;0,$BN131*SUMIFS(RZ[Úroveň 8 bez koef. (P2)],RZ[0],AX131,RZ[Úroveň 2 (P0)],AY131,RZ[Úroveň 3 (P0)],AZ131,RZ[Úroveň 4 (P0)],BA131,RZ[Úroveň 5 (P0)],BB131,RZ[Úroveň 6 (P0)],BC131,RZ[Úroveň 7 (P0)],BD131),$BN131*$IG131)</f>
        <v>0</v>
      </c>
      <c r="CR131" s="138">
        <f ca="1">RZ[[#This Row],[Úroveň 8 s koef. (P2a)]]*RZ[[#This Row],[Počet MJHR (P0)]]</f>
        <v>0</v>
      </c>
      <c r="CS131" s="138">
        <f ca="1">RZ[Úroveň 8 bez koef. (P2a)]*RZ[[#This Row],[Počet MJHR (P0)]]</f>
        <v>0</v>
      </c>
      <c r="CT131" s="138">
        <f ca="1">IF(OFFSET(BF131,1,0,1,1)&lt;&gt;0,RZ[[#This Row],[Koeficient odhadu HR '[-'] (P1)]]*$BO131*SUMIFS(RZ[Úroveň 9 s koef. (P2)],RZ[0],AX131,RZ[Úroveň 2 (P0)],AY131,RZ[Úroveň 3 (P0)],AZ131,RZ[Úroveň 4 (P0)],BA131,RZ[Úroveň 5 (P0)],BB131,RZ[Úroveň 6 (P0)],BC131,RZ[Úroveň 7 (P0)],BD131,RZ[Úroveň 8 (P0)],BE131),RZ[[#This Row],[Koeficient odhadu HR '[-'] (P1)]]*$BO131*$IG131)</f>
        <v>0</v>
      </c>
      <c r="CU131" s="138">
        <f ca="1">IF(OFFSET(BF131,1,0,1,1)&lt;&gt;0,$BO131*SUMIFS(RZ[Úroveň 9 bez koef. (P2)],RZ[0],AX131,RZ[Úroveň 2 (P0)],AY131,RZ[Úroveň 3 (P0)],AZ131,RZ[Úroveň 4 (P0)],BA131,RZ[Úroveň 5 (P0)],BB131,RZ[Úroveň 6 (P0)],BC131,RZ[Úroveň 7 (P0)],BD131,RZ[Úroveň 8 (P0)],BE131),$BO131*$IG131)</f>
        <v>0</v>
      </c>
      <c r="CV131" s="132">
        <f ca="1">RZ[[#This Row],[Úroveň 9 s koef. (P2a)]]*RZ[[#This Row],[Počet MJHR (P0)]]</f>
        <v>0</v>
      </c>
      <c r="CW131" s="132">
        <f ca="1">RZ[Úroveň 9 bez koef. (P2a)]*RZ[[#This Row],[Počet MJHR (P0)]]</f>
        <v>0</v>
      </c>
      <c r="CX131" s="132">
        <f ca="1">IF(OFFSET(BG131,1,0,1,1)&lt;&gt;0,RZ[[#This Row],[Koeficient odhadu HR '[-'] (P1)]]*$BP131*SUMIFS(RZ[Úroveň 10 s koef. (P2)],RZ[0],AX131,RZ[Úroveň 2 (P0)],AY131,RZ[Úroveň 3 (P0)],AZ131,RZ[Úroveň 4 (P0)],BA131,RZ[Úroveň 5 (P0)],BB131,RZ[Úroveň 6 (P0)],BC131,RZ[Úroveň 7 (P0)],BD131,RZ[Úroveň 8 (P0)],BE131,RZ[Úroveň 9 (P0)],BF131),RZ[[#This Row],[Koeficient odhadu HR '[-'] (P1)]]*$BP131*$IG131)</f>
        <v>0</v>
      </c>
      <c r="CY131" s="132">
        <f ca="1">IF(OFFSET(BG131,1,0,1,1)&lt;&gt;0,$BP131*SUMIFS(RZ[Úroveň 10 bez koef. (P2)],RZ[0],AX131,RZ[Úroveň 2 (P0)],AY131,RZ[Úroveň 3 (P0)],AZ131,RZ[Úroveň 4 (P0)],BA131,RZ[Úroveň 5 (P0)],BB131,RZ[Úroveň 6 (P0)],BC131,RZ[Úroveň 7 (P0)],BD131,RZ[Úroveň 8 (P0)],BE131,RZ[Úroveň 9 (P0)],BF131),$BP131*$IG131)</f>
        <v>0</v>
      </c>
      <c r="CZ131" s="138">
        <f>RZ[[#This Row],[Úroveň 10 s koef. (P2a)]]*RZ[[#This Row],[Počet MJHR (P0)]]</f>
        <v>0</v>
      </c>
      <c r="DA131" s="138">
        <f>RZ[Úroveň 10 bez koef. (P2a)]*RZ[[#This Row],[Počet MJHR (P0)]]</f>
        <v>0</v>
      </c>
      <c r="DB131" s="138">
        <f>RZ[[#This Row],[Koeficient odhadu HR '[-'] (P1)]]*$BQ131*IG131</f>
        <v>0</v>
      </c>
      <c r="DC131" s="231">
        <f t="shared" si="37"/>
        <v>0</v>
      </c>
      <c r="DD131" s="241">
        <f t="shared" ca="1" si="120"/>
        <v>77</v>
      </c>
      <c r="DE131" s="229">
        <f t="shared" ca="1" si="121"/>
        <v>77</v>
      </c>
      <c r="DF131" s="521">
        <f t="shared" si="40"/>
        <v>0</v>
      </c>
      <c r="DG131" s="522">
        <f t="shared" si="41"/>
        <v>1</v>
      </c>
      <c r="DH131" s="522">
        <f t="shared" si="42"/>
        <v>0</v>
      </c>
      <c r="DI131" s="523">
        <f t="shared" si="43"/>
        <v>0</v>
      </c>
      <c r="DJ131" s="524">
        <f t="shared" si="44"/>
        <v>0</v>
      </c>
      <c r="DK131" s="524">
        <f t="shared" si="45"/>
        <v>0</v>
      </c>
      <c r="DL131" s="524">
        <f t="shared" si="46"/>
        <v>0</v>
      </c>
      <c r="DM131" s="524">
        <f t="shared" si="47"/>
        <v>0</v>
      </c>
      <c r="DN131" s="524">
        <f t="shared" si="48"/>
        <v>0</v>
      </c>
      <c r="DO131" s="523">
        <f t="shared" si="49"/>
        <v>0</v>
      </c>
      <c r="DP131" s="525">
        <f ca="1">SUMIFS(RZ[Úroveň 1 (P4)],RZ[0],AX131)</f>
        <v>1</v>
      </c>
      <c r="DQ131" s="525">
        <f ca="1">SUMIFS(RZ[Úroveň 2 (P4)],RZ[0],AX131,RZ[Úroveň 2 (P0)],AY131)</f>
        <v>1</v>
      </c>
      <c r="DR131" s="525">
        <f ca="1">SUMIFS(RZ[Úroveň 3 (P4)],RZ[0],AX131,RZ[Úroveň 2 (P0)],AY131,RZ[Úroveň 3 (P0)],AZ131)</f>
        <v>0</v>
      </c>
      <c r="DS131" s="525">
        <f ca="1">SUMIFS(RZ[Úroveň 4 (P4)],RZ[0],AX131,RZ[Úroveň 2 (P0)],AY131,RZ[Úroveň 3 (P0)],AZ131,RZ[Úroveň 4 (P0)],BA131)</f>
        <v>0</v>
      </c>
      <c r="DT131" s="526">
        <f ca="1">SUMIFS(RZ[Úroveň 5 (P4)],RZ[0],AX131,RZ[Úroveň 2 (P0)],AY131,RZ[Úroveň 3 (P0)],AZ131,RZ[Úroveň 4 (P0)],BA131,RZ[Úroveň 5 (P0)],BB131)</f>
        <v>0</v>
      </c>
      <c r="DU131" s="526">
        <f ca="1">SUMIFS(RZ[Úroveň 6 (P4)],RZ[0],AX131,RZ[Úroveň 2 (P0)],AY131,RZ[Úroveň 3 (P0)],AZ131,RZ[Úroveň 4 (P0)],BA131,RZ[Úroveň 5 (P0)],BB131,RZ[Úroveň 6 (P0)],BC131)</f>
        <v>0</v>
      </c>
      <c r="DV131" s="526">
        <f ca="1">SUMIFS(RZ[Úroveň 7 (P4)],RZ[0],AX131,RZ[Úroveň 2 (P0)],AY131,RZ[Úroveň 3 (P0)],AZ131,RZ[Úroveň 4 (P0)],BA131,RZ[Úroveň 5 (P0)],BB131,RZ[Úroveň 6 (P0)],BC131,RZ[Úroveň 7 (P0)],BD131)</f>
        <v>0</v>
      </c>
      <c r="DW131" s="526">
        <f ca="1">SUMIFS(RZ[Úroveň 8 (P4)],RZ[0],AX131,RZ[Úroveň 2 (P0)],AY131,RZ[Úroveň 3 (P0)],AZ131,RZ[Úroveň 4 (P0)],BA131,RZ[Úroveň 5 (P0)],BB131,RZ[Úroveň 6 (P0)],BC131,RZ[Úroveň 7 (P0)],BD131,RZ[Úroveň 8 (P0)],BE131)</f>
        <v>0</v>
      </c>
      <c r="DX131" s="526">
        <f ca="1">SUMIFS(RZ[Úroveň 9 (P4)],RZ[0],AX131,RZ[Úroveň 2 (P0)],AY131,RZ[Úroveň 3 (P0)],AZ131,RZ[Úroveň 4 (P0)],BA131,RZ[Úroveň 5 (P0)],BB131,RZ[Úroveň 6 (P0)],BC131,RZ[Úroveň 7 (P0)],BD131,RZ[Úroveň 8 (P0)],BE131,RZ[Úroveň 9 (P0)],BF131)</f>
        <v>0</v>
      </c>
      <c r="DY131" s="526">
        <f ca="1">SUMIFS(RZ[Úroveň 10 (P4)],RZ[0],AX131,RZ[Úroveň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DZ131" s="527">
        <f t="shared" ca="1" si="122"/>
        <v>1</v>
      </c>
      <c r="EA131" s="528">
        <f ca="1">RZ[[#This Row],[Jednotková hmotnost bez koef. '[kg/MJHR'] (P0)]]*RZ[[#This Row],[Počet MJHR v rozpadu (P0)]]</f>
        <v>77</v>
      </c>
      <c r="EB131" s="191">
        <f ca="1">IF(OFFSET(AY131,1,0,1,1)&lt;&gt;0,RZ[[#This Row],[Koeficient odhadu CR '[-'] (P1)]]*$BH131*SUMIFS(RZ[Úroveň 2 s koef. (P3)],RZ[0],AX131),RZ[[#This Row],[Koeficient odhadu CR '[-'] (P1)]]*$BH131*$IQ131)</f>
        <v>0</v>
      </c>
      <c r="EC131" s="191">
        <f ca="1">IF(OFFSET(AY131,1,0,1,1)&lt;&gt;0,$BH131*SUMIFS(RZ[Úroveň 2 bez koef. (P3)],RZ[0],AX131),$BH131*$IQ131)</f>
        <v>0</v>
      </c>
      <c r="ED131" s="140">
        <f ca="1">RZ[[#This Row],[Úroveň 2 s koef. (P3a)]]*RZ[[#This Row],[Počet MJCR (P0) pro "kg"]]</f>
        <v>10000</v>
      </c>
      <c r="EE131" s="140">
        <f ca="1">RZ[Úroveň 2 bez koef. (P3a)]*RZ[[#This Row],[Počet MJCR (P0) pro "kg"]]</f>
        <v>10000</v>
      </c>
      <c r="EF131" s="140">
        <f ca="1">IF(OFFSET(AZ131,1,0,1,1)&lt;&gt;0,RZ[[#This Row],[Koeficient odhadu CR '[-'] (P1)]]*$BI131*SUMIFS(RZ[Úroveň 3 s koef. (P3)],RZ[0],AX131,RZ[Úroveň 2 (P0)],AY131),RZ[[#This Row],[Koeficient odhadu CR '[-'] (P1)]]*$BI131*$IQ131)</f>
        <v>10000</v>
      </c>
      <c r="EG131" s="140">
        <f ca="1">IF(OFFSET(AZ131,1,0,1,1)&lt;&gt;0,$BI131*SUMIFS(RZ[Úroveň 3 bez koef. (P3)],RZ[0],AX131,RZ[Úroveň 2 (P0)],AY131),$BI131*$IQ131)</f>
        <v>10000</v>
      </c>
      <c r="EH131" s="135">
        <f ca="1">RZ[[#This Row],[Úroveň 3 s koef. (P3a)]]*RZ[[#This Row],[Počet MJCR (P0) pro "kg"]]</f>
        <v>0</v>
      </c>
      <c r="EI131" s="135">
        <f ca="1">RZ[Úroveň 3 bez koef. (P3a)]*RZ[[#This Row],[Počet MJCR (P0) pro "kg"]]</f>
        <v>0</v>
      </c>
      <c r="EJ131" s="135">
        <f ca="1">IF(OFFSET(BA131,1,0,1,1)&lt;&gt;0,RZ[[#This Row],[Koeficient odhadu CR '[-'] (P1)]]*$BJ131*SUMIFS(RZ[Úroveň 4 s koef. (P3)],RZ[0],AX131,RZ[Úroveň 2 (P0)],AY131,RZ[Úroveň 3 (P0)],AZ131),RZ[[#This Row],[Koeficient odhadu CR '[-'] (P1)]]*$BJ131*$IQ131)</f>
        <v>0</v>
      </c>
      <c r="EK131" s="135">
        <f ca="1">IF(OFFSET(BA131,1,0,1,1)&lt;&gt;0,$BJ131*SUMIFS(RZ[Úroveň 4 bez koef. (P3)],RZ[0],AX131,RZ[Úroveň 2 (P0)],AY131,RZ[Úroveň 3 (P0)],AZ131),$BJ131*$IQ131)</f>
        <v>0</v>
      </c>
      <c r="EL131" s="140">
        <f ca="1">RZ[[#This Row],[Úroveň 4 s koef. (P3a)]]*RZ[[#This Row],[Počet MJCR (P0) pro "kg"]]</f>
        <v>0</v>
      </c>
      <c r="EM131" s="140">
        <f ca="1">RZ[Úroveň 4 bez koef. (P3a)]*RZ[[#This Row],[Počet MJCR (P0) pro "kg"]]</f>
        <v>0</v>
      </c>
      <c r="EN131" s="140">
        <f ca="1">IF(OFFSET(BB131,1,0,1,1)&lt;&gt;0,RZ[[#This Row],[Koeficient odhadu CR '[-'] (P1)]]*$BK131*SUMIFS(RZ[Úroveň 5 s koef. (P3)],RZ[0],AX131,RZ[Úroveň 2 (P0)],AY131,RZ[Úroveň 3 (P0)],AZ131,RZ[Úroveň 4 (P0)],BA131),RZ[[#This Row],[Koeficient odhadu CR '[-'] (P1)]]*$BK131*$IQ131)</f>
        <v>0</v>
      </c>
      <c r="EO131" s="140">
        <f ca="1">IF(OFFSET(BB131,1,0,1,1)&lt;&gt;0,$BK131*SUMIFS(RZ[Úroveň 5 bez koef. (P3)],RZ[0],AX131,RZ[Úroveň 2 (P0)],AY131,RZ[Úroveň 3 (P0)],AZ131,RZ[Úroveň 4 (P0)],BA131),$BK131*$IQ131)</f>
        <v>0</v>
      </c>
      <c r="EP131" s="135">
        <f ca="1">RZ[[#This Row],[Úroveň 5 s koef. (P3a)]]*RZ[[#This Row],[Počet MJCR (P0) pro "kg"]]</f>
        <v>0</v>
      </c>
      <c r="EQ131" s="135">
        <f ca="1">RZ[Úroveň 5 bez koef. (P3a)]*RZ[[#This Row],[Počet MJCR (P0) pro "kg"]]</f>
        <v>0</v>
      </c>
      <c r="ER131" s="135">
        <f ca="1">IF(OFFSET(BC131,1,0,1,1)&lt;&gt;0,RZ[[#This Row],[Koeficient odhadu CR '[-'] (P1)]]*$BL131*SUMIFS(RZ[Úroveň 6 s koef. (P3)],RZ[0],AX131,RZ[Úroveň 2 (P0)],AY131,RZ[Úroveň 3 (P0)],AZ131,RZ[Úroveň 4 (P0)],BA131,RZ[Úroveň 5 (P0)],BB131),RZ[[#This Row],[Koeficient odhadu CR '[-'] (P1)]]*$BL131*$IQ131)</f>
        <v>0</v>
      </c>
      <c r="ES131" s="135">
        <f ca="1">IF(OFFSET(BC131,1,0,1,1)&lt;&gt;0,$BL131*SUMIFS(RZ[Úroveň 6 bez koef. (P3)],RZ[0],AX131,RZ[Úroveň 2 (P0)],AY131,RZ[Úroveň 3 (P0)],AZ131,RZ[Úroveň 4 (P0)],BA131,RZ[Úroveň 5 (P0)],BB131),$BL131*$IQ131)</f>
        <v>0</v>
      </c>
      <c r="ET131" s="140">
        <f ca="1">RZ[[#This Row],[Úroveň 6 s koef. (P3a)]]*RZ[[#This Row],[Počet MJCR (P0) pro "kg"]]</f>
        <v>0</v>
      </c>
      <c r="EU131" s="140">
        <f ca="1">RZ[Úroveň 6 bez koef. (P3a)]*RZ[[#This Row],[Počet MJCR (P0) pro "kg"]]</f>
        <v>0</v>
      </c>
      <c r="EV131" s="140">
        <f ca="1">IF(OFFSET(BD131,1,0,1,1)&lt;&gt;0,RZ[[#This Row],[Koeficient odhadu CR '[-'] (P1)]]*$BM131*SUMIFS(RZ[Úroveň 7 s koef. (P3)],RZ[0],AX131,RZ[Úroveň 2 (P0)],AY131,RZ[Úroveň 3 (P0)],AZ131,RZ[Úroveň 4 (P0)],BA131,RZ[Úroveň 5 (P0)],BB131,RZ[Úroveň 6 (P0)],BC131),RZ[[#This Row],[Koeficient odhadu CR '[-'] (P1)]]*$BM131*$IQ131)</f>
        <v>0</v>
      </c>
      <c r="EW131" s="140">
        <f ca="1">IF(OFFSET(BD131,1,0,1,1)&lt;&gt;0,$BM131*SUMIFS(RZ[Úroveň 7 bez koef. (P3)],RZ[0],AX131,RZ[Úroveň 2 (P0)],AY131,RZ[Úroveň 3 (P0)],AZ131,RZ[Úroveň 4 (P0)],BA131,RZ[Úroveň 5 (P0)],BB131,RZ[Úroveň 6 (P0)],BC131),$BM131*$IQ131)</f>
        <v>0</v>
      </c>
      <c r="EX131" s="135">
        <f ca="1">RZ[[#This Row],[Úroveň 7 s koef. (P3a)]]*RZ[[#This Row],[Počet MJCR (P0) pro "kg"]]</f>
        <v>0</v>
      </c>
      <c r="EY131" s="135">
        <f ca="1">RZ[Úroveň 7 bez koef. (P3a)]*RZ[[#This Row],[Počet MJCR (P0) pro "kg"]]</f>
        <v>0</v>
      </c>
      <c r="EZ131" s="135">
        <f ca="1">IF(OFFSET(BE131,1,0,1,1)&lt;&gt;0,RZ[[#This Row],[Koeficient odhadu CR '[-'] (P1)]]*$BN131*SUMIFS(RZ[Úroveň 8 s koef. (P3)],RZ[0],AX131,RZ[Úroveň 2 (P0)],AY131,RZ[Úroveň 3 (P0)],AZ131,RZ[Úroveň 4 (P0)],BA131,RZ[Úroveň 5 (P0)],BB131,RZ[Úroveň 6 (P0)],BC131,RZ[Úroveň 7 (P0)],BD131),RZ[[#This Row],[Koeficient odhadu CR '[-'] (P1)]]*$BN131*$IQ131)</f>
        <v>0</v>
      </c>
      <c r="FA131" s="135">
        <f ca="1">IF(OFFSET(BE131,1,0,1,1)&lt;&gt;0,$BN131*SUMIFS(RZ[Úroveň 8 bez koef. (P3)],RZ[0],AX131,RZ[Úroveň 2 (P0)],AY131,RZ[Úroveň 3 (P0)],AZ131,RZ[Úroveň 4 (P0)],BA131,RZ[Úroveň 5 (P0)],BB131,RZ[Úroveň 6 (P0)],BC131,RZ[Úroveň 7 (P0)],BD131),$BN131*$IQ131)</f>
        <v>0</v>
      </c>
      <c r="FB131" s="140">
        <f ca="1">RZ[[#This Row],[Úroveň 8 s koef. (P3a)]]*RZ[[#This Row],[Počet MJCR (P0) pro "kg"]]</f>
        <v>0</v>
      </c>
      <c r="FC131" s="140">
        <f ca="1">RZ[Úroveň 8 bez koef. (P3a)]*RZ[[#This Row],[Počet MJCR (P0) pro "kg"]]</f>
        <v>0</v>
      </c>
      <c r="FD131" s="140">
        <f ca="1">IF(OFFSET(BF131,1,0,1,1)&lt;&gt;0,RZ[[#This Row],[Koeficient odhadu CR '[-'] (P1)]]*$BO131*SUMIFS(RZ[Úroveň 9 s koef. (P3)],RZ[0],AX131,RZ[Úroveň 2 (P0)],AY131,RZ[Úroveň 3 (P0)],AZ131,RZ[Úroveň 4 (P0)],BA131,RZ[Úroveň 5 (P0)],BB131,RZ[Úroveň 6 (P0)],BC131,RZ[Úroveň 7 (P0)],BD131,RZ[Úroveň 8 (P0)],BE131),RZ[[#This Row],[Koeficient odhadu CR '[-'] (P1)]]*$BO131*$IQ131)</f>
        <v>0</v>
      </c>
      <c r="FE131" s="140">
        <f ca="1">IF(OFFSET(BF131,1,0,1,1)&lt;&gt;0,$BO131*SUMIFS(RZ[Úroveň 9 bez koef. (P3)],RZ[0],AX131,RZ[Úroveň 2 (P0)],AY131,RZ[Úroveň 3 (P0)],AZ131,RZ[Úroveň 4 (P0)],BA131,RZ[Úroveň 5 (P0)],BB131,RZ[Úroveň 6 (P0)],BC131,RZ[Úroveň 7 (P0)],BD131,RZ[Úroveň 8 (P0)],BE131),$BO131*$IQ131)</f>
        <v>0</v>
      </c>
      <c r="FF131" s="135">
        <f ca="1">RZ[[#This Row],[Úroveň 9 s koef. (P3a)]]*RZ[[#This Row],[Počet MJCR (P0) pro "kg"]]</f>
        <v>0</v>
      </c>
      <c r="FG131" s="135">
        <f ca="1">RZ[Úroveň 9 bez koef. (P3a)]*RZ[[#This Row],[Počet MJCR (P0) pro "kg"]]</f>
        <v>0</v>
      </c>
      <c r="FH131" s="135">
        <f ca="1">IF(OFFSET(BG131,1,0,1,1)&lt;&gt;0,RZ[[#This Row],[Koeficient odhadu CR '[-'] (P1)]]*$BP131*SUMIFS(RZ[Úroveň 10 s koef. (P3)],RZ[0],AX131,RZ[Úroveň 2 (P0)],AY131,RZ[Úroveň 3 (P0)],AZ131,RZ[Úroveň 4 (P0)],BA131,RZ[Úroveň 5 (P0)],BB131,RZ[Úroveň 6 (P0)],BC131,RZ[Úroveň 7 (P0)],BD131,RZ[Úroveň 8 (P0)],BE131,RZ[Úroveň 9 (P0)],BF131),RZ[[#This Row],[Koeficient odhadu CR '[-'] (P1)]]*$BP131*$IQ131)</f>
        <v>0</v>
      </c>
      <c r="FI131" s="135">
        <f ca="1">IF(OFFSET(BG131,1,0,1,1)&lt;&gt;0,$BP131*SUMIFS(RZ[Úroveň 10 bez koef. (P3)],RZ[0],AX131,RZ[Úroveň 2 (P0)],AY131,RZ[Úroveň 3 (P0)],AZ131,RZ[Úroveň 4 (P0)],BA131,RZ[Úroveň 5 (P0)],BB131,RZ[Úroveň 6 (P0)],BC131,RZ[Úroveň 7 (P0)],BD131,RZ[Úroveň 8 (P0)],BE131,RZ[Úroveň 9 (P0)],BF131),$BP131*$IQ131)</f>
        <v>0</v>
      </c>
      <c r="FJ131" s="140">
        <f ca="1">RZ[[#This Row],[Úroveň 10 s koef. (P3a)]]*RZ[[#This Row],[Počet MJCR (P0) pro "kg"]]</f>
        <v>0</v>
      </c>
      <c r="FK131" s="140">
        <f ca="1">RZ[Úroveň 10 bez koef. (P3a)]*RZ[[#This Row],[Počet MJCR (P0) pro "kg"]]</f>
        <v>0</v>
      </c>
      <c r="FL131" s="140">
        <f ca="1">RZ[[#This Row],[Koeficient odhadu CR '[-'] (P1)]]*$BQ131*IQ131</f>
        <v>0</v>
      </c>
      <c r="FM131" s="236">
        <f t="shared" ca="1" si="51"/>
        <v>0</v>
      </c>
      <c r="FN131" s="194">
        <f t="shared" ca="1" si="123"/>
        <v>10000</v>
      </c>
      <c r="FO131" s="238">
        <f t="shared" ca="1" si="124"/>
        <v>10000</v>
      </c>
      <c r="FP131" s="191">
        <f t="shared" ca="1" si="54"/>
        <v>0</v>
      </c>
      <c r="FQ131" s="135">
        <f t="shared" ca="1" si="55"/>
        <v>1</v>
      </c>
      <c r="FR131" s="135">
        <f t="shared" ca="1" si="56"/>
        <v>0</v>
      </c>
      <c r="FS131" s="135">
        <f t="shared" ca="1" si="57"/>
        <v>0</v>
      </c>
      <c r="FT131" s="135">
        <f t="shared" ca="1" si="58"/>
        <v>0</v>
      </c>
      <c r="FU131" s="135">
        <f t="shared" ca="1" si="59"/>
        <v>0</v>
      </c>
      <c r="FV131" s="135">
        <f t="shared" ca="1" si="60"/>
        <v>0</v>
      </c>
      <c r="FW131" s="135">
        <f t="shared" ca="1" si="61"/>
        <v>0</v>
      </c>
      <c r="FX131" s="135">
        <f t="shared" ca="1" si="62"/>
        <v>0</v>
      </c>
      <c r="FY131" s="135">
        <f t="shared" ca="1" si="63"/>
        <v>0</v>
      </c>
      <c r="FZ131" s="140">
        <f ca="1">SUMIFS(RZ[Úroveň 1 (P6)],RZ[0],AX131)</f>
        <v>1</v>
      </c>
      <c r="GA131" s="140">
        <f ca="1">SUMIFS(RZ[Úroveň 2 (P6)],RZ[0],AX131,RZ[Úroveň 2 (P0)],AY131)</f>
        <v>1</v>
      </c>
      <c r="GB131" s="140">
        <f ca="1">SUMIFS(RZ[Úroveň 3 (P6)],RZ[0],AX131,RZ[Úroveň 2 (P0)],AY131,RZ[Úroveň 3 (P0)],AZ131)</f>
        <v>0</v>
      </c>
      <c r="GC131" s="140">
        <f ca="1">SUMIFS(RZ[Úroveň 4 (P6)],RZ[0],AX131,RZ[Úroveň 2 (P0)],AY131,RZ[Úroveň 3 (P0)],AZ131,RZ[Úroveň 4 (P0)],BA131)</f>
        <v>0</v>
      </c>
      <c r="GD131" s="140">
        <f ca="1">SUMIFS(RZ[Úroveň 5 (P6)],RZ[0],AX131,RZ[Úroveň 2 (P0)],AY131,RZ[Úroveň 3 (P0)],AZ131,RZ[Úroveň 4 (P0)],BA131,RZ[Úroveň 5 (P0)],BB131)</f>
        <v>0</v>
      </c>
      <c r="GE131" s="140">
        <f ca="1">SUMIFS(RZ[Úroveň 6 (P6)],RZ[0],AX131,RZ[Úroveň 2 (P0)],AY131,RZ[Úroveň 3 (P0)],AZ131,RZ[Úroveň 4 (P0)],BA131,RZ[Úroveň 5 (P0)],BB131,RZ[Úroveň 6 (P0)],BC131)</f>
        <v>0</v>
      </c>
      <c r="GF131" s="140">
        <f ca="1">SUMIFS(RZ[Úroveň 7 (P6)],RZ[0],AX131,RZ[Úroveň 2 (P0)],AY131,RZ[Úroveň 3 (P0)],AZ131,RZ[Úroveň 4 (P0)],BA131,RZ[Úroveň 5 (P0)],BB131,RZ[Úroveň 6 (P0)],BC131,RZ[Úroveň 7 (P0)],BD131)</f>
        <v>0</v>
      </c>
      <c r="GG131" s="140">
        <f ca="1">SUMIFS(RZ[Úroveň 8 (P6)],RZ[0],AX131,RZ[Úroveň 2 (P0)],AY131,RZ[Úroveň 3 (P0)],AZ131,RZ[Úroveň 4 (P0)],BA131,RZ[Úroveň 5 (P0)],BB131,RZ[Úroveň 6 (P0)],BC131,RZ[Úroveň 7 (P0)],BD131,RZ[Úroveň 8 (P0)],BE131)</f>
        <v>0</v>
      </c>
      <c r="GH131" s="140">
        <f ca="1">SUMIFS(RZ[Úroveň 9 (P6)],RZ[0],AX131,RZ[Úroveň 2 (P0)],AY131,RZ[Úroveň 3 (P0)],AZ131,RZ[Úroveň 4 (P0)],BA131,RZ[Úroveň 5 (P0)],BB131,RZ[Úroveň 6 (P0)],BC131,RZ[Úroveň 7 (P0)],BD131,RZ[Úroveň 8 (P0)],BE131,RZ[Úroveň 9 (P0)],BF131)</f>
        <v>0</v>
      </c>
      <c r="GI131" s="140">
        <f ca="1">SUMIFS(RZ[Úroveň 10 (P6)],RZ[0],AX131,RZ[Úroveň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GJ131" s="194">
        <f t="shared" ca="1" si="125"/>
        <v>1</v>
      </c>
      <c r="GK131" s="807">
        <f t="shared" si="65"/>
        <v>0</v>
      </c>
      <c r="GL131" s="808">
        <f t="shared" si="66"/>
        <v>1</v>
      </c>
      <c r="GM131" s="808">
        <f t="shared" si="67"/>
        <v>0</v>
      </c>
      <c r="GN131" s="808">
        <f t="shared" si="68"/>
        <v>0</v>
      </c>
      <c r="GO131" s="808">
        <f t="shared" si="69"/>
        <v>0</v>
      </c>
      <c r="GP131" s="808">
        <f t="shared" si="70"/>
        <v>0</v>
      </c>
      <c r="GQ131" s="808">
        <f t="shared" si="71"/>
        <v>0</v>
      </c>
      <c r="GR131" s="808">
        <f t="shared" si="72"/>
        <v>0</v>
      </c>
      <c r="GS131" s="808">
        <f t="shared" si="73"/>
        <v>0</v>
      </c>
      <c r="GT131" s="808">
        <f t="shared" si="74"/>
        <v>0</v>
      </c>
      <c r="GU131" s="809">
        <f ca="1">SUMIFS(RZ[Sloupec1],RZ[0],AX131)</f>
        <v>1</v>
      </c>
      <c r="GV131" s="809">
        <f ca="1">SUMIFS(RZ[Sloupec2],RZ[0],AX131,RZ[Úroveň 2 (P0)],AY131)</f>
        <v>1</v>
      </c>
      <c r="GW131" s="809">
        <f ca="1">SUMIFS(RZ[Sloupec3],RZ[0],AX131,RZ[Úroveň 2 (P0)],AY131,RZ[Úroveň 3 (P0)],AZ131)</f>
        <v>0</v>
      </c>
      <c r="GX131" s="809">
        <f ca="1">SUMIFS(RZ[Sloupec4],RZ[0],AX131,RZ[Úroveň 2 (P0)],AY131,RZ[Úroveň 3 (P0)],AZ131,RZ[Úroveň 4 (P0)],BA131)</f>
        <v>0</v>
      </c>
      <c r="GY131" s="809">
        <f ca="1">SUMIFS(RZ[Sloupec5],RZ[0],AX131,RZ[Úroveň 2 (P0)],AY131,RZ[Úroveň 3 (P0)],AZ131,RZ[Úroveň 4 (P0)],BA131,RZ[Úroveň 5 (P0)],BB131)</f>
        <v>0</v>
      </c>
      <c r="GZ131" s="809">
        <f ca="1">SUMIFS(RZ[Sloupec6],RZ[0],AX131,RZ[Úroveň 2 (P0)],AY131,RZ[Úroveň 3 (P0)],AZ131,RZ[Úroveň 4 (P0)],BA131,RZ[Úroveň 5 (P0)],BB131,RZ[Úroveň 6 (P0)],BC131)</f>
        <v>0</v>
      </c>
      <c r="HA131" s="809">
        <f ca="1">SUMIFS(RZ[Sloupec62],RZ[0],AX131,RZ[Úroveň 2 (P0)],AY131,RZ[Úroveň 3 (P0)],AZ131,RZ[Úroveň 4 (P0)],BA131,RZ[Úroveň 5 (P0)],BB131,RZ[Úroveň 6 (P0)],BC131,RZ[Úroveň 7 (P0)],BD131)</f>
        <v>0</v>
      </c>
      <c r="HB131" s="809">
        <f ca="1">SUMIFS(RZ[Sloupec63],RZ[0],AX131,RZ[Úroveň 2 (P0)],AY131,RZ[Úroveň 3 (P0)],AZ131,RZ[Úroveň 4 (P0)],BA131,RZ[Úroveň 5 (P0)],BB131,RZ[Úroveň 6 (P0)],BC131,RZ[Úroveň 7 (P0)],BD131,RZ[Úroveň 8 (P0)],BE131)</f>
        <v>0</v>
      </c>
      <c r="HC131" s="809">
        <f ca="1">SUMIFS(RZ[Sloupec64],RZ[0],AX131,RZ[Úroveň 2 (P0)],AY131,RZ[Úroveň 3 (P0)],AZ131,RZ[Úroveň 4 (P0)],BA131,RZ[Úroveň 5 (P0)],BB131,RZ[Úroveň 6 (P0)],BC131,RZ[Úroveň 7 (P0)],BD131,RZ[Úroveň 8 (P0)],BE131,RZ[Úroveň 9 (P0)],BF131)</f>
        <v>0</v>
      </c>
      <c r="HD131" s="809">
        <f ca="1">SUMIFS(RZ[Sloupec65],RZ[0],AX131,RZ[Úroveň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HE131" s="803">
        <f t="shared" ca="1" si="75"/>
        <v>1</v>
      </c>
      <c r="HF131" s="48" t="str">
        <f t="shared" si="76"/>
        <v/>
      </c>
      <c r="HG131" s="94" t="str">
        <f t="shared" si="77"/>
        <v/>
      </c>
      <c r="HH131" s="95" t="str">
        <f t="shared" si="78"/>
        <v>Bezpečnostní tabulky</v>
      </c>
      <c r="HI131" s="95" t="str">
        <f t="shared" si="79"/>
        <v/>
      </c>
      <c r="HJ131" s="96" t="str">
        <f t="shared" si="80"/>
        <v/>
      </c>
      <c r="HK131" s="96" t="str">
        <f t="shared" si="81"/>
        <v/>
      </c>
      <c r="HL131" s="96" t="str">
        <f t="shared" si="82"/>
        <v/>
      </c>
      <c r="HM131" s="96" t="str">
        <f t="shared" si="83"/>
        <v/>
      </c>
      <c r="HN131" s="96" t="str">
        <f t="shared" si="84"/>
        <v/>
      </c>
      <c r="HO131" s="96" t="str">
        <f t="shared" si="85"/>
        <v/>
      </c>
      <c r="HP131" s="96" t="str">
        <f t="shared" si="86"/>
        <v/>
      </c>
      <c r="HQ131" s="145" t="str">
        <f t="shared" si="87"/>
        <v>OSTS</v>
      </c>
      <c r="HR131" s="175" t="str">
        <f t="shared" si="88"/>
        <v/>
      </c>
      <c r="HS131" s="173">
        <f t="shared" si="89"/>
        <v>0</v>
      </c>
      <c r="HT131" s="99">
        <f t="shared" si="90"/>
        <v>0</v>
      </c>
      <c r="HU131" s="99">
        <f t="shared" si="91"/>
        <v>0</v>
      </c>
      <c r="HV131" s="209" t="str">
        <f t="shared" si="92"/>
        <v>Zajíc</v>
      </c>
      <c r="HW131" s="47">
        <f t="shared" si="93"/>
        <v>0</v>
      </c>
      <c r="HX131" s="46">
        <f t="shared" si="94"/>
        <v>0</v>
      </c>
      <c r="HY131" s="149" t="str">
        <f t="shared" si="95"/>
        <v>S</v>
      </c>
      <c r="HZ131" s="263" t="str">
        <f t="shared" si="96"/>
        <v>N</v>
      </c>
      <c r="IA131" s="150">
        <f t="shared" si="97"/>
        <v>1</v>
      </c>
      <c r="IB131" s="319">
        <f t="shared" si="98"/>
        <v>10000</v>
      </c>
      <c r="IC131" s="220">
        <f t="shared" si="99"/>
        <v>1</v>
      </c>
      <c r="ID131" s="200" t="str">
        <f t="shared" ca="1" si="100"/>
        <v>OK</v>
      </c>
      <c r="IE131" s="201" t="str">
        <f t="shared" si="101"/>
        <v>ks</v>
      </c>
      <c r="IF131" s="145">
        <f t="shared" si="102"/>
        <v>1</v>
      </c>
      <c r="IG131" s="216">
        <f t="shared" si="103"/>
        <v>77</v>
      </c>
      <c r="IH131" s="217">
        <f t="shared" si="126"/>
        <v>1</v>
      </c>
      <c r="II131" s="224" t="str">
        <f ca="1">IF(RZ[[#This Row],[Rozhodný sloupec indikativní ceny]]=1,"kg",IF($IW131=$JL$15,IF(JX131=0,JO131,JX131),IF($IW131=$KE$15,IF(KQ131=0,KH131,KQ131),IF($IW131=$KX$15,IF(LJ131=0,LA131,LJ131),IF($IW131=$LQ$15,IF(MC131=0,LT131,MC131),IF($IW131=$MJ$15,IF(NQ131=0,NH131,NQ131),0))))))</f>
        <v>ks</v>
      </c>
      <c r="IJ131" s="224">
        <f ca="1">IF((BH131+OFFSET(BH131,1,1,1,1))=2,RZ[[#This Row],[Počet MJHR (P0)]],IF((BI131+OFFSET(BI131,1,1,1,1))=2,RZ[[#This Row],[Počet MJHR (P0)]],IF((BJ131+OFFSET(BJ131,1,1,1,1))=2,RZ[[#This Row],[Počet MJHR (P0)]],IF((BK131+OFFSET(BK131,1,1,1,1))=2,RZ[[#This Row],[Počet MJHR (P0)]],IF((BL131+OFFSET(BL131,1,1,1,1))=2,RZ[[#This Row],[Počet MJHR (P0)]],IF((BM131+OFFSET(BM131,1,1,1,1))=2,RZ[[#This Row],[Počet MJHR (P0)]],IF((BN131+OFFSET(BN131,1,1,1,1))=2,RZ[[#This Row],[Počet MJHR (P0)]],IF((BO131+OFFSET(BO131,1,1,1,1))=2,RZ[[#This Row],[Počet MJHR (P0)]],IF((BP131+OFFSET(BP131,1,1,1,1))=2,RZ[[#This Row],[Počet MJHR (P0)]],IF((BQ131+OFFSET(BQ131,1,1,1,1))=2,RZ[[#This Row],[Počet MJHR (P0)]],IF(RZ[[#This Row],[Měrná jednotka CR (MJCR) (P0)]]=RZ[[#This Row],[Měrná jednotka HR '[MJHR'] (P0)]],RZ[[#This Row],[Počet MJHR (P0)]],IF($IW131=$JL$15,JY131,IF($IW131=$KE$15,KR131,IF($IW131=$KX$15,LK131,IF($IW131=$LQ$15,MD131,IF($IW131=$MJ$15,NR131,0))))))))))))))))</f>
        <v>1</v>
      </c>
      <c r="IK1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1" s="330">
        <f ca="1">IF(AND(RZ[[#This Row],[Jednotková cena bez DPH '[cena/MJCR'] (P0)]]=0,RZ[[#This Row],[Indikativní jednotková cena '[CZK/kg'] (P1)]]&lt;&gt;0),1,0)</f>
        <v>0</v>
      </c>
      <c r="IM131" s="217">
        <f ca="1">VLOOKUP(RZ[[#This Row],[Kód položek]],INDIKAT_CENA,2,FALSE)</f>
        <v>0</v>
      </c>
      <c r="IN131" s="222">
        <f ca="1">IF(RZ[[#This Row],[Rozhodný sloupec indikativní ceny]]=1,RZ[[#This Row],[Indikativní jednotková cena '[CZK/kg'] (P1)]],RZ[[#This Row],[Jednotková cena bez DPH '[cena/MJCR'] (P0)]])</f>
        <v>10000</v>
      </c>
      <c r="IO131" s="222">
        <f t="shared" si="127"/>
        <v>1</v>
      </c>
      <c r="IP131" s="223">
        <f ca="1">IF(RZ[[#This Row],[Rozhodný sloupec indikativní ceny]]=1,1,IF($IW131=$JL$15,KA131,IF($IW131=$KE$15,KT131,IF($IW131=$KX$15,LM131,IF($IW131=$LQ$15,MF131,IF($IW131=$MJ$15,NT131,0))))))</f>
        <v>1</v>
      </c>
      <c r="IQ131" s="225">
        <f ca="1">IF(RZ[[#This Row],[Jednotková cena bez DPH '[cena/MJCR'] (P1)]]="",0,IF(IP131=0,0,(RZ[[#This Row],[Jednotková cena bez DPH '[cena/MJCR'] (P1)]]*VLOOKUP(IP131,$BR$7:$BT$10,3))))</f>
        <v>10000</v>
      </c>
      <c r="IR131" s="737"/>
      <c r="IS131" s="627">
        <f>IF(HY131=0,"",VLOOKUP(RZ[[#This Row],[Stav Projekce (P0)]],Vstupy!$E$11:'Vstupy'!$E$11:$H$17,4,FALSE))</f>
        <v>100</v>
      </c>
      <c r="IT131" s="628" t="str">
        <f>IF(RZ[[#This Row],[Stav Projekce (P0)]]=0,"",RZ[[#This Row],[Stav Projekce (P0)]])</f>
        <v>S</v>
      </c>
      <c r="IU131" s="628" t="str">
        <f>IF(RZ[[#This Row],[Stav Nákup (P0)]]=0,"",RZ[[#This Row],[Stav Nákup (P0)]])</f>
        <v>N</v>
      </c>
      <c r="IV131" s="636" t="str">
        <f t="shared" si="128"/>
        <v>Zajíc</v>
      </c>
      <c r="IW131" s="641">
        <v>1</v>
      </c>
      <c r="IX131" s="630"/>
      <c r="IY131" s="264"/>
      <c r="IZ131" s="648"/>
      <c r="JA131" s="100" t="s">
        <v>750</v>
      </c>
      <c r="JB131" s="100"/>
      <c r="JC131" s="100"/>
      <c r="JD131" s="100"/>
      <c r="JE131" s="100"/>
      <c r="JF131" s="100"/>
      <c r="JG131" s="100"/>
      <c r="JH131" s="100"/>
      <c r="JI131" s="100"/>
      <c r="JJ131" s="145" t="s">
        <v>844</v>
      </c>
      <c r="JK131" s="529"/>
      <c r="JL131" s="286"/>
      <c r="JM131" s="100"/>
      <c r="JN131" s="100"/>
      <c r="JO131" s="145" t="s">
        <v>35</v>
      </c>
      <c r="JP131" s="117">
        <v>1</v>
      </c>
      <c r="JQ131" s="117">
        <v>77</v>
      </c>
      <c r="JR131" s="148">
        <v>1</v>
      </c>
      <c r="JS131" s="145" t="s">
        <v>602</v>
      </c>
      <c r="JT131" s="631"/>
      <c r="JU131" s="148" t="s">
        <v>853</v>
      </c>
      <c r="JV131" s="154"/>
      <c r="JW131" s="145"/>
      <c r="JX131" s="210" t="s">
        <v>35</v>
      </c>
      <c r="JY131" s="117"/>
      <c r="JZ131" s="662">
        <v>10000</v>
      </c>
      <c r="KA131" s="145">
        <v>1</v>
      </c>
      <c r="KB131" s="148">
        <v>1</v>
      </c>
      <c r="KC131" s="148" t="s">
        <v>611</v>
      </c>
      <c r="KD131" s="644"/>
      <c r="KE131" s="286"/>
      <c r="KF131" s="100"/>
      <c r="KG131" s="100"/>
      <c r="KH131" s="210"/>
      <c r="KI131" s="117"/>
      <c r="KJ131" s="117"/>
      <c r="KK131" s="148"/>
      <c r="KL131" s="145"/>
      <c r="KM131" s="632"/>
      <c r="KN131" s="148"/>
      <c r="KO131" s="154"/>
      <c r="KP131" s="154"/>
      <c r="KQ131" s="210"/>
      <c r="KR131" s="117"/>
      <c r="KS131" s="211"/>
      <c r="KT131" s="145"/>
      <c r="KU131" s="148"/>
      <c r="KV131" s="148"/>
      <c r="KW131" s="265"/>
      <c r="KX131" s="286"/>
      <c r="KY131" s="100"/>
      <c r="KZ131" s="100"/>
      <c r="LA131" s="210"/>
      <c r="LB131" s="117"/>
      <c r="LC131" s="117"/>
      <c r="LD131" s="148"/>
      <c r="LE131" s="145"/>
      <c r="LF131" s="632"/>
      <c r="LG131" s="148"/>
      <c r="LH131" s="154"/>
      <c r="LI131" s="154"/>
      <c r="LJ131" s="154"/>
      <c r="LK131" s="117"/>
      <c r="LL131" s="211"/>
      <c r="LM131" s="210"/>
      <c r="LN131" s="148"/>
      <c r="LO131" s="148"/>
      <c r="LP131" s="265"/>
      <c r="LQ131" s="286"/>
      <c r="LR131" s="100"/>
      <c r="LS131" s="100"/>
      <c r="LT131" s="210"/>
      <c r="LU131" s="117"/>
      <c r="LV131" s="117"/>
      <c r="LW131" s="148"/>
      <c r="LX131" s="145"/>
      <c r="LY131" s="632"/>
      <c r="LZ131" s="148"/>
      <c r="MA131" s="154"/>
      <c r="MB131" s="154"/>
      <c r="MC131" s="145"/>
      <c r="MD131" s="117"/>
      <c r="ME131" s="211"/>
      <c r="MF131" s="210"/>
      <c r="MG131" s="148"/>
      <c r="MH131" s="148"/>
      <c r="MI131" s="265"/>
      <c r="MJ131" s="647"/>
      <c r="MK131" s="264"/>
      <c r="ML131" s="153"/>
      <c r="MM131" s="153"/>
      <c r="MN131" s="153"/>
      <c r="MO131" s="153"/>
      <c r="MP131" s="153"/>
      <c r="MQ131" s="153"/>
      <c r="MR131" s="153"/>
      <c r="MS131" s="99"/>
      <c r="MT131" s="99"/>
      <c r="MU131" s="99"/>
      <c r="MV131" s="99"/>
      <c r="MW131" s="99"/>
      <c r="MX131" s="99"/>
      <c r="MY131" s="153"/>
      <c r="MZ131" s="153"/>
      <c r="NA131" s="153"/>
      <c r="NB131" s="153"/>
      <c r="NC131" s="153"/>
      <c r="ND131" s="153"/>
      <c r="NE131" s="153"/>
      <c r="NF131" s="153"/>
      <c r="NG131" s="153"/>
      <c r="NH131" s="145" t="str">
        <f>"ks"</f>
        <v>ks</v>
      </c>
      <c r="NI131" s="779">
        <f>RZ[[#This Row],[Počet ks (K)]]</f>
        <v>0</v>
      </c>
      <c r="NJ131" s="210">
        <f>RZ[[#This Row],[Hmotnost '[kg/ks'] (K)]]</f>
        <v>0</v>
      </c>
      <c r="NK131" s="153"/>
      <c r="NL131" s="153"/>
      <c r="NM131" s="632"/>
      <c r="NN131" s="153"/>
      <c r="NO131" s="153"/>
      <c r="NP131" s="153"/>
      <c r="NQ131" s="153"/>
      <c r="NR131" s="153"/>
      <c r="NS131" s="153"/>
      <c r="NT131" s="153"/>
      <c r="NU131" s="153"/>
      <c r="NV131" s="148"/>
      <c r="NW131" s="633"/>
    </row>
    <row r="132" spans="2:387" ht="15.95" customHeight="1" thickBot="1" x14ac:dyDescent="0.4">
      <c r="B132" s="118" t="str">
        <f t="shared" si="1"/>
        <v/>
      </c>
      <c r="C1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2" s="262" t="str">
        <f t="shared" si="2"/>
        <v xml:space="preserve">  Protizávaží</v>
      </c>
      <c r="E132" s="120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Row],[Kód položek (P2)]]))))))))))</f>
        <v>OSZO</v>
      </c>
      <c r="F132" s="791" t="str">
        <f t="shared" si="3"/>
        <v>N/A</v>
      </c>
      <c r="G132" s="792" t="str">
        <f t="shared" si="4"/>
        <v/>
      </c>
      <c r="H132" s="262" t="str">
        <f t="shared" si="5"/>
        <v/>
      </c>
      <c r="I132" s="123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HR '[MJHR'] (P0)]]))))))))))</f>
        <v>ks</v>
      </c>
      <c r="J132" s="123">
        <f t="shared" si="6"/>
        <v>1</v>
      </c>
      <c r="K132" s="793">
        <f>RZ[[#This Row],[Koeficient odhadu HR '[-'] (P1)]]</f>
        <v>1</v>
      </c>
      <c r="L132" s="124">
        <f ca="1">RZ[[#This Row],[Jednotková hmotnost s koef. '[kg/MJHR'] (P0)]]</f>
        <v>1E-3</v>
      </c>
      <c r="M132" s="794">
        <f ca="1">IF(ISNUMBER(K132),L132/K132*(K132-1),0)</f>
        <v>0</v>
      </c>
      <c r="N132" s="125">
        <f ca="1">IF(ISNUMBER(J132),J132*L132,0)</f>
        <v>1E-3</v>
      </c>
      <c r="O132" s="125">
        <f ca="1">IF(ISNUMBER(J132),J132*M132,0)</f>
        <v>0</v>
      </c>
      <c r="P132" s="126" t="str">
        <f t="shared" si="10"/>
        <v/>
      </c>
      <c r="Q132" s="795">
        <f ca="1">RZ[[#This Row],[Počet MJHR v rozpadu (P0)]]</f>
        <v>1</v>
      </c>
      <c r="R132" s="439" t="str">
        <f t="shared" si="11"/>
        <v/>
      </c>
      <c r="S132" s="129" t="str">
        <f t="shared" si="12"/>
        <v/>
      </c>
      <c r="T132" s="126" t="str">
        <f t="shared" si="13"/>
        <v/>
      </c>
      <c r="U132" s="126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CR (MJCR) (P0)]]))))))))))</f>
        <v>kg</v>
      </c>
      <c r="V132" s="575">
        <f t="shared" ca="1" si="14"/>
        <v>1E-3</v>
      </c>
      <c r="W132" s="322">
        <f>RZ[[#This Row],[Koeficient odhadu CR '[-'] (P1)]]</f>
        <v>1</v>
      </c>
      <c r="X132" s="440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Row],[Jednotková cena bez DPH '[cena/MJCR'] (P1)]]*RZ[[#This Row],[Koeficient odhadu CR '[-']]]))))))))))</f>
        <v>50</v>
      </c>
      <c r="Y132" s="440">
        <f t="shared" ca="1" si="108"/>
        <v>0</v>
      </c>
      <c r="Z132" s="142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VLOOKUP(IP132,$BR$7:$BS$11,2,FALSE)))))))))))</f>
        <v>CZK</v>
      </c>
      <c r="AA132" s="811">
        <f t="shared" ca="1" si="16"/>
        <v>1E-3</v>
      </c>
      <c r="AB132" s="814">
        <f ca="1">RZ[[#This Row],[Kumulovaný koeficient v rozpadu (P0)]]</f>
        <v>1</v>
      </c>
      <c r="AC132" s="260"/>
      <c r="AD132" s="796">
        <f ca="1">RZ[[#This Row],[Jednotková cena bez DPH '[cena/MJCR'] s koef. (P0)]]/RZ[[#This Row],[Koeficient odhadu CR '[-']]]*RZ[[#This Row],[Kumulovaný koeficient odhadu CR  '[-']]]</f>
        <v>50</v>
      </c>
      <c r="AE132" s="796">
        <f t="shared" ca="1" si="17"/>
        <v>0.05</v>
      </c>
      <c r="AF132" s="796">
        <f ca="1">-IF(ISNUMBER(AA132),RZ[[#This Row],[Celková cena bez DPH (1)]]-RZ[[#This Row],[Jednotková cena bez DPH '[cena/MJCR'] bez koef. (P0)]]*AA132,0)</f>
        <v>0</v>
      </c>
      <c r="AG1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50</v>
      </c>
      <c r="AH132" s="261"/>
      <c r="AI132" s="796">
        <f ca="1">AD132/VLOOKUP($AJ$13,KURZY,3,FALSE)</f>
        <v>1.8518518518518519</v>
      </c>
      <c r="AJ132" s="796">
        <f t="shared" ca="1" si="19"/>
        <v>1.8518518518518519E-3</v>
      </c>
      <c r="AK132" s="796">
        <f ca="1">AF132/VLOOKUP($AJ$13,KURZY,3,FALSE)</f>
        <v>0</v>
      </c>
      <c r="AL132" s="753">
        <f ca="1">RZ[[#This Row],[Kilogramová cena bez DPH '[cena/kg'] (1)]]/$AK$13</f>
        <v>1.8518518518518519</v>
      </c>
      <c r="AM132" s="261"/>
      <c r="AN132" s="796">
        <f ca="1">AD132/VLOOKUP($AO$13,KURZY,3,FALSE)</f>
        <v>2.4154589371980677</v>
      </c>
      <c r="AO132" s="796">
        <f t="shared" ca="1" si="22"/>
        <v>2.415458937198068E-3</v>
      </c>
      <c r="AP132" s="796">
        <f ca="1">AF132/VLOOKUP($AO$13,KURZY,3,FALSE)</f>
        <v>0</v>
      </c>
      <c r="AQ132" s="753">
        <f ca="1">RZ[[#This Row],[Kilogramová cena bez DPH '[cena/kg'] (1)]]/$AP$13</f>
        <v>2.4154589371980677</v>
      </c>
      <c r="AR132" s="261"/>
      <c r="AS132" s="796">
        <f ca="1">AD132/VLOOKUP($AT$13,KURZY,3,FALSE)</f>
        <v>1.3676148796498906</v>
      </c>
      <c r="AT132" s="796">
        <f t="shared" ca="1" si="25"/>
        <v>1.3676148796498905E-3</v>
      </c>
      <c r="AU132" s="789">
        <f ca="1">AF132/VLOOKUP($AT$13,KURZY,3,FALSE)</f>
        <v>0</v>
      </c>
      <c r="AV132" s="767">
        <f ca="1">RZ[[#This Row],[Kilogramová cena bez DPH '[cena/kg'] (1)]]/$AU$13</f>
        <v>1.3676148796498906</v>
      </c>
      <c r="AW132" s="165"/>
      <c r="AX132" s="110">
        <f t="shared" ca="1" si="27"/>
        <v>2</v>
      </c>
      <c r="AY132" s="55">
        <f t="shared" ca="1" si="28"/>
        <v>15</v>
      </c>
      <c r="AZ132" s="111">
        <f t="shared" ca="1" si="29"/>
        <v>0</v>
      </c>
      <c r="BA132" s="111">
        <f t="shared" ca="1" si="30"/>
        <v>0</v>
      </c>
      <c r="BB132" s="111">
        <f t="shared" ca="1" si="31"/>
        <v>0</v>
      </c>
      <c r="BC132" s="111">
        <f t="shared" ca="1" si="32"/>
        <v>0</v>
      </c>
      <c r="BD132" s="111">
        <f t="shared" ca="1" si="33"/>
        <v>0</v>
      </c>
      <c r="BE132" s="111">
        <f t="shared" ca="1" si="109"/>
        <v>0</v>
      </c>
      <c r="BF132" s="111">
        <f t="shared" ca="1" si="34"/>
        <v>0</v>
      </c>
      <c r="BG132" s="112">
        <f t="shared" ca="1" si="35"/>
        <v>0</v>
      </c>
      <c r="BH132" s="110">
        <f t="shared" si="110"/>
        <v>0</v>
      </c>
      <c r="BI132" s="55">
        <f t="shared" si="111"/>
        <v>1</v>
      </c>
      <c r="BJ132" s="55">
        <f t="shared" si="112"/>
        <v>0</v>
      </c>
      <c r="BK132" s="111">
        <f t="shared" si="113"/>
        <v>0</v>
      </c>
      <c r="BL132" s="111">
        <f t="shared" si="114"/>
        <v>0</v>
      </c>
      <c r="BM132" s="111">
        <f t="shared" si="115"/>
        <v>0</v>
      </c>
      <c r="BN132" s="111">
        <f t="shared" si="116"/>
        <v>0</v>
      </c>
      <c r="BO132" s="111">
        <f t="shared" si="117"/>
        <v>0</v>
      </c>
      <c r="BP132" s="111">
        <f t="shared" si="118"/>
        <v>0</v>
      </c>
      <c r="BQ132" s="112">
        <f t="shared" si="119"/>
        <v>0</v>
      </c>
      <c r="BR132" s="186">
        <f ca="1">IF(OFFSET(AY132,1,0,1,1)&lt;&gt;0,RZ[[#This Row],[Koeficient odhadu HR '[-'] (P1)]]*$BH132*SUMIFS(RZ[Úroveň 2 s koef. (P2)],RZ[0],AX132),RZ[[#This Row],[Koeficient odhadu HR '[-'] (P1)]]*$BH132*$IG132)</f>
        <v>0</v>
      </c>
      <c r="BS132" s="186">
        <f ca="1">IF(OFFSET(AY132,1,0,1,1)&lt;&gt;0,$BH132*SUMIFS(RZ[Úroveň 2 bez koef. (P2)],RZ[0],AX132),$BH132*$IG132)</f>
        <v>0</v>
      </c>
      <c r="BT132" s="138">
        <f ca="1">RZ[[#This Row],[Úroveň 2 s koef. (P2a)]]*RZ[[#This Row],[Počet MJHR (P0)]]</f>
        <v>1E-3</v>
      </c>
      <c r="BU132" s="138">
        <f ca="1">RZ[[#This Row],[Úroveň 2 bez koef. (P2a)]]*RZ[[#This Row],[Počet MJHR (P0)]]</f>
        <v>1E-3</v>
      </c>
      <c r="BV132" s="138">
        <f ca="1">IF(OFFSET(AZ132,1,0,1,1)&lt;&gt;0,RZ[[#This Row],[Koeficient odhadu HR '[-'] (P1)]]*$BI132*SUMIFS(RZ[Úroveň 3 s koef. (P2)],RZ[0],AX132,RZ[Úroveň 2 (P0)],AY132),RZ[[#This Row],[Koeficient odhadu HR '[-'] (P1)]]*$BI132*$IG132)</f>
        <v>1E-3</v>
      </c>
      <c r="BW132" s="138">
        <f ca="1">IF(OFFSET(AZ132,1,0,1,1)&lt;&gt;0,$BI132*SUMIFS(RZ[Úroveň 3 bez koef. (P2)],RZ[0],AX132,RZ[Úroveň 2 (P0)],AY132),$BI132*$IG132)</f>
        <v>1E-3</v>
      </c>
      <c r="BX132" s="132">
        <f ca="1">RZ[[#This Row],[Úroveň 3 s koef. (P2a)]]*RZ[[#This Row],[Počet MJHR (P0)]]</f>
        <v>0</v>
      </c>
      <c r="BY132" s="132">
        <f ca="1">RZ[Úroveň 3 bez koef. (P2a)]*RZ[[#This Row],[Počet MJHR (P0)]]</f>
        <v>0</v>
      </c>
      <c r="BZ132" s="132">
        <f ca="1">IF(OFFSET(BA132,1,0,1,1)&lt;&gt;0,RZ[[#This Row],[Koeficient odhadu HR '[-'] (P1)]]*$BJ132*SUMIFS(RZ[Úroveň 4 s koef. (P2)],RZ[0],AX132,RZ[Úroveň 2 (P0)],AY132,RZ[Úroveň 3 (P0)],AZ132),RZ[[#This Row],[Koeficient odhadu HR '[-'] (P1)]]*$BJ132*$IG132)</f>
        <v>0</v>
      </c>
      <c r="CA132" s="132">
        <f ca="1">IF(OFFSET(BA132,1,0,1,1)&lt;&gt;0,$BJ132*SUMIFS(RZ[Úroveň 4 bez koef. (P2)],RZ[0],AX132,RZ[Úroveň 2 (P0)],AY132,RZ[Úroveň 3 (P0)],AZ132),$BJ132*$IG132)</f>
        <v>0</v>
      </c>
      <c r="CB132" s="138">
        <f ca="1">RZ[[#This Row],[Úroveň 4 s koef. (P2a)]]*RZ[[#This Row],[Počet MJHR (P0)]]</f>
        <v>0</v>
      </c>
      <c r="CC132" s="138">
        <f ca="1">RZ[Úroveň 4 bez koef. (P2a)]*RZ[[#This Row],[Počet MJHR (P0)]]</f>
        <v>0</v>
      </c>
      <c r="CD132" s="138">
        <f ca="1">IF(OFFSET(BB132,1,0,1,1)&lt;&gt;0,RZ[[#This Row],[Koeficient odhadu HR '[-'] (P1)]]*$BK132*SUMIFS(RZ[Úroveň 5 s koef. (P2)],RZ[0],AX132,RZ[Úroveň 2 (P0)],AY132,RZ[Úroveň 3 (P0)],AZ132,RZ[Úroveň 4 (P0)],BA132),RZ[[#This Row],[Koeficient odhadu HR '[-'] (P1)]]*$BK132*$IG132)</f>
        <v>0</v>
      </c>
      <c r="CE132" s="138">
        <f ca="1">IF(OFFSET(BB132,1,0,1,1)&lt;&gt;0,$BK132*SUMIFS(RZ[Úroveň 5 bez koef. (P2)],RZ[0],AX132,RZ[Úroveň 2 (P0)],AY132,RZ[Úroveň 3 (P0)],AZ132,RZ[Úroveň 4 (P0)],BA132),$BK132*$IG132)</f>
        <v>0</v>
      </c>
      <c r="CF132" s="132">
        <f ca="1">RZ[[#This Row],[Úroveň 5 s koef. (P2a)]]*RZ[[#This Row],[Počet MJHR (P0)]]</f>
        <v>0</v>
      </c>
      <c r="CG132" s="132">
        <f ca="1">RZ[Úroveň 5 bez koef. (P2a)]*RZ[[#This Row],[Počet MJHR (P0)]]</f>
        <v>0</v>
      </c>
      <c r="CH132" s="132">
        <f ca="1">IF(OFFSET(BC132,1,0,1,1)&lt;&gt;0,RZ[[#This Row],[Koeficient odhadu HR '[-'] (P1)]]*$BL132*SUMIFS(RZ[Úroveň 6 s koef. (P2)],RZ[0],AX132,RZ[Úroveň 2 (P0)],AY132,RZ[Úroveň 3 (P0)],AZ132,RZ[Úroveň 4 (P0)],BA132,RZ[Úroveň 5 (P0)],BB132),RZ[[#This Row],[Koeficient odhadu HR '[-'] (P1)]]*$BL132*$IG132)</f>
        <v>0</v>
      </c>
      <c r="CI132" s="132">
        <f ca="1">IF(OFFSET(BC132,1,0,1,1)&lt;&gt;0,$BL132*SUMIFS(RZ[Úroveň 6 bez koef. (P2)],RZ[0],AX132,RZ[Úroveň 2 (P0)],AY132,RZ[Úroveň 3 (P0)],AZ132,RZ[Úroveň 4 (P0)],BA132,RZ[Úroveň 5 (P0)],BB132),$BL132*$IG132)</f>
        <v>0</v>
      </c>
      <c r="CJ132" s="138">
        <f ca="1">RZ[[#This Row],[Úroveň 6 s koef. (P2a)]]*RZ[[#This Row],[Počet MJHR (P0)]]</f>
        <v>0</v>
      </c>
      <c r="CK132" s="138">
        <f ca="1">RZ[Úroveň 6 bez koef. (P2a)]*RZ[[#This Row],[Počet MJHR (P0)]]</f>
        <v>0</v>
      </c>
      <c r="CL132" s="138">
        <f ca="1">IF(OFFSET(BD132,1,0,1,1)&lt;&gt;0,RZ[[#This Row],[Koeficient odhadu HR '[-'] (P1)]]*$BM132*SUMIFS(RZ[Úroveň 7 s koef. (P2)],RZ[0],AX132,RZ[Úroveň 2 (P0)],AY132,RZ[Úroveň 3 (P0)],AZ132,RZ[Úroveň 4 (P0)],BA132,RZ[Úroveň 5 (P0)],BB132,RZ[Úroveň 6 (P0)],BC132),RZ[[#This Row],[Koeficient odhadu HR '[-'] (P1)]]*$BM132*$IG132)</f>
        <v>0</v>
      </c>
      <c r="CM132" s="138">
        <f ca="1">IF(OFFSET(BD132,1,0,1,1)&lt;&gt;0,$BM132*SUMIFS(RZ[Úroveň 7 bez koef. (P2)],RZ[0],AX132,RZ[Úroveň 2 (P0)],AY132,RZ[Úroveň 3 (P0)],AZ132,RZ[Úroveň 4 (P0)],BA132,RZ[Úroveň 5 (P0)],BB132,RZ[Úroveň 6 (P0)],BC132),$BM132*$IG132)</f>
        <v>0</v>
      </c>
      <c r="CN132" s="132">
        <f ca="1">RZ[[#This Row],[Úroveň 7 s koef. (P2a)]]*RZ[[#This Row],[Počet MJHR (P0)]]</f>
        <v>0</v>
      </c>
      <c r="CO132" s="132">
        <f ca="1">RZ[Úroveň 7 bez koef. (P2a)]*RZ[[#This Row],[Počet MJHR (P0)]]</f>
        <v>0</v>
      </c>
      <c r="CP132" s="132">
        <f ca="1">IF(OFFSET(BE132,1,0,1,1)&lt;&gt;0,RZ[[#This Row],[Koeficient odhadu HR '[-'] (P1)]]*$BN132*SUMIFS(RZ[Úroveň 8 s koef. (P2)],RZ[0],AX132,RZ[Úroveň 2 (P0)],AY132,RZ[Úroveň 3 (P0)],AZ132,RZ[Úroveň 4 (P0)],BA132,RZ[Úroveň 5 (P0)],BB132,RZ[Úroveň 6 (P0)],BC132,RZ[Úroveň 7 (P0)],BD132),RZ[[#This Row],[Koeficient odhadu HR '[-'] (P1)]]*$BN132*$IG132)</f>
        <v>0</v>
      </c>
      <c r="CQ132" s="132">
        <f ca="1">IF(OFFSET(BE132,1,0,1,1)&lt;&gt;0,$BN132*SUMIFS(RZ[Úroveň 8 bez koef. (P2)],RZ[0],AX132,RZ[Úroveň 2 (P0)],AY132,RZ[Úroveň 3 (P0)],AZ132,RZ[Úroveň 4 (P0)],BA132,RZ[Úroveň 5 (P0)],BB132,RZ[Úroveň 6 (P0)],BC132,RZ[Úroveň 7 (P0)],BD132),$BN132*$IG132)</f>
        <v>0</v>
      </c>
      <c r="CR132" s="138">
        <f ca="1">RZ[[#This Row],[Úroveň 8 s koef. (P2a)]]*RZ[[#This Row],[Počet MJHR (P0)]]</f>
        <v>0</v>
      </c>
      <c r="CS132" s="138">
        <f ca="1">RZ[Úroveň 8 bez koef. (P2a)]*RZ[[#This Row],[Počet MJHR (P0)]]</f>
        <v>0</v>
      </c>
      <c r="CT132" s="138">
        <f ca="1">IF(OFFSET(BF132,1,0,1,1)&lt;&gt;0,RZ[[#This Row],[Koeficient odhadu HR '[-'] (P1)]]*$BO132*SUMIFS(RZ[Úroveň 9 s koef. (P2)],RZ[0],AX132,RZ[Úroveň 2 (P0)],AY132,RZ[Úroveň 3 (P0)],AZ132,RZ[Úroveň 4 (P0)],BA132,RZ[Úroveň 5 (P0)],BB132,RZ[Úroveň 6 (P0)],BC132,RZ[Úroveň 7 (P0)],BD132,RZ[Úroveň 8 (P0)],BE132),RZ[[#This Row],[Koeficient odhadu HR '[-'] (P1)]]*$BO132*$IG132)</f>
        <v>0</v>
      </c>
      <c r="CU132" s="138">
        <f ca="1">IF(OFFSET(BF132,1,0,1,1)&lt;&gt;0,$BO132*SUMIFS(RZ[Úroveň 9 bez koef. (P2)],RZ[0],AX132,RZ[Úroveň 2 (P0)],AY132,RZ[Úroveň 3 (P0)],AZ132,RZ[Úroveň 4 (P0)],BA132,RZ[Úroveň 5 (P0)],BB132,RZ[Úroveň 6 (P0)],BC132,RZ[Úroveň 7 (P0)],BD132,RZ[Úroveň 8 (P0)],BE132),$BO132*$IG132)</f>
        <v>0</v>
      </c>
      <c r="CV132" s="132">
        <f ca="1">RZ[[#This Row],[Úroveň 9 s koef. (P2a)]]*RZ[[#This Row],[Počet MJHR (P0)]]</f>
        <v>0</v>
      </c>
      <c r="CW132" s="132">
        <f ca="1">RZ[Úroveň 9 bez koef. (P2a)]*RZ[[#This Row],[Počet MJHR (P0)]]</f>
        <v>0</v>
      </c>
      <c r="CX132" s="132">
        <f ca="1">IF(OFFSET(BG132,1,0,1,1)&lt;&gt;0,RZ[[#This Row],[Koeficient odhadu HR '[-'] (P1)]]*$BP132*SUMIFS(RZ[Úroveň 10 s koef. (P2)],RZ[0],AX132,RZ[Úroveň 2 (P0)],AY132,RZ[Úroveň 3 (P0)],AZ132,RZ[Úroveň 4 (P0)],BA132,RZ[Úroveň 5 (P0)],BB132,RZ[Úroveň 6 (P0)],BC132,RZ[Úroveň 7 (P0)],BD132,RZ[Úroveň 8 (P0)],BE132,RZ[Úroveň 9 (P0)],BF132),RZ[[#This Row],[Koeficient odhadu HR '[-'] (P1)]]*$BP132*$IG132)</f>
        <v>0</v>
      </c>
      <c r="CY132" s="132">
        <f ca="1">IF(OFFSET(BG132,1,0,1,1)&lt;&gt;0,$BP132*SUMIFS(RZ[Úroveň 10 bez koef. (P2)],RZ[0],AX132,RZ[Úroveň 2 (P0)],AY132,RZ[Úroveň 3 (P0)],AZ132,RZ[Úroveň 4 (P0)],BA132,RZ[Úroveň 5 (P0)],BB132,RZ[Úroveň 6 (P0)],BC132,RZ[Úroveň 7 (P0)],BD132,RZ[Úroveň 8 (P0)],BE132,RZ[Úroveň 9 (P0)],BF132),$BP132*$IG132)</f>
        <v>0</v>
      </c>
      <c r="CZ132" s="138">
        <f>RZ[[#This Row],[Úroveň 10 s koef. (P2a)]]*RZ[[#This Row],[Počet MJHR (P0)]]</f>
        <v>0</v>
      </c>
      <c r="DA132" s="138">
        <f>RZ[Úroveň 10 bez koef. (P2a)]*RZ[[#This Row],[Počet MJHR (P0)]]</f>
        <v>0</v>
      </c>
      <c r="DB132" s="138">
        <f>RZ[[#This Row],[Koeficient odhadu HR '[-'] (P1)]]*$BQ132*IG132</f>
        <v>0</v>
      </c>
      <c r="DC132" s="231">
        <f t="shared" si="37"/>
        <v>0</v>
      </c>
      <c r="DD132" s="241">
        <f t="shared" ca="1" si="120"/>
        <v>1E-3</v>
      </c>
      <c r="DE132" s="229">
        <f t="shared" ca="1" si="121"/>
        <v>1E-3</v>
      </c>
      <c r="DF132" s="521">
        <f t="shared" si="40"/>
        <v>0</v>
      </c>
      <c r="DG132" s="522">
        <f t="shared" si="41"/>
        <v>1</v>
      </c>
      <c r="DH132" s="522">
        <f t="shared" si="42"/>
        <v>0</v>
      </c>
      <c r="DI132" s="523">
        <f t="shared" si="43"/>
        <v>0</v>
      </c>
      <c r="DJ132" s="524">
        <f t="shared" si="44"/>
        <v>0</v>
      </c>
      <c r="DK132" s="524">
        <f t="shared" si="45"/>
        <v>0</v>
      </c>
      <c r="DL132" s="524">
        <f t="shared" si="46"/>
        <v>0</v>
      </c>
      <c r="DM132" s="524">
        <f t="shared" si="47"/>
        <v>0</v>
      </c>
      <c r="DN132" s="524">
        <f t="shared" si="48"/>
        <v>0</v>
      </c>
      <c r="DO132" s="523">
        <f t="shared" si="49"/>
        <v>0</v>
      </c>
      <c r="DP132" s="525">
        <f ca="1">SUMIFS(RZ[Úroveň 1 (P4)],RZ[0],AX132)</f>
        <v>1</v>
      </c>
      <c r="DQ132" s="525">
        <f ca="1">SUMIFS(RZ[Úroveň 2 (P4)],RZ[0],AX132,RZ[Úroveň 2 (P0)],AY132)</f>
        <v>1</v>
      </c>
      <c r="DR132" s="525">
        <f ca="1">SUMIFS(RZ[Úroveň 3 (P4)],RZ[0],AX132,RZ[Úroveň 2 (P0)],AY132,RZ[Úroveň 3 (P0)],AZ132)</f>
        <v>0</v>
      </c>
      <c r="DS132" s="525">
        <f ca="1">SUMIFS(RZ[Úroveň 4 (P4)],RZ[0],AX132,RZ[Úroveň 2 (P0)],AY132,RZ[Úroveň 3 (P0)],AZ132,RZ[Úroveň 4 (P0)],BA132)</f>
        <v>0</v>
      </c>
      <c r="DT132" s="526">
        <f ca="1">SUMIFS(RZ[Úroveň 5 (P4)],RZ[0],AX132,RZ[Úroveň 2 (P0)],AY132,RZ[Úroveň 3 (P0)],AZ132,RZ[Úroveň 4 (P0)],BA132,RZ[Úroveň 5 (P0)],BB132)</f>
        <v>0</v>
      </c>
      <c r="DU132" s="526">
        <f ca="1">SUMIFS(RZ[Úroveň 6 (P4)],RZ[0],AX132,RZ[Úroveň 2 (P0)],AY132,RZ[Úroveň 3 (P0)],AZ132,RZ[Úroveň 4 (P0)],BA132,RZ[Úroveň 5 (P0)],BB132,RZ[Úroveň 6 (P0)],BC132)</f>
        <v>0</v>
      </c>
      <c r="DV132" s="526">
        <f ca="1">SUMIFS(RZ[Úroveň 7 (P4)],RZ[0],AX132,RZ[Úroveň 2 (P0)],AY132,RZ[Úroveň 3 (P0)],AZ132,RZ[Úroveň 4 (P0)],BA132,RZ[Úroveň 5 (P0)],BB132,RZ[Úroveň 6 (P0)],BC132,RZ[Úroveň 7 (P0)],BD132)</f>
        <v>0</v>
      </c>
      <c r="DW132" s="526">
        <f ca="1">SUMIFS(RZ[Úroveň 8 (P4)],RZ[0],AX132,RZ[Úroveň 2 (P0)],AY132,RZ[Úroveň 3 (P0)],AZ132,RZ[Úroveň 4 (P0)],BA132,RZ[Úroveň 5 (P0)],BB132,RZ[Úroveň 6 (P0)],BC132,RZ[Úroveň 7 (P0)],BD132,RZ[Úroveň 8 (P0)],BE132)</f>
        <v>0</v>
      </c>
      <c r="DX132" s="526">
        <f ca="1">SUMIFS(RZ[Úroveň 9 (P4)],RZ[0],AX132,RZ[Úroveň 2 (P0)],AY132,RZ[Úroveň 3 (P0)],AZ132,RZ[Úroveň 4 (P0)],BA132,RZ[Úroveň 5 (P0)],BB132,RZ[Úroveň 6 (P0)],BC132,RZ[Úroveň 7 (P0)],BD132,RZ[Úroveň 8 (P0)],BE132,RZ[Úroveň 9 (P0)],BF132)</f>
        <v>0</v>
      </c>
      <c r="DY132" s="526">
        <f ca="1">SUMIFS(RZ[Úroveň 10 (P4)],RZ[0],AX132,RZ[Úroveň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DZ132" s="527">
        <f t="shared" ca="1" si="122"/>
        <v>1</v>
      </c>
      <c r="EA132" s="528">
        <f ca="1">RZ[[#This Row],[Jednotková hmotnost bez koef. '[kg/MJHR'] (P0)]]*RZ[[#This Row],[Počet MJHR v rozpadu (P0)]]</f>
        <v>1E-3</v>
      </c>
      <c r="EB132" s="191">
        <f ca="1">IF(OFFSET(AY132,1,0,1,1)&lt;&gt;0,RZ[[#This Row],[Koeficient odhadu CR '[-'] (P1)]]*$BH132*SUMIFS(RZ[Úroveň 2 s koef. (P3)],RZ[0],AX132),RZ[[#This Row],[Koeficient odhadu CR '[-'] (P1)]]*$BH132*$IQ132)</f>
        <v>0</v>
      </c>
      <c r="EC132" s="191">
        <f ca="1">IF(OFFSET(AY132,1,0,1,1)&lt;&gt;0,$BH132*SUMIFS(RZ[Úroveň 2 bez koef. (P3)],RZ[0],AX132),$BH132*$IQ132)</f>
        <v>0</v>
      </c>
      <c r="ED132" s="140">
        <f ca="1">RZ[[#This Row],[Úroveň 2 s koef. (P3a)]]*RZ[[#This Row],[Počet MJCR (P0) pro "kg"]]</f>
        <v>0.05</v>
      </c>
      <c r="EE132" s="140">
        <f ca="1">RZ[Úroveň 2 bez koef. (P3a)]*RZ[[#This Row],[Počet MJCR (P0) pro "kg"]]</f>
        <v>0.05</v>
      </c>
      <c r="EF132" s="140">
        <f ca="1">IF(OFFSET(AZ132,1,0,1,1)&lt;&gt;0,RZ[[#This Row],[Koeficient odhadu CR '[-'] (P1)]]*$BI132*SUMIFS(RZ[Úroveň 3 s koef. (P3)],RZ[0],AX132,RZ[Úroveň 2 (P0)],AY132),RZ[[#This Row],[Koeficient odhadu CR '[-'] (P1)]]*$BI132*$IQ132)</f>
        <v>50</v>
      </c>
      <c r="EG132" s="140">
        <f ca="1">IF(OFFSET(AZ132,1,0,1,1)&lt;&gt;0,$BI132*SUMIFS(RZ[Úroveň 3 bez koef. (P3)],RZ[0],AX132,RZ[Úroveň 2 (P0)],AY132),$BI132*$IQ132)</f>
        <v>50</v>
      </c>
      <c r="EH132" s="135">
        <f ca="1">RZ[[#This Row],[Úroveň 3 s koef. (P3a)]]*RZ[[#This Row],[Počet MJCR (P0) pro "kg"]]</f>
        <v>0</v>
      </c>
      <c r="EI132" s="135">
        <f ca="1">RZ[Úroveň 3 bez koef. (P3a)]*RZ[[#This Row],[Počet MJCR (P0) pro "kg"]]</f>
        <v>0</v>
      </c>
      <c r="EJ132" s="135">
        <f ca="1">IF(OFFSET(BA132,1,0,1,1)&lt;&gt;0,RZ[[#This Row],[Koeficient odhadu CR '[-'] (P1)]]*$BJ132*SUMIFS(RZ[Úroveň 4 s koef. (P3)],RZ[0],AX132,RZ[Úroveň 2 (P0)],AY132,RZ[Úroveň 3 (P0)],AZ132),RZ[[#This Row],[Koeficient odhadu CR '[-'] (P1)]]*$BJ132*$IQ132)</f>
        <v>0</v>
      </c>
      <c r="EK132" s="135">
        <f ca="1">IF(OFFSET(BA132,1,0,1,1)&lt;&gt;0,$BJ132*SUMIFS(RZ[Úroveň 4 bez koef. (P3)],RZ[0],AX132,RZ[Úroveň 2 (P0)],AY132,RZ[Úroveň 3 (P0)],AZ132),$BJ132*$IQ132)</f>
        <v>0</v>
      </c>
      <c r="EL132" s="140">
        <f ca="1">RZ[[#This Row],[Úroveň 4 s koef. (P3a)]]*RZ[[#This Row],[Počet MJCR (P0) pro "kg"]]</f>
        <v>0</v>
      </c>
      <c r="EM132" s="140">
        <f ca="1">RZ[Úroveň 4 bez koef. (P3a)]*RZ[[#This Row],[Počet MJCR (P0) pro "kg"]]</f>
        <v>0</v>
      </c>
      <c r="EN132" s="140">
        <f ca="1">IF(OFFSET(BB132,1,0,1,1)&lt;&gt;0,RZ[[#This Row],[Koeficient odhadu CR '[-'] (P1)]]*$BK132*SUMIFS(RZ[Úroveň 5 s koef. (P3)],RZ[0],AX132,RZ[Úroveň 2 (P0)],AY132,RZ[Úroveň 3 (P0)],AZ132,RZ[Úroveň 4 (P0)],BA132),RZ[[#This Row],[Koeficient odhadu CR '[-'] (P1)]]*$BK132*$IQ132)</f>
        <v>0</v>
      </c>
      <c r="EO132" s="140">
        <f ca="1">IF(OFFSET(BB132,1,0,1,1)&lt;&gt;0,$BK132*SUMIFS(RZ[Úroveň 5 bez koef. (P3)],RZ[0],AX132,RZ[Úroveň 2 (P0)],AY132,RZ[Úroveň 3 (P0)],AZ132,RZ[Úroveň 4 (P0)],BA132),$BK132*$IQ132)</f>
        <v>0</v>
      </c>
      <c r="EP132" s="135">
        <f ca="1">RZ[[#This Row],[Úroveň 5 s koef. (P3a)]]*RZ[[#This Row],[Počet MJCR (P0) pro "kg"]]</f>
        <v>0</v>
      </c>
      <c r="EQ132" s="135">
        <f ca="1">RZ[Úroveň 5 bez koef. (P3a)]*RZ[[#This Row],[Počet MJCR (P0) pro "kg"]]</f>
        <v>0</v>
      </c>
      <c r="ER132" s="135">
        <f ca="1">IF(OFFSET(BC132,1,0,1,1)&lt;&gt;0,RZ[[#This Row],[Koeficient odhadu CR '[-'] (P1)]]*$BL132*SUMIFS(RZ[Úroveň 6 s koef. (P3)],RZ[0],AX132,RZ[Úroveň 2 (P0)],AY132,RZ[Úroveň 3 (P0)],AZ132,RZ[Úroveň 4 (P0)],BA132,RZ[Úroveň 5 (P0)],BB132),RZ[[#This Row],[Koeficient odhadu CR '[-'] (P1)]]*$BL132*$IQ132)</f>
        <v>0</v>
      </c>
      <c r="ES132" s="135">
        <f ca="1">IF(OFFSET(BC132,1,0,1,1)&lt;&gt;0,$BL132*SUMIFS(RZ[Úroveň 6 bez koef. (P3)],RZ[0],AX132,RZ[Úroveň 2 (P0)],AY132,RZ[Úroveň 3 (P0)],AZ132,RZ[Úroveň 4 (P0)],BA132,RZ[Úroveň 5 (P0)],BB132),$BL132*$IQ132)</f>
        <v>0</v>
      </c>
      <c r="ET132" s="140">
        <f ca="1">RZ[[#This Row],[Úroveň 6 s koef. (P3a)]]*RZ[[#This Row],[Počet MJCR (P0) pro "kg"]]</f>
        <v>0</v>
      </c>
      <c r="EU132" s="140">
        <f ca="1">RZ[Úroveň 6 bez koef. (P3a)]*RZ[[#This Row],[Počet MJCR (P0) pro "kg"]]</f>
        <v>0</v>
      </c>
      <c r="EV132" s="140">
        <f ca="1">IF(OFFSET(BD132,1,0,1,1)&lt;&gt;0,RZ[[#This Row],[Koeficient odhadu CR '[-'] (P1)]]*$BM132*SUMIFS(RZ[Úroveň 7 s koef. (P3)],RZ[0],AX132,RZ[Úroveň 2 (P0)],AY132,RZ[Úroveň 3 (P0)],AZ132,RZ[Úroveň 4 (P0)],BA132,RZ[Úroveň 5 (P0)],BB132,RZ[Úroveň 6 (P0)],BC132),RZ[[#This Row],[Koeficient odhadu CR '[-'] (P1)]]*$BM132*$IQ132)</f>
        <v>0</v>
      </c>
      <c r="EW132" s="140">
        <f ca="1">IF(OFFSET(BD132,1,0,1,1)&lt;&gt;0,$BM132*SUMIFS(RZ[Úroveň 7 bez koef. (P3)],RZ[0],AX132,RZ[Úroveň 2 (P0)],AY132,RZ[Úroveň 3 (P0)],AZ132,RZ[Úroveň 4 (P0)],BA132,RZ[Úroveň 5 (P0)],BB132,RZ[Úroveň 6 (P0)],BC132),$BM132*$IQ132)</f>
        <v>0</v>
      </c>
      <c r="EX132" s="135">
        <f ca="1">RZ[[#This Row],[Úroveň 7 s koef. (P3a)]]*RZ[[#This Row],[Počet MJCR (P0) pro "kg"]]</f>
        <v>0</v>
      </c>
      <c r="EY132" s="135">
        <f ca="1">RZ[Úroveň 7 bez koef. (P3a)]*RZ[[#This Row],[Počet MJCR (P0) pro "kg"]]</f>
        <v>0</v>
      </c>
      <c r="EZ132" s="135">
        <f ca="1">IF(OFFSET(BE132,1,0,1,1)&lt;&gt;0,RZ[[#This Row],[Koeficient odhadu CR '[-'] (P1)]]*$BN132*SUMIFS(RZ[Úroveň 8 s koef. (P3)],RZ[0],AX132,RZ[Úroveň 2 (P0)],AY132,RZ[Úroveň 3 (P0)],AZ132,RZ[Úroveň 4 (P0)],BA132,RZ[Úroveň 5 (P0)],BB132,RZ[Úroveň 6 (P0)],BC132,RZ[Úroveň 7 (P0)],BD132),RZ[[#This Row],[Koeficient odhadu CR '[-'] (P1)]]*$BN132*$IQ132)</f>
        <v>0</v>
      </c>
      <c r="FA132" s="135">
        <f ca="1">IF(OFFSET(BE132,1,0,1,1)&lt;&gt;0,$BN132*SUMIFS(RZ[Úroveň 8 bez koef. (P3)],RZ[0],AX132,RZ[Úroveň 2 (P0)],AY132,RZ[Úroveň 3 (P0)],AZ132,RZ[Úroveň 4 (P0)],BA132,RZ[Úroveň 5 (P0)],BB132,RZ[Úroveň 6 (P0)],BC132,RZ[Úroveň 7 (P0)],BD132),$BN132*$IQ132)</f>
        <v>0</v>
      </c>
      <c r="FB132" s="140">
        <f ca="1">RZ[[#This Row],[Úroveň 8 s koef. (P3a)]]*RZ[[#This Row],[Počet MJCR (P0) pro "kg"]]</f>
        <v>0</v>
      </c>
      <c r="FC132" s="140">
        <f ca="1">RZ[Úroveň 8 bez koef. (P3a)]*RZ[[#This Row],[Počet MJCR (P0) pro "kg"]]</f>
        <v>0</v>
      </c>
      <c r="FD132" s="140">
        <f ca="1">IF(OFFSET(BF132,1,0,1,1)&lt;&gt;0,RZ[[#This Row],[Koeficient odhadu CR '[-'] (P1)]]*$BO132*SUMIFS(RZ[Úroveň 9 s koef. (P3)],RZ[0],AX132,RZ[Úroveň 2 (P0)],AY132,RZ[Úroveň 3 (P0)],AZ132,RZ[Úroveň 4 (P0)],BA132,RZ[Úroveň 5 (P0)],BB132,RZ[Úroveň 6 (P0)],BC132,RZ[Úroveň 7 (P0)],BD132,RZ[Úroveň 8 (P0)],BE132),RZ[[#This Row],[Koeficient odhadu CR '[-'] (P1)]]*$BO132*$IQ132)</f>
        <v>0</v>
      </c>
      <c r="FE132" s="140">
        <f ca="1">IF(OFFSET(BF132,1,0,1,1)&lt;&gt;0,$BO132*SUMIFS(RZ[Úroveň 9 bez koef. (P3)],RZ[0],AX132,RZ[Úroveň 2 (P0)],AY132,RZ[Úroveň 3 (P0)],AZ132,RZ[Úroveň 4 (P0)],BA132,RZ[Úroveň 5 (P0)],BB132,RZ[Úroveň 6 (P0)],BC132,RZ[Úroveň 7 (P0)],BD132,RZ[Úroveň 8 (P0)],BE132),$BO132*$IQ132)</f>
        <v>0</v>
      </c>
      <c r="FF132" s="135">
        <f ca="1">RZ[[#This Row],[Úroveň 9 s koef. (P3a)]]*RZ[[#This Row],[Počet MJCR (P0) pro "kg"]]</f>
        <v>0</v>
      </c>
      <c r="FG132" s="135">
        <f ca="1">RZ[Úroveň 9 bez koef. (P3a)]*RZ[[#This Row],[Počet MJCR (P0) pro "kg"]]</f>
        <v>0</v>
      </c>
      <c r="FH132" s="135">
        <f ca="1">IF(OFFSET(BG132,1,0,1,1)&lt;&gt;0,RZ[[#This Row],[Koeficient odhadu CR '[-'] (P1)]]*$BP132*SUMIFS(RZ[Úroveň 10 s koef. (P3)],RZ[0],AX132,RZ[Úroveň 2 (P0)],AY132,RZ[Úroveň 3 (P0)],AZ132,RZ[Úroveň 4 (P0)],BA132,RZ[Úroveň 5 (P0)],BB132,RZ[Úroveň 6 (P0)],BC132,RZ[Úroveň 7 (P0)],BD132,RZ[Úroveň 8 (P0)],BE132,RZ[Úroveň 9 (P0)],BF132),RZ[[#This Row],[Koeficient odhadu CR '[-'] (P1)]]*$BP132*$IQ132)</f>
        <v>0</v>
      </c>
      <c r="FI132" s="135">
        <f ca="1">IF(OFFSET(BG132,1,0,1,1)&lt;&gt;0,$BP132*SUMIFS(RZ[Úroveň 10 bez koef. (P3)],RZ[0],AX132,RZ[Úroveň 2 (P0)],AY132,RZ[Úroveň 3 (P0)],AZ132,RZ[Úroveň 4 (P0)],BA132,RZ[Úroveň 5 (P0)],BB132,RZ[Úroveň 6 (P0)],BC132,RZ[Úroveň 7 (P0)],BD132,RZ[Úroveň 8 (P0)],BE132,RZ[Úroveň 9 (P0)],BF132),$BP132*$IQ132)</f>
        <v>0</v>
      </c>
      <c r="FJ132" s="140">
        <f ca="1">RZ[[#This Row],[Úroveň 10 s koef. (P3a)]]*RZ[[#This Row],[Počet MJCR (P0) pro "kg"]]</f>
        <v>0</v>
      </c>
      <c r="FK132" s="140">
        <f ca="1">RZ[Úroveň 10 bez koef. (P3a)]*RZ[[#This Row],[Počet MJCR (P0) pro "kg"]]</f>
        <v>0</v>
      </c>
      <c r="FL132" s="140">
        <f ca="1">RZ[[#This Row],[Koeficient odhadu CR '[-'] (P1)]]*$BQ132*IQ132</f>
        <v>0</v>
      </c>
      <c r="FM132" s="236">
        <f t="shared" ca="1" si="51"/>
        <v>0</v>
      </c>
      <c r="FN132" s="194">
        <f t="shared" ca="1" si="123"/>
        <v>50</v>
      </c>
      <c r="FO132" s="238">
        <f t="shared" ca="1" si="124"/>
        <v>50</v>
      </c>
      <c r="FP132" s="191">
        <f t="shared" ca="1" si="54"/>
        <v>0</v>
      </c>
      <c r="FQ132" s="135">
        <f t="shared" ca="1" si="55"/>
        <v>1E-3</v>
      </c>
      <c r="FR132" s="135">
        <f t="shared" ca="1" si="56"/>
        <v>0</v>
      </c>
      <c r="FS132" s="135">
        <f t="shared" ca="1" si="57"/>
        <v>0</v>
      </c>
      <c r="FT132" s="135">
        <f t="shared" ca="1" si="58"/>
        <v>0</v>
      </c>
      <c r="FU132" s="135">
        <f t="shared" ca="1" si="59"/>
        <v>0</v>
      </c>
      <c r="FV132" s="135">
        <f t="shared" ca="1" si="60"/>
        <v>0</v>
      </c>
      <c r="FW132" s="135">
        <f t="shared" ca="1" si="61"/>
        <v>0</v>
      </c>
      <c r="FX132" s="135">
        <f t="shared" ca="1" si="62"/>
        <v>0</v>
      </c>
      <c r="FY132" s="135">
        <f t="shared" ca="1" si="63"/>
        <v>0</v>
      </c>
      <c r="FZ132" s="140">
        <f ca="1">SUMIFS(RZ[Úroveň 1 (P6)],RZ[0],AX132)</f>
        <v>1</v>
      </c>
      <c r="GA132" s="140">
        <f ca="1">SUMIFS(RZ[Úroveň 2 (P6)],RZ[0],AX132,RZ[Úroveň 2 (P0)],AY132)</f>
        <v>1E-3</v>
      </c>
      <c r="GB132" s="140">
        <f ca="1">SUMIFS(RZ[Úroveň 3 (P6)],RZ[0],AX132,RZ[Úroveň 2 (P0)],AY132,RZ[Úroveň 3 (P0)],AZ132)</f>
        <v>0</v>
      </c>
      <c r="GC132" s="140">
        <f ca="1">SUMIFS(RZ[Úroveň 4 (P6)],RZ[0],AX132,RZ[Úroveň 2 (P0)],AY132,RZ[Úroveň 3 (P0)],AZ132,RZ[Úroveň 4 (P0)],BA132)</f>
        <v>0</v>
      </c>
      <c r="GD132" s="140">
        <f ca="1">SUMIFS(RZ[Úroveň 5 (P6)],RZ[0],AX132,RZ[Úroveň 2 (P0)],AY132,RZ[Úroveň 3 (P0)],AZ132,RZ[Úroveň 4 (P0)],BA132,RZ[Úroveň 5 (P0)],BB132)</f>
        <v>0</v>
      </c>
      <c r="GE132" s="140">
        <f ca="1">SUMIFS(RZ[Úroveň 6 (P6)],RZ[0],AX132,RZ[Úroveň 2 (P0)],AY132,RZ[Úroveň 3 (P0)],AZ132,RZ[Úroveň 4 (P0)],BA132,RZ[Úroveň 5 (P0)],BB132,RZ[Úroveň 6 (P0)],BC132)</f>
        <v>0</v>
      </c>
      <c r="GF132" s="140">
        <f ca="1">SUMIFS(RZ[Úroveň 7 (P6)],RZ[0],AX132,RZ[Úroveň 2 (P0)],AY132,RZ[Úroveň 3 (P0)],AZ132,RZ[Úroveň 4 (P0)],BA132,RZ[Úroveň 5 (P0)],BB132,RZ[Úroveň 6 (P0)],BC132,RZ[Úroveň 7 (P0)],BD132)</f>
        <v>0</v>
      </c>
      <c r="GG132" s="140">
        <f ca="1">SUMIFS(RZ[Úroveň 8 (P6)],RZ[0],AX132,RZ[Úroveň 2 (P0)],AY132,RZ[Úroveň 3 (P0)],AZ132,RZ[Úroveň 4 (P0)],BA132,RZ[Úroveň 5 (P0)],BB132,RZ[Úroveň 6 (P0)],BC132,RZ[Úroveň 7 (P0)],BD132,RZ[Úroveň 8 (P0)],BE132)</f>
        <v>0</v>
      </c>
      <c r="GH132" s="140">
        <f ca="1">SUMIFS(RZ[Úroveň 9 (P6)],RZ[0],AX132,RZ[Úroveň 2 (P0)],AY132,RZ[Úroveň 3 (P0)],AZ132,RZ[Úroveň 4 (P0)],BA132,RZ[Úroveň 5 (P0)],BB132,RZ[Úroveň 6 (P0)],BC132,RZ[Úroveň 7 (P0)],BD132,RZ[Úroveň 8 (P0)],BE132,RZ[Úroveň 9 (P0)],BF132)</f>
        <v>0</v>
      </c>
      <c r="GI132" s="140">
        <f ca="1">SUMIFS(RZ[Úroveň 10 (P6)],RZ[0],AX132,RZ[Úroveň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GJ132" s="194">
        <f t="shared" ca="1" si="125"/>
        <v>1E-3</v>
      </c>
      <c r="GK132" s="807">
        <f t="shared" si="65"/>
        <v>0</v>
      </c>
      <c r="GL132" s="808">
        <f t="shared" si="66"/>
        <v>1</v>
      </c>
      <c r="GM132" s="808">
        <f t="shared" si="67"/>
        <v>0</v>
      </c>
      <c r="GN132" s="808">
        <f t="shared" si="68"/>
        <v>0</v>
      </c>
      <c r="GO132" s="808">
        <f t="shared" si="69"/>
        <v>0</v>
      </c>
      <c r="GP132" s="808">
        <f t="shared" si="70"/>
        <v>0</v>
      </c>
      <c r="GQ132" s="808">
        <f t="shared" si="71"/>
        <v>0</v>
      </c>
      <c r="GR132" s="808">
        <f t="shared" si="72"/>
        <v>0</v>
      </c>
      <c r="GS132" s="808">
        <f t="shared" si="73"/>
        <v>0</v>
      </c>
      <c r="GT132" s="808">
        <f t="shared" si="74"/>
        <v>0</v>
      </c>
      <c r="GU132" s="809">
        <f ca="1">SUMIFS(RZ[Sloupec1],RZ[0],AX132)</f>
        <v>1</v>
      </c>
      <c r="GV132" s="809">
        <f ca="1">SUMIFS(RZ[Sloupec2],RZ[0],AX132,RZ[Úroveň 2 (P0)],AY132)</f>
        <v>1</v>
      </c>
      <c r="GW132" s="809">
        <f ca="1">SUMIFS(RZ[Sloupec3],RZ[0],AX132,RZ[Úroveň 2 (P0)],AY132,RZ[Úroveň 3 (P0)],AZ132)</f>
        <v>0</v>
      </c>
      <c r="GX132" s="809">
        <f ca="1">SUMIFS(RZ[Sloupec4],RZ[0],AX132,RZ[Úroveň 2 (P0)],AY132,RZ[Úroveň 3 (P0)],AZ132,RZ[Úroveň 4 (P0)],BA132)</f>
        <v>0</v>
      </c>
      <c r="GY132" s="809">
        <f ca="1">SUMIFS(RZ[Sloupec5],RZ[0],AX132,RZ[Úroveň 2 (P0)],AY132,RZ[Úroveň 3 (P0)],AZ132,RZ[Úroveň 4 (P0)],BA132,RZ[Úroveň 5 (P0)],BB132)</f>
        <v>0</v>
      </c>
      <c r="GZ132" s="809">
        <f ca="1">SUMIFS(RZ[Sloupec6],RZ[0],AX132,RZ[Úroveň 2 (P0)],AY132,RZ[Úroveň 3 (P0)],AZ132,RZ[Úroveň 4 (P0)],BA132,RZ[Úroveň 5 (P0)],BB132,RZ[Úroveň 6 (P0)],BC132)</f>
        <v>0</v>
      </c>
      <c r="HA132" s="809">
        <f ca="1">SUMIFS(RZ[Sloupec62],RZ[0],AX132,RZ[Úroveň 2 (P0)],AY132,RZ[Úroveň 3 (P0)],AZ132,RZ[Úroveň 4 (P0)],BA132,RZ[Úroveň 5 (P0)],BB132,RZ[Úroveň 6 (P0)],BC132,RZ[Úroveň 7 (P0)],BD132)</f>
        <v>0</v>
      </c>
      <c r="HB132" s="809">
        <f ca="1">SUMIFS(RZ[Sloupec63],RZ[0],AX132,RZ[Úroveň 2 (P0)],AY132,RZ[Úroveň 3 (P0)],AZ132,RZ[Úroveň 4 (P0)],BA132,RZ[Úroveň 5 (P0)],BB132,RZ[Úroveň 6 (P0)],BC132,RZ[Úroveň 7 (P0)],BD132,RZ[Úroveň 8 (P0)],BE132)</f>
        <v>0</v>
      </c>
      <c r="HC132" s="809">
        <f ca="1">SUMIFS(RZ[Sloupec64],RZ[0],AX132,RZ[Úroveň 2 (P0)],AY132,RZ[Úroveň 3 (P0)],AZ132,RZ[Úroveň 4 (P0)],BA132,RZ[Úroveň 5 (P0)],BB132,RZ[Úroveň 6 (P0)],BC132,RZ[Úroveň 7 (P0)],BD132,RZ[Úroveň 8 (P0)],BE132,RZ[Úroveň 9 (P0)],BF132)</f>
        <v>0</v>
      </c>
      <c r="HD132" s="809">
        <f ca="1">SUMIFS(RZ[Sloupec65],RZ[0],AX132,RZ[Úroveň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HE132" s="803">
        <f t="shared" ca="1" si="75"/>
        <v>1</v>
      </c>
      <c r="HF132" s="48" t="str">
        <f t="shared" si="76"/>
        <v/>
      </c>
      <c r="HG132" s="94" t="str">
        <f t="shared" si="77"/>
        <v/>
      </c>
      <c r="HH132" s="95" t="str">
        <f t="shared" si="78"/>
        <v>Protizávaží</v>
      </c>
      <c r="HI132" s="95" t="str">
        <f t="shared" si="79"/>
        <v/>
      </c>
      <c r="HJ132" s="96" t="str">
        <f t="shared" si="80"/>
        <v/>
      </c>
      <c r="HK132" s="96" t="str">
        <f t="shared" si="81"/>
        <v/>
      </c>
      <c r="HL132" s="96" t="str">
        <f t="shared" si="82"/>
        <v/>
      </c>
      <c r="HM132" s="96" t="str">
        <f t="shared" si="83"/>
        <v/>
      </c>
      <c r="HN132" s="96" t="str">
        <f t="shared" si="84"/>
        <v/>
      </c>
      <c r="HO132" s="96" t="str">
        <f t="shared" si="85"/>
        <v/>
      </c>
      <c r="HP132" s="96" t="str">
        <f t="shared" si="86"/>
        <v/>
      </c>
      <c r="HQ132" s="145" t="str">
        <f t="shared" si="87"/>
        <v>OSZO</v>
      </c>
      <c r="HR132" s="175" t="str">
        <f t="shared" si="88"/>
        <v/>
      </c>
      <c r="HS132" s="173">
        <f t="shared" si="89"/>
        <v>0</v>
      </c>
      <c r="HT132" s="99">
        <f t="shared" si="90"/>
        <v>0</v>
      </c>
      <c r="HU132" s="99">
        <f t="shared" si="91"/>
        <v>0</v>
      </c>
      <c r="HV132" s="209">
        <f t="shared" si="92"/>
        <v>0</v>
      </c>
      <c r="HW132" s="47">
        <f t="shared" si="93"/>
        <v>0</v>
      </c>
      <c r="HX132" s="46">
        <f t="shared" si="94"/>
        <v>0</v>
      </c>
      <c r="HY132" s="149" t="str">
        <f t="shared" si="95"/>
        <v>S</v>
      </c>
      <c r="HZ132" s="263">
        <f t="shared" si="96"/>
        <v>0</v>
      </c>
      <c r="IA132" s="150">
        <f t="shared" si="97"/>
        <v>1</v>
      </c>
      <c r="IB132" s="319">
        <f t="shared" si="98"/>
        <v>0</v>
      </c>
      <c r="IC132" s="220">
        <f t="shared" si="99"/>
        <v>0</v>
      </c>
      <c r="ID132" s="200" t="str">
        <f t="shared" ca="1" si="100"/>
        <v>OK</v>
      </c>
      <c r="IE132" s="201" t="str">
        <f t="shared" si="101"/>
        <v>ks</v>
      </c>
      <c r="IF132" s="145">
        <f t="shared" si="102"/>
        <v>1</v>
      </c>
      <c r="IG132" s="216">
        <f t="shared" si="103"/>
        <v>1E-3</v>
      </c>
      <c r="IH132" s="217">
        <f t="shared" si="126"/>
        <v>1</v>
      </c>
      <c r="II132" s="224" t="str">
        <f ca="1">IF(RZ[[#This Row],[Rozhodný sloupec indikativní ceny]]=1,"kg",IF($IW132=$JL$15,IF(JX132=0,JO132,JX132),IF($IW132=$KE$15,IF(KQ132=0,KH132,KQ132),IF($IW132=$KX$15,IF(LJ132=0,LA132,LJ132),IF($IW132=$LQ$15,IF(MC132=0,LT132,MC132),IF($IW132=$MJ$15,IF(NQ132=0,NH132,NQ132),0))))))</f>
        <v>kg</v>
      </c>
      <c r="IJ132" s="224">
        <f ca="1">IF((BH132+OFFSET(BH132,1,1,1,1))=2,RZ[[#This Row],[Počet MJHR (P0)]],IF((BI132+OFFSET(BI132,1,1,1,1))=2,RZ[[#This Row],[Počet MJHR (P0)]],IF((BJ132+OFFSET(BJ132,1,1,1,1))=2,RZ[[#This Row],[Počet MJHR (P0)]],IF((BK132+OFFSET(BK132,1,1,1,1))=2,RZ[[#This Row],[Počet MJHR (P0)]],IF((BL132+OFFSET(BL132,1,1,1,1))=2,RZ[[#This Row],[Počet MJHR (P0)]],IF((BM132+OFFSET(BM132,1,1,1,1))=2,RZ[[#This Row],[Počet MJHR (P0)]],IF((BN132+OFFSET(BN132,1,1,1,1))=2,RZ[[#This Row],[Počet MJHR (P0)]],IF((BO132+OFFSET(BO132,1,1,1,1))=2,RZ[[#This Row],[Počet MJHR (P0)]],IF((BP132+OFFSET(BP132,1,1,1,1))=2,RZ[[#This Row],[Počet MJHR (P0)]],IF((BQ132+OFFSET(BQ132,1,1,1,1))=2,RZ[[#This Row],[Počet MJHR (P0)]],IF(RZ[[#This Row],[Měrná jednotka CR (MJCR) (P0)]]=RZ[[#This Row],[Měrná jednotka HR '[MJHR'] (P0)]],RZ[[#This Row],[Počet MJHR (P0)]],IF($IW132=$JL$15,JY132,IF($IW132=$KE$15,KR132,IF($IW132=$KX$15,LK132,IF($IW132=$LQ$15,MD132,IF($IW132=$MJ$15,NR132,0))))))))))))))))</f>
        <v>0</v>
      </c>
      <c r="IK1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1E-3</v>
      </c>
      <c r="IL132" s="330">
        <f ca="1">IF(AND(RZ[[#This Row],[Jednotková cena bez DPH '[cena/MJCR'] (P0)]]=0,RZ[[#This Row],[Indikativní jednotková cena '[CZK/kg'] (P1)]]&lt;&gt;0),1,0)</f>
        <v>1</v>
      </c>
      <c r="IM132" s="217">
        <f ca="1">VLOOKUP(RZ[[#This Row],[Kód položek]],INDIKAT_CENA,2,FALSE)</f>
        <v>50</v>
      </c>
      <c r="IN132" s="222">
        <f ca="1">IF(RZ[[#This Row],[Rozhodný sloupec indikativní ceny]]=1,RZ[[#This Row],[Indikativní jednotková cena '[CZK/kg'] (P1)]],RZ[[#This Row],[Jednotková cena bez DPH '[cena/MJCR'] (P0)]])</f>
        <v>50</v>
      </c>
      <c r="IO132" s="222">
        <f t="shared" si="127"/>
        <v>1</v>
      </c>
      <c r="IP132" s="223">
        <f ca="1">IF(RZ[[#This Row],[Rozhodný sloupec indikativní ceny]]=1,1,IF($IW132=$JL$15,KA132,IF($IW132=$KE$15,KT132,IF($IW132=$KX$15,LM132,IF($IW132=$LQ$15,MF132,IF($IW132=$MJ$15,NT132,0))))))</f>
        <v>1</v>
      </c>
      <c r="IQ132" s="225">
        <f ca="1">IF(RZ[[#This Row],[Jednotková cena bez DPH '[cena/MJCR'] (P1)]]="",0,IF(IP132=0,0,(RZ[[#This Row],[Jednotková cena bez DPH '[cena/MJCR'] (P1)]]*VLOOKUP(IP132,$BR$7:$BT$10,3))))</f>
        <v>50</v>
      </c>
      <c r="IR132" s="737"/>
      <c r="IS132" s="627">
        <f>IF(HY132=0,"",VLOOKUP(RZ[[#This Row],[Stav Projekce (P0)]],Vstupy!$E$11:'Vstupy'!$E$11:$H$17,4,FALSE))</f>
        <v>100</v>
      </c>
      <c r="IT132" s="628" t="str">
        <f>IF(RZ[[#This Row],[Stav Projekce (P0)]]=0,"",RZ[[#This Row],[Stav Projekce (P0)]])</f>
        <v>S</v>
      </c>
      <c r="IU132" s="628" t="str">
        <f>IF(RZ[[#This Row],[Stav Nákup (P0)]]=0,"",RZ[[#This Row],[Stav Nákup (P0)]])</f>
        <v/>
      </c>
      <c r="IV132" s="636" t="str">
        <f t="shared" si="128"/>
        <v/>
      </c>
      <c r="IW132" s="641">
        <v>1</v>
      </c>
      <c r="IX132" s="630"/>
      <c r="IY132" s="264"/>
      <c r="IZ132" s="648"/>
      <c r="JA132" s="100" t="s">
        <v>751</v>
      </c>
      <c r="JB132" s="100"/>
      <c r="JC132" s="100"/>
      <c r="JD132" s="100"/>
      <c r="JE132" s="100"/>
      <c r="JF132" s="100"/>
      <c r="JG132" s="100"/>
      <c r="JH132" s="100"/>
      <c r="JI132" s="100"/>
      <c r="JJ132" s="145" t="s">
        <v>843</v>
      </c>
      <c r="JK132" s="529"/>
      <c r="JL132" s="286"/>
      <c r="JM132" s="100"/>
      <c r="JN132" s="100"/>
      <c r="JO132" s="145" t="s">
        <v>35</v>
      </c>
      <c r="JP132" s="117">
        <v>1</v>
      </c>
      <c r="JQ132" s="117">
        <v>1E-3</v>
      </c>
      <c r="JR132" s="148">
        <v>1</v>
      </c>
      <c r="JS132" s="145" t="s">
        <v>602</v>
      </c>
      <c r="JT132" s="631"/>
      <c r="JU132" s="148"/>
      <c r="JV132" s="154"/>
      <c r="JW132" s="145"/>
      <c r="JX132" s="210"/>
      <c r="JY132" s="117"/>
      <c r="JZ132" s="662"/>
      <c r="KA132" s="145"/>
      <c r="KB132" s="148"/>
      <c r="KC132" s="148"/>
      <c r="KD132" s="644"/>
      <c r="KE132" s="286"/>
      <c r="KF132" s="100"/>
      <c r="KG132" s="100"/>
      <c r="KH132" s="210"/>
      <c r="KI132" s="117"/>
      <c r="KJ132" s="117"/>
      <c r="KK132" s="148"/>
      <c r="KL132" s="145"/>
      <c r="KM132" s="632"/>
      <c r="KN132" s="148"/>
      <c r="KO132" s="154"/>
      <c r="KP132" s="154"/>
      <c r="KQ132" s="210"/>
      <c r="KR132" s="117"/>
      <c r="KS132" s="211"/>
      <c r="KT132" s="145"/>
      <c r="KU132" s="148"/>
      <c r="KV132" s="148"/>
      <c r="KW132" s="265"/>
      <c r="KX132" s="286"/>
      <c r="KY132" s="100"/>
      <c r="KZ132" s="100"/>
      <c r="LA132" s="210"/>
      <c r="LB132" s="117"/>
      <c r="LC132" s="117"/>
      <c r="LD132" s="148"/>
      <c r="LE132" s="145"/>
      <c r="LF132" s="632"/>
      <c r="LG132" s="148"/>
      <c r="LH132" s="154"/>
      <c r="LI132" s="154"/>
      <c r="LJ132" s="154"/>
      <c r="LK132" s="117"/>
      <c r="LL132" s="211"/>
      <c r="LM132" s="210"/>
      <c r="LN132" s="148"/>
      <c r="LO132" s="148"/>
      <c r="LP132" s="265"/>
      <c r="LQ132" s="286"/>
      <c r="LR132" s="100"/>
      <c r="LS132" s="100"/>
      <c r="LT132" s="210"/>
      <c r="LU132" s="117"/>
      <c r="LV132" s="117"/>
      <c r="LW132" s="148"/>
      <c r="LX132" s="145"/>
      <c r="LY132" s="632"/>
      <c r="LZ132" s="148"/>
      <c r="MA132" s="154"/>
      <c r="MB132" s="154"/>
      <c r="MC132" s="145"/>
      <c r="MD132" s="117"/>
      <c r="ME132" s="211"/>
      <c r="MF132" s="210"/>
      <c r="MG132" s="148"/>
      <c r="MH132" s="148"/>
      <c r="MI132" s="265"/>
      <c r="MJ132" s="647"/>
      <c r="MK132" s="264"/>
      <c r="ML132" s="153"/>
      <c r="MM132" s="153"/>
      <c r="MN132" s="153"/>
      <c r="MO132" s="153"/>
      <c r="MP132" s="153"/>
      <c r="MQ132" s="153"/>
      <c r="MR132" s="153"/>
      <c r="MS132" s="99"/>
      <c r="MT132" s="99"/>
      <c r="MU132" s="99"/>
      <c r="MV132" s="99"/>
      <c r="MW132" s="99"/>
      <c r="MX132" s="99"/>
      <c r="MY132" s="153"/>
      <c r="MZ132" s="153"/>
      <c r="NA132" s="153"/>
      <c r="NB132" s="153"/>
      <c r="NC132" s="153"/>
      <c r="ND132" s="153"/>
      <c r="NE132" s="153"/>
      <c r="NF132" s="153"/>
      <c r="NG132" s="153"/>
      <c r="NH132" s="330" t="str">
        <f>"ks"</f>
        <v>ks</v>
      </c>
      <c r="NI132" s="797">
        <f>RZ[[#This Row],[Počet ks (K)]]</f>
        <v>0</v>
      </c>
      <c r="NJ132" s="798">
        <f>RZ[[#This Row],[Hmotnost '[kg/ks'] (K)]]</f>
        <v>0</v>
      </c>
      <c r="NK132" s="153"/>
      <c r="NL132" s="153"/>
      <c r="NM132" s="632"/>
      <c r="NN132" s="153"/>
      <c r="NO132" s="153"/>
      <c r="NP132" s="153"/>
      <c r="NQ132" s="153"/>
      <c r="NR132" s="153"/>
      <c r="NS132" s="153"/>
      <c r="NT132" s="153"/>
      <c r="NU132" s="153"/>
      <c r="NV132" s="148"/>
      <c r="NW132" s="633"/>
    </row>
    <row r="133" spans="2:387" ht="15.95" customHeight="1" thickBot="1" x14ac:dyDescent="0.4">
      <c r="B133" s="118" t="str">
        <f t="shared" si="1"/>
        <v/>
      </c>
      <c r="C1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3" s="262" t="str">
        <f t="shared" si="2"/>
        <v xml:space="preserve">  Kabelový přívod</v>
      </c>
      <c r="E133" s="120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Row],[Kód položek (P2)]]))))))))))</f>
        <v>STO2</v>
      </c>
      <c r="F133" s="122" t="str">
        <f t="shared" si="3"/>
        <v>N/A</v>
      </c>
      <c r="G133" s="121" t="str">
        <f t="shared" si="4"/>
        <v/>
      </c>
      <c r="H133" s="122" t="str">
        <f t="shared" si="5"/>
        <v/>
      </c>
      <c r="I133" s="123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HR '[MJHR'] (P0)]]))))))))))</f>
        <v>ks</v>
      </c>
      <c r="J133" s="123">
        <f t="shared" si="6"/>
        <v>2</v>
      </c>
      <c r="K133" s="151">
        <f>RZ[[#This Row],[Koeficient odhadu HR '[-'] (P1)]]</f>
        <v>1</v>
      </c>
      <c r="L133" s="124">
        <f ca="1">RZ[[#This Row],[Jednotková hmotnost s koef. '[kg/MJHR'] (P0)]]</f>
        <v>198.6</v>
      </c>
      <c r="M133" s="124">
        <f t="shared" ca="1" si="7"/>
        <v>0</v>
      </c>
      <c r="N133" s="125">
        <f t="shared" ca="1" si="8"/>
        <v>397.2</v>
      </c>
      <c r="O133" s="125">
        <f t="shared" ca="1" si="9"/>
        <v>0</v>
      </c>
      <c r="P133" s="328" t="str">
        <f t="shared" si="10"/>
        <v/>
      </c>
      <c r="Q133" s="743">
        <f ca="1">RZ[[#This Row],[Počet MJHR v rozpadu (P0)]]</f>
        <v>2</v>
      </c>
      <c r="R133" s="439" t="str">
        <f t="shared" si="11"/>
        <v/>
      </c>
      <c r="S133" s="129" t="str">
        <f t="shared" si="12"/>
        <v/>
      </c>
      <c r="T133" s="130" t="str">
        <f t="shared" si="13"/>
        <v/>
      </c>
      <c r="U133" s="126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CR (MJCR) (P0)]]))))))))))</f>
        <v>kg</v>
      </c>
      <c r="V133" s="575">
        <f t="shared" ca="1" si="14"/>
        <v>397.2</v>
      </c>
      <c r="W133" s="322">
        <f>RZ[[#This Row],[Koeficient odhadu CR '[-'] (P1)]]</f>
        <v>1</v>
      </c>
      <c r="X133" s="440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Row],[Jednotková cena bez DPH '[cena/MJCR'] (P1)]]*RZ[[#This Row],[Koeficient odhadu CR '[-']]]))))))))))</f>
        <v>115</v>
      </c>
      <c r="Y133" s="440">
        <f t="shared" ca="1" si="108"/>
        <v>0</v>
      </c>
      <c r="Z133" s="142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VLOOKUP(IP133,$BR$7:$BS$11,2,FALSE)))))))))))</f>
        <v>CZK</v>
      </c>
      <c r="AA133" s="811">
        <f t="shared" ca="1" si="16"/>
        <v>397.2</v>
      </c>
      <c r="AB133" s="814">
        <f ca="1">RZ[[#This Row],[Kumulovaný koeficient v rozpadu (P0)]]</f>
        <v>1</v>
      </c>
      <c r="AC133" s="260"/>
      <c r="AD133" s="510">
        <f ca="1">RZ[[#This Row],[Jednotková cena bez DPH '[cena/MJCR'] s koef. (P0)]]/RZ[[#This Row],[Koeficient odhadu CR '[-']]]*RZ[[#This Row],[Kumulovaný koeficient odhadu CR  '[-']]]</f>
        <v>115</v>
      </c>
      <c r="AE133" s="511">
        <f t="shared" ca="1" si="17"/>
        <v>45678</v>
      </c>
      <c r="AF133" s="512">
        <f ca="1">-IF(ISNUMBER(AA133),RZ[[#This Row],[Celková cena bez DPH (1)]]-RZ[[#This Row],[Jednotková cena bez DPH '[cena/MJCR'] bez koef. (P0)]]*AA133,0)</f>
        <v>0</v>
      </c>
      <c r="AG1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3" s="261"/>
      <c r="AI133" s="510">
        <f t="shared" ca="1" si="18"/>
        <v>4.2592592592592595</v>
      </c>
      <c r="AJ133" s="511">
        <f t="shared" ca="1" si="19"/>
        <v>1691.7777777777778</v>
      </c>
      <c r="AK133" s="512">
        <f t="shared" ca="1" si="20"/>
        <v>0</v>
      </c>
      <c r="AL133" s="753">
        <f ca="1">RZ[[#This Row],[Kilogramová cena bez DPH '[cena/kg'] (1)]]/$AK$13</f>
        <v>4.2592592592592595</v>
      </c>
      <c r="AM133" s="261"/>
      <c r="AN133" s="510">
        <f t="shared" ca="1" si="21"/>
        <v>5.5555555555555554</v>
      </c>
      <c r="AO133" s="511">
        <f t="shared" ca="1" si="22"/>
        <v>2206.6666666666665</v>
      </c>
      <c r="AP133" s="512">
        <f t="shared" ca="1" si="23"/>
        <v>0</v>
      </c>
      <c r="AQ133" s="753">
        <f ca="1">RZ[[#This Row],[Kilogramová cena bez DPH '[cena/kg'] (1)]]/$AP$13</f>
        <v>5.5555555555555554</v>
      </c>
      <c r="AR133" s="261"/>
      <c r="AS133" s="510">
        <f t="shared" ca="1" si="24"/>
        <v>3.1455142231947484</v>
      </c>
      <c r="AT133" s="511">
        <f t="shared" ca="1" si="25"/>
        <v>1249.3982494529539</v>
      </c>
      <c r="AU133" s="511">
        <f t="shared" ca="1" si="26"/>
        <v>0</v>
      </c>
      <c r="AV133" s="767">
        <f ca="1">RZ[[#This Row],[Kilogramová cena bez DPH '[cena/kg'] (1)]]/$AU$13</f>
        <v>3.1455142231947484</v>
      </c>
      <c r="AW133" s="165"/>
      <c r="AX133" s="110">
        <f t="shared" ca="1" si="27"/>
        <v>2</v>
      </c>
      <c r="AY133" s="55">
        <f t="shared" ca="1" si="28"/>
        <v>16</v>
      </c>
      <c r="AZ133" s="111">
        <f t="shared" ca="1" si="29"/>
        <v>0</v>
      </c>
      <c r="BA133" s="111">
        <f t="shared" ca="1" si="30"/>
        <v>0</v>
      </c>
      <c r="BB133" s="111">
        <f t="shared" ca="1" si="31"/>
        <v>0</v>
      </c>
      <c r="BC133" s="111">
        <f t="shared" ca="1" si="32"/>
        <v>0</v>
      </c>
      <c r="BD133" s="111">
        <f t="shared" ca="1" si="33"/>
        <v>0</v>
      </c>
      <c r="BE133" s="111">
        <f t="shared" ca="1" si="109"/>
        <v>0</v>
      </c>
      <c r="BF133" s="111">
        <f t="shared" ca="1" si="34"/>
        <v>0</v>
      </c>
      <c r="BG133" s="112">
        <f t="shared" ca="1" si="35"/>
        <v>0</v>
      </c>
      <c r="BH133" s="110">
        <f t="shared" si="110"/>
        <v>0</v>
      </c>
      <c r="BI133" s="55">
        <f t="shared" si="111"/>
        <v>1</v>
      </c>
      <c r="BJ133" s="55">
        <f t="shared" si="112"/>
        <v>0</v>
      </c>
      <c r="BK133" s="111">
        <f t="shared" si="113"/>
        <v>0</v>
      </c>
      <c r="BL133" s="111">
        <f t="shared" si="114"/>
        <v>0</v>
      </c>
      <c r="BM133" s="111">
        <f t="shared" si="115"/>
        <v>0</v>
      </c>
      <c r="BN133" s="111">
        <f t="shared" si="116"/>
        <v>0</v>
      </c>
      <c r="BO133" s="111">
        <f t="shared" si="117"/>
        <v>0</v>
      </c>
      <c r="BP133" s="111">
        <f t="shared" si="118"/>
        <v>0</v>
      </c>
      <c r="BQ133" s="112">
        <f t="shared" si="119"/>
        <v>0</v>
      </c>
      <c r="BR133" s="186">
        <f ca="1">IF(OFFSET(AY133,1,0,1,1)&lt;&gt;0,RZ[[#This Row],[Koeficient odhadu HR '[-'] (P1)]]*$BH133*SUMIFS(RZ[Úroveň 2 s koef. (P2)],RZ[0],AX133),RZ[[#This Row],[Koeficient odhadu HR '[-'] (P1)]]*$BH133*$IG133)</f>
        <v>0</v>
      </c>
      <c r="BS133" s="186">
        <f ca="1">IF(OFFSET(AY133,1,0,1,1)&lt;&gt;0,$BH133*SUMIFS(RZ[Úroveň 2 bez koef. (P2)],RZ[0],AX133),$BH133*$IG133)</f>
        <v>0</v>
      </c>
      <c r="BT133" s="138">
        <f ca="1">RZ[[#This Row],[Úroveň 2 s koef. (P2a)]]*RZ[[#This Row],[Počet MJHR (P0)]]</f>
        <v>397.2</v>
      </c>
      <c r="BU133" s="138">
        <f ca="1">RZ[[#This Row],[Úroveň 2 bez koef. (P2a)]]*RZ[[#This Row],[Počet MJHR (P0)]]</f>
        <v>397.2</v>
      </c>
      <c r="BV133" s="138">
        <f ca="1">IF(OFFSET(AZ133,1,0,1,1)&lt;&gt;0,RZ[[#This Row],[Koeficient odhadu HR '[-'] (P1)]]*$BI133*SUMIFS(RZ[Úroveň 3 s koef. (P2)],RZ[0],AX133,RZ[Úroveň 2 (P0)],AY133),RZ[[#This Row],[Koeficient odhadu HR '[-'] (P1)]]*$BI133*$IG133)</f>
        <v>198.6</v>
      </c>
      <c r="BW133" s="138">
        <f ca="1">IF(OFFSET(AZ133,1,0,1,1)&lt;&gt;0,$BI133*SUMIFS(RZ[Úroveň 3 bez koef. (P2)],RZ[0],AX133,RZ[Úroveň 2 (P0)],AY133),$BI133*$IG133)</f>
        <v>198.6</v>
      </c>
      <c r="BX133" s="132">
        <f ca="1">RZ[[#This Row],[Úroveň 3 s koef. (P2a)]]*RZ[[#This Row],[Počet MJHR (P0)]]</f>
        <v>0</v>
      </c>
      <c r="BY133" s="132">
        <f ca="1">RZ[Úroveň 3 bez koef. (P2a)]*RZ[[#This Row],[Počet MJHR (P0)]]</f>
        <v>0</v>
      </c>
      <c r="BZ133" s="132">
        <f ca="1">IF(OFFSET(BA133,1,0,1,1)&lt;&gt;0,RZ[[#This Row],[Koeficient odhadu HR '[-'] (P1)]]*$BJ133*SUMIFS(RZ[Úroveň 4 s koef. (P2)],RZ[0],AX133,RZ[Úroveň 2 (P0)],AY133,RZ[Úroveň 3 (P0)],AZ133),RZ[[#This Row],[Koeficient odhadu HR '[-'] (P1)]]*$BJ133*$IG133)</f>
        <v>0</v>
      </c>
      <c r="CA133" s="132">
        <f ca="1">IF(OFFSET(BA133,1,0,1,1)&lt;&gt;0,$BJ133*SUMIFS(RZ[Úroveň 4 bez koef. (P2)],RZ[0],AX133,RZ[Úroveň 2 (P0)],AY133,RZ[Úroveň 3 (P0)],AZ133),$BJ133*$IG133)</f>
        <v>0</v>
      </c>
      <c r="CB133" s="138">
        <f ca="1">RZ[[#This Row],[Úroveň 4 s koef. (P2a)]]*RZ[[#This Row],[Počet MJHR (P0)]]</f>
        <v>0</v>
      </c>
      <c r="CC133" s="138">
        <f ca="1">RZ[Úroveň 4 bez koef. (P2a)]*RZ[[#This Row],[Počet MJHR (P0)]]</f>
        <v>0</v>
      </c>
      <c r="CD133" s="138">
        <f ca="1">IF(OFFSET(BB133,1,0,1,1)&lt;&gt;0,RZ[[#This Row],[Koeficient odhadu HR '[-'] (P1)]]*$BK133*SUMIFS(RZ[Úroveň 5 s koef. (P2)],RZ[0],AX133,RZ[Úroveň 2 (P0)],AY133,RZ[Úroveň 3 (P0)],AZ133,RZ[Úroveň 4 (P0)],BA133),RZ[[#This Row],[Koeficient odhadu HR '[-'] (P1)]]*$BK133*$IG133)</f>
        <v>0</v>
      </c>
      <c r="CE133" s="138">
        <f ca="1">IF(OFFSET(BB133,1,0,1,1)&lt;&gt;0,$BK133*SUMIFS(RZ[Úroveň 5 bez koef. (P2)],RZ[0],AX133,RZ[Úroveň 2 (P0)],AY133,RZ[Úroveň 3 (P0)],AZ133,RZ[Úroveň 4 (P0)],BA133),$BK133*$IG133)</f>
        <v>0</v>
      </c>
      <c r="CF133" s="132">
        <f ca="1">RZ[[#This Row],[Úroveň 5 s koef. (P2a)]]*RZ[[#This Row],[Počet MJHR (P0)]]</f>
        <v>0</v>
      </c>
      <c r="CG133" s="132">
        <f ca="1">RZ[Úroveň 5 bez koef. (P2a)]*RZ[[#This Row],[Počet MJHR (P0)]]</f>
        <v>0</v>
      </c>
      <c r="CH133" s="132">
        <f ca="1">IF(OFFSET(BC133,1,0,1,1)&lt;&gt;0,RZ[[#This Row],[Koeficient odhadu HR '[-'] (P1)]]*$BL133*SUMIFS(RZ[Úroveň 6 s koef. (P2)],RZ[0],AX133,RZ[Úroveň 2 (P0)],AY133,RZ[Úroveň 3 (P0)],AZ133,RZ[Úroveň 4 (P0)],BA133,RZ[Úroveň 5 (P0)],BB133),RZ[[#This Row],[Koeficient odhadu HR '[-'] (P1)]]*$BL133*$IG133)</f>
        <v>0</v>
      </c>
      <c r="CI133" s="132">
        <f ca="1">IF(OFFSET(BC133,1,0,1,1)&lt;&gt;0,$BL133*SUMIFS(RZ[Úroveň 6 bez koef. (P2)],RZ[0],AX133,RZ[Úroveň 2 (P0)],AY133,RZ[Úroveň 3 (P0)],AZ133,RZ[Úroveň 4 (P0)],BA133,RZ[Úroveň 5 (P0)],BB133),$BL133*$IG133)</f>
        <v>0</v>
      </c>
      <c r="CJ133" s="138">
        <f ca="1">RZ[[#This Row],[Úroveň 6 s koef. (P2a)]]*RZ[[#This Row],[Počet MJHR (P0)]]</f>
        <v>0</v>
      </c>
      <c r="CK133" s="138">
        <f ca="1">RZ[Úroveň 6 bez koef. (P2a)]*RZ[[#This Row],[Počet MJHR (P0)]]</f>
        <v>0</v>
      </c>
      <c r="CL133" s="138">
        <f ca="1">IF(OFFSET(BD133,1,0,1,1)&lt;&gt;0,RZ[[#This Row],[Koeficient odhadu HR '[-'] (P1)]]*$BM133*SUMIFS(RZ[Úroveň 7 s koef. (P2)],RZ[0],AX133,RZ[Úroveň 2 (P0)],AY133,RZ[Úroveň 3 (P0)],AZ133,RZ[Úroveň 4 (P0)],BA133,RZ[Úroveň 5 (P0)],BB133,RZ[Úroveň 6 (P0)],BC133),RZ[[#This Row],[Koeficient odhadu HR '[-'] (P1)]]*$BM133*$IG133)</f>
        <v>0</v>
      </c>
      <c r="CM133" s="138">
        <f ca="1">IF(OFFSET(BD133,1,0,1,1)&lt;&gt;0,$BM133*SUMIFS(RZ[Úroveň 7 bez koef. (P2)],RZ[0],AX133,RZ[Úroveň 2 (P0)],AY133,RZ[Úroveň 3 (P0)],AZ133,RZ[Úroveň 4 (P0)],BA133,RZ[Úroveň 5 (P0)],BB133,RZ[Úroveň 6 (P0)],BC133),$BM133*$IG133)</f>
        <v>0</v>
      </c>
      <c r="CN133" s="132">
        <f ca="1">RZ[[#This Row],[Úroveň 7 s koef. (P2a)]]*RZ[[#This Row],[Počet MJHR (P0)]]</f>
        <v>0</v>
      </c>
      <c r="CO133" s="132">
        <f ca="1">RZ[Úroveň 7 bez koef. (P2a)]*RZ[[#This Row],[Počet MJHR (P0)]]</f>
        <v>0</v>
      </c>
      <c r="CP133" s="132">
        <f ca="1">IF(OFFSET(BE133,1,0,1,1)&lt;&gt;0,RZ[[#This Row],[Koeficient odhadu HR '[-'] (P1)]]*$BN133*SUMIFS(RZ[Úroveň 8 s koef. (P2)],RZ[0],AX133,RZ[Úroveň 2 (P0)],AY133,RZ[Úroveň 3 (P0)],AZ133,RZ[Úroveň 4 (P0)],BA133,RZ[Úroveň 5 (P0)],BB133,RZ[Úroveň 6 (P0)],BC133,RZ[Úroveň 7 (P0)],BD133),RZ[[#This Row],[Koeficient odhadu HR '[-'] (P1)]]*$BN133*$IG133)</f>
        <v>0</v>
      </c>
      <c r="CQ133" s="132">
        <f ca="1">IF(OFFSET(BE133,1,0,1,1)&lt;&gt;0,$BN133*SUMIFS(RZ[Úroveň 8 bez koef. (P2)],RZ[0],AX133,RZ[Úroveň 2 (P0)],AY133,RZ[Úroveň 3 (P0)],AZ133,RZ[Úroveň 4 (P0)],BA133,RZ[Úroveň 5 (P0)],BB133,RZ[Úroveň 6 (P0)],BC133,RZ[Úroveň 7 (P0)],BD133),$BN133*$IG133)</f>
        <v>0</v>
      </c>
      <c r="CR133" s="138">
        <f ca="1">RZ[[#This Row],[Úroveň 8 s koef. (P2a)]]*RZ[[#This Row],[Počet MJHR (P0)]]</f>
        <v>0</v>
      </c>
      <c r="CS133" s="138">
        <f ca="1">RZ[Úroveň 8 bez koef. (P2a)]*RZ[[#This Row],[Počet MJHR (P0)]]</f>
        <v>0</v>
      </c>
      <c r="CT133" s="138">
        <f ca="1">IF(OFFSET(BF133,1,0,1,1)&lt;&gt;0,RZ[[#This Row],[Koeficient odhadu HR '[-'] (P1)]]*$BO133*SUMIFS(RZ[Úroveň 9 s koef. (P2)],RZ[0],AX133,RZ[Úroveň 2 (P0)],AY133,RZ[Úroveň 3 (P0)],AZ133,RZ[Úroveň 4 (P0)],BA133,RZ[Úroveň 5 (P0)],BB133,RZ[Úroveň 6 (P0)],BC133,RZ[Úroveň 7 (P0)],BD133,RZ[Úroveň 8 (P0)],BE133),RZ[[#This Row],[Koeficient odhadu HR '[-'] (P1)]]*$BO133*$IG133)</f>
        <v>0</v>
      </c>
      <c r="CU133" s="138">
        <f ca="1">IF(OFFSET(BF133,1,0,1,1)&lt;&gt;0,$BO133*SUMIFS(RZ[Úroveň 9 bez koef. (P2)],RZ[0],AX133,RZ[Úroveň 2 (P0)],AY133,RZ[Úroveň 3 (P0)],AZ133,RZ[Úroveň 4 (P0)],BA133,RZ[Úroveň 5 (P0)],BB133,RZ[Úroveň 6 (P0)],BC133,RZ[Úroveň 7 (P0)],BD133,RZ[Úroveň 8 (P0)],BE133),$BO133*$IG133)</f>
        <v>0</v>
      </c>
      <c r="CV133" s="132">
        <f ca="1">RZ[[#This Row],[Úroveň 9 s koef. (P2a)]]*RZ[[#This Row],[Počet MJHR (P0)]]</f>
        <v>0</v>
      </c>
      <c r="CW133" s="132">
        <f ca="1">RZ[Úroveň 9 bez koef. (P2a)]*RZ[[#This Row],[Počet MJHR (P0)]]</f>
        <v>0</v>
      </c>
      <c r="CX133" s="132">
        <f ca="1">IF(OFFSET(BG133,1,0,1,1)&lt;&gt;0,RZ[[#This Row],[Koeficient odhadu HR '[-'] (P1)]]*$BP133*SUMIFS(RZ[Úroveň 10 s koef. (P2)],RZ[0],AX133,RZ[Úroveň 2 (P0)],AY133,RZ[Úroveň 3 (P0)],AZ133,RZ[Úroveň 4 (P0)],BA133,RZ[Úroveň 5 (P0)],BB133,RZ[Úroveň 6 (P0)],BC133,RZ[Úroveň 7 (P0)],BD133,RZ[Úroveň 8 (P0)],BE133,RZ[Úroveň 9 (P0)],BF133),RZ[[#This Row],[Koeficient odhadu HR '[-'] (P1)]]*$BP133*$IG133)</f>
        <v>0</v>
      </c>
      <c r="CY133" s="132">
        <f ca="1">IF(OFFSET(BG133,1,0,1,1)&lt;&gt;0,$BP133*SUMIFS(RZ[Úroveň 10 bez koef. (P2)],RZ[0],AX133,RZ[Úroveň 2 (P0)],AY133,RZ[Úroveň 3 (P0)],AZ133,RZ[Úroveň 4 (P0)],BA133,RZ[Úroveň 5 (P0)],BB133,RZ[Úroveň 6 (P0)],BC133,RZ[Úroveň 7 (P0)],BD133,RZ[Úroveň 8 (P0)],BE133,RZ[Úroveň 9 (P0)],BF133),$BP133*$IG133)</f>
        <v>0</v>
      </c>
      <c r="CZ133" s="138">
        <f>RZ[[#This Row],[Úroveň 10 s koef. (P2a)]]*RZ[[#This Row],[Počet MJHR (P0)]]</f>
        <v>0</v>
      </c>
      <c r="DA133" s="138">
        <f>RZ[Úroveň 10 bez koef. (P2a)]*RZ[[#This Row],[Počet MJHR (P0)]]</f>
        <v>0</v>
      </c>
      <c r="DB133" s="138">
        <f>RZ[[#This Row],[Koeficient odhadu HR '[-'] (P1)]]*$BQ133*IG133</f>
        <v>0</v>
      </c>
      <c r="DC133" s="231">
        <f t="shared" si="37"/>
        <v>0</v>
      </c>
      <c r="DD133" s="241">
        <f t="shared" ca="1" si="120"/>
        <v>198.6</v>
      </c>
      <c r="DE133" s="229">
        <f t="shared" ca="1" si="121"/>
        <v>198.6</v>
      </c>
      <c r="DF133" s="521">
        <f t="shared" si="40"/>
        <v>0</v>
      </c>
      <c r="DG133" s="522">
        <f t="shared" si="41"/>
        <v>2</v>
      </c>
      <c r="DH133" s="522">
        <f t="shared" si="42"/>
        <v>0</v>
      </c>
      <c r="DI133" s="523">
        <f t="shared" si="43"/>
        <v>0</v>
      </c>
      <c r="DJ133" s="524">
        <f t="shared" si="44"/>
        <v>0</v>
      </c>
      <c r="DK133" s="524">
        <f t="shared" si="45"/>
        <v>0</v>
      </c>
      <c r="DL133" s="524">
        <f t="shared" si="46"/>
        <v>0</v>
      </c>
      <c r="DM133" s="524">
        <f t="shared" si="47"/>
        <v>0</v>
      </c>
      <c r="DN133" s="524">
        <f t="shared" si="48"/>
        <v>0</v>
      </c>
      <c r="DO133" s="523">
        <f t="shared" si="49"/>
        <v>0</v>
      </c>
      <c r="DP133" s="525">
        <f ca="1">SUMIFS(RZ[Úroveň 1 (P4)],RZ[0],AX133)</f>
        <v>1</v>
      </c>
      <c r="DQ133" s="525">
        <f ca="1">SUMIFS(RZ[Úroveň 2 (P4)],RZ[0],AX133,RZ[Úroveň 2 (P0)],AY133)</f>
        <v>2</v>
      </c>
      <c r="DR133" s="525">
        <f ca="1">SUMIFS(RZ[Úroveň 3 (P4)],RZ[0],AX133,RZ[Úroveň 2 (P0)],AY133,RZ[Úroveň 3 (P0)],AZ133)</f>
        <v>0</v>
      </c>
      <c r="DS133" s="525">
        <f ca="1">SUMIFS(RZ[Úroveň 4 (P4)],RZ[0],AX133,RZ[Úroveň 2 (P0)],AY133,RZ[Úroveň 3 (P0)],AZ133,RZ[Úroveň 4 (P0)],BA133)</f>
        <v>0</v>
      </c>
      <c r="DT133" s="526">
        <f ca="1">SUMIFS(RZ[Úroveň 5 (P4)],RZ[0],AX133,RZ[Úroveň 2 (P0)],AY133,RZ[Úroveň 3 (P0)],AZ133,RZ[Úroveň 4 (P0)],BA133,RZ[Úroveň 5 (P0)],BB133)</f>
        <v>0</v>
      </c>
      <c r="DU133" s="526">
        <f ca="1">SUMIFS(RZ[Úroveň 6 (P4)],RZ[0],AX133,RZ[Úroveň 2 (P0)],AY133,RZ[Úroveň 3 (P0)],AZ133,RZ[Úroveň 4 (P0)],BA133,RZ[Úroveň 5 (P0)],BB133,RZ[Úroveň 6 (P0)],BC133)</f>
        <v>0</v>
      </c>
      <c r="DV133" s="526">
        <f ca="1">SUMIFS(RZ[Úroveň 7 (P4)],RZ[0],AX133,RZ[Úroveň 2 (P0)],AY133,RZ[Úroveň 3 (P0)],AZ133,RZ[Úroveň 4 (P0)],BA133,RZ[Úroveň 5 (P0)],BB133,RZ[Úroveň 6 (P0)],BC133,RZ[Úroveň 7 (P0)],BD133)</f>
        <v>0</v>
      </c>
      <c r="DW133" s="526">
        <f ca="1">SUMIFS(RZ[Úroveň 8 (P4)],RZ[0],AX133,RZ[Úroveň 2 (P0)],AY133,RZ[Úroveň 3 (P0)],AZ133,RZ[Úroveň 4 (P0)],BA133,RZ[Úroveň 5 (P0)],BB133,RZ[Úroveň 6 (P0)],BC133,RZ[Úroveň 7 (P0)],BD133,RZ[Úroveň 8 (P0)],BE133)</f>
        <v>0</v>
      </c>
      <c r="DX133" s="526">
        <f ca="1">SUMIFS(RZ[Úroveň 9 (P4)],RZ[0],AX133,RZ[Úroveň 2 (P0)],AY133,RZ[Úroveň 3 (P0)],AZ133,RZ[Úroveň 4 (P0)],BA133,RZ[Úroveň 5 (P0)],BB133,RZ[Úroveň 6 (P0)],BC133,RZ[Úroveň 7 (P0)],BD133,RZ[Úroveň 8 (P0)],BE133,RZ[Úroveň 9 (P0)],BF133)</f>
        <v>0</v>
      </c>
      <c r="DY133" s="526">
        <f ca="1">SUMIFS(RZ[Úroveň 10 (P4)],RZ[0],AX133,RZ[Úroveň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DZ133" s="527">
        <f t="shared" ca="1" si="122"/>
        <v>2</v>
      </c>
      <c r="EA133" s="528">
        <f ca="1">RZ[[#This Row],[Jednotková hmotnost bez koef. '[kg/MJHR'] (P0)]]*RZ[[#This Row],[Počet MJHR v rozpadu (P0)]]</f>
        <v>397.2</v>
      </c>
      <c r="EB133" s="191">
        <f ca="1">IF(OFFSET(AY133,1,0,1,1)&lt;&gt;0,RZ[[#This Row],[Koeficient odhadu CR '[-'] (P1)]]*$BH133*SUMIFS(RZ[Úroveň 2 s koef. (P3)],RZ[0],AX133),RZ[[#This Row],[Koeficient odhadu CR '[-'] (P1)]]*$BH133*$IQ133)</f>
        <v>0</v>
      </c>
      <c r="EC133" s="191">
        <f ca="1">IF(OFFSET(AY133,1,0,1,1)&lt;&gt;0,$BH133*SUMIFS(RZ[Úroveň 2 bez koef. (P3)],RZ[0],AX133),$BH133*$IQ133)</f>
        <v>0</v>
      </c>
      <c r="ED133" s="140">
        <f ca="1">RZ[[#This Row],[Úroveň 2 s koef. (P3a)]]*RZ[[#This Row],[Počet MJCR (P0) pro "kg"]]</f>
        <v>45678</v>
      </c>
      <c r="EE133" s="140">
        <f ca="1">RZ[Úroveň 2 bez koef. (P3a)]*RZ[[#This Row],[Počet MJCR (P0) pro "kg"]]</f>
        <v>45678</v>
      </c>
      <c r="EF133" s="140">
        <f ca="1">IF(OFFSET(AZ133,1,0,1,1)&lt;&gt;0,RZ[[#This Row],[Koeficient odhadu CR '[-'] (P1)]]*$BI133*SUMIFS(RZ[Úroveň 3 s koef. (P3)],RZ[0],AX133,RZ[Úroveň 2 (P0)],AY133),RZ[[#This Row],[Koeficient odhadu CR '[-'] (P1)]]*$BI133*$IQ133)</f>
        <v>115</v>
      </c>
      <c r="EG133" s="140">
        <f ca="1">IF(OFFSET(AZ133,1,0,1,1)&lt;&gt;0,$BI133*SUMIFS(RZ[Úroveň 3 bez koef. (P3)],RZ[0],AX133,RZ[Úroveň 2 (P0)],AY133),$BI133*$IQ133)</f>
        <v>115</v>
      </c>
      <c r="EH133" s="135">
        <f ca="1">RZ[[#This Row],[Úroveň 3 s koef. (P3a)]]*RZ[[#This Row],[Počet MJCR (P0) pro "kg"]]</f>
        <v>0</v>
      </c>
      <c r="EI133" s="135">
        <f ca="1">RZ[Úroveň 3 bez koef. (P3a)]*RZ[[#This Row],[Počet MJCR (P0) pro "kg"]]</f>
        <v>0</v>
      </c>
      <c r="EJ133" s="135">
        <f ca="1">IF(OFFSET(BA133,1,0,1,1)&lt;&gt;0,RZ[[#This Row],[Koeficient odhadu CR '[-'] (P1)]]*$BJ133*SUMIFS(RZ[Úroveň 4 s koef. (P3)],RZ[0],AX133,RZ[Úroveň 2 (P0)],AY133,RZ[Úroveň 3 (P0)],AZ133),RZ[[#This Row],[Koeficient odhadu CR '[-'] (P1)]]*$BJ133*$IQ133)</f>
        <v>0</v>
      </c>
      <c r="EK133" s="135">
        <f ca="1">IF(OFFSET(BA133,1,0,1,1)&lt;&gt;0,$BJ133*SUMIFS(RZ[Úroveň 4 bez koef. (P3)],RZ[0],AX133,RZ[Úroveň 2 (P0)],AY133,RZ[Úroveň 3 (P0)],AZ133),$BJ133*$IQ133)</f>
        <v>0</v>
      </c>
      <c r="EL133" s="140">
        <f ca="1">RZ[[#This Row],[Úroveň 4 s koef. (P3a)]]*RZ[[#This Row],[Počet MJCR (P0) pro "kg"]]</f>
        <v>0</v>
      </c>
      <c r="EM133" s="140">
        <f ca="1">RZ[Úroveň 4 bez koef. (P3a)]*RZ[[#This Row],[Počet MJCR (P0) pro "kg"]]</f>
        <v>0</v>
      </c>
      <c r="EN133" s="140">
        <f ca="1">IF(OFFSET(BB133,1,0,1,1)&lt;&gt;0,RZ[[#This Row],[Koeficient odhadu CR '[-'] (P1)]]*$BK133*SUMIFS(RZ[Úroveň 5 s koef. (P3)],RZ[0],AX133,RZ[Úroveň 2 (P0)],AY133,RZ[Úroveň 3 (P0)],AZ133,RZ[Úroveň 4 (P0)],BA133),RZ[[#This Row],[Koeficient odhadu CR '[-'] (P1)]]*$BK133*$IQ133)</f>
        <v>0</v>
      </c>
      <c r="EO133" s="140">
        <f ca="1">IF(OFFSET(BB133,1,0,1,1)&lt;&gt;0,$BK133*SUMIFS(RZ[Úroveň 5 bez koef. (P3)],RZ[0],AX133,RZ[Úroveň 2 (P0)],AY133,RZ[Úroveň 3 (P0)],AZ133,RZ[Úroveň 4 (P0)],BA133),$BK133*$IQ133)</f>
        <v>0</v>
      </c>
      <c r="EP133" s="135">
        <f ca="1">RZ[[#This Row],[Úroveň 5 s koef. (P3a)]]*RZ[[#This Row],[Počet MJCR (P0) pro "kg"]]</f>
        <v>0</v>
      </c>
      <c r="EQ133" s="135">
        <f ca="1">RZ[Úroveň 5 bez koef. (P3a)]*RZ[[#This Row],[Počet MJCR (P0) pro "kg"]]</f>
        <v>0</v>
      </c>
      <c r="ER133" s="135">
        <f ca="1">IF(OFFSET(BC133,1,0,1,1)&lt;&gt;0,RZ[[#This Row],[Koeficient odhadu CR '[-'] (P1)]]*$BL133*SUMIFS(RZ[Úroveň 6 s koef. (P3)],RZ[0],AX133,RZ[Úroveň 2 (P0)],AY133,RZ[Úroveň 3 (P0)],AZ133,RZ[Úroveň 4 (P0)],BA133,RZ[Úroveň 5 (P0)],BB133),RZ[[#This Row],[Koeficient odhadu CR '[-'] (P1)]]*$BL133*$IQ133)</f>
        <v>0</v>
      </c>
      <c r="ES133" s="135">
        <f ca="1">IF(OFFSET(BC133,1,0,1,1)&lt;&gt;0,$BL133*SUMIFS(RZ[Úroveň 6 bez koef. (P3)],RZ[0],AX133,RZ[Úroveň 2 (P0)],AY133,RZ[Úroveň 3 (P0)],AZ133,RZ[Úroveň 4 (P0)],BA133,RZ[Úroveň 5 (P0)],BB133),$BL133*$IQ133)</f>
        <v>0</v>
      </c>
      <c r="ET133" s="140">
        <f ca="1">RZ[[#This Row],[Úroveň 6 s koef. (P3a)]]*RZ[[#This Row],[Počet MJCR (P0) pro "kg"]]</f>
        <v>0</v>
      </c>
      <c r="EU133" s="140">
        <f ca="1">RZ[Úroveň 6 bez koef. (P3a)]*RZ[[#This Row],[Počet MJCR (P0) pro "kg"]]</f>
        <v>0</v>
      </c>
      <c r="EV133" s="140">
        <f ca="1">IF(OFFSET(BD133,1,0,1,1)&lt;&gt;0,RZ[[#This Row],[Koeficient odhadu CR '[-'] (P1)]]*$BM133*SUMIFS(RZ[Úroveň 7 s koef. (P3)],RZ[0],AX133,RZ[Úroveň 2 (P0)],AY133,RZ[Úroveň 3 (P0)],AZ133,RZ[Úroveň 4 (P0)],BA133,RZ[Úroveň 5 (P0)],BB133,RZ[Úroveň 6 (P0)],BC133),RZ[[#This Row],[Koeficient odhadu CR '[-'] (P1)]]*$BM133*$IQ133)</f>
        <v>0</v>
      </c>
      <c r="EW133" s="140">
        <f ca="1">IF(OFFSET(BD133,1,0,1,1)&lt;&gt;0,$BM133*SUMIFS(RZ[Úroveň 7 bez koef. (P3)],RZ[0],AX133,RZ[Úroveň 2 (P0)],AY133,RZ[Úroveň 3 (P0)],AZ133,RZ[Úroveň 4 (P0)],BA133,RZ[Úroveň 5 (P0)],BB133,RZ[Úroveň 6 (P0)],BC133),$BM133*$IQ133)</f>
        <v>0</v>
      </c>
      <c r="EX133" s="135">
        <f ca="1">RZ[[#This Row],[Úroveň 7 s koef. (P3a)]]*RZ[[#This Row],[Počet MJCR (P0) pro "kg"]]</f>
        <v>0</v>
      </c>
      <c r="EY133" s="135">
        <f ca="1">RZ[Úroveň 7 bez koef. (P3a)]*RZ[[#This Row],[Počet MJCR (P0) pro "kg"]]</f>
        <v>0</v>
      </c>
      <c r="EZ133" s="135">
        <f ca="1">IF(OFFSET(BE133,1,0,1,1)&lt;&gt;0,RZ[[#This Row],[Koeficient odhadu CR '[-'] (P1)]]*$BN133*SUMIFS(RZ[Úroveň 8 s koef. (P3)],RZ[0],AX133,RZ[Úroveň 2 (P0)],AY133,RZ[Úroveň 3 (P0)],AZ133,RZ[Úroveň 4 (P0)],BA133,RZ[Úroveň 5 (P0)],BB133,RZ[Úroveň 6 (P0)],BC133,RZ[Úroveň 7 (P0)],BD133),RZ[[#This Row],[Koeficient odhadu CR '[-'] (P1)]]*$BN133*$IQ133)</f>
        <v>0</v>
      </c>
      <c r="FA133" s="135">
        <f ca="1">IF(OFFSET(BE133,1,0,1,1)&lt;&gt;0,$BN133*SUMIFS(RZ[Úroveň 8 bez koef. (P3)],RZ[0],AX133,RZ[Úroveň 2 (P0)],AY133,RZ[Úroveň 3 (P0)],AZ133,RZ[Úroveň 4 (P0)],BA133,RZ[Úroveň 5 (P0)],BB133,RZ[Úroveň 6 (P0)],BC133,RZ[Úroveň 7 (P0)],BD133),$BN133*$IQ133)</f>
        <v>0</v>
      </c>
      <c r="FB133" s="140">
        <f ca="1">RZ[[#This Row],[Úroveň 8 s koef. (P3a)]]*RZ[[#This Row],[Počet MJCR (P0) pro "kg"]]</f>
        <v>0</v>
      </c>
      <c r="FC133" s="140">
        <f ca="1">RZ[Úroveň 8 bez koef. (P3a)]*RZ[[#This Row],[Počet MJCR (P0) pro "kg"]]</f>
        <v>0</v>
      </c>
      <c r="FD133" s="140">
        <f ca="1">IF(OFFSET(BF133,1,0,1,1)&lt;&gt;0,RZ[[#This Row],[Koeficient odhadu CR '[-'] (P1)]]*$BO133*SUMIFS(RZ[Úroveň 9 s koef. (P3)],RZ[0],AX133,RZ[Úroveň 2 (P0)],AY133,RZ[Úroveň 3 (P0)],AZ133,RZ[Úroveň 4 (P0)],BA133,RZ[Úroveň 5 (P0)],BB133,RZ[Úroveň 6 (P0)],BC133,RZ[Úroveň 7 (P0)],BD133,RZ[Úroveň 8 (P0)],BE133),RZ[[#This Row],[Koeficient odhadu CR '[-'] (P1)]]*$BO133*$IQ133)</f>
        <v>0</v>
      </c>
      <c r="FE133" s="140">
        <f ca="1">IF(OFFSET(BF133,1,0,1,1)&lt;&gt;0,$BO133*SUMIFS(RZ[Úroveň 9 bez koef. (P3)],RZ[0],AX133,RZ[Úroveň 2 (P0)],AY133,RZ[Úroveň 3 (P0)],AZ133,RZ[Úroveň 4 (P0)],BA133,RZ[Úroveň 5 (P0)],BB133,RZ[Úroveň 6 (P0)],BC133,RZ[Úroveň 7 (P0)],BD133,RZ[Úroveň 8 (P0)],BE133),$BO133*$IQ133)</f>
        <v>0</v>
      </c>
      <c r="FF133" s="135">
        <f ca="1">RZ[[#This Row],[Úroveň 9 s koef. (P3a)]]*RZ[[#This Row],[Počet MJCR (P0) pro "kg"]]</f>
        <v>0</v>
      </c>
      <c r="FG133" s="135">
        <f ca="1">RZ[Úroveň 9 bez koef. (P3a)]*RZ[[#This Row],[Počet MJCR (P0) pro "kg"]]</f>
        <v>0</v>
      </c>
      <c r="FH133" s="135">
        <f ca="1">IF(OFFSET(BG133,1,0,1,1)&lt;&gt;0,RZ[[#This Row],[Koeficient odhadu CR '[-'] (P1)]]*$BP133*SUMIFS(RZ[Úroveň 10 s koef. (P3)],RZ[0],AX133,RZ[Úroveň 2 (P0)],AY133,RZ[Úroveň 3 (P0)],AZ133,RZ[Úroveň 4 (P0)],BA133,RZ[Úroveň 5 (P0)],BB133,RZ[Úroveň 6 (P0)],BC133,RZ[Úroveň 7 (P0)],BD133,RZ[Úroveň 8 (P0)],BE133,RZ[Úroveň 9 (P0)],BF133),RZ[[#This Row],[Koeficient odhadu CR '[-'] (P1)]]*$BP133*$IQ133)</f>
        <v>0</v>
      </c>
      <c r="FI133" s="135">
        <f ca="1">IF(OFFSET(BG133,1,0,1,1)&lt;&gt;0,$BP133*SUMIFS(RZ[Úroveň 10 bez koef. (P3)],RZ[0],AX133,RZ[Úroveň 2 (P0)],AY133,RZ[Úroveň 3 (P0)],AZ133,RZ[Úroveň 4 (P0)],BA133,RZ[Úroveň 5 (P0)],BB133,RZ[Úroveň 6 (P0)],BC133,RZ[Úroveň 7 (P0)],BD133,RZ[Úroveň 8 (P0)],BE133,RZ[Úroveň 9 (P0)],BF133),$BP133*$IQ133)</f>
        <v>0</v>
      </c>
      <c r="FJ133" s="140">
        <f ca="1">RZ[[#This Row],[Úroveň 10 s koef. (P3a)]]*RZ[[#This Row],[Počet MJCR (P0) pro "kg"]]</f>
        <v>0</v>
      </c>
      <c r="FK133" s="140">
        <f ca="1">RZ[Úroveň 10 bez koef. (P3a)]*RZ[[#This Row],[Počet MJCR (P0) pro "kg"]]</f>
        <v>0</v>
      </c>
      <c r="FL133" s="140">
        <f ca="1">RZ[[#This Row],[Koeficient odhadu CR '[-'] (P1)]]*$BQ133*IQ133</f>
        <v>0</v>
      </c>
      <c r="FM133" s="236">
        <f t="shared" ca="1" si="51"/>
        <v>0</v>
      </c>
      <c r="FN133" s="194">
        <f t="shared" ca="1" si="123"/>
        <v>115</v>
      </c>
      <c r="FO133" s="238">
        <f t="shared" ca="1" si="124"/>
        <v>115</v>
      </c>
      <c r="FP133" s="191">
        <f t="shared" ca="1" si="54"/>
        <v>0</v>
      </c>
      <c r="FQ133" s="135">
        <f t="shared" ca="1" si="55"/>
        <v>397.2</v>
      </c>
      <c r="FR133" s="135">
        <f t="shared" ca="1" si="56"/>
        <v>0</v>
      </c>
      <c r="FS133" s="135">
        <f t="shared" ca="1" si="57"/>
        <v>0</v>
      </c>
      <c r="FT133" s="135">
        <f t="shared" ca="1" si="58"/>
        <v>0</v>
      </c>
      <c r="FU133" s="135">
        <f t="shared" ca="1" si="59"/>
        <v>0</v>
      </c>
      <c r="FV133" s="135">
        <f t="shared" ca="1" si="60"/>
        <v>0</v>
      </c>
      <c r="FW133" s="135">
        <f t="shared" ca="1" si="61"/>
        <v>0</v>
      </c>
      <c r="FX133" s="135">
        <f t="shared" ca="1" si="62"/>
        <v>0</v>
      </c>
      <c r="FY133" s="135">
        <f t="shared" ca="1" si="63"/>
        <v>0</v>
      </c>
      <c r="FZ133" s="140">
        <f ca="1">SUMIFS(RZ[Úroveň 1 (P6)],RZ[0],AX133)</f>
        <v>1</v>
      </c>
      <c r="GA133" s="140">
        <f ca="1">SUMIFS(RZ[Úroveň 2 (P6)],RZ[0],AX133,RZ[Úroveň 2 (P0)],AY133)</f>
        <v>397.2</v>
      </c>
      <c r="GB133" s="140">
        <f ca="1">SUMIFS(RZ[Úroveň 3 (P6)],RZ[0],AX133,RZ[Úroveň 2 (P0)],AY133,RZ[Úroveň 3 (P0)],AZ133)</f>
        <v>0</v>
      </c>
      <c r="GC133" s="140">
        <f ca="1">SUMIFS(RZ[Úroveň 4 (P6)],RZ[0],AX133,RZ[Úroveň 2 (P0)],AY133,RZ[Úroveň 3 (P0)],AZ133,RZ[Úroveň 4 (P0)],BA133)</f>
        <v>0</v>
      </c>
      <c r="GD133" s="140">
        <f ca="1">SUMIFS(RZ[Úroveň 5 (P6)],RZ[0],AX133,RZ[Úroveň 2 (P0)],AY133,RZ[Úroveň 3 (P0)],AZ133,RZ[Úroveň 4 (P0)],BA133,RZ[Úroveň 5 (P0)],BB133)</f>
        <v>0</v>
      </c>
      <c r="GE133" s="140">
        <f ca="1">SUMIFS(RZ[Úroveň 6 (P6)],RZ[0],AX133,RZ[Úroveň 2 (P0)],AY133,RZ[Úroveň 3 (P0)],AZ133,RZ[Úroveň 4 (P0)],BA133,RZ[Úroveň 5 (P0)],BB133,RZ[Úroveň 6 (P0)],BC133)</f>
        <v>0</v>
      </c>
      <c r="GF133" s="140">
        <f ca="1">SUMIFS(RZ[Úroveň 7 (P6)],RZ[0],AX133,RZ[Úroveň 2 (P0)],AY133,RZ[Úroveň 3 (P0)],AZ133,RZ[Úroveň 4 (P0)],BA133,RZ[Úroveň 5 (P0)],BB133,RZ[Úroveň 6 (P0)],BC133,RZ[Úroveň 7 (P0)],BD133)</f>
        <v>0</v>
      </c>
      <c r="GG133" s="140">
        <f ca="1">SUMIFS(RZ[Úroveň 8 (P6)],RZ[0],AX133,RZ[Úroveň 2 (P0)],AY133,RZ[Úroveň 3 (P0)],AZ133,RZ[Úroveň 4 (P0)],BA133,RZ[Úroveň 5 (P0)],BB133,RZ[Úroveň 6 (P0)],BC133,RZ[Úroveň 7 (P0)],BD133,RZ[Úroveň 8 (P0)],BE133)</f>
        <v>0</v>
      </c>
      <c r="GH133" s="140">
        <f ca="1">SUMIFS(RZ[Úroveň 9 (P6)],RZ[0],AX133,RZ[Úroveň 2 (P0)],AY133,RZ[Úroveň 3 (P0)],AZ133,RZ[Úroveň 4 (P0)],BA133,RZ[Úroveň 5 (P0)],BB133,RZ[Úroveň 6 (P0)],BC133,RZ[Úroveň 7 (P0)],BD133,RZ[Úroveň 8 (P0)],BE133,RZ[Úroveň 9 (P0)],BF133)</f>
        <v>0</v>
      </c>
      <c r="GI133" s="140">
        <f ca="1">SUMIFS(RZ[Úroveň 10 (P6)],RZ[0],AX133,RZ[Úroveň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GJ133" s="194">
        <f t="shared" ca="1" si="125"/>
        <v>397.2</v>
      </c>
      <c r="GK133" s="807">
        <f t="shared" si="65"/>
        <v>0</v>
      </c>
      <c r="GL133" s="808">
        <f t="shared" si="66"/>
        <v>1</v>
      </c>
      <c r="GM133" s="808">
        <f t="shared" si="67"/>
        <v>0</v>
      </c>
      <c r="GN133" s="808">
        <f t="shared" si="68"/>
        <v>0</v>
      </c>
      <c r="GO133" s="808">
        <f t="shared" si="69"/>
        <v>0</v>
      </c>
      <c r="GP133" s="808">
        <f t="shared" si="70"/>
        <v>0</v>
      </c>
      <c r="GQ133" s="808">
        <f t="shared" si="71"/>
        <v>0</v>
      </c>
      <c r="GR133" s="808">
        <f t="shared" si="72"/>
        <v>0</v>
      </c>
      <c r="GS133" s="808">
        <f t="shared" si="73"/>
        <v>0</v>
      </c>
      <c r="GT133" s="808">
        <f t="shared" si="74"/>
        <v>0</v>
      </c>
      <c r="GU133" s="809">
        <f ca="1">SUMIFS(RZ[Sloupec1],RZ[0],AX133)</f>
        <v>1</v>
      </c>
      <c r="GV133" s="809">
        <f ca="1">SUMIFS(RZ[Sloupec2],RZ[0],AX133,RZ[Úroveň 2 (P0)],AY133)</f>
        <v>1</v>
      </c>
      <c r="GW133" s="809">
        <f ca="1">SUMIFS(RZ[Sloupec3],RZ[0],AX133,RZ[Úroveň 2 (P0)],AY133,RZ[Úroveň 3 (P0)],AZ133)</f>
        <v>0</v>
      </c>
      <c r="GX133" s="809">
        <f ca="1">SUMIFS(RZ[Sloupec4],RZ[0],AX133,RZ[Úroveň 2 (P0)],AY133,RZ[Úroveň 3 (P0)],AZ133,RZ[Úroveň 4 (P0)],BA133)</f>
        <v>0</v>
      </c>
      <c r="GY133" s="809">
        <f ca="1">SUMIFS(RZ[Sloupec5],RZ[0],AX133,RZ[Úroveň 2 (P0)],AY133,RZ[Úroveň 3 (P0)],AZ133,RZ[Úroveň 4 (P0)],BA133,RZ[Úroveň 5 (P0)],BB133)</f>
        <v>0</v>
      </c>
      <c r="GZ133" s="809">
        <f ca="1">SUMIFS(RZ[Sloupec6],RZ[0],AX133,RZ[Úroveň 2 (P0)],AY133,RZ[Úroveň 3 (P0)],AZ133,RZ[Úroveň 4 (P0)],BA133,RZ[Úroveň 5 (P0)],BB133,RZ[Úroveň 6 (P0)],BC133)</f>
        <v>0</v>
      </c>
      <c r="HA133" s="809">
        <f ca="1">SUMIFS(RZ[Sloupec62],RZ[0],AX133,RZ[Úroveň 2 (P0)],AY133,RZ[Úroveň 3 (P0)],AZ133,RZ[Úroveň 4 (P0)],BA133,RZ[Úroveň 5 (P0)],BB133,RZ[Úroveň 6 (P0)],BC133,RZ[Úroveň 7 (P0)],BD133)</f>
        <v>0</v>
      </c>
      <c r="HB133" s="809">
        <f ca="1">SUMIFS(RZ[Sloupec63],RZ[0],AX133,RZ[Úroveň 2 (P0)],AY133,RZ[Úroveň 3 (P0)],AZ133,RZ[Úroveň 4 (P0)],BA133,RZ[Úroveň 5 (P0)],BB133,RZ[Úroveň 6 (P0)],BC133,RZ[Úroveň 7 (P0)],BD133,RZ[Úroveň 8 (P0)],BE133)</f>
        <v>0</v>
      </c>
      <c r="HC133" s="809">
        <f ca="1">SUMIFS(RZ[Sloupec64],RZ[0],AX133,RZ[Úroveň 2 (P0)],AY133,RZ[Úroveň 3 (P0)],AZ133,RZ[Úroveň 4 (P0)],BA133,RZ[Úroveň 5 (P0)],BB133,RZ[Úroveň 6 (P0)],BC133,RZ[Úroveň 7 (P0)],BD133,RZ[Úroveň 8 (P0)],BE133,RZ[Úroveň 9 (P0)],BF133)</f>
        <v>0</v>
      </c>
      <c r="HD133" s="809">
        <f ca="1">SUMIFS(RZ[Sloupec65],RZ[0],AX133,RZ[Úroveň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HE133" s="803">
        <f t="shared" ca="1" si="75"/>
        <v>1</v>
      </c>
      <c r="HF133" s="48" t="str">
        <f t="shared" si="76"/>
        <v/>
      </c>
      <c r="HG133" s="94" t="str">
        <f t="shared" si="77"/>
        <v/>
      </c>
      <c r="HH133" s="95" t="str">
        <f t="shared" si="78"/>
        <v>Kabelový přívod</v>
      </c>
      <c r="HI133" s="95" t="str">
        <f t="shared" si="79"/>
        <v/>
      </c>
      <c r="HJ133" s="96" t="str">
        <f t="shared" si="80"/>
        <v/>
      </c>
      <c r="HK133" s="96" t="str">
        <f t="shared" si="81"/>
        <v/>
      </c>
      <c r="HL133" s="96" t="str">
        <f t="shared" si="82"/>
        <v/>
      </c>
      <c r="HM133" s="96" t="str">
        <f t="shared" si="83"/>
        <v/>
      </c>
      <c r="HN133" s="96" t="str">
        <f t="shared" si="84"/>
        <v/>
      </c>
      <c r="HO133" s="96" t="str">
        <f t="shared" si="85"/>
        <v/>
      </c>
      <c r="HP133" s="96" t="str">
        <f t="shared" si="86"/>
        <v/>
      </c>
      <c r="HQ133" s="145" t="str">
        <f t="shared" si="87"/>
        <v>STO2</v>
      </c>
      <c r="HR133" s="175" t="str">
        <f t="shared" si="88"/>
        <v/>
      </c>
      <c r="HS133" s="173">
        <f t="shared" si="89"/>
        <v>0</v>
      </c>
      <c r="HT133" s="99">
        <f t="shared" si="90"/>
        <v>0</v>
      </c>
      <c r="HU133" s="99">
        <f t="shared" si="91"/>
        <v>0</v>
      </c>
      <c r="HV133" s="209">
        <f t="shared" si="92"/>
        <v>0</v>
      </c>
      <c r="HW133" s="47">
        <f t="shared" si="93"/>
        <v>0</v>
      </c>
      <c r="HX133" s="46">
        <f t="shared" si="94"/>
        <v>0</v>
      </c>
      <c r="HY133" s="149" t="str">
        <f t="shared" si="95"/>
        <v>S</v>
      </c>
      <c r="HZ133" s="263">
        <f t="shared" si="96"/>
        <v>0</v>
      </c>
      <c r="IA133" s="150">
        <f t="shared" si="97"/>
        <v>1</v>
      </c>
      <c r="IB133" s="319">
        <f t="shared" si="98"/>
        <v>0</v>
      </c>
      <c r="IC133" s="220">
        <f t="shared" si="99"/>
        <v>0</v>
      </c>
      <c r="ID133" s="200" t="str">
        <f t="shared" ca="1" si="100"/>
        <v>OK</v>
      </c>
      <c r="IE133" s="201" t="str">
        <f t="shared" si="101"/>
        <v>ks</v>
      </c>
      <c r="IF133" s="145">
        <f t="shared" si="102"/>
        <v>2</v>
      </c>
      <c r="IG133" s="216">
        <f t="shared" si="103"/>
        <v>198.6</v>
      </c>
      <c r="IH133" s="217">
        <f t="shared" si="126"/>
        <v>1</v>
      </c>
      <c r="II133" s="224" t="str">
        <f ca="1">IF(RZ[[#This Row],[Rozhodný sloupec indikativní ceny]]=1,"kg",IF($IW133=$JL$15,IF(JX133=0,JO133,JX133),IF($IW133=$KE$15,IF(KQ133=0,KH133,KQ133),IF($IW133=$KX$15,IF(LJ133=0,LA133,LJ133),IF($IW133=$LQ$15,IF(MC133=0,LT133,MC133),IF($IW133=$MJ$15,IF(NQ133=0,NH133,NQ133),0))))))</f>
        <v>kg</v>
      </c>
      <c r="IJ133" s="224">
        <f ca="1">IF((BH133+OFFSET(BH133,1,1,1,1))=2,RZ[[#This Row],[Počet MJHR (P0)]],IF((BI133+OFFSET(BI133,1,1,1,1))=2,RZ[[#This Row],[Počet MJHR (P0)]],IF((BJ133+OFFSET(BJ133,1,1,1,1))=2,RZ[[#This Row],[Počet MJHR (P0)]],IF((BK133+OFFSET(BK133,1,1,1,1))=2,RZ[[#This Row],[Počet MJHR (P0)]],IF((BL133+OFFSET(BL133,1,1,1,1))=2,RZ[[#This Row],[Počet MJHR (P0)]],IF((BM133+OFFSET(BM133,1,1,1,1))=2,RZ[[#This Row],[Počet MJHR (P0)]],IF((BN133+OFFSET(BN133,1,1,1,1))=2,RZ[[#This Row],[Počet MJHR (P0)]],IF((BO133+OFFSET(BO133,1,1,1,1))=2,RZ[[#This Row],[Počet MJHR (P0)]],IF((BP133+OFFSET(BP133,1,1,1,1))=2,RZ[[#This Row],[Počet MJHR (P0)]],IF((BQ133+OFFSET(BQ133,1,1,1,1))=2,RZ[[#This Row],[Počet MJHR (P0)]],IF(RZ[[#This Row],[Měrná jednotka CR (MJCR) (P0)]]=RZ[[#This Row],[Měrná jednotka HR '[MJHR'] (P0)]],RZ[[#This Row],[Počet MJHR (P0)]],IF($IW133=$JL$15,JY133,IF($IW133=$KE$15,KR133,IF($IW133=$KX$15,LK133,IF($IW133=$LQ$15,MD133,IF($IW133=$MJ$15,NR133,0))))))))))))))))</f>
        <v>0</v>
      </c>
      <c r="IK1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397.2</v>
      </c>
      <c r="IL133" s="330">
        <f ca="1">IF(AND(RZ[[#This Row],[Jednotková cena bez DPH '[cena/MJCR'] (P0)]]=0,RZ[[#This Row],[Indikativní jednotková cena '[CZK/kg'] (P1)]]&lt;&gt;0),1,0)</f>
        <v>1</v>
      </c>
      <c r="IM133" s="217">
        <f ca="1">VLOOKUP(RZ[[#This Row],[Kód položek]],INDIKAT_CENA,2,FALSE)</f>
        <v>115</v>
      </c>
      <c r="IN133" s="222">
        <f ca="1">IF(RZ[[#This Row],[Rozhodný sloupec indikativní ceny]]=1,RZ[[#This Row],[Indikativní jednotková cena '[CZK/kg'] (P1)]],RZ[[#This Row],[Jednotková cena bez DPH '[cena/MJCR'] (P0)]])</f>
        <v>115</v>
      </c>
      <c r="IO133" s="222">
        <f t="shared" si="127"/>
        <v>1</v>
      </c>
      <c r="IP133" s="223">
        <f ca="1">IF(RZ[[#This Row],[Rozhodný sloupec indikativní ceny]]=1,1,IF($IW133=$JL$15,KA133,IF($IW133=$KE$15,KT133,IF($IW133=$KX$15,LM133,IF($IW133=$LQ$15,MF133,IF($IW133=$MJ$15,NT133,0))))))</f>
        <v>1</v>
      </c>
      <c r="IQ133" s="225">
        <f ca="1">IF(RZ[[#This Row],[Jednotková cena bez DPH '[cena/MJCR'] (P1)]]="",0,IF(IP133=0,0,(RZ[[#This Row],[Jednotková cena bez DPH '[cena/MJCR'] (P1)]]*VLOOKUP(IP133,$BR$7:$BT$10,3))))</f>
        <v>115</v>
      </c>
      <c r="IR133" s="737"/>
      <c r="IS133" s="627">
        <f>IF(HY133=0,"",VLOOKUP(RZ[[#This Row],[Stav Projekce (P0)]],Vstupy!$E$11:'Vstupy'!$E$11:$H$17,4,FALSE))</f>
        <v>100</v>
      </c>
      <c r="IT133" s="628" t="str">
        <f>IF(RZ[[#This Row],[Stav Projekce (P0)]]=0,"",RZ[[#This Row],[Stav Projekce (P0)]])</f>
        <v>S</v>
      </c>
      <c r="IU133" s="628" t="str">
        <f>IF(RZ[[#This Row],[Stav Nákup (P0)]]=0,"",RZ[[#This Row],[Stav Nákup (P0)]])</f>
        <v/>
      </c>
      <c r="IV133" s="636" t="str">
        <f t="shared" si="128"/>
        <v/>
      </c>
      <c r="IW133" s="641">
        <v>1</v>
      </c>
      <c r="IX133" s="630"/>
      <c r="IY133" s="264"/>
      <c r="IZ133" s="648"/>
      <c r="JA133" s="100" t="s">
        <v>752</v>
      </c>
      <c r="JB133" s="100"/>
      <c r="JC133" s="100"/>
      <c r="JD133" s="100"/>
      <c r="JE133" s="100"/>
      <c r="JF133" s="100"/>
      <c r="JG133" s="100"/>
      <c r="JH133" s="100"/>
      <c r="JI133" s="100"/>
      <c r="JJ133" s="145" t="s">
        <v>773</v>
      </c>
      <c r="JK133" s="529"/>
      <c r="JL133" s="286"/>
      <c r="JM133" s="100"/>
      <c r="JN133" s="100"/>
      <c r="JO133" s="145" t="s">
        <v>35</v>
      </c>
      <c r="JP133" s="117">
        <v>2</v>
      </c>
      <c r="JQ133" s="117">
        <v>198.6</v>
      </c>
      <c r="JR133" s="148">
        <v>1</v>
      </c>
      <c r="JS133" s="145" t="s">
        <v>602</v>
      </c>
      <c r="JT133" s="631"/>
      <c r="JU133" s="148"/>
      <c r="JV133" s="154"/>
      <c r="JW133" s="145"/>
      <c r="JX133" s="210"/>
      <c r="JY133" s="117"/>
      <c r="JZ133" s="662"/>
      <c r="KA133" s="145"/>
      <c r="KB133" s="148"/>
      <c r="KC133" s="148"/>
      <c r="KD133" s="644"/>
      <c r="KE133" s="286"/>
      <c r="KF133" s="100"/>
      <c r="KG133" s="100"/>
      <c r="KH133" s="210"/>
      <c r="KI133" s="117"/>
      <c r="KJ133" s="117"/>
      <c r="KK133" s="148"/>
      <c r="KL133" s="145"/>
      <c r="KM133" s="632"/>
      <c r="KN133" s="148"/>
      <c r="KO133" s="154"/>
      <c r="KP133" s="154"/>
      <c r="KQ133" s="210"/>
      <c r="KR133" s="117"/>
      <c r="KS133" s="211"/>
      <c r="KT133" s="145"/>
      <c r="KU133" s="148"/>
      <c r="KV133" s="148"/>
      <c r="KW133" s="265"/>
      <c r="KX133" s="286"/>
      <c r="KY133" s="100"/>
      <c r="KZ133" s="100"/>
      <c r="LA133" s="210"/>
      <c r="LB133" s="117"/>
      <c r="LC133" s="117"/>
      <c r="LD133" s="148"/>
      <c r="LE133" s="145"/>
      <c r="LF133" s="632"/>
      <c r="LG133" s="148"/>
      <c r="LH133" s="154"/>
      <c r="LI133" s="154"/>
      <c r="LJ133" s="154"/>
      <c r="LK133" s="117"/>
      <c r="LL133" s="211"/>
      <c r="LM133" s="210"/>
      <c r="LN133" s="148"/>
      <c r="LO133" s="148"/>
      <c r="LP133" s="265"/>
      <c r="LQ133" s="286"/>
      <c r="LR133" s="100"/>
      <c r="LS133" s="100"/>
      <c r="LT133" s="210"/>
      <c r="LU133" s="117"/>
      <c r="LV133" s="117"/>
      <c r="LW133" s="148"/>
      <c r="LX133" s="145"/>
      <c r="LY133" s="632"/>
      <c r="LZ133" s="148"/>
      <c r="MA133" s="154"/>
      <c r="MB133" s="154"/>
      <c r="MC133" s="145"/>
      <c r="MD133" s="117"/>
      <c r="ME133" s="211"/>
      <c r="MF133" s="210"/>
      <c r="MG133" s="148"/>
      <c r="MH133" s="148"/>
      <c r="MI133" s="265"/>
      <c r="MJ133" s="647"/>
      <c r="MK133" s="264"/>
      <c r="ML133" s="153"/>
      <c r="MM133" s="153"/>
      <c r="MN133" s="153"/>
      <c r="MO133" s="153"/>
      <c r="MP133" s="153"/>
      <c r="MQ133" s="153"/>
      <c r="MR133" s="153"/>
      <c r="MS133" s="99"/>
      <c r="MT133" s="99"/>
      <c r="MU133" s="99"/>
      <c r="MV133" s="99"/>
      <c r="MW133" s="99"/>
      <c r="MX133" s="99"/>
      <c r="MY133" s="153"/>
      <c r="MZ133" s="153"/>
      <c r="NA133" s="153"/>
      <c r="NB133" s="153"/>
      <c r="NC133" s="153"/>
      <c r="ND133" s="153"/>
      <c r="NE133" s="153"/>
      <c r="NF133" s="153"/>
      <c r="NG133" s="153"/>
      <c r="NH133" s="145" t="str">
        <f>"ks"</f>
        <v>ks</v>
      </c>
      <c r="NI133" s="779">
        <f>RZ[[#This Row],[Počet ks (K)]]</f>
        <v>0</v>
      </c>
      <c r="NJ133" s="210">
        <f>RZ[[#This Row],[Hmotnost '[kg/ks'] (K)]]</f>
        <v>0</v>
      </c>
      <c r="NK133" s="153"/>
      <c r="NL133" s="153"/>
      <c r="NM133" s="632"/>
      <c r="NN133" s="153"/>
      <c r="NO133" s="153"/>
      <c r="NP133" s="153"/>
      <c r="NQ133" s="153"/>
      <c r="NR133" s="153"/>
      <c r="NS133" s="153"/>
      <c r="NT133" s="153"/>
      <c r="NU133" s="153"/>
      <c r="NV133" s="148"/>
      <c r="NW133" s="633"/>
    </row>
    <row r="134" spans="2:387" ht="15.95" customHeight="1" thickBot="1" x14ac:dyDescent="0.4">
      <c r="B134" s="118" t="str">
        <f t="shared" si="1"/>
        <v/>
      </c>
      <c r="C1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4" s="262" t="str">
        <f t="shared" si="2"/>
        <v xml:space="preserve">  Podložka</v>
      </c>
      <c r="E134" s="120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Row],[Kód položek (P2)]]))))))))))</f>
        <v>STO2</v>
      </c>
      <c r="F134" s="122" t="str">
        <f t="shared" si="3"/>
        <v>N/A</v>
      </c>
      <c r="G134" s="121" t="str">
        <f t="shared" si="4"/>
        <v/>
      </c>
      <c r="H134" s="122" t="str">
        <f t="shared" si="5"/>
        <v/>
      </c>
      <c r="I134" s="123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HR '[MJHR'] (P0)]]))))))))))</f>
        <v>ks</v>
      </c>
      <c r="J134" s="123">
        <f t="shared" si="6"/>
        <v>24</v>
      </c>
      <c r="K134" s="151">
        <f>RZ[[#This Row],[Koeficient odhadu HR '[-'] (P1)]]</f>
        <v>1</v>
      </c>
      <c r="L134" s="124">
        <f ca="1">RZ[[#This Row],[Jednotková hmotnost s koef. '[kg/MJHR'] (P0)]]</f>
        <v>3.5</v>
      </c>
      <c r="M134" s="124">
        <f t="shared" ca="1" si="7"/>
        <v>0</v>
      </c>
      <c r="N134" s="125">
        <f t="shared" ca="1" si="8"/>
        <v>84</v>
      </c>
      <c r="O134" s="125">
        <f t="shared" ca="1" si="9"/>
        <v>0</v>
      </c>
      <c r="P134" s="328" t="str">
        <f t="shared" si="10"/>
        <v/>
      </c>
      <c r="Q134" s="743">
        <f ca="1">RZ[[#This Row],[Počet MJHR v rozpadu (P0)]]</f>
        <v>24</v>
      </c>
      <c r="R134" s="439" t="str">
        <f t="shared" si="11"/>
        <v/>
      </c>
      <c r="S134" s="129" t="str">
        <f t="shared" si="12"/>
        <v/>
      </c>
      <c r="T134" s="130" t="str">
        <f t="shared" si="13"/>
        <v/>
      </c>
      <c r="U134" s="126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CR (MJCR) (P0)]]))))))))))</f>
        <v>kg</v>
      </c>
      <c r="V134" s="575">
        <f t="shared" ca="1" si="14"/>
        <v>84</v>
      </c>
      <c r="W134" s="322">
        <f>RZ[[#This Row],[Koeficient odhadu CR '[-'] (P1)]]</f>
        <v>1</v>
      </c>
      <c r="X134" s="440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Row],[Jednotková cena bez DPH '[cena/MJCR'] (P1)]]*RZ[[#This Row],[Koeficient odhadu CR '[-']]]))))))))))</f>
        <v>115</v>
      </c>
      <c r="Y134" s="440">
        <f t="shared" ca="1" si="108"/>
        <v>0</v>
      </c>
      <c r="Z134" s="142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VLOOKUP(IP134,$BR$7:$BS$11,2,FALSE)))))))))))</f>
        <v>CZK</v>
      </c>
      <c r="AA134" s="811">
        <f t="shared" ca="1" si="16"/>
        <v>84</v>
      </c>
      <c r="AB134" s="814">
        <f ca="1">RZ[[#This Row],[Kumulovaný koeficient v rozpadu (P0)]]</f>
        <v>1</v>
      </c>
      <c r="AC134" s="260"/>
      <c r="AD134" s="510">
        <f ca="1">RZ[[#This Row],[Jednotková cena bez DPH '[cena/MJCR'] s koef. (P0)]]/RZ[[#This Row],[Koeficient odhadu CR '[-']]]*RZ[[#This Row],[Kumulovaný koeficient odhadu CR  '[-']]]</f>
        <v>115</v>
      </c>
      <c r="AE134" s="511">
        <f t="shared" ca="1" si="17"/>
        <v>9660</v>
      </c>
      <c r="AF134" s="512">
        <f ca="1">-IF(ISNUMBER(AA134),RZ[[#This Row],[Celková cena bez DPH (1)]]-RZ[[#This Row],[Jednotková cena bez DPH '[cena/MJCR'] bez koef. (P0)]]*AA134,0)</f>
        <v>0</v>
      </c>
      <c r="AG1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4" s="261"/>
      <c r="AI134" s="510">
        <f t="shared" ca="1" si="18"/>
        <v>4.2592592592592595</v>
      </c>
      <c r="AJ134" s="511">
        <f t="shared" ca="1" si="19"/>
        <v>357.77777777777777</v>
      </c>
      <c r="AK134" s="512">
        <f t="shared" ca="1" si="20"/>
        <v>0</v>
      </c>
      <c r="AL134" s="753">
        <f ca="1">RZ[[#This Row],[Kilogramová cena bez DPH '[cena/kg'] (1)]]/$AK$13</f>
        <v>4.2592592592592595</v>
      </c>
      <c r="AM134" s="261"/>
      <c r="AN134" s="510">
        <f t="shared" ca="1" si="21"/>
        <v>5.5555555555555554</v>
      </c>
      <c r="AO134" s="511">
        <f t="shared" ca="1" si="22"/>
        <v>466.66666666666669</v>
      </c>
      <c r="AP134" s="512">
        <f t="shared" ca="1" si="23"/>
        <v>0</v>
      </c>
      <c r="AQ134" s="753">
        <f ca="1">RZ[[#This Row],[Kilogramová cena bez DPH '[cena/kg'] (1)]]/$AP$13</f>
        <v>5.5555555555555554</v>
      </c>
      <c r="AR134" s="261"/>
      <c r="AS134" s="510">
        <f t="shared" ca="1" si="24"/>
        <v>3.1455142231947484</v>
      </c>
      <c r="AT134" s="511">
        <f t="shared" ca="1" si="25"/>
        <v>264.22319474835882</v>
      </c>
      <c r="AU134" s="511">
        <f t="shared" ca="1" si="26"/>
        <v>0</v>
      </c>
      <c r="AV134" s="767">
        <f ca="1">RZ[[#This Row],[Kilogramová cena bez DPH '[cena/kg'] (1)]]/$AU$13</f>
        <v>3.1455142231947484</v>
      </c>
      <c r="AW134" s="165"/>
      <c r="AX134" s="110">
        <f t="shared" ca="1" si="27"/>
        <v>2</v>
      </c>
      <c r="AY134" s="55">
        <f t="shared" ca="1" si="28"/>
        <v>17</v>
      </c>
      <c r="AZ134" s="111">
        <f t="shared" ca="1" si="29"/>
        <v>0</v>
      </c>
      <c r="BA134" s="111">
        <f t="shared" ca="1" si="30"/>
        <v>0</v>
      </c>
      <c r="BB134" s="111">
        <f t="shared" ca="1" si="31"/>
        <v>0</v>
      </c>
      <c r="BC134" s="111">
        <f t="shared" ca="1" si="32"/>
        <v>0</v>
      </c>
      <c r="BD134" s="111">
        <f t="shared" ca="1" si="33"/>
        <v>0</v>
      </c>
      <c r="BE134" s="111">
        <f t="shared" ca="1" si="109"/>
        <v>0</v>
      </c>
      <c r="BF134" s="111">
        <f t="shared" ca="1" si="34"/>
        <v>0</v>
      </c>
      <c r="BG134" s="112">
        <f t="shared" ca="1" si="35"/>
        <v>0</v>
      </c>
      <c r="BH134" s="110">
        <f t="shared" si="110"/>
        <v>0</v>
      </c>
      <c r="BI134" s="55">
        <f t="shared" si="111"/>
        <v>1</v>
      </c>
      <c r="BJ134" s="55">
        <f t="shared" si="112"/>
        <v>0</v>
      </c>
      <c r="BK134" s="111">
        <f t="shared" si="113"/>
        <v>0</v>
      </c>
      <c r="BL134" s="111">
        <f t="shared" si="114"/>
        <v>0</v>
      </c>
      <c r="BM134" s="111">
        <f t="shared" si="115"/>
        <v>0</v>
      </c>
      <c r="BN134" s="111">
        <f t="shared" si="116"/>
        <v>0</v>
      </c>
      <c r="BO134" s="111">
        <f t="shared" si="117"/>
        <v>0</v>
      </c>
      <c r="BP134" s="111">
        <f t="shared" si="118"/>
        <v>0</v>
      </c>
      <c r="BQ134" s="112">
        <f t="shared" si="119"/>
        <v>0</v>
      </c>
      <c r="BR134" s="186">
        <f ca="1">IF(OFFSET(AY134,1,0,1,1)&lt;&gt;0,RZ[[#This Row],[Koeficient odhadu HR '[-'] (P1)]]*$BH134*SUMIFS(RZ[Úroveň 2 s koef. (P2)],RZ[0],AX134),RZ[[#This Row],[Koeficient odhadu HR '[-'] (P1)]]*$BH134*$IG134)</f>
        <v>0</v>
      </c>
      <c r="BS134" s="186">
        <f ca="1">IF(OFFSET(AY134,1,0,1,1)&lt;&gt;0,$BH134*SUMIFS(RZ[Úroveň 2 bez koef. (P2)],RZ[0],AX134),$BH134*$IG134)</f>
        <v>0</v>
      </c>
      <c r="BT134" s="138">
        <f ca="1">RZ[[#This Row],[Úroveň 2 s koef. (P2a)]]*RZ[[#This Row],[Počet MJHR (P0)]]</f>
        <v>84</v>
      </c>
      <c r="BU134" s="138">
        <f ca="1">RZ[[#This Row],[Úroveň 2 bez koef. (P2a)]]*RZ[[#This Row],[Počet MJHR (P0)]]</f>
        <v>84</v>
      </c>
      <c r="BV134" s="138">
        <f ca="1">IF(OFFSET(AZ134,1,0,1,1)&lt;&gt;0,RZ[[#This Row],[Koeficient odhadu HR '[-'] (P1)]]*$BI134*SUMIFS(RZ[Úroveň 3 s koef. (P2)],RZ[0],AX134,RZ[Úroveň 2 (P0)],AY134),RZ[[#This Row],[Koeficient odhadu HR '[-'] (P1)]]*$BI134*$IG134)</f>
        <v>3.5</v>
      </c>
      <c r="BW134" s="138">
        <f ca="1">IF(OFFSET(AZ134,1,0,1,1)&lt;&gt;0,$BI134*SUMIFS(RZ[Úroveň 3 bez koef. (P2)],RZ[0],AX134,RZ[Úroveň 2 (P0)],AY134),$BI134*$IG134)</f>
        <v>3.5</v>
      </c>
      <c r="BX134" s="132">
        <f ca="1">RZ[[#This Row],[Úroveň 3 s koef. (P2a)]]*RZ[[#This Row],[Počet MJHR (P0)]]</f>
        <v>0</v>
      </c>
      <c r="BY134" s="132">
        <f ca="1">RZ[Úroveň 3 bez koef. (P2a)]*RZ[[#This Row],[Počet MJHR (P0)]]</f>
        <v>0</v>
      </c>
      <c r="BZ134" s="132">
        <f ca="1">IF(OFFSET(BA134,1,0,1,1)&lt;&gt;0,RZ[[#This Row],[Koeficient odhadu HR '[-'] (P1)]]*$BJ134*SUMIFS(RZ[Úroveň 4 s koef. (P2)],RZ[0],AX134,RZ[Úroveň 2 (P0)],AY134,RZ[Úroveň 3 (P0)],AZ134),RZ[[#This Row],[Koeficient odhadu HR '[-'] (P1)]]*$BJ134*$IG134)</f>
        <v>0</v>
      </c>
      <c r="CA134" s="132">
        <f ca="1">IF(OFFSET(BA134,1,0,1,1)&lt;&gt;0,$BJ134*SUMIFS(RZ[Úroveň 4 bez koef. (P2)],RZ[0],AX134,RZ[Úroveň 2 (P0)],AY134,RZ[Úroveň 3 (P0)],AZ134),$BJ134*$IG134)</f>
        <v>0</v>
      </c>
      <c r="CB134" s="138">
        <f ca="1">RZ[[#This Row],[Úroveň 4 s koef. (P2a)]]*RZ[[#This Row],[Počet MJHR (P0)]]</f>
        <v>0</v>
      </c>
      <c r="CC134" s="138">
        <f ca="1">RZ[Úroveň 4 bez koef. (P2a)]*RZ[[#This Row],[Počet MJHR (P0)]]</f>
        <v>0</v>
      </c>
      <c r="CD134" s="138">
        <f ca="1">IF(OFFSET(BB134,1,0,1,1)&lt;&gt;0,RZ[[#This Row],[Koeficient odhadu HR '[-'] (P1)]]*$BK134*SUMIFS(RZ[Úroveň 5 s koef. (P2)],RZ[0],AX134,RZ[Úroveň 2 (P0)],AY134,RZ[Úroveň 3 (P0)],AZ134,RZ[Úroveň 4 (P0)],BA134),RZ[[#This Row],[Koeficient odhadu HR '[-'] (P1)]]*$BK134*$IG134)</f>
        <v>0</v>
      </c>
      <c r="CE134" s="138">
        <f ca="1">IF(OFFSET(BB134,1,0,1,1)&lt;&gt;0,$BK134*SUMIFS(RZ[Úroveň 5 bez koef. (P2)],RZ[0],AX134,RZ[Úroveň 2 (P0)],AY134,RZ[Úroveň 3 (P0)],AZ134,RZ[Úroveň 4 (P0)],BA134),$BK134*$IG134)</f>
        <v>0</v>
      </c>
      <c r="CF134" s="132">
        <f ca="1">RZ[[#This Row],[Úroveň 5 s koef. (P2a)]]*RZ[[#This Row],[Počet MJHR (P0)]]</f>
        <v>0</v>
      </c>
      <c r="CG134" s="132">
        <f ca="1">RZ[Úroveň 5 bez koef. (P2a)]*RZ[[#This Row],[Počet MJHR (P0)]]</f>
        <v>0</v>
      </c>
      <c r="CH134" s="132">
        <f ca="1">IF(OFFSET(BC134,1,0,1,1)&lt;&gt;0,RZ[[#This Row],[Koeficient odhadu HR '[-'] (P1)]]*$BL134*SUMIFS(RZ[Úroveň 6 s koef. (P2)],RZ[0],AX134,RZ[Úroveň 2 (P0)],AY134,RZ[Úroveň 3 (P0)],AZ134,RZ[Úroveň 4 (P0)],BA134,RZ[Úroveň 5 (P0)],BB134),RZ[[#This Row],[Koeficient odhadu HR '[-'] (P1)]]*$BL134*$IG134)</f>
        <v>0</v>
      </c>
      <c r="CI134" s="132">
        <f ca="1">IF(OFFSET(BC134,1,0,1,1)&lt;&gt;0,$BL134*SUMIFS(RZ[Úroveň 6 bez koef. (P2)],RZ[0],AX134,RZ[Úroveň 2 (P0)],AY134,RZ[Úroveň 3 (P0)],AZ134,RZ[Úroveň 4 (P0)],BA134,RZ[Úroveň 5 (P0)],BB134),$BL134*$IG134)</f>
        <v>0</v>
      </c>
      <c r="CJ134" s="138">
        <f ca="1">RZ[[#This Row],[Úroveň 6 s koef. (P2a)]]*RZ[[#This Row],[Počet MJHR (P0)]]</f>
        <v>0</v>
      </c>
      <c r="CK134" s="138">
        <f ca="1">RZ[Úroveň 6 bez koef. (P2a)]*RZ[[#This Row],[Počet MJHR (P0)]]</f>
        <v>0</v>
      </c>
      <c r="CL134" s="138">
        <f ca="1">IF(OFFSET(BD134,1,0,1,1)&lt;&gt;0,RZ[[#This Row],[Koeficient odhadu HR '[-'] (P1)]]*$BM134*SUMIFS(RZ[Úroveň 7 s koef. (P2)],RZ[0],AX134,RZ[Úroveň 2 (P0)],AY134,RZ[Úroveň 3 (P0)],AZ134,RZ[Úroveň 4 (P0)],BA134,RZ[Úroveň 5 (P0)],BB134,RZ[Úroveň 6 (P0)],BC134),RZ[[#This Row],[Koeficient odhadu HR '[-'] (P1)]]*$BM134*$IG134)</f>
        <v>0</v>
      </c>
      <c r="CM134" s="138">
        <f ca="1">IF(OFFSET(BD134,1,0,1,1)&lt;&gt;0,$BM134*SUMIFS(RZ[Úroveň 7 bez koef. (P2)],RZ[0],AX134,RZ[Úroveň 2 (P0)],AY134,RZ[Úroveň 3 (P0)],AZ134,RZ[Úroveň 4 (P0)],BA134,RZ[Úroveň 5 (P0)],BB134,RZ[Úroveň 6 (P0)],BC134),$BM134*$IG134)</f>
        <v>0</v>
      </c>
      <c r="CN134" s="132">
        <f ca="1">RZ[[#This Row],[Úroveň 7 s koef. (P2a)]]*RZ[[#This Row],[Počet MJHR (P0)]]</f>
        <v>0</v>
      </c>
      <c r="CO134" s="132">
        <f ca="1">RZ[Úroveň 7 bez koef. (P2a)]*RZ[[#This Row],[Počet MJHR (P0)]]</f>
        <v>0</v>
      </c>
      <c r="CP134" s="132">
        <f ca="1">IF(OFFSET(BE134,1,0,1,1)&lt;&gt;0,RZ[[#This Row],[Koeficient odhadu HR '[-'] (P1)]]*$BN134*SUMIFS(RZ[Úroveň 8 s koef. (P2)],RZ[0],AX134,RZ[Úroveň 2 (P0)],AY134,RZ[Úroveň 3 (P0)],AZ134,RZ[Úroveň 4 (P0)],BA134,RZ[Úroveň 5 (P0)],BB134,RZ[Úroveň 6 (P0)],BC134,RZ[Úroveň 7 (P0)],BD134),RZ[[#This Row],[Koeficient odhadu HR '[-'] (P1)]]*$BN134*$IG134)</f>
        <v>0</v>
      </c>
      <c r="CQ134" s="132">
        <f ca="1">IF(OFFSET(BE134,1,0,1,1)&lt;&gt;0,$BN134*SUMIFS(RZ[Úroveň 8 bez koef. (P2)],RZ[0],AX134,RZ[Úroveň 2 (P0)],AY134,RZ[Úroveň 3 (P0)],AZ134,RZ[Úroveň 4 (P0)],BA134,RZ[Úroveň 5 (P0)],BB134,RZ[Úroveň 6 (P0)],BC134,RZ[Úroveň 7 (P0)],BD134),$BN134*$IG134)</f>
        <v>0</v>
      </c>
      <c r="CR134" s="138">
        <f ca="1">RZ[[#This Row],[Úroveň 8 s koef. (P2a)]]*RZ[[#This Row],[Počet MJHR (P0)]]</f>
        <v>0</v>
      </c>
      <c r="CS134" s="138">
        <f ca="1">RZ[Úroveň 8 bez koef. (P2a)]*RZ[[#This Row],[Počet MJHR (P0)]]</f>
        <v>0</v>
      </c>
      <c r="CT134" s="138">
        <f ca="1">IF(OFFSET(BF134,1,0,1,1)&lt;&gt;0,RZ[[#This Row],[Koeficient odhadu HR '[-'] (P1)]]*$BO134*SUMIFS(RZ[Úroveň 9 s koef. (P2)],RZ[0],AX134,RZ[Úroveň 2 (P0)],AY134,RZ[Úroveň 3 (P0)],AZ134,RZ[Úroveň 4 (P0)],BA134,RZ[Úroveň 5 (P0)],BB134,RZ[Úroveň 6 (P0)],BC134,RZ[Úroveň 7 (P0)],BD134,RZ[Úroveň 8 (P0)],BE134),RZ[[#This Row],[Koeficient odhadu HR '[-'] (P1)]]*$BO134*$IG134)</f>
        <v>0</v>
      </c>
      <c r="CU134" s="138">
        <f ca="1">IF(OFFSET(BF134,1,0,1,1)&lt;&gt;0,$BO134*SUMIFS(RZ[Úroveň 9 bez koef. (P2)],RZ[0],AX134,RZ[Úroveň 2 (P0)],AY134,RZ[Úroveň 3 (P0)],AZ134,RZ[Úroveň 4 (P0)],BA134,RZ[Úroveň 5 (P0)],BB134,RZ[Úroveň 6 (P0)],BC134,RZ[Úroveň 7 (P0)],BD134,RZ[Úroveň 8 (P0)],BE134),$BO134*$IG134)</f>
        <v>0</v>
      </c>
      <c r="CV134" s="132">
        <f ca="1">RZ[[#This Row],[Úroveň 9 s koef. (P2a)]]*RZ[[#This Row],[Počet MJHR (P0)]]</f>
        <v>0</v>
      </c>
      <c r="CW134" s="132">
        <f ca="1">RZ[Úroveň 9 bez koef. (P2a)]*RZ[[#This Row],[Počet MJHR (P0)]]</f>
        <v>0</v>
      </c>
      <c r="CX134" s="132">
        <f ca="1">IF(OFFSET(BG134,1,0,1,1)&lt;&gt;0,RZ[[#This Row],[Koeficient odhadu HR '[-'] (P1)]]*$BP134*SUMIFS(RZ[Úroveň 10 s koef. (P2)],RZ[0],AX134,RZ[Úroveň 2 (P0)],AY134,RZ[Úroveň 3 (P0)],AZ134,RZ[Úroveň 4 (P0)],BA134,RZ[Úroveň 5 (P0)],BB134,RZ[Úroveň 6 (P0)],BC134,RZ[Úroveň 7 (P0)],BD134,RZ[Úroveň 8 (P0)],BE134,RZ[Úroveň 9 (P0)],BF134),RZ[[#This Row],[Koeficient odhadu HR '[-'] (P1)]]*$BP134*$IG134)</f>
        <v>0</v>
      </c>
      <c r="CY134" s="132">
        <f ca="1">IF(OFFSET(BG134,1,0,1,1)&lt;&gt;0,$BP134*SUMIFS(RZ[Úroveň 10 bez koef. (P2)],RZ[0],AX134,RZ[Úroveň 2 (P0)],AY134,RZ[Úroveň 3 (P0)],AZ134,RZ[Úroveň 4 (P0)],BA134,RZ[Úroveň 5 (P0)],BB134,RZ[Úroveň 6 (P0)],BC134,RZ[Úroveň 7 (P0)],BD134,RZ[Úroveň 8 (P0)],BE134,RZ[Úroveň 9 (P0)],BF134),$BP134*$IG134)</f>
        <v>0</v>
      </c>
      <c r="CZ134" s="138">
        <f>RZ[[#This Row],[Úroveň 10 s koef. (P2a)]]*RZ[[#This Row],[Počet MJHR (P0)]]</f>
        <v>0</v>
      </c>
      <c r="DA134" s="138">
        <f>RZ[Úroveň 10 bez koef. (P2a)]*RZ[[#This Row],[Počet MJHR (P0)]]</f>
        <v>0</v>
      </c>
      <c r="DB134" s="138">
        <f>RZ[[#This Row],[Koeficient odhadu HR '[-'] (P1)]]*$BQ134*IG134</f>
        <v>0</v>
      </c>
      <c r="DC134" s="231">
        <f t="shared" si="37"/>
        <v>0</v>
      </c>
      <c r="DD134" s="241">
        <f t="shared" ca="1" si="120"/>
        <v>3.5</v>
      </c>
      <c r="DE134" s="229">
        <f t="shared" ca="1" si="121"/>
        <v>3.5</v>
      </c>
      <c r="DF134" s="521">
        <f t="shared" si="40"/>
        <v>0</v>
      </c>
      <c r="DG134" s="522">
        <f t="shared" si="41"/>
        <v>24</v>
      </c>
      <c r="DH134" s="522">
        <f t="shared" si="42"/>
        <v>0</v>
      </c>
      <c r="DI134" s="523">
        <f t="shared" si="43"/>
        <v>0</v>
      </c>
      <c r="DJ134" s="524">
        <f t="shared" si="44"/>
        <v>0</v>
      </c>
      <c r="DK134" s="524">
        <f t="shared" si="45"/>
        <v>0</v>
      </c>
      <c r="DL134" s="524">
        <f t="shared" si="46"/>
        <v>0</v>
      </c>
      <c r="DM134" s="524">
        <f t="shared" si="47"/>
        <v>0</v>
      </c>
      <c r="DN134" s="524">
        <f t="shared" si="48"/>
        <v>0</v>
      </c>
      <c r="DO134" s="523">
        <f t="shared" si="49"/>
        <v>0</v>
      </c>
      <c r="DP134" s="525">
        <f ca="1">SUMIFS(RZ[Úroveň 1 (P4)],RZ[0],AX134)</f>
        <v>1</v>
      </c>
      <c r="DQ134" s="525">
        <f ca="1">SUMIFS(RZ[Úroveň 2 (P4)],RZ[0],AX134,RZ[Úroveň 2 (P0)],AY134)</f>
        <v>24</v>
      </c>
      <c r="DR134" s="525">
        <f ca="1">SUMIFS(RZ[Úroveň 3 (P4)],RZ[0],AX134,RZ[Úroveň 2 (P0)],AY134,RZ[Úroveň 3 (P0)],AZ134)</f>
        <v>0</v>
      </c>
      <c r="DS134" s="525">
        <f ca="1">SUMIFS(RZ[Úroveň 4 (P4)],RZ[0],AX134,RZ[Úroveň 2 (P0)],AY134,RZ[Úroveň 3 (P0)],AZ134,RZ[Úroveň 4 (P0)],BA134)</f>
        <v>0</v>
      </c>
      <c r="DT134" s="526">
        <f ca="1">SUMIFS(RZ[Úroveň 5 (P4)],RZ[0],AX134,RZ[Úroveň 2 (P0)],AY134,RZ[Úroveň 3 (P0)],AZ134,RZ[Úroveň 4 (P0)],BA134,RZ[Úroveň 5 (P0)],BB134)</f>
        <v>0</v>
      </c>
      <c r="DU134" s="526">
        <f ca="1">SUMIFS(RZ[Úroveň 6 (P4)],RZ[0],AX134,RZ[Úroveň 2 (P0)],AY134,RZ[Úroveň 3 (P0)],AZ134,RZ[Úroveň 4 (P0)],BA134,RZ[Úroveň 5 (P0)],BB134,RZ[Úroveň 6 (P0)],BC134)</f>
        <v>0</v>
      </c>
      <c r="DV134" s="526">
        <f ca="1">SUMIFS(RZ[Úroveň 7 (P4)],RZ[0],AX134,RZ[Úroveň 2 (P0)],AY134,RZ[Úroveň 3 (P0)],AZ134,RZ[Úroveň 4 (P0)],BA134,RZ[Úroveň 5 (P0)],BB134,RZ[Úroveň 6 (P0)],BC134,RZ[Úroveň 7 (P0)],BD134)</f>
        <v>0</v>
      </c>
      <c r="DW134" s="526">
        <f ca="1">SUMIFS(RZ[Úroveň 8 (P4)],RZ[0],AX134,RZ[Úroveň 2 (P0)],AY134,RZ[Úroveň 3 (P0)],AZ134,RZ[Úroveň 4 (P0)],BA134,RZ[Úroveň 5 (P0)],BB134,RZ[Úroveň 6 (P0)],BC134,RZ[Úroveň 7 (P0)],BD134,RZ[Úroveň 8 (P0)],BE134)</f>
        <v>0</v>
      </c>
      <c r="DX134" s="526">
        <f ca="1">SUMIFS(RZ[Úroveň 9 (P4)],RZ[0],AX134,RZ[Úroveň 2 (P0)],AY134,RZ[Úroveň 3 (P0)],AZ134,RZ[Úroveň 4 (P0)],BA134,RZ[Úroveň 5 (P0)],BB134,RZ[Úroveň 6 (P0)],BC134,RZ[Úroveň 7 (P0)],BD134,RZ[Úroveň 8 (P0)],BE134,RZ[Úroveň 9 (P0)],BF134)</f>
        <v>0</v>
      </c>
      <c r="DY134" s="526">
        <f ca="1">SUMIFS(RZ[Úroveň 10 (P4)],RZ[0],AX134,RZ[Úroveň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DZ134" s="527">
        <f t="shared" ca="1" si="122"/>
        <v>24</v>
      </c>
      <c r="EA134" s="528">
        <f ca="1">RZ[[#This Row],[Jednotková hmotnost bez koef. '[kg/MJHR'] (P0)]]*RZ[[#This Row],[Počet MJHR v rozpadu (P0)]]</f>
        <v>84</v>
      </c>
      <c r="EB134" s="191">
        <f ca="1">IF(OFFSET(AY134,1,0,1,1)&lt;&gt;0,RZ[[#This Row],[Koeficient odhadu CR '[-'] (P1)]]*$BH134*SUMIFS(RZ[Úroveň 2 s koef. (P3)],RZ[0],AX134),RZ[[#This Row],[Koeficient odhadu CR '[-'] (P1)]]*$BH134*$IQ134)</f>
        <v>0</v>
      </c>
      <c r="EC134" s="191">
        <f ca="1">IF(OFFSET(AY134,1,0,1,1)&lt;&gt;0,$BH134*SUMIFS(RZ[Úroveň 2 bez koef. (P3)],RZ[0],AX134),$BH134*$IQ134)</f>
        <v>0</v>
      </c>
      <c r="ED134" s="140">
        <f ca="1">RZ[[#This Row],[Úroveň 2 s koef. (P3a)]]*RZ[[#This Row],[Počet MJCR (P0) pro "kg"]]</f>
        <v>9660</v>
      </c>
      <c r="EE134" s="140">
        <f ca="1">RZ[Úroveň 2 bez koef. (P3a)]*RZ[[#This Row],[Počet MJCR (P0) pro "kg"]]</f>
        <v>9660</v>
      </c>
      <c r="EF134" s="140">
        <f ca="1">IF(OFFSET(AZ134,1,0,1,1)&lt;&gt;0,RZ[[#This Row],[Koeficient odhadu CR '[-'] (P1)]]*$BI134*SUMIFS(RZ[Úroveň 3 s koef. (P3)],RZ[0],AX134,RZ[Úroveň 2 (P0)],AY134),RZ[[#This Row],[Koeficient odhadu CR '[-'] (P1)]]*$BI134*$IQ134)</f>
        <v>115</v>
      </c>
      <c r="EG134" s="140">
        <f ca="1">IF(OFFSET(AZ134,1,0,1,1)&lt;&gt;0,$BI134*SUMIFS(RZ[Úroveň 3 bez koef. (P3)],RZ[0],AX134,RZ[Úroveň 2 (P0)],AY134),$BI134*$IQ134)</f>
        <v>115</v>
      </c>
      <c r="EH134" s="135">
        <f ca="1">RZ[[#This Row],[Úroveň 3 s koef. (P3a)]]*RZ[[#This Row],[Počet MJCR (P0) pro "kg"]]</f>
        <v>0</v>
      </c>
      <c r="EI134" s="135">
        <f ca="1">RZ[Úroveň 3 bez koef. (P3a)]*RZ[[#This Row],[Počet MJCR (P0) pro "kg"]]</f>
        <v>0</v>
      </c>
      <c r="EJ134" s="135">
        <f ca="1">IF(OFFSET(BA134,1,0,1,1)&lt;&gt;0,RZ[[#This Row],[Koeficient odhadu CR '[-'] (P1)]]*$BJ134*SUMIFS(RZ[Úroveň 4 s koef. (P3)],RZ[0],AX134,RZ[Úroveň 2 (P0)],AY134,RZ[Úroveň 3 (P0)],AZ134),RZ[[#This Row],[Koeficient odhadu CR '[-'] (P1)]]*$BJ134*$IQ134)</f>
        <v>0</v>
      </c>
      <c r="EK134" s="135">
        <f ca="1">IF(OFFSET(BA134,1,0,1,1)&lt;&gt;0,$BJ134*SUMIFS(RZ[Úroveň 4 bez koef. (P3)],RZ[0],AX134,RZ[Úroveň 2 (P0)],AY134,RZ[Úroveň 3 (P0)],AZ134),$BJ134*$IQ134)</f>
        <v>0</v>
      </c>
      <c r="EL134" s="140">
        <f ca="1">RZ[[#This Row],[Úroveň 4 s koef. (P3a)]]*RZ[[#This Row],[Počet MJCR (P0) pro "kg"]]</f>
        <v>0</v>
      </c>
      <c r="EM134" s="140">
        <f ca="1">RZ[Úroveň 4 bez koef. (P3a)]*RZ[[#This Row],[Počet MJCR (P0) pro "kg"]]</f>
        <v>0</v>
      </c>
      <c r="EN134" s="140">
        <f ca="1">IF(OFFSET(BB134,1,0,1,1)&lt;&gt;0,RZ[[#This Row],[Koeficient odhadu CR '[-'] (P1)]]*$BK134*SUMIFS(RZ[Úroveň 5 s koef. (P3)],RZ[0],AX134,RZ[Úroveň 2 (P0)],AY134,RZ[Úroveň 3 (P0)],AZ134,RZ[Úroveň 4 (P0)],BA134),RZ[[#This Row],[Koeficient odhadu CR '[-'] (P1)]]*$BK134*$IQ134)</f>
        <v>0</v>
      </c>
      <c r="EO134" s="140">
        <f ca="1">IF(OFFSET(BB134,1,0,1,1)&lt;&gt;0,$BK134*SUMIFS(RZ[Úroveň 5 bez koef. (P3)],RZ[0],AX134,RZ[Úroveň 2 (P0)],AY134,RZ[Úroveň 3 (P0)],AZ134,RZ[Úroveň 4 (P0)],BA134),$BK134*$IQ134)</f>
        <v>0</v>
      </c>
      <c r="EP134" s="135">
        <f ca="1">RZ[[#This Row],[Úroveň 5 s koef. (P3a)]]*RZ[[#This Row],[Počet MJCR (P0) pro "kg"]]</f>
        <v>0</v>
      </c>
      <c r="EQ134" s="135">
        <f ca="1">RZ[Úroveň 5 bez koef. (P3a)]*RZ[[#This Row],[Počet MJCR (P0) pro "kg"]]</f>
        <v>0</v>
      </c>
      <c r="ER134" s="135">
        <f ca="1">IF(OFFSET(BC134,1,0,1,1)&lt;&gt;0,RZ[[#This Row],[Koeficient odhadu CR '[-'] (P1)]]*$BL134*SUMIFS(RZ[Úroveň 6 s koef. (P3)],RZ[0],AX134,RZ[Úroveň 2 (P0)],AY134,RZ[Úroveň 3 (P0)],AZ134,RZ[Úroveň 4 (P0)],BA134,RZ[Úroveň 5 (P0)],BB134),RZ[[#This Row],[Koeficient odhadu CR '[-'] (P1)]]*$BL134*$IQ134)</f>
        <v>0</v>
      </c>
      <c r="ES134" s="135">
        <f ca="1">IF(OFFSET(BC134,1,0,1,1)&lt;&gt;0,$BL134*SUMIFS(RZ[Úroveň 6 bez koef. (P3)],RZ[0],AX134,RZ[Úroveň 2 (P0)],AY134,RZ[Úroveň 3 (P0)],AZ134,RZ[Úroveň 4 (P0)],BA134,RZ[Úroveň 5 (P0)],BB134),$BL134*$IQ134)</f>
        <v>0</v>
      </c>
      <c r="ET134" s="140">
        <f ca="1">RZ[[#This Row],[Úroveň 6 s koef. (P3a)]]*RZ[[#This Row],[Počet MJCR (P0) pro "kg"]]</f>
        <v>0</v>
      </c>
      <c r="EU134" s="140">
        <f ca="1">RZ[Úroveň 6 bez koef. (P3a)]*RZ[[#This Row],[Počet MJCR (P0) pro "kg"]]</f>
        <v>0</v>
      </c>
      <c r="EV134" s="140">
        <f ca="1">IF(OFFSET(BD134,1,0,1,1)&lt;&gt;0,RZ[[#This Row],[Koeficient odhadu CR '[-'] (P1)]]*$BM134*SUMIFS(RZ[Úroveň 7 s koef. (P3)],RZ[0],AX134,RZ[Úroveň 2 (P0)],AY134,RZ[Úroveň 3 (P0)],AZ134,RZ[Úroveň 4 (P0)],BA134,RZ[Úroveň 5 (P0)],BB134,RZ[Úroveň 6 (P0)],BC134),RZ[[#This Row],[Koeficient odhadu CR '[-'] (P1)]]*$BM134*$IQ134)</f>
        <v>0</v>
      </c>
      <c r="EW134" s="140">
        <f ca="1">IF(OFFSET(BD134,1,0,1,1)&lt;&gt;0,$BM134*SUMIFS(RZ[Úroveň 7 bez koef. (P3)],RZ[0],AX134,RZ[Úroveň 2 (P0)],AY134,RZ[Úroveň 3 (P0)],AZ134,RZ[Úroveň 4 (P0)],BA134,RZ[Úroveň 5 (P0)],BB134,RZ[Úroveň 6 (P0)],BC134),$BM134*$IQ134)</f>
        <v>0</v>
      </c>
      <c r="EX134" s="135">
        <f ca="1">RZ[[#This Row],[Úroveň 7 s koef. (P3a)]]*RZ[[#This Row],[Počet MJCR (P0) pro "kg"]]</f>
        <v>0</v>
      </c>
      <c r="EY134" s="135">
        <f ca="1">RZ[Úroveň 7 bez koef. (P3a)]*RZ[[#This Row],[Počet MJCR (P0) pro "kg"]]</f>
        <v>0</v>
      </c>
      <c r="EZ134" s="135">
        <f ca="1">IF(OFFSET(BE134,1,0,1,1)&lt;&gt;0,RZ[[#This Row],[Koeficient odhadu CR '[-'] (P1)]]*$BN134*SUMIFS(RZ[Úroveň 8 s koef. (P3)],RZ[0],AX134,RZ[Úroveň 2 (P0)],AY134,RZ[Úroveň 3 (P0)],AZ134,RZ[Úroveň 4 (P0)],BA134,RZ[Úroveň 5 (P0)],BB134,RZ[Úroveň 6 (P0)],BC134,RZ[Úroveň 7 (P0)],BD134),RZ[[#This Row],[Koeficient odhadu CR '[-'] (P1)]]*$BN134*$IQ134)</f>
        <v>0</v>
      </c>
      <c r="FA134" s="135">
        <f ca="1">IF(OFFSET(BE134,1,0,1,1)&lt;&gt;0,$BN134*SUMIFS(RZ[Úroveň 8 bez koef. (P3)],RZ[0],AX134,RZ[Úroveň 2 (P0)],AY134,RZ[Úroveň 3 (P0)],AZ134,RZ[Úroveň 4 (P0)],BA134,RZ[Úroveň 5 (P0)],BB134,RZ[Úroveň 6 (P0)],BC134,RZ[Úroveň 7 (P0)],BD134),$BN134*$IQ134)</f>
        <v>0</v>
      </c>
      <c r="FB134" s="140">
        <f ca="1">RZ[[#This Row],[Úroveň 8 s koef. (P3a)]]*RZ[[#This Row],[Počet MJCR (P0) pro "kg"]]</f>
        <v>0</v>
      </c>
      <c r="FC134" s="140">
        <f ca="1">RZ[Úroveň 8 bez koef. (P3a)]*RZ[[#This Row],[Počet MJCR (P0) pro "kg"]]</f>
        <v>0</v>
      </c>
      <c r="FD134" s="140">
        <f ca="1">IF(OFFSET(BF134,1,0,1,1)&lt;&gt;0,RZ[[#This Row],[Koeficient odhadu CR '[-'] (P1)]]*$BO134*SUMIFS(RZ[Úroveň 9 s koef. (P3)],RZ[0],AX134,RZ[Úroveň 2 (P0)],AY134,RZ[Úroveň 3 (P0)],AZ134,RZ[Úroveň 4 (P0)],BA134,RZ[Úroveň 5 (P0)],BB134,RZ[Úroveň 6 (P0)],BC134,RZ[Úroveň 7 (P0)],BD134,RZ[Úroveň 8 (P0)],BE134),RZ[[#This Row],[Koeficient odhadu CR '[-'] (P1)]]*$BO134*$IQ134)</f>
        <v>0</v>
      </c>
      <c r="FE134" s="140">
        <f ca="1">IF(OFFSET(BF134,1,0,1,1)&lt;&gt;0,$BO134*SUMIFS(RZ[Úroveň 9 bez koef. (P3)],RZ[0],AX134,RZ[Úroveň 2 (P0)],AY134,RZ[Úroveň 3 (P0)],AZ134,RZ[Úroveň 4 (P0)],BA134,RZ[Úroveň 5 (P0)],BB134,RZ[Úroveň 6 (P0)],BC134,RZ[Úroveň 7 (P0)],BD134,RZ[Úroveň 8 (P0)],BE134),$BO134*$IQ134)</f>
        <v>0</v>
      </c>
      <c r="FF134" s="135">
        <f ca="1">RZ[[#This Row],[Úroveň 9 s koef. (P3a)]]*RZ[[#This Row],[Počet MJCR (P0) pro "kg"]]</f>
        <v>0</v>
      </c>
      <c r="FG134" s="135">
        <f ca="1">RZ[Úroveň 9 bez koef. (P3a)]*RZ[[#This Row],[Počet MJCR (P0) pro "kg"]]</f>
        <v>0</v>
      </c>
      <c r="FH134" s="135">
        <f ca="1">IF(OFFSET(BG134,1,0,1,1)&lt;&gt;0,RZ[[#This Row],[Koeficient odhadu CR '[-'] (P1)]]*$BP134*SUMIFS(RZ[Úroveň 10 s koef. (P3)],RZ[0],AX134,RZ[Úroveň 2 (P0)],AY134,RZ[Úroveň 3 (P0)],AZ134,RZ[Úroveň 4 (P0)],BA134,RZ[Úroveň 5 (P0)],BB134,RZ[Úroveň 6 (P0)],BC134,RZ[Úroveň 7 (P0)],BD134,RZ[Úroveň 8 (P0)],BE134,RZ[Úroveň 9 (P0)],BF134),RZ[[#This Row],[Koeficient odhadu CR '[-'] (P1)]]*$BP134*$IQ134)</f>
        <v>0</v>
      </c>
      <c r="FI134" s="135">
        <f ca="1">IF(OFFSET(BG134,1,0,1,1)&lt;&gt;0,$BP134*SUMIFS(RZ[Úroveň 10 bez koef. (P3)],RZ[0],AX134,RZ[Úroveň 2 (P0)],AY134,RZ[Úroveň 3 (P0)],AZ134,RZ[Úroveň 4 (P0)],BA134,RZ[Úroveň 5 (P0)],BB134,RZ[Úroveň 6 (P0)],BC134,RZ[Úroveň 7 (P0)],BD134,RZ[Úroveň 8 (P0)],BE134,RZ[Úroveň 9 (P0)],BF134),$BP134*$IQ134)</f>
        <v>0</v>
      </c>
      <c r="FJ134" s="140">
        <f ca="1">RZ[[#This Row],[Úroveň 10 s koef. (P3a)]]*RZ[[#This Row],[Počet MJCR (P0) pro "kg"]]</f>
        <v>0</v>
      </c>
      <c r="FK134" s="140">
        <f ca="1">RZ[Úroveň 10 bez koef. (P3a)]*RZ[[#This Row],[Počet MJCR (P0) pro "kg"]]</f>
        <v>0</v>
      </c>
      <c r="FL134" s="140">
        <f ca="1">RZ[[#This Row],[Koeficient odhadu CR '[-'] (P1)]]*$BQ134*IQ134</f>
        <v>0</v>
      </c>
      <c r="FM134" s="236">
        <f t="shared" ca="1" si="51"/>
        <v>0</v>
      </c>
      <c r="FN134" s="194">
        <f t="shared" ca="1" si="123"/>
        <v>115</v>
      </c>
      <c r="FO134" s="238">
        <f t="shared" ca="1" si="124"/>
        <v>115</v>
      </c>
      <c r="FP134" s="191">
        <f t="shared" ca="1" si="54"/>
        <v>0</v>
      </c>
      <c r="FQ134" s="135">
        <f t="shared" ca="1" si="55"/>
        <v>84</v>
      </c>
      <c r="FR134" s="135">
        <f t="shared" ca="1" si="56"/>
        <v>0</v>
      </c>
      <c r="FS134" s="135">
        <f t="shared" ca="1" si="57"/>
        <v>0</v>
      </c>
      <c r="FT134" s="135">
        <f t="shared" ca="1" si="58"/>
        <v>0</v>
      </c>
      <c r="FU134" s="135">
        <f t="shared" ca="1" si="59"/>
        <v>0</v>
      </c>
      <c r="FV134" s="135">
        <f t="shared" ca="1" si="60"/>
        <v>0</v>
      </c>
      <c r="FW134" s="135">
        <f t="shared" ca="1" si="61"/>
        <v>0</v>
      </c>
      <c r="FX134" s="135">
        <f t="shared" ca="1" si="62"/>
        <v>0</v>
      </c>
      <c r="FY134" s="135">
        <f t="shared" ca="1" si="63"/>
        <v>0</v>
      </c>
      <c r="FZ134" s="140">
        <f ca="1">SUMIFS(RZ[Úroveň 1 (P6)],RZ[0],AX134)</f>
        <v>1</v>
      </c>
      <c r="GA134" s="140">
        <f ca="1">SUMIFS(RZ[Úroveň 2 (P6)],RZ[0],AX134,RZ[Úroveň 2 (P0)],AY134)</f>
        <v>84</v>
      </c>
      <c r="GB134" s="140">
        <f ca="1">SUMIFS(RZ[Úroveň 3 (P6)],RZ[0],AX134,RZ[Úroveň 2 (P0)],AY134,RZ[Úroveň 3 (P0)],AZ134)</f>
        <v>0</v>
      </c>
      <c r="GC134" s="140">
        <f ca="1">SUMIFS(RZ[Úroveň 4 (P6)],RZ[0],AX134,RZ[Úroveň 2 (P0)],AY134,RZ[Úroveň 3 (P0)],AZ134,RZ[Úroveň 4 (P0)],BA134)</f>
        <v>0</v>
      </c>
      <c r="GD134" s="140">
        <f ca="1">SUMIFS(RZ[Úroveň 5 (P6)],RZ[0],AX134,RZ[Úroveň 2 (P0)],AY134,RZ[Úroveň 3 (P0)],AZ134,RZ[Úroveň 4 (P0)],BA134,RZ[Úroveň 5 (P0)],BB134)</f>
        <v>0</v>
      </c>
      <c r="GE134" s="140">
        <f ca="1">SUMIFS(RZ[Úroveň 6 (P6)],RZ[0],AX134,RZ[Úroveň 2 (P0)],AY134,RZ[Úroveň 3 (P0)],AZ134,RZ[Úroveň 4 (P0)],BA134,RZ[Úroveň 5 (P0)],BB134,RZ[Úroveň 6 (P0)],BC134)</f>
        <v>0</v>
      </c>
      <c r="GF134" s="140">
        <f ca="1">SUMIFS(RZ[Úroveň 7 (P6)],RZ[0],AX134,RZ[Úroveň 2 (P0)],AY134,RZ[Úroveň 3 (P0)],AZ134,RZ[Úroveň 4 (P0)],BA134,RZ[Úroveň 5 (P0)],BB134,RZ[Úroveň 6 (P0)],BC134,RZ[Úroveň 7 (P0)],BD134)</f>
        <v>0</v>
      </c>
      <c r="GG134" s="140">
        <f ca="1">SUMIFS(RZ[Úroveň 8 (P6)],RZ[0],AX134,RZ[Úroveň 2 (P0)],AY134,RZ[Úroveň 3 (P0)],AZ134,RZ[Úroveň 4 (P0)],BA134,RZ[Úroveň 5 (P0)],BB134,RZ[Úroveň 6 (P0)],BC134,RZ[Úroveň 7 (P0)],BD134,RZ[Úroveň 8 (P0)],BE134)</f>
        <v>0</v>
      </c>
      <c r="GH134" s="140">
        <f ca="1">SUMIFS(RZ[Úroveň 9 (P6)],RZ[0],AX134,RZ[Úroveň 2 (P0)],AY134,RZ[Úroveň 3 (P0)],AZ134,RZ[Úroveň 4 (P0)],BA134,RZ[Úroveň 5 (P0)],BB134,RZ[Úroveň 6 (P0)],BC134,RZ[Úroveň 7 (P0)],BD134,RZ[Úroveň 8 (P0)],BE134,RZ[Úroveň 9 (P0)],BF134)</f>
        <v>0</v>
      </c>
      <c r="GI134" s="140">
        <f ca="1">SUMIFS(RZ[Úroveň 10 (P6)],RZ[0],AX134,RZ[Úroveň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GJ134" s="194">
        <f t="shared" ca="1" si="125"/>
        <v>84</v>
      </c>
      <c r="GK134" s="807">
        <f t="shared" si="65"/>
        <v>0</v>
      </c>
      <c r="GL134" s="808">
        <f t="shared" si="66"/>
        <v>1</v>
      </c>
      <c r="GM134" s="808">
        <f t="shared" si="67"/>
        <v>0</v>
      </c>
      <c r="GN134" s="808">
        <f t="shared" si="68"/>
        <v>0</v>
      </c>
      <c r="GO134" s="808">
        <f t="shared" si="69"/>
        <v>0</v>
      </c>
      <c r="GP134" s="808">
        <f t="shared" si="70"/>
        <v>0</v>
      </c>
      <c r="GQ134" s="808">
        <f t="shared" si="71"/>
        <v>0</v>
      </c>
      <c r="GR134" s="808">
        <f t="shared" si="72"/>
        <v>0</v>
      </c>
      <c r="GS134" s="808">
        <f t="shared" si="73"/>
        <v>0</v>
      </c>
      <c r="GT134" s="808">
        <f t="shared" si="74"/>
        <v>0</v>
      </c>
      <c r="GU134" s="809">
        <f ca="1">SUMIFS(RZ[Sloupec1],RZ[0],AX134)</f>
        <v>1</v>
      </c>
      <c r="GV134" s="809">
        <f ca="1">SUMIFS(RZ[Sloupec2],RZ[0],AX134,RZ[Úroveň 2 (P0)],AY134)</f>
        <v>1</v>
      </c>
      <c r="GW134" s="809">
        <f ca="1">SUMIFS(RZ[Sloupec3],RZ[0],AX134,RZ[Úroveň 2 (P0)],AY134,RZ[Úroveň 3 (P0)],AZ134)</f>
        <v>0</v>
      </c>
      <c r="GX134" s="809">
        <f ca="1">SUMIFS(RZ[Sloupec4],RZ[0],AX134,RZ[Úroveň 2 (P0)],AY134,RZ[Úroveň 3 (P0)],AZ134,RZ[Úroveň 4 (P0)],BA134)</f>
        <v>0</v>
      </c>
      <c r="GY134" s="809">
        <f ca="1">SUMIFS(RZ[Sloupec5],RZ[0],AX134,RZ[Úroveň 2 (P0)],AY134,RZ[Úroveň 3 (P0)],AZ134,RZ[Úroveň 4 (P0)],BA134,RZ[Úroveň 5 (P0)],BB134)</f>
        <v>0</v>
      </c>
      <c r="GZ134" s="809">
        <f ca="1">SUMIFS(RZ[Sloupec6],RZ[0],AX134,RZ[Úroveň 2 (P0)],AY134,RZ[Úroveň 3 (P0)],AZ134,RZ[Úroveň 4 (P0)],BA134,RZ[Úroveň 5 (P0)],BB134,RZ[Úroveň 6 (P0)],BC134)</f>
        <v>0</v>
      </c>
      <c r="HA134" s="809">
        <f ca="1">SUMIFS(RZ[Sloupec62],RZ[0],AX134,RZ[Úroveň 2 (P0)],AY134,RZ[Úroveň 3 (P0)],AZ134,RZ[Úroveň 4 (P0)],BA134,RZ[Úroveň 5 (P0)],BB134,RZ[Úroveň 6 (P0)],BC134,RZ[Úroveň 7 (P0)],BD134)</f>
        <v>0</v>
      </c>
      <c r="HB134" s="809">
        <f ca="1">SUMIFS(RZ[Sloupec63],RZ[0],AX134,RZ[Úroveň 2 (P0)],AY134,RZ[Úroveň 3 (P0)],AZ134,RZ[Úroveň 4 (P0)],BA134,RZ[Úroveň 5 (P0)],BB134,RZ[Úroveň 6 (P0)],BC134,RZ[Úroveň 7 (P0)],BD134,RZ[Úroveň 8 (P0)],BE134)</f>
        <v>0</v>
      </c>
      <c r="HC134" s="809">
        <f ca="1">SUMIFS(RZ[Sloupec64],RZ[0],AX134,RZ[Úroveň 2 (P0)],AY134,RZ[Úroveň 3 (P0)],AZ134,RZ[Úroveň 4 (P0)],BA134,RZ[Úroveň 5 (P0)],BB134,RZ[Úroveň 6 (P0)],BC134,RZ[Úroveň 7 (P0)],BD134,RZ[Úroveň 8 (P0)],BE134,RZ[Úroveň 9 (P0)],BF134)</f>
        <v>0</v>
      </c>
      <c r="HD134" s="809">
        <f ca="1">SUMIFS(RZ[Sloupec65],RZ[0],AX134,RZ[Úroveň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HE134" s="803">
        <f t="shared" ca="1" si="75"/>
        <v>1</v>
      </c>
      <c r="HF134" s="48" t="str">
        <f t="shared" si="76"/>
        <v/>
      </c>
      <c r="HG134" s="94" t="str">
        <f t="shared" si="77"/>
        <v/>
      </c>
      <c r="HH134" s="95" t="str">
        <f t="shared" si="78"/>
        <v>Podložka</v>
      </c>
      <c r="HI134" s="95" t="str">
        <f t="shared" si="79"/>
        <v/>
      </c>
      <c r="HJ134" s="96" t="str">
        <f t="shared" si="80"/>
        <v/>
      </c>
      <c r="HK134" s="96" t="str">
        <f t="shared" si="81"/>
        <v/>
      </c>
      <c r="HL134" s="96" t="str">
        <f t="shared" si="82"/>
        <v/>
      </c>
      <c r="HM134" s="96" t="str">
        <f t="shared" si="83"/>
        <v/>
      </c>
      <c r="HN134" s="96" t="str">
        <f t="shared" si="84"/>
        <v/>
      </c>
      <c r="HO134" s="96" t="str">
        <f t="shared" si="85"/>
        <v/>
      </c>
      <c r="HP134" s="96" t="str">
        <f t="shared" si="86"/>
        <v/>
      </c>
      <c r="HQ134" s="145" t="str">
        <f t="shared" si="87"/>
        <v>STO2</v>
      </c>
      <c r="HR134" s="175" t="str">
        <f t="shared" si="88"/>
        <v/>
      </c>
      <c r="HS134" s="173">
        <f t="shared" si="89"/>
        <v>0</v>
      </c>
      <c r="HT134" s="99">
        <f t="shared" si="90"/>
        <v>0</v>
      </c>
      <c r="HU134" s="99">
        <f t="shared" si="91"/>
        <v>0</v>
      </c>
      <c r="HV134" s="209">
        <f t="shared" si="92"/>
        <v>0</v>
      </c>
      <c r="HW134" s="47">
        <f t="shared" si="93"/>
        <v>0</v>
      </c>
      <c r="HX134" s="46">
        <f t="shared" si="94"/>
        <v>0</v>
      </c>
      <c r="HY134" s="149" t="str">
        <f t="shared" si="95"/>
        <v>S</v>
      </c>
      <c r="HZ134" s="263">
        <f t="shared" si="96"/>
        <v>0</v>
      </c>
      <c r="IA134" s="150">
        <f t="shared" si="97"/>
        <v>1</v>
      </c>
      <c r="IB134" s="319">
        <f t="shared" si="98"/>
        <v>0</v>
      </c>
      <c r="IC134" s="220">
        <f t="shared" si="99"/>
        <v>0</v>
      </c>
      <c r="ID134" s="200" t="str">
        <f t="shared" ca="1" si="100"/>
        <v>OK</v>
      </c>
      <c r="IE134" s="201" t="str">
        <f t="shared" si="101"/>
        <v>ks</v>
      </c>
      <c r="IF134" s="145">
        <f t="shared" si="102"/>
        <v>24</v>
      </c>
      <c r="IG134" s="216">
        <f t="shared" si="103"/>
        <v>3.5</v>
      </c>
      <c r="IH134" s="217">
        <f t="shared" si="126"/>
        <v>1</v>
      </c>
      <c r="II134" s="224" t="str">
        <f ca="1">IF(RZ[[#This Row],[Rozhodný sloupec indikativní ceny]]=1,"kg",IF($IW134=$JL$15,IF(JX134=0,JO134,JX134),IF($IW134=$KE$15,IF(KQ134=0,KH134,KQ134),IF($IW134=$KX$15,IF(LJ134=0,LA134,LJ134),IF($IW134=$LQ$15,IF(MC134=0,LT134,MC134),IF($IW134=$MJ$15,IF(NQ134=0,NH134,NQ134),0))))))</f>
        <v>kg</v>
      </c>
      <c r="IJ134" s="224">
        <f ca="1">IF((BH134+OFFSET(BH134,1,1,1,1))=2,RZ[[#This Row],[Počet MJHR (P0)]],IF((BI134+OFFSET(BI134,1,1,1,1))=2,RZ[[#This Row],[Počet MJHR (P0)]],IF((BJ134+OFFSET(BJ134,1,1,1,1))=2,RZ[[#This Row],[Počet MJHR (P0)]],IF((BK134+OFFSET(BK134,1,1,1,1))=2,RZ[[#This Row],[Počet MJHR (P0)]],IF((BL134+OFFSET(BL134,1,1,1,1))=2,RZ[[#This Row],[Počet MJHR (P0)]],IF((BM134+OFFSET(BM134,1,1,1,1))=2,RZ[[#This Row],[Počet MJHR (P0)]],IF((BN134+OFFSET(BN134,1,1,1,1))=2,RZ[[#This Row],[Počet MJHR (P0)]],IF((BO134+OFFSET(BO134,1,1,1,1))=2,RZ[[#This Row],[Počet MJHR (P0)]],IF((BP134+OFFSET(BP134,1,1,1,1))=2,RZ[[#This Row],[Počet MJHR (P0)]],IF((BQ134+OFFSET(BQ134,1,1,1,1))=2,RZ[[#This Row],[Počet MJHR (P0)]],IF(RZ[[#This Row],[Měrná jednotka CR (MJCR) (P0)]]=RZ[[#This Row],[Měrná jednotka HR '[MJHR'] (P0)]],RZ[[#This Row],[Počet MJHR (P0)]],IF($IW134=$JL$15,JY134,IF($IW134=$KE$15,KR134,IF($IW134=$KX$15,LK134,IF($IW134=$LQ$15,MD134,IF($IW134=$MJ$15,NR134,0))))))))))))))))</f>
        <v>0</v>
      </c>
      <c r="IK1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84</v>
      </c>
      <c r="IL134" s="330">
        <f ca="1">IF(AND(RZ[[#This Row],[Jednotková cena bez DPH '[cena/MJCR'] (P0)]]=0,RZ[[#This Row],[Indikativní jednotková cena '[CZK/kg'] (P1)]]&lt;&gt;0),1,0)</f>
        <v>1</v>
      </c>
      <c r="IM134" s="217">
        <f ca="1">VLOOKUP(RZ[[#This Row],[Kód položek]],INDIKAT_CENA,2,FALSE)</f>
        <v>115</v>
      </c>
      <c r="IN134" s="222">
        <f ca="1">IF(RZ[[#This Row],[Rozhodný sloupec indikativní ceny]]=1,RZ[[#This Row],[Indikativní jednotková cena '[CZK/kg'] (P1)]],RZ[[#This Row],[Jednotková cena bez DPH '[cena/MJCR'] (P0)]])</f>
        <v>115</v>
      </c>
      <c r="IO134" s="222">
        <f t="shared" si="127"/>
        <v>1</v>
      </c>
      <c r="IP134" s="223">
        <f ca="1">IF(RZ[[#This Row],[Rozhodný sloupec indikativní ceny]]=1,1,IF($IW134=$JL$15,KA134,IF($IW134=$KE$15,KT134,IF($IW134=$KX$15,LM134,IF($IW134=$LQ$15,MF134,IF($IW134=$MJ$15,NT134,0))))))</f>
        <v>1</v>
      </c>
      <c r="IQ134" s="225">
        <f ca="1">IF(RZ[[#This Row],[Jednotková cena bez DPH '[cena/MJCR'] (P1)]]="",0,IF(IP134=0,0,(RZ[[#This Row],[Jednotková cena bez DPH '[cena/MJCR'] (P1)]]*VLOOKUP(IP134,$BR$7:$BT$10,3))))</f>
        <v>115</v>
      </c>
      <c r="IR134" s="737"/>
      <c r="IS134" s="627">
        <f>IF(HY134=0,"",VLOOKUP(RZ[[#This Row],[Stav Projekce (P0)]],Vstupy!$E$11:'Vstupy'!$E$11:$H$17,4,FALSE))</f>
        <v>100</v>
      </c>
      <c r="IT134" s="628" t="str">
        <f>IF(RZ[[#This Row],[Stav Projekce (P0)]]=0,"",RZ[[#This Row],[Stav Projekce (P0)]])</f>
        <v>S</v>
      </c>
      <c r="IU134" s="628" t="str">
        <f>IF(RZ[[#This Row],[Stav Nákup (P0)]]=0,"",RZ[[#This Row],[Stav Nákup (P0)]])</f>
        <v/>
      </c>
      <c r="IV134" s="636" t="str">
        <f t="shared" si="128"/>
        <v/>
      </c>
      <c r="IW134" s="641">
        <v>1</v>
      </c>
      <c r="IX134" s="630"/>
      <c r="IY134" s="264"/>
      <c r="IZ134" s="776"/>
      <c r="JA134" s="100" t="s">
        <v>753</v>
      </c>
      <c r="JB134" s="100"/>
      <c r="JC134" s="100"/>
      <c r="JD134" s="100"/>
      <c r="JE134" s="100"/>
      <c r="JF134" s="100"/>
      <c r="JG134" s="100"/>
      <c r="JH134" s="100"/>
      <c r="JI134" s="100"/>
      <c r="JJ134" s="145" t="s">
        <v>773</v>
      </c>
      <c r="JK134" s="529"/>
      <c r="JL134" s="286"/>
      <c r="JM134" s="100"/>
      <c r="JN134" s="100"/>
      <c r="JO134" s="145" t="s">
        <v>35</v>
      </c>
      <c r="JP134" s="117">
        <v>24</v>
      </c>
      <c r="JQ134" s="117">
        <v>3.5</v>
      </c>
      <c r="JR134" s="148">
        <v>1</v>
      </c>
      <c r="JS134" s="145" t="s">
        <v>602</v>
      </c>
      <c r="JT134" s="631"/>
      <c r="JU134" s="148"/>
      <c r="JV134" s="154"/>
      <c r="JW134" s="145"/>
      <c r="JX134" s="210"/>
      <c r="JY134" s="117"/>
      <c r="JZ134" s="662"/>
      <c r="KA134" s="145"/>
      <c r="KB134" s="148"/>
      <c r="KC134" s="148"/>
      <c r="KD134" s="644"/>
      <c r="KE134" s="286"/>
      <c r="KF134" s="100"/>
      <c r="KG134" s="100"/>
      <c r="KH134" s="210"/>
      <c r="KI134" s="117"/>
      <c r="KJ134" s="117"/>
      <c r="KK134" s="148"/>
      <c r="KL134" s="145"/>
      <c r="KM134" s="632"/>
      <c r="KN134" s="148"/>
      <c r="KO134" s="154"/>
      <c r="KP134" s="154"/>
      <c r="KQ134" s="210"/>
      <c r="KR134" s="117"/>
      <c r="KS134" s="211"/>
      <c r="KT134" s="145"/>
      <c r="KU134" s="148"/>
      <c r="KV134" s="148"/>
      <c r="KW134" s="265"/>
      <c r="KX134" s="286"/>
      <c r="KY134" s="100"/>
      <c r="KZ134" s="100"/>
      <c r="LA134" s="210"/>
      <c r="LB134" s="117"/>
      <c r="LC134" s="117"/>
      <c r="LD134" s="148"/>
      <c r="LE134" s="145"/>
      <c r="LF134" s="632"/>
      <c r="LG134" s="148"/>
      <c r="LH134" s="154"/>
      <c r="LI134" s="154"/>
      <c r="LJ134" s="154"/>
      <c r="LK134" s="117"/>
      <c r="LL134" s="211"/>
      <c r="LM134" s="210"/>
      <c r="LN134" s="148"/>
      <c r="LO134" s="148"/>
      <c r="LP134" s="265"/>
      <c r="LQ134" s="286"/>
      <c r="LR134" s="100"/>
      <c r="LS134" s="100"/>
      <c r="LT134" s="210"/>
      <c r="LU134" s="117"/>
      <c r="LV134" s="117"/>
      <c r="LW134" s="148"/>
      <c r="LX134" s="145"/>
      <c r="LY134" s="632"/>
      <c r="LZ134" s="148"/>
      <c r="MA134" s="154"/>
      <c r="MB134" s="154"/>
      <c r="MC134" s="145"/>
      <c r="MD134" s="117"/>
      <c r="ME134" s="211"/>
      <c r="MF134" s="210"/>
      <c r="MG134" s="148"/>
      <c r="MH134" s="148"/>
      <c r="MI134" s="265"/>
      <c r="MJ134" s="647"/>
      <c r="MK134" s="264"/>
      <c r="ML134" s="153"/>
      <c r="MM134" s="153"/>
      <c r="MN134" s="153"/>
      <c r="MO134" s="153"/>
      <c r="MP134" s="153"/>
      <c r="MQ134" s="153"/>
      <c r="MR134" s="153"/>
      <c r="MS134" s="99"/>
      <c r="MT134" s="99"/>
      <c r="MU134" s="99"/>
      <c r="MV134" s="99"/>
      <c r="MW134" s="99"/>
      <c r="MX134" s="99"/>
      <c r="MY134" s="153"/>
      <c r="MZ134" s="153"/>
      <c r="NA134" s="153"/>
      <c r="NB134" s="153"/>
      <c r="NC134" s="153"/>
      <c r="ND134" s="153"/>
      <c r="NE134" s="153"/>
      <c r="NF134" s="153"/>
      <c r="NG134" s="153"/>
      <c r="NH134" s="145" t="str">
        <f t="shared" si="823"/>
        <v>ks</v>
      </c>
      <c r="NI134" s="779">
        <f>RZ[[#This Row],[Počet ks (K)]]</f>
        <v>0</v>
      </c>
      <c r="NJ134" s="210">
        <f>RZ[[#This Row],[Hmotnost '[kg/ks'] (K)]]</f>
        <v>0</v>
      </c>
      <c r="NK134" s="153"/>
      <c r="NL134" s="153"/>
      <c r="NM134" s="632"/>
      <c r="NN134" s="153"/>
      <c r="NO134" s="153"/>
      <c r="NP134" s="153"/>
      <c r="NQ134" s="153"/>
      <c r="NR134" s="153"/>
      <c r="NS134" s="153"/>
      <c r="NT134" s="153"/>
      <c r="NU134" s="153"/>
      <c r="NV134" s="148"/>
      <c r="NW134" s="633"/>
    </row>
    <row r="135" spans="2:387" ht="15.95" customHeight="1" thickBot="1" x14ac:dyDescent="0.4">
      <c r="B135" s="118" t="str">
        <f t="shared" si="1"/>
        <v/>
      </c>
      <c r="C1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5" s="262" t="str">
        <f t="shared" si="2"/>
        <v xml:space="preserve">  Šroub M30 x 800</v>
      </c>
      <c r="E135" s="120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Row],[Kód položek (P2)]]))))))))))</f>
        <v>STO3</v>
      </c>
      <c r="F135" s="122" t="str">
        <f t="shared" si="3"/>
        <v>N/A</v>
      </c>
      <c r="G135" s="121" t="str">
        <f t="shared" si="4"/>
        <v/>
      </c>
      <c r="H135" s="122" t="str">
        <f t="shared" si="5"/>
        <v/>
      </c>
      <c r="I135" s="123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HR '[MJHR'] (P0)]]))))))))))</f>
        <v>ks</v>
      </c>
      <c r="J135" s="123">
        <f t="shared" si="6"/>
        <v>24</v>
      </c>
      <c r="K135" s="151">
        <f>RZ[[#This Row],[Koeficient odhadu HR '[-'] (P1)]]</f>
        <v>1</v>
      </c>
      <c r="L135" s="124">
        <f ca="1">RZ[[#This Row],[Jednotková hmotnost s koef. '[kg/MJHR'] (P0)]]</f>
        <v>5.1100000000000003</v>
      </c>
      <c r="M135" s="124">
        <f t="shared" ca="1" si="7"/>
        <v>0</v>
      </c>
      <c r="N135" s="125">
        <f t="shared" ca="1" si="8"/>
        <v>122.64000000000001</v>
      </c>
      <c r="O135" s="125">
        <f t="shared" ca="1" si="9"/>
        <v>0</v>
      </c>
      <c r="P135" s="328" t="str">
        <f t="shared" si="10"/>
        <v/>
      </c>
      <c r="Q135" s="743">
        <f ca="1">RZ[[#This Row],[Počet MJHR v rozpadu (P0)]]</f>
        <v>24</v>
      </c>
      <c r="R135" s="439" t="str">
        <f t="shared" si="11"/>
        <v/>
      </c>
      <c r="S135" s="129" t="str">
        <f t="shared" si="12"/>
        <v/>
      </c>
      <c r="T135" s="130" t="str">
        <f t="shared" si="13"/>
        <v/>
      </c>
      <c r="U135" s="126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CR (MJCR) (P0)]]))))))))))</f>
        <v>kg</v>
      </c>
      <c r="V135" s="575">
        <f t="shared" ca="1" si="14"/>
        <v>122.64000000000001</v>
      </c>
      <c r="W135" s="322">
        <f>RZ[[#This Row],[Koeficient odhadu CR '[-'] (P1)]]</f>
        <v>1</v>
      </c>
      <c r="X135" s="440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Row],[Jednotková cena bez DPH '[cena/MJCR'] (P1)]]*RZ[[#This Row],[Koeficient odhadu CR '[-']]]))))))))))</f>
        <v>85</v>
      </c>
      <c r="Y135" s="440">
        <f t="shared" ca="1" si="108"/>
        <v>0</v>
      </c>
      <c r="Z135" s="142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VLOOKUP(IP135,$BR$7:$BS$11,2,FALSE)))))))))))</f>
        <v>CZK</v>
      </c>
      <c r="AA135" s="811">
        <f t="shared" ca="1" si="16"/>
        <v>122.64000000000001</v>
      </c>
      <c r="AB135" s="814">
        <f ca="1">RZ[[#This Row],[Kumulovaný koeficient v rozpadu (P0)]]</f>
        <v>1</v>
      </c>
      <c r="AC135" s="260"/>
      <c r="AD135" s="510">
        <f ca="1">RZ[[#This Row],[Jednotková cena bez DPH '[cena/MJCR'] s koef. (P0)]]/RZ[[#This Row],[Koeficient odhadu CR '[-']]]*RZ[[#This Row],[Kumulovaný koeficient odhadu CR  '[-']]]</f>
        <v>85</v>
      </c>
      <c r="AE135" s="511">
        <f t="shared" ca="1" si="17"/>
        <v>10424.400000000001</v>
      </c>
      <c r="AF135" s="512">
        <f ca="1">-IF(ISNUMBER(AA135),RZ[[#This Row],[Celková cena bez DPH (1)]]-RZ[[#This Row],[Jednotková cena bez DPH '[cena/MJCR'] bez koef. (P0)]]*AA135,0)</f>
        <v>0</v>
      </c>
      <c r="AG1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5" s="261"/>
      <c r="AI135" s="510">
        <f t="shared" ca="1" si="18"/>
        <v>3.1481481481481484</v>
      </c>
      <c r="AJ135" s="511">
        <f t="shared" ca="1" si="19"/>
        <v>386.08888888888896</v>
      </c>
      <c r="AK135" s="512">
        <f t="shared" ca="1" si="20"/>
        <v>0</v>
      </c>
      <c r="AL135" s="753">
        <f ca="1">RZ[[#This Row],[Kilogramová cena bez DPH '[cena/kg'] (1)]]/$AK$13</f>
        <v>3.1481481481481488</v>
      </c>
      <c r="AM135" s="261"/>
      <c r="AN135" s="510">
        <f t="shared" ca="1" si="21"/>
        <v>4.1062801932367154</v>
      </c>
      <c r="AO135" s="511">
        <f t="shared" ca="1" si="22"/>
        <v>503.5942028985508</v>
      </c>
      <c r="AP135" s="512">
        <f t="shared" ca="1" si="23"/>
        <v>0</v>
      </c>
      <c r="AQ135" s="753">
        <f ca="1">RZ[[#This Row],[Kilogramová cena bez DPH '[cena/kg'] (1)]]/$AP$13</f>
        <v>4.1062801932367154</v>
      </c>
      <c r="AR135" s="261"/>
      <c r="AS135" s="510">
        <f t="shared" ca="1" si="24"/>
        <v>2.324945295404814</v>
      </c>
      <c r="AT135" s="511">
        <f t="shared" ca="1" si="25"/>
        <v>285.13129102844641</v>
      </c>
      <c r="AU135" s="511">
        <f t="shared" ca="1" si="26"/>
        <v>0</v>
      </c>
      <c r="AV135" s="767">
        <f ca="1">RZ[[#This Row],[Kilogramová cena bez DPH '[cena/kg'] (1)]]/$AU$13</f>
        <v>2.3249452954048144</v>
      </c>
      <c r="AW135" s="165"/>
      <c r="AX135" s="110">
        <f t="shared" ca="1" si="27"/>
        <v>2</v>
      </c>
      <c r="AY135" s="55">
        <f t="shared" ca="1" si="28"/>
        <v>18</v>
      </c>
      <c r="AZ135" s="111">
        <f t="shared" ca="1" si="29"/>
        <v>0</v>
      </c>
      <c r="BA135" s="111">
        <f t="shared" ca="1" si="30"/>
        <v>0</v>
      </c>
      <c r="BB135" s="111">
        <f t="shared" ca="1" si="31"/>
        <v>0</v>
      </c>
      <c r="BC135" s="111">
        <f t="shared" ca="1" si="32"/>
        <v>0</v>
      </c>
      <c r="BD135" s="111">
        <f t="shared" ca="1" si="33"/>
        <v>0</v>
      </c>
      <c r="BE135" s="111">
        <f t="shared" ca="1" si="109"/>
        <v>0</v>
      </c>
      <c r="BF135" s="111">
        <f t="shared" ca="1" si="34"/>
        <v>0</v>
      </c>
      <c r="BG135" s="112">
        <f t="shared" ca="1" si="35"/>
        <v>0</v>
      </c>
      <c r="BH135" s="110">
        <f t="shared" si="110"/>
        <v>0</v>
      </c>
      <c r="BI135" s="55">
        <f t="shared" si="111"/>
        <v>1</v>
      </c>
      <c r="BJ135" s="55">
        <f t="shared" si="112"/>
        <v>0</v>
      </c>
      <c r="BK135" s="111">
        <f t="shared" si="113"/>
        <v>0</v>
      </c>
      <c r="BL135" s="111">
        <f t="shared" si="114"/>
        <v>0</v>
      </c>
      <c r="BM135" s="111">
        <f t="shared" si="115"/>
        <v>0</v>
      </c>
      <c r="BN135" s="111">
        <f t="shared" si="116"/>
        <v>0</v>
      </c>
      <c r="BO135" s="111">
        <f t="shared" si="117"/>
        <v>0</v>
      </c>
      <c r="BP135" s="111">
        <f t="shared" si="118"/>
        <v>0</v>
      </c>
      <c r="BQ135" s="112">
        <f t="shared" si="119"/>
        <v>0</v>
      </c>
      <c r="BR135" s="186">
        <f ca="1">IF(OFFSET(AY135,1,0,1,1)&lt;&gt;0,RZ[[#This Row],[Koeficient odhadu HR '[-'] (P1)]]*$BH135*SUMIFS(RZ[Úroveň 2 s koef. (P2)],RZ[0],AX135),RZ[[#This Row],[Koeficient odhadu HR '[-'] (P1)]]*$BH135*$IG135)</f>
        <v>0</v>
      </c>
      <c r="BS135" s="186">
        <f ca="1">IF(OFFSET(AY135,1,0,1,1)&lt;&gt;0,$BH135*SUMIFS(RZ[Úroveň 2 bez koef. (P2)],RZ[0],AX135),$BH135*$IG135)</f>
        <v>0</v>
      </c>
      <c r="BT135" s="138">
        <f ca="1">RZ[[#This Row],[Úroveň 2 s koef. (P2a)]]*RZ[[#This Row],[Počet MJHR (P0)]]</f>
        <v>122.64000000000001</v>
      </c>
      <c r="BU135" s="138">
        <f ca="1">RZ[[#This Row],[Úroveň 2 bez koef. (P2a)]]*RZ[[#This Row],[Počet MJHR (P0)]]</f>
        <v>122.64000000000001</v>
      </c>
      <c r="BV135" s="138">
        <f ca="1">IF(OFFSET(AZ135,1,0,1,1)&lt;&gt;0,RZ[[#This Row],[Koeficient odhadu HR '[-'] (P1)]]*$BI135*SUMIFS(RZ[Úroveň 3 s koef. (P2)],RZ[0],AX135,RZ[Úroveň 2 (P0)],AY135),RZ[[#This Row],[Koeficient odhadu HR '[-'] (P1)]]*$BI135*$IG135)</f>
        <v>5.1100000000000003</v>
      </c>
      <c r="BW135" s="138">
        <f ca="1">IF(OFFSET(AZ135,1,0,1,1)&lt;&gt;0,$BI135*SUMIFS(RZ[Úroveň 3 bez koef. (P2)],RZ[0],AX135,RZ[Úroveň 2 (P0)],AY135),$BI135*$IG135)</f>
        <v>5.1100000000000003</v>
      </c>
      <c r="BX135" s="132">
        <f ca="1">RZ[[#This Row],[Úroveň 3 s koef. (P2a)]]*RZ[[#This Row],[Počet MJHR (P0)]]</f>
        <v>0</v>
      </c>
      <c r="BY135" s="132">
        <f ca="1">RZ[Úroveň 3 bez koef. (P2a)]*RZ[[#This Row],[Počet MJHR (P0)]]</f>
        <v>0</v>
      </c>
      <c r="BZ135" s="132">
        <f ca="1">IF(OFFSET(BA135,1,0,1,1)&lt;&gt;0,RZ[[#This Row],[Koeficient odhadu HR '[-'] (P1)]]*$BJ135*SUMIFS(RZ[Úroveň 4 s koef. (P2)],RZ[0],AX135,RZ[Úroveň 2 (P0)],AY135,RZ[Úroveň 3 (P0)],AZ135),RZ[[#This Row],[Koeficient odhadu HR '[-'] (P1)]]*$BJ135*$IG135)</f>
        <v>0</v>
      </c>
      <c r="CA135" s="132">
        <f ca="1">IF(OFFSET(BA135,1,0,1,1)&lt;&gt;0,$BJ135*SUMIFS(RZ[Úroveň 4 bez koef. (P2)],RZ[0],AX135,RZ[Úroveň 2 (P0)],AY135,RZ[Úroveň 3 (P0)],AZ135),$BJ135*$IG135)</f>
        <v>0</v>
      </c>
      <c r="CB135" s="138">
        <f ca="1">RZ[[#This Row],[Úroveň 4 s koef. (P2a)]]*RZ[[#This Row],[Počet MJHR (P0)]]</f>
        <v>0</v>
      </c>
      <c r="CC135" s="138">
        <f ca="1">RZ[Úroveň 4 bez koef. (P2a)]*RZ[[#This Row],[Počet MJHR (P0)]]</f>
        <v>0</v>
      </c>
      <c r="CD135" s="138">
        <f ca="1">IF(OFFSET(BB135,1,0,1,1)&lt;&gt;0,RZ[[#This Row],[Koeficient odhadu HR '[-'] (P1)]]*$BK135*SUMIFS(RZ[Úroveň 5 s koef. (P2)],RZ[0],AX135,RZ[Úroveň 2 (P0)],AY135,RZ[Úroveň 3 (P0)],AZ135,RZ[Úroveň 4 (P0)],BA135),RZ[[#This Row],[Koeficient odhadu HR '[-'] (P1)]]*$BK135*$IG135)</f>
        <v>0</v>
      </c>
      <c r="CE135" s="138">
        <f ca="1">IF(OFFSET(BB135,1,0,1,1)&lt;&gt;0,$BK135*SUMIFS(RZ[Úroveň 5 bez koef. (P2)],RZ[0],AX135,RZ[Úroveň 2 (P0)],AY135,RZ[Úroveň 3 (P0)],AZ135,RZ[Úroveň 4 (P0)],BA135),$BK135*$IG135)</f>
        <v>0</v>
      </c>
      <c r="CF135" s="132">
        <f ca="1">RZ[[#This Row],[Úroveň 5 s koef. (P2a)]]*RZ[[#This Row],[Počet MJHR (P0)]]</f>
        <v>0</v>
      </c>
      <c r="CG135" s="132">
        <f ca="1">RZ[Úroveň 5 bez koef. (P2a)]*RZ[[#This Row],[Počet MJHR (P0)]]</f>
        <v>0</v>
      </c>
      <c r="CH135" s="132">
        <f ca="1">IF(OFFSET(BC135,1,0,1,1)&lt;&gt;0,RZ[[#This Row],[Koeficient odhadu HR '[-'] (P1)]]*$BL135*SUMIFS(RZ[Úroveň 6 s koef. (P2)],RZ[0],AX135,RZ[Úroveň 2 (P0)],AY135,RZ[Úroveň 3 (P0)],AZ135,RZ[Úroveň 4 (P0)],BA135,RZ[Úroveň 5 (P0)],BB135),RZ[[#This Row],[Koeficient odhadu HR '[-'] (P1)]]*$BL135*$IG135)</f>
        <v>0</v>
      </c>
      <c r="CI135" s="132">
        <f ca="1">IF(OFFSET(BC135,1,0,1,1)&lt;&gt;0,$BL135*SUMIFS(RZ[Úroveň 6 bez koef. (P2)],RZ[0],AX135,RZ[Úroveň 2 (P0)],AY135,RZ[Úroveň 3 (P0)],AZ135,RZ[Úroveň 4 (P0)],BA135,RZ[Úroveň 5 (P0)],BB135),$BL135*$IG135)</f>
        <v>0</v>
      </c>
      <c r="CJ135" s="138">
        <f ca="1">RZ[[#This Row],[Úroveň 6 s koef. (P2a)]]*RZ[[#This Row],[Počet MJHR (P0)]]</f>
        <v>0</v>
      </c>
      <c r="CK135" s="138">
        <f ca="1">RZ[Úroveň 6 bez koef. (P2a)]*RZ[[#This Row],[Počet MJHR (P0)]]</f>
        <v>0</v>
      </c>
      <c r="CL135" s="138">
        <f ca="1">IF(OFFSET(BD135,1,0,1,1)&lt;&gt;0,RZ[[#This Row],[Koeficient odhadu HR '[-'] (P1)]]*$BM135*SUMIFS(RZ[Úroveň 7 s koef. (P2)],RZ[0],AX135,RZ[Úroveň 2 (P0)],AY135,RZ[Úroveň 3 (P0)],AZ135,RZ[Úroveň 4 (P0)],BA135,RZ[Úroveň 5 (P0)],BB135,RZ[Úroveň 6 (P0)],BC135),RZ[[#This Row],[Koeficient odhadu HR '[-'] (P1)]]*$BM135*$IG135)</f>
        <v>0</v>
      </c>
      <c r="CM135" s="138">
        <f ca="1">IF(OFFSET(BD135,1,0,1,1)&lt;&gt;0,$BM135*SUMIFS(RZ[Úroveň 7 bez koef. (P2)],RZ[0],AX135,RZ[Úroveň 2 (P0)],AY135,RZ[Úroveň 3 (P0)],AZ135,RZ[Úroveň 4 (P0)],BA135,RZ[Úroveň 5 (P0)],BB135,RZ[Úroveň 6 (P0)],BC135),$BM135*$IG135)</f>
        <v>0</v>
      </c>
      <c r="CN135" s="132">
        <f ca="1">RZ[[#This Row],[Úroveň 7 s koef. (P2a)]]*RZ[[#This Row],[Počet MJHR (P0)]]</f>
        <v>0</v>
      </c>
      <c r="CO135" s="132">
        <f ca="1">RZ[Úroveň 7 bez koef. (P2a)]*RZ[[#This Row],[Počet MJHR (P0)]]</f>
        <v>0</v>
      </c>
      <c r="CP135" s="132">
        <f ca="1">IF(OFFSET(BE135,1,0,1,1)&lt;&gt;0,RZ[[#This Row],[Koeficient odhadu HR '[-'] (P1)]]*$BN135*SUMIFS(RZ[Úroveň 8 s koef. (P2)],RZ[0],AX135,RZ[Úroveň 2 (P0)],AY135,RZ[Úroveň 3 (P0)],AZ135,RZ[Úroveň 4 (P0)],BA135,RZ[Úroveň 5 (P0)],BB135,RZ[Úroveň 6 (P0)],BC135,RZ[Úroveň 7 (P0)],BD135),RZ[[#This Row],[Koeficient odhadu HR '[-'] (P1)]]*$BN135*$IG135)</f>
        <v>0</v>
      </c>
      <c r="CQ135" s="132">
        <f ca="1">IF(OFFSET(BE135,1,0,1,1)&lt;&gt;0,$BN135*SUMIFS(RZ[Úroveň 8 bez koef. (P2)],RZ[0],AX135,RZ[Úroveň 2 (P0)],AY135,RZ[Úroveň 3 (P0)],AZ135,RZ[Úroveň 4 (P0)],BA135,RZ[Úroveň 5 (P0)],BB135,RZ[Úroveň 6 (P0)],BC135,RZ[Úroveň 7 (P0)],BD135),$BN135*$IG135)</f>
        <v>0</v>
      </c>
      <c r="CR135" s="138">
        <f ca="1">RZ[[#This Row],[Úroveň 8 s koef. (P2a)]]*RZ[[#This Row],[Počet MJHR (P0)]]</f>
        <v>0</v>
      </c>
      <c r="CS135" s="138">
        <f ca="1">RZ[Úroveň 8 bez koef. (P2a)]*RZ[[#This Row],[Počet MJHR (P0)]]</f>
        <v>0</v>
      </c>
      <c r="CT135" s="138">
        <f ca="1">IF(OFFSET(BF135,1,0,1,1)&lt;&gt;0,RZ[[#This Row],[Koeficient odhadu HR '[-'] (P1)]]*$BO135*SUMIFS(RZ[Úroveň 9 s koef. (P2)],RZ[0],AX135,RZ[Úroveň 2 (P0)],AY135,RZ[Úroveň 3 (P0)],AZ135,RZ[Úroveň 4 (P0)],BA135,RZ[Úroveň 5 (P0)],BB135,RZ[Úroveň 6 (P0)],BC135,RZ[Úroveň 7 (P0)],BD135,RZ[Úroveň 8 (P0)],BE135),RZ[[#This Row],[Koeficient odhadu HR '[-'] (P1)]]*$BO135*$IG135)</f>
        <v>0</v>
      </c>
      <c r="CU135" s="138">
        <f ca="1">IF(OFFSET(BF135,1,0,1,1)&lt;&gt;0,$BO135*SUMIFS(RZ[Úroveň 9 bez koef. (P2)],RZ[0],AX135,RZ[Úroveň 2 (P0)],AY135,RZ[Úroveň 3 (P0)],AZ135,RZ[Úroveň 4 (P0)],BA135,RZ[Úroveň 5 (P0)],BB135,RZ[Úroveň 6 (P0)],BC135,RZ[Úroveň 7 (P0)],BD135,RZ[Úroveň 8 (P0)],BE135),$BO135*$IG135)</f>
        <v>0</v>
      </c>
      <c r="CV135" s="132">
        <f ca="1">RZ[[#This Row],[Úroveň 9 s koef. (P2a)]]*RZ[[#This Row],[Počet MJHR (P0)]]</f>
        <v>0</v>
      </c>
      <c r="CW135" s="132">
        <f ca="1">RZ[Úroveň 9 bez koef. (P2a)]*RZ[[#This Row],[Počet MJHR (P0)]]</f>
        <v>0</v>
      </c>
      <c r="CX135" s="132">
        <f ca="1">IF(OFFSET(BG135,1,0,1,1)&lt;&gt;0,RZ[[#This Row],[Koeficient odhadu HR '[-'] (P1)]]*$BP135*SUMIFS(RZ[Úroveň 10 s koef. (P2)],RZ[0],AX135,RZ[Úroveň 2 (P0)],AY135,RZ[Úroveň 3 (P0)],AZ135,RZ[Úroveň 4 (P0)],BA135,RZ[Úroveň 5 (P0)],BB135,RZ[Úroveň 6 (P0)],BC135,RZ[Úroveň 7 (P0)],BD135,RZ[Úroveň 8 (P0)],BE135,RZ[Úroveň 9 (P0)],BF135),RZ[[#This Row],[Koeficient odhadu HR '[-'] (P1)]]*$BP135*$IG135)</f>
        <v>0</v>
      </c>
      <c r="CY135" s="132">
        <f ca="1">IF(OFFSET(BG135,1,0,1,1)&lt;&gt;0,$BP135*SUMIFS(RZ[Úroveň 10 bez koef. (P2)],RZ[0],AX135,RZ[Úroveň 2 (P0)],AY135,RZ[Úroveň 3 (P0)],AZ135,RZ[Úroveň 4 (P0)],BA135,RZ[Úroveň 5 (P0)],BB135,RZ[Úroveň 6 (P0)],BC135,RZ[Úroveň 7 (P0)],BD135,RZ[Úroveň 8 (P0)],BE135,RZ[Úroveň 9 (P0)],BF135),$BP135*$IG135)</f>
        <v>0</v>
      </c>
      <c r="CZ135" s="138">
        <f>RZ[[#This Row],[Úroveň 10 s koef. (P2a)]]*RZ[[#This Row],[Počet MJHR (P0)]]</f>
        <v>0</v>
      </c>
      <c r="DA135" s="138">
        <f>RZ[Úroveň 10 bez koef. (P2a)]*RZ[[#This Row],[Počet MJHR (P0)]]</f>
        <v>0</v>
      </c>
      <c r="DB135" s="138">
        <f>RZ[[#This Row],[Koeficient odhadu HR '[-'] (P1)]]*$BQ135*IG135</f>
        <v>0</v>
      </c>
      <c r="DC135" s="231">
        <f t="shared" si="37"/>
        <v>0</v>
      </c>
      <c r="DD135" s="241">
        <f t="shared" ca="1" si="120"/>
        <v>5.1100000000000003</v>
      </c>
      <c r="DE135" s="229">
        <f t="shared" ca="1" si="121"/>
        <v>5.1100000000000003</v>
      </c>
      <c r="DF135" s="521">
        <f t="shared" si="40"/>
        <v>0</v>
      </c>
      <c r="DG135" s="522">
        <f t="shared" si="41"/>
        <v>24</v>
      </c>
      <c r="DH135" s="522">
        <f t="shared" si="42"/>
        <v>0</v>
      </c>
      <c r="DI135" s="523">
        <f t="shared" si="43"/>
        <v>0</v>
      </c>
      <c r="DJ135" s="524">
        <f t="shared" si="44"/>
        <v>0</v>
      </c>
      <c r="DK135" s="524">
        <f t="shared" si="45"/>
        <v>0</v>
      </c>
      <c r="DL135" s="524">
        <f t="shared" si="46"/>
        <v>0</v>
      </c>
      <c r="DM135" s="524">
        <f t="shared" si="47"/>
        <v>0</v>
      </c>
      <c r="DN135" s="524">
        <f t="shared" si="48"/>
        <v>0</v>
      </c>
      <c r="DO135" s="523">
        <f t="shared" si="49"/>
        <v>0</v>
      </c>
      <c r="DP135" s="525">
        <f ca="1">SUMIFS(RZ[Úroveň 1 (P4)],RZ[0],AX135)</f>
        <v>1</v>
      </c>
      <c r="DQ135" s="525">
        <f ca="1">SUMIFS(RZ[Úroveň 2 (P4)],RZ[0],AX135,RZ[Úroveň 2 (P0)],AY135)</f>
        <v>24</v>
      </c>
      <c r="DR135" s="525">
        <f ca="1">SUMIFS(RZ[Úroveň 3 (P4)],RZ[0],AX135,RZ[Úroveň 2 (P0)],AY135,RZ[Úroveň 3 (P0)],AZ135)</f>
        <v>0</v>
      </c>
      <c r="DS135" s="525">
        <f ca="1">SUMIFS(RZ[Úroveň 4 (P4)],RZ[0],AX135,RZ[Úroveň 2 (P0)],AY135,RZ[Úroveň 3 (P0)],AZ135,RZ[Úroveň 4 (P0)],BA135)</f>
        <v>0</v>
      </c>
      <c r="DT135" s="526">
        <f ca="1">SUMIFS(RZ[Úroveň 5 (P4)],RZ[0],AX135,RZ[Úroveň 2 (P0)],AY135,RZ[Úroveň 3 (P0)],AZ135,RZ[Úroveň 4 (P0)],BA135,RZ[Úroveň 5 (P0)],BB135)</f>
        <v>0</v>
      </c>
      <c r="DU135" s="526">
        <f ca="1">SUMIFS(RZ[Úroveň 6 (P4)],RZ[0],AX135,RZ[Úroveň 2 (P0)],AY135,RZ[Úroveň 3 (P0)],AZ135,RZ[Úroveň 4 (P0)],BA135,RZ[Úroveň 5 (P0)],BB135,RZ[Úroveň 6 (P0)],BC135)</f>
        <v>0</v>
      </c>
      <c r="DV135" s="526">
        <f ca="1">SUMIFS(RZ[Úroveň 7 (P4)],RZ[0],AX135,RZ[Úroveň 2 (P0)],AY135,RZ[Úroveň 3 (P0)],AZ135,RZ[Úroveň 4 (P0)],BA135,RZ[Úroveň 5 (P0)],BB135,RZ[Úroveň 6 (P0)],BC135,RZ[Úroveň 7 (P0)],BD135)</f>
        <v>0</v>
      </c>
      <c r="DW135" s="526">
        <f ca="1">SUMIFS(RZ[Úroveň 8 (P4)],RZ[0],AX135,RZ[Úroveň 2 (P0)],AY135,RZ[Úroveň 3 (P0)],AZ135,RZ[Úroveň 4 (P0)],BA135,RZ[Úroveň 5 (P0)],BB135,RZ[Úroveň 6 (P0)],BC135,RZ[Úroveň 7 (P0)],BD135,RZ[Úroveň 8 (P0)],BE135)</f>
        <v>0</v>
      </c>
      <c r="DX135" s="526">
        <f ca="1">SUMIFS(RZ[Úroveň 9 (P4)],RZ[0],AX135,RZ[Úroveň 2 (P0)],AY135,RZ[Úroveň 3 (P0)],AZ135,RZ[Úroveň 4 (P0)],BA135,RZ[Úroveň 5 (P0)],BB135,RZ[Úroveň 6 (P0)],BC135,RZ[Úroveň 7 (P0)],BD135,RZ[Úroveň 8 (P0)],BE135,RZ[Úroveň 9 (P0)],BF135)</f>
        <v>0</v>
      </c>
      <c r="DY135" s="526">
        <f ca="1">SUMIFS(RZ[Úroveň 10 (P4)],RZ[0],AX135,RZ[Úroveň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DZ135" s="527">
        <f t="shared" ca="1" si="122"/>
        <v>24</v>
      </c>
      <c r="EA135" s="528">
        <f ca="1">RZ[[#This Row],[Jednotková hmotnost bez koef. '[kg/MJHR'] (P0)]]*RZ[[#This Row],[Počet MJHR v rozpadu (P0)]]</f>
        <v>122.64000000000001</v>
      </c>
      <c r="EB135" s="191">
        <f ca="1">IF(OFFSET(AY135,1,0,1,1)&lt;&gt;0,RZ[[#This Row],[Koeficient odhadu CR '[-'] (P1)]]*$BH135*SUMIFS(RZ[Úroveň 2 s koef. (P3)],RZ[0],AX135),RZ[[#This Row],[Koeficient odhadu CR '[-'] (P1)]]*$BH135*$IQ135)</f>
        <v>0</v>
      </c>
      <c r="EC135" s="191">
        <f ca="1">IF(OFFSET(AY135,1,0,1,1)&lt;&gt;0,$BH135*SUMIFS(RZ[Úroveň 2 bez koef. (P3)],RZ[0],AX135),$BH135*$IQ135)</f>
        <v>0</v>
      </c>
      <c r="ED135" s="140">
        <f ca="1">RZ[[#This Row],[Úroveň 2 s koef. (P3a)]]*RZ[[#This Row],[Počet MJCR (P0) pro "kg"]]</f>
        <v>10424.400000000001</v>
      </c>
      <c r="EE135" s="140">
        <f ca="1">RZ[Úroveň 2 bez koef. (P3a)]*RZ[[#This Row],[Počet MJCR (P0) pro "kg"]]</f>
        <v>10424.400000000001</v>
      </c>
      <c r="EF135" s="140">
        <f ca="1">IF(OFFSET(AZ135,1,0,1,1)&lt;&gt;0,RZ[[#This Row],[Koeficient odhadu CR '[-'] (P1)]]*$BI135*SUMIFS(RZ[Úroveň 3 s koef. (P3)],RZ[0],AX135,RZ[Úroveň 2 (P0)],AY135),RZ[[#This Row],[Koeficient odhadu CR '[-'] (P1)]]*$BI135*$IQ135)</f>
        <v>85</v>
      </c>
      <c r="EG135" s="140">
        <f ca="1">IF(OFFSET(AZ135,1,0,1,1)&lt;&gt;0,$BI135*SUMIFS(RZ[Úroveň 3 bez koef. (P3)],RZ[0],AX135,RZ[Úroveň 2 (P0)],AY135),$BI135*$IQ135)</f>
        <v>85</v>
      </c>
      <c r="EH135" s="135">
        <f ca="1">RZ[[#This Row],[Úroveň 3 s koef. (P3a)]]*RZ[[#This Row],[Počet MJCR (P0) pro "kg"]]</f>
        <v>0</v>
      </c>
      <c r="EI135" s="135">
        <f ca="1">RZ[Úroveň 3 bez koef. (P3a)]*RZ[[#This Row],[Počet MJCR (P0) pro "kg"]]</f>
        <v>0</v>
      </c>
      <c r="EJ135" s="135">
        <f ca="1">IF(OFFSET(BA135,1,0,1,1)&lt;&gt;0,RZ[[#This Row],[Koeficient odhadu CR '[-'] (P1)]]*$BJ135*SUMIFS(RZ[Úroveň 4 s koef. (P3)],RZ[0],AX135,RZ[Úroveň 2 (P0)],AY135,RZ[Úroveň 3 (P0)],AZ135),RZ[[#This Row],[Koeficient odhadu CR '[-'] (P1)]]*$BJ135*$IQ135)</f>
        <v>0</v>
      </c>
      <c r="EK135" s="135">
        <f ca="1">IF(OFFSET(BA135,1,0,1,1)&lt;&gt;0,$BJ135*SUMIFS(RZ[Úroveň 4 bez koef. (P3)],RZ[0],AX135,RZ[Úroveň 2 (P0)],AY135,RZ[Úroveň 3 (P0)],AZ135),$BJ135*$IQ135)</f>
        <v>0</v>
      </c>
      <c r="EL135" s="140">
        <f ca="1">RZ[[#This Row],[Úroveň 4 s koef. (P3a)]]*RZ[[#This Row],[Počet MJCR (P0) pro "kg"]]</f>
        <v>0</v>
      </c>
      <c r="EM135" s="140">
        <f ca="1">RZ[Úroveň 4 bez koef. (P3a)]*RZ[[#This Row],[Počet MJCR (P0) pro "kg"]]</f>
        <v>0</v>
      </c>
      <c r="EN135" s="140">
        <f ca="1">IF(OFFSET(BB135,1,0,1,1)&lt;&gt;0,RZ[[#This Row],[Koeficient odhadu CR '[-'] (P1)]]*$BK135*SUMIFS(RZ[Úroveň 5 s koef. (P3)],RZ[0],AX135,RZ[Úroveň 2 (P0)],AY135,RZ[Úroveň 3 (P0)],AZ135,RZ[Úroveň 4 (P0)],BA135),RZ[[#This Row],[Koeficient odhadu CR '[-'] (P1)]]*$BK135*$IQ135)</f>
        <v>0</v>
      </c>
      <c r="EO135" s="140">
        <f ca="1">IF(OFFSET(BB135,1,0,1,1)&lt;&gt;0,$BK135*SUMIFS(RZ[Úroveň 5 bez koef. (P3)],RZ[0],AX135,RZ[Úroveň 2 (P0)],AY135,RZ[Úroveň 3 (P0)],AZ135,RZ[Úroveň 4 (P0)],BA135),$BK135*$IQ135)</f>
        <v>0</v>
      </c>
      <c r="EP135" s="135">
        <f ca="1">RZ[[#This Row],[Úroveň 5 s koef. (P3a)]]*RZ[[#This Row],[Počet MJCR (P0) pro "kg"]]</f>
        <v>0</v>
      </c>
      <c r="EQ135" s="135">
        <f ca="1">RZ[Úroveň 5 bez koef. (P3a)]*RZ[[#This Row],[Počet MJCR (P0) pro "kg"]]</f>
        <v>0</v>
      </c>
      <c r="ER135" s="135">
        <f ca="1">IF(OFFSET(BC135,1,0,1,1)&lt;&gt;0,RZ[[#This Row],[Koeficient odhadu CR '[-'] (P1)]]*$BL135*SUMIFS(RZ[Úroveň 6 s koef. (P3)],RZ[0],AX135,RZ[Úroveň 2 (P0)],AY135,RZ[Úroveň 3 (P0)],AZ135,RZ[Úroveň 4 (P0)],BA135,RZ[Úroveň 5 (P0)],BB135),RZ[[#This Row],[Koeficient odhadu CR '[-'] (P1)]]*$BL135*$IQ135)</f>
        <v>0</v>
      </c>
      <c r="ES135" s="135">
        <f ca="1">IF(OFFSET(BC135,1,0,1,1)&lt;&gt;0,$BL135*SUMIFS(RZ[Úroveň 6 bez koef. (P3)],RZ[0],AX135,RZ[Úroveň 2 (P0)],AY135,RZ[Úroveň 3 (P0)],AZ135,RZ[Úroveň 4 (P0)],BA135,RZ[Úroveň 5 (P0)],BB135),$BL135*$IQ135)</f>
        <v>0</v>
      </c>
      <c r="ET135" s="140">
        <f ca="1">RZ[[#This Row],[Úroveň 6 s koef. (P3a)]]*RZ[[#This Row],[Počet MJCR (P0) pro "kg"]]</f>
        <v>0</v>
      </c>
      <c r="EU135" s="140">
        <f ca="1">RZ[Úroveň 6 bez koef. (P3a)]*RZ[[#This Row],[Počet MJCR (P0) pro "kg"]]</f>
        <v>0</v>
      </c>
      <c r="EV135" s="140">
        <f ca="1">IF(OFFSET(BD135,1,0,1,1)&lt;&gt;0,RZ[[#This Row],[Koeficient odhadu CR '[-'] (P1)]]*$BM135*SUMIFS(RZ[Úroveň 7 s koef. (P3)],RZ[0],AX135,RZ[Úroveň 2 (P0)],AY135,RZ[Úroveň 3 (P0)],AZ135,RZ[Úroveň 4 (P0)],BA135,RZ[Úroveň 5 (P0)],BB135,RZ[Úroveň 6 (P0)],BC135),RZ[[#This Row],[Koeficient odhadu CR '[-'] (P1)]]*$BM135*$IQ135)</f>
        <v>0</v>
      </c>
      <c r="EW135" s="140">
        <f ca="1">IF(OFFSET(BD135,1,0,1,1)&lt;&gt;0,$BM135*SUMIFS(RZ[Úroveň 7 bez koef. (P3)],RZ[0],AX135,RZ[Úroveň 2 (P0)],AY135,RZ[Úroveň 3 (P0)],AZ135,RZ[Úroveň 4 (P0)],BA135,RZ[Úroveň 5 (P0)],BB135,RZ[Úroveň 6 (P0)],BC135),$BM135*$IQ135)</f>
        <v>0</v>
      </c>
      <c r="EX135" s="135">
        <f ca="1">RZ[[#This Row],[Úroveň 7 s koef. (P3a)]]*RZ[[#This Row],[Počet MJCR (P0) pro "kg"]]</f>
        <v>0</v>
      </c>
      <c r="EY135" s="135">
        <f ca="1">RZ[Úroveň 7 bez koef. (P3a)]*RZ[[#This Row],[Počet MJCR (P0) pro "kg"]]</f>
        <v>0</v>
      </c>
      <c r="EZ135" s="135">
        <f ca="1">IF(OFFSET(BE135,1,0,1,1)&lt;&gt;0,RZ[[#This Row],[Koeficient odhadu CR '[-'] (P1)]]*$BN135*SUMIFS(RZ[Úroveň 8 s koef. (P3)],RZ[0],AX135,RZ[Úroveň 2 (P0)],AY135,RZ[Úroveň 3 (P0)],AZ135,RZ[Úroveň 4 (P0)],BA135,RZ[Úroveň 5 (P0)],BB135,RZ[Úroveň 6 (P0)],BC135,RZ[Úroveň 7 (P0)],BD135),RZ[[#This Row],[Koeficient odhadu CR '[-'] (P1)]]*$BN135*$IQ135)</f>
        <v>0</v>
      </c>
      <c r="FA135" s="135">
        <f ca="1">IF(OFFSET(BE135,1,0,1,1)&lt;&gt;0,$BN135*SUMIFS(RZ[Úroveň 8 bez koef. (P3)],RZ[0],AX135,RZ[Úroveň 2 (P0)],AY135,RZ[Úroveň 3 (P0)],AZ135,RZ[Úroveň 4 (P0)],BA135,RZ[Úroveň 5 (P0)],BB135,RZ[Úroveň 6 (P0)],BC135,RZ[Úroveň 7 (P0)],BD135),$BN135*$IQ135)</f>
        <v>0</v>
      </c>
      <c r="FB135" s="140">
        <f ca="1">RZ[[#This Row],[Úroveň 8 s koef. (P3a)]]*RZ[[#This Row],[Počet MJCR (P0) pro "kg"]]</f>
        <v>0</v>
      </c>
      <c r="FC135" s="140">
        <f ca="1">RZ[Úroveň 8 bez koef. (P3a)]*RZ[[#This Row],[Počet MJCR (P0) pro "kg"]]</f>
        <v>0</v>
      </c>
      <c r="FD135" s="140">
        <f ca="1">IF(OFFSET(BF135,1,0,1,1)&lt;&gt;0,RZ[[#This Row],[Koeficient odhadu CR '[-'] (P1)]]*$BO135*SUMIFS(RZ[Úroveň 9 s koef. (P3)],RZ[0],AX135,RZ[Úroveň 2 (P0)],AY135,RZ[Úroveň 3 (P0)],AZ135,RZ[Úroveň 4 (P0)],BA135,RZ[Úroveň 5 (P0)],BB135,RZ[Úroveň 6 (P0)],BC135,RZ[Úroveň 7 (P0)],BD135,RZ[Úroveň 8 (P0)],BE135),RZ[[#This Row],[Koeficient odhadu CR '[-'] (P1)]]*$BO135*$IQ135)</f>
        <v>0</v>
      </c>
      <c r="FE135" s="140">
        <f ca="1">IF(OFFSET(BF135,1,0,1,1)&lt;&gt;0,$BO135*SUMIFS(RZ[Úroveň 9 bez koef. (P3)],RZ[0],AX135,RZ[Úroveň 2 (P0)],AY135,RZ[Úroveň 3 (P0)],AZ135,RZ[Úroveň 4 (P0)],BA135,RZ[Úroveň 5 (P0)],BB135,RZ[Úroveň 6 (P0)],BC135,RZ[Úroveň 7 (P0)],BD135,RZ[Úroveň 8 (P0)],BE135),$BO135*$IQ135)</f>
        <v>0</v>
      </c>
      <c r="FF135" s="135">
        <f ca="1">RZ[[#This Row],[Úroveň 9 s koef. (P3a)]]*RZ[[#This Row],[Počet MJCR (P0) pro "kg"]]</f>
        <v>0</v>
      </c>
      <c r="FG135" s="135">
        <f ca="1">RZ[Úroveň 9 bez koef. (P3a)]*RZ[[#This Row],[Počet MJCR (P0) pro "kg"]]</f>
        <v>0</v>
      </c>
      <c r="FH135" s="135">
        <f ca="1">IF(OFFSET(BG135,1,0,1,1)&lt;&gt;0,RZ[[#This Row],[Koeficient odhadu CR '[-'] (P1)]]*$BP135*SUMIFS(RZ[Úroveň 10 s koef. (P3)],RZ[0],AX135,RZ[Úroveň 2 (P0)],AY135,RZ[Úroveň 3 (P0)],AZ135,RZ[Úroveň 4 (P0)],BA135,RZ[Úroveň 5 (P0)],BB135,RZ[Úroveň 6 (P0)],BC135,RZ[Úroveň 7 (P0)],BD135,RZ[Úroveň 8 (P0)],BE135,RZ[Úroveň 9 (P0)],BF135),RZ[[#This Row],[Koeficient odhadu CR '[-'] (P1)]]*$BP135*$IQ135)</f>
        <v>0</v>
      </c>
      <c r="FI135" s="135">
        <f ca="1">IF(OFFSET(BG135,1,0,1,1)&lt;&gt;0,$BP135*SUMIFS(RZ[Úroveň 10 bez koef. (P3)],RZ[0],AX135,RZ[Úroveň 2 (P0)],AY135,RZ[Úroveň 3 (P0)],AZ135,RZ[Úroveň 4 (P0)],BA135,RZ[Úroveň 5 (P0)],BB135,RZ[Úroveň 6 (P0)],BC135,RZ[Úroveň 7 (P0)],BD135,RZ[Úroveň 8 (P0)],BE135,RZ[Úroveň 9 (P0)],BF135),$BP135*$IQ135)</f>
        <v>0</v>
      </c>
      <c r="FJ135" s="140">
        <f ca="1">RZ[[#This Row],[Úroveň 10 s koef. (P3a)]]*RZ[[#This Row],[Počet MJCR (P0) pro "kg"]]</f>
        <v>0</v>
      </c>
      <c r="FK135" s="140">
        <f ca="1">RZ[Úroveň 10 bez koef. (P3a)]*RZ[[#This Row],[Počet MJCR (P0) pro "kg"]]</f>
        <v>0</v>
      </c>
      <c r="FL135" s="140">
        <f ca="1">RZ[[#This Row],[Koeficient odhadu CR '[-'] (P1)]]*$BQ135*IQ135</f>
        <v>0</v>
      </c>
      <c r="FM135" s="236">
        <f t="shared" ca="1" si="51"/>
        <v>0</v>
      </c>
      <c r="FN135" s="194">
        <f t="shared" ca="1" si="123"/>
        <v>85</v>
      </c>
      <c r="FO135" s="238">
        <f t="shared" ca="1" si="124"/>
        <v>85</v>
      </c>
      <c r="FP135" s="191">
        <f t="shared" ca="1" si="54"/>
        <v>0</v>
      </c>
      <c r="FQ135" s="135">
        <f t="shared" ca="1" si="55"/>
        <v>122.64000000000001</v>
      </c>
      <c r="FR135" s="135">
        <f t="shared" ca="1" si="56"/>
        <v>0</v>
      </c>
      <c r="FS135" s="135">
        <f t="shared" ca="1" si="57"/>
        <v>0</v>
      </c>
      <c r="FT135" s="135">
        <f t="shared" ca="1" si="58"/>
        <v>0</v>
      </c>
      <c r="FU135" s="135">
        <f t="shared" ca="1" si="59"/>
        <v>0</v>
      </c>
      <c r="FV135" s="135">
        <f t="shared" ca="1" si="60"/>
        <v>0</v>
      </c>
      <c r="FW135" s="135">
        <f t="shared" ca="1" si="61"/>
        <v>0</v>
      </c>
      <c r="FX135" s="135">
        <f t="shared" ca="1" si="62"/>
        <v>0</v>
      </c>
      <c r="FY135" s="135">
        <f t="shared" ca="1" si="63"/>
        <v>0</v>
      </c>
      <c r="FZ135" s="140">
        <f ca="1">SUMIFS(RZ[Úroveň 1 (P6)],RZ[0],AX135)</f>
        <v>1</v>
      </c>
      <c r="GA135" s="140">
        <f ca="1">SUMIFS(RZ[Úroveň 2 (P6)],RZ[0],AX135,RZ[Úroveň 2 (P0)],AY135)</f>
        <v>122.64000000000001</v>
      </c>
      <c r="GB135" s="140">
        <f ca="1">SUMIFS(RZ[Úroveň 3 (P6)],RZ[0],AX135,RZ[Úroveň 2 (P0)],AY135,RZ[Úroveň 3 (P0)],AZ135)</f>
        <v>0</v>
      </c>
      <c r="GC135" s="140">
        <f ca="1">SUMIFS(RZ[Úroveň 4 (P6)],RZ[0],AX135,RZ[Úroveň 2 (P0)],AY135,RZ[Úroveň 3 (P0)],AZ135,RZ[Úroveň 4 (P0)],BA135)</f>
        <v>0</v>
      </c>
      <c r="GD135" s="140">
        <f ca="1">SUMIFS(RZ[Úroveň 5 (P6)],RZ[0],AX135,RZ[Úroveň 2 (P0)],AY135,RZ[Úroveň 3 (P0)],AZ135,RZ[Úroveň 4 (P0)],BA135,RZ[Úroveň 5 (P0)],BB135)</f>
        <v>0</v>
      </c>
      <c r="GE135" s="140">
        <f ca="1">SUMIFS(RZ[Úroveň 6 (P6)],RZ[0],AX135,RZ[Úroveň 2 (P0)],AY135,RZ[Úroveň 3 (P0)],AZ135,RZ[Úroveň 4 (P0)],BA135,RZ[Úroveň 5 (P0)],BB135,RZ[Úroveň 6 (P0)],BC135)</f>
        <v>0</v>
      </c>
      <c r="GF135" s="140">
        <f ca="1">SUMIFS(RZ[Úroveň 7 (P6)],RZ[0],AX135,RZ[Úroveň 2 (P0)],AY135,RZ[Úroveň 3 (P0)],AZ135,RZ[Úroveň 4 (P0)],BA135,RZ[Úroveň 5 (P0)],BB135,RZ[Úroveň 6 (P0)],BC135,RZ[Úroveň 7 (P0)],BD135)</f>
        <v>0</v>
      </c>
      <c r="GG135" s="140">
        <f ca="1">SUMIFS(RZ[Úroveň 8 (P6)],RZ[0],AX135,RZ[Úroveň 2 (P0)],AY135,RZ[Úroveň 3 (P0)],AZ135,RZ[Úroveň 4 (P0)],BA135,RZ[Úroveň 5 (P0)],BB135,RZ[Úroveň 6 (P0)],BC135,RZ[Úroveň 7 (P0)],BD135,RZ[Úroveň 8 (P0)],BE135)</f>
        <v>0</v>
      </c>
      <c r="GH135" s="140">
        <f ca="1">SUMIFS(RZ[Úroveň 9 (P6)],RZ[0],AX135,RZ[Úroveň 2 (P0)],AY135,RZ[Úroveň 3 (P0)],AZ135,RZ[Úroveň 4 (P0)],BA135,RZ[Úroveň 5 (P0)],BB135,RZ[Úroveň 6 (P0)],BC135,RZ[Úroveň 7 (P0)],BD135,RZ[Úroveň 8 (P0)],BE135,RZ[Úroveň 9 (P0)],BF135)</f>
        <v>0</v>
      </c>
      <c r="GI135" s="140">
        <f ca="1">SUMIFS(RZ[Úroveň 10 (P6)],RZ[0],AX135,RZ[Úroveň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GJ135" s="194">
        <f t="shared" ca="1" si="125"/>
        <v>122.64000000000001</v>
      </c>
      <c r="GK135" s="807">
        <f t="shared" si="65"/>
        <v>0</v>
      </c>
      <c r="GL135" s="808">
        <f t="shared" si="66"/>
        <v>1</v>
      </c>
      <c r="GM135" s="808">
        <f t="shared" si="67"/>
        <v>0</v>
      </c>
      <c r="GN135" s="808">
        <f t="shared" si="68"/>
        <v>0</v>
      </c>
      <c r="GO135" s="808">
        <f t="shared" si="69"/>
        <v>0</v>
      </c>
      <c r="GP135" s="808">
        <f t="shared" si="70"/>
        <v>0</v>
      </c>
      <c r="GQ135" s="808">
        <f t="shared" si="71"/>
        <v>0</v>
      </c>
      <c r="GR135" s="808">
        <f t="shared" si="72"/>
        <v>0</v>
      </c>
      <c r="GS135" s="808">
        <f t="shared" si="73"/>
        <v>0</v>
      </c>
      <c r="GT135" s="808">
        <f t="shared" si="74"/>
        <v>0</v>
      </c>
      <c r="GU135" s="809">
        <f ca="1">SUMIFS(RZ[Sloupec1],RZ[0],AX135)</f>
        <v>1</v>
      </c>
      <c r="GV135" s="809">
        <f ca="1">SUMIFS(RZ[Sloupec2],RZ[0],AX135,RZ[Úroveň 2 (P0)],AY135)</f>
        <v>1</v>
      </c>
      <c r="GW135" s="809">
        <f ca="1">SUMIFS(RZ[Sloupec3],RZ[0],AX135,RZ[Úroveň 2 (P0)],AY135,RZ[Úroveň 3 (P0)],AZ135)</f>
        <v>0</v>
      </c>
      <c r="GX135" s="809">
        <f ca="1">SUMIFS(RZ[Sloupec4],RZ[0],AX135,RZ[Úroveň 2 (P0)],AY135,RZ[Úroveň 3 (P0)],AZ135,RZ[Úroveň 4 (P0)],BA135)</f>
        <v>0</v>
      </c>
      <c r="GY135" s="809">
        <f ca="1">SUMIFS(RZ[Sloupec5],RZ[0],AX135,RZ[Úroveň 2 (P0)],AY135,RZ[Úroveň 3 (P0)],AZ135,RZ[Úroveň 4 (P0)],BA135,RZ[Úroveň 5 (P0)],BB135)</f>
        <v>0</v>
      </c>
      <c r="GZ135" s="809">
        <f ca="1">SUMIFS(RZ[Sloupec6],RZ[0],AX135,RZ[Úroveň 2 (P0)],AY135,RZ[Úroveň 3 (P0)],AZ135,RZ[Úroveň 4 (P0)],BA135,RZ[Úroveň 5 (P0)],BB135,RZ[Úroveň 6 (P0)],BC135)</f>
        <v>0</v>
      </c>
      <c r="HA135" s="809">
        <f ca="1">SUMIFS(RZ[Sloupec62],RZ[0],AX135,RZ[Úroveň 2 (P0)],AY135,RZ[Úroveň 3 (P0)],AZ135,RZ[Úroveň 4 (P0)],BA135,RZ[Úroveň 5 (P0)],BB135,RZ[Úroveň 6 (P0)],BC135,RZ[Úroveň 7 (P0)],BD135)</f>
        <v>0</v>
      </c>
      <c r="HB135" s="809">
        <f ca="1">SUMIFS(RZ[Sloupec63],RZ[0],AX135,RZ[Úroveň 2 (P0)],AY135,RZ[Úroveň 3 (P0)],AZ135,RZ[Úroveň 4 (P0)],BA135,RZ[Úroveň 5 (P0)],BB135,RZ[Úroveň 6 (P0)],BC135,RZ[Úroveň 7 (P0)],BD135,RZ[Úroveň 8 (P0)],BE135)</f>
        <v>0</v>
      </c>
      <c r="HC135" s="809">
        <f ca="1">SUMIFS(RZ[Sloupec64],RZ[0],AX135,RZ[Úroveň 2 (P0)],AY135,RZ[Úroveň 3 (P0)],AZ135,RZ[Úroveň 4 (P0)],BA135,RZ[Úroveň 5 (P0)],BB135,RZ[Úroveň 6 (P0)],BC135,RZ[Úroveň 7 (P0)],BD135,RZ[Úroveň 8 (P0)],BE135,RZ[Úroveň 9 (P0)],BF135)</f>
        <v>0</v>
      </c>
      <c r="HD135" s="809">
        <f ca="1">SUMIFS(RZ[Sloupec65],RZ[0],AX135,RZ[Úroveň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HE135" s="803">
        <f t="shared" ca="1" si="75"/>
        <v>1</v>
      </c>
      <c r="HF135" s="48" t="str">
        <f t="shared" si="76"/>
        <v/>
      </c>
      <c r="HG135" s="94" t="str">
        <f t="shared" si="77"/>
        <v/>
      </c>
      <c r="HH135" s="95" t="str">
        <f t="shared" si="78"/>
        <v>Šroub M30 x 800</v>
      </c>
      <c r="HI135" s="95" t="str">
        <f t="shared" si="79"/>
        <v/>
      </c>
      <c r="HJ135" s="96" t="str">
        <f t="shared" si="80"/>
        <v/>
      </c>
      <c r="HK135" s="96" t="str">
        <f t="shared" si="81"/>
        <v/>
      </c>
      <c r="HL135" s="96" t="str">
        <f t="shared" si="82"/>
        <v/>
      </c>
      <c r="HM135" s="96" t="str">
        <f t="shared" si="83"/>
        <v/>
      </c>
      <c r="HN135" s="96" t="str">
        <f t="shared" si="84"/>
        <v/>
      </c>
      <c r="HO135" s="96" t="str">
        <f t="shared" si="85"/>
        <v/>
      </c>
      <c r="HP135" s="96" t="str">
        <f t="shared" si="86"/>
        <v/>
      </c>
      <c r="HQ135" s="145" t="str">
        <f t="shared" si="87"/>
        <v>STO3</v>
      </c>
      <c r="HR135" s="175" t="str">
        <f t="shared" si="88"/>
        <v/>
      </c>
      <c r="HS135" s="173">
        <f t="shared" si="89"/>
        <v>0</v>
      </c>
      <c r="HT135" s="99">
        <f t="shared" si="90"/>
        <v>0</v>
      </c>
      <c r="HU135" s="99">
        <f t="shared" si="91"/>
        <v>0</v>
      </c>
      <c r="HV135" s="209">
        <f t="shared" si="92"/>
        <v>0</v>
      </c>
      <c r="HW135" s="47">
        <f t="shared" si="93"/>
        <v>0</v>
      </c>
      <c r="HX135" s="46">
        <f t="shared" si="94"/>
        <v>0</v>
      </c>
      <c r="HY135" s="149" t="str">
        <f t="shared" si="95"/>
        <v>S</v>
      </c>
      <c r="HZ135" s="263">
        <f t="shared" si="96"/>
        <v>0</v>
      </c>
      <c r="IA135" s="150">
        <f t="shared" si="97"/>
        <v>1</v>
      </c>
      <c r="IB135" s="319">
        <f t="shared" si="98"/>
        <v>0</v>
      </c>
      <c r="IC135" s="220">
        <f t="shared" si="99"/>
        <v>0</v>
      </c>
      <c r="ID135" s="200" t="str">
        <f t="shared" ca="1" si="100"/>
        <v>OK</v>
      </c>
      <c r="IE135" s="201" t="str">
        <f t="shared" si="101"/>
        <v>ks</v>
      </c>
      <c r="IF135" s="145">
        <f t="shared" si="102"/>
        <v>24</v>
      </c>
      <c r="IG135" s="216">
        <f t="shared" si="103"/>
        <v>5.1100000000000003</v>
      </c>
      <c r="IH135" s="217">
        <f t="shared" si="126"/>
        <v>1</v>
      </c>
      <c r="II135" s="224" t="str">
        <f ca="1">IF(RZ[[#This Row],[Rozhodný sloupec indikativní ceny]]=1,"kg",IF($IW135=$JL$15,IF(JX135=0,JO135,JX135),IF($IW135=$KE$15,IF(KQ135=0,KH135,KQ135),IF($IW135=$KX$15,IF(LJ135=0,LA135,LJ135),IF($IW135=$LQ$15,IF(MC135=0,LT135,MC135),IF($IW135=$MJ$15,IF(NQ135=0,NH135,NQ135),0))))))</f>
        <v>kg</v>
      </c>
      <c r="IJ135" s="224">
        <f ca="1">IF((BH135+OFFSET(BH135,1,1,1,1))=2,RZ[[#This Row],[Počet MJHR (P0)]],IF((BI135+OFFSET(BI135,1,1,1,1))=2,RZ[[#This Row],[Počet MJHR (P0)]],IF((BJ135+OFFSET(BJ135,1,1,1,1))=2,RZ[[#This Row],[Počet MJHR (P0)]],IF((BK135+OFFSET(BK135,1,1,1,1))=2,RZ[[#This Row],[Počet MJHR (P0)]],IF((BL135+OFFSET(BL135,1,1,1,1))=2,RZ[[#This Row],[Počet MJHR (P0)]],IF((BM135+OFFSET(BM135,1,1,1,1))=2,RZ[[#This Row],[Počet MJHR (P0)]],IF((BN135+OFFSET(BN135,1,1,1,1))=2,RZ[[#This Row],[Počet MJHR (P0)]],IF((BO135+OFFSET(BO135,1,1,1,1))=2,RZ[[#This Row],[Počet MJHR (P0)]],IF((BP135+OFFSET(BP135,1,1,1,1))=2,RZ[[#This Row],[Počet MJHR (P0)]],IF((BQ135+OFFSET(BQ135,1,1,1,1))=2,RZ[[#This Row],[Počet MJHR (P0)]],IF(RZ[[#This Row],[Měrná jednotka CR (MJCR) (P0)]]=RZ[[#This Row],[Měrná jednotka HR '[MJHR'] (P0)]],RZ[[#This Row],[Počet MJHR (P0)]],IF($IW135=$JL$15,JY135,IF($IW135=$KE$15,KR135,IF($IW135=$KX$15,LK135,IF($IW135=$LQ$15,MD135,IF($IW135=$MJ$15,NR135,0))))))))))))))))</f>
        <v>0</v>
      </c>
      <c r="IK1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122.64000000000001</v>
      </c>
      <c r="IL135" s="330">
        <f ca="1">IF(AND(RZ[[#This Row],[Jednotková cena bez DPH '[cena/MJCR'] (P0)]]=0,RZ[[#This Row],[Indikativní jednotková cena '[CZK/kg'] (P1)]]&lt;&gt;0),1,0)</f>
        <v>1</v>
      </c>
      <c r="IM135" s="217">
        <f ca="1">VLOOKUP(RZ[[#This Row],[Kód položek]],INDIKAT_CENA,2,FALSE)</f>
        <v>85</v>
      </c>
      <c r="IN135" s="222">
        <f ca="1">IF(RZ[[#This Row],[Rozhodný sloupec indikativní ceny]]=1,RZ[[#This Row],[Indikativní jednotková cena '[CZK/kg'] (P1)]],RZ[[#This Row],[Jednotková cena bez DPH '[cena/MJCR'] (P0)]])</f>
        <v>85</v>
      </c>
      <c r="IO135" s="222">
        <f t="shared" si="127"/>
        <v>1</v>
      </c>
      <c r="IP135" s="223">
        <f ca="1">IF(RZ[[#This Row],[Rozhodný sloupec indikativní ceny]]=1,1,IF($IW135=$JL$15,KA135,IF($IW135=$KE$15,KT135,IF($IW135=$KX$15,LM135,IF($IW135=$LQ$15,MF135,IF($IW135=$MJ$15,NT135,0))))))</f>
        <v>1</v>
      </c>
      <c r="IQ135" s="225">
        <f ca="1">IF(RZ[[#This Row],[Jednotková cena bez DPH '[cena/MJCR'] (P1)]]="",0,IF(IP135=0,0,(RZ[[#This Row],[Jednotková cena bez DPH '[cena/MJCR'] (P1)]]*VLOOKUP(IP135,$BR$7:$BT$10,3))))</f>
        <v>85</v>
      </c>
      <c r="IR135" s="737"/>
      <c r="IS135" s="627">
        <f>IF(HY135=0,"",VLOOKUP(RZ[[#This Row],[Stav Projekce (P0)]],Vstupy!$E$11:'Vstupy'!$E$11:$H$17,4,FALSE))</f>
        <v>100</v>
      </c>
      <c r="IT135" s="628" t="str">
        <f>IF(RZ[[#This Row],[Stav Projekce (P0)]]=0,"",RZ[[#This Row],[Stav Projekce (P0)]])</f>
        <v>S</v>
      </c>
      <c r="IU135" s="628" t="str">
        <f>IF(RZ[[#This Row],[Stav Nákup (P0)]]=0,"",RZ[[#This Row],[Stav Nákup (P0)]])</f>
        <v/>
      </c>
      <c r="IV135" s="636" t="str">
        <f t="shared" si="128"/>
        <v/>
      </c>
      <c r="IW135" s="641">
        <v>1</v>
      </c>
      <c r="IX135" s="630"/>
      <c r="IY135" s="264"/>
      <c r="IZ135" s="776"/>
      <c r="JA135" s="100" t="s">
        <v>754</v>
      </c>
      <c r="JB135" s="100"/>
      <c r="JC135" s="100"/>
      <c r="JD135" s="100"/>
      <c r="JE135" s="100"/>
      <c r="JF135" s="100"/>
      <c r="JG135" s="100"/>
      <c r="JH135" s="100"/>
      <c r="JI135" s="100"/>
      <c r="JJ135" s="145" t="s">
        <v>784</v>
      </c>
      <c r="JK135" s="529"/>
      <c r="JL135" s="286"/>
      <c r="JM135" s="100"/>
      <c r="JN135" s="100"/>
      <c r="JO135" s="145" t="s">
        <v>35</v>
      </c>
      <c r="JP135" s="117">
        <v>24</v>
      </c>
      <c r="JQ135" s="117">
        <v>5.1100000000000003</v>
      </c>
      <c r="JR135" s="148">
        <v>1</v>
      </c>
      <c r="JS135" s="145" t="s">
        <v>602</v>
      </c>
      <c r="JT135" s="631"/>
      <c r="JU135" s="148"/>
      <c r="JV135" s="154"/>
      <c r="JW135" s="145"/>
      <c r="JX135" s="210"/>
      <c r="JY135" s="117"/>
      <c r="JZ135" s="662"/>
      <c r="KA135" s="145"/>
      <c r="KB135" s="148"/>
      <c r="KC135" s="148"/>
      <c r="KD135" s="644"/>
      <c r="KE135" s="286"/>
      <c r="KF135" s="100"/>
      <c r="KG135" s="100"/>
      <c r="KH135" s="210"/>
      <c r="KI135" s="117"/>
      <c r="KJ135" s="117"/>
      <c r="KK135" s="148"/>
      <c r="KL135" s="145"/>
      <c r="KM135" s="632"/>
      <c r="KN135" s="148"/>
      <c r="KO135" s="154"/>
      <c r="KP135" s="154"/>
      <c r="KQ135" s="210"/>
      <c r="KR135" s="117"/>
      <c r="KS135" s="211"/>
      <c r="KT135" s="145"/>
      <c r="KU135" s="148"/>
      <c r="KV135" s="148"/>
      <c r="KW135" s="265"/>
      <c r="KX135" s="286"/>
      <c r="KY135" s="100"/>
      <c r="KZ135" s="100"/>
      <c r="LA135" s="210"/>
      <c r="LB135" s="117"/>
      <c r="LC135" s="117"/>
      <c r="LD135" s="148"/>
      <c r="LE135" s="145"/>
      <c r="LF135" s="632"/>
      <c r="LG135" s="148"/>
      <c r="LH135" s="154"/>
      <c r="LI135" s="154"/>
      <c r="LJ135" s="154"/>
      <c r="LK135" s="117"/>
      <c r="LL135" s="211"/>
      <c r="LM135" s="210"/>
      <c r="LN135" s="148"/>
      <c r="LO135" s="148"/>
      <c r="LP135" s="265"/>
      <c r="LQ135" s="286"/>
      <c r="LR135" s="100"/>
      <c r="LS135" s="100"/>
      <c r="LT135" s="210"/>
      <c r="LU135" s="117"/>
      <c r="LV135" s="117"/>
      <c r="LW135" s="148"/>
      <c r="LX135" s="145"/>
      <c r="LY135" s="632"/>
      <c r="LZ135" s="148"/>
      <c r="MA135" s="154"/>
      <c r="MB135" s="154"/>
      <c r="MC135" s="145"/>
      <c r="MD135" s="117"/>
      <c r="ME135" s="211"/>
      <c r="MF135" s="210"/>
      <c r="MG135" s="148"/>
      <c r="MH135" s="148"/>
      <c r="MI135" s="265"/>
      <c r="MJ135" s="647"/>
      <c r="MK135" s="264"/>
      <c r="ML135" s="153"/>
      <c r="MM135" s="153"/>
      <c r="MN135" s="153"/>
      <c r="MO135" s="153"/>
      <c r="MP135" s="153"/>
      <c r="MQ135" s="153"/>
      <c r="MR135" s="153"/>
      <c r="MS135" s="99"/>
      <c r="MT135" s="99"/>
      <c r="MU135" s="99"/>
      <c r="MV135" s="99"/>
      <c r="MW135" s="99"/>
      <c r="MX135" s="99"/>
      <c r="MY135" s="153"/>
      <c r="MZ135" s="153"/>
      <c r="NA135" s="153"/>
      <c r="NB135" s="153"/>
      <c r="NC135" s="153"/>
      <c r="ND135" s="153"/>
      <c r="NE135" s="153"/>
      <c r="NF135" s="153"/>
      <c r="NG135" s="153"/>
      <c r="NH135" s="145" t="str">
        <f t="shared" si="823"/>
        <v>ks</v>
      </c>
      <c r="NI135" s="779">
        <f>RZ[[#This Row],[Počet ks (K)]]</f>
        <v>0</v>
      </c>
      <c r="NJ135" s="210">
        <f>RZ[[#This Row],[Hmotnost '[kg/ks'] (K)]]</f>
        <v>0</v>
      </c>
      <c r="NK135" s="153"/>
      <c r="NL135" s="153"/>
      <c r="NM135" s="632"/>
      <c r="NN135" s="153"/>
      <c r="NO135" s="153"/>
      <c r="NP135" s="153"/>
      <c r="NQ135" s="153"/>
      <c r="NR135" s="153"/>
      <c r="NS135" s="153"/>
      <c r="NT135" s="153"/>
      <c r="NU135" s="153"/>
      <c r="NV135" s="148"/>
      <c r="NW135" s="633"/>
    </row>
    <row r="136" spans="2:387" ht="15.95" customHeight="1" x14ac:dyDescent="0.35">
      <c r="B136" s="118" t="str">
        <f t="shared" si="1"/>
        <v/>
      </c>
      <c r="C1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6" s="262" t="str">
        <f t="shared" si="2"/>
        <v xml:space="preserve">  Šroub M42 x 3 x 200</v>
      </c>
      <c r="E136" s="120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Row],[Kód položek (P2)]]))))))))))</f>
        <v>STO3</v>
      </c>
      <c r="F136" s="122" t="str">
        <f t="shared" si="3"/>
        <v>N/A</v>
      </c>
      <c r="G136" s="121" t="str">
        <f t="shared" si="4"/>
        <v/>
      </c>
      <c r="H136" s="122" t="str">
        <f t="shared" si="5"/>
        <v/>
      </c>
      <c r="I136" s="123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HR '[MJHR'] (P0)]]))))))))))</f>
        <v>ks</v>
      </c>
      <c r="J136" s="123">
        <f t="shared" si="6"/>
        <v>12</v>
      </c>
      <c r="K136" s="151">
        <f>RZ[[#This Row],[Koeficient odhadu HR '[-'] (P1)]]</f>
        <v>1</v>
      </c>
      <c r="L136" s="124">
        <f ca="1">RZ[[#This Row],[Jednotková hmotnost s koef. '[kg/MJHR'] (P0)]]</f>
        <v>2.8</v>
      </c>
      <c r="M136" s="124">
        <f t="shared" ca="1" si="7"/>
        <v>0</v>
      </c>
      <c r="N136" s="125">
        <f t="shared" ca="1" si="8"/>
        <v>33.599999999999994</v>
      </c>
      <c r="O136" s="125">
        <f t="shared" ca="1" si="9"/>
        <v>0</v>
      </c>
      <c r="P136" s="328" t="str">
        <f t="shared" si="10"/>
        <v/>
      </c>
      <c r="Q136" s="743">
        <f ca="1">RZ[[#This Row],[Počet MJHR v rozpadu (P0)]]</f>
        <v>12</v>
      </c>
      <c r="R136" s="439" t="str">
        <f t="shared" si="11"/>
        <v/>
      </c>
      <c r="S136" s="129" t="str">
        <f t="shared" si="12"/>
        <v/>
      </c>
      <c r="T136" s="130" t="str">
        <f t="shared" si="13"/>
        <v/>
      </c>
      <c r="U136" s="126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CR (MJCR) (P0)]]))))))))))</f>
        <v>kg</v>
      </c>
      <c r="V136" s="575">
        <f t="shared" ca="1" si="14"/>
        <v>33.599999999999994</v>
      </c>
      <c r="W136" s="322">
        <f>RZ[[#This Row],[Koeficient odhadu CR '[-'] (P1)]]</f>
        <v>1</v>
      </c>
      <c r="X136" s="440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Row],[Jednotková cena bez DPH '[cena/MJCR'] (P1)]]*RZ[[#This Row],[Koeficient odhadu CR '[-']]]))))))))))</f>
        <v>85</v>
      </c>
      <c r="Y136" s="440">
        <f t="shared" ca="1" si="108"/>
        <v>0</v>
      </c>
      <c r="Z136" s="142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VLOOKUP(IP136,$BR$7:$BS$11,2,FALSE)))))))))))</f>
        <v>CZK</v>
      </c>
      <c r="AA136" s="811">
        <f t="shared" ca="1" si="16"/>
        <v>33.599999999999994</v>
      </c>
      <c r="AB136" s="814">
        <f ca="1">RZ[[#This Row],[Kumulovaný koeficient v rozpadu (P0)]]</f>
        <v>1</v>
      </c>
      <c r="AC136" s="260"/>
      <c r="AD136" s="510">
        <f ca="1">RZ[[#This Row],[Jednotková cena bez DPH '[cena/MJCR'] s koef. (P0)]]/RZ[[#This Row],[Koeficient odhadu CR '[-']]]*RZ[[#This Row],[Kumulovaný koeficient odhadu CR  '[-']]]</f>
        <v>85</v>
      </c>
      <c r="AE136" s="511">
        <f t="shared" ca="1" si="17"/>
        <v>2855.9999999999995</v>
      </c>
      <c r="AF136" s="512">
        <f ca="1">-IF(ISNUMBER(AA136),RZ[[#This Row],[Celková cena bez DPH (1)]]-RZ[[#This Row],[Jednotková cena bez DPH '[cena/MJCR'] bez koef. (P0)]]*AA136,0)</f>
        <v>0</v>
      </c>
      <c r="AG1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84.999999999999986</v>
      </c>
      <c r="AH136" s="261"/>
      <c r="AI136" s="510">
        <f t="shared" ca="1" si="18"/>
        <v>3.1481481481481484</v>
      </c>
      <c r="AJ136" s="511">
        <f t="shared" ca="1" si="19"/>
        <v>105.77777777777776</v>
      </c>
      <c r="AK136" s="512">
        <f t="shared" ca="1" si="20"/>
        <v>0</v>
      </c>
      <c r="AL136" s="753">
        <f ca="1">RZ[[#This Row],[Kilogramová cena bez DPH '[cena/kg'] (1)]]/$AK$13</f>
        <v>3.1481481481481475</v>
      </c>
      <c r="AM136" s="261"/>
      <c r="AN136" s="510">
        <f t="shared" ca="1" si="21"/>
        <v>4.1062801932367154</v>
      </c>
      <c r="AO136" s="511">
        <f t="shared" ca="1" si="22"/>
        <v>137.9710144927536</v>
      </c>
      <c r="AP136" s="512">
        <f t="shared" ca="1" si="23"/>
        <v>0</v>
      </c>
      <c r="AQ136" s="753">
        <f ca="1">RZ[[#This Row],[Kilogramová cena bez DPH '[cena/kg'] (1)]]/$AP$13</f>
        <v>4.1062801932367146</v>
      </c>
      <c r="AR136" s="261"/>
      <c r="AS136" s="510">
        <f t="shared" ca="1" si="24"/>
        <v>2.324945295404814</v>
      </c>
      <c r="AT136" s="511">
        <f t="shared" ca="1" si="25"/>
        <v>78.11816192560174</v>
      </c>
      <c r="AU136" s="511">
        <f t="shared" ca="1" si="26"/>
        <v>0</v>
      </c>
      <c r="AV136" s="767">
        <f ca="1">RZ[[#This Row],[Kilogramová cena bez DPH '[cena/kg'] (1)]]/$AU$13</f>
        <v>2.3249452954048135</v>
      </c>
      <c r="AW136" s="165"/>
      <c r="AX136" s="110">
        <f t="shared" ca="1" si="27"/>
        <v>2</v>
      </c>
      <c r="AY136" s="55">
        <f t="shared" ca="1" si="28"/>
        <v>19</v>
      </c>
      <c r="AZ136" s="111">
        <f t="shared" ca="1" si="29"/>
        <v>0</v>
      </c>
      <c r="BA136" s="111">
        <f t="shared" ca="1" si="30"/>
        <v>0</v>
      </c>
      <c r="BB136" s="111">
        <f t="shared" ca="1" si="31"/>
        <v>0</v>
      </c>
      <c r="BC136" s="111">
        <f t="shared" ca="1" si="32"/>
        <v>0</v>
      </c>
      <c r="BD136" s="111">
        <f t="shared" ca="1" si="33"/>
        <v>0</v>
      </c>
      <c r="BE136" s="111">
        <f t="shared" ca="1" si="109"/>
        <v>0</v>
      </c>
      <c r="BF136" s="111">
        <f t="shared" ca="1" si="34"/>
        <v>0</v>
      </c>
      <c r="BG136" s="112">
        <f t="shared" ca="1" si="35"/>
        <v>0</v>
      </c>
      <c r="BH136" s="110">
        <f t="shared" si="110"/>
        <v>0</v>
      </c>
      <c r="BI136" s="55">
        <f t="shared" si="111"/>
        <v>1</v>
      </c>
      <c r="BJ136" s="55">
        <f t="shared" si="112"/>
        <v>0</v>
      </c>
      <c r="BK136" s="111">
        <f t="shared" si="113"/>
        <v>0</v>
      </c>
      <c r="BL136" s="111">
        <f t="shared" si="114"/>
        <v>0</v>
      </c>
      <c r="BM136" s="111">
        <f t="shared" si="115"/>
        <v>0</v>
      </c>
      <c r="BN136" s="111">
        <f t="shared" si="116"/>
        <v>0</v>
      </c>
      <c r="BO136" s="111">
        <f t="shared" si="117"/>
        <v>0</v>
      </c>
      <c r="BP136" s="111">
        <f t="shared" si="118"/>
        <v>0</v>
      </c>
      <c r="BQ136" s="112">
        <f t="shared" si="119"/>
        <v>0</v>
      </c>
      <c r="BR136" s="186">
        <f ca="1">IF(OFFSET(AY136,1,0,1,1)&lt;&gt;0,RZ[[#This Row],[Koeficient odhadu HR '[-'] (P1)]]*$BH136*SUMIFS(RZ[Úroveň 2 s koef. (P2)],RZ[0],AX136),RZ[[#This Row],[Koeficient odhadu HR '[-'] (P1)]]*$BH136*$IG136)</f>
        <v>0</v>
      </c>
      <c r="BS136" s="186">
        <f ca="1">IF(OFFSET(AY136,1,0,1,1)&lt;&gt;0,$BH136*SUMIFS(RZ[Úroveň 2 bez koef. (P2)],RZ[0],AX136),$BH136*$IG136)</f>
        <v>0</v>
      </c>
      <c r="BT136" s="138">
        <f ca="1">RZ[[#This Row],[Úroveň 2 s koef. (P2a)]]*RZ[[#This Row],[Počet MJHR (P0)]]</f>
        <v>33.599999999999994</v>
      </c>
      <c r="BU136" s="138">
        <f ca="1">RZ[[#This Row],[Úroveň 2 bez koef. (P2a)]]*RZ[[#This Row],[Počet MJHR (P0)]]</f>
        <v>33.599999999999994</v>
      </c>
      <c r="BV136" s="138">
        <f ca="1">IF(OFFSET(AZ136,1,0,1,1)&lt;&gt;0,RZ[[#This Row],[Koeficient odhadu HR '[-'] (P1)]]*$BI136*SUMIFS(RZ[Úroveň 3 s koef. (P2)],RZ[0],AX136,RZ[Úroveň 2 (P0)],AY136),RZ[[#This Row],[Koeficient odhadu HR '[-'] (P1)]]*$BI136*$IG136)</f>
        <v>2.8</v>
      </c>
      <c r="BW136" s="138">
        <f ca="1">IF(OFFSET(AZ136,1,0,1,1)&lt;&gt;0,$BI136*SUMIFS(RZ[Úroveň 3 bez koef. (P2)],RZ[0],AX136,RZ[Úroveň 2 (P0)],AY136),$BI136*$IG136)</f>
        <v>2.8</v>
      </c>
      <c r="BX136" s="132">
        <f ca="1">RZ[[#This Row],[Úroveň 3 s koef. (P2a)]]*RZ[[#This Row],[Počet MJHR (P0)]]</f>
        <v>0</v>
      </c>
      <c r="BY136" s="132">
        <f ca="1">RZ[Úroveň 3 bez koef. (P2a)]*RZ[[#This Row],[Počet MJHR (P0)]]</f>
        <v>0</v>
      </c>
      <c r="BZ136" s="132">
        <f ca="1">IF(OFFSET(BA136,1,0,1,1)&lt;&gt;0,RZ[[#This Row],[Koeficient odhadu HR '[-'] (P1)]]*$BJ136*SUMIFS(RZ[Úroveň 4 s koef. (P2)],RZ[0],AX136,RZ[Úroveň 2 (P0)],AY136,RZ[Úroveň 3 (P0)],AZ136),RZ[[#This Row],[Koeficient odhadu HR '[-'] (P1)]]*$BJ136*$IG136)</f>
        <v>0</v>
      </c>
      <c r="CA136" s="132">
        <f ca="1">IF(OFFSET(BA136,1,0,1,1)&lt;&gt;0,$BJ136*SUMIFS(RZ[Úroveň 4 bez koef. (P2)],RZ[0],AX136,RZ[Úroveň 2 (P0)],AY136,RZ[Úroveň 3 (P0)],AZ136),$BJ136*$IG136)</f>
        <v>0</v>
      </c>
      <c r="CB136" s="138">
        <f ca="1">RZ[[#This Row],[Úroveň 4 s koef. (P2a)]]*RZ[[#This Row],[Počet MJHR (P0)]]</f>
        <v>0</v>
      </c>
      <c r="CC136" s="138">
        <f ca="1">RZ[Úroveň 4 bez koef. (P2a)]*RZ[[#This Row],[Počet MJHR (P0)]]</f>
        <v>0</v>
      </c>
      <c r="CD136" s="138">
        <f ca="1">IF(OFFSET(BB136,1,0,1,1)&lt;&gt;0,RZ[[#This Row],[Koeficient odhadu HR '[-'] (P1)]]*$BK136*SUMIFS(RZ[Úroveň 5 s koef. (P2)],RZ[0],AX136,RZ[Úroveň 2 (P0)],AY136,RZ[Úroveň 3 (P0)],AZ136,RZ[Úroveň 4 (P0)],BA136),RZ[[#This Row],[Koeficient odhadu HR '[-'] (P1)]]*$BK136*$IG136)</f>
        <v>0</v>
      </c>
      <c r="CE136" s="138">
        <f ca="1">IF(OFFSET(BB136,1,0,1,1)&lt;&gt;0,$BK136*SUMIFS(RZ[Úroveň 5 bez koef. (P2)],RZ[0],AX136,RZ[Úroveň 2 (P0)],AY136,RZ[Úroveň 3 (P0)],AZ136,RZ[Úroveň 4 (P0)],BA136),$BK136*$IG136)</f>
        <v>0</v>
      </c>
      <c r="CF136" s="132">
        <f ca="1">RZ[[#This Row],[Úroveň 5 s koef. (P2a)]]*RZ[[#This Row],[Počet MJHR (P0)]]</f>
        <v>0</v>
      </c>
      <c r="CG136" s="132">
        <f ca="1">RZ[Úroveň 5 bez koef. (P2a)]*RZ[[#This Row],[Počet MJHR (P0)]]</f>
        <v>0</v>
      </c>
      <c r="CH136" s="132">
        <f ca="1">IF(OFFSET(BC136,1,0,1,1)&lt;&gt;0,RZ[[#This Row],[Koeficient odhadu HR '[-'] (P1)]]*$BL136*SUMIFS(RZ[Úroveň 6 s koef. (P2)],RZ[0],AX136,RZ[Úroveň 2 (P0)],AY136,RZ[Úroveň 3 (P0)],AZ136,RZ[Úroveň 4 (P0)],BA136,RZ[Úroveň 5 (P0)],BB136),RZ[[#This Row],[Koeficient odhadu HR '[-'] (P1)]]*$BL136*$IG136)</f>
        <v>0</v>
      </c>
      <c r="CI136" s="132">
        <f ca="1">IF(OFFSET(BC136,1,0,1,1)&lt;&gt;0,$BL136*SUMIFS(RZ[Úroveň 6 bez koef. (P2)],RZ[0],AX136,RZ[Úroveň 2 (P0)],AY136,RZ[Úroveň 3 (P0)],AZ136,RZ[Úroveň 4 (P0)],BA136,RZ[Úroveň 5 (P0)],BB136),$BL136*$IG136)</f>
        <v>0</v>
      </c>
      <c r="CJ136" s="138">
        <f ca="1">RZ[[#This Row],[Úroveň 6 s koef. (P2a)]]*RZ[[#This Row],[Počet MJHR (P0)]]</f>
        <v>0</v>
      </c>
      <c r="CK136" s="138">
        <f ca="1">RZ[Úroveň 6 bez koef. (P2a)]*RZ[[#This Row],[Počet MJHR (P0)]]</f>
        <v>0</v>
      </c>
      <c r="CL136" s="138">
        <f ca="1">IF(OFFSET(BD136,1,0,1,1)&lt;&gt;0,RZ[[#This Row],[Koeficient odhadu HR '[-'] (P1)]]*$BM136*SUMIFS(RZ[Úroveň 7 s koef. (P2)],RZ[0],AX136,RZ[Úroveň 2 (P0)],AY136,RZ[Úroveň 3 (P0)],AZ136,RZ[Úroveň 4 (P0)],BA136,RZ[Úroveň 5 (P0)],BB136,RZ[Úroveň 6 (P0)],BC136),RZ[[#This Row],[Koeficient odhadu HR '[-'] (P1)]]*$BM136*$IG136)</f>
        <v>0</v>
      </c>
      <c r="CM136" s="138">
        <f ca="1">IF(OFFSET(BD136,1,0,1,1)&lt;&gt;0,$BM136*SUMIFS(RZ[Úroveň 7 bez koef. (P2)],RZ[0],AX136,RZ[Úroveň 2 (P0)],AY136,RZ[Úroveň 3 (P0)],AZ136,RZ[Úroveň 4 (P0)],BA136,RZ[Úroveň 5 (P0)],BB136,RZ[Úroveň 6 (P0)],BC136),$BM136*$IG136)</f>
        <v>0</v>
      </c>
      <c r="CN136" s="132">
        <f ca="1">RZ[[#This Row],[Úroveň 7 s koef. (P2a)]]*RZ[[#This Row],[Počet MJHR (P0)]]</f>
        <v>0</v>
      </c>
      <c r="CO136" s="132">
        <f ca="1">RZ[Úroveň 7 bez koef. (P2a)]*RZ[[#This Row],[Počet MJHR (P0)]]</f>
        <v>0</v>
      </c>
      <c r="CP136" s="132">
        <f ca="1">IF(OFFSET(BE136,1,0,1,1)&lt;&gt;0,RZ[[#This Row],[Koeficient odhadu HR '[-'] (P1)]]*$BN136*SUMIFS(RZ[Úroveň 8 s koef. (P2)],RZ[0],AX136,RZ[Úroveň 2 (P0)],AY136,RZ[Úroveň 3 (P0)],AZ136,RZ[Úroveň 4 (P0)],BA136,RZ[Úroveň 5 (P0)],BB136,RZ[Úroveň 6 (P0)],BC136,RZ[Úroveň 7 (P0)],BD136),RZ[[#This Row],[Koeficient odhadu HR '[-'] (P1)]]*$BN136*$IG136)</f>
        <v>0</v>
      </c>
      <c r="CQ136" s="132">
        <f ca="1">IF(OFFSET(BE136,1,0,1,1)&lt;&gt;0,$BN136*SUMIFS(RZ[Úroveň 8 bez koef. (P2)],RZ[0],AX136,RZ[Úroveň 2 (P0)],AY136,RZ[Úroveň 3 (P0)],AZ136,RZ[Úroveň 4 (P0)],BA136,RZ[Úroveň 5 (P0)],BB136,RZ[Úroveň 6 (P0)],BC136,RZ[Úroveň 7 (P0)],BD136),$BN136*$IG136)</f>
        <v>0</v>
      </c>
      <c r="CR136" s="138">
        <f ca="1">RZ[[#This Row],[Úroveň 8 s koef. (P2a)]]*RZ[[#This Row],[Počet MJHR (P0)]]</f>
        <v>0</v>
      </c>
      <c r="CS136" s="138">
        <f ca="1">RZ[Úroveň 8 bez koef. (P2a)]*RZ[[#This Row],[Počet MJHR (P0)]]</f>
        <v>0</v>
      </c>
      <c r="CT136" s="138">
        <f ca="1">IF(OFFSET(BF136,1,0,1,1)&lt;&gt;0,RZ[[#This Row],[Koeficient odhadu HR '[-'] (P1)]]*$BO136*SUMIFS(RZ[Úroveň 9 s koef. (P2)],RZ[0],AX136,RZ[Úroveň 2 (P0)],AY136,RZ[Úroveň 3 (P0)],AZ136,RZ[Úroveň 4 (P0)],BA136,RZ[Úroveň 5 (P0)],BB136,RZ[Úroveň 6 (P0)],BC136,RZ[Úroveň 7 (P0)],BD136,RZ[Úroveň 8 (P0)],BE136),RZ[[#This Row],[Koeficient odhadu HR '[-'] (P1)]]*$BO136*$IG136)</f>
        <v>0</v>
      </c>
      <c r="CU136" s="138">
        <f ca="1">IF(OFFSET(BF136,1,0,1,1)&lt;&gt;0,$BO136*SUMIFS(RZ[Úroveň 9 bez koef. (P2)],RZ[0],AX136,RZ[Úroveň 2 (P0)],AY136,RZ[Úroveň 3 (P0)],AZ136,RZ[Úroveň 4 (P0)],BA136,RZ[Úroveň 5 (P0)],BB136,RZ[Úroveň 6 (P0)],BC136,RZ[Úroveň 7 (P0)],BD136,RZ[Úroveň 8 (P0)],BE136),$BO136*$IG136)</f>
        <v>0</v>
      </c>
      <c r="CV136" s="132">
        <f ca="1">RZ[[#This Row],[Úroveň 9 s koef. (P2a)]]*RZ[[#This Row],[Počet MJHR (P0)]]</f>
        <v>0</v>
      </c>
      <c r="CW136" s="132">
        <f ca="1">RZ[Úroveň 9 bez koef. (P2a)]*RZ[[#This Row],[Počet MJHR (P0)]]</f>
        <v>0</v>
      </c>
      <c r="CX136" s="132">
        <f ca="1">IF(OFFSET(BG136,1,0,1,1)&lt;&gt;0,RZ[[#This Row],[Koeficient odhadu HR '[-'] (P1)]]*$BP136*SUMIFS(RZ[Úroveň 10 s koef. (P2)],RZ[0],AX136,RZ[Úroveň 2 (P0)],AY136,RZ[Úroveň 3 (P0)],AZ136,RZ[Úroveň 4 (P0)],BA136,RZ[Úroveň 5 (P0)],BB136,RZ[Úroveň 6 (P0)],BC136,RZ[Úroveň 7 (P0)],BD136,RZ[Úroveň 8 (P0)],BE136,RZ[Úroveň 9 (P0)],BF136),RZ[[#This Row],[Koeficient odhadu HR '[-'] (P1)]]*$BP136*$IG136)</f>
        <v>0</v>
      </c>
      <c r="CY136" s="132">
        <f ca="1">IF(OFFSET(BG136,1,0,1,1)&lt;&gt;0,$BP136*SUMIFS(RZ[Úroveň 10 bez koef. (P2)],RZ[0],AX136,RZ[Úroveň 2 (P0)],AY136,RZ[Úroveň 3 (P0)],AZ136,RZ[Úroveň 4 (P0)],BA136,RZ[Úroveň 5 (P0)],BB136,RZ[Úroveň 6 (P0)],BC136,RZ[Úroveň 7 (P0)],BD136,RZ[Úroveň 8 (P0)],BE136,RZ[Úroveň 9 (P0)],BF136),$BP136*$IG136)</f>
        <v>0</v>
      </c>
      <c r="CZ136" s="138">
        <f>RZ[[#This Row],[Úroveň 10 s koef. (P2a)]]*RZ[[#This Row],[Počet MJHR (P0)]]</f>
        <v>0</v>
      </c>
      <c r="DA136" s="138">
        <f>RZ[Úroveň 10 bez koef. (P2a)]*RZ[[#This Row],[Počet MJHR (P0)]]</f>
        <v>0</v>
      </c>
      <c r="DB136" s="138">
        <f>RZ[[#This Row],[Koeficient odhadu HR '[-'] (P1)]]*$BQ136*IG136</f>
        <v>0</v>
      </c>
      <c r="DC136" s="231">
        <f t="shared" si="37"/>
        <v>0</v>
      </c>
      <c r="DD136" s="241">
        <f t="shared" ca="1" si="120"/>
        <v>2.8</v>
      </c>
      <c r="DE136" s="229">
        <f t="shared" ca="1" si="121"/>
        <v>2.8</v>
      </c>
      <c r="DF136" s="521">
        <f t="shared" si="40"/>
        <v>0</v>
      </c>
      <c r="DG136" s="522">
        <f t="shared" si="41"/>
        <v>12</v>
      </c>
      <c r="DH136" s="522">
        <f t="shared" si="42"/>
        <v>0</v>
      </c>
      <c r="DI136" s="523">
        <f t="shared" si="43"/>
        <v>0</v>
      </c>
      <c r="DJ136" s="524">
        <f t="shared" si="44"/>
        <v>0</v>
      </c>
      <c r="DK136" s="524">
        <f t="shared" si="45"/>
        <v>0</v>
      </c>
      <c r="DL136" s="524">
        <f t="shared" si="46"/>
        <v>0</v>
      </c>
      <c r="DM136" s="524">
        <f t="shared" si="47"/>
        <v>0</v>
      </c>
      <c r="DN136" s="524">
        <f t="shared" si="48"/>
        <v>0</v>
      </c>
      <c r="DO136" s="523">
        <f t="shared" si="49"/>
        <v>0</v>
      </c>
      <c r="DP136" s="525">
        <f ca="1">SUMIFS(RZ[Úroveň 1 (P4)],RZ[0],AX136)</f>
        <v>1</v>
      </c>
      <c r="DQ136" s="525">
        <f ca="1">SUMIFS(RZ[Úroveň 2 (P4)],RZ[0],AX136,RZ[Úroveň 2 (P0)],AY136)</f>
        <v>12</v>
      </c>
      <c r="DR136" s="525">
        <f ca="1">SUMIFS(RZ[Úroveň 3 (P4)],RZ[0],AX136,RZ[Úroveň 2 (P0)],AY136,RZ[Úroveň 3 (P0)],AZ136)</f>
        <v>0</v>
      </c>
      <c r="DS136" s="525">
        <f ca="1">SUMIFS(RZ[Úroveň 4 (P4)],RZ[0],AX136,RZ[Úroveň 2 (P0)],AY136,RZ[Úroveň 3 (P0)],AZ136,RZ[Úroveň 4 (P0)],BA136)</f>
        <v>0</v>
      </c>
      <c r="DT136" s="526">
        <f ca="1">SUMIFS(RZ[Úroveň 5 (P4)],RZ[0],AX136,RZ[Úroveň 2 (P0)],AY136,RZ[Úroveň 3 (P0)],AZ136,RZ[Úroveň 4 (P0)],BA136,RZ[Úroveň 5 (P0)],BB136)</f>
        <v>0</v>
      </c>
      <c r="DU136" s="526">
        <f ca="1">SUMIFS(RZ[Úroveň 6 (P4)],RZ[0],AX136,RZ[Úroveň 2 (P0)],AY136,RZ[Úroveň 3 (P0)],AZ136,RZ[Úroveň 4 (P0)],BA136,RZ[Úroveň 5 (P0)],BB136,RZ[Úroveň 6 (P0)],BC136)</f>
        <v>0</v>
      </c>
      <c r="DV136" s="526">
        <f ca="1">SUMIFS(RZ[Úroveň 7 (P4)],RZ[0],AX136,RZ[Úroveň 2 (P0)],AY136,RZ[Úroveň 3 (P0)],AZ136,RZ[Úroveň 4 (P0)],BA136,RZ[Úroveň 5 (P0)],BB136,RZ[Úroveň 6 (P0)],BC136,RZ[Úroveň 7 (P0)],BD136)</f>
        <v>0</v>
      </c>
      <c r="DW136" s="526">
        <f ca="1">SUMIFS(RZ[Úroveň 8 (P4)],RZ[0],AX136,RZ[Úroveň 2 (P0)],AY136,RZ[Úroveň 3 (P0)],AZ136,RZ[Úroveň 4 (P0)],BA136,RZ[Úroveň 5 (P0)],BB136,RZ[Úroveň 6 (P0)],BC136,RZ[Úroveň 7 (P0)],BD136,RZ[Úroveň 8 (P0)],BE136)</f>
        <v>0</v>
      </c>
      <c r="DX136" s="526">
        <f ca="1">SUMIFS(RZ[Úroveň 9 (P4)],RZ[0],AX136,RZ[Úroveň 2 (P0)],AY136,RZ[Úroveň 3 (P0)],AZ136,RZ[Úroveň 4 (P0)],BA136,RZ[Úroveň 5 (P0)],BB136,RZ[Úroveň 6 (P0)],BC136,RZ[Úroveň 7 (P0)],BD136,RZ[Úroveň 8 (P0)],BE136,RZ[Úroveň 9 (P0)],BF136)</f>
        <v>0</v>
      </c>
      <c r="DY136" s="526">
        <f ca="1">SUMIFS(RZ[Úroveň 10 (P4)],RZ[0],AX136,RZ[Úroveň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DZ136" s="527">
        <f t="shared" ca="1" si="122"/>
        <v>12</v>
      </c>
      <c r="EA136" s="528">
        <f ca="1">RZ[[#This Row],[Jednotková hmotnost bez koef. '[kg/MJHR'] (P0)]]*RZ[[#This Row],[Počet MJHR v rozpadu (P0)]]</f>
        <v>33.599999999999994</v>
      </c>
      <c r="EB136" s="191">
        <f ca="1">IF(OFFSET(AY136,1,0,1,1)&lt;&gt;0,RZ[[#This Row],[Koeficient odhadu CR '[-'] (P1)]]*$BH136*SUMIFS(RZ[Úroveň 2 s koef. (P3)],RZ[0],AX136),RZ[[#This Row],[Koeficient odhadu CR '[-'] (P1)]]*$BH136*$IQ136)</f>
        <v>0</v>
      </c>
      <c r="EC136" s="191">
        <f ca="1">IF(OFFSET(AY136,1,0,1,1)&lt;&gt;0,$BH136*SUMIFS(RZ[Úroveň 2 bez koef. (P3)],RZ[0],AX136),$BH136*$IQ136)</f>
        <v>0</v>
      </c>
      <c r="ED136" s="140">
        <f ca="1">RZ[[#This Row],[Úroveň 2 s koef. (P3a)]]*RZ[[#This Row],[Počet MJCR (P0) pro "kg"]]</f>
        <v>2855.9999999999995</v>
      </c>
      <c r="EE136" s="140">
        <f ca="1">RZ[Úroveň 2 bez koef. (P3a)]*RZ[[#This Row],[Počet MJCR (P0) pro "kg"]]</f>
        <v>2855.9999999999995</v>
      </c>
      <c r="EF136" s="140">
        <f ca="1">IF(OFFSET(AZ136,1,0,1,1)&lt;&gt;0,RZ[[#This Row],[Koeficient odhadu CR '[-'] (P1)]]*$BI136*SUMIFS(RZ[Úroveň 3 s koef. (P3)],RZ[0],AX136,RZ[Úroveň 2 (P0)],AY136),RZ[[#This Row],[Koeficient odhadu CR '[-'] (P1)]]*$BI136*$IQ136)</f>
        <v>85</v>
      </c>
      <c r="EG136" s="140">
        <f ca="1">IF(OFFSET(AZ136,1,0,1,1)&lt;&gt;0,$BI136*SUMIFS(RZ[Úroveň 3 bez koef. (P3)],RZ[0],AX136,RZ[Úroveň 2 (P0)],AY136),$BI136*$IQ136)</f>
        <v>85</v>
      </c>
      <c r="EH136" s="135">
        <f ca="1">RZ[[#This Row],[Úroveň 3 s koef. (P3a)]]*RZ[[#This Row],[Počet MJCR (P0) pro "kg"]]</f>
        <v>0</v>
      </c>
      <c r="EI136" s="135">
        <f ca="1">RZ[Úroveň 3 bez koef. (P3a)]*RZ[[#This Row],[Počet MJCR (P0) pro "kg"]]</f>
        <v>0</v>
      </c>
      <c r="EJ136" s="135">
        <f ca="1">IF(OFFSET(BA136,1,0,1,1)&lt;&gt;0,RZ[[#This Row],[Koeficient odhadu CR '[-'] (P1)]]*$BJ136*SUMIFS(RZ[Úroveň 4 s koef. (P3)],RZ[0],AX136,RZ[Úroveň 2 (P0)],AY136,RZ[Úroveň 3 (P0)],AZ136),RZ[[#This Row],[Koeficient odhadu CR '[-'] (P1)]]*$BJ136*$IQ136)</f>
        <v>0</v>
      </c>
      <c r="EK136" s="135">
        <f ca="1">IF(OFFSET(BA136,1,0,1,1)&lt;&gt;0,$BJ136*SUMIFS(RZ[Úroveň 4 bez koef. (P3)],RZ[0],AX136,RZ[Úroveň 2 (P0)],AY136,RZ[Úroveň 3 (P0)],AZ136),$BJ136*$IQ136)</f>
        <v>0</v>
      </c>
      <c r="EL136" s="140">
        <f ca="1">RZ[[#This Row],[Úroveň 4 s koef. (P3a)]]*RZ[[#This Row],[Počet MJCR (P0) pro "kg"]]</f>
        <v>0</v>
      </c>
      <c r="EM136" s="140">
        <f ca="1">RZ[Úroveň 4 bez koef. (P3a)]*RZ[[#This Row],[Počet MJCR (P0) pro "kg"]]</f>
        <v>0</v>
      </c>
      <c r="EN136" s="140">
        <f ca="1">IF(OFFSET(BB136,1,0,1,1)&lt;&gt;0,RZ[[#This Row],[Koeficient odhadu CR '[-'] (P1)]]*$BK136*SUMIFS(RZ[Úroveň 5 s koef. (P3)],RZ[0],AX136,RZ[Úroveň 2 (P0)],AY136,RZ[Úroveň 3 (P0)],AZ136,RZ[Úroveň 4 (P0)],BA136),RZ[[#This Row],[Koeficient odhadu CR '[-'] (P1)]]*$BK136*$IQ136)</f>
        <v>0</v>
      </c>
      <c r="EO136" s="140">
        <f ca="1">IF(OFFSET(BB136,1,0,1,1)&lt;&gt;0,$BK136*SUMIFS(RZ[Úroveň 5 bez koef. (P3)],RZ[0],AX136,RZ[Úroveň 2 (P0)],AY136,RZ[Úroveň 3 (P0)],AZ136,RZ[Úroveň 4 (P0)],BA136),$BK136*$IQ136)</f>
        <v>0</v>
      </c>
      <c r="EP136" s="135">
        <f ca="1">RZ[[#This Row],[Úroveň 5 s koef. (P3a)]]*RZ[[#This Row],[Počet MJCR (P0) pro "kg"]]</f>
        <v>0</v>
      </c>
      <c r="EQ136" s="135">
        <f ca="1">RZ[Úroveň 5 bez koef. (P3a)]*RZ[[#This Row],[Počet MJCR (P0) pro "kg"]]</f>
        <v>0</v>
      </c>
      <c r="ER136" s="135">
        <f ca="1">IF(OFFSET(BC136,1,0,1,1)&lt;&gt;0,RZ[[#This Row],[Koeficient odhadu CR '[-'] (P1)]]*$BL136*SUMIFS(RZ[Úroveň 6 s koef. (P3)],RZ[0],AX136,RZ[Úroveň 2 (P0)],AY136,RZ[Úroveň 3 (P0)],AZ136,RZ[Úroveň 4 (P0)],BA136,RZ[Úroveň 5 (P0)],BB136),RZ[[#This Row],[Koeficient odhadu CR '[-'] (P1)]]*$BL136*$IQ136)</f>
        <v>0</v>
      </c>
      <c r="ES136" s="135">
        <f ca="1">IF(OFFSET(BC136,1,0,1,1)&lt;&gt;0,$BL136*SUMIFS(RZ[Úroveň 6 bez koef. (P3)],RZ[0],AX136,RZ[Úroveň 2 (P0)],AY136,RZ[Úroveň 3 (P0)],AZ136,RZ[Úroveň 4 (P0)],BA136,RZ[Úroveň 5 (P0)],BB136),$BL136*$IQ136)</f>
        <v>0</v>
      </c>
      <c r="ET136" s="140">
        <f ca="1">RZ[[#This Row],[Úroveň 6 s koef. (P3a)]]*RZ[[#This Row],[Počet MJCR (P0) pro "kg"]]</f>
        <v>0</v>
      </c>
      <c r="EU136" s="140">
        <f ca="1">RZ[Úroveň 6 bez koef. (P3a)]*RZ[[#This Row],[Počet MJCR (P0) pro "kg"]]</f>
        <v>0</v>
      </c>
      <c r="EV136" s="140">
        <f ca="1">IF(OFFSET(BD136,1,0,1,1)&lt;&gt;0,RZ[[#This Row],[Koeficient odhadu CR '[-'] (P1)]]*$BM136*SUMIFS(RZ[Úroveň 7 s koef. (P3)],RZ[0],AX136,RZ[Úroveň 2 (P0)],AY136,RZ[Úroveň 3 (P0)],AZ136,RZ[Úroveň 4 (P0)],BA136,RZ[Úroveň 5 (P0)],BB136,RZ[Úroveň 6 (P0)],BC136),RZ[[#This Row],[Koeficient odhadu CR '[-'] (P1)]]*$BM136*$IQ136)</f>
        <v>0</v>
      </c>
      <c r="EW136" s="140">
        <f ca="1">IF(OFFSET(BD136,1,0,1,1)&lt;&gt;0,$BM136*SUMIFS(RZ[Úroveň 7 bez koef. (P3)],RZ[0],AX136,RZ[Úroveň 2 (P0)],AY136,RZ[Úroveň 3 (P0)],AZ136,RZ[Úroveň 4 (P0)],BA136,RZ[Úroveň 5 (P0)],BB136,RZ[Úroveň 6 (P0)],BC136),$BM136*$IQ136)</f>
        <v>0</v>
      </c>
      <c r="EX136" s="135">
        <f ca="1">RZ[[#This Row],[Úroveň 7 s koef. (P3a)]]*RZ[[#This Row],[Počet MJCR (P0) pro "kg"]]</f>
        <v>0</v>
      </c>
      <c r="EY136" s="135">
        <f ca="1">RZ[Úroveň 7 bez koef. (P3a)]*RZ[[#This Row],[Počet MJCR (P0) pro "kg"]]</f>
        <v>0</v>
      </c>
      <c r="EZ136" s="135">
        <f ca="1">IF(OFFSET(BE136,1,0,1,1)&lt;&gt;0,RZ[[#This Row],[Koeficient odhadu CR '[-'] (P1)]]*$BN136*SUMIFS(RZ[Úroveň 8 s koef. (P3)],RZ[0],AX136,RZ[Úroveň 2 (P0)],AY136,RZ[Úroveň 3 (P0)],AZ136,RZ[Úroveň 4 (P0)],BA136,RZ[Úroveň 5 (P0)],BB136,RZ[Úroveň 6 (P0)],BC136,RZ[Úroveň 7 (P0)],BD136),RZ[[#This Row],[Koeficient odhadu CR '[-'] (P1)]]*$BN136*$IQ136)</f>
        <v>0</v>
      </c>
      <c r="FA136" s="135">
        <f ca="1">IF(OFFSET(BE136,1,0,1,1)&lt;&gt;0,$BN136*SUMIFS(RZ[Úroveň 8 bez koef. (P3)],RZ[0],AX136,RZ[Úroveň 2 (P0)],AY136,RZ[Úroveň 3 (P0)],AZ136,RZ[Úroveň 4 (P0)],BA136,RZ[Úroveň 5 (P0)],BB136,RZ[Úroveň 6 (P0)],BC136,RZ[Úroveň 7 (P0)],BD136),$BN136*$IQ136)</f>
        <v>0</v>
      </c>
      <c r="FB136" s="140">
        <f ca="1">RZ[[#This Row],[Úroveň 8 s koef. (P3a)]]*RZ[[#This Row],[Počet MJCR (P0) pro "kg"]]</f>
        <v>0</v>
      </c>
      <c r="FC136" s="140">
        <f ca="1">RZ[Úroveň 8 bez koef. (P3a)]*RZ[[#This Row],[Počet MJCR (P0) pro "kg"]]</f>
        <v>0</v>
      </c>
      <c r="FD136" s="140">
        <f ca="1">IF(OFFSET(BF136,1,0,1,1)&lt;&gt;0,RZ[[#This Row],[Koeficient odhadu CR '[-'] (P1)]]*$BO136*SUMIFS(RZ[Úroveň 9 s koef. (P3)],RZ[0],AX136,RZ[Úroveň 2 (P0)],AY136,RZ[Úroveň 3 (P0)],AZ136,RZ[Úroveň 4 (P0)],BA136,RZ[Úroveň 5 (P0)],BB136,RZ[Úroveň 6 (P0)],BC136,RZ[Úroveň 7 (P0)],BD136,RZ[Úroveň 8 (P0)],BE136),RZ[[#This Row],[Koeficient odhadu CR '[-'] (P1)]]*$BO136*$IQ136)</f>
        <v>0</v>
      </c>
      <c r="FE136" s="140">
        <f ca="1">IF(OFFSET(BF136,1,0,1,1)&lt;&gt;0,$BO136*SUMIFS(RZ[Úroveň 9 bez koef. (P3)],RZ[0],AX136,RZ[Úroveň 2 (P0)],AY136,RZ[Úroveň 3 (P0)],AZ136,RZ[Úroveň 4 (P0)],BA136,RZ[Úroveň 5 (P0)],BB136,RZ[Úroveň 6 (P0)],BC136,RZ[Úroveň 7 (P0)],BD136,RZ[Úroveň 8 (P0)],BE136),$BO136*$IQ136)</f>
        <v>0</v>
      </c>
      <c r="FF136" s="135">
        <f ca="1">RZ[[#This Row],[Úroveň 9 s koef. (P3a)]]*RZ[[#This Row],[Počet MJCR (P0) pro "kg"]]</f>
        <v>0</v>
      </c>
      <c r="FG136" s="135">
        <f ca="1">RZ[Úroveň 9 bez koef. (P3a)]*RZ[[#This Row],[Počet MJCR (P0) pro "kg"]]</f>
        <v>0</v>
      </c>
      <c r="FH136" s="135">
        <f ca="1">IF(OFFSET(BG136,1,0,1,1)&lt;&gt;0,RZ[[#This Row],[Koeficient odhadu CR '[-'] (P1)]]*$BP136*SUMIFS(RZ[Úroveň 10 s koef. (P3)],RZ[0],AX136,RZ[Úroveň 2 (P0)],AY136,RZ[Úroveň 3 (P0)],AZ136,RZ[Úroveň 4 (P0)],BA136,RZ[Úroveň 5 (P0)],BB136,RZ[Úroveň 6 (P0)],BC136,RZ[Úroveň 7 (P0)],BD136,RZ[Úroveň 8 (P0)],BE136,RZ[Úroveň 9 (P0)],BF136),RZ[[#This Row],[Koeficient odhadu CR '[-'] (P1)]]*$BP136*$IQ136)</f>
        <v>0</v>
      </c>
      <c r="FI136" s="135">
        <f ca="1">IF(OFFSET(BG136,1,0,1,1)&lt;&gt;0,$BP136*SUMIFS(RZ[Úroveň 10 bez koef. (P3)],RZ[0],AX136,RZ[Úroveň 2 (P0)],AY136,RZ[Úroveň 3 (P0)],AZ136,RZ[Úroveň 4 (P0)],BA136,RZ[Úroveň 5 (P0)],BB136,RZ[Úroveň 6 (P0)],BC136,RZ[Úroveň 7 (P0)],BD136,RZ[Úroveň 8 (P0)],BE136,RZ[Úroveň 9 (P0)],BF136),$BP136*$IQ136)</f>
        <v>0</v>
      </c>
      <c r="FJ136" s="140">
        <f ca="1">RZ[[#This Row],[Úroveň 10 s koef. (P3a)]]*RZ[[#This Row],[Počet MJCR (P0) pro "kg"]]</f>
        <v>0</v>
      </c>
      <c r="FK136" s="140">
        <f ca="1">RZ[Úroveň 10 bez koef. (P3a)]*RZ[[#This Row],[Počet MJCR (P0) pro "kg"]]</f>
        <v>0</v>
      </c>
      <c r="FL136" s="140">
        <f ca="1">RZ[[#This Row],[Koeficient odhadu CR '[-'] (P1)]]*$BQ136*IQ136</f>
        <v>0</v>
      </c>
      <c r="FM136" s="236">
        <f t="shared" ca="1" si="51"/>
        <v>0</v>
      </c>
      <c r="FN136" s="194">
        <f t="shared" ca="1" si="123"/>
        <v>85</v>
      </c>
      <c r="FO136" s="238">
        <f t="shared" ca="1" si="124"/>
        <v>85</v>
      </c>
      <c r="FP136" s="191">
        <f t="shared" ca="1" si="54"/>
        <v>0</v>
      </c>
      <c r="FQ136" s="135">
        <f t="shared" ca="1" si="55"/>
        <v>33.599999999999994</v>
      </c>
      <c r="FR136" s="135">
        <f t="shared" ca="1" si="56"/>
        <v>0</v>
      </c>
      <c r="FS136" s="135">
        <f t="shared" ca="1" si="57"/>
        <v>0</v>
      </c>
      <c r="FT136" s="135">
        <f t="shared" ca="1" si="58"/>
        <v>0</v>
      </c>
      <c r="FU136" s="135">
        <f t="shared" ca="1" si="59"/>
        <v>0</v>
      </c>
      <c r="FV136" s="135">
        <f t="shared" ca="1" si="60"/>
        <v>0</v>
      </c>
      <c r="FW136" s="135">
        <f t="shared" ca="1" si="61"/>
        <v>0</v>
      </c>
      <c r="FX136" s="135">
        <f t="shared" ca="1" si="62"/>
        <v>0</v>
      </c>
      <c r="FY136" s="135">
        <f t="shared" ca="1" si="63"/>
        <v>0</v>
      </c>
      <c r="FZ136" s="140">
        <f ca="1">SUMIFS(RZ[Úroveň 1 (P6)],RZ[0],AX136)</f>
        <v>1</v>
      </c>
      <c r="GA136" s="140">
        <f ca="1">SUMIFS(RZ[Úroveň 2 (P6)],RZ[0],AX136,RZ[Úroveň 2 (P0)],AY136)</f>
        <v>33.599999999999994</v>
      </c>
      <c r="GB136" s="140">
        <f ca="1">SUMIFS(RZ[Úroveň 3 (P6)],RZ[0],AX136,RZ[Úroveň 2 (P0)],AY136,RZ[Úroveň 3 (P0)],AZ136)</f>
        <v>0</v>
      </c>
      <c r="GC136" s="140">
        <f ca="1">SUMIFS(RZ[Úroveň 4 (P6)],RZ[0],AX136,RZ[Úroveň 2 (P0)],AY136,RZ[Úroveň 3 (P0)],AZ136,RZ[Úroveň 4 (P0)],BA136)</f>
        <v>0</v>
      </c>
      <c r="GD136" s="140">
        <f ca="1">SUMIFS(RZ[Úroveň 5 (P6)],RZ[0],AX136,RZ[Úroveň 2 (P0)],AY136,RZ[Úroveň 3 (P0)],AZ136,RZ[Úroveň 4 (P0)],BA136,RZ[Úroveň 5 (P0)],BB136)</f>
        <v>0</v>
      </c>
      <c r="GE136" s="140">
        <f ca="1">SUMIFS(RZ[Úroveň 6 (P6)],RZ[0],AX136,RZ[Úroveň 2 (P0)],AY136,RZ[Úroveň 3 (P0)],AZ136,RZ[Úroveň 4 (P0)],BA136,RZ[Úroveň 5 (P0)],BB136,RZ[Úroveň 6 (P0)],BC136)</f>
        <v>0</v>
      </c>
      <c r="GF136" s="140">
        <f ca="1">SUMIFS(RZ[Úroveň 7 (P6)],RZ[0],AX136,RZ[Úroveň 2 (P0)],AY136,RZ[Úroveň 3 (P0)],AZ136,RZ[Úroveň 4 (P0)],BA136,RZ[Úroveň 5 (P0)],BB136,RZ[Úroveň 6 (P0)],BC136,RZ[Úroveň 7 (P0)],BD136)</f>
        <v>0</v>
      </c>
      <c r="GG136" s="140">
        <f ca="1">SUMIFS(RZ[Úroveň 8 (P6)],RZ[0],AX136,RZ[Úroveň 2 (P0)],AY136,RZ[Úroveň 3 (P0)],AZ136,RZ[Úroveň 4 (P0)],BA136,RZ[Úroveň 5 (P0)],BB136,RZ[Úroveň 6 (P0)],BC136,RZ[Úroveň 7 (P0)],BD136,RZ[Úroveň 8 (P0)],BE136)</f>
        <v>0</v>
      </c>
      <c r="GH136" s="140">
        <f ca="1">SUMIFS(RZ[Úroveň 9 (P6)],RZ[0],AX136,RZ[Úroveň 2 (P0)],AY136,RZ[Úroveň 3 (P0)],AZ136,RZ[Úroveň 4 (P0)],BA136,RZ[Úroveň 5 (P0)],BB136,RZ[Úroveň 6 (P0)],BC136,RZ[Úroveň 7 (P0)],BD136,RZ[Úroveň 8 (P0)],BE136,RZ[Úroveň 9 (P0)],BF136)</f>
        <v>0</v>
      </c>
      <c r="GI136" s="140">
        <f ca="1">SUMIFS(RZ[Úroveň 10 (P6)],RZ[0],AX136,RZ[Úroveň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GJ136" s="194">
        <f t="shared" ca="1" si="125"/>
        <v>33.599999999999994</v>
      </c>
      <c r="GK136" s="807">
        <f t="shared" si="65"/>
        <v>0</v>
      </c>
      <c r="GL136" s="808">
        <f t="shared" si="66"/>
        <v>1</v>
      </c>
      <c r="GM136" s="808">
        <f t="shared" si="67"/>
        <v>0</v>
      </c>
      <c r="GN136" s="808">
        <f t="shared" si="68"/>
        <v>0</v>
      </c>
      <c r="GO136" s="808">
        <f t="shared" si="69"/>
        <v>0</v>
      </c>
      <c r="GP136" s="808">
        <f t="shared" si="70"/>
        <v>0</v>
      </c>
      <c r="GQ136" s="808">
        <f t="shared" si="71"/>
        <v>0</v>
      </c>
      <c r="GR136" s="808">
        <f t="shared" si="72"/>
        <v>0</v>
      </c>
      <c r="GS136" s="808">
        <f t="shared" si="73"/>
        <v>0</v>
      </c>
      <c r="GT136" s="808">
        <f t="shared" si="74"/>
        <v>0</v>
      </c>
      <c r="GU136" s="809">
        <f ca="1">SUMIFS(RZ[Sloupec1],RZ[0],AX136)</f>
        <v>1</v>
      </c>
      <c r="GV136" s="809">
        <f ca="1">SUMIFS(RZ[Sloupec2],RZ[0],AX136,RZ[Úroveň 2 (P0)],AY136)</f>
        <v>1</v>
      </c>
      <c r="GW136" s="809">
        <f ca="1">SUMIFS(RZ[Sloupec3],RZ[0],AX136,RZ[Úroveň 2 (P0)],AY136,RZ[Úroveň 3 (P0)],AZ136)</f>
        <v>0</v>
      </c>
      <c r="GX136" s="809">
        <f ca="1">SUMIFS(RZ[Sloupec4],RZ[0],AX136,RZ[Úroveň 2 (P0)],AY136,RZ[Úroveň 3 (P0)],AZ136,RZ[Úroveň 4 (P0)],BA136)</f>
        <v>0</v>
      </c>
      <c r="GY136" s="809">
        <f ca="1">SUMIFS(RZ[Sloupec5],RZ[0],AX136,RZ[Úroveň 2 (P0)],AY136,RZ[Úroveň 3 (P0)],AZ136,RZ[Úroveň 4 (P0)],BA136,RZ[Úroveň 5 (P0)],BB136)</f>
        <v>0</v>
      </c>
      <c r="GZ136" s="809">
        <f ca="1">SUMIFS(RZ[Sloupec6],RZ[0],AX136,RZ[Úroveň 2 (P0)],AY136,RZ[Úroveň 3 (P0)],AZ136,RZ[Úroveň 4 (P0)],BA136,RZ[Úroveň 5 (P0)],BB136,RZ[Úroveň 6 (P0)],BC136)</f>
        <v>0</v>
      </c>
      <c r="HA136" s="809">
        <f ca="1">SUMIFS(RZ[Sloupec62],RZ[0],AX136,RZ[Úroveň 2 (P0)],AY136,RZ[Úroveň 3 (P0)],AZ136,RZ[Úroveň 4 (P0)],BA136,RZ[Úroveň 5 (P0)],BB136,RZ[Úroveň 6 (P0)],BC136,RZ[Úroveň 7 (P0)],BD136)</f>
        <v>0</v>
      </c>
      <c r="HB136" s="809">
        <f ca="1">SUMIFS(RZ[Sloupec63],RZ[0],AX136,RZ[Úroveň 2 (P0)],AY136,RZ[Úroveň 3 (P0)],AZ136,RZ[Úroveň 4 (P0)],BA136,RZ[Úroveň 5 (P0)],BB136,RZ[Úroveň 6 (P0)],BC136,RZ[Úroveň 7 (P0)],BD136,RZ[Úroveň 8 (P0)],BE136)</f>
        <v>0</v>
      </c>
      <c r="HC136" s="809">
        <f ca="1">SUMIFS(RZ[Sloupec64],RZ[0],AX136,RZ[Úroveň 2 (P0)],AY136,RZ[Úroveň 3 (P0)],AZ136,RZ[Úroveň 4 (P0)],BA136,RZ[Úroveň 5 (P0)],BB136,RZ[Úroveň 6 (P0)],BC136,RZ[Úroveň 7 (P0)],BD136,RZ[Úroveň 8 (P0)],BE136,RZ[Úroveň 9 (P0)],BF136)</f>
        <v>0</v>
      </c>
      <c r="HD136" s="809">
        <f ca="1">SUMIFS(RZ[Sloupec65],RZ[0],AX136,RZ[Úroveň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HE136" s="803">
        <f t="shared" ca="1" si="75"/>
        <v>1</v>
      </c>
      <c r="HF136" s="48" t="str">
        <f t="shared" si="76"/>
        <v/>
      </c>
      <c r="HG136" s="94" t="str">
        <f t="shared" si="77"/>
        <v/>
      </c>
      <c r="HH136" s="95" t="str">
        <f t="shared" si="78"/>
        <v>Šroub M42 x 3 x 200</v>
      </c>
      <c r="HI136" s="95" t="str">
        <f t="shared" si="79"/>
        <v/>
      </c>
      <c r="HJ136" s="96" t="str">
        <f t="shared" si="80"/>
        <v/>
      </c>
      <c r="HK136" s="96" t="str">
        <f t="shared" si="81"/>
        <v/>
      </c>
      <c r="HL136" s="96" t="str">
        <f t="shared" si="82"/>
        <v/>
      </c>
      <c r="HM136" s="96" t="str">
        <f t="shared" si="83"/>
        <v/>
      </c>
      <c r="HN136" s="96" t="str">
        <f t="shared" si="84"/>
        <v/>
      </c>
      <c r="HO136" s="96" t="str">
        <f t="shared" si="85"/>
        <v/>
      </c>
      <c r="HP136" s="96" t="str">
        <f t="shared" si="86"/>
        <v/>
      </c>
      <c r="HQ136" s="145" t="str">
        <f t="shared" si="87"/>
        <v>STO3</v>
      </c>
      <c r="HR136" s="175" t="str">
        <f t="shared" si="88"/>
        <v/>
      </c>
      <c r="HS136" s="173">
        <f t="shared" si="89"/>
        <v>0</v>
      </c>
      <c r="HT136" s="99">
        <f t="shared" si="90"/>
        <v>0</v>
      </c>
      <c r="HU136" s="99">
        <f t="shared" si="91"/>
        <v>0</v>
      </c>
      <c r="HV136" s="209">
        <f t="shared" si="92"/>
        <v>0</v>
      </c>
      <c r="HW136" s="47">
        <f t="shared" si="93"/>
        <v>0</v>
      </c>
      <c r="HX136" s="46">
        <f t="shared" si="94"/>
        <v>0</v>
      </c>
      <c r="HY136" s="149" t="str">
        <f t="shared" si="95"/>
        <v>S</v>
      </c>
      <c r="HZ136" s="263">
        <f t="shared" si="96"/>
        <v>0</v>
      </c>
      <c r="IA136" s="150">
        <f t="shared" si="97"/>
        <v>1</v>
      </c>
      <c r="IB136" s="319">
        <f t="shared" si="98"/>
        <v>0</v>
      </c>
      <c r="IC136" s="220">
        <f t="shared" si="99"/>
        <v>0</v>
      </c>
      <c r="ID136" s="200" t="str">
        <f t="shared" ca="1" si="100"/>
        <v>OK</v>
      </c>
      <c r="IE136" s="201" t="str">
        <f t="shared" si="101"/>
        <v>ks</v>
      </c>
      <c r="IF136" s="145">
        <f t="shared" si="102"/>
        <v>12</v>
      </c>
      <c r="IG136" s="216">
        <f t="shared" si="103"/>
        <v>2.8</v>
      </c>
      <c r="IH136" s="217">
        <f t="shared" si="126"/>
        <v>1</v>
      </c>
      <c r="II136" s="224" t="str">
        <f ca="1">IF(RZ[[#This Row],[Rozhodný sloupec indikativní ceny]]=1,"kg",IF($IW136=$JL$15,IF(JX136=0,JO136,JX136),IF($IW136=$KE$15,IF(KQ136=0,KH136,KQ136),IF($IW136=$KX$15,IF(LJ136=0,LA136,LJ136),IF($IW136=$LQ$15,IF(MC136=0,LT136,MC136),IF($IW136=$MJ$15,IF(NQ136=0,NH136,NQ136),0))))))</f>
        <v>kg</v>
      </c>
      <c r="IJ136" s="224">
        <f ca="1">IF((BH136+OFFSET(BH136,1,1,1,1))=2,RZ[[#This Row],[Počet MJHR (P0)]],IF((BI136+OFFSET(BI136,1,1,1,1))=2,RZ[[#This Row],[Počet MJHR (P0)]],IF((BJ136+OFFSET(BJ136,1,1,1,1))=2,RZ[[#This Row],[Počet MJHR (P0)]],IF((BK136+OFFSET(BK136,1,1,1,1))=2,RZ[[#This Row],[Počet MJHR (P0)]],IF((BL136+OFFSET(BL136,1,1,1,1))=2,RZ[[#This Row],[Počet MJHR (P0)]],IF((BM136+OFFSET(BM136,1,1,1,1))=2,RZ[[#This Row],[Počet MJHR (P0)]],IF((BN136+OFFSET(BN136,1,1,1,1))=2,RZ[[#This Row],[Počet MJHR (P0)]],IF((BO136+OFFSET(BO136,1,1,1,1))=2,RZ[[#This Row],[Počet MJHR (P0)]],IF((BP136+OFFSET(BP136,1,1,1,1))=2,RZ[[#This Row],[Počet MJHR (P0)]],IF((BQ136+OFFSET(BQ136,1,1,1,1))=2,RZ[[#This Row],[Počet MJHR (P0)]],IF(RZ[[#This Row],[Měrná jednotka CR (MJCR) (P0)]]=RZ[[#This Row],[Měrná jednotka HR '[MJHR'] (P0)]],RZ[[#This Row],[Počet MJHR (P0)]],IF($IW136=$JL$15,JY136,IF($IW136=$KE$15,KR136,IF($IW136=$KX$15,LK136,IF($IW136=$LQ$15,MD136,IF($IW136=$MJ$15,NR136,0))))))))))))))))</f>
        <v>0</v>
      </c>
      <c r="IK1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33.599999999999994</v>
      </c>
      <c r="IL136" s="330">
        <f ca="1">IF(AND(RZ[[#This Row],[Jednotková cena bez DPH '[cena/MJCR'] (P0)]]=0,RZ[[#This Row],[Indikativní jednotková cena '[CZK/kg'] (P1)]]&lt;&gt;0),1,0)</f>
        <v>1</v>
      </c>
      <c r="IM136" s="217">
        <f ca="1">VLOOKUP(RZ[[#This Row],[Kód položek]],INDIKAT_CENA,2,FALSE)</f>
        <v>85</v>
      </c>
      <c r="IN136" s="222">
        <f ca="1">IF(RZ[[#This Row],[Rozhodný sloupec indikativní ceny]]=1,RZ[[#This Row],[Indikativní jednotková cena '[CZK/kg'] (P1)]],RZ[[#This Row],[Jednotková cena bez DPH '[cena/MJCR'] (P0)]])</f>
        <v>85</v>
      </c>
      <c r="IO136" s="222">
        <f t="shared" si="127"/>
        <v>1</v>
      </c>
      <c r="IP136" s="223">
        <f ca="1">IF(RZ[[#This Row],[Rozhodný sloupec indikativní ceny]]=1,1,IF($IW136=$JL$15,KA136,IF($IW136=$KE$15,KT136,IF($IW136=$KX$15,LM136,IF($IW136=$LQ$15,MF136,IF($IW136=$MJ$15,NT136,0))))))</f>
        <v>1</v>
      </c>
      <c r="IQ136" s="225">
        <f ca="1">IF(RZ[[#This Row],[Jednotková cena bez DPH '[cena/MJCR'] (P1)]]="",0,IF(IP136=0,0,(RZ[[#This Row],[Jednotková cena bez DPH '[cena/MJCR'] (P1)]]*VLOOKUP(IP136,$BR$7:$BT$10,3))))</f>
        <v>85</v>
      </c>
      <c r="IR136" s="737"/>
      <c r="IS136" s="627">
        <f>IF(HY136=0,"",VLOOKUP(RZ[[#This Row],[Stav Projekce (P0)]],Vstupy!$E$11:'Vstupy'!$E$11:$H$17,4,FALSE))</f>
        <v>100</v>
      </c>
      <c r="IT136" s="628" t="str">
        <f>IF(RZ[[#This Row],[Stav Projekce (P0)]]=0,"",RZ[[#This Row],[Stav Projekce (P0)]])</f>
        <v>S</v>
      </c>
      <c r="IU136" s="628" t="str">
        <f>IF(RZ[[#This Row],[Stav Nákup (P0)]]=0,"",RZ[[#This Row],[Stav Nákup (P0)]])</f>
        <v/>
      </c>
      <c r="IV136" s="636" t="str">
        <f t="shared" si="128"/>
        <v/>
      </c>
      <c r="IW136" s="641">
        <v>1</v>
      </c>
      <c r="IX136" s="630"/>
      <c r="IY136" s="264"/>
      <c r="IZ136" s="776"/>
      <c r="JA136" s="100" t="s">
        <v>755</v>
      </c>
      <c r="JB136" s="100"/>
      <c r="JC136" s="100"/>
      <c r="JD136" s="100"/>
      <c r="JE136" s="100"/>
      <c r="JF136" s="100"/>
      <c r="JG136" s="100"/>
      <c r="JH136" s="100"/>
      <c r="JI136" s="100"/>
      <c r="JJ136" s="145" t="s">
        <v>784</v>
      </c>
      <c r="JK136" s="529"/>
      <c r="JL136" s="286"/>
      <c r="JM136" s="100"/>
      <c r="JN136" s="100"/>
      <c r="JO136" s="145" t="s">
        <v>35</v>
      </c>
      <c r="JP136" s="117">
        <v>12</v>
      </c>
      <c r="JQ136" s="117">
        <v>2.8</v>
      </c>
      <c r="JR136" s="148">
        <v>1</v>
      </c>
      <c r="JS136" s="145" t="s">
        <v>602</v>
      </c>
      <c r="JT136" s="631"/>
      <c r="JU136" s="148"/>
      <c r="JV136" s="154"/>
      <c r="JW136" s="145"/>
      <c r="JX136" s="210"/>
      <c r="JY136" s="117"/>
      <c r="JZ136" s="662"/>
      <c r="KA136" s="145"/>
      <c r="KB136" s="148"/>
      <c r="KC136" s="148"/>
      <c r="KD136" s="644"/>
      <c r="KE136" s="286"/>
      <c r="KF136" s="100"/>
      <c r="KG136" s="100"/>
      <c r="KH136" s="210"/>
      <c r="KI136" s="117"/>
      <c r="KJ136" s="117"/>
      <c r="KK136" s="148"/>
      <c r="KL136" s="145"/>
      <c r="KM136" s="632"/>
      <c r="KN136" s="148"/>
      <c r="KO136" s="154"/>
      <c r="KP136" s="154"/>
      <c r="KQ136" s="210"/>
      <c r="KR136" s="117"/>
      <c r="KS136" s="211"/>
      <c r="KT136" s="145"/>
      <c r="KU136" s="148"/>
      <c r="KV136" s="148"/>
      <c r="KW136" s="265"/>
      <c r="KX136" s="286"/>
      <c r="KY136" s="100"/>
      <c r="KZ136" s="100"/>
      <c r="LA136" s="210"/>
      <c r="LB136" s="117"/>
      <c r="LC136" s="117"/>
      <c r="LD136" s="148"/>
      <c r="LE136" s="145"/>
      <c r="LF136" s="632"/>
      <c r="LG136" s="148"/>
      <c r="LH136" s="154"/>
      <c r="LI136" s="154"/>
      <c r="LJ136" s="154"/>
      <c r="LK136" s="117"/>
      <c r="LL136" s="211"/>
      <c r="LM136" s="210"/>
      <c r="LN136" s="148"/>
      <c r="LO136" s="148"/>
      <c r="LP136" s="265"/>
      <c r="LQ136" s="286"/>
      <c r="LR136" s="100"/>
      <c r="LS136" s="100"/>
      <c r="LT136" s="210"/>
      <c r="LU136" s="117"/>
      <c r="LV136" s="117"/>
      <c r="LW136" s="148"/>
      <c r="LX136" s="145"/>
      <c r="LY136" s="632"/>
      <c r="LZ136" s="148"/>
      <c r="MA136" s="154"/>
      <c r="MB136" s="154"/>
      <c r="MC136" s="145"/>
      <c r="MD136" s="117"/>
      <c r="ME136" s="211"/>
      <c r="MF136" s="210"/>
      <c r="MG136" s="148"/>
      <c r="MH136" s="148"/>
      <c r="MI136" s="265"/>
      <c r="MJ136" s="647"/>
      <c r="MK136" s="264"/>
      <c r="ML136" s="153"/>
      <c r="MM136" s="153"/>
      <c r="MN136" s="153"/>
      <c r="MO136" s="153"/>
      <c r="MP136" s="153"/>
      <c r="MQ136" s="153"/>
      <c r="MR136" s="153"/>
      <c r="MS136" s="99"/>
      <c r="MT136" s="99"/>
      <c r="MU136" s="99"/>
      <c r="MV136" s="99"/>
      <c r="MW136" s="99"/>
      <c r="MX136" s="99"/>
      <c r="MY136" s="153"/>
      <c r="MZ136" s="153"/>
      <c r="NA136" s="153"/>
      <c r="NB136" s="153"/>
      <c r="NC136" s="153"/>
      <c r="ND136" s="153"/>
      <c r="NE136" s="153"/>
      <c r="NF136" s="153"/>
      <c r="NG136" s="153"/>
      <c r="NH136" s="145" t="str">
        <f t="shared" si="823"/>
        <v>ks</v>
      </c>
      <c r="NI136" s="779">
        <f>RZ[[#This Row],[Počet ks (K)]]</f>
        <v>0</v>
      </c>
      <c r="NJ136" s="210">
        <f>RZ[[#This Row],[Hmotnost '[kg/ks'] (K)]]</f>
        <v>0</v>
      </c>
      <c r="NK136" s="153"/>
      <c r="NL136" s="153"/>
      <c r="NM136" s="632"/>
      <c r="NN136" s="153"/>
      <c r="NO136" s="153"/>
      <c r="NP136" s="153"/>
      <c r="NQ136" s="153"/>
      <c r="NR136" s="153"/>
      <c r="NS136" s="153"/>
      <c r="NT136" s="153"/>
      <c r="NU136" s="153"/>
      <c r="NV136" s="148"/>
      <c r="NW136" s="633"/>
    </row>
    <row r="137" spans="2:387" ht="15.95" customHeight="1" x14ac:dyDescent="0.35">
      <c r="B137" s="118" t="str">
        <f t="shared" ref="B137:B139" si="1152">IF(HF137=0,"",HF137)</f>
        <v/>
      </c>
      <c r="C1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7" s="262" t="str">
        <f t="shared" ref="D137:D139" si="1153">IF(HG137&lt;&gt;"",HG137,IF(HH137&lt;&gt;"","  "&amp;HH137,IF(HI137&lt;&gt;"","  "&amp;"  "&amp;HI137,IF(HJ137&lt;&gt;"","  "&amp;"  "&amp;"  "&amp;HJ137,IF(HK137&lt;&gt;"","  "&amp;"  "&amp;"  "&amp;"  "&amp;HK137,IF(HL137&lt;&gt;"","  "&amp;"  "&amp;"  "&amp;"  "&amp;"  "&amp;HL137,IF(HM137&lt;&gt;"","  "&amp;"  "&amp;"  "&amp;"  "&amp;"  "&amp;"  "&amp;HM137,IF(HN137&lt;&gt;"","  "&amp;"  "&amp;"  "&amp;"  "&amp;"  "&amp;"  "&amp;"  "&amp;HN137,IF(HO137&lt;&gt;"","  "&amp;"  "&amp;"  "&amp;"  "&amp;"  "&amp;"  "&amp;"  "&amp;"  "&amp;HO137,IF(HP137&lt;&gt;"","  "&amp;"  "&amp;"  "&amp;"  "&amp;"  "&amp;"  "&amp;"  "&amp;"  "&amp;"  "&amp;HP137,0))))))))))</f>
        <v xml:space="preserve">  Podložka</v>
      </c>
      <c r="E137" s="120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Row],[Kód položek (P2)]]))))))))))</f>
        <v>STO3</v>
      </c>
      <c r="F137" s="791" t="str">
        <f t="shared" ref="F137:F139" si="1154">IF(HS137=0,"N/A",HS137)</f>
        <v>N/A</v>
      </c>
      <c r="G137" s="792" t="str">
        <f t="shared" ref="G137:G139" si="1155">IF(HT137=0,"",HT137)</f>
        <v/>
      </c>
      <c r="H137" s="262" t="str">
        <f t="shared" ref="H137:H139" si="1156">IF(HU137=0,"",HU137)</f>
        <v/>
      </c>
      <c r="I137" s="123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HR '[MJHR'] (P0)]]))))))))))</f>
        <v>ks</v>
      </c>
      <c r="J137" s="123">
        <f t="shared" ref="J137:J139" si="1157">IF(IF137=0,"",IF137)</f>
        <v>2</v>
      </c>
      <c r="K137" s="793">
        <f>RZ[[#This Row],[Koeficient odhadu HR '[-'] (P1)]]</f>
        <v>1</v>
      </c>
      <c r="L137" s="124">
        <f ca="1">RZ[[#This Row],[Jednotková hmotnost s koef. '[kg/MJHR'] (P0)]]</f>
        <v>79</v>
      </c>
      <c r="M137" s="794">
        <f t="shared" ref="M137:M139" ca="1" si="1158">IF(ISNUMBER(K137),L137/K137*(K137-1),0)</f>
        <v>0</v>
      </c>
      <c r="N137" s="125">
        <f t="shared" ref="N137:N139" ca="1" si="1159">IF(ISNUMBER(J137),J137*L137,0)</f>
        <v>158</v>
      </c>
      <c r="O137" s="125">
        <f t="shared" ref="O137:O139" ca="1" si="1160">IF(ISNUMBER(J137),J137*M137,0)</f>
        <v>0</v>
      </c>
      <c r="P137" s="126" t="str">
        <f t="shared" ref="P137:P139" si="1161">IF(HR137=0,"",HR137)</f>
        <v/>
      </c>
      <c r="Q137" s="795">
        <f ca="1">RZ[[#This Row],[Počet MJHR v rozpadu (P0)]]</f>
        <v>2</v>
      </c>
      <c r="R137" s="439" t="str">
        <f t="shared" ref="R137:R139" si="1162">IF(HV137&lt;&gt;0,HV137,"")</f>
        <v/>
      </c>
      <c r="S137" s="129" t="str">
        <f t="shared" ref="S137:S139" si="1163">IF(HW137&lt;&gt;0,HW137,"")</f>
        <v/>
      </c>
      <c r="T137" s="126" t="str">
        <f t="shared" ref="T137:T139" si="1164">IF(HX137=0,"",HX137)</f>
        <v/>
      </c>
      <c r="U137" s="126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CR (MJCR) (P0)]]))))))))))</f>
        <v>kg</v>
      </c>
      <c r="V137" s="575">
        <f t="shared" ref="V137:V139" ca="1" si="1165">IF(IK137=0,"",IK137)</f>
        <v>158</v>
      </c>
      <c r="W137" s="322">
        <f>RZ[[#This Row],[Koeficient odhadu CR '[-'] (P1)]]</f>
        <v>1</v>
      </c>
      <c r="X137" s="440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Row],[Jednotková cena bez DPH '[cena/MJCR'] (P1)]]*RZ[[#This Row],[Koeficient odhadu CR '[-']]]))))))))))</f>
        <v>85</v>
      </c>
      <c r="Y137" s="440">
        <f t="shared" ref="Y137:Y139" ca="1" si="1166">IF(ISNUMBER(X137),-X137/W137*(W137-1),0)</f>
        <v>0</v>
      </c>
      <c r="Z137" s="142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VLOOKUP(IP137,$BR$7:$BS$11,2,FALSE)))))))))))</f>
        <v>CZK</v>
      </c>
      <c r="AA137" s="909">
        <f t="shared" ref="AA137:AA139" ca="1" si="1167">GJ137</f>
        <v>158</v>
      </c>
      <c r="AB137" s="910">
        <f ca="1">RZ[[#This Row],[Kumulovaný koeficient v rozpadu (P0)]]</f>
        <v>1</v>
      </c>
      <c r="AC137" s="261"/>
      <c r="AD137" s="796">
        <f ca="1">RZ[[#This Row],[Jednotková cena bez DPH '[cena/MJCR'] s koef. (P0)]]/RZ[[#This Row],[Koeficient odhadu CR '[-']]]*RZ[[#This Row],[Kumulovaný koeficient odhadu CR  '[-']]]</f>
        <v>85</v>
      </c>
      <c r="AE137" s="796">
        <f t="shared" ref="AE137:AE139" ca="1" si="1168">IF(ISNUMBER(AA137),AA137*AD137,0)*IF(V137="",0,1)</f>
        <v>13430</v>
      </c>
      <c r="AF137" s="796">
        <f ca="1">-IF(ISNUMBER(AA137),RZ[[#This Row],[Celková cena bez DPH (1)]]-RZ[[#This Row],[Jednotková cena bez DPH '[cena/MJCR'] bez koef. (P0)]]*AA137,0)</f>
        <v>0</v>
      </c>
      <c r="AG1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7" s="261"/>
      <c r="AI137" s="796">
        <f ca="1">AD137/VLOOKUP($AJ$13,KURZY,3,FALSE)</f>
        <v>3.1481481481481484</v>
      </c>
      <c r="AJ137" s="796">
        <f ca="1">AE137/VLOOKUP($AJ$13,KURZY,3,FALSE)*IF(V137="",0,1)</f>
        <v>497.40740740740739</v>
      </c>
      <c r="AK137" s="796">
        <f ca="1">AF137/VLOOKUP($AJ$13,KURZY,3,FALSE)</f>
        <v>0</v>
      </c>
      <c r="AL137" s="753">
        <f ca="1">RZ[[#This Row],[Kilogramová cena bez DPH '[cena/kg'] (1)]]/$AK$13</f>
        <v>3.1481481481481484</v>
      </c>
      <c r="AM137" s="261"/>
      <c r="AN137" s="796">
        <f ca="1">AD137/VLOOKUP($AO$13,KURZY,3,FALSE)</f>
        <v>4.1062801932367154</v>
      </c>
      <c r="AO137" s="796">
        <f ca="1">AE137/VLOOKUP($AO$13,KURZY,3,FALSE)*IF(V137="",0,1)</f>
        <v>648.79227053140096</v>
      </c>
      <c r="AP137" s="796">
        <f ca="1">AF137/VLOOKUP($AO$13,KURZY,3,FALSE)</f>
        <v>0</v>
      </c>
      <c r="AQ137" s="753">
        <f ca="1">RZ[[#This Row],[Kilogramová cena bez DPH '[cena/kg'] (1)]]/$AP$13</f>
        <v>4.1062801932367154</v>
      </c>
      <c r="AR137" s="261"/>
      <c r="AS137" s="796">
        <f ca="1">AD137/VLOOKUP($AT$13,KURZY,3,FALSE)</f>
        <v>2.324945295404814</v>
      </c>
      <c r="AT137" s="796">
        <f ca="1">AE137/VLOOKUP($AT$13,KURZY,3,FALSE)*IF(V137="",0,1)</f>
        <v>367.3413566739606</v>
      </c>
      <c r="AU137" s="789">
        <f ca="1">AF137/VLOOKUP($AT$13,KURZY,3,FALSE)</f>
        <v>0</v>
      </c>
      <c r="AV137" s="767">
        <f ca="1">RZ[[#This Row],[Kilogramová cena bez DPH '[cena/kg'] (1)]]/$AU$13</f>
        <v>2.324945295404814</v>
      </c>
      <c r="AW137" s="165"/>
      <c r="AX137" s="911">
        <f t="shared" ref="AX137:AX139" ca="1" si="1169">IF($BH137=0,IF(AY137&gt;0,OFFSET(AX137,-1,0,1,1),0),OFFSET(AX137,-1,0,1,1)+1)</f>
        <v>2</v>
      </c>
      <c r="AY137" s="111">
        <f t="shared" ref="AY137:AY139" ca="1" si="1170">IF($BI137=0,IF(AZ137&gt;0,OFFSET(AY137,-1,0,1,1),0),OFFSET(AY137,-1,0,1,1)+1)</f>
        <v>20</v>
      </c>
      <c r="AZ137" s="111">
        <f t="shared" ref="AZ137:AZ139" ca="1" si="1171">IF($BJ137=0,IF(BA137&gt;0,OFFSET(AZ137,-1,0,1,1),0),OFFSET(AZ137,-1,0,1,1)+1)</f>
        <v>0</v>
      </c>
      <c r="BA137" s="111">
        <f t="shared" ref="BA137:BA139" ca="1" si="1172">IF($BK137=0,IF(BB137&gt;0,OFFSET(BA137,-1,0,1,1),0),OFFSET(BA137,-1,0,1,1)+1)</f>
        <v>0</v>
      </c>
      <c r="BB137" s="111">
        <f t="shared" ref="BB137:BB139" ca="1" si="1173">IF($BL137=0,IF(BC137&gt;0,OFFSET(BB137,-1,0,1,1),0),OFFSET(BB137,-1,0,1,1)+1)</f>
        <v>0</v>
      </c>
      <c r="BC137" s="111">
        <f t="shared" ref="BC137:BC139" ca="1" si="1174">IF($BM137=0,IF(BD137&gt;0,OFFSET(BC137,-1,0,1,1),0),OFFSET(BC137,-1,0,1,1)+1)</f>
        <v>0</v>
      </c>
      <c r="BD137" s="111">
        <f t="shared" ref="BD137:BD139" ca="1" si="1175">IF($BN137=0,IF(BE137&gt;0,OFFSET(BD137,-1,0,1,1),0),OFFSET(BD137,-1,0,1,1)+1)</f>
        <v>0</v>
      </c>
      <c r="BE137" s="111">
        <f t="shared" ref="BE137:BE139" ca="1" si="1176">IF($BO137=0,IF(BF137&gt;0,OFFSET(BE137,-1,0,1,1),0),OFFSET(BE137,-1,0,1,1)+1)</f>
        <v>0</v>
      </c>
      <c r="BF137" s="111">
        <f t="shared" ref="BF137:BF139" ca="1" si="1177">IF($BP137=0,IF(BG137&gt;0,OFFSET(BF137,-1,0,1,1),0),OFFSET(BF137,-1,0,1,1)+1)</f>
        <v>0</v>
      </c>
      <c r="BG137" s="112">
        <f t="shared" ref="BG137:BG139" ca="1" si="1178">IF($BQ137=0,0,OFFSET($BG137,-1,0,1,1)+1)</f>
        <v>0</v>
      </c>
      <c r="BH137" s="911">
        <f t="shared" ref="BH137:BH139" si="1179">IF(HG137="",0,1)</f>
        <v>0</v>
      </c>
      <c r="BI137" s="111">
        <f t="shared" ref="BI137:BI139" si="1180">IF(HH137="",0,1)</f>
        <v>1</v>
      </c>
      <c r="BJ137" s="111">
        <f t="shared" ref="BJ137:BJ139" si="1181">IF(HI137="",0,1)</f>
        <v>0</v>
      </c>
      <c r="BK137" s="111">
        <f t="shared" ref="BK137:BK139" si="1182">IF(HJ137="",0,1)</f>
        <v>0</v>
      </c>
      <c r="BL137" s="111">
        <f t="shared" ref="BL137:BL139" si="1183">IF(HK137="",0,1)</f>
        <v>0</v>
      </c>
      <c r="BM137" s="111">
        <f t="shared" ref="BM137:BM139" si="1184">IF(HL137="",0,1)</f>
        <v>0</v>
      </c>
      <c r="BN137" s="111">
        <f t="shared" ref="BN137:BN139" si="1185">IF(HM137="",0,1)</f>
        <v>0</v>
      </c>
      <c r="BO137" s="111">
        <f t="shared" ref="BO137:BO139" si="1186">IF(HN137="",0,1)</f>
        <v>0</v>
      </c>
      <c r="BP137" s="111">
        <f t="shared" ref="BP137:BP139" si="1187">IF(HO137="",0,1)</f>
        <v>0</v>
      </c>
      <c r="BQ137" s="112">
        <f t="shared" ref="BQ137:BQ139" si="1188">IF(HP137="",0,1)</f>
        <v>0</v>
      </c>
      <c r="BR137" s="132">
        <f ca="1">IF(OFFSET(AY137,1,0,1,1)&lt;&gt;0,RZ[[#This Row],[Koeficient odhadu HR '[-'] (P1)]]*$BH137*SUMIFS(RZ[Úroveň 2 s koef. (P2)],RZ[0],AX137),RZ[[#This Row],[Koeficient odhadu HR '[-'] (P1)]]*$BH137*$IG137)</f>
        <v>0</v>
      </c>
      <c r="BS137" s="186">
        <f ca="1">IF(OFFSET(AY137,1,0,1,1)&lt;&gt;0,$BH137*SUMIFS(RZ[Úroveň 2 bez koef. (P2)],RZ[0],AX137),$BH137*$IG137)</f>
        <v>0</v>
      </c>
      <c r="BT137" s="138">
        <f ca="1">RZ[[#This Row],[Úroveň 2 s koef. (P2a)]]*RZ[[#This Row],[Počet MJHR (P0)]]</f>
        <v>158</v>
      </c>
      <c r="BU137" s="138">
        <f ca="1">RZ[[#This Row],[Úroveň 2 bez koef. (P2a)]]*RZ[[#This Row],[Počet MJHR (P0)]]</f>
        <v>158</v>
      </c>
      <c r="BV137" s="138">
        <f ca="1">IF(OFFSET(AZ137,1,0,1,1)&lt;&gt;0,RZ[[#This Row],[Koeficient odhadu HR '[-'] (P1)]]*$BI137*SUMIFS(RZ[Úroveň 3 s koef. (P2)],RZ[0],AX137,RZ[Úroveň 2 (P0)],AY137),RZ[[#This Row],[Koeficient odhadu HR '[-'] (P1)]]*$BI137*$IG137)</f>
        <v>79</v>
      </c>
      <c r="BW137" s="138">
        <f ca="1">IF(OFFSET(AZ137,1,0,1,1)&lt;&gt;0,$BI137*SUMIFS(RZ[Úroveň 3 bez koef. (P2)],RZ[0],AX137,RZ[Úroveň 2 (P0)],AY137),$BI137*$IG137)</f>
        <v>79</v>
      </c>
      <c r="BX137" s="132">
        <f ca="1">RZ[[#This Row],[Úroveň 3 s koef. (P2a)]]*RZ[[#This Row],[Počet MJHR (P0)]]</f>
        <v>0</v>
      </c>
      <c r="BY137" s="132">
        <f ca="1">RZ[Úroveň 3 bez koef. (P2a)]*RZ[[#This Row],[Počet MJHR (P0)]]</f>
        <v>0</v>
      </c>
      <c r="BZ137" s="132">
        <f ca="1">IF(OFFSET(BA137,1,0,1,1)&lt;&gt;0,RZ[[#This Row],[Koeficient odhadu HR '[-'] (P1)]]*$BJ137*SUMIFS(RZ[Úroveň 4 s koef. (P2)],RZ[0],AX137,RZ[Úroveň 2 (P0)],AY137,RZ[Úroveň 3 (P0)],AZ137),RZ[[#This Row],[Koeficient odhadu HR '[-'] (P1)]]*$BJ137*$IG137)</f>
        <v>0</v>
      </c>
      <c r="CA137" s="132">
        <f ca="1">IF(OFFSET(BA137,1,0,1,1)&lt;&gt;0,$BJ137*SUMIFS(RZ[Úroveň 4 bez koef. (P2)],RZ[0],AX137,RZ[Úroveň 2 (P0)],AY137,RZ[Úroveň 3 (P0)],AZ137),$BJ137*$IG137)</f>
        <v>0</v>
      </c>
      <c r="CB137" s="138">
        <f ca="1">RZ[[#This Row],[Úroveň 4 s koef. (P2a)]]*RZ[[#This Row],[Počet MJHR (P0)]]</f>
        <v>0</v>
      </c>
      <c r="CC137" s="138">
        <f ca="1">RZ[Úroveň 4 bez koef. (P2a)]*RZ[[#This Row],[Počet MJHR (P0)]]</f>
        <v>0</v>
      </c>
      <c r="CD137" s="138">
        <f ca="1">IF(OFFSET(BB137,1,0,1,1)&lt;&gt;0,RZ[[#This Row],[Koeficient odhadu HR '[-'] (P1)]]*$BK137*SUMIFS(RZ[Úroveň 5 s koef. (P2)],RZ[0],AX137,RZ[Úroveň 2 (P0)],AY137,RZ[Úroveň 3 (P0)],AZ137,RZ[Úroveň 4 (P0)],BA137),RZ[[#This Row],[Koeficient odhadu HR '[-'] (P1)]]*$BK137*$IG137)</f>
        <v>0</v>
      </c>
      <c r="CE137" s="138">
        <f ca="1">IF(OFFSET(BB137,1,0,1,1)&lt;&gt;0,$BK137*SUMIFS(RZ[Úroveň 5 bez koef. (P2)],RZ[0],AX137,RZ[Úroveň 2 (P0)],AY137,RZ[Úroveň 3 (P0)],AZ137,RZ[Úroveň 4 (P0)],BA137),$BK137*$IG137)</f>
        <v>0</v>
      </c>
      <c r="CF137" s="132">
        <f ca="1">RZ[[#This Row],[Úroveň 5 s koef. (P2a)]]*RZ[[#This Row],[Počet MJHR (P0)]]</f>
        <v>0</v>
      </c>
      <c r="CG137" s="132">
        <f ca="1">RZ[Úroveň 5 bez koef. (P2a)]*RZ[[#This Row],[Počet MJHR (P0)]]</f>
        <v>0</v>
      </c>
      <c r="CH137" s="132">
        <f ca="1">IF(OFFSET(BC137,1,0,1,1)&lt;&gt;0,RZ[[#This Row],[Koeficient odhadu HR '[-'] (P1)]]*$BL137*SUMIFS(RZ[Úroveň 6 s koef. (P2)],RZ[0],AX137,RZ[Úroveň 2 (P0)],AY137,RZ[Úroveň 3 (P0)],AZ137,RZ[Úroveň 4 (P0)],BA137,RZ[Úroveň 5 (P0)],BB137),RZ[[#This Row],[Koeficient odhadu HR '[-'] (P1)]]*$BL137*$IG137)</f>
        <v>0</v>
      </c>
      <c r="CI137" s="132">
        <f ca="1">IF(OFFSET(BC137,1,0,1,1)&lt;&gt;0,$BL137*SUMIFS(RZ[Úroveň 6 bez koef. (P2)],RZ[0],AX137,RZ[Úroveň 2 (P0)],AY137,RZ[Úroveň 3 (P0)],AZ137,RZ[Úroveň 4 (P0)],BA137,RZ[Úroveň 5 (P0)],BB137),$BL137*$IG137)</f>
        <v>0</v>
      </c>
      <c r="CJ137" s="138">
        <f ca="1">RZ[[#This Row],[Úroveň 6 s koef. (P2a)]]*RZ[[#This Row],[Počet MJHR (P0)]]</f>
        <v>0</v>
      </c>
      <c r="CK137" s="138">
        <f ca="1">RZ[Úroveň 6 bez koef. (P2a)]*RZ[[#This Row],[Počet MJHR (P0)]]</f>
        <v>0</v>
      </c>
      <c r="CL137" s="138">
        <f ca="1">IF(OFFSET(BD137,1,0,1,1)&lt;&gt;0,RZ[[#This Row],[Koeficient odhadu HR '[-'] (P1)]]*$BM137*SUMIFS(RZ[Úroveň 7 s koef. (P2)],RZ[0],AX137,RZ[Úroveň 2 (P0)],AY137,RZ[Úroveň 3 (P0)],AZ137,RZ[Úroveň 4 (P0)],BA137,RZ[Úroveň 5 (P0)],BB137,RZ[Úroveň 6 (P0)],BC137),RZ[[#This Row],[Koeficient odhadu HR '[-'] (P1)]]*$BM137*$IG137)</f>
        <v>0</v>
      </c>
      <c r="CM137" s="138">
        <f ca="1">IF(OFFSET(BD137,1,0,1,1)&lt;&gt;0,$BM137*SUMIFS(RZ[Úroveň 7 bez koef. (P2)],RZ[0],AX137,RZ[Úroveň 2 (P0)],AY137,RZ[Úroveň 3 (P0)],AZ137,RZ[Úroveň 4 (P0)],BA137,RZ[Úroveň 5 (P0)],BB137,RZ[Úroveň 6 (P0)],BC137),$BM137*$IG137)</f>
        <v>0</v>
      </c>
      <c r="CN137" s="132">
        <f ca="1">RZ[[#This Row],[Úroveň 7 s koef. (P2a)]]*RZ[[#This Row],[Počet MJHR (P0)]]</f>
        <v>0</v>
      </c>
      <c r="CO137" s="132">
        <f ca="1">RZ[Úroveň 7 bez koef. (P2a)]*RZ[[#This Row],[Počet MJHR (P0)]]</f>
        <v>0</v>
      </c>
      <c r="CP137" s="132">
        <f ca="1">IF(OFFSET(BE137,1,0,1,1)&lt;&gt;0,RZ[[#This Row],[Koeficient odhadu HR '[-'] (P1)]]*$BN137*SUMIFS(RZ[Úroveň 8 s koef. (P2)],RZ[0],AX137,RZ[Úroveň 2 (P0)],AY137,RZ[Úroveň 3 (P0)],AZ137,RZ[Úroveň 4 (P0)],BA137,RZ[Úroveň 5 (P0)],BB137,RZ[Úroveň 6 (P0)],BC137,RZ[Úroveň 7 (P0)],BD137),RZ[[#This Row],[Koeficient odhadu HR '[-'] (P1)]]*$BN137*$IG137)</f>
        <v>0</v>
      </c>
      <c r="CQ137" s="132">
        <f ca="1">IF(OFFSET(BE137,1,0,1,1)&lt;&gt;0,$BN137*SUMIFS(RZ[Úroveň 8 bez koef. (P2)],RZ[0],AX137,RZ[Úroveň 2 (P0)],AY137,RZ[Úroveň 3 (P0)],AZ137,RZ[Úroveň 4 (P0)],BA137,RZ[Úroveň 5 (P0)],BB137,RZ[Úroveň 6 (P0)],BC137,RZ[Úroveň 7 (P0)],BD137),$BN137*$IG137)</f>
        <v>0</v>
      </c>
      <c r="CR137" s="138">
        <f ca="1">RZ[[#This Row],[Úroveň 8 s koef. (P2a)]]*RZ[[#This Row],[Počet MJHR (P0)]]</f>
        <v>0</v>
      </c>
      <c r="CS137" s="138">
        <f ca="1">RZ[Úroveň 8 bez koef. (P2a)]*RZ[[#This Row],[Počet MJHR (P0)]]</f>
        <v>0</v>
      </c>
      <c r="CT137" s="138">
        <f ca="1">IF(OFFSET(BF137,1,0,1,1)&lt;&gt;0,RZ[[#This Row],[Koeficient odhadu HR '[-'] (P1)]]*$BO137*SUMIFS(RZ[Úroveň 9 s koef. (P2)],RZ[0],AX137,RZ[Úroveň 2 (P0)],AY137,RZ[Úroveň 3 (P0)],AZ137,RZ[Úroveň 4 (P0)],BA137,RZ[Úroveň 5 (P0)],BB137,RZ[Úroveň 6 (P0)],BC137,RZ[Úroveň 7 (P0)],BD137,RZ[Úroveň 8 (P0)],BE137),RZ[[#This Row],[Koeficient odhadu HR '[-'] (P1)]]*$BO137*$IG137)</f>
        <v>0</v>
      </c>
      <c r="CU137" s="138">
        <f ca="1">IF(OFFSET(BF137,1,0,1,1)&lt;&gt;0,$BO137*SUMIFS(RZ[Úroveň 9 bez koef. (P2)],RZ[0],AX137,RZ[Úroveň 2 (P0)],AY137,RZ[Úroveň 3 (P0)],AZ137,RZ[Úroveň 4 (P0)],BA137,RZ[Úroveň 5 (P0)],BB137,RZ[Úroveň 6 (P0)],BC137,RZ[Úroveň 7 (P0)],BD137,RZ[Úroveň 8 (P0)],BE137),$BO137*$IG137)</f>
        <v>0</v>
      </c>
      <c r="CV137" s="132">
        <f ca="1">RZ[[#This Row],[Úroveň 9 s koef. (P2a)]]*RZ[[#This Row],[Počet MJHR (P0)]]</f>
        <v>0</v>
      </c>
      <c r="CW137" s="132">
        <f ca="1">RZ[Úroveň 9 bez koef. (P2a)]*RZ[[#This Row],[Počet MJHR (P0)]]</f>
        <v>0</v>
      </c>
      <c r="CX137" s="132">
        <f ca="1">IF(OFFSET(BG137,1,0,1,1)&lt;&gt;0,RZ[[#This Row],[Koeficient odhadu HR '[-'] (P1)]]*$BP137*SUMIFS(RZ[Úroveň 10 s koef. (P2)],RZ[0],AX137,RZ[Úroveň 2 (P0)],AY137,RZ[Úroveň 3 (P0)],AZ137,RZ[Úroveň 4 (P0)],BA137,RZ[Úroveň 5 (P0)],BB137,RZ[Úroveň 6 (P0)],BC137,RZ[Úroveň 7 (P0)],BD137,RZ[Úroveň 8 (P0)],BE137,RZ[Úroveň 9 (P0)],BF137),RZ[[#This Row],[Koeficient odhadu HR '[-'] (P1)]]*$BP137*$IG137)</f>
        <v>0</v>
      </c>
      <c r="CY137" s="132">
        <f ca="1">IF(OFFSET(BG137,1,0,1,1)&lt;&gt;0,$BP137*SUMIFS(RZ[Úroveň 10 bez koef. (P2)],RZ[0],AX137,RZ[Úroveň 2 (P0)],AY137,RZ[Úroveň 3 (P0)],AZ137,RZ[Úroveň 4 (P0)],BA137,RZ[Úroveň 5 (P0)],BB137,RZ[Úroveň 6 (P0)],BC137,RZ[Úroveň 7 (P0)],BD137,RZ[Úroveň 8 (P0)],BE137,RZ[Úroveň 9 (P0)],BF137),$BP137*$IG137)</f>
        <v>0</v>
      </c>
      <c r="CZ137" s="138">
        <f>RZ[[#This Row],[Úroveň 10 s koef. (P2a)]]*RZ[[#This Row],[Počet MJHR (P0)]]</f>
        <v>0</v>
      </c>
      <c r="DA137" s="138">
        <f>RZ[Úroveň 10 bez koef. (P2a)]*RZ[[#This Row],[Počet MJHR (P0)]]</f>
        <v>0</v>
      </c>
      <c r="DB137" s="138">
        <f>RZ[[#This Row],[Koeficient odhadu HR '[-'] (P1)]]*$BQ137*IG137</f>
        <v>0</v>
      </c>
      <c r="DC137" s="231">
        <f t="shared" ref="DC137:DC139" si="1189">$BQ137*IG137</f>
        <v>0</v>
      </c>
      <c r="DD137" s="241">
        <f t="shared" ref="DD137:DD139" ca="1" si="1190">IF(BH137=1,BR137,IF(BI137=1,BV137,IF(BJ137=1,BZ137,IF(BK137=1,CD137,IF(BL137=1,CH137,IF(BM137=1,CL137,IF(BN137=1,CP137,IF(BO137=1,CT137,IF(BP137=1,CX137,DB137)))))))))</f>
        <v>79</v>
      </c>
      <c r="DE137" s="229">
        <f t="shared" ref="DE137:DE139" ca="1" si="1191">IF(BH137=1,BS137,IF(BI137=1,BW137,IF(BJ137=1,CA137,IF(BK137=1,CE137,IF(BL137=1,CI137,IF(BM137=1,CM137,IF(BN137=1,CQ137,IF(BO137=1,CU137,IF(BP137=1,CY137,DC137)))))))))</f>
        <v>79</v>
      </c>
      <c r="DF137" s="912">
        <f t="shared" ref="DF137:DF139" si="1192">BH137*$IF137</f>
        <v>0</v>
      </c>
      <c r="DG137" s="913">
        <f t="shared" ref="DG137:DG139" si="1193">BI137*$IF137</f>
        <v>2</v>
      </c>
      <c r="DH137" s="913">
        <f t="shared" ref="DH137:DH139" si="1194">BJ137*$IF137</f>
        <v>0</v>
      </c>
      <c r="DI137" s="913">
        <f t="shared" ref="DI137:DI139" si="1195">BK137*$IF137</f>
        <v>0</v>
      </c>
      <c r="DJ137" s="913">
        <f t="shared" ref="DJ137:DJ139" si="1196">BL137*$IF137</f>
        <v>0</v>
      </c>
      <c r="DK137" s="913">
        <f t="shared" ref="DK137:DK139" si="1197">BM137*$IF137</f>
        <v>0</v>
      </c>
      <c r="DL137" s="913">
        <f t="shared" ref="DL137:DL139" si="1198">BN137*$IF137</f>
        <v>0</v>
      </c>
      <c r="DM137" s="913">
        <f t="shared" ref="DM137:DM139" si="1199">BO137*$IF137</f>
        <v>0</v>
      </c>
      <c r="DN137" s="913">
        <f t="shared" ref="DN137:DN139" si="1200">BP137*$IF137</f>
        <v>0</v>
      </c>
      <c r="DO137" s="913">
        <f t="shared" ref="DO137:DO139" si="1201">BQ137*$IF137</f>
        <v>0</v>
      </c>
      <c r="DP137" s="914">
        <f ca="1">SUMIFS(RZ[Úroveň 1 (P4)],RZ[0],AX137)</f>
        <v>1</v>
      </c>
      <c r="DQ137" s="914">
        <f ca="1">SUMIFS(RZ[Úroveň 2 (P4)],RZ[0],AX137,RZ[Úroveň 2 (P0)],AY137)</f>
        <v>2</v>
      </c>
      <c r="DR137" s="914">
        <f ca="1">SUMIFS(RZ[Úroveň 3 (P4)],RZ[0],AX137,RZ[Úroveň 2 (P0)],AY137,RZ[Úroveň 3 (P0)],AZ137)</f>
        <v>0</v>
      </c>
      <c r="DS137" s="914">
        <f ca="1">SUMIFS(RZ[Úroveň 4 (P4)],RZ[0],AX137,RZ[Úroveň 2 (P0)],AY137,RZ[Úroveň 3 (P0)],AZ137,RZ[Úroveň 4 (P0)],BA137)</f>
        <v>0</v>
      </c>
      <c r="DT137" s="914">
        <f ca="1">SUMIFS(RZ[Úroveň 5 (P4)],RZ[0],AX137,RZ[Úroveň 2 (P0)],AY137,RZ[Úroveň 3 (P0)],AZ137,RZ[Úroveň 4 (P0)],BA137,RZ[Úroveň 5 (P0)],BB137)</f>
        <v>0</v>
      </c>
      <c r="DU137" s="914">
        <f ca="1">SUMIFS(RZ[Úroveň 6 (P4)],RZ[0],AX137,RZ[Úroveň 2 (P0)],AY137,RZ[Úroveň 3 (P0)],AZ137,RZ[Úroveň 4 (P0)],BA137,RZ[Úroveň 5 (P0)],BB137,RZ[Úroveň 6 (P0)],BC137)</f>
        <v>0</v>
      </c>
      <c r="DV137" s="914">
        <f ca="1">SUMIFS(RZ[Úroveň 7 (P4)],RZ[0],AX137,RZ[Úroveň 2 (P0)],AY137,RZ[Úroveň 3 (P0)],AZ137,RZ[Úroveň 4 (P0)],BA137,RZ[Úroveň 5 (P0)],BB137,RZ[Úroveň 6 (P0)],BC137,RZ[Úroveň 7 (P0)],BD137)</f>
        <v>0</v>
      </c>
      <c r="DW137" s="914">
        <f ca="1">SUMIFS(RZ[Úroveň 8 (P4)],RZ[0],AX137,RZ[Úroveň 2 (P0)],AY137,RZ[Úroveň 3 (P0)],AZ137,RZ[Úroveň 4 (P0)],BA137,RZ[Úroveň 5 (P0)],BB137,RZ[Úroveň 6 (P0)],BC137,RZ[Úroveň 7 (P0)],BD137,RZ[Úroveň 8 (P0)],BE137)</f>
        <v>0</v>
      </c>
      <c r="DX137" s="914">
        <f ca="1">SUMIFS(RZ[Úroveň 9 (P4)],RZ[0],AX137,RZ[Úroveň 2 (P0)],AY137,RZ[Úroveň 3 (P0)],AZ137,RZ[Úroveň 4 (P0)],BA137,RZ[Úroveň 5 (P0)],BB137,RZ[Úroveň 6 (P0)],BC137,RZ[Úroveň 7 (P0)],BD137,RZ[Úroveň 8 (P0)],BE137,RZ[Úroveň 9 (P0)],BF137)</f>
        <v>0</v>
      </c>
      <c r="DY137" s="914">
        <f ca="1">SUMIFS(RZ[Úroveň 10 (P4)],RZ[0],AX137,RZ[Úroveň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DZ137" s="915">
        <f t="shared" ref="DZ137:DZ139" ca="1" si="1202">IF(DP137&lt;&gt;0,DP137,1)*IF(DQ137&lt;&gt;0,DQ137,1)*IF(DR137&lt;&gt;0,DR137,1)*IF(DS137&lt;&gt;0,DS137,1)*IF(DT137&lt;&gt;0,DT137,1)*IF(DU137&lt;&gt;0,DU137,1)*IF(DV137&lt;&gt;0,DV137,1)*IF(DW137&lt;&gt;0,DW137,1)*IF(DX137&lt;&gt;0,DX137,1)*IF(DY137&lt;&gt;0,DY137,1)</f>
        <v>2</v>
      </c>
      <c r="EA137" s="916">
        <f ca="1">RZ[[#This Row],[Jednotková hmotnost bez koef. '[kg/MJHR'] (P0)]]*RZ[[#This Row],[Počet MJHR v rozpadu (P0)]]</f>
        <v>158</v>
      </c>
      <c r="EB137" s="917">
        <f ca="1">IF(OFFSET(AY137,1,0,1,1)&lt;&gt;0,RZ[[#This Row],[Koeficient odhadu CR '[-'] (P1)]]*$BH137*SUMIFS(RZ[Úroveň 2 s koef. (P3)],RZ[0],AX137),RZ[[#This Row],[Koeficient odhadu CR '[-'] (P1)]]*$BH137*$IQ137)</f>
        <v>0</v>
      </c>
      <c r="EC137" s="191">
        <f ca="1">IF(OFFSET(AY137,1,0,1,1)&lt;&gt;0,$BH137*SUMIFS(RZ[Úroveň 2 bez koef. (P3)],RZ[0],AX137),$BH137*$IQ137)</f>
        <v>0</v>
      </c>
      <c r="ED137" s="140">
        <f ca="1">RZ[[#This Row],[Úroveň 2 s koef. (P3a)]]*RZ[[#This Row],[Počet MJCR (P0) pro "kg"]]</f>
        <v>13430</v>
      </c>
      <c r="EE137" s="140">
        <f ca="1">RZ[Úroveň 2 bez koef. (P3a)]*RZ[[#This Row],[Počet MJCR (P0) pro "kg"]]</f>
        <v>13430</v>
      </c>
      <c r="EF137" s="140">
        <f ca="1">IF(OFFSET(AZ137,1,0,1,1)&lt;&gt;0,RZ[[#This Row],[Koeficient odhadu CR '[-'] (P1)]]*$BI137*SUMIFS(RZ[Úroveň 3 s koef. (P3)],RZ[0],AX137,RZ[Úroveň 2 (P0)],AY137),RZ[[#This Row],[Koeficient odhadu CR '[-'] (P1)]]*$BI137*$IQ137)</f>
        <v>85</v>
      </c>
      <c r="EG137" s="140">
        <f ca="1">IF(OFFSET(AZ137,1,0,1,1)&lt;&gt;0,$BI137*SUMIFS(RZ[Úroveň 3 bez koef. (P3)],RZ[0],AX137,RZ[Úroveň 2 (P0)],AY137),$BI137*$IQ137)</f>
        <v>85</v>
      </c>
      <c r="EH137" s="135">
        <f ca="1">RZ[[#This Row],[Úroveň 3 s koef. (P3a)]]*RZ[[#This Row],[Počet MJCR (P0) pro "kg"]]</f>
        <v>0</v>
      </c>
      <c r="EI137" s="135">
        <f ca="1">RZ[Úroveň 3 bez koef. (P3a)]*RZ[[#This Row],[Počet MJCR (P0) pro "kg"]]</f>
        <v>0</v>
      </c>
      <c r="EJ137" s="135">
        <f ca="1">IF(OFFSET(BA137,1,0,1,1)&lt;&gt;0,RZ[[#This Row],[Koeficient odhadu CR '[-'] (P1)]]*$BJ137*SUMIFS(RZ[Úroveň 4 s koef. (P3)],RZ[0],AX137,RZ[Úroveň 2 (P0)],AY137,RZ[Úroveň 3 (P0)],AZ137),RZ[[#This Row],[Koeficient odhadu CR '[-'] (P1)]]*$BJ137*$IQ137)</f>
        <v>0</v>
      </c>
      <c r="EK137" s="135">
        <f ca="1">IF(OFFSET(BA137,1,0,1,1)&lt;&gt;0,$BJ137*SUMIFS(RZ[Úroveň 4 bez koef. (P3)],RZ[0],AX137,RZ[Úroveň 2 (P0)],AY137,RZ[Úroveň 3 (P0)],AZ137),$BJ137*$IQ137)</f>
        <v>0</v>
      </c>
      <c r="EL137" s="140">
        <f ca="1">RZ[[#This Row],[Úroveň 4 s koef. (P3a)]]*RZ[[#This Row],[Počet MJCR (P0) pro "kg"]]</f>
        <v>0</v>
      </c>
      <c r="EM137" s="140">
        <f ca="1">RZ[Úroveň 4 bez koef. (P3a)]*RZ[[#This Row],[Počet MJCR (P0) pro "kg"]]</f>
        <v>0</v>
      </c>
      <c r="EN137" s="140">
        <f ca="1">IF(OFFSET(BB137,1,0,1,1)&lt;&gt;0,RZ[[#This Row],[Koeficient odhadu CR '[-'] (P1)]]*$BK137*SUMIFS(RZ[Úroveň 5 s koef. (P3)],RZ[0],AX137,RZ[Úroveň 2 (P0)],AY137,RZ[Úroveň 3 (P0)],AZ137,RZ[Úroveň 4 (P0)],BA137),RZ[[#This Row],[Koeficient odhadu CR '[-'] (P1)]]*$BK137*$IQ137)</f>
        <v>0</v>
      </c>
      <c r="EO137" s="140">
        <f ca="1">IF(OFFSET(BB137,1,0,1,1)&lt;&gt;0,$BK137*SUMIFS(RZ[Úroveň 5 bez koef. (P3)],RZ[0],AX137,RZ[Úroveň 2 (P0)],AY137,RZ[Úroveň 3 (P0)],AZ137,RZ[Úroveň 4 (P0)],BA137),$BK137*$IQ137)</f>
        <v>0</v>
      </c>
      <c r="EP137" s="135">
        <f ca="1">RZ[[#This Row],[Úroveň 5 s koef. (P3a)]]*RZ[[#This Row],[Počet MJCR (P0) pro "kg"]]</f>
        <v>0</v>
      </c>
      <c r="EQ137" s="135">
        <f ca="1">RZ[Úroveň 5 bez koef. (P3a)]*RZ[[#This Row],[Počet MJCR (P0) pro "kg"]]</f>
        <v>0</v>
      </c>
      <c r="ER137" s="135">
        <f ca="1">IF(OFFSET(BC137,1,0,1,1)&lt;&gt;0,RZ[[#This Row],[Koeficient odhadu CR '[-'] (P1)]]*$BL137*SUMIFS(RZ[Úroveň 6 s koef. (P3)],RZ[0],AX137,RZ[Úroveň 2 (P0)],AY137,RZ[Úroveň 3 (P0)],AZ137,RZ[Úroveň 4 (P0)],BA137,RZ[Úroveň 5 (P0)],BB137),RZ[[#This Row],[Koeficient odhadu CR '[-'] (P1)]]*$BL137*$IQ137)</f>
        <v>0</v>
      </c>
      <c r="ES137" s="135">
        <f ca="1">IF(OFFSET(BC137,1,0,1,1)&lt;&gt;0,$BL137*SUMIFS(RZ[Úroveň 6 bez koef. (P3)],RZ[0],AX137,RZ[Úroveň 2 (P0)],AY137,RZ[Úroveň 3 (P0)],AZ137,RZ[Úroveň 4 (P0)],BA137,RZ[Úroveň 5 (P0)],BB137),$BL137*$IQ137)</f>
        <v>0</v>
      </c>
      <c r="ET137" s="140">
        <f ca="1">RZ[[#This Row],[Úroveň 6 s koef. (P3a)]]*RZ[[#This Row],[Počet MJCR (P0) pro "kg"]]</f>
        <v>0</v>
      </c>
      <c r="EU137" s="140">
        <f ca="1">RZ[Úroveň 6 bez koef. (P3a)]*RZ[[#This Row],[Počet MJCR (P0) pro "kg"]]</f>
        <v>0</v>
      </c>
      <c r="EV137" s="140">
        <f ca="1">IF(OFFSET(BD137,1,0,1,1)&lt;&gt;0,RZ[[#This Row],[Koeficient odhadu CR '[-'] (P1)]]*$BM137*SUMIFS(RZ[Úroveň 7 s koef. (P3)],RZ[0],AX137,RZ[Úroveň 2 (P0)],AY137,RZ[Úroveň 3 (P0)],AZ137,RZ[Úroveň 4 (P0)],BA137,RZ[Úroveň 5 (P0)],BB137,RZ[Úroveň 6 (P0)],BC137),RZ[[#This Row],[Koeficient odhadu CR '[-'] (P1)]]*$BM137*$IQ137)</f>
        <v>0</v>
      </c>
      <c r="EW137" s="140">
        <f ca="1">IF(OFFSET(BD137,1,0,1,1)&lt;&gt;0,$BM137*SUMIFS(RZ[Úroveň 7 bez koef. (P3)],RZ[0],AX137,RZ[Úroveň 2 (P0)],AY137,RZ[Úroveň 3 (P0)],AZ137,RZ[Úroveň 4 (P0)],BA137,RZ[Úroveň 5 (P0)],BB137,RZ[Úroveň 6 (P0)],BC137),$BM137*$IQ137)</f>
        <v>0</v>
      </c>
      <c r="EX137" s="135">
        <f ca="1">RZ[[#This Row],[Úroveň 7 s koef. (P3a)]]*RZ[[#This Row],[Počet MJCR (P0) pro "kg"]]</f>
        <v>0</v>
      </c>
      <c r="EY137" s="135">
        <f ca="1">RZ[Úroveň 7 bez koef. (P3a)]*RZ[[#This Row],[Počet MJCR (P0) pro "kg"]]</f>
        <v>0</v>
      </c>
      <c r="EZ137" s="135">
        <f ca="1">IF(OFFSET(BE137,1,0,1,1)&lt;&gt;0,RZ[[#This Row],[Koeficient odhadu CR '[-'] (P1)]]*$BN137*SUMIFS(RZ[Úroveň 8 s koef. (P3)],RZ[0],AX137,RZ[Úroveň 2 (P0)],AY137,RZ[Úroveň 3 (P0)],AZ137,RZ[Úroveň 4 (P0)],BA137,RZ[Úroveň 5 (P0)],BB137,RZ[Úroveň 6 (P0)],BC137,RZ[Úroveň 7 (P0)],BD137),RZ[[#This Row],[Koeficient odhadu CR '[-'] (P1)]]*$BN137*$IQ137)</f>
        <v>0</v>
      </c>
      <c r="FA137" s="135">
        <f ca="1">IF(OFFSET(BE137,1,0,1,1)&lt;&gt;0,$BN137*SUMIFS(RZ[Úroveň 8 bez koef. (P3)],RZ[0],AX137,RZ[Úroveň 2 (P0)],AY137,RZ[Úroveň 3 (P0)],AZ137,RZ[Úroveň 4 (P0)],BA137,RZ[Úroveň 5 (P0)],BB137,RZ[Úroveň 6 (P0)],BC137,RZ[Úroveň 7 (P0)],BD137),$BN137*$IQ137)</f>
        <v>0</v>
      </c>
      <c r="FB137" s="140">
        <f ca="1">RZ[[#This Row],[Úroveň 8 s koef. (P3a)]]*RZ[[#This Row],[Počet MJCR (P0) pro "kg"]]</f>
        <v>0</v>
      </c>
      <c r="FC137" s="140">
        <f ca="1">RZ[Úroveň 8 bez koef. (P3a)]*RZ[[#This Row],[Počet MJCR (P0) pro "kg"]]</f>
        <v>0</v>
      </c>
      <c r="FD137" s="140">
        <f ca="1">IF(OFFSET(BF137,1,0,1,1)&lt;&gt;0,RZ[[#This Row],[Koeficient odhadu CR '[-'] (P1)]]*$BO137*SUMIFS(RZ[Úroveň 9 s koef. (P3)],RZ[0],AX137,RZ[Úroveň 2 (P0)],AY137,RZ[Úroveň 3 (P0)],AZ137,RZ[Úroveň 4 (P0)],BA137,RZ[Úroveň 5 (P0)],BB137,RZ[Úroveň 6 (P0)],BC137,RZ[Úroveň 7 (P0)],BD137,RZ[Úroveň 8 (P0)],BE137),RZ[[#This Row],[Koeficient odhadu CR '[-'] (P1)]]*$BO137*$IQ137)</f>
        <v>0</v>
      </c>
      <c r="FE137" s="140">
        <f ca="1">IF(OFFSET(BF137,1,0,1,1)&lt;&gt;0,$BO137*SUMIFS(RZ[Úroveň 9 bez koef. (P3)],RZ[0],AX137,RZ[Úroveň 2 (P0)],AY137,RZ[Úroveň 3 (P0)],AZ137,RZ[Úroveň 4 (P0)],BA137,RZ[Úroveň 5 (P0)],BB137,RZ[Úroveň 6 (P0)],BC137,RZ[Úroveň 7 (P0)],BD137,RZ[Úroveň 8 (P0)],BE137),$BO137*$IQ137)</f>
        <v>0</v>
      </c>
      <c r="FF137" s="135">
        <f ca="1">RZ[[#This Row],[Úroveň 9 s koef. (P3a)]]*RZ[[#This Row],[Počet MJCR (P0) pro "kg"]]</f>
        <v>0</v>
      </c>
      <c r="FG137" s="135">
        <f ca="1">RZ[Úroveň 9 bez koef. (P3a)]*RZ[[#This Row],[Počet MJCR (P0) pro "kg"]]</f>
        <v>0</v>
      </c>
      <c r="FH137" s="135">
        <f ca="1">IF(OFFSET(BG137,1,0,1,1)&lt;&gt;0,RZ[[#This Row],[Koeficient odhadu CR '[-'] (P1)]]*$BP137*SUMIFS(RZ[Úroveň 10 s koef. (P3)],RZ[0],AX137,RZ[Úroveň 2 (P0)],AY137,RZ[Úroveň 3 (P0)],AZ137,RZ[Úroveň 4 (P0)],BA137,RZ[Úroveň 5 (P0)],BB137,RZ[Úroveň 6 (P0)],BC137,RZ[Úroveň 7 (P0)],BD137,RZ[Úroveň 8 (P0)],BE137,RZ[Úroveň 9 (P0)],BF137),RZ[[#This Row],[Koeficient odhadu CR '[-'] (P1)]]*$BP137*$IQ137)</f>
        <v>0</v>
      </c>
      <c r="FI137" s="135">
        <f ca="1">IF(OFFSET(BG137,1,0,1,1)&lt;&gt;0,$BP137*SUMIFS(RZ[Úroveň 10 bez koef. (P3)],RZ[0],AX137,RZ[Úroveň 2 (P0)],AY137,RZ[Úroveň 3 (P0)],AZ137,RZ[Úroveň 4 (P0)],BA137,RZ[Úroveň 5 (P0)],BB137,RZ[Úroveň 6 (P0)],BC137,RZ[Úroveň 7 (P0)],BD137,RZ[Úroveň 8 (P0)],BE137,RZ[Úroveň 9 (P0)],BF137),$BP137*$IQ137)</f>
        <v>0</v>
      </c>
      <c r="FJ137" s="140">
        <f ca="1">RZ[[#This Row],[Úroveň 10 s koef. (P3a)]]*RZ[[#This Row],[Počet MJCR (P0) pro "kg"]]</f>
        <v>0</v>
      </c>
      <c r="FK137" s="140">
        <f ca="1">RZ[Úroveň 10 bez koef. (P3a)]*RZ[[#This Row],[Počet MJCR (P0) pro "kg"]]</f>
        <v>0</v>
      </c>
      <c r="FL137" s="140">
        <f ca="1">RZ[[#This Row],[Koeficient odhadu CR '[-'] (P1)]]*$BQ137*IQ137</f>
        <v>0</v>
      </c>
      <c r="FM137" s="236">
        <f t="shared" ref="FM137:FM139" ca="1" si="1203">$BQ137*IQ137</f>
        <v>0</v>
      </c>
      <c r="FN137" s="194">
        <f t="shared" ref="FN137:FN139" ca="1" si="1204">IF(BH137=1,EB137,IF(BI137=1,EF137,IF(BJ137=1,EJ137,IF(BK137=1,EN137,IF(BL137=1,ER137,IF(BM137=1,EV137,IF(BN137=1,EZ137,IF(BO137=1,FD137,IF(BP137=1,FH137,FL137)))))))))</f>
        <v>85</v>
      </c>
      <c r="FO137" s="238">
        <f t="shared" ref="FO137:FO139" ca="1" si="1205">IF(BH137=1,EC137,IF(BI137=1,EG137,IF(BJ137=1,EK137,IF(BK137=1,EO137,IF(BL137=1,ES137,IF(BM137=1,EW137,IF(BN137=1,FA137,IF(BO137=1,FE137,IF(BP137=1,FI137,FM137)))))))))</f>
        <v>85</v>
      </c>
      <c r="FP137" s="135">
        <f t="shared" ref="FP137:FP139" ca="1" si="1206">BH137*$IK137</f>
        <v>0</v>
      </c>
      <c r="FQ137" s="135">
        <f t="shared" ref="FQ137:FQ139" ca="1" si="1207">BI137*$IK137</f>
        <v>158</v>
      </c>
      <c r="FR137" s="135">
        <f t="shared" ref="FR137:FR139" ca="1" si="1208">BJ137*$IK137</f>
        <v>0</v>
      </c>
      <c r="FS137" s="135">
        <f t="shared" ref="FS137:FS139" ca="1" si="1209">BK137*$IK137</f>
        <v>0</v>
      </c>
      <c r="FT137" s="135">
        <f t="shared" ref="FT137:FT139" ca="1" si="1210">BL137*$IK137</f>
        <v>0</v>
      </c>
      <c r="FU137" s="135">
        <f t="shared" ref="FU137:FU139" ca="1" si="1211">BM137*$IK137</f>
        <v>0</v>
      </c>
      <c r="FV137" s="135">
        <f t="shared" ref="FV137:FV139" ca="1" si="1212">BN137*$IK137</f>
        <v>0</v>
      </c>
      <c r="FW137" s="135">
        <f t="shared" ref="FW137:FW139" ca="1" si="1213">BO137*$IK137</f>
        <v>0</v>
      </c>
      <c r="FX137" s="135">
        <f t="shared" ref="FX137:FX139" ca="1" si="1214">BP137*$IK137</f>
        <v>0</v>
      </c>
      <c r="FY137" s="135">
        <f t="shared" ref="FY137:FY139" ca="1" si="1215">BQ137*$IK137</f>
        <v>0</v>
      </c>
      <c r="FZ137" s="140">
        <f ca="1">SUMIFS(RZ[Úroveň 1 (P6)],RZ[0],AX137)</f>
        <v>1</v>
      </c>
      <c r="GA137" s="140">
        <f ca="1">SUMIFS(RZ[Úroveň 2 (P6)],RZ[0],AX137,RZ[Úroveň 2 (P0)],AY137)</f>
        <v>158</v>
      </c>
      <c r="GB137" s="140">
        <f ca="1">SUMIFS(RZ[Úroveň 3 (P6)],RZ[0],AX137,RZ[Úroveň 2 (P0)],AY137,RZ[Úroveň 3 (P0)],AZ137)</f>
        <v>0</v>
      </c>
      <c r="GC137" s="140">
        <f ca="1">SUMIFS(RZ[Úroveň 4 (P6)],RZ[0],AX137,RZ[Úroveň 2 (P0)],AY137,RZ[Úroveň 3 (P0)],AZ137,RZ[Úroveň 4 (P0)],BA137)</f>
        <v>0</v>
      </c>
      <c r="GD137" s="140">
        <f ca="1">SUMIFS(RZ[Úroveň 5 (P6)],RZ[0],AX137,RZ[Úroveň 2 (P0)],AY137,RZ[Úroveň 3 (P0)],AZ137,RZ[Úroveň 4 (P0)],BA137,RZ[Úroveň 5 (P0)],BB137)</f>
        <v>0</v>
      </c>
      <c r="GE137" s="140">
        <f ca="1">SUMIFS(RZ[Úroveň 6 (P6)],RZ[0],AX137,RZ[Úroveň 2 (P0)],AY137,RZ[Úroveň 3 (P0)],AZ137,RZ[Úroveň 4 (P0)],BA137,RZ[Úroveň 5 (P0)],BB137,RZ[Úroveň 6 (P0)],BC137)</f>
        <v>0</v>
      </c>
      <c r="GF137" s="140">
        <f ca="1">SUMIFS(RZ[Úroveň 7 (P6)],RZ[0],AX137,RZ[Úroveň 2 (P0)],AY137,RZ[Úroveň 3 (P0)],AZ137,RZ[Úroveň 4 (P0)],BA137,RZ[Úroveň 5 (P0)],BB137,RZ[Úroveň 6 (P0)],BC137,RZ[Úroveň 7 (P0)],BD137)</f>
        <v>0</v>
      </c>
      <c r="GG137" s="140">
        <f ca="1">SUMIFS(RZ[Úroveň 8 (P6)],RZ[0],AX137,RZ[Úroveň 2 (P0)],AY137,RZ[Úroveň 3 (P0)],AZ137,RZ[Úroveň 4 (P0)],BA137,RZ[Úroveň 5 (P0)],BB137,RZ[Úroveň 6 (P0)],BC137,RZ[Úroveň 7 (P0)],BD137,RZ[Úroveň 8 (P0)],BE137)</f>
        <v>0</v>
      </c>
      <c r="GH137" s="140">
        <f ca="1">SUMIFS(RZ[Úroveň 9 (P6)],RZ[0],AX137,RZ[Úroveň 2 (P0)],AY137,RZ[Úroveň 3 (P0)],AZ137,RZ[Úroveň 4 (P0)],BA137,RZ[Úroveň 5 (P0)],BB137,RZ[Úroveň 6 (P0)],BC137,RZ[Úroveň 7 (P0)],BD137,RZ[Úroveň 8 (P0)],BE137,RZ[Úroveň 9 (P0)],BF137)</f>
        <v>0</v>
      </c>
      <c r="GI137" s="140">
        <f ca="1">SUMIFS(RZ[Úroveň 10 (P6)],RZ[0],AX137,RZ[Úroveň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GJ137" s="918">
        <f t="shared" ref="GJ137:GJ139" ca="1" si="1216">IF(FZ137&lt;&gt;0,FZ137,1)*IF(GA137&lt;&gt;0,GA137,1)*IF(GB137&lt;&gt;0,GB137,1)*IF(GC137&lt;&gt;0,GC137,1)*IF(GD137&lt;&gt;0,GD137,1)*IF(GE137&lt;&gt;0,GE137,1)*IF(GF137&lt;&gt;0,GF137,1)*IF(GG137&lt;&gt;0,GG137,1)*IF(GH137&lt;&gt;0,GH137,1)*IF(GI137&lt;&gt;0,GI137,1)</f>
        <v>158</v>
      </c>
      <c r="GK137" s="808">
        <f t="shared" ref="GK137:GK139" si="1217">BH137*$IO137</f>
        <v>0</v>
      </c>
      <c r="GL137" s="808">
        <f t="shared" ref="GL137:GL139" si="1218">BI137*$IO137</f>
        <v>1</v>
      </c>
      <c r="GM137" s="808">
        <f t="shared" ref="GM137:GM139" si="1219">BJ137*$IO137</f>
        <v>0</v>
      </c>
      <c r="GN137" s="808">
        <f t="shared" ref="GN137:GN139" si="1220">BK137*$IO137</f>
        <v>0</v>
      </c>
      <c r="GO137" s="808">
        <f t="shared" ref="GO137:GO139" si="1221">BL137*$IO137</f>
        <v>0</v>
      </c>
      <c r="GP137" s="808">
        <f t="shared" ref="GP137:GP139" si="1222">BM137*$IO137</f>
        <v>0</v>
      </c>
      <c r="GQ137" s="808">
        <f t="shared" ref="GQ137:GQ139" si="1223">BN137*$IO137</f>
        <v>0</v>
      </c>
      <c r="GR137" s="808">
        <f t="shared" ref="GR137:GR139" si="1224">BO137*$IO137</f>
        <v>0</v>
      </c>
      <c r="GS137" s="808">
        <f t="shared" ref="GS137:GS139" si="1225">BP137*$IO137</f>
        <v>0</v>
      </c>
      <c r="GT137" s="808">
        <f t="shared" ref="GT137:GT139" si="1226">BQ137*$IO137</f>
        <v>0</v>
      </c>
      <c r="GU137" s="809">
        <f ca="1">SUMIFS(RZ[Sloupec1],RZ[0],AX137)</f>
        <v>1</v>
      </c>
      <c r="GV137" s="809">
        <f ca="1">SUMIFS(RZ[Sloupec2],RZ[0],AX137,RZ[Úroveň 2 (P0)],AY137)</f>
        <v>1</v>
      </c>
      <c r="GW137" s="809">
        <f ca="1">SUMIFS(RZ[Sloupec3],RZ[0],AX137,RZ[Úroveň 2 (P0)],AY137,RZ[Úroveň 3 (P0)],AZ137)</f>
        <v>0</v>
      </c>
      <c r="GX137" s="809">
        <f ca="1">SUMIFS(RZ[Sloupec4],RZ[0],AX137,RZ[Úroveň 2 (P0)],AY137,RZ[Úroveň 3 (P0)],AZ137,RZ[Úroveň 4 (P0)],BA137)</f>
        <v>0</v>
      </c>
      <c r="GY137" s="809">
        <f ca="1">SUMIFS(RZ[Sloupec5],RZ[0],AX137,RZ[Úroveň 2 (P0)],AY137,RZ[Úroveň 3 (P0)],AZ137,RZ[Úroveň 4 (P0)],BA137,RZ[Úroveň 5 (P0)],BB137)</f>
        <v>0</v>
      </c>
      <c r="GZ137" s="809">
        <f ca="1">SUMIFS(RZ[Sloupec6],RZ[0],AX137,RZ[Úroveň 2 (P0)],AY137,RZ[Úroveň 3 (P0)],AZ137,RZ[Úroveň 4 (P0)],BA137,RZ[Úroveň 5 (P0)],BB137,RZ[Úroveň 6 (P0)],BC137)</f>
        <v>0</v>
      </c>
      <c r="HA137" s="809">
        <f ca="1">SUMIFS(RZ[Sloupec62],RZ[0],AX137,RZ[Úroveň 2 (P0)],AY137,RZ[Úroveň 3 (P0)],AZ137,RZ[Úroveň 4 (P0)],BA137,RZ[Úroveň 5 (P0)],BB137,RZ[Úroveň 6 (P0)],BC137,RZ[Úroveň 7 (P0)],BD137)</f>
        <v>0</v>
      </c>
      <c r="HB137" s="809">
        <f ca="1">SUMIFS(RZ[Sloupec63],RZ[0],AX137,RZ[Úroveň 2 (P0)],AY137,RZ[Úroveň 3 (P0)],AZ137,RZ[Úroveň 4 (P0)],BA137,RZ[Úroveň 5 (P0)],BB137,RZ[Úroveň 6 (P0)],BC137,RZ[Úroveň 7 (P0)],BD137,RZ[Úroveň 8 (P0)],BE137)</f>
        <v>0</v>
      </c>
      <c r="HC137" s="809">
        <f ca="1">SUMIFS(RZ[Sloupec64],RZ[0],AX137,RZ[Úroveň 2 (P0)],AY137,RZ[Úroveň 3 (P0)],AZ137,RZ[Úroveň 4 (P0)],BA137,RZ[Úroveň 5 (P0)],BB137,RZ[Úroveň 6 (P0)],BC137,RZ[Úroveň 7 (P0)],BD137,RZ[Úroveň 8 (P0)],BE137,RZ[Úroveň 9 (P0)],BF137)</f>
        <v>0</v>
      </c>
      <c r="HD137" s="809">
        <f ca="1">SUMIFS(RZ[Sloupec65],RZ[0],AX137,RZ[Úroveň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HE137" s="919">
        <f t="shared" ref="HE137:HE139" ca="1" si="1227">IF(GU137&lt;&gt;0,GU137,1)*IF(GV137&lt;&gt;0,GV137,1)*IF(GW137&lt;&gt;0,GW137,1)*IF(GX137&lt;&gt;0,GX137,1)*IF(GY137&lt;&gt;0,GY137,1)*IF(GZ137&lt;&gt;0,GZ137,1)*IF(HA137&lt;&gt;0,HA137,1)*IF(HB137&lt;&gt;0,HB137,1)*IF(HC137&lt;&gt;0,HC137,1)*IF(HD137&lt;&gt;0,HD137,1)</f>
        <v>1</v>
      </c>
      <c r="HF137" s="920" t="str">
        <f t="shared" ref="HF137:HF139" si="1228">IF($IW137=$MJ$15,IF(MK137="","",MK137),IF(IY137="","",IY137))</f>
        <v/>
      </c>
      <c r="HG137" s="94" t="str">
        <f t="shared" ref="HG137:HG139" si="1229">IF($IW137=$MJ$15,IF($MJ137=1,$MS137,""),IF(IZ137="","",IZ137))</f>
        <v/>
      </c>
      <c r="HH137" s="95" t="str">
        <f t="shared" ref="HH137:HH139" si="1230">IF($IW137=$MJ$15,IF($MJ137=2,$MS137,""),IF(JA137="","",JA137))</f>
        <v>Podložka</v>
      </c>
      <c r="HI137" s="95" t="str">
        <f t="shared" ref="HI137:HI139" si="1231">IF($IW137=$MJ$15,IF($MJ137=3,$MS137,""),IF(JB137="","",JB137))</f>
        <v/>
      </c>
      <c r="HJ137" s="96" t="str">
        <f t="shared" ref="HJ137:HJ139" si="1232">IF($IW137=$MJ$15,IF($MJ137=4,$MS137,""),IF(JC137="","",JC137))</f>
        <v/>
      </c>
      <c r="HK137" s="96" t="str">
        <f t="shared" ref="HK137:HK139" si="1233">IF($IW137=$MJ$15,IF($MJ137=5,$MS137,""),IF(JD137="","",JD137))</f>
        <v/>
      </c>
      <c r="HL137" s="96" t="str">
        <f t="shared" ref="HL137:HL139" si="1234">IF($IW137=$MJ$15,IF($MJ137=6,$MS137,""),IF(JE137="","",JE137))</f>
        <v/>
      </c>
      <c r="HM137" s="96" t="str">
        <f t="shared" ref="HM137:HM139" si="1235">IF($IW137=$MJ$15,IF($MJ137=7,$MS137,""),IF(JF137="","",JF137))</f>
        <v/>
      </c>
      <c r="HN137" s="96" t="str">
        <f t="shared" ref="HN137:HN139" si="1236">IF($IW137=$MJ$15,IF($MJ137=8,$MS137,""),IF(JG137="","",JG137))</f>
        <v/>
      </c>
      <c r="HO137" s="96" t="str">
        <f t="shared" ref="HO137:HO139" si="1237">IF($IW137=$MJ$15,IF($MJ137=9,$MS137,""),IF(JH137="","",JH137))</f>
        <v/>
      </c>
      <c r="HP137" s="96" t="str">
        <f t="shared" ref="HP137:HP139" si="1238">IF($IW137=$MJ$15,IF($MJ137=10,$MS137,""),IF(JI137="","",JI137))</f>
        <v/>
      </c>
      <c r="HQ137" s="145" t="str">
        <f t="shared" ref="HQ137:HQ139" si="1239">IF($IW137=$MJ$15,IF(ML137="","N/A",ML137),IF(JJ137="","N/A",JJ137))</f>
        <v>STO3</v>
      </c>
      <c r="HR137" s="921" t="str">
        <f t="shared" ref="HR137:HR139" si="1240">IF($IW137=$MJ$15,IF(MM137="","",MM137),IF(JK137="","",JK137))</f>
        <v/>
      </c>
      <c r="HS137" s="173">
        <f t="shared" ref="HS137:HS139" si="1241">IF($IW137=$JL$15,JL137,IF($IW137=$KE$15,KE137,IF($IW137=$KX$15,KX137,IF($IW137=$LQ$15,LQ137,IF($IW137=$MJ$15,NE137,0)))))</f>
        <v>0</v>
      </c>
      <c r="HT137" s="100">
        <f t="shared" ref="HT137:HT139" si="1242">IF($IW137=$JL$15,JM137,IF($IW137=$KE$15,KF137,IF($IW137=$KX$15,KY137,IF($IW137=$LQ$15,LR137,IF($IW137=$MJ$15,NF137,0)))))</f>
        <v>0</v>
      </c>
      <c r="HU137" s="100">
        <f t="shared" ref="HU137:HU139" si="1243">IF($IW137=$JL$15,JN137,IF($IW137=$KE$15,KG137,IF($IW137=$KX$15,KZ137,IF($IW137=$LQ$15,LS137,IF($IW137=$MJ$15,NG137,0)))))</f>
        <v>0</v>
      </c>
      <c r="HV137" s="908">
        <f t="shared" ref="HV137:HV139" si="1244">IF($IW137=$JL$15,JU137,IF($IW137=$KE$15,KN137,IF($IW137=$KX$15,LG137,IF($IW137=$LQ$15,LZ137,IF($IW137=$MJ$15,NN137,0)))))</f>
        <v>0</v>
      </c>
      <c r="HW137" s="922">
        <f t="shared" ref="HW137:HW139" si="1245">IF($IW137=$JL$15,JV137,IF($IW137=$KE$15,KO137,IF($IW137=$KX$15,LH137,IF($IW137=$LQ$15,MA137,IF($IW137=$MJ$15,NO137,0)))))</f>
        <v>0</v>
      </c>
      <c r="HX137" s="224">
        <f t="shared" ref="HX137:HX139" si="1246">IF($IW137=$JL$15,JW137,IF($IW137=$KE$15,KP137,IF($IW137=$KX$15,LI137,IF($IW137=$LQ$15,MB137,IF($IW137=$MJ$15,NP137,0)))))</f>
        <v>0</v>
      </c>
      <c r="HY137" s="263" t="str">
        <f t="shared" ref="HY137:HY139" si="1247">IF($IW137=$JL$15,JS137,IF($IW137=$KE$15,KL137,IF($IW137=$KX$15,LE137,IF($IW137=$LQ$15,LX137,IF($IW137=$MJ$15,NL137,0)))))</f>
        <v>S</v>
      </c>
      <c r="HZ137" s="263">
        <f t="shared" ref="HZ137:HZ139" si="1248">IF($IW137=$JL$15,KC137,IF($IW137=$KE$15,KV137,IF($IW137=$KX$15,LO137,IF($IW137=$LQ$15,MH137,IF($IW137=$MJ$15,NV137,0)))))</f>
        <v>0</v>
      </c>
      <c r="IA137" s="150">
        <f t="shared" ref="IA137:IA139" si="1249">IF($IW137=$JL$15,JR137,IF($IW137=$KE$15,KK137,IF($IW137=$KX$15,LD137,IF($IW137=$LQ$15,LW137,IF($IW137=$MJ$15,NK137,0)))))</f>
        <v>1</v>
      </c>
      <c r="IB137" s="319">
        <f t="shared" ref="IB137:IB139" si="1250">IF($IW137=$JL$15,JZ137,IF($IW137=$KE$15,KS137,IF($IW137=$KX$15,LL137,IF($IW137=$LQ$15,ME137,IF($IW137=$MJ$15,NS137,0)))))</f>
        <v>0</v>
      </c>
      <c r="IC137" s="923">
        <f t="shared" ref="IC137:IC139" si="1251">IF($IW137=$JL$15,KB137,IF($IW137=$KE$15,KU137,IF($IW137=$KX$15,LN137,IF($IW137=$LQ$15,MG137,IF($IW137=$MJ$15,NU137,0)))))</f>
        <v>0</v>
      </c>
      <c r="ID137" s="924" t="str">
        <f t="shared" ref="ID137:ID139" ca="1" si="1252">IF((BH137+OFFSET(BH137,1,1,1,1))=2,"--",IF((BI137+OFFSET(BI137,1,1,1,1))=2,"--",IF((BJ137+OFFSET(BJ137,1,1,1,1))=2,"--",IF((BK137+OFFSET(BK137,1,1,1,1))=2,"--",IF((BL137+OFFSET(BL137,1,1,1,1))=2,"--",IF((BM137+OFFSET(BM137,1,1,1,1))=2,"--",IF((BN137+OFFSET(BN137,1,1,1,1))=2,"--",IF((BO137+OFFSET(BO137,1,1,1,1))=2,"--",IF((BP137+OFFSET(BP137,1,1,1,1))=2,"--",IF((BQ137+OFFSET(BQ137,1,1,1,1))=2,"--","OK"))))))))))</f>
        <v>OK</v>
      </c>
      <c r="IE137" s="201" t="str">
        <f t="shared" ref="IE137:IE139" si="1253">IF($IW137=$JL$15,JO137,IF($IW137=$KE$15,KH137,IF($IW137=$KX$15,LA137,IF($IW137=$LQ$15,LT137,IF($IW137=$MJ$15,NH137,0)))))</f>
        <v>ks</v>
      </c>
      <c r="IF137" s="145">
        <f t="shared" ref="IF137:IF139" si="1254">IF($IW137=$JL$15,JP137,IF($IW137=$KE$15,KI137,IF($IW137=$KX$15,LB137,IF($IW137=$LQ$15,LU137,IF($IW137=$MJ$15,NI137,0)))))</f>
        <v>2</v>
      </c>
      <c r="IG137" s="216">
        <f t="shared" ref="IG137:IG139" si="1255">IF($IW137=$JL$15,JQ137,IF($IW137=$KE$15,KJ137,IF($IW137=$KX$15,LC137,IF($IW137=$LQ$15,LV137,IF($IW137=$MJ$15,NJ137,0)))))</f>
        <v>79</v>
      </c>
      <c r="IH137" s="217">
        <f t="shared" ref="IH137:IH139" si="1256">IF(IA137=0,1,IA137)</f>
        <v>1</v>
      </c>
      <c r="II137" s="224" t="str">
        <f ca="1">IF(RZ[[#This Row],[Rozhodný sloupec indikativní ceny]]=1,"kg",IF($IW137=$JL$15,IF(JX137=0,JO137,JX137),IF($IW137=$KE$15,IF(KQ137=0,KH137,KQ137),IF($IW137=$KX$15,IF(LJ137=0,LA137,LJ137),IF($IW137=$LQ$15,IF(MC137=0,LT137,MC137),IF($IW137=$MJ$15,IF(NQ137=0,NH137,NQ137),0))))))</f>
        <v>kg</v>
      </c>
      <c r="IJ137" s="224">
        <f ca="1">IF((BH137+OFFSET(BH137,1,1,1,1))=2,RZ[[#This Row],[Počet MJHR (P0)]],IF((BI137+OFFSET(BI137,1,1,1,1))=2,RZ[[#This Row],[Počet MJHR (P0)]],IF((BJ137+OFFSET(BJ137,1,1,1,1))=2,RZ[[#This Row],[Počet MJHR (P0)]],IF((BK137+OFFSET(BK137,1,1,1,1))=2,RZ[[#This Row],[Počet MJHR (P0)]],IF((BL137+OFFSET(BL137,1,1,1,1))=2,RZ[[#This Row],[Počet MJHR (P0)]],IF((BM137+OFFSET(BM137,1,1,1,1))=2,RZ[[#This Row],[Počet MJHR (P0)]],IF((BN137+OFFSET(BN137,1,1,1,1))=2,RZ[[#This Row],[Počet MJHR (P0)]],IF((BO137+OFFSET(BO137,1,1,1,1))=2,RZ[[#This Row],[Počet MJHR (P0)]],IF((BP137+OFFSET(BP137,1,1,1,1))=2,RZ[[#This Row],[Počet MJHR (P0)]],IF((BQ137+OFFSET(BQ137,1,1,1,1))=2,RZ[[#This Row],[Počet MJHR (P0)]],IF(RZ[[#This Row],[Měrná jednotka CR (MJCR) (P0)]]=RZ[[#This Row],[Měrná jednotka HR '[MJHR'] (P0)]],RZ[[#This Row],[Počet MJHR (P0)]],IF($IW137=$JL$15,JY137,IF($IW137=$KE$15,KR137,IF($IW137=$KX$15,LK137,IF($IW137=$LQ$15,MD137,IF($IW137=$MJ$15,NR137,0))))))))))))))))</f>
        <v>0</v>
      </c>
      <c r="IK1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158</v>
      </c>
      <c r="IL137" s="145">
        <f ca="1">IF(AND(RZ[[#This Row],[Jednotková cena bez DPH '[cena/MJCR'] (P0)]]=0,RZ[[#This Row],[Indikativní jednotková cena '[CZK/kg'] (P1)]]&lt;&gt;0),1,0)</f>
        <v>1</v>
      </c>
      <c r="IM137" s="217">
        <f ca="1">VLOOKUP(RZ[[#This Row],[Kód položek]],INDIKAT_CENA,2,FALSE)</f>
        <v>85</v>
      </c>
      <c r="IN137" s="222">
        <f ca="1">IF(RZ[[#This Row],[Rozhodný sloupec indikativní ceny]]=1,RZ[[#This Row],[Indikativní jednotková cena '[CZK/kg'] (P1)]],RZ[[#This Row],[Jednotková cena bez DPH '[cena/MJCR'] (P0)]])</f>
        <v>85</v>
      </c>
      <c r="IO137" s="222">
        <f t="shared" ref="IO137:IO139" si="1257">IF(IC137=0,1,IC137)</f>
        <v>1</v>
      </c>
      <c r="IP137" s="224">
        <f ca="1">IF(RZ[[#This Row],[Rozhodný sloupec indikativní ceny]]=1,1,IF($IW137=$JL$15,KA137,IF($IW137=$KE$15,KT137,IF($IW137=$KX$15,LM137,IF($IW137=$LQ$15,MF137,IF($IW137=$MJ$15,NT137,0))))))</f>
        <v>1</v>
      </c>
      <c r="IQ137" s="225">
        <f ca="1">IF(RZ[[#This Row],[Jednotková cena bez DPH '[cena/MJCR'] (P1)]]="",0,IF(IP137=0,0,(RZ[[#This Row],[Jednotková cena bez DPH '[cena/MJCR'] (P1)]]*VLOOKUP(IP137,$BR$7:$BT$10,3))))</f>
        <v>85</v>
      </c>
      <c r="IR137" s="737"/>
      <c r="IS137" s="627">
        <f>IF(HY137=0,"",VLOOKUP(RZ[[#This Row],[Stav Projekce (P0)]],Vstupy!$E$11:'Vstupy'!$E$11:$H$17,4,FALSE))</f>
        <v>100</v>
      </c>
      <c r="IT137" s="925" t="str">
        <f>IF(RZ[[#This Row],[Stav Projekce (P0)]]=0,"",RZ[[#This Row],[Stav Projekce (P0)]])</f>
        <v>S</v>
      </c>
      <c r="IU137" s="925" t="str">
        <f>IF(RZ[[#This Row],[Stav Nákup (P0)]]=0,"",RZ[[#This Row],[Stav Nákup (P0)]])</f>
        <v/>
      </c>
      <c r="IV137" s="926" t="str">
        <f t="shared" ref="IV137:IV139" si="1258">IF(HV137=0,"",HV137)</f>
        <v/>
      </c>
      <c r="IW137" s="641">
        <v>1</v>
      </c>
      <c r="IX137" s="630"/>
      <c r="IY137" s="264"/>
      <c r="IZ137" s="648"/>
      <c r="JA137" s="100" t="s">
        <v>753</v>
      </c>
      <c r="JB137" s="100"/>
      <c r="JC137" s="100"/>
      <c r="JD137" s="100"/>
      <c r="JE137" s="100"/>
      <c r="JF137" s="100"/>
      <c r="JG137" s="100"/>
      <c r="JH137" s="100"/>
      <c r="JI137" s="100"/>
      <c r="JJ137" s="145" t="s">
        <v>784</v>
      </c>
      <c r="JK137" s="529"/>
      <c r="JL137" s="286"/>
      <c r="JM137" s="100"/>
      <c r="JN137" s="100"/>
      <c r="JO137" s="145" t="s">
        <v>35</v>
      </c>
      <c r="JP137" s="117">
        <v>2</v>
      </c>
      <c r="JQ137" s="117">
        <v>79</v>
      </c>
      <c r="JR137" s="148">
        <v>1</v>
      </c>
      <c r="JS137" s="145" t="s">
        <v>602</v>
      </c>
      <c r="JT137" s="631"/>
      <c r="JU137" s="148"/>
      <c r="JV137" s="154"/>
      <c r="JW137" s="145"/>
      <c r="JX137" s="210"/>
      <c r="JY137" s="117"/>
      <c r="JZ137" s="662"/>
      <c r="KA137" s="145"/>
      <c r="KB137" s="148"/>
      <c r="KC137" s="148"/>
      <c r="KD137" s="644"/>
      <c r="KE137" s="286"/>
      <c r="KF137" s="100"/>
      <c r="KG137" s="100"/>
      <c r="KH137" s="210"/>
      <c r="KI137" s="117"/>
      <c r="KJ137" s="117"/>
      <c r="KK137" s="148"/>
      <c r="KL137" s="145"/>
      <c r="KM137" s="632"/>
      <c r="KN137" s="148"/>
      <c r="KO137" s="154"/>
      <c r="KP137" s="154"/>
      <c r="KQ137" s="210"/>
      <c r="KR137" s="117"/>
      <c r="KS137" s="211"/>
      <c r="KT137" s="145"/>
      <c r="KU137" s="148"/>
      <c r="KV137" s="148"/>
      <c r="KW137" s="265"/>
      <c r="KX137" s="286"/>
      <c r="KY137" s="100"/>
      <c r="KZ137" s="100"/>
      <c r="LA137" s="210"/>
      <c r="LB137" s="117"/>
      <c r="LC137" s="117"/>
      <c r="LD137" s="148"/>
      <c r="LE137" s="145"/>
      <c r="LF137" s="632"/>
      <c r="LG137" s="148"/>
      <c r="LH137" s="154"/>
      <c r="LI137" s="154"/>
      <c r="LJ137" s="154"/>
      <c r="LK137" s="117"/>
      <c r="LL137" s="211"/>
      <c r="LM137" s="210"/>
      <c r="LN137" s="148"/>
      <c r="LO137" s="148"/>
      <c r="LP137" s="265"/>
      <c r="LQ137" s="286"/>
      <c r="LR137" s="100"/>
      <c r="LS137" s="100"/>
      <c r="LT137" s="210"/>
      <c r="LU137" s="117"/>
      <c r="LV137" s="117"/>
      <c r="LW137" s="148"/>
      <c r="LX137" s="145"/>
      <c r="LY137" s="632"/>
      <c r="LZ137" s="148"/>
      <c r="MA137" s="154"/>
      <c r="MB137" s="154"/>
      <c r="MC137" s="145"/>
      <c r="MD137" s="117"/>
      <c r="ME137" s="211"/>
      <c r="MF137" s="210"/>
      <c r="MG137" s="148"/>
      <c r="MH137" s="148"/>
      <c r="MI137" s="265"/>
      <c r="MJ137" s="647"/>
      <c r="MK137" s="264"/>
      <c r="ML137" s="153"/>
      <c r="MM137" s="153"/>
      <c r="MN137" s="153"/>
      <c r="MO137" s="153"/>
      <c r="MP137" s="153"/>
      <c r="MQ137" s="153"/>
      <c r="MR137" s="153"/>
      <c r="MS137" s="99"/>
      <c r="MT137" s="99"/>
      <c r="MU137" s="99"/>
      <c r="MV137" s="99"/>
      <c r="MW137" s="99"/>
      <c r="MX137" s="99"/>
      <c r="MY137" s="153"/>
      <c r="MZ137" s="153"/>
      <c r="NA137" s="153"/>
      <c r="NB137" s="153"/>
      <c r="NC137" s="153"/>
      <c r="ND137" s="153"/>
      <c r="NE137" s="153"/>
      <c r="NF137" s="153"/>
      <c r="NG137" s="153"/>
      <c r="NH137" s="330" t="str">
        <f t="shared" ref="NH137:NH139" si="1259">"ks"</f>
        <v>ks</v>
      </c>
      <c r="NI137" s="797">
        <f>RZ[[#This Row],[Počet ks (K)]]</f>
        <v>0</v>
      </c>
      <c r="NJ137" s="798">
        <f>RZ[[#This Row],[Hmotnost '[kg/ks'] (K)]]</f>
        <v>0</v>
      </c>
      <c r="NK137" s="153"/>
      <c r="NL137" s="153"/>
      <c r="NM137" s="632"/>
      <c r="NN137" s="153"/>
      <c r="NO137" s="153"/>
      <c r="NP137" s="153"/>
      <c r="NQ137" s="153"/>
      <c r="NR137" s="153"/>
      <c r="NS137" s="153"/>
      <c r="NT137" s="153"/>
      <c r="NU137" s="153"/>
      <c r="NV137" s="148"/>
      <c r="NW137" s="633"/>
    </row>
    <row r="138" spans="2:387" ht="15.95" customHeight="1" x14ac:dyDescent="0.35">
      <c r="B138" s="118" t="str">
        <f t="shared" si="1152"/>
        <v/>
      </c>
      <c r="C1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8" s="262" t="str">
        <f t="shared" si="1153"/>
        <v xml:space="preserve">  Podložka</v>
      </c>
      <c r="E138" s="120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Row],[Kód položek (P2)]]))))))))))</f>
        <v>STO3</v>
      </c>
      <c r="F138" s="791" t="str">
        <f t="shared" si="1154"/>
        <v>N/A</v>
      </c>
      <c r="G138" s="792" t="str">
        <f t="shared" si="1155"/>
        <v/>
      </c>
      <c r="H138" s="262" t="str">
        <f t="shared" si="1156"/>
        <v/>
      </c>
      <c r="I138" s="123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HR '[MJHR'] (P0)]]))))))))))</f>
        <v>ks</v>
      </c>
      <c r="J138" s="123">
        <f t="shared" si="1157"/>
        <v>6</v>
      </c>
      <c r="K138" s="793">
        <f>RZ[[#This Row],[Koeficient odhadu HR '[-'] (P1)]]</f>
        <v>1</v>
      </c>
      <c r="L138" s="124">
        <f ca="1">RZ[[#This Row],[Jednotková hmotnost s koef. '[kg/MJHR'] (P0)]]</f>
        <v>4.0999999999999996</v>
      </c>
      <c r="M138" s="794">
        <f t="shared" ca="1" si="1158"/>
        <v>0</v>
      </c>
      <c r="N138" s="125">
        <f t="shared" ca="1" si="1159"/>
        <v>24.599999999999998</v>
      </c>
      <c r="O138" s="125">
        <f t="shared" ca="1" si="1160"/>
        <v>0</v>
      </c>
      <c r="P138" s="126" t="str">
        <f t="shared" si="1161"/>
        <v/>
      </c>
      <c r="Q138" s="795">
        <f ca="1">RZ[[#This Row],[Počet MJHR v rozpadu (P0)]]</f>
        <v>6</v>
      </c>
      <c r="R138" s="439" t="str">
        <f t="shared" si="1162"/>
        <v/>
      </c>
      <c r="S138" s="129" t="str">
        <f t="shared" si="1163"/>
        <v/>
      </c>
      <c r="T138" s="126" t="str">
        <f t="shared" si="1164"/>
        <v/>
      </c>
      <c r="U138" s="126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CR (MJCR) (P0)]]))))))))))</f>
        <v>kg</v>
      </c>
      <c r="V138" s="575">
        <f t="shared" ca="1" si="1165"/>
        <v>24.599999999999998</v>
      </c>
      <c r="W138" s="322">
        <f>RZ[[#This Row],[Koeficient odhadu CR '[-'] (P1)]]</f>
        <v>1</v>
      </c>
      <c r="X138" s="440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Row],[Jednotková cena bez DPH '[cena/MJCR'] (P1)]]*RZ[[#This Row],[Koeficient odhadu CR '[-']]]))))))))))</f>
        <v>85</v>
      </c>
      <c r="Y138" s="440">
        <f t="shared" ca="1" si="1166"/>
        <v>0</v>
      </c>
      <c r="Z138" s="142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VLOOKUP(IP138,$BR$7:$BS$11,2,FALSE)))))))))))</f>
        <v>CZK</v>
      </c>
      <c r="AA138" s="909">
        <f t="shared" ca="1" si="1167"/>
        <v>24.599999999999998</v>
      </c>
      <c r="AB138" s="910">
        <f ca="1">RZ[[#This Row],[Kumulovaný koeficient v rozpadu (P0)]]</f>
        <v>1</v>
      </c>
      <c r="AC138" s="261"/>
      <c r="AD138" s="796">
        <f ca="1">RZ[[#This Row],[Jednotková cena bez DPH '[cena/MJCR'] s koef. (P0)]]/RZ[[#This Row],[Koeficient odhadu CR '[-']]]*RZ[[#This Row],[Kumulovaný koeficient odhadu CR  '[-']]]</f>
        <v>85</v>
      </c>
      <c r="AE138" s="796">
        <f t="shared" ca="1" si="1168"/>
        <v>2091</v>
      </c>
      <c r="AF138" s="796">
        <f ca="1">-IF(ISNUMBER(AA138),RZ[[#This Row],[Celková cena bez DPH (1)]]-RZ[[#This Row],[Jednotková cena bez DPH '[cena/MJCR'] bez koef. (P0)]]*AA138,0)</f>
        <v>0</v>
      </c>
      <c r="AG1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8" s="261"/>
      <c r="AI138" s="796">
        <f ca="1">AD138/VLOOKUP($AJ$13,KURZY,3,FALSE)</f>
        <v>3.1481481481481484</v>
      </c>
      <c r="AJ138" s="796">
        <f ca="1">AE138/VLOOKUP($AJ$13,KURZY,3,FALSE)*IF(V138="",0,1)</f>
        <v>77.444444444444443</v>
      </c>
      <c r="AK138" s="796">
        <f ca="1">AF138/VLOOKUP($AJ$13,KURZY,3,FALSE)</f>
        <v>0</v>
      </c>
      <c r="AL138" s="753">
        <f ca="1">RZ[[#This Row],[Kilogramová cena bez DPH '[cena/kg'] (1)]]/$AK$13</f>
        <v>3.1481481481481488</v>
      </c>
      <c r="AM138" s="261"/>
      <c r="AN138" s="796">
        <f ca="1">AD138/VLOOKUP($AO$13,KURZY,3,FALSE)</f>
        <v>4.1062801932367154</v>
      </c>
      <c r="AO138" s="796">
        <f ca="1">AE138/VLOOKUP($AO$13,KURZY,3,FALSE)*IF(V138="",0,1)</f>
        <v>101.01449275362319</v>
      </c>
      <c r="AP138" s="796">
        <f ca="1">AF138/VLOOKUP($AO$13,KURZY,3,FALSE)</f>
        <v>0</v>
      </c>
      <c r="AQ138" s="753">
        <f ca="1">RZ[[#This Row],[Kilogramová cena bez DPH '[cena/kg'] (1)]]/$AP$13</f>
        <v>4.1062801932367154</v>
      </c>
      <c r="AR138" s="261"/>
      <c r="AS138" s="796">
        <f ca="1">AD138/VLOOKUP($AT$13,KURZY,3,FALSE)</f>
        <v>2.324945295404814</v>
      </c>
      <c r="AT138" s="796">
        <f ca="1">AE138/VLOOKUP($AT$13,KURZY,3,FALSE)*IF(V138="",0,1)</f>
        <v>57.193654266958418</v>
      </c>
      <c r="AU138" s="789">
        <f ca="1">AF138/VLOOKUP($AT$13,KURZY,3,FALSE)</f>
        <v>0</v>
      </c>
      <c r="AV138" s="767">
        <f ca="1">RZ[[#This Row],[Kilogramová cena bez DPH '[cena/kg'] (1)]]/$AU$13</f>
        <v>2.3249452954048144</v>
      </c>
      <c r="AW138" s="165"/>
      <c r="AX138" s="911">
        <f t="shared" ca="1" si="1169"/>
        <v>2</v>
      </c>
      <c r="AY138" s="111">
        <f t="shared" ca="1" si="1170"/>
        <v>21</v>
      </c>
      <c r="AZ138" s="111">
        <f t="shared" ca="1" si="1171"/>
        <v>0</v>
      </c>
      <c r="BA138" s="111">
        <f t="shared" ca="1" si="1172"/>
        <v>0</v>
      </c>
      <c r="BB138" s="111">
        <f t="shared" ca="1" si="1173"/>
        <v>0</v>
      </c>
      <c r="BC138" s="111">
        <f t="shared" ca="1" si="1174"/>
        <v>0</v>
      </c>
      <c r="BD138" s="111">
        <f t="shared" ca="1" si="1175"/>
        <v>0</v>
      </c>
      <c r="BE138" s="111">
        <f t="shared" ca="1" si="1176"/>
        <v>0</v>
      </c>
      <c r="BF138" s="111">
        <f t="shared" ca="1" si="1177"/>
        <v>0</v>
      </c>
      <c r="BG138" s="112">
        <f t="shared" ca="1" si="1178"/>
        <v>0</v>
      </c>
      <c r="BH138" s="911">
        <f t="shared" si="1179"/>
        <v>0</v>
      </c>
      <c r="BI138" s="111">
        <f t="shared" si="1180"/>
        <v>1</v>
      </c>
      <c r="BJ138" s="111">
        <f t="shared" si="1181"/>
        <v>0</v>
      </c>
      <c r="BK138" s="111">
        <f t="shared" si="1182"/>
        <v>0</v>
      </c>
      <c r="BL138" s="111">
        <f t="shared" si="1183"/>
        <v>0</v>
      </c>
      <c r="BM138" s="111">
        <f t="shared" si="1184"/>
        <v>0</v>
      </c>
      <c r="BN138" s="111">
        <f t="shared" si="1185"/>
        <v>0</v>
      </c>
      <c r="BO138" s="111">
        <f t="shared" si="1186"/>
        <v>0</v>
      </c>
      <c r="BP138" s="111">
        <f t="shared" si="1187"/>
        <v>0</v>
      </c>
      <c r="BQ138" s="112">
        <f t="shared" si="1188"/>
        <v>0</v>
      </c>
      <c r="BR138" s="132">
        <f ca="1">IF(OFFSET(AY138,1,0,1,1)&lt;&gt;0,RZ[[#This Row],[Koeficient odhadu HR '[-'] (P1)]]*$BH138*SUMIFS(RZ[Úroveň 2 s koef. (P2)],RZ[0],AX138),RZ[[#This Row],[Koeficient odhadu HR '[-'] (P1)]]*$BH138*$IG138)</f>
        <v>0</v>
      </c>
      <c r="BS138" s="186">
        <f ca="1">IF(OFFSET(AY138,1,0,1,1)&lt;&gt;0,$BH138*SUMIFS(RZ[Úroveň 2 bez koef. (P2)],RZ[0],AX138),$BH138*$IG138)</f>
        <v>0</v>
      </c>
      <c r="BT138" s="138">
        <f ca="1">RZ[[#This Row],[Úroveň 2 s koef. (P2a)]]*RZ[[#This Row],[Počet MJHR (P0)]]</f>
        <v>24.599999999999998</v>
      </c>
      <c r="BU138" s="138">
        <f ca="1">RZ[[#This Row],[Úroveň 2 bez koef. (P2a)]]*RZ[[#This Row],[Počet MJHR (P0)]]</f>
        <v>24.599999999999998</v>
      </c>
      <c r="BV138" s="138">
        <f ca="1">IF(OFFSET(AZ138,1,0,1,1)&lt;&gt;0,RZ[[#This Row],[Koeficient odhadu HR '[-'] (P1)]]*$BI138*SUMIFS(RZ[Úroveň 3 s koef. (P2)],RZ[0],AX138,RZ[Úroveň 2 (P0)],AY138),RZ[[#This Row],[Koeficient odhadu HR '[-'] (P1)]]*$BI138*$IG138)</f>
        <v>4.0999999999999996</v>
      </c>
      <c r="BW138" s="138">
        <f ca="1">IF(OFFSET(AZ138,1,0,1,1)&lt;&gt;0,$BI138*SUMIFS(RZ[Úroveň 3 bez koef. (P2)],RZ[0],AX138,RZ[Úroveň 2 (P0)],AY138),$BI138*$IG138)</f>
        <v>4.0999999999999996</v>
      </c>
      <c r="BX138" s="132">
        <f ca="1">RZ[[#This Row],[Úroveň 3 s koef. (P2a)]]*RZ[[#This Row],[Počet MJHR (P0)]]</f>
        <v>0</v>
      </c>
      <c r="BY138" s="132">
        <f ca="1">RZ[Úroveň 3 bez koef. (P2a)]*RZ[[#This Row],[Počet MJHR (P0)]]</f>
        <v>0</v>
      </c>
      <c r="BZ138" s="132">
        <f ca="1">IF(OFFSET(BA138,1,0,1,1)&lt;&gt;0,RZ[[#This Row],[Koeficient odhadu HR '[-'] (P1)]]*$BJ138*SUMIFS(RZ[Úroveň 4 s koef. (P2)],RZ[0],AX138,RZ[Úroveň 2 (P0)],AY138,RZ[Úroveň 3 (P0)],AZ138),RZ[[#This Row],[Koeficient odhadu HR '[-'] (P1)]]*$BJ138*$IG138)</f>
        <v>0</v>
      </c>
      <c r="CA138" s="132">
        <f ca="1">IF(OFFSET(BA138,1,0,1,1)&lt;&gt;0,$BJ138*SUMIFS(RZ[Úroveň 4 bez koef. (P2)],RZ[0],AX138,RZ[Úroveň 2 (P0)],AY138,RZ[Úroveň 3 (P0)],AZ138),$BJ138*$IG138)</f>
        <v>0</v>
      </c>
      <c r="CB138" s="138">
        <f ca="1">RZ[[#This Row],[Úroveň 4 s koef. (P2a)]]*RZ[[#This Row],[Počet MJHR (P0)]]</f>
        <v>0</v>
      </c>
      <c r="CC138" s="138">
        <f ca="1">RZ[Úroveň 4 bez koef. (P2a)]*RZ[[#This Row],[Počet MJHR (P0)]]</f>
        <v>0</v>
      </c>
      <c r="CD138" s="138">
        <f ca="1">IF(OFFSET(BB138,1,0,1,1)&lt;&gt;0,RZ[[#This Row],[Koeficient odhadu HR '[-'] (P1)]]*$BK138*SUMIFS(RZ[Úroveň 5 s koef. (P2)],RZ[0],AX138,RZ[Úroveň 2 (P0)],AY138,RZ[Úroveň 3 (P0)],AZ138,RZ[Úroveň 4 (P0)],BA138),RZ[[#This Row],[Koeficient odhadu HR '[-'] (P1)]]*$BK138*$IG138)</f>
        <v>0</v>
      </c>
      <c r="CE138" s="138">
        <f ca="1">IF(OFFSET(BB138,1,0,1,1)&lt;&gt;0,$BK138*SUMIFS(RZ[Úroveň 5 bez koef. (P2)],RZ[0],AX138,RZ[Úroveň 2 (P0)],AY138,RZ[Úroveň 3 (P0)],AZ138,RZ[Úroveň 4 (P0)],BA138),$BK138*$IG138)</f>
        <v>0</v>
      </c>
      <c r="CF138" s="132">
        <f ca="1">RZ[[#This Row],[Úroveň 5 s koef. (P2a)]]*RZ[[#This Row],[Počet MJHR (P0)]]</f>
        <v>0</v>
      </c>
      <c r="CG138" s="132">
        <f ca="1">RZ[Úroveň 5 bez koef. (P2a)]*RZ[[#This Row],[Počet MJHR (P0)]]</f>
        <v>0</v>
      </c>
      <c r="CH138" s="132">
        <f ca="1">IF(OFFSET(BC138,1,0,1,1)&lt;&gt;0,RZ[[#This Row],[Koeficient odhadu HR '[-'] (P1)]]*$BL138*SUMIFS(RZ[Úroveň 6 s koef. (P2)],RZ[0],AX138,RZ[Úroveň 2 (P0)],AY138,RZ[Úroveň 3 (P0)],AZ138,RZ[Úroveň 4 (P0)],BA138,RZ[Úroveň 5 (P0)],BB138),RZ[[#This Row],[Koeficient odhadu HR '[-'] (P1)]]*$BL138*$IG138)</f>
        <v>0</v>
      </c>
      <c r="CI138" s="132">
        <f ca="1">IF(OFFSET(BC138,1,0,1,1)&lt;&gt;0,$BL138*SUMIFS(RZ[Úroveň 6 bez koef. (P2)],RZ[0],AX138,RZ[Úroveň 2 (P0)],AY138,RZ[Úroveň 3 (P0)],AZ138,RZ[Úroveň 4 (P0)],BA138,RZ[Úroveň 5 (P0)],BB138),$BL138*$IG138)</f>
        <v>0</v>
      </c>
      <c r="CJ138" s="138">
        <f ca="1">RZ[[#This Row],[Úroveň 6 s koef. (P2a)]]*RZ[[#This Row],[Počet MJHR (P0)]]</f>
        <v>0</v>
      </c>
      <c r="CK138" s="138">
        <f ca="1">RZ[Úroveň 6 bez koef. (P2a)]*RZ[[#This Row],[Počet MJHR (P0)]]</f>
        <v>0</v>
      </c>
      <c r="CL138" s="138">
        <f ca="1">IF(OFFSET(BD138,1,0,1,1)&lt;&gt;0,RZ[[#This Row],[Koeficient odhadu HR '[-'] (P1)]]*$BM138*SUMIFS(RZ[Úroveň 7 s koef. (P2)],RZ[0],AX138,RZ[Úroveň 2 (P0)],AY138,RZ[Úroveň 3 (P0)],AZ138,RZ[Úroveň 4 (P0)],BA138,RZ[Úroveň 5 (P0)],BB138,RZ[Úroveň 6 (P0)],BC138),RZ[[#This Row],[Koeficient odhadu HR '[-'] (P1)]]*$BM138*$IG138)</f>
        <v>0</v>
      </c>
      <c r="CM138" s="138">
        <f ca="1">IF(OFFSET(BD138,1,0,1,1)&lt;&gt;0,$BM138*SUMIFS(RZ[Úroveň 7 bez koef. (P2)],RZ[0],AX138,RZ[Úroveň 2 (P0)],AY138,RZ[Úroveň 3 (P0)],AZ138,RZ[Úroveň 4 (P0)],BA138,RZ[Úroveň 5 (P0)],BB138,RZ[Úroveň 6 (P0)],BC138),$BM138*$IG138)</f>
        <v>0</v>
      </c>
      <c r="CN138" s="132">
        <f ca="1">RZ[[#This Row],[Úroveň 7 s koef. (P2a)]]*RZ[[#This Row],[Počet MJHR (P0)]]</f>
        <v>0</v>
      </c>
      <c r="CO138" s="132">
        <f ca="1">RZ[Úroveň 7 bez koef. (P2a)]*RZ[[#This Row],[Počet MJHR (P0)]]</f>
        <v>0</v>
      </c>
      <c r="CP138" s="132">
        <f ca="1">IF(OFFSET(BE138,1,0,1,1)&lt;&gt;0,RZ[[#This Row],[Koeficient odhadu HR '[-'] (P1)]]*$BN138*SUMIFS(RZ[Úroveň 8 s koef. (P2)],RZ[0],AX138,RZ[Úroveň 2 (P0)],AY138,RZ[Úroveň 3 (P0)],AZ138,RZ[Úroveň 4 (P0)],BA138,RZ[Úroveň 5 (P0)],BB138,RZ[Úroveň 6 (P0)],BC138,RZ[Úroveň 7 (P0)],BD138),RZ[[#This Row],[Koeficient odhadu HR '[-'] (P1)]]*$BN138*$IG138)</f>
        <v>0</v>
      </c>
      <c r="CQ138" s="132">
        <f ca="1">IF(OFFSET(BE138,1,0,1,1)&lt;&gt;0,$BN138*SUMIFS(RZ[Úroveň 8 bez koef. (P2)],RZ[0],AX138,RZ[Úroveň 2 (P0)],AY138,RZ[Úroveň 3 (P0)],AZ138,RZ[Úroveň 4 (P0)],BA138,RZ[Úroveň 5 (P0)],BB138,RZ[Úroveň 6 (P0)],BC138,RZ[Úroveň 7 (P0)],BD138),$BN138*$IG138)</f>
        <v>0</v>
      </c>
      <c r="CR138" s="138">
        <f ca="1">RZ[[#This Row],[Úroveň 8 s koef. (P2a)]]*RZ[[#This Row],[Počet MJHR (P0)]]</f>
        <v>0</v>
      </c>
      <c r="CS138" s="138">
        <f ca="1">RZ[Úroveň 8 bez koef. (P2a)]*RZ[[#This Row],[Počet MJHR (P0)]]</f>
        <v>0</v>
      </c>
      <c r="CT138" s="138">
        <f ca="1">IF(OFFSET(BF138,1,0,1,1)&lt;&gt;0,RZ[[#This Row],[Koeficient odhadu HR '[-'] (P1)]]*$BO138*SUMIFS(RZ[Úroveň 9 s koef. (P2)],RZ[0],AX138,RZ[Úroveň 2 (P0)],AY138,RZ[Úroveň 3 (P0)],AZ138,RZ[Úroveň 4 (P0)],BA138,RZ[Úroveň 5 (P0)],BB138,RZ[Úroveň 6 (P0)],BC138,RZ[Úroveň 7 (P0)],BD138,RZ[Úroveň 8 (P0)],BE138),RZ[[#This Row],[Koeficient odhadu HR '[-'] (P1)]]*$BO138*$IG138)</f>
        <v>0</v>
      </c>
      <c r="CU138" s="138">
        <f ca="1">IF(OFFSET(BF138,1,0,1,1)&lt;&gt;0,$BO138*SUMIFS(RZ[Úroveň 9 bez koef. (P2)],RZ[0],AX138,RZ[Úroveň 2 (P0)],AY138,RZ[Úroveň 3 (P0)],AZ138,RZ[Úroveň 4 (P0)],BA138,RZ[Úroveň 5 (P0)],BB138,RZ[Úroveň 6 (P0)],BC138,RZ[Úroveň 7 (P0)],BD138,RZ[Úroveň 8 (P0)],BE138),$BO138*$IG138)</f>
        <v>0</v>
      </c>
      <c r="CV138" s="132">
        <f ca="1">RZ[[#This Row],[Úroveň 9 s koef. (P2a)]]*RZ[[#This Row],[Počet MJHR (P0)]]</f>
        <v>0</v>
      </c>
      <c r="CW138" s="132">
        <f ca="1">RZ[Úroveň 9 bez koef. (P2a)]*RZ[[#This Row],[Počet MJHR (P0)]]</f>
        <v>0</v>
      </c>
      <c r="CX138" s="132">
        <f ca="1">IF(OFFSET(BG138,1,0,1,1)&lt;&gt;0,RZ[[#This Row],[Koeficient odhadu HR '[-'] (P1)]]*$BP138*SUMIFS(RZ[Úroveň 10 s koef. (P2)],RZ[0],AX138,RZ[Úroveň 2 (P0)],AY138,RZ[Úroveň 3 (P0)],AZ138,RZ[Úroveň 4 (P0)],BA138,RZ[Úroveň 5 (P0)],BB138,RZ[Úroveň 6 (P0)],BC138,RZ[Úroveň 7 (P0)],BD138,RZ[Úroveň 8 (P0)],BE138,RZ[Úroveň 9 (P0)],BF138),RZ[[#This Row],[Koeficient odhadu HR '[-'] (P1)]]*$BP138*$IG138)</f>
        <v>0</v>
      </c>
      <c r="CY138" s="132">
        <f ca="1">IF(OFFSET(BG138,1,0,1,1)&lt;&gt;0,$BP138*SUMIFS(RZ[Úroveň 10 bez koef. (P2)],RZ[0],AX138,RZ[Úroveň 2 (P0)],AY138,RZ[Úroveň 3 (P0)],AZ138,RZ[Úroveň 4 (P0)],BA138,RZ[Úroveň 5 (P0)],BB138,RZ[Úroveň 6 (P0)],BC138,RZ[Úroveň 7 (P0)],BD138,RZ[Úroveň 8 (P0)],BE138,RZ[Úroveň 9 (P0)],BF138),$BP138*$IG138)</f>
        <v>0</v>
      </c>
      <c r="CZ138" s="138">
        <f>RZ[[#This Row],[Úroveň 10 s koef. (P2a)]]*RZ[[#This Row],[Počet MJHR (P0)]]</f>
        <v>0</v>
      </c>
      <c r="DA138" s="138">
        <f>RZ[Úroveň 10 bez koef. (P2a)]*RZ[[#This Row],[Počet MJHR (P0)]]</f>
        <v>0</v>
      </c>
      <c r="DB138" s="138">
        <f>RZ[[#This Row],[Koeficient odhadu HR '[-'] (P1)]]*$BQ138*IG138</f>
        <v>0</v>
      </c>
      <c r="DC138" s="231">
        <f t="shared" si="1189"/>
        <v>0</v>
      </c>
      <c r="DD138" s="241">
        <f t="shared" ca="1" si="1190"/>
        <v>4.0999999999999996</v>
      </c>
      <c r="DE138" s="229">
        <f t="shared" ca="1" si="1191"/>
        <v>4.0999999999999996</v>
      </c>
      <c r="DF138" s="912">
        <f t="shared" si="1192"/>
        <v>0</v>
      </c>
      <c r="DG138" s="913">
        <f t="shared" si="1193"/>
        <v>6</v>
      </c>
      <c r="DH138" s="913">
        <f t="shared" si="1194"/>
        <v>0</v>
      </c>
      <c r="DI138" s="913">
        <f t="shared" si="1195"/>
        <v>0</v>
      </c>
      <c r="DJ138" s="913">
        <f t="shared" si="1196"/>
        <v>0</v>
      </c>
      <c r="DK138" s="913">
        <f t="shared" si="1197"/>
        <v>0</v>
      </c>
      <c r="DL138" s="913">
        <f t="shared" si="1198"/>
        <v>0</v>
      </c>
      <c r="DM138" s="913">
        <f t="shared" si="1199"/>
        <v>0</v>
      </c>
      <c r="DN138" s="913">
        <f t="shared" si="1200"/>
        <v>0</v>
      </c>
      <c r="DO138" s="913">
        <f t="shared" si="1201"/>
        <v>0</v>
      </c>
      <c r="DP138" s="914">
        <f ca="1">SUMIFS(RZ[Úroveň 1 (P4)],RZ[0],AX138)</f>
        <v>1</v>
      </c>
      <c r="DQ138" s="914">
        <f ca="1">SUMIFS(RZ[Úroveň 2 (P4)],RZ[0],AX138,RZ[Úroveň 2 (P0)],AY138)</f>
        <v>6</v>
      </c>
      <c r="DR138" s="914">
        <f ca="1">SUMIFS(RZ[Úroveň 3 (P4)],RZ[0],AX138,RZ[Úroveň 2 (P0)],AY138,RZ[Úroveň 3 (P0)],AZ138)</f>
        <v>0</v>
      </c>
      <c r="DS138" s="914">
        <f ca="1">SUMIFS(RZ[Úroveň 4 (P4)],RZ[0],AX138,RZ[Úroveň 2 (P0)],AY138,RZ[Úroveň 3 (P0)],AZ138,RZ[Úroveň 4 (P0)],BA138)</f>
        <v>0</v>
      </c>
      <c r="DT138" s="914">
        <f ca="1">SUMIFS(RZ[Úroveň 5 (P4)],RZ[0],AX138,RZ[Úroveň 2 (P0)],AY138,RZ[Úroveň 3 (P0)],AZ138,RZ[Úroveň 4 (P0)],BA138,RZ[Úroveň 5 (P0)],BB138)</f>
        <v>0</v>
      </c>
      <c r="DU138" s="914">
        <f ca="1">SUMIFS(RZ[Úroveň 6 (P4)],RZ[0],AX138,RZ[Úroveň 2 (P0)],AY138,RZ[Úroveň 3 (P0)],AZ138,RZ[Úroveň 4 (P0)],BA138,RZ[Úroveň 5 (P0)],BB138,RZ[Úroveň 6 (P0)],BC138)</f>
        <v>0</v>
      </c>
      <c r="DV138" s="914">
        <f ca="1">SUMIFS(RZ[Úroveň 7 (P4)],RZ[0],AX138,RZ[Úroveň 2 (P0)],AY138,RZ[Úroveň 3 (P0)],AZ138,RZ[Úroveň 4 (P0)],BA138,RZ[Úroveň 5 (P0)],BB138,RZ[Úroveň 6 (P0)],BC138,RZ[Úroveň 7 (P0)],BD138)</f>
        <v>0</v>
      </c>
      <c r="DW138" s="914">
        <f ca="1">SUMIFS(RZ[Úroveň 8 (P4)],RZ[0],AX138,RZ[Úroveň 2 (P0)],AY138,RZ[Úroveň 3 (P0)],AZ138,RZ[Úroveň 4 (P0)],BA138,RZ[Úroveň 5 (P0)],BB138,RZ[Úroveň 6 (P0)],BC138,RZ[Úroveň 7 (P0)],BD138,RZ[Úroveň 8 (P0)],BE138)</f>
        <v>0</v>
      </c>
      <c r="DX138" s="914">
        <f ca="1">SUMIFS(RZ[Úroveň 9 (P4)],RZ[0],AX138,RZ[Úroveň 2 (P0)],AY138,RZ[Úroveň 3 (P0)],AZ138,RZ[Úroveň 4 (P0)],BA138,RZ[Úroveň 5 (P0)],BB138,RZ[Úroveň 6 (P0)],BC138,RZ[Úroveň 7 (P0)],BD138,RZ[Úroveň 8 (P0)],BE138,RZ[Úroveň 9 (P0)],BF138)</f>
        <v>0</v>
      </c>
      <c r="DY138" s="914">
        <f ca="1">SUMIFS(RZ[Úroveň 10 (P4)],RZ[0],AX138,RZ[Úroveň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DZ138" s="915">
        <f t="shared" ca="1" si="1202"/>
        <v>6</v>
      </c>
      <c r="EA138" s="916">
        <f ca="1">RZ[[#This Row],[Jednotková hmotnost bez koef. '[kg/MJHR'] (P0)]]*RZ[[#This Row],[Počet MJHR v rozpadu (P0)]]</f>
        <v>24.599999999999998</v>
      </c>
      <c r="EB138" s="917">
        <f ca="1">IF(OFFSET(AY138,1,0,1,1)&lt;&gt;0,RZ[[#This Row],[Koeficient odhadu CR '[-'] (P1)]]*$BH138*SUMIFS(RZ[Úroveň 2 s koef. (P3)],RZ[0],AX138),RZ[[#This Row],[Koeficient odhadu CR '[-'] (P1)]]*$BH138*$IQ138)</f>
        <v>0</v>
      </c>
      <c r="EC138" s="191">
        <f ca="1">IF(OFFSET(AY138,1,0,1,1)&lt;&gt;0,$BH138*SUMIFS(RZ[Úroveň 2 bez koef. (P3)],RZ[0],AX138),$BH138*$IQ138)</f>
        <v>0</v>
      </c>
      <c r="ED138" s="140">
        <f ca="1">RZ[[#This Row],[Úroveň 2 s koef. (P3a)]]*RZ[[#This Row],[Počet MJCR (P0) pro "kg"]]</f>
        <v>2091</v>
      </c>
      <c r="EE138" s="140">
        <f ca="1">RZ[Úroveň 2 bez koef. (P3a)]*RZ[[#This Row],[Počet MJCR (P0) pro "kg"]]</f>
        <v>2091</v>
      </c>
      <c r="EF138" s="140">
        <f ca="1">IF(OFFSET(AZ138,1,0,1,1)&lt;&gt;0,RZ[[#This Row],[Koeficient odhadu CR '[-'] (P1)]]*$BI138*SUMIFS(RZ[Úroveň 3 s koef. (P3)],RZ[0],AX138,RZ[Úroveň 2 (P0)],AY138),RZ[[#This Row],[Koeficient odhadu CR '[-'] (P1)]]*$BI138*$IQ138)</f>
        <v>85</v>
      </c>
      <c r="EG138" s="140">
        <f ca="1">IF(OFFSET(AZ138,1,0,1,1)&lt;&gt;0,$BI138*SUMIFS(RZ[Úroveň 3 bez koef. (P3)],RZ[0],AX138,RZ[Úroveň 2 (P0)],AY138),$BI138*$IQ138)</f>
        <v>85</v>
      </c>
      <c r="EH138" s="135">
        <f ca="1">RZ[[#This Row],[Úroveň 3 s koef. (P3a)]]*RZ[[#This Row],[Počet MJCR (P0) pro "kg"]]</f>
        <v>0</v>
      </c>
      <c r="EI138" s="135">
        <f ca="1">RZ[Úroveň 3 bez koef. (P3a)]*RZ[[#This Row],[Počet MJCR (P0) pro "kg"]]</f>
        <v>0</v>
      </c>
      <c r="EJ138" s="135">
        <f ca="1">IF(OFFSET(BA138,1,0,1,1)&lt;&gt;0,RZ[[#This Row],[Koeficient odhadu CR '[-'] (P1)]]*$BJ138*SUMIFS(RZ[Úroveň 4 s koef. (P3)],RZ[0],AX138,RZ[Úroveň 2 (P0)],AY138,RZ[Úroveň 3 (P0)],AZ138),RZ[[#This Row],[Koeficient odhadu CR '[-'] (P1)]]*$BJ138*$IQ138)</f>
        <v>0</v>
      </c>
      <c r="EK138" s="135">
        <f ca="1">IF(OFFSET(BA138,1,0,1,1)&lt;&gt;0,$BJ138*SUMIFS(RZ[Úroveň 4 bez koef. (P3)],RZ[0],AX138,RZ[Úroveň 2 (P0)],AY138,RZ[Úroveň 3 (P0)],AZ138),$BJ138*$IQ138)</f>
        <v>0</v>
      </c>
      <c r="EL138" s="140">
        <f ca="1">RZ[[#This Row],[Úroveň 4 s koef. (P3a)]]*RZ[[#This Row],[Počet MJCR (P0) pro "kg"]]</f>
        <v>0</v>
      </c>
      <c r="EM138" s="140">
        <f ca="1">RZ[Úroveň 4 bez koef. (P3a)]*RZ[[#This Row],[Počet MJCR (P0) pro "kg"]]</f>
        <v>0</v>
      </c>
      <c r="EN138" s="140">
        <f ca="1">IF(OFFSET(BB138,1,0,1,1)&lt;&gt;0,RZ[[#This Row],[Koeficient odhadu CR '[-'] (P1)]]*$BK138*SUMIFS(RZ[Úroveň 5 s koef. (P3)],RZ[0],AX138,RZ[Úroveň 2 (P0)],AY138,RZ[Úroveň 3 (P0)],AZ138,RZ[Úroveň 4 (P0)],BA138),RZ[[#This Row],[Koeficient odhadu CR '[-'] (P1)]]*$BK138*$IQ138)</f>
        <v>0</v>
      </c>
      <c r="EO138" s="140">
        <f ca="1">IF(OFFSET(BB138,1,0,1,1)&lt;&gt;0,$BK138*SUMIFS(RZ[Úroveň 5 bez koef. (P3)],RZ[0],AX138,RZ[Úroveň 2 (P0)],AY138,RZ[Úroveň 3 (P0)],AZ138,RZ[Úroveň 4 (P0)],BA138),$BK138*$IQ138)</f>
        <v>0</v>
      </c>
      <c r="EP138" s="135">
        <f ca="1">RZ[[#This Row],[Úroveň 5 s koef. (P3a)]]*RZ[[#This Row],[Počet MJCR (P0) pro "kg"]]</f>
        <v>0</v>
      </c>
      <c r="EQ138" s="135">
        <f ca="1">RZ[Úroveň 5 bez koef. (P3a)]*RZ[[#This Row],[Počet MJCR (P0) pro "kg"]]</f>
        <v>0</v>
      </c>
      <c r="ER138" s="135">
        <f ca="1">IF(OFFSET(BC138,1,0,1,1)&lt;&gt;0,RZ[[#This Row],[Koeficient odhadu CR '[-'] (P1)]]*$BL138*SUMIFS(RZ[Úroveň 6 s koef. (P3)],RZ[0],AX138,RZ[Úroveň 2 (P0)],AY138,RZ[Úroveň 3 (P0)],AZ138,RZ[Úroveň 4 (P0)],BA138,RZ[Úroveň 5 (P0)],BB138),RZ[[#This Row],[Koeficient odhadu CR '[-'] (P1)]]*$BL138*$IQ138)</f>
        <v>0</v>
      </c>
      <c r="ES138" s="135">
        <f ca="1">IF(OFFSET(BC138,1,0,1,1)&lt;&gt;0,$BL138*SUMIFS(RZ[Úroveň 6 bez koef. (P3)],RZ[0],AX138,RZ[Úroveň 2 (P0)],AY138,RZ[Úroveň 3 (P0)],AZ138,RZ[Úroveň 4 (P0)],BA138,RZ[Úroveň 5 (P0)],BB138),$BL138*$IQ138)</f>
        <v>0</v>
      </c>
      <c r="ET138" s="140">
        <f ca="1">RZ[[#This Row],[Úroveň 6 s koef. (P3a)]]*RZ[[#This Row],[Počet MJCR (P0) pro "kg"]]</f>
        <v>0</v>
      </c>
      <c r="EU138" s="140">
        <f ca="1">RZ[Úroveň 6 bez koef. (P3a)]*RZ[[#This Row],[Počet MJCR (P0) pro "kg"]]</f>
        <v>0</v>
      </c>
      <c r="EV138" s="140">
        <f ca="1">IF(OFFSET(BD138,1,0,1,1)&lt;&gt;0,RZ[[#This Row],[Koeficient odhadu CR '[-'] (P1)]]*$BM138*SUMIFS(RZ[Úroveň 7 s koef. (P3)],RZ[0],AX138,RZ[Úroveň 2 (P0)],AY138,RZ[Úroveň 3 (P0)],AZ138,RZ[Úroveň 4 (P0)],BA138,RZ[Úroveň 5 (P0)],BB138,RZ[Úroveň 6 (P0)],BC138),RZ[[#This Row],[Koeficient odhadu CR '[-'] (P1)]]*$BM138*$IQ138)</f>
        <v>0</v>
      </c>
      <c r="EW138" s="140">
        <f ca="1">IF(OFFSET(BD138,1,0,1,1)&lt;&gt;0,$BM138*SUMIFS(RZ[Úroveň 7 bez koef. (P3)],RZ[0],AX138,RZ[Úroveň 2 (P0)],AY138,RZ[Úroveň 3 (P0)],AZ138,RZ[Úroveň 4 (P0)],BA138,RZ[Úroveň 5 (P0)],BB138,RZ[Úroveň 6 (P0)],BC138),$BM138*$IQ138)</f>
        <v>0</v>
      </c>
      <c r="EX138" s="135">
        <f ca="1">RZ[[#This Row],[Úroveň 7 s koef. (P3a)]]*RZ[[#This Row],[Počet MJCR (P0) pro "kg"]]</f>
        <v>0</v>
      </c>
      <c r="EY138" s="135">
        <f ca="1">RZ[Úroveň 7 bez koef. (P3a)]*RZ[[#This Row],[Počet MJCR (P0) pro "kg"]]</f>
        <v>0</v>
      </c>
      <c r="EZ138" s="135">
        <f ca="1">IF(OFFSET(BE138,1,0,1,1)&lt;&gt;0,RZ[[#This Row],[Koeficient odhadu CR '[-'] (P1)]]*$BN138*SUMIFS(RZ[Úroveň 8 s koef. (P3)],RZ[0],AX138,RZ[Úroveň 2 (P0)],AY138,RZ[Úroveň 3 (P0)],AZ138,RZ[Úroveň 4 (P0)],BA138,RZ[Úroveň 5 (P0)],BB138,RZ[Úroveň 6 (P0)],BC138,RZ[Úroveň 7 (P0)],BD138),RZ[[#This Row],[Koeficient odhadu CR '[-'] (P1)]]*$BN138*$IQ138)</f>
        <v>0</v>
      </c>
      <c r="FA138" s="135">
        <f ca="1">IF(OFFSET(BE138,1,0,1,1)&lt;&gt;0,$BN138*SUMIFS(RZ[Úroveň 8 bez koef. (P3)],RZ[0],AX138,RZ[Úroveň 2 (P0)],AY138,RZ[Úroveň 3 (P0)],AZ138,RZ[Úroveň 4 (P0)],BA138,RZ[Úroveň 5 (P0)],BB138,RZ[Úroveň 6 (P0)],BC138,RZ[Úroveň 7 (P0)],BD138),$BN138*$IQ138)</f>
        <v>0</v>
      </c>
      <c r="FB138" s="140">
        <f ca="1">RZ[[#This Row],[Úroveň 8 s koef. (P3a)]]*RZ[[#This Row],[Počet MJCR (P0) pro "kg"]]</f>
        <v>0</v>
      </c>
      <c r="FC138" s="140">
        <f ca="1">RZ[Úroveň 8 bez koef. (P3a)]*RZ[[#This Row],[Počet MJCR (P0) pro "kg"]]</f>
        <v>0</v>
      </c>
      <c r="FD138" s="140">
        <f ca="1">IF(OFFSET(BF138,1,0,1,1)&lt;&gt;0,RZ[[#This Row],[Koeficient odhadu CR '[-'] (P1)]]*$BO138*SUMIFS(RZ[Úroveň 9 s koef. (P3)],RZ[0],AX138,RZ[Úroveň 2 (P0)],AY138,RZ[Úroveň 3 (P0)],AZ138,RZ[Úroveň 4 (P0)],BA138,RZ[Úroveň 5 (P0)],BB138,RZ[Úroveň 6 (P0)],BC138,RZ[Úroveň 7 (P0)],BD138,RZ[Úroveň 8 (P0)],BE138),RZ[[#This Row],[Koeficient odhadu CR '[-'] (P1)]]*$BO138*$IQ138)</f>
        <v>0</v>
      </c>
      <c r="FE138" s="140">
        <f ca="1">IF(OFFSET(BF138,1,0,1,1)&lt;&gt;0,$BO138*SUMIFS(RZ[Úroveň 9 bez koef. (P3)],RZ[0],AX138,RZ[Úroveň 2 (P0)],AY138,RZ[Úroveň 3 (P0)],AZ138,RZ[Úroveň 4 (P0)],BA138,RZ[Úroveň 5 (P0)],BB138,RZ[Úroveň 6 (P0)],BC138,RZ[Úroveň 7 (P0)],BD138,RZ[Úroveň 8 (P0)],BE138),$BO138*$IQ138)</f>
        <v>0</v>
      </c>
      <c r="FF138" s="135">
        <f ca="1">RZ[[#This Row],[Úroveň 9 s koef. (P3a)]]*RZ[[#This Row],[Počet MJCR (P0) pro "kg"]]</f>
        <v>0</v>
      </c>
      <c r="FG138" s="135">
        <f ca="1">RZ[Úroveň 9 bez koef. (P3a)]*RZ[[#This Row],[Počet MJCR (P0) pro "kg"]]</f>
        <v>0</v>
      </c>
      <c r="FH138" s="135">
        <f ca="1">IF(OFFSET(BG138,1,0,1,1)&lt;&gt;0,RZ[[#This Row],[Koeficient odhadu CR '[-'] (P1)]]*$BP138*SUMIFS(RZ[Úroveň 10 s koef. (P3)],RZ[0],AX138,RZ[Úroveň 2 (P0)],AY138,RZ[Úroveň 3 (P0)],AZ138,RZ[Úroveň 4 (P0)],BA138,RZ[Úroveň 5 (P0)],BB138,RZ[Úroveň 6 (P0)],BC138,RZ[Úroveň 7 (P0)],BD138,RZ[Úroveň 8 (P0)],BE138,RZ[Úroveň 9 (P0)],BF138),RZ[[#This Row],[Koeficient odhadu CR '[-'] (P1)]]*$BP138*$IQ138)</f>
        <v>0</v>
      </c>
      <c r="FI138" s="135">
        <f ca="1">IF(OFFSET(BG138,1,0,1,1)&lt;&gt;0,$BP138*SUMIFS(RZ[Úroveň 10 bez koef. (P3)],RZ[0],AX138,RZ[Úroveň 2 (P0)],AY138,RZ[Úroveň 3 (P0)],AZ138,RZ[Úroveň 4 (P0)],BA138,RZ[Úroveň 5 (P0)],BB138,RZ[Úroveň 6 (P0)],BC138,RZ[Úroveň 7 (P0)],BD138,RZ[Úroveň 8 (P0)],BE138,RZ[Úroveň 9 (P0)],BF138),$BP138*$IQ138)</f>
        <v>0</v>
      </c>
      <c r="FJ138" s="140">
        <f ca="1">RZ[[#This Row],[Úroveň 10 s koef. (P3a)]]*RZ[[#This Row],[Počet MJCR (P0) pro "kg"]]</f>
        <v>0</v>
      </c>
      <c r="FK138" s="140">
        <f ca="1">RZ[Úroveň 10 bez koef. (P3a)]*RZ[[#This Row],[Počet MJCR (P0) pro "kg"]]</f>
        <v>0</v>
      </c>
      <c r="FL138" s="140">
        <f ca="1">RZ[[#This Row],[Koeficient odhadu CR '[-'] (P1)]]*$BQ138*IQ138</f>
        <v>0</v>
      </c>
      <c r="FM138" s="236">
        <f t="shared" ca="1" si="1203"/>
        <v>0</v>
      </c>
      <c r="FN138" s="194">
        <f t="shared" ca="1" si="1204"/>
        <v>85</v>
      </c>
      <c r="FO138" s="238">
        <f t="shared" ca="1" si="1205"/>
        <v>85</v>
      </c>
      <c r="FP138" s="135">
        <f t="shared" ca="1" si="1206"/>
        <v>0</v>
      </c>
      <c r="FQ138" s="135">
        <f t="shared" ca="1" si="1207"/>
        <v>24.599999999999998</v>
      </c>
      <c r="FR138" s="135">
        <f t="shared" ca="1" si="1208"/>
        <v>0</v>
      </c>
      <c r="FS138" s="135">
        <f t="shared" ca="1" si="1209"/>
        <v>0</v>
      </c>
      <c r="FT138" s="135">
        <f t="shared" ca="1" si="1210"/>
        <v>0</v>
      </c>
      <c r="FU138" s="135">
        <f t="shared" ca="1" si="1211"/>
        <v>0</v>
      </c>
      <c r="FV138" s="135">
        <f t="shared" ca="1" si="1212"/>
        <v>0</v>
      </c>
      <c r="FW138" s="135">
        <f t="shared" ca="1" si="1213"/>
        <v>0</v>
      </c>
      <c r="FX138" s="135">
        <f t="shared" ca="1" si="1214"/>
        <v>0</v>
      </c>
      <c r="FY138" s="135">
        <f t="shared" ca="1" si="1215"/>
        <v>0</v>
      </c>
      <c r="FZ138" s="140">
        <f ca="1">SUMIFS(RZ[Úroveň 1 (P6)],RZ[0],AX138)</f>
        <v>1</v>
      </c>
      <c r="GA138" s="140">
        <f ca="1">SUMIFS(RZ[Úroveň 2 (P6)],RZ[0],AX138,RZ[Úroveň 2 (P0)],AY138)</f>
        <v>24.599999999999998</v>
      </c>
      <c r="GB138" s="140">
        <f ca="1">SUMIFS(RZ[Úroveň 3 (P6)],RZ[0],AX138,RZ[Úroveň 2 (P0)],AY138,RZ[Úroveň 3 (P0)],AZ138)</f>
        <v>0</v>
      </c>
      <c r="GC138" s="140">
        <f ca="1">SUMIFS(RZ[Úroveň 4 (P6)],RZ[0],AX138,RZ[Úroveň 2 (P0)],AY138,RZ[Úroveň 3 (P0)],AZ138,RZ[Úroveň 4 (P0)],BA138)</f>
        <v>0</v>
      </c>
      <c r="GD138" s="140">
        <f ca="1">SUMIFS(RZ[Úroveň 5 (P6)],RZ[0],AX138,RZ[Úroveň 2 (P0)],AY138,RZ[Úroveň 3 (P0)],AZ138,RZ[Úroveň 4 (P0)],BA138,RZ[Úroveň 5 (P0)],BB138)</f>
        <v>0</v>
      </c>
      <c r="GE138" s="140">
        <f ca="1">SUMIFS(RZ[Úroveň 6 (P6)],RZ[0],AX138,RZ[Úroveň 2 (P0)],AY138,RZ[Úroveň 3 (P0)],AZ138,RZ[Úroveň 4 (P0)],BA138,RZ[Úroveň 5 (P0)],BB138,RZ[Úroveň 6 (P0)],BC138)</f>
        <v>0</v>
      </c>
      <c r="GF138" s="140">
        <f ca="1">SUMIFS(RZ[Úroveň 7 (P6)],RZ[0],AX138,RZ[Úroveň 2 (P0)],AY138,RZ[Úroveň 3 (P0)],AZ138,RZ[Úroveň 4 (P0)],BA138,RZ[Úroveň 5 (P0)],BB138,RZ[Úroveň 6 (P0)],BC138,RZ[Úroveň 7 (P0)],BD138)</f>
        <v>0</v>
      </c>
      <c r="GG138" s="140">
        <f ca="1">SUMIFS(RZ[Úroveň 8 (P6)],RZ[0],AX138,RZ[Úroveň 2 (P0)],AY138,RZ[Úroveň 3 (P0)],AZ138,RZ[Úroveň 4 (P0)],BA138,RZ[Úroveň 5 (P0)],BB138,RZ[Úroveň 6 (P0)],BC138,RZ[Úroveň 7 (P0)],BD138,RZ[Úroveň 8 (P0)],BE138)</f>
        <v>0</v>
      </c>
      <c r="GH138" s="140">
        <f ca="1">SUMIFS(RZ[Úroveň 9 (P6)],RZ[0],AX138,RZ[Úroveň 2 (P0)],AY138,RZ[Úroveň 3 (P0)],AZ138,RZ[Úroveň 4 (P0)],BA138,RZ[Úroveň 5 (P0)],BB138,RZ[Úroveň 6 (P0)],BC138,RZ[Úroveň 7 (P0)],BD138,RZ[Úroveň 8 (P0)],BE138,RZ[Úroveň 9 (P0)],BF138)</f>
        <v>0</v>
      </c>
      <c r="GI138" s="140">
        <f ca="1">SUMIFS(RZ[Úroveň 10 (P6)],RZ[0],AX138,RZ[Úroveň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GJ138" s="918">
        <f t="shared" ca="1" si="1216"/>
        <v>24.599999999999998</v>
      </c>
      <c r="GK138" s="808">
        <f t="shared" si="1217"/>
        <v>0</v>
      </c>
      <c r="GL138" s="808">
        <f t="shared" si="1218"/>
        <v>1</v>
      </c>
      <c r="GM138" s="808">
        <f t="shared" si="1219"/>
        <v>0</v>
      </c>
      <c r="GN138" s="808">
        <f t="shared" si="1220"/>
        <v>0</v>
      </c>
      <c r="GO138" s="808">
        <f t="shared" si="1221"/>
        <v>0</v>
      </c>
      <c r="GP138" s="808">
        <f t="shared" si="1222"/>
        <v>0</v>
      </c>
      <c r="GQ138" s="808">
        <f t="shared" si="1223"/>
        <v>0</v>
      </c>
      <c r="GR138" s="808">
        <f t="shared" si="1224"/>
        <v>0</v>
      </c>
      <c r="GS138" s="808">
        <f t="shared" si="1225"/>
        <v>0</v>
      </c>
      <c r="GT138" s="808">
        <f t="shared" si="1226"/>
        <v>0</v>
      </c>
      <c r="GU138" s="809">
        <f ca="1">SUMIFS(RZ[Sloupec1],RZ[0],AX138)</f>
        <v>1</v>
      </c>
      <c r="GV138" s="809">
        <f ca="1">SUMIFS(RZ[Sloupec2],RZ[0],AX138,RZ[Úroveň 2 (P0)],AY138)</f>
        <v>1</v>
      </c>
      <c r="GW138" s="809">
        <f ca="1">SUMIFS(RZ[Sloupec3],RZ[0],AX138,RZ[Úroveň 2 (P0)],AY138,RZ[Úroveň 3 (P0)],AZ138)</f>
        <v>0</v>
      </c>
      <c r="GX138" s="809">
        <f ca="1">SUMIFS(RZ[Sloupec4],RZ[0],AX138,RZ[Úroveň 2 (P0)],AY138,RZ[Úroveň 3 (P0)],AZ138,RZ[Úroveň 4 (P0)],BA138)</f>
        <v>0</v>
      </c>
      <c r="GY138" s="809">
        <f ca="1">SUMIFS(RZ[Sloupec5],RZ[0],AX138,RZ[Úroveň 2 (P0)],AY138,RZ[Úroveň 3 (P0)],AZ138,RZ[Úroveň 4 (P0)],BA138,RZ[Úroveň 5 (P0)],BB138)</f>
        <v>0</v>
      </c>
      <c r="GZ138" s="809">
        <f ca="1">SUMIFS(RZ[Sloupec6],RZ[0],AX138,RZ[Úroveň 2 (P0)],AY138,RZ[Úroveň 3 (P0)],AZ138,RZ[Úroveň 4 (P0)],BA138,RZ[Úroveň 5 (P0)],BB138,RZ[Úroveň 6 (P0)],BC138)</f>
        <v>0</v>
      </c>
      <c r="HA138" s="809">
        <f ca="1">SUMIFS(RZ[Sloupec62],RZ[0],AX138,RZ[Úroveň 2 (P0)],AY138,RZ[Úroveň 3 (P0)],AZ138,RZ[Úroveň 4 (P0)],BA138,RZ[Úroveň 5 (P0)],BB138,RZ[Úroveň 6 (P0)],BC138,RZ[Úroveň 7 (P0)],BD138)</f>
        <v>0</v>
      </c>
      <c r="HB138" s="809">
        <f ca="1">SUMIFS(RZ[Sloupec63],RZ[0],AX138,RZ[Úroveň 2 (P0)],AY138,RZ[Úroveň 3 (P0)],AZ138,RZ[Úroveň 4 (P0)],BA138,RZ[Úroveň 5 (P0)],BB138,RZ[Úroveň 6 (P0)],BC138,RZ[Úroveň 7 (P0)],BD138,RZ[Úroveň 8 (P0)],BE138)</f>
        <v>0</v>
      </c>
      <c r="HC138" s="809">
        <f ca="1">SUMIFS(RZ[Sloupec64],RZ[0],AX138,RZ[Úroveň 2 (P0)],AY138,RZ[Úroveň 3 (P0)],AZ138,RZ[Úroveň 4 (P0)],BA138,RZ[Úroveň 5 (P0)],BB138,RZ[Úroveň 6 (P0)],BC138,RZ[Úroveň 7 (P0)],BD138,RZ[Úroveň 8 (P0)],BE138,RZ[Úroveň 9 (P0)],BF138)</f>
        <v>0</v>
      </c>
      <c r="HD138" s="809">
        <f ca="1">SUMIFS(RZ[Sloupec65],RZ[0],AX138,RZ[Úroveň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HE138" s="919">
        <f t="shared" ca="1" si="1227"/>
        <v>1</v>
      </c>
      <c r="HF138" s="920" t="str">
        <f t="shared" si="1228"/>
        <v/>
      </c>
      <c r="HG138" s="94" t="str">
        <f t="shared" si="1229"/>
        <v/>
      </c>
      <c r="HH138" s="95" t="str">
        <f t="shared" si="1230"/>
        <v>Podložka</v>
      </c>
      <c r="HI138" s="95" t="str">
        <f t="shared" si="1231"/>
        <v/>
      </c>
      <c r="HJ138" s="96" t="str">
        <f t="shared" si="1232"/>
        <v/>
      </c>
      <c r="HK138" s="96" t="str">
        <f t="shared" si="1233"/>
        <v/>
      </c>
      <c r="HL138" s="96" t="str">
        <f t="shared" si="1234"/>
        <v/>
      </c>
      <c r="HM138" s="96" t="str">
        <f t="shared" si="1235"/>
        <v/>
      </c>
      <c r="HN138" s="96" t="str">
        <f t="shared" si="1236"/>
        <v/>
      </c>
      <c r="HO138" s="96" t="str">
        <f t="shared" si="1237"/>
        <v/>
      </c>
      <c r="HP138" s="96" t="str">
        <f t="shared" si="1238"/>
        <v/>
      </c>
      <c r="HQ138" s="145" t="str">
        <f t="shared" si="1239"/>
        <v>STO3</v>
      </c>
      <c r="HR138" s="921" t="str">
        <f t="shared" si="1240"/>
        <v/>
      </c>
      <c r="HS138" s="173">
        <f t="shared" si="1241"/>
        <v>0</v>
      </c>
      <c r="HT138" s="100">
        <f t="shared" si="1242"/>
        <v>0</v>
      </c>
      <c r="HU138" s="100">
        <f t="shared" si="1243"/>
        <v>0</v>
      </c>
      <c r="HV138" s="908">
        <f t="shared" si="1244"/>
        <v>0</v>
      </c>
      <c r="HW138" s="922">
        <f t="shared" si="1245"/>
        <v>0</v>
      </c>
      <c r="HX138" s="224">
        <f t="shared" si="1246"/>
        <v>0</v>
      </c>
      <c r="HY138" s="263" t="str">
        <f t="shared" si="1247"/>
        <v>S</v>
      </c>
      <c r="HZ138" s="263">
        <f t="shared" si="1248"/>
        <v>0</v>
      </c>
      <c r="IA138" s="150">
        <f t="shared" si="1249"/>
        <v>1</v>
      </c>
      <c r="IB138" s="319">
        <f t="shared" si="1250"/>
        <v>0</v>
      </c>
      <c r="IC138" s="923">
        <f t="shared" si="1251"/>
        <v>0</v>
      </c>
      <c r="ID138" s="924" t="str">
        <f t="shared" ca="1" si="1252"/>
        <v>OK</v>
      </c>
      <c r="IE138" s="201" t="str">
        <f t="shared" si="1253"/>
        <v>ks</v>
      </c>
      <c r="IF138" s="145">
        <f t="shared" si="1254"/>
        <v>6</v>
      </c>
      <c r="IG138" s="216">
        <f t="shared" si="1255"/>
        <v>4.0999999999999996</v>
      </c>
      <c r="IH138" s="217">
        <f t="shared" si="1256"/>
        <v>1</v>
      </c>
      <c r="II138" s="224" t="str">
        <f ca="1">IF(RZ[[#This Row],[Rozhodný sloupec indikativní ceny]]=1,"kg",IF($IW138=$JL$15,IF(JX138=0,JO138,JX138),IF($IW138=$KE$15,IF(KQ138=0,KH138,KQ138),IF($IW138=$KX$15,IF(LJ138=0,LA138,LJ138),IF($IW138=$LQ$15,IF(MC138=0,LT138,MC138),IF($IW138=$MJ$15,IF(NQ138=0,NH138,NQ138),0))))))</f>
        <v>kg</v>
      </c>
      <c r="IJ138" s="224">
        <f ca="1">IF((BH138+OFFSET(BH138,1,1,1,1))=2,RZ[[#This Row],[Počet MJHR (P0)]],IF((BI138+OFFSET(BI138,1,1,1,1))=2,RZ[[#This Row],[Počet MJHR (P0)]],IF((BJ138+OFFSET(BJ138,1,1,1,1))=2,RZ[[#This Row],[Počet MJHR (P0)]],IF((BK138+OFFSET(BK138,1,1,1,1))=2,RZ[[#This Row],[Počet MJHR (P0)]],IF((BL138+OFFSET(BL138,1,1,1,1))=2,RZ[[#This Row],[Počet MJHR (P0)]],IF((BM138+OFFSET(BM138,1,1,1,1))=2,RZ[[#This Row],[Počet MJHR (P0)]],IF((BN138+OFFSET(BN138,1,1,1,1))=2,RZ[[#This Row],[Počet MJHR (P0)]],IF((BO138+OFFSET(BO138,1,1,1,1))=2,RZ[[#This Row],[Počet MJHR (P0)]],IF((BP138+OFFSET(BP138,1,1,1,1))=2,RZ[[#This Row],[Počet MJHR (P0)]],IF((BQ138+OFFSET(BQ138,1,1,1,1))=2,RZ[[#This Row],[Počet MJHR (P0)]],IF(RZ[[#This Row],[Měrná jednotka CR (MJCR) (P0)]]=RZ[[#This Row],[Měrná jednotka HR '[MJHR'] (P0)]],RZ[[#This Row],[Počet MJHR (P0)]],IF($IW138=$JL$15,JY138,IF($IW138=$KE$15,KR138,IF($IW138=$KX$15,LK138,IF($IW138=$LQ$15,MD138,IF($IW138=$MJ$15,NR138,0))))))))))))))))</f>
        <v>0</v>
      </c>
      <c r="IK1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24.599999999999998</v>
      </c>
      <c r="IL138" s="145">
        <f ca="1">IF(AND(RZ[[#This Row],[Jednotková cena bez DPH '[cena/MJCR'] (P0)]]=0,RZ[[#This Row],[Indikativní jednotková cena '[CZK/kg'] (P1)]]&lt;&gt;0),1,0)</f>
        <v>1</v>
      </c>
      <c r="IM138" s="217">
        <f ca="1">VLOOKUP(RZ[[#This Row],[Kód položek]],INDIKAT_CENA,2,FALSE)</f>
        <v>85</v>
      </c>
      <c r="IN138" s="222">
        <f ca="1">IF(RZ[[#This Row],[Rozhodný sloupec indikativní ceny]]=1,RZ[[#This Row],[Indikativní jednotková cena '[CZK/kg'] (P1)]],RZ[[#This Row],[Jednotková cena bez DPH '[cena/MJCR'] (P0)]])</f>
        <v>85</v>
      </c>
      <c r="IO138" s="222">
        <f t="shared" si="1257"/>
        <v>1</v>
      </c>
      <c r="IP138" s="224">
        <f ca="1">IF(RZ[[#This Row],[Rozhodný sloupec indikativní ceny]]=1,1,IF($IW138=$JL$15,KA138,IF($IW138=$KE$15,KT138,IF($IW138=$KX$15,LM138,IF($IW138=$LQ$15,MF138,IF($IW138=$MJ$15,NT138,0))))))</f>
        <v>1</v>
      </c>
      <c r="IQ138" s="225">
        <f ca="1">IF(RZ[[#This Row],[Jednotková cena bez DPH '[cena/MJCR'] (P1)]]="",0,IF(IP138=0,0,(RZ[[#This Row],[Jednotková cena bez DPH '[cena/MJCR'] (P1)]]*VLOOKUP(IP138,$BR$7:$BT$10,3))))</f>
        <v>85</v>
      </c>
      <c r="IR138" s="737"/>
      <c r="IS138" s="627">
        <f>IF(HY138=0,"",VLOOKUP(RZ[[#This Row],[Stav Projekce (P0)]],Vstupy!$E$11:'Vstupy'!$E$11:$H$17,4,FALSE))</f>
        <v>100</v>
      </c>
      <c r="IT138" s="925" t="str">
        <f>IF(RZ[[#This Row],[Stav Projekce (P0)]]=0,"",RZ[[#This Row],[Stav Projekce (P0)]])</f>
        <v>S</v>
      </c>
      <c r="IU138" s="925" t="str">
        <f>IF(RZ[[#This Row],[Stav Nákup (P0)]]=0,"",RZ[[#This Row],[Stav Nákup (P0)]])</f>
        <v/>
      </c>
      <c r="IV138" s="926" t="str">
        <f t="shared" si="1258"/>
        <v/>
      </c>
      <c r="IW138" s="641">
        <v>1</v>
      </c>
      <c r="IX138" s="630"/>
      <c r="IY138" s="264"/>
      <c r="IZ138" s="648"/>
      <c r="JA138" s="100" t="s">
        <v>753</v>
      </c>
      <c r="JB138" s="100"/>
      <c r="JC138" s="100"/>
      <c r="JD138" s="100"/>
      <c r="JE138" s="100"/>
      <c r="JF138" s="100"/>
      <c r="JG138" s="100"/>
      <c r="JH138" s="100"/>
      <c r="JI138" s="100"/>
      <c r="JJ138" s="145" t="s">
        <v>784</v>
      </c>
      <c r="JK138" s="529"/>
      <c r="JL138" s="286"/>
      <c r="JM138" s="100"/>
      <c r="JN138" s="100"/>
      <c r="JO138" s="145" t="s">
        <v>35</v>
      </c>
      <c r="JP138" s="117">
        <v>6</v>
      </c>
      <c r="JQ138" s="117">
        <v>4.0999999999999996</v>
      </c>
      <c r="JR138" s="148">
        <v>1</v>
      </c>
      <c r="JS138" s="145" t="s">
        <v>602</v>
      </c>
      <c r="JT138" s="631"/>
      <c r="JU138" s="148"/>
      <c r="JV138" s="154"/>
      <c r="JW138" s="145"/>
      <c r="JX138" s="210"/>
      <c r="JY138" s="117"/>
      <c r="JZ138" s="662"/>
      <c r="KA138" s="145"/>
      <c r="KB138" s="148"/>
      <c r="KC138" s="148"/>
      <c r="KD138" s="644"/>
      <c r="KE138" s="286"/>
      <c r="KF138" s="100"/>
      <c r="KG138" s="100"/>
      <c r="KH138" s="210"/>
      <c r="KI138" s="117"/>
      <c r="KJ138" s="117"/>
      <c r="KK138" s="148"/>
      <c r="KL138" s="145"/>
      <c r="KM138" s="632"/>
      <c r="KN138" s="148"/>
      <c r="KO138" s="154"/>
      <c r="KP138" s="154"/>
      <c r="KQ138" s="210"/>
      <c r="KR138" s="117"/>
      <c r="KS138" s="211"/>
      <c r="KT138" s="145"/>
      <c r="KU138" s="148"/>
      <c r="KV138" s="148"/>
      <c r="KW138" s="265"/>
      <c r="KX138" s="286"/>
      <c r="KY138" s="100"/>
      <c r="KZ138" s="100"/>
      <c r="LA138" s="210"/>
      <c r="LB138" s="117"/>
      <c r="LC138" s="117"/>
      <c r="LD138" s="148"/>
      <c r="LE138" s="145"/>
      <c r="LF138" s="632"/>
      <c r="LG138" s="148"/>
      <c r="LH138" s="154"/>
      <c r="LI138" s="154"/>
      <c r="LJ138" s="154"/>
      <c r="LK138" s="117"/>
      <c r="LL138" s="211"/>
      <c r="LM138" s="210"/>
      <c r="LN138" s="148"/>
      <c r="LO138" s="148"/>
      <c r="LP138" s="265"/>
      <c r="LQ138" s="286"/>
      <c r="LR138" s="100"/>
      <c r="LS138" s="100"/>
      <c r="LT138" s="210"/>
      <c r="LU138" s="117"/>
      <c r="LV138" s="117"/>
      <c r="LW138" s="148"/>
      <c r="LX138" s="145"/>
      <c r="LY138" s="632"/>
      <c r="LZ138" s="148"/>
      <c r="MA138" s="154"/>
      <c r="MB138" s="154"/>
      <c r="MC138" s="145"/>
      <c r="MD138" s="117"/>
      <c r="ME138" s="211"/>
      <c r="MF138" s="210"/>
      <c r="MG138" s="148"/>
      <c r="MH138" s="148"/>
      <c r="MI138" s="265"/>
      <c r="MJ138" s="647"/>
      <c r="MK138" s="264"/>
      <c r="ML138" s="153"/>
      <c r="MM138" s="153"/>
      <c r="MN138" s="153"/>
      <c r="MO138" s="153"/>
      <c r="MP138" s="153"/>
      <c r="MQ138" s="153"/>
      <c r="MR138" s="153"/>
      <c r="MS138" s="99"/>
      <c r="MT138" s="99"/>
      <c r="MU138" s="99"/>
      <c r="MV138" s="99"/>
      <c r="MW138" s="99"/>
      <c r="MX138" s="99"/>
      <c r="MY138" s="153"/>
      <c r="MZ138" s="153"/>
      <c r="NA138" s="153"/>
      <c r="NB138" s="153"/>
      <c r="NC138" s="153"/>
      <c r="ND138" s="153"/>
      <c r="NE138" s="153"/>
      <c r="NF138" s="153"/>
      <c r="NG138" s="153"/>
      <c r="NH138" s="330" t="str">
        <f t="shared" si="1259"/>
        <v>ks</v>
      </c>
      <c r="NI138" s="797">
        <f>RZ[[#This Row],[Počet ks (K)]]</f>
        <v>0</v>
      </c>
      <c r="NJ138" s="798">
        <f>RZ[[#This Row],[Hmotnost '[kg/ks'] (K)]]</f>
        <v>0</v>
      </c>
      <c r="NK138" s="153"/>
      <c r="NL138" s="153"/>
      <c r="NM138" s="632"/>
      <c r="NN138" s="153"/>
      <c r="NO138" s="153"/>
      <c r="NP138" s="153"/>
      <c r="NQ138" s="153"/>
      <c r="NR138" s="153"/>
      <c r="NS138" s="153"/>
      <c r="NT138" s="153"/>
      <c r="NU138" s="153"/>
      <c r="NV138" s="148"/>
      <c r="NW138" s="633"/>
    </row>
    <row r="139" spans="2:387" ht="15.95" customHeight="1" x14ac:dyDescent="0.35">
      <c r="B139" s="118" t="str">
        <f t="shared" si="1152"/>
        <v/>
      </c>
      <c r="C1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9" s="262" t="str">
        <f t="shared" si="1153"/>
        <v xml:space="preserve">  Šroub M24</v>
      </c>
      <c r="E139" s="120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Row],[Kód položek (P2)]]))))))))))</f>
        <v>STO3</v>
      </c>
      <c r="F139" s="791" t="str">
        <f t="shared" si="1154"/>
        <v>N/A</v>
      </c>
      <c r="G139" s="792" t="str">
        <f t="shared" si="1155"/>
        <v/>
      </c>
      <c r="H139" s="262" t="str">
        <f t="shared" si="1156"/>
        <v/>
      </c>
      <c r="I139" s="123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HR '[MJHR'] (P0)]]))))))))))</f>
        <v>ks</v>
      </c>
      <c r="J139" s="123">
        <f t="shared" si="1157"/>
        <v>6</v>
      </c>
      <c r="K139" s="793">
        <f>RZ[[#This Row],[Koeficient odhadu HR '[-'] (P1)]]</f>
        <v>1</v>
      </c>
      <c r="L139" s="124">
        <f ca="1">RZ[[#This Row],[Jednotková hmotnost s koef. '[kg/MJHR'] (P0)]]</f>
        <v>4.25</v>
      </c>
      <c r="M139" s="794">
        <f t="shared" ca="1" si="1158"/>
        <v>0</v>
      </c>
      <c r="N139" s="125">
        <f t="shared" ca="1" si="1159"/>
        <v>25.5</v>
      </c>
      <c r="O139" s="125">
        <f t="shared" ca="1" si="1160"/>
        <v>0</v>
      </c>
      <c r="P139" s="126" t="str">
        <f t="shared" si="1161"/>
        <v/>
      </c>
      <c r="Q139" s="795">
        <f ca="1">RZ[[#This Row],[Počet MJHR v rozpadu (P0)]]</f>
        <v>6</v>
      </c>
      <c r="R139" s="439" t="str">
        <f t="shared" si="1162"/>
        <v/>
      </c>
      <c r="S139" s="129" t="str">
        <f t="shared" si="1163"/>
        <v/>
      </c>
      <c r="T139" s="126" t="str">
        <f t="shared" si="1164"/>
        <v/>
      </c>
      <c r="U139" s="126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CR (MJCR) (P0)]]))))))))))</f>
        <v>kg</v>
      </c>
      <c r="V139" s="575">
        <f t="shared" ca="1" si="1165"/>
        <v>25.5</v>
      </c>
      <c r="W139" s="322">
        <f>RZ[[#This Row],[Koeficient odhadu CR '[-'] (P1)]]</f>
        <v>1</v>
      </c>
      <c r="X139" s="440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Row],[Jednotková cena bez DPH '[cena/MJCR'] (P1)]]*RZ[[#This Row],[Koeficient odhadu CR '[-']]]))))))))))</f>
        <v>85</v>
      </c>
      <c r="Y139" s="440">
        <f t="shared" ca="1" si="1166"/>
        <v>0</v>
      </c>
      <c r="Z139" s="142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VLOOKUP(IP139,$BR$7:$BS$11,2,FALSE)))))))))))</f>
        <v>CZK</v>
      </c>
      <c r="AA139" s="909">
        <f t="shared" ca="1" si="1167"/>
        <v>25.5</v>
      </c>
      <c r="AB139" s="910">
        <f ca="1">RZ[[#This Row],[Kumulovaný koeficient v rozpadu (P0)]]</f>
        <v>1</v>
      </c>
      <c r="AC139" s="261"/>
      <c r="AD139" s="796">
        <f ca="1">RZ[[#This Row],[Jednotková cena bez DPH '[cena/MJCR'] s koef. (P0)]]/RZ[[#This Row],[Koeficient odhadu CR '[-']]]*RZ[[#This Row],[Kumulovaný koeficient odhadu CR  '[-']]]</f>
        <v>85</v>
      </c>
      <c r="AE139" s="796">
        <f t="shared" ca="1" si="1168"/>
        <v>2167.5</v>
      </c>
      <c r="AF139" s="796">
        <f ca="1">-IF(ISNUMBER(AA139),RZ[[#This Row],[Celková cena bez DPH (1)]]-RZ[[#This Row],[Jednotková cena bez DPH '[cena/MJCR'] bez koef. (P0)]]*AA139,0)</f>
        <v>0</v>
      </c>
      <c r="AG1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9" s="261"/>
      <c r="AI139" s="796">
        <f ca="1">AD139/VLOOKUP($AJ$13,KURZY,3,FALSE)</f>
        <v>3.1481481481481484</v>
      </c>
      <c r="AJ139" s="796">
        <f ca="1">AE139/VLOOKUP($AJ$13,KURZY,3,FALSE)*IF(V139="",0,1)</f>
        <v>80.277777777777771</v>
      </c>
      <c r="AK139" s="796">
        <f ca="1">AF139/VLOOKUP($AJ$13,KURZY,3,FALSE)</f>
        <v>0</v>
      </c>
      <c r="AL139" s="753">
        <f ca="1">RZ[[#This Row],[Kilogramová cena bez DPH '[cena/kg'] (1)]]/$AK$13</f>
        <v>3.1481481481481484</v>
      </c>
      <c r="AM139" s="261"/>
      <c r="AN139" s="796">
        <f ca="1">AD139/VLOOKUP($AO$13,KURZY,3,FALSE)</f>
        <v>4.1062801932367154</v>
      </c>
      <c r="AO139" s="796">
        <f ca="1">AE139/VLOOKUP($AO$13,KURZY,3,FALSE)*IF(V139="",0,1)</f>
        <v>104.71014492753623</v>
      </c>
      <c r="AP139" s="796">
        <f ca="1">AF139/VLOOKUP($AO$13,KURZY,3,FALSE)</f>
        <v>0</v>
      </c>
      <c r="AQ139" s="753">
        <f ca="1">RZ[[#This Row],[Kilogramová cena bez DPH '[cena/kg'] (1)]]/$AP$13</f>
        <v>4.1062801932367154</v>
      </c>
      <c r="AR139" s="261"/>
      <c r="AS139" s="796">
        <f ca="1">AD139/VLOOKUP($AT$13,KURZY,3,FALSE)</f>
        <v>2.324945295404814</v>
      </c>
      <c r="AT139" s="796">
        <f ca="1">AE139/VLOOKUP($AT$13,KURZY,3,FALSE)*IF(V139="",0,1)</f>
        <v>59.286105032822753</v>
      </c>
      <c r="AU139" s="789">
        <f ca="1">AF139/VLOOKUP($AT$13,KURZY,3,FALSE)</f>
        <v>0</v>
      </c>
      <c r="AV139" s="767">
        <f ca="1">RZ[[#This Row],[Kilogramová cena bez DPH '[cena/kg'] (1)]]/$AU$13</f>
        <v>2.324945295404814</v>
      </c>
      <c r="AW139" s="165"/>
      <c r="AX139" s="911">
        <f t="shared" ca="1" si="1169"/>
        <v>2</v>
      </c>
      <c r="AY139" s="111">
        <f t="shared" ca="1" si="1170"/>
        <v>22</v>
      </c>
      <c r="AZ139" s="111">
        <f t="shared" ca="1" si="1171"/>
        <v>0</v>
      </c>
      <c r="BA139" s="111">
        <f t="shared" ca="1" si="1172"/>
        <v>0</v>
      </c>
      <c r="BB139" s="111">
        <f t="shared" ca="1" si="1173"/>
        <v>0</v>
      </c>
      <c r="BC139" s="111">
        <f t="shared" ca="1" si="1174"/>
        <v>0</v>
      </c>
      <c r="BD139" s="111">
        <f t="shared" ca="1" si="1175"/>
        <v>0</v>
      </c>
      <c r="BE139" s="111">
        <f t="shared" ca="1" si="1176"/>
        <v>0</v>
      </c>
      <c r="BF139" s="111">
        <f t="shared" ca="1" si="1177"/>
        <v>0</v>
      </c>
      <c r="BG139" s="112">
        <f t="shared" ca="1" si="1178"/>
        <v>0</v>
      </c>
      <c r="BH139" s="911">
        <f t="shared" si="1179"/>
        <v>0</v>
      </c>
      <c r="BI139" s="111">
        <f t="shared" si="1180"/>
        <v>1</v>
      </c>
      <c r="BJ139" s="111">
        <f t="shared" si="1181"/>
        <v>0</v>
      </c>
      <c r="BK139" s="111">
        <f t="shared" si="1182"/>
        <v>0</v>
      </c>
      <c r="BL139" s="111">
        <f t="shared" si="1183"/>
        <v>0</v>
      </c>
      <c r="BM139" s="111">
        <f t="shared" si="1184"/>
        <v>0</v>
      </c>
      <c r="BN139" s="111">
        <f t="shared" si="1185"/>
        <v>0</v>
      </c>
      <c r="BO139" s="111">
        <f t="shared" si="1186"/>
        <v>0</v>
      </c>
      <c r="BP139" s="111">
        <f t="shared" si="1187"/>
        <v>0</v>
      </c>
      <c r="BQ139" s="112">
        <f t="shared" si="1188"/>
        <v>0</v>
      </c>
      <c r="BR139" s="132">
        <f ca="1">IF(OFFSET(AY139,1,0,1,1)&lt;&gt;0,RZ[[#This Row],[Koeficient odhadu HR '[-'] (P1)]]*$BH139*SUMIFS(RZ[Úroveň 2 s koef. (P2)],RZ[0],AX139),RZ[[#This Row],[Koeficient odhadu HR '[-'] (P1)]]*$BH139*$IG139)</f>
        <v>0</v>
      </c>
      <c r="BS139" s="186">
        <f ca="1">IF(OFFSET(AY139,1,0,1,1)&lt;&gt;0,$BH139*SUMIFS(RZ[Úroveň 2 bez koef. (P2)],RZ[0],AX139),$BH139*$IG139)</f>
        <v>0</v>
      </c>
      <c r="BT139" s="138">
        <f ca="1">RZ[[#This Row],[Úroveň 2 s koef. (P2a)]]*RZ[[#This Row],[Počet MJHR (P0)]]</f>
        <v>25.5</v>
      </c>
      <c r="BU139" s="138">
        <f ca="1">RZ[[#This Row],[Úroveň 2 bez koef. (P2a)]]*RZ[[#This Row],[Počet MJHR (P0)]]</f>
        <v>25.5</v>
      </c>
      <c r="BV139" s="138">
        <f ca="1">IF(OFFSET(AZ139,1,0,1,1)&lt;&gt;0,RZ[[#This Row],[Koeficient odhadu HR '[-'] (P1)]]*$BI139*SUMIFS(RZ[Úroveň 3 s koef. (P2)],RZ[0],AX139,RZ[Úroveň 2 (P0)],AY139),RZ[[#This Row],[Koeficient odhadu HR '[-'] (P1)]]*$BI139*$IG139)</f>
        <v>4.25</v>
      </c>
      <c r="BW139" s="138">
        <f ca="1">IF(OFFSET(AZ139,1,0,1,1)&lt;&gt;0,$BI139*SUMIFS(RZ[Úroveň 3 bez koef. (P2)],RZ[0],AX139,RZ[Úroveň 2 (P0)],AY139),$BI139*$IG139)</f>
        <v>4.25</v>
      </c>
      <c r="BX139" s="132">
        <f ca="1">RZ[[#This Row],[Úroveň 3 s koef. (P2a)]]*RZ[[#This Row],[Počet MJHR (P0)]]</f>
        <v>0</v>
      </c>
      <c r="BY139" s="132">
        <f ca="1">RZ[Úroveň 3 bez koef. (P2a)]*RZ[[#This Row],[Počet MJHR (P0)]]</f>
        <v>0</v>
      </c>
      <c r="BZ139" s="132">
        <f ca="1">IF(OFFSET(BA139,1,0,1,1)&lt;&gt;0,RZ[[#This Row],[Koeficient odhadu HR '[-'] (P1)]]*$BJ139*SUMIFS(RZ[Úroveň 4 s koef. (P2)],RZ[0],AX139,RZ[Úroveň 2 (P0)],AY139,RZ[Úroveň 3 (P0)],AZ139),RZ[[#This Row],[Koeficient odhadu HR '[-'] (P1)]]*$BJ139*$IG139)</f>
        <v>0</v>
      </c>
      <c r="CA139" s="132">
        <f ca="1">IF(OFFSET(BA139,1,0,1,1)&lt;&gt;0,$BJ139*SUMIFS(RZ[Úroveň 4 bez koef. (P2)],RZ[0],AX139,RZ[Úroveň 2 (P0)],AY139,RZ[Úroveň 3 (P0)],AZ139),$BJ139*$IG139)</f>
        <v>0</v>
      </c>
      <c r="CB139" s="138">
        <f ca="1">RZ[[#This Row],[Úroveň 4 s koef. (P2a)]]*RZ[[#This Row],[Počet MJHR (P0)]]</f>
        <v>0</v>
      </c>
      <c r="CC139" s="138">
        <f ca="1">RZ[Úroveň 4 bez koef. (P2a)]*RZ[[#This Row],[Počet MJHR (P0)]]</f>
        <v>0</v>
      </c>
      <c r="CD139" s="138">
        <f ca="1">IF(OFFSET(BB139,1,0,1,1)&lt;&gt;0,RZ[[#This Row],[Koeficient odhadu HR '[-'] (P1)]]*$BK139*SUMIFS(RZ[Úroveň 5 s koef. (P2)],RZ[0],AX139,RZ[Úroveň 2 (P0)],AY139,RZ[Úroveň 3 (P0)],AZ139,RZ[Úroveň 4 (P0)],BA139),RZ[[#This Row],[Koeficient odhadu HR '[-'] (P1)]]*$BK139*$IG139)</f>
        <v>0</v>
      </c>
      <c r="CE139" s="138">
        <f ca="1">IF(OFFSET(BB139,1,0,1,1)&lt;&gt;0,$BK139*SUMIFS(RZ[Úroveň 5 bez koef. (P2)],RZ[0],AX139,RZ[Úroveň 2 (P0)],AY139,RZ[Úroveň 3 (P0)],AZ139,RZ[Úroveň 4 (P0)],BA139),$BK139*$IG139)</f>
        <v>0</v>
      </c>
      <c r="CF139" s="132">
        <f ca="1">RZ[[#This Row],[Úroveň 5 s koef. (P2a)]]*RZ[[#This Row],[Počet MJHR (P0)]]</f>
        <v>0</v>
      </c>
      <c r="CG139" s="132">
        <f ca="1">RZ[Úroveň 5 bez koef. (P2a)]*RZ[[#This Row],[Počet MJHR (P0)]]</f>
        <v>0</v>
      </c>
      <c r="CH139" s="132">
        <f ca="1">IF(OFFSET(BC139,1,0,1,1)&lt;&gt;0,RZ[[#This Row],[Koeficient odhadu HR '[-'] (P1)]]*$BL139*SUMIFS(RZ[Úroveň 6 s koef. (P2)],RZ[0],AX139,RZ[Úroveň 2 (P0)],AY139,RZ[Úroveň 3 (P0)],AZ139,RZ[Úroveň 4 (P0)],BA139,RZ[Úroveň 5 (P0)],BB139),RZ[[#This Row],[Koeficient odhadu HR '[-'] (P1)]]*$BL139*$IG139)</f>
        <v>0</v>
      </c>
      <c r="CI139" s="132">
        <f ca="1">IF(OFFSET(BC139,1,0,1,1)&lt;&gt;0,$BL139*SUMIFS(RZ[Úroveň 6 bez koef. (P2)],RZ[0],AX139,RZ[Úroveň 2 (P0)],AY139,RZ[Úroveň 3 (P0)],AZ139,RZ[Úroveň 4 (P0)],BA139,RZ[Úroveň 5 (P0)],BB139),$BL139*$IG139)</f>
        <v>0</v>
      </c>
      <c r="CJ139" s="138">
        <f ca="1">RZ[[#This Row],[Úroveň 6 s koef. (P2a)]]*RZ[[#This Row],[Počet MJHR (P0)]]</f>
        <v>0</v>
      </c>
      <c r="CK139" s="138">
        <f ca="1">RZ[Úroveň 6 bez koef. (P2a)]*RZ[[#This Row],[Počet MJHR (P0)]]</f>
        <v>0</v>
      </c>
      <c r="CL139" s="138">
        <f ca="1">IF(OFFSET(BD139,1,0,1,1)&lt;&gt;0,RZ[[#This Row],[Koeficient odhadu HR '[-'] (P1)]]*$BM139*SUMIFS(RZ[Úroveň 7 s koef. (P2)],RZ[0],AX139,RZ[Úroveň 2 (P0)],AY139,RZ[Úroveň 3 (P0)],AZ139,RZ[Úroveň 4 (P0)],BA139,RZ[Úroveň 5 (P0)],BB139,RZ[Úroveň 6 (P0)],BC139),RZ[[#This Row],[Koeficient odhadu HR '[-'] (P1)]]*$BM139*$IG139)</f>
        <v>0</v>
      </c>
      <c r="CM139" s="138">
        <f ca="1">IF(OFFSET(BD139,1,0,1,1)&lt;&gt;0,$BM139*SUMIFS(RZ[Úroveň 7 bez koef. (P2)],RZ[0],AX139,RZ[Úroveň 2 (P0)],AY139,RZ[Úroveň 3 (P0)],AZ139,RZ[Úroveň 4 (P0)],BA139,RZ[Úroveň 5 (P0)],BB139,RZ[Úroveň 6 (P0)],BC139),$BM139*$IG139)</f>
        <v>0</v>
      </c>
      <c r="CN139" s="132">
        <f ca="1">RZ[[#This Row],[Úroveň 7 s koef. (P2a)]]*RZ[[#This Row],[Počet MJHR (P0)]]</f>
        <v>0</v>
      </c>
      <c r="CO139" s="132">
        <f ca="1">RZ[Úroveň 7 bez koef. (P2a)]*RZ[[#This Row],[Počet MJHR (P0)]]</f>
        <v>0</v>
      </c>
      <c r="CP139" s="132">
        <f ca="1">IF(OFFSET(BE139,1,0,1,1)&lt;&gt;0,RZ[[#This Row],[Koeficient odhadu HR '[-'] (P1)]]*$BN139*SUMIFS(RZ[Úroveň 8 s koef. (P2)],RZ[0],AX139,RZ[Úroveň 2 (P0)],AY139,RZ[Úroveň 3 (P0)],AZ139,RZ[Úroveň 4 (P0)],BA139,RZ[Úroveň 5 (P0)],BB139,RZ[Úroveň 6 (P0)],BC139,RZ[Úroveň 7 (P0)],BD139),RZ[[#This Row],[Koeficient odhadu HR '[-'] (P1)]]*$BN139*$IG139)</f>
        <v>0</v>
      </c>
      <c r="CQ139" s="132">
        <f ca="1">IF(OFFSET(BE139,1,0,1,1)&lt;&gt;0,$BN139*SUMIFS(RZ[Úroveň 8 bez koef. (P2)],RZ[0],AX139,RZ[Úroveň 2 (P0)],AY139,RZ[Úroveň 3 (P0)],AZ139,RZ[Úroveň 4 (P0)],BA139,RZ[Úroveň 5 (P0)],BB139,RZ[Úroveň 6 (P0)],BC139,RZ[Úroveň 7 (P0)],BD139),$BN139*$IG139)</f>
        <v>0</v>
      </c>
      <c r="CR139" s="138">
        <f ca="1">RZ[[#This Row],[Úroveň 8 s koef. (P2a)]]*RZ[[#This Row],[Počet MJHR (P0)]]</f>
        <v>0</v>
      </c>
      <c r="CS139" s="138">
        <f ca="1">RZ[Úroveň 8 bez koef. (P2a)]*RZ[[#This Row],[Počet MJHR (P0)]]</f>
        <v>0</v>
      </c>
      <c r="CT139" s="138">
        <f ca="1">IF(OFFSET(BF139,1,0,1,1)&lt;&gt;0,RZ[[#This Row],[Koeficient odhadu HR '[-'] (P1)]]*$BO139*SUMIFS(RZ[Úroveň 9 s koef. (P2)],RZ[0],AX139,RZ[Úroveň 2 (P0)],AY139,RZ[Úroveň 3 (P0)],AZ139,RZ[Úroveň 4 (P0)],BA139,RZ[Úroveň 5 (P0)],BB139,RZ[Úroveň 6 (P0)],BC139,RZ[Úroveň 7 (P0)],BD139,RZ[Úroveň 8 (P0)],BE139),RZ[[#This Row],[Koeficient odhadu HR '[-'] (P1)]]*$BO139*$IG139)</f>
        <v>0</v>
      </c>
      <c r="CU139" s="138">
        <f ca="1">IF(OFFSET(BF139,1,0,1,1)&lt;&gt;0,$BO139*SUMIFS(RZ[Úroveň 9 bez koef. (P2)],RZ[0],AX139,RZ[Úroveň 2 (P0)],AY139,RZ[Úroveň 3 (P0)],AZ139,RZ[Úroveň 4 (P0)],BA139,RZ[Úroveň 5 (P0)],BB139,RZ[Úroveň 6 (P0)],BC139,RZ[Úroveň 7 (P0)],BD139,RZ[Úroveň 8 (P0)],BE139),$BO139*$IG139)</f>
        <v>0</v>
      </c>
      <c r="CV139" s="132">
        <f ca="1">RZ[[#This Row],[Úroveň 9 s koef. (P2a)]]*RZ[[#This Row],[Počet MJHR (P0)]]</f>
        <v>0</v>
      </c>
      <c r="CW139" s="132">
        <f ca="1">RZ[Úroveň 9 bez koef. (P2a)]*RZ[[#This Row],[Počet MJHR (P0)]]</f>
        <v>0</v>
      </c>
      <c r="CX139" s="132">
        <f ca="1">IF(OFFSET(BG139,1,0,1,1)&lt;&gt;0,RZ[[#This Row],[Koeficient odhadu HR '[-'] (P1)]]*$BP139*SUMIFS(RZ[Úroveň 10 s koef. (P2)],RZ[0],AX139,RZ[Úroveň 2 (P0)],AY139,RZ[Úroveň 3 (P0)],AZ139,RZ[Úroveň 4 (P0)],BA139,RZ[Úroveň 5 (P0)],BB139,RZ[Úroveň 6 (P0)],BC139,RZ[Úroveň 7 (P0)],BD139,RZ[Úroveň 8 (P0)],BE139,RZ[Úroveň 9 (P0)],BF139),RZ[[#This Row],[Koeficient odhadu HR '[-'] (P1)]]*$BP139*$IG139)</f>
        <v>0</v>
      </c>
      <c r="CY139" s="132">
        <f ca="1">IF(OFFSET(BG139,1,0,1,1)&lt;&gt;0,$BP139*SUMIFS(RZ[Úroveň 10 bez koef. (P2)],RZ[0],AX139,RZ[Úroveň 2 (P0)],AY139,RZ[Úroveň 3 (P0)],AZ139,RZ[Úroveň 4 (P0)],BA139,RZ[Úroveň 5 (P0)],BB139,RZ[Úroveň 6 (P0)],BC139,RZ[Úroveň 7 (P0)],BD139,RZ[Úroveň 8 (P0)],BE139,RZ[Úroveň 9 (P0)],BF139),$BP139*$IG139)</f>
        <v>0</v>
      </c>
      <c r="CZ139" s="138">
        <f>RZ[[#This Row],[Úroveň 10 s koef. (P2a)]]*RZ[[#This Row],[Počet MJHR (P0)]]</f>
        <v>0</v>
      </c>
      <c r="DA139" s="138">
        <f>RZ[Úroveň 10 bez koef. (P2a)]*RZ[[#This Row],[Počet MJHR (P0)]]</f>
        <v>0</v>
      </c>
      <c r="DB139" s="138">
        <f>RZ[[#This Row],[Koeficient odhadu HR '[-'] (P1)]]*$BQ139*IG139</f>
        <v>0</v>
      </c>
      <c r="DC139" s="231">
        <f t="shared" si="1189"/>
        <v>0</v>
      </c>
      <c r="DD139" s="241">
        <f t="shared" ca="1" si="1190"/>
        <v>4.25</v>
      </c>
      <c r="DE139" s="229">
        <f t="shared" ca="1" si="1191"/>
        <v>4.25</v>
      </c>
      <c r="DF139" s="912">
        <f t="shared" si="1192"/>
        <v>0</v>
      </c>
      <c r="DG139" s="913">
        <f t="shared" si="1193"/>
        <v>6</v>
      </c>
      <c r="DH139" s="913">
        <f t="shared" si="1194"/>
        <v>0</v>
      </c>
      <c r="DI139" s="913">
        <f t="shared" si="1195"/>
        <v>0</v>
      </c>
      <c r="DJ139" s="913">
        <f t="shared" si="1196"/>
        <v>0</v>
      </c>
      <c r="DK139" s="913">
        <f t="shared" si="1197"/>
        <v>0</v>
      </c>
      <c r="DL139" s="913">
        <f t="shared" si="1198"/>
        <v>0</v>
      </c>
      <c r="DM139" s="913">
        <f t="shared" si="1199"/>
        <v>0</v>
      </c>
      <c r="DN139" s="913">
        <f t="shared" si="1200"/>
        <v>0</v>
      </c>
      <c r="DO139" s="913">
        <f t="shared" si="1201"/>
        <v>0</v>
      </c>
      <c r="DP139" s="914">
        <f ca="1">SUMIFS(RZ[Úroveň 1 (P4)],RZ[0],AX139)</f>
        <v>1</v>
      </c>
      <c r="DQ139" s="914">
        <f ca="1">SUMIFS(RZ[Úroveň 2 (P4)],RZ[0],AX139,RZ[Úroveň 2 (P0)],AY139)</f>
        <v>6</v>
      </c>
      <c r="DR139" s="914">
        <f ca="1">SUMIFS(RZ[Úroveň 3 (P4)],RZ[0],AX139,RZ[Úroveň 2 (P0)],AY139,RZ[Úroveň 3 (P0)],AZ139)</f>
        <v>0</v>
      </c>
      <c r="DS139" s="914">
        <f ca="1">SUMIFS(RZ[Úroveň 4 (P4)],RZ[0],AX139,RZ[Úroveň 2 (P0)],AY139,RZ[Úroveň 3 (P0)],AZ139,RZ[Úroveň 4 (P0)],BA139)</f>
        <v>0</v>
      </c>
      <c r="DT139" s="914">
        <f ca="1">SUMIFS(RZ[Úroveň 5 (P4)],RZ[0],AX139,RZ[Úroveň 2 (P0)],AY139,RZ[Úroveň 3 (P0)],AZ139,RZ[Úroveň 4 (P0)],BA139,RZ[Úroveň 5 (P0)],BB139)</f>
        <v>0</v>
      </c>
      <c r="DU139" s="914">
        <f ca="1">SUMIFS(RZ[Úroveň 6 (P4)],RZ[0],AX139,RZ[Úroveň 2 (P0)],AY139,RZ[Úroveň 3 (P0)],AZ139,RZ[Úroveň 4 (P0)],BA139,RZ[Úroveň 5 (P0)],BB139,RZ[Úroveň 6 (P0)],BC139)</f>
        <v>0</v>
      </c>
      <c r="DV139" s="914">
        <f ca="1">SUMIFS(RZ[Úroveň 7 (P4)],RZ[0],AX139,RZ[Úroveň 2 (P0)],AY139,RZ[Úroveň 3 (P0)],AZ139,RZ[Úroveň 4 (P0)],BA139,RZ[Úroveň 5 (P0)],BB139,RZ[Úroveň 6 (P0)],BC139,RZ[Úroveň 7 (P0)],BD139)</f>
        <v>0</v>
      </c>
      <c r="DW139" s="914">
        <f ca="1">SUMIFS(RZ[Úroveň 8 (P4)],RZ[0],AX139,RZ[Úroveň 2 (P0)],AY139,RZ[Úroveň 3 (P0)],AZ139,RZ[Úroveň 4 (P0)],BA139,RZ[Úroveň 5 (P0)],BB139,RZ[Úroveň 6 (P0)],BC139,RZ[Úroveň 7 (P0)],BD139,RZ[Úroveň 8 (P0)],BE139)</f>
        <v>0</v>
      </c>
      <c r="DX139" s="914">
        <f ca="1">SUMIFS(RZ[Úroveň 9 (P4)],RZ[0],AX139,RZ[Úroveň 2 (P0)],AY139,RZ[Úroveň 3 (P0)],AZ139,RZ[Úroveň 4 (P0)],BA139,RZ[Úroveň 5 (P0)],BB139,RZ[Úroveň 6 (P0)],BC139,RZ[Úroveň 7 (P0)],BD139,RZ[Úroveň 8 (P0)],BE139,RZ[Úroveň 9 (P0)],BF139)</f>
        <v>0</v>
      </c>
      <c r="DY139" s="914">
        <f ca="1">SUMIFS(RZ[Úroveň 10 (P4)],RZ[0],AX139,RZ[Úroveň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DZ139" s="915">
        <f t="shared" ca="1" si="1202"/>
        <v>6</v>
      </c>
      <c r="EA139" s="916">
        <f ca="1">RZ[[#This Row],[Jednotková hmotnost bez koef. '[kg/MJHR'] (P0)]]*RZ[[#This Row],[Počet MJHR v rozpadu (P0)]]</f>
        <v>25.5</v>
      </c>
      <c r="EB139" s="917">
        <f ca="1">IF(OFFSET(AY139,1,0,1,1)&lt;&gt;0,RZ[[#This Row],[Koeficient odhadu CR '[-'] (P1)]]*$BH139*SUMIFS(RZ[Úroveň 2 s koef. (P3)],RZ[0],AX139),RZ[[#This Row],[Koeficient odhadu CR '[-'] (P1)]]*$BH139*$IQ139)</f>
        <v>0</v>
      </c>
      <c r="EC139" s="191">
        <f ca="1">IF(OFFSET(AY139,1,0,1,1)&lt;&gt;0,$BH139*SUMIFS(RZ[Úroveň 2 bez koef. (P3)],RZ[0],AX139),$BH139*$IQ139)</f>
        <v>0</v>
      </c>
      <c r="ED139" s="140">
        <f ca="1">RZ[[#This Row],[Úroveň 2 s koef. (P3a)]]*RZ[[#This Row],[Počet MJCR (P0) pro "kg"]]</f>
        <v>2167.5</v>
      </c>
      <c r="EE139" s="140">
        <f ca="1">RZ[Úroveň 2 bez koef. (P3a)]*RZ[[#This Row],[Počet MJCR (P0) pro "kg"]]</f>
        <v>2167.5</v>
      </c>
      <c r="EF139" s="140">
        <f ca="1">IF(OFFSET(AZ139,1,0,1,1)&lt;&gt;0,RZ[[#This Row],[Koeficient odhadu CR '[-'] (P1)]]*$BI139*SUMIFS(RZ[Úroveň 3 s koef. (P3)],RZ[0],AX139,RZ[Úroveň 2 (P0)],AY139),RZ[[#This Row],[Koeficient odhadu CR '[-'] (P1)]]*$BI139*$IQ139)</f>
        <v>85</v>
      </c>
      <c r="EG139" s="140">
        <f ca="1">IF(OFFSET(AZ139,1,0,1,1)&lt;&gt;0,$BI139*SUMIFS(RZ[Úroveň 3 bez koef. (P3)],RZ[0],AX139,RZ[Úroveň 2 (P0)],AY139),$BI139*$IQ139)</f>
        <v>85</v>
      </c>
      <c r="EH139" s="135">
        <f ca="1">RZ[[#This Row],[Úroveň 3 s koef. (P3a)]]*RZ[[#This Row],[Počet MJCR (P0) pro "kg"]]</f>
        <v>0</v>
      </c>
      <c r="EI139" s="135">
        <f ca="1">RZ[Úroveň 3 bez koef. (P3a)]*RZ[[#This Row],[Počet MJCR (P0) pro "kg"]]</f>
        <v>0</v>
      </c>
      <c r="EJ139" s="135">
        <f ca="1">IF(OFFSET(BA139,1,0,1,1)&lt;&gt;0,RZ[[#This Row],[Koeficient odhadu CR '[-'] (P1)]]*$BJ139*SUMIFS(RZ[Úroveň 4 s koef. (P3)],RZ[0],AX139,RZ[Úroveň 2 (P0)],AY139,RZ[Úroveň 3 (P0)],AZ139),RZ[[#This Row],[Koeficient odhadu CR '[-'] (P1)]]*$BJ139*$IQ139)</f>
        <v>0</v>
      </c>
      <c r="EK139" s="135">
        <f ca="1">IF(OFFSET(BA139,1,0,1,1)&lt;&gt;0,$BJ139*SUMIFS(RZ[Úroveň 4 bez koef. (P3)],RZ[0],AX139,RZ[Úroveň 2 (P0)],AY139,RZ[Úroveň 3 (P0)],AZ139),$BJ139*$IQ139)</f>
        <v>0</v>
      </c>
      <c r="EL139" s="140">
        <f ca="1">RZ[[#This Row],[Úroveň 4 s koef. (P3a)]]*RZ[[#This Row],[Počet MJCR (P0) pro "kg"]]</f>
        <v>0</v>
      </c>
      <c r="EM139" s="140">
        <f ca="1">RZ[Úroveň 4 bez koef. (P3a)]*RZ[[#This Row],[Počet MJCR (P0) pro "kg"]]</f>
        <v>0</v>
      </c>
      <c r="EN139" s="140">
        <f ca="1">IF(OFFSET(BB139,1,0,1,1)&lt;&gt;0,RZ[[#This Row],[Koeficient odhadu CR '[-'] (P1)]]*$BK139*SUMIFS(RZ[Úroveň 5 s koef. (P3)],RZ[0],AX139,RZ[Úroveň 2 (P0)],AY139,RZ[Úroveň 3 (P0)],AZ139,RZ[Úroveň 4 (P0)],BA139),RZ[[#This Row],[Koeficient odhadu CR '[-'] (P1)]]*$BK139*$IQ139)</f>
        <v>0</v>
      </c>
      <c r="EO139" s="140">
        <f ca="1">IF(OFFSET(BB139,1,0,1,1)&lt;&gt;0,$BK139*SUMIFS(RZ[Úroveň 5 bez koef. (P3)],RZ[0],AX139,RZ[Úroveň 2 (P0)],AY139,RZ[Úroveň 3 (P0)],AZ139,RZ[Úroveň 4 (P0)],BA139),$BK139*$IQ139)</f>
        <v>0</v>
      </c>
      <c r="EP139" s="135">
        <f ca="1">RZ[[#This Row],[Úroveň 5 s koef. (P3a)]]*RZ[[#This Row],[Počet MJCR (P0) pro "kg"]]</f>
        <v>0</v>
      </c>
      <c r="EQ139" s="135">
        <f ca="1">RZ[Úroveň 5 bez koef. (P3a)]*RZ[[#This Row],[Počet MJCR (P0) pro "kg"]]</f>
        <v>0</v>
      </c>
      <c r="ER139" s="135">
        <f ca="1">IF(OFFSET(BC139,1,0,1,1)&lt;&gt;0,RZ[[#This Row],[Koeficient odhadu CR '[-'] (P1)]]*$BL139*SUMIFS(RZ[Úroveň 6 s koef. (P3)],RZ[0],AX139,RZ[Úroveň 2 (P0)],AY139,RZ[Úroveň 3 (P0)],AZ139,RZ[Úroveň 4 (P0)],BA139,RZ[Úroveň 5 (P0)],BB139),RZ[[#This Row],[Koeficient odhadu CR '[-'] (P1)]]*$BL139*$IQ139)</f>
        <v>0</v>
      </c>
      <c r="ES139" s="135">
        <f ca="1">IF(OFFSET(BC139,1,0,1,1)&lt;&gt;0,$BL139*SUMIFS(RZ[Úroveň 6 bez koef. (P3)],RZ[0],AX139,RZ[Úroveň 2 (P0)],AY139,RZ[Úroveň 3 (P0)],AZ139,RZ[Úroveň 4 (P0)],BA139,RZ[Úroveň 5 (P0)],BB139),$BL139*$IQ139)</f>
        <v>0</v>
      </c>
      <c r="ET139" s="140">
        <f ca="1">RZ[[#This Row],[Úroveň 6 s koef. (P3a)]]*RZ[[#This Row],[Počet MJCR (P0) pro "kg"]]</f>
        <v>0</v>
      </c>
      <c r="EU139" s="140">
        <f ca="1">RZ[Úroveň 6 bez koef. (P3a)]*RZ[[#This Row],[Počet MJCR (P0) pro "kg"]]</f>
        <v>0</v>
      </c>
      <c r="EV139" s="140">
        <f ca="1">IF(OFFSET(BD139,1,0,1,1)&lt;&gt;0,RZ[[#This Row],[Koeficient odhadu CR '[-'] (P1)]]*$BM139*SUMIFS(RZ[Úroveň 7 s koef. (P3)],RZ[0],AX139,RZ[Úroveň 2 (P0)],AY139,RZ[Úroveň 3 (P0)],AZ139,RZ[Úroveň 4 (P0)],BA139,RZ[Úroveň 5 (P0)],BB139,RZ[Úroveň 6 (P0)],BC139),RZ[[#This Row],[Koeficient odhadu CR '[-'] (P1)]]*$BM139*$IQ139)</f>
        <v>0</v>
      </c>
      <c r="EW139" s="140">
        <f ca="1">IF(OFFSET(BD139,1,0,1,1)&lt;&gt;0,$BM139*SUMIFS(RZ[Úroveň 7 bez koef. (P3)],RZ[0],AX139,RZ[Úroveň 2 (P0)],AY139,RZ[Úroveň 3 (P0)],AZ139,RZ[Úroveň 4 (P0)],BA139,RZ[Úroveň 5 (P0)],BB139,RZ[Úroveň 6 (P0)],BC139),$BM139*$IQ139)</f>
        <v>0</v>
      </c>
      <c r="EX139" s="135">
        <f ca="1">RZ[[#This Row],[Úroveň 7 s koef. (P3a)]]*RZ[[#This Row],[Počet MJCR (P0) pro "kg"]]</f>
        <v>0</v>
      </c>
      <c r="EY139" s="135">
        <f ca="1">RZ[Úroveň 7 bez koef. (P3a)]*RZ[[#This Row],[Počet MJCR (P0) pro "kg"]]</f>
        <v>0</v>
      </c>
      <c r="EZ139" s="135">
        <f ca="1">IF(OFFSET(BE139,1,0,1,1)&lt;&gt;0,RZ[[#This Row],[Koeficient odhadu CR '[-'] (P1)]]*$BN139*SUMIFS(RZ[Úroveň 8 s koef. (P3)],RZ[0],AX139,RZ[Úroveň 2 (P0)],AY139,RZ[Úroveň 3 (P0)],AZ139,RZ[Úroveň 4 (P0)],BA139,RZ[Úroveň 5 (P0)],BB139,RZ[Úroveň 6 (P0)],BC139,RZ[Úroveň 7 (P0)],BD139),RZ[[#This Row],[Koeficient odhadu CR '[-'] (P1)]]*$BN139*$IQ139)</f>
        <v>0</v>
      </c>
      <c r="FA139" s="135">
        <f ca="1">IF(OFFSET(BE139,1,0,1,1)&lt;&gt;0,$BN139*SUMIFS(RZ[Úroveň 8 bez koef. (P3)],RZ[0],AX139,RZ[Úroveň 2 (P0)],AY139,RZ[Úroveň 3 (P0)],AZ139,RZ[Úroveň 4 (P0)],BA139,RZ[Úroveň 5 (P0)],BB139,RZ[Úroveň 6 (P0)],BC139,RZ[Úroveň 7 (P0)],BD139),$BN139*$IQ139)</f>
        <v>0</v>
      </c>
      <c r="FB139" s="140">
        <f ca="1">RZ[[#This Row],[Úroveň 8 s koef. (P3a)]]*RZ[[#This Row],[Počet MJCR (P0) pro "kg"]]</f>
        <v>0</v>
      </c>
      <c r="FC139" s="140">
        <f ca="1">RZ[Úroveň 8 bez koef. (P3a)]*RZ[[#This Row],[Počet MJCR (P0) pro "kg"]]</f>
        <v>0</v>
      </c>
      <c r="FD139" s="140">
        <f ca="1">IF(OFFSET(BF139,1,0,1,1)&lt;&gt;0,RZ[[#This Row],[Koeficient odhadu CR '[-'] (P1)]]*$BO139*SUMIFS(RZ[Úroveň 9 s koef. (P3)],RZ[0],AX139,RZ[Úroveň 2 (P0)],AY139,RZ[Úroveň 3 (P0)],AZ139,RZ[Úroveň 4 (P0)],BA139,RZ[Úroveň 5 (P0)],BB139,RZ[Úroveň 6 (P0)],BC139,RZ[Úroveň 7 (P0)],BD139,RZ[Úroveň 8 (P0)],BE139),RZ[[#This Row],[Koeficient odhadu CR '[-'] (P1)]]*$BO139*$IQ139)</f>
        <v>0</v>
      </c>
      <c r="FE139" s="140">
        <f ca="1">IF(OFFSET(BF139,1,0,1,1)&lt;&gt;0,$BO139*SUMIFS(RZ[Úroveň 9 bez koef. (P3)],RZ[0],AX139,RZ[Úroveň 2 (P0)],AY139,RZ[Úroveň 3 (P0)],AZ139,RZ[Úroveň 4 (P0)],BA139,RZ[Úroveň 5 (P0)],BB139,RZ[Úroveň 6 (P0)],BC139,RZ[Úroveň 7 (P0)],BD139,RZ[Úroveň 8 (P0)],BE139),$BO139*$IQ139)</f>
        <v>0</v>
      </c>
      <c r="FF139" s="135">
        <f ca="1">RZ[[#This Row],[Úroveň 9 s koef. (P3a)]]*RZ[[#This Row],[Počet MJCR (P0) pro "kg"]]</f>
        <v>0</v>
      </c>
      <c r="FG139" s="135">
        <f ca="1">RZ[Úroveň 9 bez koef. (P3a)]*RZ[[#This Row],[Počet MJCR (P0) pro "kg"]]</f>
        <v>0</v>
      </c>
      <c r="FH139" s="135">
        <f ca="1">IF(OFFSET(BG139,1,0,1,1)&lt;&gt;0,RZ[[#This Row],[Koeficient odhadu CR '[-'] (P1)]]*$BP139*SUMIFS(RZ[Úroveň 10 s koef. (P3)],RZ[0],AX139,RZ[Úroveň 2 (P0)],AY139,RZ[Úroveň 3 (P0)],AZ139,RZ[Úroveň 4 (P0)],BA139,RZ[Úroveň 5 (P0)],BB139,RZ[Úroveň 6 (P0)],BC139,RZ[Úroveň 7 (P0)],BD139,RZ[Úroveň 8 (P0)],BE139,RZ[Úroveň 9 (P0)],BF139),RZ[[#This Row],[Koeficient odhadu CR '[-'] (P1)]]*$BP139*$IQ139)</f>
        <v>0</v>
      </c>
      <c r="FI139" s="135">
        <f ca="1">IF(OFFSET(BG139,1,0,1,1)&lt;&gt;0,$BP139*SUMIFS(RZ[Úroveň 10 bez koef. (P3)],RZ[0],AX139,RZ[Úroveň 2 (P0)],AY139,RZ[Úroveň 3 (P0)],AZ139,RZ[Úroveň 4 (P0)],BA139,RZ[Úroveň 5 (P0)],BB139,RZ[Úroveň 6 (P0)],BC139,RZ[Úroveň 7 (P0)],BD139,RZ[Úroveň 8 (P0)],BE139,RZ[Úroveň 9 (P0)],BF139),$BP139*$IQ139)</f>
        <v>0</v>
      </c>
      <c r="FJ139" s="140">
        <f ca="1">RZ[[#This Row],[Úroveň 10 s koef. (P3a)]]*RZ[[#This Row],[Počet MJCR (P0) pro "kg"]]</f>
        <v>0</v>
      </c>
      <c r="FK139" s="140">
        <f ca="1">RZ[Úroveň 10 bez koef. (P3a)]*RZ[[#This Row],[Počet MJCR (P0) pro "kg"]]</f>
        <v>0</v>
      </c>
      <c r="FL139" s="140">
        <f ca="1">RZ[[#This Row],[Koeficient odhadu CR '[-'] (P1)]]*$BQ139*IQ139</f>
        <v>0</v>
      </c>
      <c r="FM139" s="236">
        <f t="shared" ca="1" si="1203"/>
        <v>0</v>
      </c>
      <c r="FN139" s="194">
        <f t="shared" ca="1" si="1204"/>
        <v>85</v>
      </c>
      <c r="FO139" s="238">
        <f t="shared" ca="1" si="1205"/>
        <v>85</v>
      </c>
      <c r="FP139" s="135">
        <f t="shared" ca="1" si="1206"/>
        <v>0</v>
      </c>
      <c r="FQ139" s="135">
        <f t="shared" ca="1" si="1207"/>
        <v>25.5</v>
      </c>
      <c r="FR139" s="135">
        <f t="shared" ca="1" si="1208"/>
        <v>0</v>
      </c>
      <c r="FS139" s="135">
        <f t="shared" ca="1" si="1209"/>
        <v>0</v>
      </c>
      <c r="FT139" s="135">
        <f t="shared" ca="1" si="1210"/>
        <v>0</v>
      </c>
      <c r="FU139" s="135">
        <f t="shared" ca="1" si="1211"/>
        <v>0</v>
      </c>
      <c r="FV139" s="135">
        <f t="shared" ca="1" si="1212"/>
        <v>0</v>
      </c>
      <c r="FW139" s="135">
        <f t="shared" ca="1" si="1213"/>
        <v>0</v>
      </c>
      <c r="FX139" s="135">
        <f t="shared" ca="1" si="1214"/>
        <v>0</v>
      </c>
      <c r="FY139" s="135">
        <f t="shared" ca="1" si="1215"/>
        <v>0</v>
      </c>
      <c r="FZ139" s="140">
        <f ca="1">SUMIFS(RZ[Úroveň 1 (P6)],RZ[0],AX139)</f>
        <v>1</v>
      </c>
      <c r="GA139" s="140">
        <f ca="1">SUMIFS(RZ[Úroveň 2 (P6)],RZ[0],AX139,RZ[Úroveň 2 (P0)],AY139)</f>
        <v>25.5</v>
      </c>
      <c r="GB139" s="140">
        <f ca="1">SUMIFS(RZ[Úroveň 3 (P6)],RZ[0],AX139,RZ[Úroveň 2 (P0)],AY139,RZ[Úroveň 3 (P0)],AZ139)</f>
        <v>0</v>
      </c>
      <c r="GC139" s="140">
        <f ca="1">SUMIFS(RZ[Úroveň 4 (P6)],RZ[0],AX139,RZ[Úroveň 2 (P0)],AY139,RZ[Úroveň 3 (P0)],AZ139,RZ[Úroveň 4 (P0)],BA139)</f>
        <v>0</v>
      </c>
      <c r="GD139" s="140">
        <f ca="1">SUMIFS(RZ[Úroveň 5 (P6)],RZ[0],AX139,RZ[Úroveň 2 (P0)],AY139,RZ[Úroveň 3 (P0)],AZ139,RZ[Úroveň 4 (P0)],BA139,RZ[Úroveň 5 (P0)],BB139)</f>
        <v>0</v>
      </c>
      <c r="GE139" s="140">
        <f ca="1">SUMIFS(RZ[Úroveň 6 (P6)],RZ[0],AX139,RZ[Úroveň 2 (P0)],AY139,RZ[Úroveň 3 (P0)],AZ139,RZ[Úroveň 4 (P0)],BA139,RZ[Úroveň 5 (P0)],BB139,RZ[Úroveň 6 (P0)],BC139)</f>
        <v>0</v>
      </c>
      <c r="GF139" s="140">
        <f ca="1">SUMIFS(RZ[Úroveň 7 (P6)],RZ[0],AX139,RZ[Úroveň 2 (P0)],AY139,RZ[Úroveň 3 (P0)],AZ139,RZ[Úroveň 4 (P0)],BA139,RZ[Úroveň 5 (P0)],BB139,RZ[Úroveň 6 (P0)],BC139,RZ[Úroveň 7 (P0)],BD139)</f>
        <v>0</v>
      </c>
      <c r="GG139" s="140">
        <f ca="1">SUMIFS(RZ[Úroveň 8 (P6)],RZ[0],AX139,RZ[Úroveň 2 (P0)],AY139,RZ[Úroveň 3 (P0)],AZ139,RZ[Úroveň 4 (P0)],BA139,RZ[Úroveň 5 (P0)],BB139,RZ[Úroveň 6 (P0)],BC139,RZ[Úroveň 7 (P0)],BD139,RZ[Úroveň 8 (P0)],BE139)</f>
        <v>0</v>
      </c>
      <c r="GH139" s="140">
        <f ca="1">SUMIFS(RZ[Úroveň 9 (P6)],RZ[0],AX139,RZ[Úroveň 2 (P0)],AY139,RZ[Úroveň 3 (P0)],AZ139,RZ[Úroveň 4 (P0)],BA139,RZ[Úroveň 5 (P0)],BB139,RZ[Úroveň 6 (P0)],BC139,RZ[Úroveň 7 (P0)],BD139,RZ[Úroveň 8 (P0)],BE139,RZ[Úroveň 9 (P0)],BF139)</f>
        <v>0</v>
      </c>
      <c r="GI139" s="140">
        <f ca="1">SUMIFS(RZ[Úroveň 10 (P6)],RZ[0],AX139,RZ[Úroveň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GJ139" s="918">
        <f t="shared" ca="1" si="1216"/>
        <v>25.5</v>
      </c>
      <c r="GK139" s="808">
        <f t="shared" si="1217"/>
        <v>0</v>
      </c>
      <c r="GL139" s="808">
        <f t="shared" si="1218"/>
        <v>1</v>
      </c>
      <c r="GM139" s="808">
        <f t="shared" si="1219"/>
        <v>0</v>
      </c>
      <c r="GN139" s="808">
        <f t="shared" si="1220"/>
        <v>0</v>
      </c>
      <c r="GO139" s="808">
        <f t="shared" si="1221"/>
        <v>0</v>
      </c>
      <c r="GP139" s="808">
        <f t="shared" si="1222"/>
        <v>0</v>
      </c>
      <c r="GQ139" s="808">
        <f t="shared" si="1223"/>
        <v>0</v>
      </c>
      <c r="GR139" s="808">
        <f t="shared" si="1224"/>
        <v>0</v>
      </c>
      <c r="GS139" s="808">
        <f t="shared" si="1225"/>
        <v>0</v>
      </c>
      <c r="GT139" s="808">
        <f t="shared" si="1226"/>
        <v>0</v>
      </c>
      <c r="GU139" s="809">
        <f ca="1">SUMIFS(RZ[Sloupec1],RZ[0],AX139)</f>
        <v>1</v>
      </c>
      <c r="GV139" s="809">
        <f ca="1">SUMIFS(RZ[Sloupec2],RZ[0],AX139,RZ[Úroveň 2 (P0)],AY139)</f>
        <v>1</v>
      </c>
      <c r="GW139" s="809">
        <f ca="1">SUMIFS(RZ[Sloupec3],RZ[0],AX139,RZ[Úroveň 2 (P0)],AY139,RZ[Úroveň 3 (P0)],AZ139)</f>
        <v>0</v>
      </c>
      <c r="GX139" s="809">
        <f ca="1">SUMIFS(RZ[Sloupec4],RZ[0],AX139,RZ[Úroveň 2 (P0)],AY139,RZ[Úroveň 3 (P0)],AZ139,RZ[Úroveň 4 (P0)],BA139)</f>
        <v>0</v>
      </c>
      <c r="GY139" s="809">
        <f ca="1">SUMIFS(RZ[Sloupec5],RZ[0],AX139,RZ[Úroveň 2 (P0)],AY139,RZ[Úroveň 3 (P0)],AZ139,RZ[Úroveň 4 (P0)],BA139,RZ[Úroveň 5 (P0)],BB139)</f>
        <v>0</v>
      </c>
      <c r="GZ139" s="809">
        <f ca="1">SUMIFS(RZ[Sloupec6],RZ[0],AX139,RZ[Úroveň 2 (P0)],AY139,RZ[Úroveň 3 (P0)],AZ139,RZ[Úroveň 4 (P0)],BA139,RZ[Úroveň 5 (P0)],BB139,RZ[Úroveň 6 (P0)],BC139)</f>
        <v>0</v>
      </c>
      <c r="HA139" s="809">
        <f ca="1">SUMIFS(RZ[Sloupec62],RZ[0],AX139,RZ[Úroveň 2 (P0)],AY139,RZ[Úroveň 3 (P0)],AZ139,RZ[Úroveň 4 (P0)],BA139,RZ[Úroveň 5 (P0)],BB139,RZ[Úroveň 6 (P0)],BC139,RZ[Úroveň 7 (P0)],BD139)</f>
        <v>0</v>
      </c>
      <c r="HB139" s="809">
        <f ca="1">SUMIFS(RZ[Sloupec63],RZ[0],AX139,RZ[Úroveň 2 (P0)],AY139,RZ[Úroveň 3 (P0)],AZ139,RZ[Úroveň 4 (P0)],BA139,RZ[Úroveň 5 (P0)],BB139,RZ[Úroveň 6 (P0)],BC139,RZ[Úroveň 7 (P0)],BD139,RZ[Úroveň 8 (P0)],BE139)</f>
        <v>0</v>
      </c>
      <c r="HC139" s="809">
        <f ca="1">SUMIFS(RZ[Sloupec64],RZ[0],AX139,RZ[Úroveň 2 (P0)],AY139,RZ[Úroveň 3 (P0)],AZ139,RZ[Úroveň 4 (P0)],BA139,RZ[Úroveň 5 (P0)],BB139,RZ[Úroveň 6 (P0)],BC139,RZ[Úroveň 7 (P0)],BD139,RZ[Úroveň 8 (P0)],BE139,RZ[Úroveň 9 (P0)],BF139)</f>
        <v>0</v>
      </c>
      <c r="HD139" s="809">
        <f ca="1">SUMIFS(RZ[Sloupec65],RZ[0],AX139,RZ[Úroveň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HE139" s="919">
        <f t="shared" ca="1" si="1227"/>
        <v>1</v>
      </c>
      <c r="HF139" s="920" t="str">
        <f t="shared" si="1228"/>
        <v/>
      </c>
      <c r="HG139" s="94" t="str">
        <f t="shared" si="1229"/>
        <v/>
      </c>
      <c r="HH139" s="95" t="str">
        <f t="shared" si="1230"/>
        <v>Šroub M24</v>
      </c>
      <c r="HI139" s="95" t="str">
        <f t="shared" si="1231"/>
        <v/>
      </c>
      <c r="HJ139" s="96" t="str">
        <f t="shared" si="1232"/>
        <v/>
      </c>
      <c r="HK139" s="96" t="str">
        <f t="shared" si="1233"/>
        <v/>
      </c>
      <c r="HL139" s="96" t="str">
        <f t="shared" si="1234"/>
        <v/>
      </c>
      <c r="HM139" s="96" t="str">
        <f t="shared" si="1235"/>
        <v/>
      </c>
      <c r="HN139" s="96" t="str">
        <f t="shared" si="1236"/>
        <v/>
      </c>
      <c r="HO139" s="96" t="str">
        <f t="shared" si="1237"/>
        <v/>
      </c>
      <c r="HP139" s="96" t="str">
        <f t="shared" si="1238"/>
        <v/>
      </c>
      <c r="HQ139" s="145" t="str">
        <f t="shared" si="1239"/>
        <v>STO3</v>
      </c>
      <c r="HR139" s="921" t="str">
        <f t="shared" si="1240"/>
        <v/>
      </c>
      <c r="HS139" s="173">
        <f t="shared" si="1241"/>
        <v>0</v>
      </c>
      <c r="HT139" s="100">
        <f t="shared" si="1242"/>
        <v>0</v>
      </c>
      <c r="HU139" s="100">
        <f t="shared" si="1243"/>
        <v>0</v>
      </c>
      <c r="HV139" s="908">
        <f t="shared" si="1244"/>
        <v>0</v>
      </c>
      <c r="HW139" s="922">
        <f t="shared" si="1245"/>
        <v>0</v>
      </c>
      <c r="HX139" s="224">
        <f t="shared" si="1246"/>
        <v>0</v>
      </c>
      <c r="HY139" s="263" t="str">
        <f t="shared" si="1247"/>
        <v>S</v>
      </c>
      <c r="HZ139" s="263">
        <f t="shared" si="1248"/>
        <v>0</v>
      </c>
      <c r="IA139" s="150">
        <f t="shared" si="1249"/>
        <v>1</v>
      </c>
      <c r="IB139" s="319">
        <f t="shared" si="1250"/>
        <v>0</v>
      </c>
      <c r="IC139" s="923">
        <f t="shared" si="1251"/>
        <v>0</v>
      </c>
      <c r="ID139" s="924" t="str">
        <f t="shared" ca="1" si="1252"/>
        <v>OK</v>
      </c>
      <c r="IE139" s="201" t="str">
        <f t="shared" si="1253"/>
        <v>ks</v>
      </c>
      <c r="IF139" s="145">
        <f t="shared" si="1254"/>
        <v>6</v>
      </c>
      <c r="IG139" s="216">
        <f t="shared" si="1255"/>
        <v>4.25</v>
      </c>
      <c r="IH139" s="217">
        <f t="shared" si="1256"/>
        <v>1</v>
      </c>
      <c r="II139" s="224" t="str">
        <f ca="1">IF(RZ[[#This Row],[Rozhodný sloupec indikativní ceny]]=1,"kg",IF($IW139=$JL$15,IF(JX139=0,JO139,JX139),IF($IW139=$KE$15,IF(KQ139=0,KH139,KQ139),IF($IW139=$KX$15,IF(LJ139=0,LA139,LJ139),IF($IW139=$LQ$15,IF(MC139=0,LT139,MC139),IF($IW139=$MJ$15,IF(NQ139=0,NH139,NQ139),0))))))</f>
        <v>kg</v>
      </c>
      <c r="IJ139" s="224">
        <f ca="1">IF((BH139+OFFSET(BH139,1,1,1,1))=2,RZ[[#This Row],[Počet MJHR (P0)]],IF((BI139+OFFSET(BI139,1,1,1,1))=2,RZ[[#This Row],[Počet MJHR (P0)]],IF((BJ139+OFFSET(BJ139,1,1,1,1))=2,RZ[[#This Row],[Počet MJHR (P0)]],IF((BK139+OFFSET(BK139,1,1,1,1))=2,RZ[[#This Row],[Počet MJHR (P0)]],IF((BL139+OFFSET(BL139,1,1,1,1))=2,RZ[[#This Row],[Počet MJHR (P0)]],IF((BM139+OFFSET(BM139,1,1,1,1))=2,RZ[[#This Row],[Počet MJHR (P0)]],IF((BN139+OFFSET(BN139,1,1,1,1))=2,RZ[[#This Row],[Počet MJHR (P0)]],IF((BO139+OFFSET(BO139,1,1,1,1))=2,RZ[[#This Row],[Počet MJHR (P0)]],IF((BP139+OFFSET(BP139,1,1,1,1))=2,RZ[[#This Row],[Počet MJHR (P0)]],IF((BQ139+OFFSET(BQ139,1,1,1,1))=2,RZ[[#This Row],[Počet MJHR (P0)]],IF(RZ[[#This Row],[Měrná jednotka CR (MJCR) (P0)]]=RZ[[#This Row],[Měrná jednotka HR '[MJHR'] (P0)]],RZ[[#This Row],[Počet MJHR (P0)]],IF($IW139=$JL$15,JY139,IF($IW139=$KE$15,KR139,IF($IW139=$KX$15,LK139,IF($IW139=$LQ$15,MD139,IF($IW139=$MJ$15,NR139,0))))))))))))))))</f>
        <v>0</v>
      </c>
      <c r="IK1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25.5</v>
      </c>
      <c r="IL139" s="145">
        <f ca="1">IF(AND(RZ[[#This Row],[Jednotková cena bez DPH '[cena/MJCR'] (P0)]]=0,RZ[[#This Row],[Indikativní jednotková cena '[CZK/kg'] (P1)]]&lt;&gt;0),1,0)</f>
        <v>1</v>
      </c>
      <c r="IM139" s="217">
        <f ca="1">VLOOKUP(RZ[[#This Row],[Kód položek]],INDIKAT_CENA,2,FALSE)</f>
        <v>85</v>
      </c>
      <c r="IN139" s="222">
        <f ca="1">IF(RZ[[#This Row],[Rozhodný sloupec indikativní ceny]]=1,RZ[[#This Row],[Indikativní jednotková cena '[CZK/kg'] (P1)]],RZ[[#This Row],[Jednotková cena bez DPH '[cena/MJCR'] (P0)]])</f>
        <v>85</v>
      </c>
      <c r="IO139" s="222">
        <f t="shared" si="1257"/>
        <v>1</v>
      </c>
      <c r="IP139" s="224">
        <f ca="1">IF(RZ[[#This Row],[Rozhodný sloupec indikativní ceny]]=1,1,IF($IW139=$JL$15,KA139,IF($IW139=$KE$15,KT139,IF($IW139=$KX$15,LM139,IF($IW139=$LQ$15,MF139,IF($IW139=$MJ$15,NT139,0))))))</f>
        <v>1</v>
      </c>
      <c r="IQ139" s="225">
        <f ca="1">IF(RZ[[#This Row],[Jednotková cena bez DPH '[cena/MJCR'] (P1)]]="",0,IF(IP139=0,0,(RZ[[#This Row],[Jednotková cena bez DPH '[cena/MJCR'] (P1)]]*VLOOKUP(IP139,$BR$7:$BT$10,3))))</f>
        <v>85</v>
      </c>
      <c r="IR139" s="737"/>
      <c r="IS139" s="627">
        <f>IF(HY139=0,"",VLOOKUP(RZ[[#This Row],[Stav Projekce (P0)]],Vstupy!$E$11:'Vstupy'!$E$11:$H$17,4,FALSE))</f>
        <v>100</v>
      </c>
      <c r="IT139" s="925" t="str">
        <f>IF(RZ[[#This Row],[Stav Projekce (P0)]]=0,"",RZ[[#This Row],[Stav Projekce (P0)]])</f>
        <v>S</v>
      </c>
      <c r="IU139" s="925" t="str">
        <f>IF(RZ[[#This Row],[Stav Nákup (P0)]]=0,"",RZ[[#This Row],[Stav Nákup (P0)]])</f>
        <v/>
      </c>
      <c r="IV139" s="926" t="str">
        <f t="shared" si="1258"/>
        <v/>
      </c>
      <c r="IW139" s="641">
        <v>1</v>
      </c>
      <c r="IX139" s="630"/>
      <c r="IY139" s="264"/>
      <c r="IZ139" s="648"/>
      <c r="JA139" s="100" t="s">
        <v>756</v>
      </c>
      <c r="JB139" s="100"/>
      <c r="JC139" s="100"/>
      <c r="JD139" s="100"/>
      <c r="JE139" s="100"/>
      <c r="JF139" s="100"/>
      <c r="JG139" s="100"/>
      <c r="JH139" s="100"/>
      <c r="JI139" s="100"/>
      <c r="JJ139" s="145" t="s">
        <v>784</v>
      </c>
      <c r="JK139" s="529"/>
      <c r="JL139" s="286"/>
      <c r="JM139" s="100"/>
      <c r="JN139" s="100"/>
      <c r="JO139" s="145" t="s">
        <v>35</v>
      </c>
      <c r="JP139" s="117">
        <v>6</v>
      </c>
      <c r="JQ139" s="117">
        <v>4.25</v>
      </c>
      <c r="JR139" s="148">
        <v>1</v>
      </c>
      <c r="JS139" s="145" t="s">
        <v>602</v>
      </c>
      <c r="JT139" s="631"/>
      <c r="JU139" s="148"/>
      <c r="JV139" s="154"/>
      <c r="JW139" s="145"/>
      <c r="JX139" s="210"/>
      <c r="JY139" s="117"/>
      <c r="JZ139" s="662"/>
      <c r="KA139" s="145"/>
      <c r="KB139" s="148"/>
      <c r="KC139" s="148"/>
      <c r="KD139" s="644"/>
      <c r="KE139" s="286"/>
      <c r="KF139" s="100"/>
      <c r="KG139" s="100"/>
      <c r="KH139" s="210"/>
      <c r="KI139" s="117"/>
      <c r="KJ139" s="117"/>
      <c r="KK139" s="148"/>
      <c r="KL139" s="145"/>
      <c r="KM139" s="632"/>
      <c r="KN139" s="148"/>
      <c r="KO139" s="154"/>
      <c r="KP139" s="154"/>
      <c r="KQ139" s="210"/>
      <c r="KR139" s="117"/>
      <c r="KS139" s="211"/>
      <c r="KT139" s="145"/>
      <c r="KU139" s="148"/>
      <c r="KV139" s="148"/>
      <c r="KW139" s="265"/>
      <c r="KX139" s="286"/>
      <c r="KY139" s="100"/>
      <c r="KZ139" s="100"/>
      <c r="LA139" s="210"/>
      <c r="LB139" s="117"/>
      <c r="LC139" s="117"/>
      <c r="LD139" s="148"/>
      <c r="LE139" s="145"/>
      <c r="LF139" s="632"/>
      <c r="LG139" s="148"/>
      <c r="LH139" s="154"/>
      <c r="LI139" s="154"/>
      <c r="LJ139" s="154"/>
      <c r="LK139" s="117"/>
      <c r="LL139" s="211"/>
      <c r="LM139" s="210"/>
      <c r="LN139" s="148"/>
      <c r="LO139" s="148"/>
      <c r="LP139" s="265"/>
      <c r="LQ139" s="286"/>
      <c r="LR139" s="100"/>
      <c r="LS139" s="100"/>
      <c r="LT139" s="210"/>
      <c r="LU139" s="117"/>
      <c r="LV139" s="117"/>
      <c r="LW139" s="148"/>
      <c r="LX139" s="145"/>
      <c r="LY139" s="632"/>
      <c r="LZ139" s="148"/>
      <c r="MA139" s="154"/>
      <c r="MB139" s="154"/>
      <c r="MC139" s="145"/>
      <c r="MD139" s="117"/>
      <c r="ME139" s="211"/>
      <c r="MF139" s="210"/>
      <c r="MG139" s="148"/>
      <c r="MH139" s="148"/>
      <c r="MI139" s="265"/>
      <c r="MJ139" s="647"/>
      <c r="MK139" s="264"/>
      <c r="ML139" s="153"/>
      <c r="MM139" s="153"/>
      <c r="MN139" s="153"/>
      <c r="MO139" s="153"/>
      <c r="MP139" s="153"/>
      <c r="MQ139" s="153"/>
      <c r="MR139" s="153"/>
      <c r="MS139" s="99"/>
      <c r="MT139" s="99"/>
      <c r="MU139" s="99"/>
      <c r="MV139" s="99"/>
      <c r="MW139" s="99"/>
      <c r="MX139" s="99"/>
      <c r="MY139" s="153"/>
      <c r="MZ139" s="153"/>
      <c r="NA139" s="153"/>
      <c r="NB139" s="153"/>
      <c r="NC139" s="153"/>
      <c r="ND139" s="153"/>
      <c r="NE139" s="153"/>
      <c r="NF139" s="153"/>
      <c r="NG139" s="153"/>
      <c r="NH139" s="330" t="str">
        <f t="shared" si="1259"/>
        <v>ks</v>
      </c>
      <c r="NI139" s="797">
        <f>RZ[[#This Row],[Počet ks (K)]]</f>
        <v>0</v>
      </c>
      <c r="NJ139" s="798">
        <f>RZ[[#This Row],[Hmotnost '[kg/ks'] (K)]]</f>
        <v>0</v>
      </c>
      <c r="NK139" s="153"/>
      <c r="NL139" s="153"/>
      <c r="NM139" s="632"/>
      <c r="NN139" s="153"/>
      <c r="NO139" s="153"/>
      <c r="NP139" s="153"/>
      <c r="NQ139" s="153"/>
      <c r="NR139" s="153"/>
      <c r="NS139" s="153"/>
      <c r="NT139" s="153"/>
      <c r="NU139" s="153"/>
      <c r="NV139" s="148"/>
      <c r="NW139" s="633"/>
    </row>
    <row r="140" spans="2:387" ht="15.95" customHeight="1" thickBot="1" x14ac:dyDescent="0.4">
      <c r="B140" s="118" t="str">
        <f>IF(HF140=0,"",HF140)</f>
        <v/>
      </c>
      <c r="C1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0" s="262" t="str">
        <f>IF(HG140&lt;&gt;"",HG140,IF(HH140&lt;&gt;"","  "&amp;HH140,IF(HI140&lt;&gt;"","  "&amp;"  "&amp;HI140,IF(HJ140&lt;&gt;"","  "&amp;"  "&amp;"  "&amp;HJ140,IF(HK140&lt;&gt;"","  "&amp;"  "&amp;"  "&amp;"  "&amp;HK140,IF(HL140&lt;&gt;"","  "&amp;"  "&amp;"  "&amp;"  "&amp;"  "&amp;HL140,IF(HM140&lt;&gt;"","  "&amp;"  "&amp;"  "&amp;"  "&amp;"  "&amp;"  "&amp;HM140,IF(HN140&lt;&gt;"","  "&amp;"  "&amp;"  "&amp;"  "&amp;"  "&amp;"  "&amp;"  "&amp;HN140,IF(HO140&lt;&gt;"","  "&amp;"  "&amp;"  "&amp;"  "&amp;"  "&amp;"  "&amp;"  "&amp;"  "&amp;HO140,IF(HP140&lt;&gt;"","  "&amp;"  "&amp;"  "&amp;"  "&amp;"  "&amp;"  "&amp;"  "&amp;"  "&amp;"  "&amp;HP140,0))))))))))</f>
        <v xml:space="preserve">  Úpinka M12 x 100</v>
      </c>
      <c r="E140" s="120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Row],[Kód položek (P2)]]))))))))))</f>
        <v>STO3</v>
      </c>
      <c r="F140" s="791" t="str">
        <f>IF(HS140=0,"N/A",HS140)</f>
        <v>N/A</v>
      </c>
      <c r="G140" s="792" t="str">
        <f>IF(HT140=0,"",HT140)</f>
        <v/>
      </c>
      <c r="H140" s="262" t="str">
        <f>IF(HU140=0,"",HU140)</f>
        <v/>
      </c>
      <c r="I140" s="123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HR '[MJHR'] (P0)]]))))))))))</f>
        <v>ks</v>
      </c>
      <c r="J140" s="123">
        <f>IF(IF140=0,"",IF140)</f>
        <v>30</v>
      </c>
      <c r="K140" s="793">
        <f>RZ[[#This Row],[Koeficient odhadu HR '[-'] (P1)]]</f>
        <v>1</v>
      </c>
      <c r="L140" s="124">
        <f ca="1">RZ[[#This Row],[Jednotková hmotnost s koef. '[kg/MJHR'] (P0)]]</f>
        <v>0.4</v>
      </c>
      <c r="M140" s="794">
        <f ca="1">IF(ISNUMBER(K140),L140/K140*(K140-1),0)</f>
        <v>0</v>
      </c>
      <c r="N140" s="125">
        <f ca="1">IF(ISNUMBER(J140),J140*L140,0)</f>
        <v>12</v>
      </c>
      <c r="O140" s="125">
        <f ca="1">IF(ISNUMBER(J140),J140*M140,0)</f>
        <v>0</v>
      </c>
      <c r="P140" s="126" t="str">
        <f>IF(HR140=0,"",HR140)</f>
        <v/>
      </c>
      <c r="Q140" s="795">
        <f ca="1">RZ[[#This Row],[Počet MJHR v rozpadu (P0)]]</f>
        <v>30</v>
      </c>
      <c r="R140" s="439" t="str">
        <f>IF(HV140&lt;&gt;0,HV140,"")</f>
        <v/>
      </c>
      <c r="S140" s="129" t="str">
        <f>IF(HW140&lt;&gt;0,HW140,"")</f>
        <v/>
      </c>
      <c r="T140" s="126" t="str">
        <f>IF(HX140=0,"",HX140)</f>
        <v/>
      </c>
      <c r="U140" s="126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CR (MJCR) (P0)]]))))))))))</f>
        <v>kg</v>
      </c>
      <c r="V140" s="575">
        <f ca="1">IF(IK140=0,"",IK140)</f>
        <v>12</v>
      </c>
      <c r="W140" s="322">
        <f>RZ[[#This Row],[Koeficient odhadu CR '[-'] (P1)]]</f>
        <v>1</v>
      </c>
      <c r="X140" s="440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Row],[Jednotková cena bez DPH '[cena/MJCR'] (P1)]]*RZ[[#This Row],[Koeficient odhadu CR '[-']]]))))))))))</f>
        <v>85</v>
      </c>
      <c r="Y140" s="440">
        <f ca="1">IF(ISNUMBER(X140),-X140/W140*(W140-1),0)</f>
        <v>0</v>
      </c>
      <c r="Z140" s="142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VLOOKUP(IP140,$BR$7:$BS$11,2,FALSE)))))))))))</f>
        <v>CZK</v>
      </c>
      <c r="AA140" s="909">
        <f ca="1">GJ140</f>
        <v>12</v>
      </c>
      <c r="AB140" s="910">
        <f ca="1">RZ[[#This Row],[Kumulovaný koeficient v rozpadu (P0)]]</f>
        <v>1</v>
      </c>
      <c r="AC140" s="261"/>
      <c r="AD140" s="796">
        <f ca="1">RZ[[#This Row],[Jednotková cena bez DPH '[cena/MJCR'] s koef. (P0)]]/RZ[[#This Row],[Koeficient odhadu CR '[-']]]*RZ[[#This Row],[Kumulovaný koeficient odhadu CR  '[-']]]</f>
        <v>85</v>
      </c>
      <c r="AE140" s="796">
        <f ca="1">IF(ISNUMBER(AA140),AA140*AD140,0)*IF(V140="",0,1)</f>
        <v>1020</v>
      </c>
      <c r="AF140" s="796">
        <f ca="1">-IF(ISNUMBER(AA140),RZ[[#This Row],[Celková cena bez DPH (1)]]-RZ[[#This Row],[Jednotková cena bez DPH '[cena/MJCR'] bez koef. (P0)]]*AA140,0)</f>
        <v>0</v>
      </c>
      <c r="AG1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40" s="261"/>
      <c r="AI140" s="796">
        <f ca="1">AD140/VLOOKUP($AJ$13,KURZY,3,FALSE)</f>
        <v>3.1481481481481484</v>
      </c>
      <c r="AJ140" s="796">
        <f ca="1">AE140/VLOOKUP($AJ$13,KURZY,3,FALSE)*IF(V140="",0,1)</f>
        <v>37.777777777777779</v>
      </c>
      <c r="AK140" s="796">
        <f ca="1">AF140/VLOOKUP($AJ$13,KURZY,3,FALSE)</f>
        <v>0</v>
      </c>
      <c r="AL140" s="753">
        <f ca="1">RZ[[#This Row],[Kilogramová cena bez DPH '[cena/kg'] (1)]]/$AK$13</f>
        <v>3.1481481481481484</v>
      </c>
      <c r="AM140" s="261"/>
      <c r="AN140" s="796">
        <f ca="1">AD140/VLOOKUP($AO$13,KURZY,3,FALSE)</f>
        <v>4.1062801932367154</v>
      </c>
      <c r="AO140" s="796">
        <f ca="1">AE140/VLOOKUP($AO$13,KURZY,3,FALSE)*IF(V140="",0,1)</f>
        <v>49.275362318840578</v>
      </c>
      <c r="AP140" s="796">
        <f ca="1">AF140/VLOOKUP($AO$13,KURZY,3,FALSE)</f>
        <v>0</v>
      </c>
      <c r="AQ140" s="753">
        <f ca="1">RZ[[#This Row],[Kilogramová cena bez DPH '[cena/kg'] (1)]]/$AP$13</f>
        <v>4.1062801932367154</v>
      </c>
      <c r="AR140" s="261"/>
      <c r="AS140" s="796">
        <f ca="1">AD140/VLOOKUP($AT$13,KURZY,3,FALSE)</f>
        <v>2.324945295404814</v>
      </c>
      <c r="AT140" s="796">
        <f ca="1">AE140/VLOOKUP($AT$13,KURZY,3,FALSE)*IF(V140="",0,1)</f>
        <v>27.899343544857768</v>
      </c>
      <c r="AU140" s="789">
        <f ca="1">AF140/VLOOKUP($AT$13,KURZY,3,FALSE)</f>
        <v>0</v>
      </c>
      <c r="AV140" s="767">
        <f ca="1">RZ[[#This Row],[Kilogramová cena bez DPH '[cena/kg'] (1)]]/$AU$13</f>
        <v>2.324945295404814</v>
      </c>
      <c r="AW140" s="165"/>
      <c r="AX140" s="911">
        <f ca="1">IF($BH140=0,IF(AY140&gt;0,OFFSET(AX140,-1,0,1,1),0),OFFSET(AX140,-1,0,1,1)+1)</f>
        <v>2</v>
      </c>
      <c r="AY140" s="111">
        <f ca="1">IF($BI140=0,IF(AZ140&gt;0,OFFSET(AY140,-1,0,1,1),0),OFFSET(AY140,-1,0,1,1)+1)</f>
        <v>23</v>
      </c>
      <c r="AZ140" s="111">
        <f ca="1">IF($BJ140=0,IF(BA140&gt;0,OFFSET(AZ140,-1,0,1,1),0),OFFSET(AZ140,-1,0,1,1)+1)</f>
        <v>0</v>
      </c>
      <c r="BA140" s="111">
        <f ca="1">IF($BK140=0,IF(BB140&gt;0,OFFSET(BA140,-1,0,1,1),0),OFFSET(BA140,-1,0,1,1)+1)</f>
        <v>0</v>
      </c>
      <c r="BB140" s="111">
        <f ca="1">IF($BL140=0,IF(BC140&gt;0,OFFSET(BB140,-1,0,1,1),0),OFFSET(BB140,-1,0,1,1)+1)</f>
        <v>0</v>
      </c>
      <c r="BC140" s="111">
        <f ca="1">IF($BM140=0,IF(BD140&gt;0,OFFSET(BC140,-1,0,1,1),0),OFFSET(BC140,-1,0,1,1)+1)</f>
        <v>0</v>
      </c>
      <c r="BD140" s="111">
        <f ca="1">IF($BN140=0,IF(BE140&gt;0,OFFSET(BD140,-1,0,1,1),0),OFFSET(BD140,-1,0,1,1)+1)</f>
        <v>0</v>
      </c>
      <c r="BE140" s="111">
        <f ca="1">IF($BO140=0,IF(BF140&gt;0,OFFSET(BE140,-1,0,1,1),0),OFFSET(BE140,-1,0,1,1)+1)</f>
        <v>0</v>
      </c>
      <c r="BF140" s="111">
        <f ca="1">IF($BP140=0,IF(BG140&gt;0,OFFSET(BF140,-1,0,1,1),0),OFFSET(BF140,-1,0,1,1)+1)</f>
        <v>0</v>
      </c>
      <c r="BG140" s="112">
        <f ca="1">IF($BQ140=0,0,OFFSET($BG140,-1,0,1,1)+1)</f>
        <v>0</v>
      </c>
      <c r="BH140" s="911">
        <f t="shared" ref="BH140:BQ140" si="1260">IF(HG140="",0,1)</f>
        <v>0</v>
      </c>
      <c r="BI140" s="111">
        <f t="shared" si="1260"/>
        <v>1</v>
      </c>
      <c r="BJ140" s="111">
        <f t="shared" si="1260"/>
        <v>0</v>
      </c>
      <c r="BK140" s="111">
        <f t="shared" si="1260"/>
        <v>0</v>
      </c>
      <c r="BL140" s="111">
        <f t="shared" si="1260"/>
        <v>0</v>
      </c>
      <c r="BM140" s="111">
        <f t="shared" si="1260"/>
        <v>0</v>
      </c>
      <c r="BN140" s="111">
        <f t="shared" si="1260"/>
        <v>0</v>
      </c>
      <c r="BO140" s="111">
        <f t="shared" si="1260"/>
        <v>0</v>
      </c>
      <c r="BP140" s="111">
        <f t="shared" si="1260"/>
        <v>0</v>
      </c>
      <c r="BQ140" s="112">
        <f t="shared" si="1260"/>
        <v>0</v>
      </c>
      <c r="BR140" s="132">
        <f ca="1">IF(OFFSET(AY140,1,0,1,1)&lt;&gt;0,RZ[[#This Row],[Koeficient odhadu HR '[-'] (P1)]]*$BH140*SUMIFS(RZ[Úroveň 2 s koef. (P2)],RZ[0],AX140),RZ[[#This Row],[Koeficient odhadu HR '[-'] (P1)]]*$BH140*$IG140)</f>
        <v>0</v>
      </c>
      <c r="BS140" s="186">
        <f ca="1">IF(OFFSET(AY140,1,0,1,1)&lt;&gt;0,$BH140*SUMIFS(RZ[Úroveň 2 bez koef. (P2)],RZ[0],AX140),$BH140*$IG140)</f>
        <v>0</v>
      </c>
      <c r="BT140" s="138">
        <f ca="1">RZ[[#This Row],[Úroveň 2 s koef. (P2a)]]*RZ[[#This Row],[Počet MJHR (P0)]]</f>
        <v>12</v>
      </c>
      <c r="BU140" s="138">
        <f ca="1">RZ[[#This Row],[Úroveň 2 bez koef. (P2a)]]*RZ[[#This Row],[Počet MJHR (P0)]]</f>
        <v>12</v>
      </c>
      <c r="BV140" s="138">
        <f ca="1">IF(OFFSET(AZ140,1,0,1,1)&lt;&gt;0,RZ[[#This Row],[Koeficient odhadu HR '[-'] (P1)]]*$BI140*SUMIFS(RZ[Úroveň 3 s koef. (P2)],RZ[0],AX140,RZ[Úroveň 2 (P0)],AY140),RZ[[#This Row],[Koeficient odhadu HR '[-'] (P1)]]*$BI140*$IG140)</f>
        <v>0.4</v>
      </c>
      <c r="BW140" s="138">
        <f ca="1">IF(OFFSET(AZ140,1,0,1,1)&lt;&gt;0,$BI140*SUMIFS(RZ[Úroveň 3 bez koef. (P2)],RZ[0],AX140,RZ[Úroveň 2 (P0)],AY140),$BI140*$IG140)</f>
        <v>0.4</v>
      </c>
      <c r="BX140" s="132">
        <f ca="1">RZ[[#This Row],[Úroveň 3 s koef. (P2a)]]*RZ[[#This Row],[Počet MJHR (P0)]]</f>
        <v>0</v>
      </c>
      <c r="BY140" s="132">
        <f ca="1">RZ[Úroveň 3 bez koef. (P2a)]*RZ[[#This Row],[Počet MJHR (P0)]]</f>
        <v>0</v>
      </c>
      <c r="BZ140" s="132">
        <f ca="1">IF(OFFSET(BA140,1,0,1,1)&lt;&gt;0,RZ[[#This Row],[Koeficient odhadu HR '[-'] (P1)]]*$BJ140*SUMIFS(RZ[Úroveň 4 s koef. (P2)],RZ[0],AX140,RZ[Úroveň 2 (P0)],AY140,RZ[Úroveň 3 (P0)],AZ140),RZ[[#This Row],[Koeficient odhadu HR '[-'] (P1)]]*$BJ140*$IG140)</f>
        <v>0</v>
      </c>
      <c r="CA140" s="132">
        <f ca="1">IF(OFFSET(BA140,1,0,1,1)&lt;&gt;0,$BJ140*SUMIFS(RZ[Úroveň 4 bez koef. (P2)],RZ[0],AX140,RZ[Úroveň 2 (P0)],AY140,RZ[Úroveň 3 (P0)],AZ140),$BJ140*$IG140)</f>
        <v>0</v>
      </c>
      <c r="CB140" s="138">
        <f ca="1">RZ[[#This Row],[Úroveň 4 s koef. (P2a)]]*RZ[[#This Row],[Počet MJHR (P0)]]</f>
        <v>0</v>
      </c>
      <c r="CC140" s="138">
        <f ca="1">RZ[Úroveň 4 bez koef. (P2a)]*RZ[[#This Row],[Počet MJHR (P0)]]</f>
        <v>0</v>
      </c>
      <c r="CD140" s="138">
        <f ca="1">IF(OFFSET(BB140,1,0,1,1)&lt;&gt;0,RZ[[#This Row],[Koeficient odhadu HR '[-'] (P1)]]*$BK140*SUMIFS(RZ[Úroveň 5 s koef. (P2)],RZ[0],AX140,RZ[Úroveň 2 (P0)],AY140,RZ[Úroveň 3 (P0)],AZ140,RZ[Úroveň 4 (P0)],BA140),RZ[[#This Row],[Koeficient odhadu HR '[-'] (P1)]]*$BK140*$IG140)</f>
        <v>0</v>
      </c>
      <c r="CE140" s="138">
        <f ca="1">IF(OFFSET(BB140,1,0,1,1)&lt;&gt;0,$BK140*SUMIFS(RZ[Úroveň 5 bez koef. (P2)],RZ[0],AX140,RZ[Úroveň 2 (P0)],AY140,RZ[Úroveň 3 (P0)],AZ140,RZ[Úroveň 4 (P0)],BA140),$BK140*$IG140)</f>
        <v>0</v>
      </c>
      <c r="CF140" s="132">
        <f ca="1">RZ[[#This Row],[Úroveň 5 s koef. (P2a)]]*RZ[[#This Row],[Počet MJHR (P0)]]</f>
        <v>0</v>
      </c>
      <c r="CG140" s="132">
        <f ca="1">RZ[Úroveň 5 bez koef. (P2a)]*RZ[[#This Row],[Počet MJHR (P0)]]</f>
        <v>0</v>
      </c>
      <c r="CH140" s="132">
        <f ca="1">IF(OFFSET(BC140,1,0,1,1)&lt;&gt;0,RZ[[#This Row],[Koeficient odhadu HR '[-'] (P1)]]*$BL140*SUMIFS(RZ[Úroveň 6 s koef. (P2)],RZ[0],AX140,RZ[Úroveň 2 (P0)],AY140,RZ[Úroveň 3 (P0)],AZ140,RZ[Úroveň 4 (P0)],BA140,RZ[Úroveň 5 (P0)],BB140),RZ[[#This Row],[Koeficient odhadu HR '[-'] (P1)]]*$BL140*$IG140)</f>
        <v>0</v>
      </c>
      <c r="CI140" s="132">
        <f ca="1">IF(OFFSET(BC140,1,0,1,1)&lt;&gt;0,$BL140*SUMIFS(RZ[Úroveň 6 bez koef. (P2)],RZ[0],AX140,RZ[Úroveň 2 (P0)],AY140,RZ[Úroveň 3 (P0)],AZ140,RZ[Úroveň 4 (P0)],BA140,RZ[Úroveň 5 (P0)],BB140),$BL140*$IG140)</f>
        <v>0</v>
      </c>
      <c r="CJ140" s="138">
        <f ca="1">RZ[[#This Row],[Úroveň 6 s koef. (P2a)]]*RZ[[#This Row],[Počet MJHR (P0)]]</f>
        <v>0</v>
      </c>
      <c r="CK140" s="138">
        <f ca="1">RZ[Úroveň 6 bez koef. (P2a)]*RZ[[#This Row],[Počet MJHR (P0)]]</f>
        <v>0</v>
      </c>
      <c r="CL140" s="138">
        <f ca="1">IF(OFFSET(BD140,1,0,1,1)&lt;&gt;0,RZ[[#This Row],[Koeficient odhadu HR '[-'] (P1)]]*$BM140*SUMIFS(RZ[Úroveň 7 s koef. (P2)],RZ[0],AX140,RZ[Úroveň 2 (P0)],AY140,RZ[Úroveň 3 (P0)],AZ140,RZ[Úroveň 4 (P0)],BA140,RZ[Úroveň 5 (P0)],BB140,RZ[Úroveň 6 (P0)],BC140),RZ[[#This Row],[Koeficient odhadu HR '[-'] (P1)]]*$BM140*$IG140)</f>
        <v>0</v>
      </c>
      <c r="CM140" s="138">
        <f ca="1">IF(OFFSET(BD140,1,0,1,1)&lt;&gt;0,$BM140*SUMIFS(RZ[Úroveň 7 bez koef. (P2)],RZ[0],AX140,RZ[Úroveň 2 (P0)],AY140,RZ[Úroveň 3 (P0)],AZ140,RZ[Úroveň 4 (P0)],BA140,RZ[Úroveň 5 (P0)],BB140,RZ[Úroveň 6 (P0)],BC140),$BM140*$IG140)</f>
        <v>0</v>
      </c>
      <c r="CN140" s="132">
        <f ca="1">RZ[[#This Row],[Úroveň 7 s koef. (P2a)]]*RZ[[#This Row],[Počet MJHR (P0)]]</f>
        <v>0</v>
      </c>
      <c r="CO140" s="132">
        <f ca="1">RZ[Úroveň 7 bez koef. (P2a)]*RZ[[#This Row],[Počet MJHR (P0)]]</f>
        <v>0</v>
      </c>
      <c r="CP140" s="132">
        <f ca="1">IF(OFFSET(BE140,1,0,1,1)&lt;&gt;0,RZ[[#This Row],[Koeficient odhadu HR '[-'] (P1)]]*$BN140*SUMIFS(RZ[Úroveň 8 s koef. (P2)],RZ[0],AX140,RZ[Úroveň 2 (P0)],AY140,RZ[Úroveň 3 (P0)],AZ140,RZ[Úroveň 4 (P0)],BA140,RZ[Úroveň 5 (P0)],BB140,RZ[Úroveň 6 (P0)],BC140,RZ[Úroveň 7 (P0)],BD140),RZ[[#This Row],[Koeficient odhadu HR '[-'] (P1)]]*$BN140*$IG140)</f>
        <v>0</v>
      </c>
      <c r="CQ140" s="132">
        <f ca="1">IF(OFFSET(BE140,1,0,1,1)&lt;&gt;0,$BN140*SUMIFS(RZ[Úroveň 8 bez koef. (P2)],RZ[0],AX140,RZ[Úroveň 2 (P0)],AY140,RZ[Úroveň 3 (P0)],AZ140,RZ[Úroveň 4 (P0)],BA140,RZ[Úroveň 5 (P0)],BB140,RZ[Úroveň 6 (P0)],BC140,RZ[Úroveň 7 (P0)],BD140),$BN140*$IG140)</f>
        <v>0</v>
      </c>
      <c r="CR140" s="138">
        <f ca="1">RZ[[#This Row],[Úroveň 8 s koef. (P2a)]]*RZ[[#This Row],[Počet MJHR (P0)]]</f>
        <v>0</v>
      </c>
      <c r="CS140" s="138">
        <f ca="1">RZ[Úroveň 8 bez koef. (P2a)]*RZ[[#This Row],[Počet MJHR (P0)]]</f>
        <v>0</v>
      </c>
      <c r="CT140" s="138">
        <f ca="1">IF(OFFSET(BF140,1,0,1,1)&lt;&gt;0,RZ[[#This Row],[Koeficient odhadu HR '[-'] (P1)]]*$BO140*SUMIFS(RZ[Úroveň 9 s koef. (P2)],RZ[0],AX140,RZ[Úroveň 2 (P0)],AY140,RZ[Úroveň 3 (P0)],AZ140,RZ[Úroveň 4 (P0)],BA140,RZ[Úroveň 5 (P0)],BB140,RZ[Úroveň 6 (P0)],BC140,RZ[Úroveň 7 (P0)],BD140,RZ[Úroveň 8 (P0)],BE140),RZ[[#This Row],[Koeficient odhadu HR '[-'] (P1)]]*$BO140*$IG140)</f>
        <v>0</v>
      </c>
      <c r="CU140" s="138">
        <f ca="1">IF(OFFSET(BF140,1,0,1,1)&lt;&gt;0,$BO140*SUMIFS(RZ[Úroveň 9 bez koef. (P2)],RZ[0],AX140,RZ[Úroveň 2 (P0)],AY140,RZ[Úroveň 3 (P0)],AZ140,RZ[Úroveň 4 (P0)],BA140,RZ[Úroveň 5 (P0)],BB140,RZ[Úroveň 6 (P0)],BC140,RZ[Úroveň 7 (P0)],BD140,RZ[Úroveň 8 (P0)],BE140),$BO140*$IG140)</f>
        <v>0</v>
      </c>
      <c r="CV140" s="132">
        <f ca="1">RZ[[#This Row],[Úroveň 9 s koef. (P2a)]]*RZ[[#This Row],[Počet MJHR (P0)]]</f>
        <v>0</v>
      </c>
      <c r="CW140" s="132">
        <f ca="1">RZ[Úroveň 9 bez koef. (P2a)]*RZ[[#This Row],[Počet MJHR (P0)]]</f>
        <v>0</v>
      </c>
      <c r="CX140" s="132">
        <f ca="1">IF(OFFSET(BG140,1,0,1,1)&lt;&gt;0,RZ[[#This Row],[Koeficient odhadu HR '[-'] (P1)]]*$BP140*SUMIFS(RZ[Úroveň 10 s koef. (P2)],RZ[0],AX140,RZ[Úroveň 2 (P0)],AY140,RZ[Úroveň 3 (P0)],AZ140,RZ[Úroveň 4 (P0)],BA140,RZ[Úroveň 5 (P0)],BB140,RZ[Úroveň 6 (P0)],BC140,RZ[Úroveň 7 (P0)],BD140,RZ[Úroveň 8 (P0)],BE140,RZ[Úroveň 9 (P0)],BF140),RZ[[#This Row],[Koeficient odhadu HR '[-'] (P1)]]*$BP140*$IG140)</f>
        <v>0</v>
      </c>
      <c r="CY140" s="132">
        <f ca="1">IF(OFFSET(BG140,1,0,1,1)&lt;&gt;0,$BP140*SUMIFS(RZ[Úroveň 10 bez koef. (P2)],RZ[0],AX140,RZ[Úroveň 2 (P0)],AY140,RZ[Úroveň 3 (P0)],AZ140,RZ[Úroveň 4 (P0)],BA140,RZ[Úroveň 5 (P0)],BB140,RZ[Úroveň 6 (P0)],BC140,RZ[Úroveň 7 (P0)],BD140,RZ[Úroveň 8 (P0)],BE140,RZ[Úroveň 9 (P0)],BF140),$BP140*$IG140)</f>
        <v>0</v>
      </c>
      <c r="CZ140" s="138">
        <f>RZ[[#This Row],[Úroveň 10 s koef. (P2a)]]*RZ[[#This Row],[Počet MJHR (P0)]]</f>
        <v>0</v>
      </c>
      <c r="DA140" s="138">
        <f>RZ[Úroveň 10 bez koef. (P2a)]*RZ[[#This Row],[Počet MJHR (P0)]]</f>
        <v>0</v>
      </c>
      <c r="DB140" s="138">
        <f>RZ[[#This Row],[Koeficient odhadu HR '[-'] (P1)]]*$BQ140*IG140</f>
        <v>0</v>
      </c>
      <c r="DC140" s="231">
        <f>$BQ140*IG140</f>
        <v>0</v>
      </c>
      <c r="DD140" s="241">
        <f ca="1">IF(BH140=1,BR140,IF(BI140=1,BV140,IF(BJ140=1,BZ140,IF(BK140=1,CD140,IF(BL140=1,CH140,IF(BM140=1,CL140,IF(BN140=1,CP140,IF(BO140=1,CT140,IF(BP140=1,CX140,DB140)))))))))</f>
        <v>0.4</v>
      </c>
      <c r="DE140" s="229">
        <f ca="1">IF(BH140=1,BS140,IF(BI140=1,BW140,IF(BJ140=1,CA140,IF(BK140=1,CE140,IF(BL140=1,CI140,IF(BM140=1,CM140,IF(BN140=1,CQ140,IF(BO140=1,CU140,IF(BP140=1,CY140,DC140)))))))))</f>
        <v>0.4</v>
      </c>
      <c r="DF140" s="912">
        <f t="shared" ref="DF140:DO140" si="1261">BH140*$IF140</f>
        <v>0</v>
      </c>
      <c r="DG140" s="913">
        <f t="shared" si="1261"/>
        <v>30</v>
      </c>
      <c r="DH140" s="913">
        <f t="shared" si="1261"/>
        <v>0</v>
      </c>
      <c r="DI140" s="913">
        <f t="shared" si="1261"/>
        <v>0</v>
      </c>
      <c r="DJ140" s="913">
        <f t="shared" si="1261"/>
        <v>0</v>
      </c>
      <c r="DK140" s="913">
        <f t="shared" si="1261"/>
        <v>0</v>
      </c>
      <c r="DL140" s="913">
        <f t="shared" si="1261"/>
        <v>0</v>
      </c>
      <c r="DM140" s="913">
        <f t="shared" si="1261"/>
        <v>0</v>
      </c>
      <c r="DN140" s="913">
        <f t="shared" si="1261"/>
        <v>0</v>
      </c>
      <c r="DO140" s="913">
        <f t="shared" si="1261"/>
        <v>0</v>
      </c>
      <c r="DP140" s="914">
        <f ca="1">SUMIFS(RZ[Úroveň 1 (P4)],RZ[0],AX140)</f>
        <v>1</v>
      </c>
      <c r="DQ140" s="914">
        <f ca="1">SUMIFS(RZ[Úroveň 2 (P4)],RZ[0],AX140,RZ[Úroveň 2 (P0)],AY140)</f>
        <v>30</v>
      </c>
      <c r="DR140" s="914">
        <f ca="1">SUMIFS(RZ[Úroveň 3 (P4)],RZ[0],AX140,RZ[Úroveň 2 (P0)],AY140,RZ[Úroveň 3 (P0)],AZ140)</f>
        <v>0</v>
      </c>
      <c r="DS140" s="914">
        <f ca="1">SUMIFS(RZ[Úroveň 4 (P4)],RZ[0],AX140,RZ[Úroveň 2 (P0)],AY140,RZ[Úroveň 3 (P0)],AZ140,RZ[Úroveň 4 (P0)],BA140)</f>
        <v>0</v>
      </c>
      <c r="DT140" s="914">
        <f ca="1">SUMIFS(RZ[Úroveň 5 (P4)],RZ[0],AX140,RZ[Úroveň 2 (P0)],AY140,RZ[Úroveň 3 (P0)],AZ140,RZ[Úroveň 4 (P0)],BA140,RZ[Úroveň 5 (P0)],BB140)</f>
        <v>0</v>
      </c>
      <c r="DU140" s="914">
        <f ca="1">SUMIFS(RZ[Úroveň 6 (P4)],RZ[0],AX140,RZ[Úroveň 2 (P0)],AY140,RZ[Úroveň 3 (P0)],AZ140,RZ[Úroveň 4 (P0)],BA140,RZ[Úroveň 5 (P0)],BB140,RZ[Úroveň 6 (P0)],BC140)</f>
        <v>0</v>
      </c>
      <c r="DV140" s="914">
        <f ca="1">SUMIFS(RZ[Úroveň 7 (P4)],RZ[0],AX140,RZ[Úroveň 2 (P0)],AY140,RZ[Úroveň 3 (P0)],AZ140,RZ[Úroveň 4 (P0)],BA140,RZ[Úroveň 5 (P0)],BB140,RZ[Úroveň 6 (P0)],BC140,RZ[Úroveň 7 (P0)],BD140)</f>
        <v>0</v>
      </c>
      <c r="DW140" s="914">
        <f ca="1">SUMIFS(RZ[Úroveň 8 (P4)],RZ[0],AX140,RZ[Úroveň 2 (P0)],AY140,RZ[Úroveň 3 (P0)],AZ140,RZ[Úroveň 4 (P0)],BA140,RZ[Úroveň 5 (P0)],BB140,RZ[Úroveň 6 (P0)],BC140,RZ[Úroveň 7 (P0)],BD140,RZ[Úroveň 8 (P0)],BE140)</f>
        <v>0</v>
      </c>
      <c r="DX140" s="914">
        <f ca="1">SUMIFS(RZ[Úroveň 9 (P4)],RZ[0],AX140,RZ[Úroveň 2 (P0)],AY140,RZ[Úroveň 3 (P0)],AZ140,RZ[Úroveň 4 (P0)],BA140,RZ[Úroveň 5 (P0)],BB140,RZ[Úroveň 6 (P0)],BC140,RZ[Úroveň 7 (P0)],BD140,RZ[Úroveň 8 (P0)],BE140,RZ[Úroveň 9 (P0)],BF140)</f>
        <v>0</v>
      </c>
      <c r="DY140" s="914">
        <f ca="1">SUMIFS(RZ[Úroveň 10 (P4)],RZ[0],AX140,RZ[Úroveň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DZ140" s="915">
        <f ca="1">IF(DP140&lt;&gt;0,DP140,1)*IF(DQ140&lt;&gt;0,DQ140,1)*IF(DR140&lt;&gt;0,DR140,1)*IF(DS140&lt;&gt;0,DS140,1)*IF(DT140&lt;&gt;0,DT140,1)*IF(DU140&lt;&gt;0,DU140,1)*IF(DV140&lt;&gt;0,DV140,1)*IF(DW140&lt;&gt;0,DW140,1)*IF(DX140&lt;&gt;0,DX140,1)*IF(DY140&lt;&gt;0,DY140,1)</f>
        <v>30</v>
      </c>
      <c r="EA140" s="916">
        <f ca="1">RZ[[#This Row],[Jednotková hmotnost bez koef. '[kg/MJHR'] (P0)]]*RZ[[#This Row],[Počet MJHR v rozpadu (P0)]]</f>
        <v>12</v>
      </c>
      <c r="EB140" s="917">
        <f ca="1">IF(OFFSET(AY140,1,0,1,1)&lt;&gt;0,RZ[[#This Row],[Koeficient odhadu CR '[-'] (P1)]]*$BH140*SUMIFS(RZ[Úroveň 2 s koef. (P3)],RZ[0],AX140),RZ[[#This Row],[Koeficient odhadu CR '[-'] (P1)]]*$BH140*$IQ140)</f>
        <v>0</v>
      </c>
      <c r="EC140" s="191">
        <f ca="1">IF(OFFSET(AY140,1,0,1,1)&lt;&gt;0,$BH140*SUMIFS(RZ[Úroveň 2 bez koef. (P3)],RZ[0],AX140),$BH140*$IQ140)</f>
        <v>0</v>
      </c>
      <c r="ED140" s="140">
        <f ca="1">RZ[[#This Row],[Úroveň 2 s koef. (P3a)]]*RZ[[#This Row],[Počet MJCR (P0) pro "kg"]]</f>
        <v>1020</v>
      </c>
      <c r="EE140" s="140">
        <f ca="1">RZ[Úroveň 2 bez koef. (P3a)]*RZ[[#This Row],[Počet MJCR (P0) pro "kg"]]</f>
        <v>1020</v>
      </c>
      <c r="EF140" s="140">
        <f ca="1">IF(OFFSET(AZ140,1,0,1,1)&lt;&gt;0,RZ[[#This Row],[Koeficient odhadu CR '[-'] (P1)]]*$BI140*SUMIFS(RZ[Úroveň 3 s koef. (P3)],RZ[0],AX140,RZ[Úroveň 2 (P0)],AY140),RZ[[#This Row],[Koeficient odhadu CR '[-'] (P1)]]*$BI140*$IQ140)</f>
        <v>85</v>
      </c>
      <c r="EG140" s="140">
        <f ca="1">IF(OFFSET(AZ140,1,0,1,1)&lt;&gt;0,$BI140*SUMIFS(RZ[Úroveň 3 bez koef. (P3)],RZ[0],AX140,RZ[Úroveň 2 (P0)],AY140),$BI140*$IQ140)</f>
        <v>85</v>
      </c>
      <c r="EH140" s="135">
        <f ca="1">RZ[[#This Row],[Úroveň 3 s koef. (P3a)]]*RZ[[#This Row],[Počet MJCR (P0) pro "kg"]]</f>
        <v>0</v>
      </c>
      <c r="EI140" s="135">
        <f ca="1">RZ[Úroveň 3 bez koef. (P3a)]*RZ[[#This Row],[Počet MJCR (P0) pro "kg"]]</f>
        <v>0</v>
      </c>
      <c r="EJ140" s="135">
        <f ca="1">IF(OFFSET(BA140,1,0,1,1)&lt;&gt;0,RZ[[#This Row],[Koeficient odhadu CR '[-'] (P1)]]*$BJ140*SUMIFS(RZ[Úroveň 4 s koef. (P3)],RZ[0],AX140,RZ[Úroveň 2 (P0)],AY140,RZ[Úroveň 3 (P0)],AZ140),RZ[[#This Row],[Koeficient odhadu CR '[-'] (P1)]]*$BJ140*$IQ140)</f>
        <v>0</v>
      </c>
      <c r="EK140" s="135">
        <f ca="1">IF(OFFSET(BA140,1,0,1,1)&lt;&gt;0,$BJ140*SUMIFS(RZ[Úroveň 4 bez koef. (P3)],RZ[0],AX140,RZ[Úroveň 2 (P0)],AY140,RZ[Úroveň 3 (P0)],AZ140),$BJ140*$IQ140)</f>
        <v>0</v>
      </c>
      <c r="EL140" s="140">
        <f ca="1">RZ[[#This Row],[Úroveň 4 s koef. (P3a)]]*RZ[[#This Row],[Počet MJCR (P0) pro "kg"]]</f>
        <v>0</v>
      </c>
      <c r="EM140" s="140">
        <f ca="1">RZ[Úroveň 4 bez koef. (P3a)]*RZ[[#This Row],[Počet MJCR (P0) pro "kg"]]</f>
        <v>0</v>
      </c>
      <c r="EN140" s="140">
        <f ca="1">IF(OFFSET(BB140,1,0,1,1)&lt;&gt;0,RZ[[#This Row],[Koeficient odhadu CR '[-'] (P1)]]*$BK140*SUMIFS(RZ[Úroveň 5 s koef. (P3)],RZ[0],AX140,RZ[Úroveň 2 (P0)],AY140,RZ[Úroveň 3 (P0)],AZ140,RZ[Úroveň 4 (P0)],BA140),RZ[[#This Row],[Koeficient odhadu CR '[-'] (P1)]]*$BK140*$IQ140)</f>
        <v>0</v>
      </c>
      <c r="EO140" s="140">
        <f ca="1">IF(OFFSET(BB140,1,0,1,1)&lt;&gt;0,$BK140*SUMIFS(RZ[Úroveň 5 bez koef. (P3)],RZ[0],AX140,RZ[Úroveň 2 (P0)],AY140,RZ[Úroveň 3 (P0)],AZ140,RZ[Úroveň 4 (P0)],BA140),$BK140*$IQ140)</f>
        <v>0</v>
      </c>
      <c r="EP140" s="135">
        <f ca="1">RZ[[#This Row],[Úroveň 5 s koef. (P3a)]]*RZ[[#This Row],[Počet MJCR (P0) pro "kg"]]</f>
        <v>0</v>
      </c>
      <c r="EQ140" s="135">
        <f ca="1">RZ[Úroveň 5 bez koef. (P3a)]*RZ[[#This Row],[Počet MJCR (P0) pro "kg"]]</f>
        <v>0</v>
      </c>
      <c r="ER140" s="135">
        <f ca="1">IF(OFFSET(BC140,1,0,1,1)&lt;&gt;0,RZ[[#This Row],[Koeficient odhadu CR '[-'] (P1)]]*$BL140*SUMIFS(RZ[Úroveň 6 s koef. (P3)],RZ[0],AX140,RZ[Úroveň 2 (P0)],AY140,RZ[Úroveň 3 (P0)],AZ140,RZ[Úroveň 4 (P0)],BA140,RZ[Úroveň 5 (P0)],BB140),RZ[[#This Row],[Koeficient odhadu CR '[-'] (P1)]]*$BL140*$IQ140)</f>
        <v>0</v>
      </c>
      <c r="ES140" s="135">
        <f ca="1">IF(OFFSET(BC140,1,0,1,1)&lt;&gt;0,$BL140*SUMIFS(RZ[Úroveň 6 bez koef. (P3)],RZ[0],AX140,RZ[Úroveň 2 (P0)],AY140,RZ[Úroveň 3 (P0)],AZ140,RZ[Úroveň 4 (P0)],BA140,RZ[Úroveň 5 (P0)],BB140),$BL140*$IQ140)</f>
        <v>0</v>
      </c>
      <c r="ET140" s="140">
        <f ca="1">RZ[[#This Row],[Úroveň 6 s koef. (P3a)]]*RZ[[#This Row],[Počet MJCR (P0) pro "kg"]]</f>
        <v>0</v>
      </c>
      <c r="EU140" s="140">
        <f ca="1">RZ[Úroveň 6 bez koef. (P3a)]*RZ[[#This Row],[Počet MJCR (P0) pro "kg"]]</f>
        <v>0</v>
      </c>
      <c r="EV140" s="140">
        <f ca="1">IF(OFFSET(BD140,1,0,1,1)&lt;&gt;0,RZ[[#This Row],[Koeficient odhadu CR '[-'] (P1)]]*$BM140*SUMIFS(RZ[Úroveň 7 s koef. (P3)],RZ[0],AX140,RZ[Úroveň 2 (P0)],AY140,RZ[Úroveň 3 (P0)],AZ140,RZ[Úroveň 4 (P0)],BA140,RZ[Úroveň 5 (P0)],BB140,RZ[Úroveň 6 (P0)],BC140),RZ[[#This Row],[Koeficient odhadu CR '[-'] (P1)]]*$BM140*$IQ140)</f>
        <v>0</v>
      </c>
      <c r="EW140" s="140">
        <f ca="1">IF(OFFSET(BD140,1,0,1,1)&lt;&gt;0,$BM140*SUMIFS(RZ[Úroveň 7 bez koef. (P3)],RZ[0],AX140,RZ[Úroveň 2 (P0)],AY140,RZ[Úroveň 3 (P0)],AZ140,RZ[Úroveň 4 (P0)],BA140,RZ[Úroveň 5 (P0)],BB140,RZ[Úroveň 6 (P0)],BC140),$BM140*$IQ140)</f>
        <v>0</v>
      </c>
      <c r="EX140" s="135">
        <f ca="1">RZ[[#This Row],[Úroveň 7 s koef. (P3a)]]*RZ[[#This Row],[Počet MJCR (P0) pro "kg"]]</f>
        <v>0</v>
      </c>
      <c r="EY140" s="135">
        <f ca="1">RZ[Úroveň 7 bez koef. (P3a)]*RZ[[#This Row],[Počet MJCR (P0) pro "kg"]]</f>
        <v>0</v>
      </c>
      <c r="EZ140" s="135">
        <f ca="1">IF(OFFSET(BE140,1,0,1,1)&lt;&gt;0,RZ[[#This Row],[Koeficient odhadu CR '[-'] (P1)]]*$BN140*SUMIFS(RZ[Úroveň 8 s koef. (P3)],RZ[0],AX140,RZ[Úroveň 2 (P0)],AY140,RZ[Úroveň 3 (P0)],AZ140,RZ[Úroveň 4 (P0)],BA140,RZ[Úroveň 5 (P0)],BB140,RZ[Úroveň 6 (P0)],BC140,RZ[Úroveň 7 (P0)],BD140),RZ[[#This Row],[Koeficient odhadu CR '[-'] (P1)]]*$BN140*$IQ140)</f>
        <v>0</v>
      </c>
      <c r="FA140" s="135">
        <f ca="1">IF(OFFSET(BE140,1,0,1,1)&lt;&gt;0,$BN140*SUMIFS(RZ[Úroveň 8 bez koef. (P3)],RZ[0],AX140,RZ[Úroveň 2 (P0)],AY140,RZ[Úroveň 3 (P0)],AZ140,RZ[Úroveň 4 (P0)],BA140,RZ[Úroveň 5 (P0)],BB140,RZ[Úroveň 6 (P0)],BC140,RZ[Úroveň 7 (P0)],BD140),$BN140*$IQ140)</f>
        <v>0</v>
      </c>
      <c r="FB140" s="140">
        <f ca="1">RZ[[#This Row],[Úroveň 8 s koef. (P3a)]]*RZ[[#This Row],[Počet MJCR (P0) pro "kg"]]</f>
        <v>0</v>
      </c>
      <c r="FC140" s="140">
        <f ca="1">RZ[Úroveň 8 bez koef. (P3a)]*RZ[[#This Row],[Počet MJCR (P0) pro "kg"]]</f>
        <v>0</v>
      </c>
      <c r="FD140" s="140">
        <f ca="1">IF(OFFSET(BF140,1,0,1,1)&lt;&gt;0,RZ[[#This Row],[Koeficient odhadu CR '[-'] (P1)]]*$BO140*SUMIFS(RZ[Úroveň 9 s koef. (P3)],RZ[0],AX140,RZ[Úroveň 2 (P0)],AY140,RZ[Úroveň 3 (P0)],AZ140,RZ[Úroveň 4 (P0)],BA140,RZ[Úroveň 5 (P0)],BB140,RZ[Úroveň 6 (P0)],BC140,RZ[Úroveň 7 (P0)],BD140,RZ[Úroveň 8 (P0)],BE140),RZ[[#This Row],[Koeficient odhadu CR '[-'] (P1)]]*$BO140*$IQ140)</f>
        <v>0</v>
      </c>
      <c r="FE140" s="140">
        <f ca="1">IF(OFFSET(BF140,1,0,1,1)&lt;&gt;0,$BO140*SUMIFS(RZ[Úroveň 9 bez koef. (P3)],RZ[0],AX140,RZ[Úroveň 2 (P0)],AY140,RZ[Úroveň 3 (P0)],AZ140,RZ[Úroveň 4 (P0)],BA140,RZ[Úroveň 5 (P0)],BB140,RZ[Úroveň 6 (P0)],BC140,RZ[Úroveň 7 (P0)],BD140,RZ[Úroveň 8 (P0)],BE140),$BO140*$IQ140)</f>
        <v>0</v>
      </c>
      <c r="FF140" s="135">
        <f ca="1">RZ[[#This Row],[Úroveň 9 s koef. (P3a)]]*RZ[[#This Row],[Počet MJCR (P0) pro "kg"]]</f>
        <v>0</v>
      </c>
      <c r="FG140" s="135">
        <f ca="1">RZ[Úroveň 9 bez koef. (P3a)]*RZ[[#This Row],[Počet MJCR (P0) pro "kg"]]</f>
        <v>0</v>
      </c>
      <c r="FH140" s="135">
        <f ca="1">IF(OFFSET(BG140,1,0,1,1)&lt;&gt;0,RZ[[#This Row],[Koeficient odhadu CR '[-'] (P1)]]*$BP140*SUMIFS(RZ[Úroveň 10 s koef. (P3)],RZ[0],AX140,RZ[Úroveň 2 (P0)],AY140,RZ[Úroveň 3 (P0)],AZ140,RZ[Úroveň 4 (P0)],BA140,RZ[Úroveň 5 (P0)],BB140,RZ[Úroveň 6 (P0)],BC140,RZ[Úroveň 7 (P0)],BD140,RZ[Úroveň 8 (P0)],BE140,RZ[Úroveň 9 (P0)],BF140),RZ[[#This Row],[Koeficient odhadu CR '[-'] (P1)]]*$BP140*$IQ140)</f>
        <v>0</v>
      </c>
      <c r="FI140" s="135">
        <f ca="1">IF(OFFSET(BG140,1,0,1,1)&lt;&gt;0,$BP140*SUMIFS(RZ[Úroveň 10 bez koef. (P3)],RZ[0],AX140,RZ[Úroveň 2 (P0)],AY140,RZ[Úroveň 3 (P0)],AZ140,RZ[Úroveň 4 (P0)],BA140,RZ[Úroveň 5 (P0)],BB140,RZ[Úroveň 6 (P0)],BC140,RZ[Úroveň 7 (P0)],BD140,RZ[Úroveň 8 (P0)],BE140,RZ[Úroveň 9 (P0)],BF140),$BP140*$IQ140)</f>
        <v>0</v>
      </c>
      <c r="FJ140" s="140">
        <f ca="1">RZ[[#This Row],[Úroveň 10 s koef. (P3a)]]*RZ[[#This Row],[Počet MJCR (P0) pro "kg"]]</f>
        <v>0</v>
      </c>
      <c r="FK140" s="140">
        <f ca="1">RZ[Úroveň 10 bez koef. (P3a)]*RZ[[#This Row],[Počet MJCR (P0) pro "kg"]]</f>
        <v>0</v>
      </c>
      <c r="FL140" s="140">
        <f ca="1">RZ[[#This Row],[Koeficient odhadu CR '[-'] (P1)]]*$BQ140*IQ140</f>
        <v>0</v>
      </c>
      <c r="FM140" s="236">
        <f ca="1">$BQ140*IQ140</f>
        <v>0</v>
      </c>
      <c r="FN140" s="194">
        <f ca="1">IF(BH140=1,EB140,IF(BI140=1,EF140,IF(BJ140=1,EJ140,IF(BK140=1,EN140,IF(BL140=1,ER140,IF(BM140=1,EV140,IF(BN140=1,EZ140,IF(BO140=1,FD140,IF(BP140=1,FH140,FL140)))))))))</f>
        <v>85</v>
      </c>
      <c r="FO140" s="238">
        <f ca="1">IF(BH140=1,EC140,IF(BI140=1,EG140,IF(BJ140=1,EK140,IF(BK140=1,EO140,IF(BL140=1,ES140,IF(BM140=1,EW140,IF(BN140=1,FA140,IF(BO140=1,FE140,IF(BP140=1,FI140,FM140)))))))))</f>
        <v>85</v>
      </c>
      <c r="FP140" s="135">
        <f t="shared" ref="FP140:FY140" ca="1" si="1262">BH140*$IK140</f>
        <v>0</v>
      </c>
      <c r="FQ140" s="135">
        <f t="shared" ca="1" si="1262"/>
        <v>12</v>
      </c>
      <c r="FR140" s="135">
        <f t="shared" ca="1" si="1262"/>
        <v>0</v>
      </c>
      <c r="FS140" s="135">
        <f t="shared" ca="1" si="1262"/>
        <v>0</v>
      </c>
      <c r="FT140" s="135">
        <f t="shared" ca="1" si="1262"/>
        <v>0</v>
      </c>
      <c r="FU140" s="135">
        <f t="shared" ca="1" si="1262"/>
        <v>0</v>
      </c>
      <c r="FV140" s="135">
        <f t="shared" ca="1" si="1262"/>
        <v>0</v>
      </c>
      <c r="FW140" s="135">
        <f t="shared" ca="1" si="1262"/>
        <v>0</v>
      </c>
      <c r="FX140" s="135">
        <f t="shared" ca="1" si="1262"/>
        <v>0</v>
      </c>
      <c r="FY140" s="135">
        <f t="shared" ca="1" si="1262"/>
        <v>0</v>
      </c>
      <c r="FZ140" s="140">
        <f ca="1">SUMIFS(RZ[Úroveň 1 (P6)],RZ[0],AX140)</f>
        <v>1</v>
      </c>
      <c r="GA140" s="140">
        <f ca="1">SUMIFS(RZ[Úroveň 2 (P6)],RZ[0],AX140,RZ[Úroveň 2 (P0)],AY140)</f>
        <v>12</v>
      </c>
      <c r="GB140" s="140">
        <f ca="1">SUMIFS(RZ[Úroveň 3 (P6)],RZ[0],AX140,RZ[Úroveň 2 (P0)],AY140,RZ[Úroveň 3 (P0)],AZ140)</f>
        <v>0</v>
      </c>
      <c r="GC140" s="140">
        <f ca="1">SUMIFS(RZ[Úroveň 4 (P6)],RZ[0],AX140,RZ[Úroveň 2 (P0)],AY140,RZ[Úroveň 3 (P0)],AZ140,RZ[Úroveň 4 (P0)],BA140)</f>
        <v>0</v>
      </c>
      <c r="GD140" s="140">
        <f ca="1">SUMIFS(RZ[Úroveň 5 (P6)],RZ[0],AX140,RZ[Úroveň 2 (P0)],AY140,RZ[Úroveň 3 (P0)],AZ140,RZ[Úroveň 4 (P0)],BA140,RZ[Úroveň 5 (P0)],BB140)</f>
        <v>0</v>
      </c>
      <c r="GE140" s="140">
        <f ca="1">SUMIFS(RZ[Úroveň 6 (P6)],RZ[0],AX140,RZ[Úroveň 2 (P0)],AY140,RZ[Úroveň 3 (P0)],AZ140,RZ[Úroveň 4 (P0)],BA140,RZ[Úroveň 5 (P0)],BB140,RZ[Úroveň 6 (P0)],BC140)</f>
        <v>0</v>
      </c>
      <c r="GF140" s="140">
        <f ca="1">SUMIFS(RZ[Úroveň 7 (P6)],RZ[0],AX140,RZ[Úroveň 2 (P0)],AY140,RZ[Úroveň 3 (P0)],AZ140,RZ[Úroveň 4 (P0)],BA140,RZ[Úroveň 5 (P0)],BB140,RZ[Úroveň 6 (P0)],BC140,RZ[Úroveň 7 (P0)],BD140)</f>
        <v>0</v>
      </c>
      <c r="GG140" s="140">
        <f ca="1">SUMIFS(RZ[Úroveň 8 (P6)],RZ[0],AX140,RZ[Úroveň 2 (P0)],AY140,RZ[Úroveň 3 (P0)],AZ140,RZ[Úroveň 4 (P0)],BA140,RZ[Úroveň 5 (P0)],BB140,RZ[Úroveň 6 (P0)],BC140,RZ[Úroveň 7 (P0)],BD140,RZ[Úroveň 8 (P0)],BE140)</f>
        <v>0</v>
      </c>
      <c r="GH140" s="140">
        <f ca="1">SUMIFS(RZ[Úroveň 9 (P6)],RZ[0],AX140,RZ[Úroveň 2 (P0)],AY140,RZ[Úroveň 3 (P0)],AZ140,RZ[Úroveň 4 (P0)],BA140,RZ[Úroveň 5 (P0)],BB140,RZ[Úroveň 6 (P0)],BC140,RZ[Úroveň 7 (P0)],BD140,RZ[Úroveň 8 (P0)],BE140,RZ[Úroveň 9 (P0)],BF140)</f>
        <v>0</v>
      </c>
      <c r="GI140" s="140">
        <f ca="1">SUMIFS(RZ[Úroveň 10 (P6)],RZ[0],AX140,RZ[Úroveň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GJ140" s="918">
        <f ca="1">IF(FZ140&lt;&gt;0,FZ140,1)*IF(GA140&lt;&gt;0,GA140,1)*IF(GB140&lt;&gt;0,GB140,1)*IF(GC140&lt;&gt;0,GC140,1)*IF(GD140&lt;&gt;0,GD140,1)*IF(GE140&lt;&gt;0,GE140,1)*IF(GF140&lt;&gt;0,GF140,1)*IF(GG140&lt;&gt;0,GG140,1)*IF(GH140&lt;&gt;0,GH140,1)*IF(GI140&lt;&gt;0,GI140,1)</f>
        <v>12</v>
      </c>
      <c r="GK140" s="808">
        <f t="shared" ref="GK140:GT140" si="1263">BH140*$IO140</f>
        <v>0</v>
      </c>
      <c r="GL140" s="808">
        <f t="shared" si="1263"/>
        <v>1</v>
      </c>
      <c r="GM140" s="808">
        <f t="shared" si="1263"/>
        <v>0</v>
      </c>
      <c r="GN140" s="808">
        <f t="shared" si="1263"/>
        <v>0</v>
      </c>
      <c r="GO140" s="808">
        <f t="shared" si="1263"/>
        <v>0</v>
      </c>
      <c r="GP140" s="808">
        <f t="shared" si="1263"/>
        <v>0</v>
      </c>
      <c r="GQ140" s="808">
        <f t="shared" si="1263"/>
        <v>0</v>
      </c>
      <c r="GR140" s="808">
        <f t="shared" si="1263"/>
        <v>0</v>
      </c>
      <c r="GS140" s="808">
        <f t="shared" si="1263"/>
        <v>0</v>
      </c>
      <c r="GT140" s="808">
        <f t="shared" si="1263"/>
        <v>0</v>
      </c>
      <c r="GU140" s="809">
        <f ca="1">SUMIFS(RZ[Sloupec1],RZ[0],AX140)</f>
        <v>1</v>
      </c>
      <c r="GV140" s="809">
        <f ca="1">SUMIFS(RZ[Sloupec2],RZ[0],AX140,RZ[Úroveň 2 (P0)],AY140)</f>
        <v>1</v>
      </c>
      <c r="GW140" s="809">
        <f ca="1">SUMIFS(RZ[Sloupec3],RZ[0],AX140,RZ[Úroveň 2 (P0)],AY140,RZ[Úroveň 3 (P0)],AZ140)</f>
        <v>0</v>
      </c>
      <c r="GX140" s="809">
        <f ca="1">SUMIFS(RZ[Sloupec4],RZ[0],AX140,RZ[Úroveň 2 (P0)],AY140,RZ[Úroveň 3 (P0)],AZ140,RZ[Úroveň 4 (P0)],BA140)</f>
        <v>0</v>
      </c>
      <c r="GY140" s="809">
        <f ca="1">SUMIFS(RZ[Sloupec5],RZ[0],AX140,RZ[Úroveň 2 (P0)],AY140,RZ[Úroveň 3 (P0)],AZ140,RZ[Úroveň 4 (P0)],BA140,RZ[Úroveň 5 (P0)],BB140)</f>
        <v>0</v>
      </c>
      <c r="GZ140" s="809">
        <f ca="1">SUMIFS(RZ[Sloupec6],RZ[0],AX140,RZ[Úroveň 2 (P0)],AY140,RZ[Úroveň 3 (P0)],AZ140,RZ[Úroveň 4 (P0)],BA140,RZ[Úroveň 5 (P0)],BB140,RZ[Úroveň 6 (P0)],BC140)</f>
        <v>0</v>
      </c>
      <c r="HA140" s="809">
        <f ca="1">SUMIFS(RZ[Sloupec62],RZ[0],AX140,RZ[Úroveň 2 (P0)],AY140,RZ[Úroveň 3 (P0)],AZ140,RZ[Úroveň 4 (P0)],BA140,RZ[Úroveň 5 (P0)],BB140,RZ[Úroveň 6 (P0)],BC140,RZ[Úroveň 7 (P0)],BD140)</f>
        <v>0</v>
      </c>
      <c r="HB140" s="809">
        <f ca="1">SUMIFS(RZ[Sloupec63],RZ[0],AX140,RZ[Úroveň 2 (P0)],AY140,RZ[Úroveň 3 (P0)],AZ140,RZ[Úroveň 4 (P0)],BA140,RZ[Úroveň 5 (P0)],BB140,RZ[Úroveň 6 (P0)],BC140,RZ[Úroveň 7 (P0)],BD140,RZ[Úroveň 8 (P0)],BE140)</f>
        <v>0</v>
      </c>
      <c r="HC140" s="809">
        <f ca="1">SUMIFS(RZ[Sloupec64],RZ[0],AX140,RZ[Úroveň 2 (P0)],AY140,RZ[Úroveň 3 (P0)],AZ140,RZ[Úroveň 4 (P0)],BA140,RZ[Úroveň 5 (P0)],BB140,RZ[Úroveň 6 (P0)],BC140,RZ[Úroveň 7 (P0)],BD140,RZ[Úroveň 8 (P0)],BE140,RZ[Úroveň 9 (P0)],BF140)</f>
        <v>0</v>
      </c>
      <c r="HD140" s="809">
        <f ca="1">SUMIFS(RZ[Sloupec65],RZ[0],AX140,RZ[Úroveň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HE140" s="919">
        <f ca="1">IF(GU140&lt;&gt;0,GU140,1)*IF(GV140&lt;&gt;0,GV140,1)*IF(GW140&lt;&gt;0,GW140,1)*IF(GX140&lt;&gt;0,GX140,1)*IF(GY140&lt;&gt;0,GY140,1)*IF(GZ140&lt;&gt;0,GZ140,1)*IF(HA140&lt;&gt;0,HA140,1)*IF(HB140&lt;&gt;0,HB140,1)*IF(HC140&lt;&gt;0,HC140,1)*IF(HD140&lt;&gt;0,HD140,1)</f>
        <v>1</v>
      </c>
      <c r="HF140" s="920" t="str">
        <f>IF($IW140=$MJ$15,IF(MK140="","",MK140),IF(IY140="","",IY140))</f>
        <v/>
      </c>
      <c r="HG140" s="94" t="str">
        <f>IF($IW140=$MJ$15,IF($MJ140=1,$MS140,""),IF(IZ140="","",IZ140))</f>
        <v/>
      </c>
      <c r="HH140" s="95" t="str">
        <f>IF($IW140=$MJ$15,IF($MJ140=2,$MS140,""),IF(JA140="","",JA140))</f>
        <v>Úpinka M12 x 100</v>
      </c>
      <c r="HI140" s="95" t="str">
        <f>IF($IW140=$MJ$15,IF($MJ140=3,$MS140,""),IF(JB140="","",JB140))</f>
        <v/>
      </c>
      <c r="HJ140" s="96" t="str">
        <f>IF($IW140=$MJ$15,IF($MJ140=4,$MS140,""),IF(JC140="","",JC140))</f>
        <v/>
      </c>
      <c r="HK140" s="96" t="str">
        <f>IF($IW140=$MJ$15,IF($MJ140=5,$MS140,""),IF(JD140="","",JD140))</f>
        <v/>
      </c>
      <c r="HL140" s="96" t="str">
        <f>IF($IW140=$MJ$15,IF($MJ140=6,$MS140,""),IF(JE140="","",JE140))</f>
        <v/>
      </c>
      <c r="HM140" s="96" t="str">
        <f>IF($IW140=$MJ$15,IF($MJ140=7,$MS140,""),IF(JF140="","",JF140))</f>
        <v/>
      </c>
      <c r="HN140" s="96" t="str">
        <f>IF($IW140=$MJ$15,IF($MJ140=8,$MS140,""),IF(JG140="","",JG140))</f>
        <v/>
      </c>
      <c r="HO140" s="96" t="str">
        <f>IF($IW140=$MJ$15,IF($MJ140=9,$MS140,""),IF(JH140="","",JH140))</f>
        <v/>
      </c>
      <c r="HP140" s="96" t="str">
        <f>IF($IW140=$MJ$15,IF($MJ140=10,$MS140,""),IF(JI140="","",JI140))</f>
        <v/>
      </c>
      <c r="HQ140" s="145" t="str">
        <f>IF($IW140=$MJ$15,IF(ML140="","N/A",ML140),IF(JJ140="","N/A",JJ140))</f>
        <v>STO3</v>
      </c>
      <c r="HR140" s="921" t="str">
        <f>IF($IW140=$MJ$15,IF(MM140="","",MM140),IF(JK140="","",JK140))</f>
        <v/>
      </c>
      <c r="HS140" s="173">
        <f>IF($IW140=$JL$15,JL140,IF($IW140=$KE$15,KE140,IF($IW140=$KX$15,KX140,IF($IW140=$LQ$15,LQ140,IF($IW140=$MJ$15,NE140,0)))))</f>
        <v>0</v>
      </c>
      <c r="HT140" s="100">
        <f>IF($IW140=$JL$15,JM140,IF($IW140=$KE$15,KF140,IF($IW140=$KX$15,KY140,IF($IW140=$LQ$15,LR140,IF($IW140=$MJ$15,NF140,0)))))</f>
        <v>0</v>
      </c>
      <c r="HU140" s="100">
        <f>IF($IW140=$JL$15,JN140,IF($IW140=$KE$15,KG140,IF($IW140=$KX$15,KZ140,IF($IW140=$LQ$15,LS140,IF($IW140=$MJ$15,NG140,0)))))</f>
        <v>0</v>
      </c>
      <c r="HV140" s="908">
        <f>IF($IW140=$JL$15,JU140,IF($IW140=$KE$15,KN140,IF($IW140=$KX$15,LG140,IF($IW140=$LQ$15,LZ140,IF($IW140=$MJ$15,NN140,0)))))</f>
        <v>0</v>
      </c>
      <c r="HW140" s="922">
        <f>IF($IW140=$JL$15,JV140,IF($IW140=$KE$15,KO140,IF($IW140=$KX$15,LH140,IF($IW140=$LQ$15,MA140,IF($IW140=$MJ$15,NO140,0)))))</f>
        <v>0</v>
      </c>
      <c r="HX140" s="224">
        <f>IF($IW140=$JL$15,JW140,IF($IW140=$KE$15,KP140,IF($IW140=$KX$15,LI140,IF($IW140=$LQ$15,MB140,IF($IW140=$MJ$15,NP140,0)))))</f>
        <v>0</v>
      </c>
      <c r="HY140" s="263" t="str">
        <f>IF($IW140=$JL$15,JS140,IF($IW140=$KE$15,KL140,IF($IW140=$KX$15,LE140,IF($IW140=$LQ$15,LX140,IF($IW140=$MJ$15,NL140,0)))))</f>
        <v>S</v>
      </c>
      <c r="HZ140" s="263">
        <f>IF($IW140=$JL$15,KC140,IF($IW140=$KE$15,KV140,IF($IW140=$KX$15,LO140,IF($IW140=$LQ$15,MH140,IF($IW140=$MJ$15,NV140,0)))))</f>
        <v>0</v>
      </c>
      <c r="IA140" s="150">
        <f>IF($IW140=$JL$15,JR140,IF($IW140=$KE$15,KK140,IF($IW140=$KX$15,LD140,IF($IW140=$LQ$15,LW140,IF($IW140=$MJ$15,NK140,0)))))</f>
        <v>1</v>
      </c>
      <c r="IB140" s="319">
        <f>IF($IW140=$JL$15,JZ140,IF($IW140=$KE$15,KS140,IF($IW140=$KX$15,LL140,IF($IW140=$LQ$15,ME140,IF($IW140=$MJ$15,NS140,0)))))</f>
        <v>0</v>
      </c>
      <c r="IC140" s="923">
        <f>IF($IW140=$JL$15,KB140,IF($IW140=$KE$15,KU140,IF($IW140=$KX$15,LN140,IF($IW140=$LQ$15,MG140,IF($IW140=$MJ$15,NU140,0)))))</f>
        <v>0</v>
      </c>
      <c r="ID140" s="924" t="str">
        <f ca="1">IF((BH140+OFFSET(BH140,1,1,1,1))=2,"--",IF((BI140+OFFSET(BI140,1,1,1,1))=2,"--",IF((BJ140+OFFSET(BJ140,1,1,1,1))=2,"--",IF((BK140+OFFSET(BK140,1,1,1,1))=2,"--",IF((BL140+OFFSET(BL140,1,1,1,1))=2,"--",IF((BM140+OFFSET(BM140,1,1,1,1))=2,"--",IF((BN140+OFFSET(BN140,1,1,1,1))=2,"--",IF((BO140+OFFSET(BO140,1,1,1,1))=2,"--",IF((BP140+OFFSET(BP140,1,1,1,1))=2,"--",IF((BQ140+OFFSET(BQ140,1,1,1,1))=2,"--","OK"))))))))))</f>
        <v>OK</v>
      </c>
      <c r="IE140" s="201" t="str">
        <f>IF($IW140=$JL$15,JO140,IF($IW140=$KE$15,KH140,IF($IW140=$KX$15,LA140,IF($IW140=$LQ$15,LT140,IF($IW140=$MJ$15,NH140,0)))))</f>
        <v>ks</v>
      </c>
      <c r="IF140" s="145">
        <f>IF($IW140=$JL$15,JP140,IF($IW140=$KE$15,KI140,IF($IW140=$KX$15,LB140,IF($IW140=$LQ$15,LU140,IF($IW140=$MJ$15,NI140,0)))))</f>
        <v>30</v>
      </c>
      <c r="IG140" s="216">
        <f>IF($IW140=$JL$15,JQ140,IF($IW140=$KE$15,KJ140,IF($IW140=$KX$15,LC140,IF($IW140=$LQ$15,LV140,IF($IW140=$MJ$15,NJ140,0)))))</f>
        <v>0.4</v>
      </c>
      <c r="IH140" s="217">
        <f>IF(IA140=0,1,IA140)</f>
        <v>1</v>
      </c>
      <c r="II140" s="224" t="str">
        <f ca="1">IF(RZ[[#This Row],[Rozhodný sloupec indikativní ceny]]=1,"kg",IF($IW140=$JL$15,IF(JX140=0,JO140,JX140),IF($IW140=$KE$15,IF(KQ140=0,KH140,KQ140),IF($IW140=$KX$15,IF(LJ140=0,LA140,LJ140),IF($IW140=$LQ$15,IF(MC140=0,LT140,MC140),IF($IW140=$MJ$15,IF(NQ140=0,NH140,NQ140),0))))))</f>
        <v>kg</v>
      </c>
      <c r="IJ140" s="224">
        <f ca="1">IF((BH140+OFFSET(BH140,1,1,1,1))=2,RZ[[#This Row],[Počet MJHR (P0)]],IF((BI140+OFFSET(BI140,1,1,1,1))=2,RZ[[#This Row],[Počet MJHR (P0)]],IF((BJ140+OFFSET(BJ140,1,1,1,1))=2,RZ[[#This Row],[Počet MJHR (P0)]],IF((BK140+OFFSET(BK140,1,1,1,1))=2,RZ[[#This Row],[Počet MJHR (P0)]],IF((BL140+OFFSET(BL140,1,1,1,1))=2,RZ[[#This Row],[Počet MJHR (P0)]],IF((BM140+OFFSET(BM140,1,1,1,1))=2,RZ[[#This Row],[Počet MJHR (P0)]],IF((BN140+OFFSET(BN140,1,1,1,1))=2,RZ[[#This Row],[Počet MJHR (P0)]],IF((BO140+OFFSET(BO140,1,1,1,1))=2,RZ[[#This Row],[Počet MJHR (P0)]],IF((BP140+OFFSET(BP140,1,1,1,1))=2,RZ[[#This Row],[Počet MJHR (P0)]],IF((BQ140+OFFSET(BQ140,1,1,1,1))=2,RZ[[#This Row],[Počet MJHR (P0)]],IF(RZ[[#This Row],[Měrná jednotka CR (MJCR) (P0)]]=RZ[[#This Row],[Měrná jednotka HR '[MJHR'] (P0)]],RZ[[#This Row],[Počet MJHR (P0)]],IF($IW140=$JL$15,JY140,IF($IW140=$KE$15,KR140,IF($IW140=$KX$15,LK140,IF($IW140=$LQ$15,MD140,IF($IW140=$MJ$15,NR140,0))))))))))))))))</f>
        <v>0</v>
      </c>
      <c r="IK1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</v>
      </c>
      <c r="IL140" s="145">
        <f ca="1">IF(AND(RZ[[#This Row],[Jednotková cena bez DPH '[cena/MJCR'] (P0)]]=0,RZ[[#This Row],[Indikativní jednotková cena '[CZK/kg'] (P1)]]&lt;&gt;0),1,0)</f>
        <v>1</v>
      </c>
      <c r="IM140" s="217">
        <f ca="1">VLOOKUP(RZ[[#This Row],[Kód položek]],INDIKAT_CENA,2,FALSE)</f>
        <v>85</v>
      </c>
      <c r="IN140" s="222">
        <f ca="1">IF(RZ[[#This Row],[Rozhodný sloupec indikativní ceny]]=1,RZ[[#This Row],[Indikativní jednotková cena '[CZK/kg'] (P1)]],RZ[[#This Row],[Jednotková cena bez DPH '[cena/MJCR'] (P0)]])</f>
        <v>85</v>
      </c>
      <c r="IO140" s="222">
        <f>IF(IC140=0,1,IC140)</f>
        <v>1</v>
      </c>
      <c r="IP140" s="224">
        <f ca="1">IF(RZ[[#This Row],[Rozhodný sloupec indikativní ceny]]=1,1,IF($IW140=$JL$15,KA140,IF($IW140=$KE$15,KT140,IF($IW140=$KX$15,LM140,IF($IW140=$LQ$15,MF140,IF($IW140=$MJ$15,NT140,0))))))</f>
        <v>1</v>
      </c>
      <c r="IQ140" s="225">
        <f ca="1">IF(RZ[[#This Row],[Jednotková cena bez DPH '[cena/MJCR'] (P1)]]="",0,IF(IP140=0,0,(RZ[[#This Row],[Jednotková cena bez DPH '[cena/MJCR'] (P1)]]*VLOOKUP(IP140,$BR$7:$BT$10,3))))</f>
        <v>85</v>
      </c>
      <c r="IR140" s="737"/>
      <c r="IS140" s="627">
        <f>IF(HY140=0,"",VLOOKUP(RZ[[#This Row],[Stav Projekce (P0)]],Vstupy!$E$11:'Vstupy'!$E$11:$H$17,4,FALSE))</f>
        <v>100</v>
      </c>
      <c r="IT140" s="925" t="str">
        <f>IF(RZ[[#This Row],[Stav Projekce (P0)]]=0,"",RZ[[#This Row],[Stav Projekce (P0)]])</f>
        <v>S</v>
      </c>
      <c r="IU140" s="925" t="str">
        <f>IF(RZ[[#This Row],[Stav Nákup (P0)]]=0,"",RZ[[#This Row],[Stav Nákup (P0)]])</f>
        <v/>
      </c>
      <c r="IV140" s="926" t="str">
        <f>IF(HV140=0,"",HV140)</f>
        <v/>
      </c>
      <c r="IW140" s="641">
        <v>1</v>
      </c>
      <c r="IX140" s="630"/>
      <c r="IY140" s="264"/>
      <c r="IZ140" s="648"/>
      <c r="JA140" s="100" t="s">
        <v>757</v>
      </c>
      <c r="JB140" s="100"/>
      <c r="JC140" s="100"/>
      <c r="JD140" s="100"/>
      <c r="JE140" s="100"/>
      <c r="JF140" s="100"/>
      <c r="JG140" s="100"/>
      <c r="JH140" s="100"/>
      <c r="JI140" s="100"/>
      <c r="JJ140" s="145" t="s">
        <v>784</v>
      </c>
      <c r="JK140" s="529"/>
      <c r="JL140" s="286"/>
      <c r="JM140" s="100"/>
      <c r="JN140" s="100"/>
      <c r="JO140" s="145" t="s">
        <v>35</v>
      </c>
      <c r="JP140" s="117">
        <v>30</v>
      </c>
      <c r="JQ140" s="117">
        <v>0.4</v>
      </c>
      <c r="JR140" s="148">
        <v>1</v>
      </c>
      <c r="JS140" s="145" t="s">
        <v>602</v>
      </c>
      <c r="JT140" s="631"/>
      <c r="JU140" s="148"/>
      <c r="JV140" s="154"/>
      <c r="JW140" s="145"/>
      <c r="JX140" s="210"/>
      <c r="JY140" s="117"/>
      <c r="JZ140" s="662"/>
      <c r="KA140" s="145"/>
      <c r="KB140" s="148"/>
      <c r="KC140" s="148"/>
      <c r="KD140" s="644"/>
      <c r="KE140" s="286"/>
      <c r="KF140" s="100"/>
      <c r="KG140" s="100"/>
      <c r="KH140" s="210"/>
      <c r="KI140" s="117"/>
      <c r="KJ140" s="117"/>
      <c r="KK140" s="148"/>
      <c r="KL140" s="145"/>
      <c r="KM140" s="632"/>
      <c r="KN140" s="148"/>
      <c r="KO140" s="154"/>
      <c r="KP140" s="154"/>
      <c r="KQ140" s="210"/>
      <c r="KR140" s="117"/>
      <c r="KS140" s="211"/>
      <c r="KT140" s="145"/>
      <c r="KU140" s="148"/>
      <c r="KV140" s="148"/>
      <c r="KW140" s="265"/>
      <c r="KX140" s="286"/>
      <c r="KY140" s="100"/>
      <c r="KZ140" s="100"/>
      <c r="LA140" s="210"/>
      <c r="LB140" s="117"/>
      <c r="LC140" s="117"/>
      <c r="LD140" s="148"/>
      <c r="LE140" s="145"/>
      <c r="LF140" s="632"/>
      <c r="LG140" s="148"/>
      <c r="LH140" s="154"/>
      <c r="LI140" s="154"/>
      <c r="LJ140" s="154"/>
      <c r="LK140" s="117"/>
      <c r="LL140" s="211"/>
      <c r="LM140" s="210"/>
      <c r="LN140" s="148"/>
      <c r="LO140" s="148"/>
      <c r="LP140" s="265"/>
      <c r="LQ140" s="286"/>
      <c r="LR140" s="100"/>
      <c r="LS140" s="100"/>
      <c r="LT140" s="210"/>
      <c r="LU140" s="117"/>
      <c r="LV140" s="117"/>
      <c r="LW140" s="148"/>
      <c r="LX140" s="145"/>
      <c r="LY140" s="632"/>
      <c r="LZ140" s="148"/>
      <c r="MA140" s="154"/>
      <c r="MB140" s="154"/>
      <c r="MC140" s="145"/>
      <c r="MD140" s="117"/>
      <c r="ME140" s="211"/>
      <c r="MF140" s="210"/>
      <c r="MG140" s="148"/>
      <c r="MH140" s="148"/>
      <c r="MI140" s="265"/>
      <c r="MJ140" s="647"/>
      <c r="MK140" s="264"/>
      <c r="ML140" s="153"/>
      <c r="MM140" s="153"/>
      <c r="MN140" s="153"/>
      <c r="MO140" s="153"/>
      <c r="MP140" s="153"/>
      <c r="MQ140" s="153"/>
      <c r="MR140" s="153"/>
      <c r="MS140" s="99"/>
      <c r="MT140" s="99"/>
      <c r="MU140" s="99"/>
      <c r="MV140" s="99"/>
      <c r="MW140" s="99"/>
      <c r="MX140" s="99"/>
      <c r="MY140" s="153"/>
      <c r="MZ140" s="153"/>
      <c r="NA140" s="153"/>
      <c r="NB140" s="153"/>
      <c r="NC140" s="153"/>
      <c r="ND140" s="153"/>
      <c r="NE140" s="153"/>
      <c r="NF140" s="153"/>
      <c r="NG140" s="153"/>
      <c r="NH140" s="330" t="str">
        <f>"ks"</f>
        <v>ks</v>
      </c>
      <c r="NI140" s="797">
        <f>RZ[[#This Row],[Počet ks (K)]]</f>
        <v>0</v>
      </c>
      <c r="NJ140" s="798">
        <f>RZ[[#This Row],[Hmotnost '[kg/ks'] (K)]]</f>
        <v>0</v>
      </c>
      <c r="NK140" s="153"/>
      <c r="NL140" s="153"/>
      <c r="NM140" s="632"/>
      <c r="NN140" s="153"/>
      <c r="NO140" s="153"/>
      <c r="NP140" s="153"/>
      <c r="NQ140" s="153"/>
      <c r="NR140" s="153"/>
      <c r="NS140" s="153"/>
      <c r="NT140" s="153"/>
      <c r="NU140" s="153"/>
      <c r="NV140" s="148"/>
      <c r="NW140" s="633"/>
    </row>
    <row r="141" spans="2:387" ht="15.95" customHeight="1" thickBot="1" x14ac:dyDescent="0.4">
      <c r="B141" s="118" t="str">
        <f t="shared" si="1"/>
        <v/>
      </c>
      <c r="C1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1" s="262" t="str">
        <f t="shared" si="2"/>
        <v xml:space="preserve">  Spojovací materiál</v>
      </c>
      <c r="E141" s="120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Row],[Kód položek (P2)]]))))))))))</f>
        <v>STSM</v>
      </c>
      <c r="F141" s="122" t="str">
        <f t="shared" si="3"/>
        <v>N/A</v>
      </c>
      <c r="G141" s="121" t="str">
        <f t="shared" si="4"/>
        <v/>
      </c>
      <c r="H141" s="122" t="str">
        <f t="shared" si="5"/>
        <v/>
      </c>
      <c r="I141" s="123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HR '[MJHR'] (P0)]]))))))))))</f>
        <v>ks</v>
      </c>
      <c r="J141" s="123">
        <f t="shared" si="6"/>
        <v>1</v>
      </c>
      <c r="K141" s="151">
        <f>RZ[[#This Row],[Koeficient odhadu HR '[-'] (P1)]]</f>
        <v>1</v>
      </c>
      <c r="L141" s="124">
        <f ca="1">RZ[[#This Row],[Jednotková hmotnost s koef. '[kg/MJHR'] (P0)]]</f>
        <v>621.65499999999997</v>
      </c>
      <c r="M141" s="124">
        <f t="shared" ca="1" si="7"/>
        <v>0</v>
      </c>
      <c r="N141" s="125">
        <f t="shared" ca="1" si="8"/>
        <v>621.65499999999997</v>
      </c>
      <c r="O141" s="125">
        <f t="shared" ca="1" si="9"/>
        <v>0</v>
      </c>
      <c r="P141" s="328" t="str">
        <f t="shared" si="10"/>
        <v/>
      </c>
      <c r="Q141" s="743">
        <f ca="1">RZ[[#This Row],[Počet MJHR v rozpadu (P0)]]</f>
        <v>1</v>
      </c>
      <c r="R141" s="439" t="str">
        <f t="shared" si="11"/>
        <v/>
      </c>
      <c r="S141" s="129" t="str">
        <f t="shared" si="12"/>
        <v/>
      </c>
      <c r="T141" s="130" t="str">
        <f t="shared" si="13"/>
        <v/>
      </c>
      <c r="U141" s="126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CR (MJCR) (P0)]]))))))))))</f>
        <v>kg</v>
      </c>
      <c r="V141" s="575">
        <f t="shared" ca="1" si="14"/>
        <v>621.65499999999997</v>
      </c>
      <c r="W141" s="322">
        <f>RZ[[#This Row],[Koeficient odhadu CR '[-'] (P1)]]</f>
        <v>1</v>
      </c>
      <c r="X141" s="440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Row],[Jednotková cena bez DPH '[cena/MJCR'] (P1)]]*RZ[[#This Row],[Koeficient odhadu CR '[-']]]))))))))))</f>
        <v>110</v>
      </c>
      <c r="Y141" s="440">
        <f t="shared" ca="1" si="108"/>
        <v>0</v>
      </c>
      <c r="Z141" s="142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VLOOKUP(IP141,$BR$7:$BS$11,2,FALSE)))))))))))</f>
        <v>CZK</v>
      </c>
      <c r="AA141" s="811">
        <f t="shared" ca="1" si="16"/>
        <v>621.65499999999997</v>
      </c>
      <c r="AB141" s="814">
        <f ca="1">RZ[[#This Row],[Kumulovaný koeficient v rozpadu (P0)]]</f>
        <v>1</v>
      </c>
      <c r="AC141" s="260"/>
      <c r="AD141" s="510">
        <f ca="1">RZ[[#This Row],[Jednotková cena bez DPH '[cena/MJCR'] s koef. (P0)]]/RZ[[#This Row],[Koeficient odhadu CR '[-']]]*RZ[[#This Row],[Kumulovaný koeficient odhadu CR  '[-']]]</f>
        <v>110</v>
      </c>
      <c r="AE141" s="511">
        <f t="shared" ca="1" si="17"/>
        <v>68382.05</v>
      </c>
      <c r="AF141" s="512">
        <f ca="1">-IF(ISNUMBER(AA141),RZ[[#This Row],[Celková cena bez DPH (1)]]-RZ[[#This Row],[Jednotková cena bez DPH '[cena/MJCR'] bez koef. (P0)]]*AA141,0)</f>
        <v>0</v>
      </c>
      <c r="AG1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141" s="261"/>
      <c r="AI141" s="510">
        <f t="shared" ca="1" si="18"/>
        <v>4.0740740740740744</v>
      </c>
      <c r="AJ141" s="511">
        <f t="shared" ca="1" si="19"/>
        <v>2532.6685185185188</v>
      </c>
      <c r="AK141" s="512">
        <f t="shared" ca="1" si="20"/>
        <v>0</v>
      </c>
      <c r="AL141" s="753">
        <f ca="1">RZ[[#This Row],[Kilogramová cena bez DPH '[cena/kg'] (1)]]/$AK$13</f>
        <v>4.0740740740740744</v>
      </c>
      <c r="AM141" s="261"/>
      <c r="AN141" s="510">
        <f t="shared" ca="1" si="21"/>
        <v>5.3140096618357493</v>
      </c>
      <c r="AO141" s="511">
        <f t="shared" ca="1" si="22"/>
        <v>3303.4806763285028</v>
      </c>
      <c r="AP141" s="512">
        <f t="shared" ca="1" si="23"/>
        <v>0</v>
      </c>
      <c r="AQ141" s="753">
        <f ca="1">RZ[[#This Row],[Kilogramová cena bez DPH '[cena/kg'] (1)]]/$AP$13</f>
        <v>5.3140096618357493</v>
      </c>
      <c r="AR141" s="261"/>
      <c r="AS141" s="510">
        <f t="shared" ca="1" si="24"/>
        <v>3.0087527352297592</v>
      </c>
      <c r="AT141" s="511">
        <f t="shared" ca="1" si="25"/>
        <v>1870.4061816192559</v>
      </c>
      <c r="AU141" s="511">
        <f t="shared" ca="1" si="26"/>
        <v>0</v>
      </c>
      <c r="AV141" s="767">
        <f ca="1">RZ[[#This Row],[Kilogramová cena bez DPH '[cena/kg'] (1)]]/$AU$13</f>
        <v>3.0087527352297596</v>
      </c>
      <c r="AW141" s="165"/>
      <c r="AX141" s="110">
        <f t="shared" ca="1" si="27"/>
        <v>2</v>
      </c>
      <c r="AY141" s="55">
        <f t="shared" ca="1" si="28"/>
        <v>24</v>
      </c>
      <c r="AZ141" s="111">
        <f t="shared" ca="1" si="29"/>
        <v>0</v>
      </c>
      <c r="BA141" s="111">
        <f t="shared" ca="1" si="30"/>
        <v>0</v>
      </c>
      <c r="BB141" s="111">
        <f t="shared" ca="1" si="31"/>
        <v>0</v>
      </c>
      <c r="BC141" s="111">
        <f t="shared" ca="1" si="32"/>
        <v>0</v>
      </c>
      <c r="BD141" s="111">
        <f t="shared" ca="1" si="33"/>
        <v>0</v>
      </c>
      <c r="BE141" s="111">
        <f t="shared" ca="1" si="109"/>
        <v>0</v>
      </c>
      <c r="BF141" s="111">
        <f t="shared" ca="1" si="34"/>
        <v>0</v>
      </c>
      <c r="BG141" s="112">
        <f t="shared" ca="1" si="35"/>
        <v>0</v>
      </c>
      <c r="BH141" s="110">
        <f t="shared" si="110"/>
        <v>0</v>
      </c>
      <c r="BI141" s="55">
        <f t="shared" si="111"/>
        <v>1</v>
      </c>
      <c r="BJ141" s="55">
        <f t="shared" si="112"/>
        <v>0</v>
      </c>
      <c r="BK141" s="111">
        <f t="shared" si="113"/>
        <v>0</v>
      </c>
      <c r="BL141" s="111">
        <f t="shared" si="114"/>
        <v>0</v>
      </c>
      <c r="BM141" s="111">
        <f t="shared" si="115"/>
        <v>0</v>
      </c>
      <c r="BN141" s="111">
        <f t="shared" si="116"/>
        <v>0</v>
      </c>
      <c r="BO141" s="111">
        <f t="shared" si="117"/>
        <v>0</v>
      </c>
      <c r="BP141" s="111">
        <f t="shared" si="118"/>
        <v>0</v>
      </c>
      <c r="BQ141" s="112">
        <f t="shared" si="119"/>
        <v>0</v>
      </c>
      <c r="BR141" s="186">
        <f ca="1">IF(OFFSET(AY141,1,0,1,1)&lt;&gt;0,RZ[[#This Row],[Koeficient odhadu HR '[-'] (P1)]]*$BH141*SUMIFS(RZ[Úroveň 2 s koef. (P2)],RZ[0],AX141),RZ[[#This Row],[Koeficient odhadu HR '[-'] (P1)]]*$BH141*$IG141)</f>
        <v>0</v>
      </c>
      <c r="BS141" s="186">
        <f ca="1">IF(OFFSET(AY141,1,0,1,1)&lt;&gt;0,$BH141*SUMIFS(RZ[Úroveň 2 bez koef. (P2)],RZ[0],AX141),$BH141*$IG141)</f>
        <v>0</v>
      </c>
      <c r="BT141" s="138">
        <f ca="1">RZ[[#This Row],[Úroveň 2 s koef. (P2a)]]*RZ[[#This Row],[Počet MJHR (P0)]]</f>
        <v>621.65499999999997</v>
      </c>
      <c r="BU141" s="138">
        <f ca="1">RZ[[#This Row],[Úroveň 2 bez koef. (P2a)]]*RZ[[#This Row],[Počet MJHR (P0)]]</f>
        <v>621.65499999999997</v>
      </c>
      <c r="BV141" s="138">
        <f ca="1">IF(OFFSET(AZ141,1,0,1,1)&lt;&gt;0,RZ[[#This Row],[Koeficient odhadu HR '[-'] (P1)]]*$BI141*SUMIFS(RZ[Úroveň 3 s koef. (P2)],RZ[0],AX141,RZ[Úroveň 2 (P0)],AY141),RZ[[#This Row],[Koeficient odhadu HR '[-'] (P1)]]*$BI141*$IG141)</f>
        <v>621.65499999999997</v>
      </c>
      <c r="BW141" s="138">
        <f ca="1">IF(OFFSET(AZ141,1,0,1,1)&lt;&gt;0,$BI141*SUMIFS(RZ[Úroveň 3 bez koef. (P2)],RZ[0],AX141,RZ[Úroveň 2 (P0)],AY141),$BI141*$IG141)</f>
        <v>621.65499999999997</v>
      </c>
      <c r="BX141" s="132">
        <f ca="1">RZ[[#This Row],[Úroveň 3 s koef. (P2a)]]*RZ[[#This Row],[Počet MJHR (P0)]]</f>
        <v>0</v>
      </c>
      <c r="BY141" s="132">
        <f ca="1">RZ[Úroveň 3 bez koef. (P2a)]*RZ[[#This Row],[Počet MJHR (P0)]]</f>
        <v>0</v>
      </c>
      <c r="BZ141" s="132">
        <f ca="1">IF(OFFSET(BA141,1,0,1,1)&lt;&gt;0,RZ[[#This Row],[Koeficient odhadu HR '[-'] (P1)]]*$BJ141*SUMIFS(RZ[Úroveň 4 s koef. (P2)],RZ[0],AX141,RZ[Úroveň 2 (P0)],AY141,RZ[Úroveň 3 (P0)],AZ141),RZ[[#This Row],[Koeficient odhadu HR '[-'] (P1)]]*$BJ141*$IG141)</f>
        <v>0</v>
      </c>
      <c r="CA141" s="132">
        <f ca="1">IF(OFFSET(BA141,1,0,1,1)&lt;&gt;0,$BJ141*SUMIFS(RZ[Úroveň 4 bez koef. (P2)],RZ[0],AX141,RZ[Úroveň 2 (P0)],AY141,RZ[Úroveň 3 (P0)],AZ141),$BJ141*$IG141)</f>
        <v>0</v>
      </c>
      <c r="CB141" s="138">
        <f ca="1">RZ[[#This Row],[Úroveň 4 s koef. (P2a)]]*RZ[[#This Row],[Počet MJHR (P0)]]</f>
        <v>0</v>
      </c>
      <c r="CC141" s="138">
        <f ca="1">RZ[Úroveň 4 bez koef. (P2a)]*RZ[[#This Row],[Počet MJHR (P0)]]</f>
        <v>0</v>
      </c>
      <c r="CD141" s="138">
        <f ca="1">IF(OFFSET(BB141,1,0,1,1)&lt;&gt;0,RZ[[#This Row],[Koeficient odhadu HR '[-'] (P1)]]*$BK141*SUMIFS(RZ[Úroveň 5 s koef. (P2)],RZ[0],AX141,RZ[Úroveň 2 (P0)],AY141,RZ[Úroveň 3 (P0)],AZ141,RZ[Úroveň 4 (P0)],BA141),RZ[[#This Row],[Koeficient odhadu HR '[-'] (P1)]]*$BK141*$IG141)</f>
        <v>0</v>
      </c>
      <c r="CE141" s="138">
        <f ca="1">IF(OFFSET(BB141,1,0,1,1)&lt;&gt;0,$BK141*SUMIFS(RZ[Úroveň 5 bez koef. (P2)],RZ[0],AX141,RZ[Úroveň 2 (P0)],AY141,RZ[Úroveň 3 (P0)],AZ141,RZ[Úroveň 4 (P0)],BA141),$BK141*$IG141)</f>
        <v>0</v>
      </c>
      <c r="CF141" s="132">
        <f ca="1">RZ[[#This Row],[Úroveň 5 s koef. (P2a)]]*RZ[[#This Row],[Počet MJHR (P0)]]</f>
        <v>0</v>
      </c>
      <c r="CG141" s="132">
        <f ca="1">RZ[Úroveň 5 bez koef. (P2a)]*RZ[[#This Row],[Počet MJHR (P0)]]</f>
        <v>0</v>
      </c>
      <c r="CH141" s="132">
        <f ca="1">IF(OFFSET(BC141,1,0,1,1)&lt;&gt;0,RZ[[#This Row],[Koeficient odhadu HR '[-'] (P1)]]*$BL141*SUMIFS(RZ[Úroveň 6 s koef. (P2)],RZ[0],AX141,RZ[Úroveň 2 (P0)],AY141,RZ[Úroveň 3 (P0)],AZ141,RZ[Úroveň 4 (P0)],BA141,RZ[Úroveň 5 (P0)],BB141),RZ[[#This Row],[Koeficient odhadu HR '[-'] (P1)]]*$BL141*$IG141)</f>
        <v>0</v>
      </c>
      <c r="CI141" s="132">
        <f ca="1">IF(OFFSET(BC141,1,0,1,1)&lt;&gt;0,$BL141*SUMIFS(RZ[Úroveň 6 bez koef. (P2)],RZ[0],AX141,RZ[Úroveň 2 (P0)],AY141,RZ[Úroveň 3 (P0)],AZ141,RZ[Úroveň 4 (P0)],BA141,RZ[Úroveň 5 (P0)],BB141),$BL141*$IG141)</f>
        <v>0</v>
      </c>
      <c r="CJ141" s="138">
        <f ca="1">RZ[[#This Row],[Úroveň 6 s koef. (P2a)]]*RZ[[#This Row],[Počet MJHR (P0)]]</f>
        <v>0</v>
      </c>
      <c r="CK141" s="138">
        <f ca="1">RZ[Úroveň 6 bez koef. (P2a)]*RZ[[#This Row],[Počet MJHR (P0)]]</f>
        <v>0</v>
      </c>
      <c r="CL141" s="138">
        <f ca="1">IF(OFFSET(BD141,1,0,1,1)&lt;&gt;0,RZ[[#This Row],[Koeficient odhadu HR '[-'] (P1)]]*$BM141*SUMIFS(RZ[Úroveň 7 s koef. (P2)],RZ[0],AX141,RZ[Úroveň 2 (P0)],AY141,RZ[Úroveň 3 (P0)],AZ141,RZ[Úroveň 4 (P0)],BA141,RZ[Úroveň 5 (P0)],BB141,RZ[Úroveň 6 (P0)],BC141),RZ[[#This Row],[Koeficient odhadu HR '[-'] (P1)]]*$BM141*$IG141)</f>
        <v>0</v>
      </c>
      <c r="CM141" s="138">
        <f ca="1">IF(OFFSET(BD141,1,0,1,1)&lt;&gt;0,$BM141*SUMIFS(RZ[Úroveň 7 bez koef. (P2)],RZ[0],AX141,RZ[Úroveň 2 (P0)],AY141,RZ[Úroveň 3 (P0)],AZ141,RZ[Úroveň 4 (P0)],BA141,RZ[Úroveň 5 (P0)],BB141,RZ[Úroveň 6 (P0)],BC141),$BM141*$IG141)</f>
        <v>0</v>
      </c>
      <c r="CN141" s="132">
        <f ca="1">RZ[[#This Row],[Úroveň 7 s koef. (P2a)]]*RZ[[#This Row],[Počet MJHR (P0)]]</f>
        <v>0</v>
      </c>
      <c r="CO141" s="132">
        <f ca="1">RZ[Úroveň 7 bez koef. (P2a)]*RZ[[#This Row],[Počet MJHR (P0)]]</f>
        <v>0</v>
      </c>
      <c r="CP141" s="132">
        <f ca="1">IF(OFFSET(BE141,1,0,1,1)&lt;&gt;0,RZ[[#This Row],[Koeficient odhadu HR '[-'] (P1)]]*$BN141*SUMIFS(RZ[Úroveň 8 s koef. (P2)],RZ[0],AX141,RZ[Úroveň 2 (P0)],AY141,RZ[Úroveň 3 (P0)],AZ141,RZ[Úroveň 4 (P0)],BA141,RZ[Úroveň 5 (P0)],BB141,RZ[Úroveň 6 (P0)],BC141,RZ[Úroveň 7 (P0)],BD141),RZ[[#This Row],[Koeficient odhadu HR '[-'] (P1)]]*$BN141*$IG141)</f>
        <v>0</v>
      </c>
      <c r="CQ141" s="132">
        <f ca="1">IF(OFFSET(BE141,1,0,1,1)&lt;&gt;0,$BN141*SUMIFS(RZ[Úroveň 8 bez koef. (P2)],RZ[0],AX141,RZ[Úroveň 2 (P0)],AY141,RZ[Úroveň 3 (P0)],AZ141,RZ[Úroveň 4 (P0)],BA141,RZ[Úroveň 5 (P0)],BB141,RZ[Úroveň 6 (P0)],BC141,RZ[Úroveň 7 (P0)],BD141),$BN141*$IG141)</f>
        <v>0</v>
      </c>
      <c r="CR141" s="138">
        <f ca="1">RZ[[#This Row],[Úroveň 8 s koef. (P2a)]]*RZ[[#This Row],[Počet MJHR (P0)]]</f>
        <v>0</v>
      </c>
      <c r="CS141" s="138">
        <f ca="1">RZ[Úroveň 8 bez koef. (P2a)]*RZ[[#This Row],[Počet MJHR (P0)]]</f>
        <v>0</v>
      </c>
      <c r="CT141" s="138">
        <f ca="1">IF(OFFSET(BF141,1,0,1,1)&lt;&gt;0,RZ[[#This Row],[Koeficient odhadu HR '[-'] (P1)]]*$BO141*SUMIFS(RZ[Úroveň 9 s koef. (P2)],RZ[0],AX141,RZ[Úroveň 2 (P0)],AY141,RZ[Úroveň 3 (P0)],AZ141,RZ[Úroveň 4 (P0)],BA141,RZ[Úroveň 5 (P0)],BB141,RZ[Úroveň 6 (P0)],BC141,RZ[Úroveň 7 (P0)],BD141,RZ[Úroveň 8 (P0)],BE141),RZ[[#This Row],[Koeficient odhadu HR '[-'] (P1)]]*$BO141*$IG141)</f>
        <v>0</v>
      </c>
      <c r="CU141" s="138">
        <f ca="1">IF(OFFSET(BF141,1,0,1,1)&lt;&gt;0,$BO141*SUMIFS(RZ[Úroveň 9 bez koef. (P2)],RZ[0],AX141,RZ[Úroveň 2 (P0)],AY141,RZ[Úroveň 3 (P0)],AZ141,RZ[Úroveň 4 (P0)],BA141,RZ[Úroveň 5 (P0)],BB141,RZ[Úroveň 6 (P0)],BC141,RZ[Úroveň 7 (P0)],BD141,RZ[Úroveň 8 (P0)],BE141),$BO141*$IG141)</f>
        <v>0</v>
      </c>
      <c r="CV141" s="132">
        <f ca="1">RZ[[#This Row],[Úroveň 9 s koef. (P2a)]]*RZ[[#This Row],[Počet MJHR (P0)]]</f>
        <v>0</v>
      </c>
      <c r="CW141" s="132">
        <f ca="1">RZ[Úroveň 9 bez koef. (P2a)]*RZ[[#This Row],[Počet MJHR (P0)]]</f>
        <v>0</v>
      </c>
      <c r="CX141" s="132">
        <f ca="1">IF(OFFSET(BG141,1,0,1,1)&lt;&gt;0,RZ[[#This Row],[Koeficient odhadu HR '[-'] (P1)]]*$BP141*SUMIFS(RZ[Úroveň 10 s koef. (P2)],RZ[0],AX141,RZ[Úroveň 2 (P0)],AY141,RZ[Úroveň 3 (P0)],AZ141,RZ[Úroveň 4 (P0)],BA141,RZ[Úroveň 5 (P0)],BB141,RZ[Úroveň 6 (P0)],BC141,RZ[Úroveň 7 (P0)],BD141,RZ[Úroveň 8 (P0)],BE141,RZ[Úroveň 9 (P0)],BF141),RZ[[#This Row],[Koeficient odhadu HR '[-'] (P1)]]*$BP141*$IG141)</f>
        <v>0</v>
      </c>
      <c r="CY141" s="132">
        <f ca="1">IF(OFFSET(BG141,1,0,1,1)&lt;&gt;0,$BP141*SUMIFS(RZ[Úroveň 10 bez koef. (P2)],RZ[0],AX141,RZ[Úroveň 2 (P0)],AY141,RZ[Úroveň 3 (P0)],AZ141,RZ[Úroveň 4 (P0)],BA141,RZ[Úroveň 5 (P0)],BB141,RZ[Úroveň 6 (P0)],BC141,RZ[Úroveň 7 (P0)],BD141,RZ[Úroveň 8 (P0)],BE141,RZ[Úroveň 9 (P0)],BF141),$BP141*$IG141)</f>
        <v>0</v>
      </c>
      <c r="CZ141" s="138">
        <f>RZ[[#This Row],[Úroveň 10 s koef. (P2a)]]*RZ[[#This Row],[Počet MJHR (P0)]]</f>
        <v>0</v>
      </c>
      <c r="DA141" s="138">
        <f>RZ[Úroveň 10 bez koef. (P2a)]*RZ[[#This Row],[Počet MJHR (P0)]]</f>
        <v>0</v>
      </c>
      <c r="DB141" s="138">
        <f>RZ[[#This Row],[Koeficient odhadu HR '[-'] (P1)]]*$BQ141*IG141</f>
        <v>0</v>
      </c>
      <c r="DC141" s="231">
        <f t="shared" si="37"/>
        <v>0</v>
      </c>
      <c r="DD141" s="241">
        <f t="shared" ca="1" si="120"/>
        <v>621.65499999999997</v>
      </c>
      <c r="DE141" s="229">
        <f t="shared" ca="1" si="121"/>
        <v>621.65499999999997</v>
      </c>
      <c r="DF141" s="521">
        <f t="shared" si="40"/>
        <v>0</v>
      </c>
      <c r="DG141" s="522">
        <f t="shared" si="41"/>
        <v>1</v>
      </c>
      <c r="DH141" s="522">
        <f t="shared" si="42"/>
        <v>0</v>
      </c>
      <c r="DI141" s="523">
        <f t="shared" si="43"/>
        <v>0</v>
      </c>
      <c r="DJ141" s="524">
        <f t="shared" si="44"/>
        <v>0</v>
      </c>
      <c r="DK141" s="524">
        <f t="shared" si="45"/>
        <v>0</v>
      </c>
      <c r="DL141" s="524">
        <f t="shared" si="46"/>
        <v>0</v>
      </c>
      <c r="DM141" s="524">
        <f t="shared" si="47"/>
        <v>0</v>
      </c>
      <c r="DN141" s="524">
        <f t="shared" si="48"/>
        <v>0</v>
      </c>
      <c r="DO141" s="523">
        <f t="shared" si="49"/>
        <v>0</v>
      </c>
      <c r="DP141" s="525">
        <f ca="1">SUMIFS(RZ[Úroveň 1 (P4)],RZ[0],AX141)</f>
        <v>1</v>
      </c>
      <c r="DQ141" s="525">
        <f ca="1">SUMIFS(RZ[Úroveň 2 (P4)],RZ[0],AX141,RZ[Úroveň 2 (P0)],AY141)</f>
        <v>1</v>
      </c>
      <c r="DR141" s="525">
        <f ca="1">SUMIFS(RZ[Úroveň 3 (P4)],RZ[0],AX141,RZ[Úroveň 2 (P0)],AY141,RZ[Úroveň 3 (P0)],AZ141)</f>
        <v>0</v>
      </c>
      <c r="DS141" s="525">
        <f ca="1">SUMIFS(RZ[Úroveň 4 (P4)],RZ[0],AX141,RZ[Úroveň 2 (P0)],AY141,RZ[Úroveň 3 (P0)],AZ141,RZ[Úroveň 4 (P0)],BA141)</f>
        <v>0</v>
      </c>
      <c r="DT141" s="526">
        <f ca="1">SUMIFS(RZ[Úroveň 5 (P4)],RZ[0],AX141,RZ[Úroveň 2 (P0)],AY141,RZ[Úroveň 3 (P0)],AZ141,RZ[Úroveň 4 (P0)],BA141,RZ[Úroveň 5 (P0)],BB141)</f>
        <v>0</v>
      </c>
      <c r="DU141" s="526">
        <f ca="1">SUMIFS(RZ[Úroveň 6 (P4)],RZ[0],AX141,RZ[Úroveň 2 (P0)],AY141,RZ[Úroveň 3 (P0)],AZ141,RZ[Úroveň 4 (P0)],BA141,RZ[Úroveň 5 (P0)],BB141,RZ[Úroveň 6 (P0)],BC141)</f>
        <v>0</v>
      </c>
      <c r="DV141" s="526">
        <f ca="1">SUMIFS(RZ[Úroveň 7 (P4)],RZ[0],AX141,RZ[Úroveň 2 (P0)],AY141,RZ[Úroveň 3 (P0)],AZ141,RZ[Úroveň 4 (P0)],BA141,RZ[Úroveň 5 (P0)],BB141,RZ[Úroveň 6 (P0)],BC141,RZ[Úroveň 7 (P0)],BD141)</f>
        <v>0</v>
      </c>
      <c r="DW141" s="526">
        <f ca="1">SUMIFS(RZ[Úroveň 8 (P4)],RZ[0],AX141,RZ[Úroveň 2 (P0)],AY141,RZ[Úroveň 3 (P0)],AZ141,RZ[Úroveň 4 (P0)],BA141,RZ[Úroveň 5 (P0)],BB141,RZ[Úroveň 6 (P0)],BC141,RZ[Úroveň 7 (P0)],BD141,RZ[Úroveň 8 (P0)],BE141)</f>
        <v>0</v>
      </c>
      <c r="DX141" s="526">
        <f ca="1">SUMIFS(RZ[Úroveň 9 (P4)],RZ[0],AX141,RZ[Úroveň 2 (P0)],AY141,RZ[Úroveň 3 (P0)],AZ141,RZ[Úroveň 4 (P0)],BA141,RZ[Úroveň 5 (P0)],BB141,RZ[Úroveň 6 (P0)],BC141,RZ[Úroveň 7 (P0)],BD141,RZ[Úroveň 8 (P0)],BE141,RZ[Úroveň 9 (P0)],BF141)</f>
        <v>0</v>
      </c>
      <c r="DY141" s="526">
        <f ca="1">SUMIFS(RZ[Úroveň 10 (P4)],RZ[0],AX141,RZ[Úroveň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DZ141" s="527">
        <f t="shared" ca="1" si="122"/>
        <v>1</v>
      </c>
      <c r="EA141" s="528">
        <f ca="1">RZ[[#This Row],[Jednotková hmotnost bez koef. '[kg/MJHR'] (P0)]]*RZ[[#This Row],[Počet MJHR v rozpadu (P0)]]</f>
        <v>621.65499999999997</v>
      </c>
      <c r="EB141" s="191">
        <f ca="1">IF(OFFSET(AY141,1,0,1,1)&lt;&gt;0,RZ[[#This Row],[Koeficient odhadu CR '[-'] (P1)]]*$BH141*SUMIFS(RZ[Úroveň 2 s koef. (P3)],RZ[0],AX141),RZ[[#This Row],[Koeficient odhadu CR '[-'] (P1)]]*$BH141*$IQ141)</f>
        <v>0</v>
      </c>
      <c r="EC141" s="191">
        <f ca="1">IF(OFFSET(AY141,1,0,1,1)&lt;&gt;0,$BH141*SUMIFS(RZ[Úroveň 2 bez koef. (P3)],RZ[0],AX141),$BH141*$IQ141)</f>
        <v>0</v>
      </c>
      <c r="ED141" s="140">
        <f ca="1">RZ[[#This Row],[Úroveň 2 s koef. (P3a)]]*RZ[[#This Row],[Počet MJCR (P0) pro "kg"]]</f>
        <v>68382.05</v>
      </c>
      <c r="EE141" s="140">
        <f ca="1">RZ[Úroveň 2 bez koef. (P3a)]*RZ[[#This Row],[Počet MJCR (P0) pro "kg"]]</f>
        <v>68382.05</v>
      </c>
      <c r="EF141" s="140">
        <f ca="1">IF(OFFSET(AZ141,1,0,1,1)&lt;&gt;0,RZ[[#This Row],[Koeficient odhadu CR '[-'] (P1)]]*$BI141*SUMIFS(RZ[Úroveň 3 s koef. (P3)],RZ[0],AX141,RZ[Úroveň 2 (P0)],AY141),RZ[[#This Row],[Koeficient odhadu CR '[-'] (P1)]]*$BI141*$IQ141)</f>
        <v>110</v>
      </c>
      <c r="EG141" s="140">
        <f ca="1">IF(OFFSET(AZ141,1,0,1,1)&lt;&gt;0,$BI141*SUMIFS(RZ[Úroveň 3 bez koef. (P3)],RZ[0],AX141,RZ[Úroveň 2 (P0)],AY141),$BI141*$IQ141)</f>
        <v>110</v>
      </c>
      <c r="EH141" s="135">
        <f ca="1">RZ[[#This Row],[Úroveň 3 s koef. (P3a)]]*RZ[[#This Row],[Počet MJCR (P0) pro "kg"]]</f>
        <v>0</v>
      </c>
      <c r="EI141" s="135">
        <f ca="1">RZ[Úroveň 3 bez koef. (P3a)]*RZ[[#This Row],[Počet MJCR (P0) pro "kg"]]</f>
        <v>0</v>
      </c>
      <c r="EJ141" s="135">
        <f ca="1">IF(OFFSET(BA141,1,0,1,1)&lt;&gt;0,RZ[[#This Row],[Koeficient odhadu CR '[-'] (P1)]]*$BJ141*SUMIFS(RZ[Úroveň 4 s koef. (P3)],RZ[0],AX141,RZ[Úroveň 2 (P0)],AY141,RZ[Úroveň 3 (P0)],AZ141),RZ[[#This Row],[Koeficient odhadu CR '[-'] (P1)]]*$BJ141*$IQ141)</f>
        <v>0</v>
      </c>
      <c r="EK141" s="135">
        <f ca="1">IF(OFFSET(BA141,1,0,1,1)&lt;&gt;0,$BJ141*SUMIFS(RZ[Úroveň 4 bez koef. (P3)],RZ[0],AX141,RZ[Úroveň 2 (P0)],AY141,RZ[Úroveň 3 (P0)],AZ141),$BJ141*$IQ141)</f>
        <v>0</v>
      </c>
      <c r="EL141" s="140">
        <f ca="1">RZ[[#This Row],[Úroveň 4 s koef. (P3a)]]*RZ[[#This Row],[Počet MJCR (P0) pro "kg"]]</f>
        <v>0</v>
      </c>
      <c r="EM141" s="140">
        <f ca="1">RZ[Úroveň 4 bez koef. (P3a)]*RZ[[#This Row],[Počet MJCR (P0) pro "kg"]]</f>
        <v>0</v>
      </c>
      <c r="EN141" s="140">
        <f ca="1">IF(OFFSET(BB141,1,0,1,1)&lt;&gt;0,RZ[[#This Row],[Koeficient odhadu CR '[-'] (P1)]]*$BK141*SUMIFS(RZ[Úroveň 5 s koef. (P3)],RZ[0],AX141,RZ[Úroveň 2 (P0)],AY141,RZ[Úroveň 3 (P0)],AZ141,RZ[Úroveň 4 (P0)],BA141),RZ[[#This Row],[Koeficient odhadu CR '[-'] (P1)]]*$BK141*$IQ141)</f>
        <v>0</v>
      </c>
      <c r="EO141" s="140">
        <f ca="1">IF(OFFSET(BB141,1,0,1,1)&lt;&gt;0,$BK141*SUMIFS(RZ[Úroveň 5 bez koef. (P3)],RZ[0],AX141,RZ[Úroveň 2 (P0)],AY141,RZ[Úroveň 3 (P0)],AZ141,RZ[Úroveň 4 (P0)],BA141),$BK141*$IQ141)</f>
        <v>0</v>
      </c>
      <c r="EP141" s="135">
        <f ca="1">RZ[[#This Row],[Úroveň 5 s koef. (P3a)]]*RZ[[#This Row],[Počet MJCR (P0) pro "kg"]]</f>
        <v>0</v>
      </c>
      <c r="EQ141" s="135">
        <f ca="1">RZ[Úroveň 5 bez koef. (P3a)]*RZ[[#This Row],[Počet MJCR (P0) pro "kg"]]</f>
        <v>0</v>
      </c>
      <c r="ER141" s="135">
        <f ca="1">IF(OFFSET(BC141,1,0,1,1)&lt;&gt;0,RZ[[#This Row],[Koeficient odhadu CR '[-'] (P1)]]*$BL141*SUMIFS(RZ[Úroveň 6 s koef. (P3)],RZ[0],AX141,RZ[Úroveň 2 (P0)],AY141,RZ[Úroveň 3 (P0)],AZ141,RZ[Úroveň 4 (P0)],BA141,RZ[Úroveň 5 (P0)],BB141),RZ[[#This Row],[Koeficient odhadu CR '[-'] (P1)]]*$BL141*$IQ141)</f>
        <v>0</v>
      </c>
      <c r="ES141" s="135">
        <f ca="1">IF(OFFSET(BC141,1,0,1,1)&lt;&gt;0,$BL141*SUMIFS(RZ[Úroveň 6 bez koef. (P3)],RZ[0],AX141,RZ[Úroveň 2 (P0)],AY141,RZ[Úroveň 3 (P0)],AZ141,RZ[Úroveň 4 (P0)],BA141,RZ[Úroveň 5 (P0)],BB141),$BL141*$IQ141)</f>
        <v>0</v>
      </c>
      <c r="ET141" s="140">
        <f ca="1">RZ[[#This Row],[Úroveň 6 s koef. (P3a)]]*RZ[[#This Row],[Počet MJCR (P0) pro "kg"]]</f>
        <v>0</v>
      </c>
      <c r="EU141" s="140">
        <f ca="1">RZ[Úroveň 6 bez koef. (P3a)]*RZ[[#This Row],[Počet MJCR (P0) pro "kg"]]</f>
        <v>0</v>
      </c>
      <c r="EV141" s="140">
        <f ca="1">IF(OFFSET(BD141,1,0,1,1)&lt;&gt;0,RZ[[#This Row],[Koeficient odhadu CR '[-'] (P1)]]*$BM141*SUMIFS(RZ[Úroveň 7 s koef. (P3)],RZ[0],AX141,RZ[Úroveň 2 (P0)],AY141,RZ[Úroveň 3 (P0)],AZ141,RZ[Úroveň 4 (P0)],BA141,RZ[Úroveň 5 (P0)],BB141,RZ[Úroveň 6 (P0)],BC141),RZ[[#This Row],[Koeficient odhadu CR '[-'] (P1)]]*$BM141*$IQ141)</f>
        <v>0</v>
      </c>
      <c r="EW141" s="140">
        <f ca="1">IF(OFFSET(BD141,1,0,1,1)&lt;&gt;0,$BM141*SUMIFS(RZ[Úroveň 7 bez koef. (P3)],RZ[0],AX141,RZ[Úroveň 2 (P0)],AY141,RZ[Úroveň 3 (P0)],AZ141,RZ[Úroveň 4 (P0)],BA141,RZ[Úroveň 5 (P0)],BB141,RZ[Úroveň 6 (P0)],BC141),$BM141*$IQ141)</f>
        <v>0</v>
      </c>
      <c r="EX141" s="135">
        <f ca="1">RZ[[#This Row],[Úroveň 7 s koef. (P3a)]]*RZ[[#This Row],[Počet MJCR (P0) pro "kg"]]</f>
        <v>0</v>
      </c>
      <c r="EY141" s="135">
        <f ca="1">RZ[Úroveň 7 bez koef. (P3a)]*RZ[[#This Row],[Počet MJCR (P0) pro "kg"]]</f>
        <v>0</v>
      </c>
      <c r="EZ141" s="135">
        <f ca="1">IF(OFFSET(BE141,1,0,1,1)&lt;&gt;0,RZ[[#This Row],[Koeficient odhadu CR '[-'] (P1)]]*$BN141*SUMIFS(RZ[Úroveň 8 s koef. (P3)],RZ[0],AX141,RZ[Úroveň 2 (P0)],AY141,RZ[Úroveň 3 (P0)],AZ141,RZ[Úroveň 4 (P0)],BA141,RZ[Úroveň 5 (P0)],BB141,RZ[Úroveň 6 (P0)],BC141,RZ[Úroveň 7 (P0)],BD141),RZ[[#This Row],[Koeficient odhadu CR '[-'] (P1)]]*$BN141*$IQ141)</f>
        <v>0</v>
      </c>
      <c r="FA141" s="135">
        <f ca="1">IF(OFFSET(BE141,1,0,1,1)&lt;&gt;0,$BN141*SUMIFS(RZ[Úroveň 8 bez koef. (P3)],RZ[0],AX141,RZ[Úroveň 2 (P0)],AY141,RZ[Úroveň 3 (P0)],AZ141,RZ[Úroveň 4 (P0)],BA141,RZ[Úroveň 5 (P0)],BB141,RZ[Úroveň 6 (P0)],BC141,RZ[Úroveň 7 (P0)],BD141),$BN141*$IQ141)</f>
        <v>0</v>
      </c>
      <c r="FB141" s="140">
        <f ca="1">RZ[[#This Row],[Úroveň 8 s koef. (P3a)]]*RZ[[#This Row],[Počet MJCR (P0) pro "kg"]]</f>
        <v>0</v>
      </c>
      <c r="FC141" s="140">
        <f ca="1">RZ[Úroveň 8 bez koef. (P3a)]*RZ[[#This Row],[Počet MJCR (P0) pro "kg"]]</f>
        <v>0</v>
      </c>
      <c r="FD141" s="140">
        <f ca="1">IF(OFFSET(BF141,1,0,1,1)&lt;&gt;0,RZ[[#This Row],[Koeficient odhadu CR '[-'] (P1)]]*$BO141*SUMIFS(RZ[Úroveň 9 s koef. (P3)],RZ[0],AX141,RZ[Úroveň 2 (P0)],AY141,RZ[Úroveň 3 (P0)],AZ141,RZ[Úroveň 4 (P0)],BA141,RZ[Úroveň 5 (P0)],BB141,RZ[Úroveň 6 (P0)],BC141,RZ[Úroveň 7 (P0)],BD141,RZ[Úroveň 8 (P0)],BE141),RZ[[#This Row],[Koeficient odhadu CR '[-'] (P1)]]*$BO141*$IQ141)</f>
        <v>0</v>
      </c>
      <c r="FE141" s="140">
        <f ca="1">IF(OFFSET(BF141,1,0,1,1)&lt;&gt;0,$BO141*SUMIFS(RZ[Úroveň 9 bez koef. (P3)],RZ[0],AX141,RZ[Úroveň 2 (P0)],AY141,RZ[Úroveň 3 (P0)],AZ141,RZ[Úroveň 4 (P0)],BA141,RZ[Úroveň 5 (P0)],BB141,RZ[Úroveň 6 (P0)],BC141,RZ[Úroveň 7 (P0)],BD141,RZ[Úroveň 8 (P0)],BE141),$BO141*$IQ141)</f>
        <v>0</v>
      </c>
      <c r="FF141" s="135">
        <f ca="1">RZ[[#This Row],[Úroveň 9 s koef. (P3a)]]*RZ[[#This Row],[Počet MJCR (P0) pro "kg"]]</f>
        <v>0</v>
      </c>
      <c r="FG141" s="135">
        <f ca="1">RZ[Úroveň 9 bez koef. (P3a)]*RZ[[#This Row],[Počet MJCR (P0) pro "kg"]]</f>
        <v>0</v>
      </c>
      <c r="FH141" s="135">
        <f ca="1">IF(OFFSET(BG141,1,0,1,1)&lt;&gt;0,RZ[[#This Row],[Koeficient odhadu CR '[-'] (P1)]]*$BP141*SUMIFS(RZ[Úroveň 10 s koef. (P3)],RZ[0],AX141,RZ[Úroveň 2 (P0)],AY141,RZ[Úroveň 3 (P0)],AZ141,RZ[Úroveň 4 (P0)],BA141,RZ[Úroveň 5 (P0)],BB141,RZ[Úroveň 6 (P0)],BC141,RZ[Úroveň 7 (P0)],BD141,RZ[Úroveň 8 (P0)],BE141,RZ[Úroveň 9 (P0)],BF141),RZ[[#This Row],[Koeficient odhadu CR '[-'] (P1)]]*$BP141*$IQ141)</f>
        <v>0</v>
      </c>
      <c r="FI141" s="135">
        <f ca="1">IF(OFFSET(BG141,1,0,1,1)&lt;&gt;0,$BP141*SUMIFS(RZ[Úroveň 10 bez koef. (P3)],RZ[0],AX141,RZ[Úroveň 2 (P0)],AY141,RZ[Úroveň 3 (P0)],AZ141,RZ[Úroveň 4 (P0)],BA141,RZ[Úroveň 5 (P0)],BB141,RZ[Úroveň 6 (P0)],BC141,RZ[Úroveň 7 (P0)],BD141,RZ[Úroveň 8 (P0)],BE141,RZ[Úroveň 9 (P0)],BF141),$BP141*$IQ141)</f>
        <v>0</v>
      </c>
      <c r="FJ141" s="140">
        <f ca="1">RZ[[#This Row],[Úroveň 10 s koef. (P3a)]]*RZ[[#This Row],[Počet MJCR (P0) pro "kg"]]</f>
        <v>0</v>
      </c>
      <c r="FK141" s="140">
        <f ca="1">RZ[Úroveň 10 bez koef. (P3a)]*RZ[[#This Row],[Počet MJCR (P0) pro "kg"]]</f>
        <v>0</v>
      </c>
      <c r="FL141" s="140">
        <f ca="1">RZ[[#This Row],[Koeficient odhadu CR '[-'] (P1)]]*$BQ141*IQ141</f>
        <v>0</v>
      </c>
      <c r="FM141" s="236">
        <f t="shared" ca="1" si="51"/>
        <v>0</v>
      </c>
      <c r="FN141" s="194">
        <f t="shared" ca="1" si="123"/>
        <v>110</v>
      </c>
      <c r="FO141" s="238">
        <f t="shared" ca="1" si="124"/>
        <v>110</v>
      </c>
      <c r="FP141" s="191">
        <f t="shared" ca="1" si="54"/>
        <v>0</v>
      </c>
      <c r="FQ141" s="135">
        <f t="shared" ca="1" si="55"/>
        <v>621.65499999999997</v>
      </c>
      <c r="FR141" s="135">
        <f t="shared" ca="1" si="56"/>
        <v>0</v>
      </c>
      <c r="FS141" s="135">
        <f t="shared" ca="1" si="57"/>
        <v>0</v>
      </c>
      <c r="FT141" s="135">
        <f t="shared" ca="1" si="58"/>
        <v>0</v>
      </c>
      <c r="FU141" s="135">
        <f t="shared" ca="1" si="59"/>
        <v>0</v>
      </c>
      <c r="FV141" s="135">
        <f t="shared" ca="1" si="60"/>
        <v>0</v>
      </c>
      <c r="FW141" s="135">
        <f t="shared" ca="1" si="61"/>
        <v>0</v>
      </c>
      <c r="FX141" s="135">
        <f t="shared" ca="1" si="62"/>
        <v>0</v>
      </c>
      <c r="FY141" s="135">
        <f t="shared" ca="1" si="63"/>
        <v>0</v>
      </c>
      <c r="FZ141" s="140">
        <f ca="1">SUMIFS(RZ[Úroveň 1 (P6)],RZ[0],AX141)</f>
        <v>1</v>
      </c>
      <c r="GA141" s="140">
        <f ca="1">SUMIFS(RZ[Úroveň 2 (P6)],RZ[0],AX141,RZ[Úroveň 2 (P0)],AY141)</f>
        <v>621.65499999999997</v>
      </c>
      <c r="GB141" s="140">
        <f ca="1">SUMIFS(RZ[Úroveň 3 (P6)],RZ[0],AX141,RZ[Úroveň 2 (P0)],AY141,RZ[Úroveň 3 (P0)],AZ141)</f>
        <v>0</v>
      </c>
      <c r="GC141" s="140">
        <f ca="1">SUMIFS(RZ[Úroveň 4 (P6)],RZ[0],AX141,RZ[Úroveň 2 (P0)],AY141,RZ[Úroveň 3 (P0)],AZ141,RZ[Úroveň 4 (P0)],BA141)</f>
        <v>0</v>
      </c>
      <c r="GD141" s="140">
        <f ca="1">SUMIFS(RZ[Úroveň 5 (P6)],RZ[0],AX141,RZ[Úroveň 2 (P0)],AY141,RZ[Úroveň 3 (P0)],AZ141,RZ[Úroveň 4 (P0)],BA141,RZ[Úroveň 5 (P0)],BB141)</f>
        <v>0</v>
      </c>
      <c r="GE141" s="140">
        <f ca="1">SUMIFS(RZ[Úroveň 6 (P6)],RZ[0],AX141,RZ[Úroveň 2 (P0)],AY141,RZ[Úroveň 3 (P0)],AZ141,RZ[Úroveň 4 (P0)],BA141,RZ[Úroveň 5 (P0)],BB141,RZ[Úroveň 6 (P0)],BC141)</f>
        <v>0</v>
      </c>
      <c r="GF141" s="140">
        <f ca="1">SUMIFS(RZ[Úroveň 7 (P6)],RZ[0],AX141,RZ[Úroveň 2 (P0)],AY141,RZ[Úroveň 3 (P0)],AZ141,RZ[Úroveň 4 (P0)],BA141,RZ[Úroveň 5 (P0)],BB141,RZ[Úroveň 6 (P0)],BC141,RZ[Úroveň 7 (P0)],BD141)</f>
        <v>0</v>
      </c>
      <c r="GG141" s="140">
        <f ca="1">SUMIFS(RZ[Úroveň 8 (P6)],RZ[0],AX141,RZ[Úroveň 2 (P0)],AY141,RZ[Úroveň 3 (P0)],AZ141,RZ[Úroveň 4 (P0)],BA141,RZ[Úroveň 5 (P0)],BB141,RZ[Úroveň 6 (P0)],BC141,RZ[Úroveň 7 (P0)],BD141,RZ[Úroveň 8 (P0)],BE141)</f>
        <v>0</v>
      </c>
      <c r="GH141" s="140">
        <f ca="1">SUMIFS(RZ[Úroveň 9 (P6)],RZ[0],AX141,RZ[Úroveň 2 (P0)],AY141,RZ[Úroveň 3 (P0)],AZ141,RZ[Úroveň 4 (P0)],BA141,RZ[Úroveň 5 (P0)],BB141,RZ[Úroveň 6 (P0)],BC141,RZ[Úroveň 7 (P0)],BD141,RZ[Úroveň 8 (P0)],BE141,RZ[Úroveň 9 (P0)],BF141)</f>
        <v>0</v>
      </c>
      <c r="GI141" s="140">
        <f ca="1">SUMIFS(RZ[Úroveň 10 (P6)],RZ[0],AX141,RZ[Úroveň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GJ141" s="194">
        <f t="shared" ca="1" si="125"/>
        <v>621.65499999999997</v>
      </c>
      <c r="GK141" s="807">
        <f t="shared" si="65"/>
        <v>0</v>
      </c>
      <c r="GL141" s="808">
        <f t="shared" si="66"/>
        <v>1</v>
      </c>
      <c r="GM141" s="808">
        <f t="shared" si="67"/>
        <v>0</v>
      </c>
      <c r="GN141" s="808">
        <f t="shared" si="68"/>
        <v>0</v>
      </c>
      <c r="GO141" s="808">
        <f t="shared" si="69"/>
        <v>0</v>
      </c>
      <c r="GP141" s="808">
        <f t="shared" si="70"/>
        <v>0</v>
      </c>
      <c r="GQ141" s="808">
        <f t="shared" si="71"/>
        <v>0</v>
      </c>
      <c r="GR141" s="808">
        <f t="shared" si="72"/>
        <v>0</v>
      </c>
      <c r="GS141" s="808">
        <f t="shared" si="73"/>
        <v>0</v>
      </c>
      <c r="GT141" s="808">
        <f t="shared" si="74"/>
        <v>0</v>
      </c>
      <c r="GU141" s="809">
        <f ca="1">SUMIFS(RZ[Sloupec1],RZ[0],AX141)</f>
        <v>1</v>
      </c>
      <c r="GV141" s="809">
        <f ca="1">SUMIFS(RZ[Sloupec2],RZ[0],AX141,RZ[Úroveň 2 (P0)],AY141)</f>
        <v>1</v>
      </c>
      <c r="GW141" s="809">
        <f ca="1">SUMIFS(RZ[Sloupec3],RZ[0],AX141,RZ[Úroveň 2 (P0)],AY141,RZ[Úroveň 3 (P0)],AZ141)</f>
        <v>0</v>
      </c>
      <c r="GX141" s="809">
        <f ca="1">SUMIFS(RZ[Sloupec4],RZ[0],AX141,RZ[Úroveň 2 (P0)],AY141,RZ[Úroveň 3 (P0)],AZ141,RZ[Úroveň 4 (P0)],BA141)</f>
        <v>0</v>
      </c>
      <c r="GY141" s="809">
        <f ca="1">SUMIFS(RZ[Sloupec5],RZ[0],AX141,RZ[Úroveň 2 (P0)],AY141,RZ[Úroveň 3 (P0)],AZ141,RZ[Úroveň 4 (P0)],BA141,RZ[Úroveň 5 (P0)],BB141)</f>
        <v>0</v>
      </c>
      <c r="GZ141" s="809">
        <f ca="1">SUMIFS(RZ[Sloupec6],RZ[0],AX141,RZ[Úroveň 2 (P0)],AY141,RZ[Úroveň 3 (P0)],AZ141,RZ[Úroveň 4 (P0)],BA141,RZ[Úroveň 5 (P0)],BB141,RZ[Úroveň 6 (P0)],BC141)</f>
        <v>0</v>
      </c>
      <c r="HA141" s="809">
        <f ca="1">SUMIFS(RZ[Sloupec62],RZ[0],AX141,RZ[Úroveň 2 (P0)],AY141,RZ[Úroveň 3 (P0)],AZ141,RZ[Úroveň 4 (P0)],BA141,RZ[Úroveň 5 (P0)],BB141,RZ[Úroveň 6 (P0)],BC141,RZ[Úroveň 7 (P0)],BD141)</f>
        <v>0</v>
      </c>
      <c r="HB141" s="809">
        <f ca="1">SUMIFS(RZ[Sloupec63],RZ[0],AX141,RZ[Úroveň 2 (P0)],AY141,RZ[Úroveň 3 (P0)],AZ141,RZ[Úroveň 4 (P0)],BA141,RZ[Úroveň 5 (P0)],BB141,RZ[Úroveň 6 (P0)],BC141,RZ[Úroveň 7 (P0)],BD141,RZ[Úroveň 8 (P0)],BE141)</f>
        <v>0</v>
      </c>
      <c r="HC141" s="809">
        <f ca="1">SUMIFS(RZ[Sloupec64],RZ[0],AX141,RZ[Úroveň 2 (P0)],AY141,RZ[Úroveň 3 (P0)],AZ141,RZ[Úroveň 4 (P0)],BA141,RZ[Úroveň 5 (P0)],BB141,RZ[Úroveň 6 (P0)],BC141,RZ[Úroveň 7 (P0)],BD141,RZ[Úroveň 8 (P0)],BE141,RZ[Úroveň 9 (P0)],BF141)</f>
        <v>0</v>
      </c>
      <c r="HD141" s="809">
        <f ca="1">SUMIFS(RZ[Sloupec65],RZ[0],AX141,RZ[Úroveň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HE141" s="803">
        <f t="shared" ca="1" si="75"/>
        <v>1</v>
      </c>
      <c r="HF141" s="48" t="str">
        <f t="shared" si="76"/>
        <v/>
      </c>
      <c r="HG141" s="94" t="str">
        <f t="shared" si="77"/>
        <v/>
      </c>
      <c r="HH141" s="95" t="str">
        <f t="shared" si="78"/>
        <v>Spojovací materiál</v>
      </c>
      <c r="HI141" s="95" t="str">
        <f t="shared" si="79"/>
        <v/>
      </c>
      <c r="HJ141" s="96" t="str">
        <f t="shared" si="80"/>
        <v/>
      </c>
      <c r="HK141" s="96" t="str">
        <f t="shared" si="81"/>
        <v/>
      </c>
      <c r="HL141" s="96" t="str">
        <f t="shared" si="82"/>
        <v/>
      </c>
      <c r="HM141" s="96" t="str">
        <f t="shared" si="83"/>
        <v/>
      </c>
      <c r="HN141" s="96" t="str">
        <f t="shared" si="84"/>
        <v/>
      </c>
      <c r="HO141" s="96" t="str">
        <f t="shared" si="85"/>
        <v/>
      </c>
      <c r="HP141" s="96" t="str">
        <f t="shared" si="86"/>
        <v/>
      </c>
      <c r="HQ141" s="145" t="str">
        <f t="shared" si="87"/>
        <v>STSM</v>
      </c>
      <c r="HR141" s="175" t="str">
        <f t="shared" si="88"/>
        <v/>
      </c>
      <c r="HS141" s="173">
        <f t="shared" si="89"/>
        <v>0</v>
      </c>
      <c r="HT141" s="99">
        <f t="shared" si="90"/>
        <v>0</v>
      </c>
      <c r="HU141" s="99">
        <f t="shared" si="91"/>
        <v>0</v>
      </c>
      <c r="HV141" s="209">
        <f t="shared" si="92"/>
        <v>0</v>
      </c>
      <c r="HW141" s="47">
        <f t="shared" si="93"/>
        <v>0</v>
      </c>
      <c r="HX141" s="46">
        <f t="shared" si="94"/>
        <v>0</v>
      </c>
      <c r="HY141" s="149" t="str">
        <f t="shared" si="95"/>
        <v>S</v>
      </c>
      <c r="HZ141" s="263">
        <f t="shared" si="96"/>
        <v>0</v>
      </c>
      <c r="IA141" s="150">
        <f t="shared" si="97"/>
        <v>1</v>
      </c>
      <c r="IB141" s="319">
        <f t="shared" si="98"/>
        <v>0</v>
      </c>
      <c r="IC141" s="220">
        <f t="shared" si="99"/>
        <v>0</v>
      </c>
      <c r="ID141" s="200" t="str">
        <f t="shared" ca="1" si="100"/>
        <v>OK</v>
      </c>
      <c r="IE141" s="201" t="str">
        <f t="shared" si="101"/>
        <v>ks</v>
      </c>
      <c r="IF141" s="145">
        <f t="shared" si="102"/>
        <v>1</v>
      </c>
      <c r="IG141" s="216">
        <f t="shared" si="103"/>
        <v>621.65499999999997</v>
      </c>
      <c r="IH141" s="217">
        <f t="shared" si="126"/>
        <v>1</v>
      </c>
      <c r="II141" s="224" t="str">
        <f ca="1">IF(RZ[[#This Row],[Rozhodný sloupec indikativní ceny]]=1,"kg",IF($IW141=$JL$15,IF(JX141=0,JO141,JX141),IF($IW141=$KE$15,IF(KQ141=0,KH141,KQ141),IF($IW141=$KX$15,IF(LJ141=0,LA141,LJ141),IF($IW141=$LQ$15,IF(MC141=0,LT141,MC141),IF($IW141=$MJ$15,IF(NQ141=0,NH141,NQ141),0))))))</f>
        <v>kg</v>
      </c>
      <c r="IJ141" s="224">
        <f ca="1">IF((BH141+OFFSET(BH141,1,1,1,1))=2,RZ[[#This Row],[Počet MJHR (P0)]],IF((BI141+OFFSET(BI141,1,1,1,1))=2,RZ[[#This Row],[Počet MJHR (P0)]],IF((BJ141+OFFSET(BJ141,1,1,1,1))=2,RZ[[#This Row],[Počet MJHR (P0)]],IF((BK141+OFFSET(BK141,1,1,1,1))=2,RZ[[#This Row],[Počet MJHR (P0)]],IF((BL141+OFFSET(BL141,1,1,1,1))=2,RZ[[#This Row],[Počet MJHR (P0)]],IF((BM141+OFFSET(BM141,1,1,1,1))=2,RZ[[#This Row],[Počet MJHR (P0)]],IF((BN141+OFFSET(BN141,1,1,1,1))=2,RZ[[#This Row],[Počet MJHR (P0)]],IF((BO141+OFFSET(BO141,1,1,1,1))=2,RZ[[#This Row],[Počet MJHR (P0)]],IF((BP141+OFFSET(BP141,1,1,1,1))=2,RZ[[#This Row],[Počet MJHR (P0)]],IF((BQ141+OFFSET(BQ141,1,1,1,1))=2,RZ[[#This Row],[Počet MJHR (P0)]],IF(RZ[[#This Row],[Měrná jednotka CR (MJCR) (P0)]]=RZ[[#This Row],[Měrná jednotka HR '[MJHR'] (P0)]],RZ[[#This Row],[Počet MJHR (P0)]],IF($IW141=$JL$15,JY141,IF($IW141=$KE$15,KR141,IF($IW141=$KX$15,LK141,IF($IW141=$LQ$15,MD141,IF($IW141=$MJ$15,NR141,0))))))))))))))))</f>
        <v>0</v>
      </c>
      <c r="IK1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621.65499999999997</v>
      </c>
      <c r="IL141" s="330">
        <f ca="1">IF(AND(RZ[[#This Row],[Jednotková cena bez DPH '[cena/MJCR'] (P0)]]=0,RZ[[#This Row],[Indikativní jednotková cena '[CZK/kg'] (P1)]]&lt;&gt;0),1,0)</f>
        <v>1</v>
      </c>
      <c r="IM141" s="217">
        <f ca="1">VLOOKUP(RZ[[#This Row],[Kód položek]],INDIKAT_CENA,2,FALSE)</f>
        <v>110</v>
      </c>
      <c r="IN141" s="222">
        <f ca="1">IF(RZ[[#This Row],[Rozhodný sloupec indikativní ceny]]=1,RZ[[#This Row],[Indikativní jednotková cena '[CZK/kg'] (P1)]],RZ[[#This Row],[Jednotková cena bez DPH '[cena/MJCR'] (P0)]])</f>
        <v>110</v>
      </c>
      <c r="IO141" s="222">
        <f t="shared" si="127"/>
        <v>1</v>
      </c>
      <c r="IP141" s="223">
        <f ca="1">IF(RZ[[#This Row],[Rozhodný sloupec indikativní ceny]]=1,1,IF($IW141=$JL$15,KA141,IF($IW141=$KE$15,KT141,IF($IW141=$KX$15,LM141,IF($IW141=$LQ$15,MF141,IF($IW141=$MJ$15,NT141,0))))))</f>
        <v>1</v>
      </c>
      <c r="IQ141" s="225">
        <f ca="1">IF(RZ[[#This Row],[Jednotková cena bez DPH '[cena/MJCR'] (P1)]]="",0,IF(IP141=0,0,(RZ[[#This Row],[Jednotková cena bez DPH '[cena/MJCR'] (P1)]]*VLOOKUP(IP141,$BR$7:$BT$10,3))))</f>
        <v>110</v>
      </c>
      <c r="IR141" s="737"/>
      <c r="IS141" s="627">
        <f>IF(HY141=0,"",VLOOKUP(RZ[[#This Row],[Stav Projekce (P0)]],Vstupy!$E$11:'Vstupy'!$E$11:$H$17,4,FALSE))</f>
        <v>100</v>
      </c>
      <c r="IT141" s="628" t="str">
        <f>IF(RZ[[#This Row],[Stav Projekce (P0)]]=0,"",RZ[[#This Row],[Stav Projekce (P0)]])</f>
        <v>S</v>
      </c>
      <c r="IU141" s="628" t="str">
        <f>IF(RZ[[#This Row],[Stav Nákup (P0)]]=0,"",RZ[[#This Row],[Stav Nákup (P0)]])</f>
        <v/>
      </c>
      <c r="IV141" s="636" t="str">
        <f t="shared" si="128"/>
        <v/>
      </c>
      <c r="IW141" s="641">
        <v>1</v>
      </c>
      <c r="IX141" s="630"/>
      <c r="IY141" s="264"/>
      <c r="IZ141" s="776"/>
      <c r="JA141" s="100" t="s">
        <v>36</v>
      </c>
      <c r="JB141" s="100"/>
      <c r="JC141" s="100"/>
      <c r="JD141" s="100"/>
      <c r="JE141" s="100"/>
      <c r="JF141" s="100"/>
      <c r="JG141" s="100"/>
      <c r="JH141" s="100"/>
      <c r="JI141" s="100"/>
      <c r="JJ141" s="145" t="s">
        <v>766</v>
      </c>
      <c r="JK141" s="529"/>
      <c r="JL141" s="286"/>
      <c r="JM141" s="100"/>
      <c r="JN141" s="100"/>
      <c r="JO141" s="145" t="s">
        <v>35</v>
      </c>
      <c r="JP141" s="117">
        <v>1</v>
      </c>
      <c r="JQ141" s="117">
        <f>55.39+413.585+152.68</f>
        <v>621.65499999999997</v>
      </c>
      <c r="JR141" s="148">
        <v>1</v>
      </c>
      <c r="JS141" s="145" t="s">
        <v>602</v>
      </c>
      <c r="JT141" s="631"/>
      <c r="JU141" s="148"/>
      <c r="JV141" s="154"/>
      <c r="JW141" s="145"/>
      <c r="JX141" s="210"/>
      <c r="JY141" s="117"/>
      <c r="JZ141" s="662"/>
      <c r="KA141" s="145"/>
      <c r="KB141" s="148"/>
      <c r="KC141" s="148"/>
      <c r="KD141" s="644"/>
      <c r="KE141" s="286"/>
      <c r="KF141" s="100"/>
      <c r="KG141" s="100"/>
      <c r="KH141" s="210"/>
      <c r="KI141" s="117"/>
      <c r="KJ141" s="117"/>
      <c r="KK141" s="148"/>
      <c r="KL141" s="145"/>
      <c r="KM141" s="632"/>
      <c r="KN141" s="148"/>
      <c r="KO141" s="154"/>
      <c r="KP141" s="154"/>
      <c r="KQ141" s="210"/>
      <c r="KR141" s="117"/>
      <c r="KS141" s="211"/>
      <c r="KT141" s="145"/>
      <c r="KU141" s="148"/>
      <c r="KV141" s="148"/>
      <c r="KW141" s="265"/>
      <c r="KX141" s="286"/>
      <c r="KY141" s="100"/>
      <c r="KZ141" s="100"/>
      <c r="LA141" s="210"/>
      <c r="LB141" s="117"/>
      <c r="LC141" s="117"/>
      <c r="LD141" s="148"/>
      <c r="LE141" s="145"/>
      <c r="LF141" s="632"/>
      <c r="LG141" s="148"/>
      <c r="LH141" s="154"/>
      <c r="LI141" s="154"/>
      <c r="LJ141" s="154"/>
      <c r="LK141" s="117"/>
      <c r="LL141" s="211"/>
      <c r="LM141" s="210"/>
      <c r="LN141" s="148"/>
      <c r="LO141" s="148"/>
      <c r="LP141" s="265"/>
      <c r="LQ141" s="286"/>
      <c r="LR141" s="100"/>
      <c r="LS141" s="100"/>
      <c r="LT141" s="210"/>
      <c r="LU141" s="117"/>
      <c r="LV141" s="117"/>
      <c r="LW141" s="148"/>
      <c r="LX141" s="145"/>
      <c r="LY141" s="632"/>
      <c r="LZ141" s="148"/>
      <c r="MA141" s="154"/>
      <c r="MB141" s="154"/>
      <c r="MC141" s="145"/>
      <c r="MD141" s="117"/>
      <c r="ME141" s="211"/>
      <c r="MF141" s="210"/>
      <c r="MG141" s="148"/>
      <c r="MH141" s="148"/>
      <c r="MI141" s="265"/>
      <c r="MJ141" s="647"/>
      <c r="MK141" s="264"/>
      <c r="ML141" s="153"/>
      <c r="MM141" s="153"/>
      <c r="MN141" s="153"/>
      <c r="MO141" s="153"/>
      <c r="MP141" s="153"/>
      <c r="MQ141" s="153"/>
      <c r="MR141" s="153"/>
      <c r="MS141" s="99"/>
      <c r="MT141" s="99"/>
      <c r="MU141" s="99"/>
      <c r="MV141" s="99"/>
      <c r="MW141" s="99"/>
      <c r="MX141" s="99"/>
      <c r="MY141" s="153"/>
      <c r="MZ141" s="153"/>
      <c r="NA141" s="153"/>
      <c r="NB141" s="153"/>
      <c r="NC141" s="153"/>
      <c r="ND141" s="153"/>
      <c r="NE141" s="153"/>
      <c r="NF141" s="153"/>
      <c r="NG141" s="153"/>
      <c r="NH141" s="145" t="str">
        <f t="shared" si="823"/>
        <v>ks</v>
      </c>
      <c r="NI141" s="779">
        <f>RZ[[#This Row],[Počet ks (K)]]</f>
        <v>0</v>
      </c>
      <c r="NJ141" s="210">
        <f>RZ[[#This Row],[Hmotnost '[kg/ks'] (K)]]</f>
        <v>0</v>
      </c>
      <c r="NK141" s="153"/>
      <c r="NL141" s="153"/>
      <c r="NM141" s="632"/>
      <c r="NN141" s="153"/>
      <c r="NO141" s="153"/>
      <c r="NP141" s="153"/>
      <c r="NQ141" s="153"/>
      <c r="NR141" s="153"/>
      <c r="NS141" s="153"/>
      <c r="NT141" s="153"/>
      <c r="NU141" s="153"/>
      <c r="NV141" s="148"/>
      <c r="NW141" s="633"/>
    </row>
    <row r="142" spans="2:387" ht="15.95" customHeight="1" x14ac:dyDescent="0.35">
      <c r="B142" s="118" t="str">
        <f t="shared" si="1"/>
        <v/>
      </c>
      <c r="C1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2" s="262" t="str">
        <f t="shared" si="2"/>
        <v xml:space="preserve">  Ocelové profily</v>
      </c>
      <c r="E142" s="120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Row],[Kód položek (P2)]]))))))))))</f>
        <v>OKHM</v>
      </c>
      <c r="F142" s="122" t="str">
        <f t="shared" si="3"/>
        <v>N/A</v>
      </c>
      <c r="G142" s="121" t="str">
        <f t="shared" si="4"/>
        <v/>
      </c>
      <c r="H142" s="122" t="str">
        <f t="shared" si="5"/>
        <v/>
      </c>
      <c r="I142" s="123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HR '[MJHR'] (P0)]]))))))))))</f>
        <v>ks</v>
      </c>
      <c r="J142" s="123">
        <f t="shared" si="6"/>
        <v>1</v>
      </c>
      <c r="K142" s="151">
        <f>RZ[[#This Row],[Koeficient odhadu HR '[-'] (P1)]]</f>
        <v>1</v>
      </c>
      <c r="L142" s="124">
        <f ca="1">RZ[[#This Row],[Jednotková hmotnost s koef. '[kg/MJHR'] (P0)]]</f>
        <v>592.5</v>
      </c>
      <c r="M142" s="124">
        <f t="shared" ca="1" si="7"/>
        <v>0</v>
      </c>
      <c r="N142" s="125">
        <f t="shared" ca="1" si="8"/>
        <v>592.5</v>
      </c>
      <c r="O142" s="125">
        <f t="shared" ca="1" si="9"/>
        <v>0</v>
      </c>
      <c r="P142" s="328" t="str">
        <f t="shared" si="10"/>
        <v/>
      </c>
      <c r="Q142" s="743">
        <f ca="1">RZ[[#This Row],[Počet MJHR v rozpadu (P0)]]</f>
        <v>1</v>
      </c>
      <c r="R142" s="439" t="str">
        <f t="shared" si="11"/>
        <v/>
      </c>
      <c r="S142" s="129" t="str">
        <f t="shared" si="12"/>
        <v/>
      </c>
      <c r="T142" s="130" t="str">
        <f t="shared" si="13"/>
        <v/>
      </c>
      <c r="U142" s="126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CR (MJCR) (P0)]]))))))))))</f>
        <v>kg</v>
      </c>
      <c r="V142" s="575">
        <f t="shared" ca="1" si="14"/>
        <v>592.5</v>
      </c>
      <c r="W142" s="322">
        <f>RZ[[#This Row],[Koeficient odhadu CR '[-'] (P1)]]</f>
        <v>1</v>
      </c>
      <c r="X142" s="440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Row],[Jednotková cena bez DPH '[cena/MJCR'] (P1)]]*RZ[[#This Row],[Koeficient odhadu CR '[-']]]))))))))))</f>
        <v>40</v>
      </c>
      <c r="Y142" s="440">
        <f t="shared" ca="1" si="108"/>
        <v>0</v>
      </c>
      <c r="Z142" s="142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VLOOKUP(IP142,$BR$7:$BS$11,2,FALSE)))))))))))</f>
        <v>CZK</v>
      </c>
      <c r="AA142" s="811">
        <f t="shared" ca="1" si="16"/>
        <v>592.5</v>
      </c>
      <c r="AB142" s="814">
        <f ca="1">RZ[[#This Row],[Kumulovaný koeficient v rozpadu (P0)]]</f>
        <v>1</v>
      </c>
      <c r="AC142" s="260"/>
      <c r="AD142" s="510">
        <f ca="1">RZ[[#This Row],[Jednotková cena bez DPH '[cena/MJCR'] s koef. (P0)]]/RZ[[#This Row],[Koeficient odhadu CR '[-']]]*RZ[[#This Row],[Kumulovaný koeficient odhadu CR  '[-']]]</f>
        <v>40</v>
      </c>
      <c r="AE142" s="511">
        <f t="shared" ca="1" si="17"/>
        <v>23700</v>
      </c>
      <c r="AF142" s="512">
        <f ca="1">-IF(ISNUMBER(AA142),RZ[[#This Row],[Celková cena bez DPH (1)]]-RZ[[#This Row],[Jednotková cena bez DPH '[cena/MJCR'] bez koef. (P0)]]*AA142,0)</f>
        <v>0</v>
      </c>
      <c r="AG1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42" s="261"/>
      <c r="AI142" s="510">
        <f t="shared" ca="1" si="18"/>
        <v>1.4814814814814814</v>
      </c>
      <c r="AJ142" s="511">
        <f t="shared" ca="1" si="19"/>
        <v>877.77777777777783</v>
      </c>
      <c r="AK142" s="512">
        <f t="shared" ca="1" si="20"/>
        <v>0</v>
      </c>
      <c r="AL142" s="753">
        <f ca="1">RZ[[#This Row],[Kilogramová cena bez DPH '[cena/kg'] (1)]]/$AK$13</f>
        <v>1.4814814814814814</v>
      </c>
      <c r="AM142" s="261"/>
      <c r="AN142" s="510">
        <f t="shared" ca="1" si="21"/>
        <v>1.9323671497584543</v>
      </c>
      <c r="AO142" s="511">
        <f t="shared" ca="1" si="22"/>
        <v>1144.927536231884</v>
      </c>
      <c r="AP142" s="512">
        <f t="shared" ca="1" si="23"/>
        <v>0</v>
      </c>
      <c r="AQ142" s="753">
        <f ca="1">RZ[[#This Row],[Kilogramová cena bez DPH '[cena/kg'] (1)]]/$AP$13</f>
        <v>1.9323671497584543</v>
      </c>
      <c r="AR142" s="261"/>
      <c r="AS142" s="510">
        <f t="shared" ca="1" si="24"/>
        <v>1.0940919037199124</v>
      </c>
      <c r="AT142" s="511">
        <f t="shared" ca="1" si="25"/>
        <v>648.24945295404814</v>
      </c>
      <c r="AU142" s="511">
        <f t="shared" ca="1" si="26"/>
        <v>0</v>
      </c>
      <c r="AV142" s="767">
        <f ca="1">RZ[[#This Row],[Kilogramová cena bez DPH '[cena/kg'] (1)]]/$AU$13</f>
        <v>1.0940919037199124</v>
      </c>
      <c r="AW142" s="165"/>
      <c r="AX142" s="110">
        <f t="shared" ca="1" si="27"/>
        <v>2</v>
      </c>
      <c r="AY142" s="55">
        <f t="shared" ca="1" si="28"/>
        <v>25</v>
      </c>
      <c r="AZ142" s="111">
        <f t="shared" ca="1" si="29"/>
        <v>0</v>
      </c>
      <c r="BA142" s="111">
        <f t="shared" ca="1" si="30"/>
        <v>0</v>
      </c>
      <c r="BB142" s="111">
        <f t="shared" ca="1" si="31"/>
        <v>0</v>
      </c>
      <c r="BC142" s="111">
        <f t="shared" ca="1" si="32"/>
        <v>0</v>
      </c>
      <c r="BD142" s="111">
        <f t="shared" ca="1" si="33"/>
        <v>0</v>
      </c>
      <c r="BE142" s="111">
        <f t="shared" ca="1" si="109"/>
        <v>0</v>
      </c>
      <c r="BF142" s="111">
        <f t="shared" ca="1" si="34"/>
        <v>0</v>
      </c>
      <c r="BG142" s="112">
        <f t="shared" ca="1" si="35"/>
        <v>0</v>
      </c>
      <c r="BH142" s="110">
        <f t="shared" si="110"/>
        <v>0</v>
      </c>
      <c r="BI142" s="55">
        <f t="shared" si="111"/>
        <v>1</v>
      </c>
      <c r="BJ142" s="55">
        <f t="shared" si="112"/>
        <v>0</v>
      </c>
      <c r="BK142" s="111">
        <f t="shared" si="113"/>
        <v>0</v>
      </c>
      <c r="BL142" s="111">
        <f t="shared" si="114"/>
        <v>0</v>
      </c>
      <c r="BM142" s="111">
        <f t="shared" si="115"/>
        <v>0</v>
      </c>
      <c r="BN142" s="111">
        <f t="shared" si="116"/>
        <v>0</v>
      </c>
      <c r="BO142" s="111">
        <f t="shared" si="117"/>
        <v>0</v>
      </c>
      <c r="BP142" s="111">
        <f t="shared" si="118"/>
        <v>0</v>
      </c>
      <c r="BQ142" s="112">
        <f t="shared" si="119"/>
        <v>0</v>
      </c>
      <c r="BR142" s="186">
        <f ca="1">IF(OFFSET(AY142,1,0,1,1)&lt;&gt;0,RZ[[#This Row],[Koeficient odhadu HR '[-'] (P1)]]*$BH142*SUMIFS(RZ[Úroveň 2 s koef. (P2)],RZ[0],AX142),RZ[[#This Row],[Koeficient odhadu HR '[-'] (P1)]]*$BH142*$IG142)</f>
        <v>0</v>
      </c>
      <c r="BS142" s="186">
        <f ca="1">IF(OFFSET(AY142,1,0,1,1)&lt;&gt;0,$BH142*SUMIFS(RZ[Úroveň 2 bez koef. (P2)],RZ[0],AX142),$BH142*$IG142)</f>
        <v>0</v>
      </c>
      <c r="BT142" s="138">
        <f ca="1">RZ[[#This Row],[Úroveň 2 s koef. (P2a)]]*RZ[[#This Row],[Počet MJHR (P0)]]</f>
        <v>592.5</v>
      </c>
      <c r="BU142" s="138">
        <f ca="1">RZ[[#This Row],[Úroveň 2 bez koef. (P2a)]]*RZ[[#This Row],[Počet MJHR (P0)]]</f>
        <v>592.5</v>
      </c>
      <c r="BV142" s="138">
        <f ca="1">IF(OFFSET(AZ142,1,0,1,1)&lt;&gt;0,RZ[[#This Row],[Koeficient odhadu HR '[-'] (P1)]]*$BI142*SUMIFS(RZ[Úroveň 3 s koef. (P2)],RZ[0],AX142,RZ[Úroveň 2 (P0)],AY142),RZ[[#This Row],[Koeficient odhadu HR '[-'] (P1)]]*$BI142*$IG142)</f>
        <v>592.5</v>
      </c>
      <c r="BW142" s="138">
        <f ca="1">IF(OFFSET(AZ142,1,0,1,1)&lt;&gt;0,$BI142*SUMIFS(RZ[Úroveň 3 bez koef. (P2)],RZ[0],AX142,RZ[Úroveň 2 (P0)],AY142),$BI142*$IG142)</f>
        <v>592.5</v>
      </c>
      <c r="BX142" s="132">
        <f ca="1">RZ[[#This Row],[Úroveň 3 s koef. (P2a)]]*RZ[[#This Row],[Počet MJHR (P0)]]</f>
        <v>0</v>
      </c>
      <c r="BY142" s="132">
        <f ca="1">RZ[Úroveň 3 bez koef. (P2a)]*RZ[[#This Row],[Počet MJHR (P0)]]</f>
        <v>0</v>
      </c>
      <c r="BZ142" s="132">
        <f ca="1">IF(OFFSET(BA142,1,0,1,1)&lt;&gt;0,RZ[[#This Row],[Koeficient odhadu HR '[-'] (P1)]]*$BJ142*SUMIFS(RZ[Úroveň 4 s koef. (P2)],RZ[0],AX142,RZ[Úroveň 2 (P0)],AY142,RZ[Úroveň 3 (P0)],AZ142),RZ[[#This Row],[Koeficient odhadu HR '[-'] (P1)]]*$BJ142*$IG142)</f>
        <v>0</v>
      </c>
      <c r="CA142" s="132">
        <f ca="1">IF(OFFSET(BA142,1,0,1,1)&lt;&gt;0,$BJ142*SUMIFS(RZ[Úroveň 4 bez koef. (P2)],RZ[0],AX142,RZ[Úroveň 2 (P0)],AY142,RZ[Úroveň 3 (P0)],AZ142),$BJ142*$IG142)</f>
        <v>0</v>
      </c>
      <c r="CB142" s="138">
        <f ca="1">RZ[[#This Row],[Úroveň 4 s koef. (P2a)]]*RZ[[#This Row],[Počet MJHR (P0)]]</f>
        <v>0</v>
      </c>
      <c r="CC142" s="138">
        <f ca="1">RZ[Úroveň 4 bez koef. (P2a)]*RZ[[#This Row],[Počet MJHR (P0)]]</f>
        <v>0</v>
      </c>
      <c r="CD142" s="138">
        <f ca="1">IF(OFFSET(BB142,1,0,1,1)&lt;&gt;0,RZ[[#This Row],[Koeficient odhadu HR '[-'] (P1)]]*$BK142*SUMIFS(RZ[Úroveň 5 s koef. (P2)],RZ[0],AX142,RZ[Úroveň 2 (P0)],AY142,RZ[Úroveň 3 (P0)],AZ142,RZ[Úroveň 4 (P0)],BA142),RZ[[#This Row],[Koeficient odhadu HR '[-'] (P1)]]*$BK142*$IG142)</f>
        <v>0</v>
      </c>
      <c r="CE142" s="138">
        <f ca="1">IF(OFFSET(BB142,1,0,1,1)&lt;&gt;0,$BK142*SUMIFS(RZ[Úroveň 5 bez koef. (P2)],RZ[0],AX142,RZ[Úroveň 2 (P0)],AY142,RZ[Úroveň 3 (P0)],AZ142,RZ[Úroveň 4 (P0)],BA142),$BK142*$IG142)</f>
        <v>0</v>
      </c>
      <c r="CF142" s="132">
        <f ca="1">RZ[[#This Row],[Úroveň 5 s koef. (P2a)]]*RZ[[#This Row],[Počet MJHR (P0)]]</f>
        <v>0</v>
      </c>
      <c r="CG142" s="132">
        <f ca="1">RZ[Úroveň 5 bez koef. (P2a)]*RZ[[#This Row],[Počet MJHR (P0)]]</f>
        <v>0</v>
      </c>
      <c r="CH142" s="132">
        <f ca="1">IF(OFFSET(BC142,1,0,1,1)&lt;&gt;0,RZ[[#This Row],[Koeficient odhadu HR '[-'] (P1)]]*$BL142*SUMIFS(RZ[Úroveň 6 s koef. (P2)],RZ[0],AX142,RZ[Úroveň 2 (P0)],AY142,RZ[Úroveň 3 (P0)],AZ142,RZ[Úroveň 4 (P0)],BA142,RZ[Úroveň 5 (P0)],BB142),RZ[[#This Row],[Koeficient odhadu HR '[-'] (P1)]]*$BL142*$IG142)</f>
        <v>0</v>
      </c>
      <c r="CI142" s="132">
        <f ca="1">IF(OFFSET(BC142,1,0,1,1)&lt;&gt;0,$BL142*SUMIFS(RZ[Úroveň 6 bez koef. (P2)],RZ[0],AX142,RZ[Úroveň 2 (P0)],AY142,RZ[Úroveň 3 (P0)],AZ142,RZ[Úroveň 4 (P0)],BA142,RZ[Úroveň 5 (P0)],BB142),$BL142*$IG142)</f>
        <v>0</v>
      </c>
      <c r="CJ142" s="138">
        <f ca="1">RZ[[#This Row],[Úroveň 6 s koef. (P2a)]]*RZ[[#This Row],[Počet MJHR (P0)]]</f>
        <v>0</v>
      </c>
      <c r="CK142" s="138">
        <f ca="1">RZ[Úroveň 6 bez koef. (P2a)]*RZ[[#This Row],[Počet MJHR (P0)]]</f>
        <v>0</v>
      </c>
      <c r="CL142" s="138">
        <f ca="1">IF(OFFSET(BD142,1,0,1,1)&lt;&gt;0,RZ[[#This Row],[Koeficient odhadu HR '[-'] (P1)]]*$BM142*SUMIFS(RZ[Úroveň 7 s koef. (P2)],RZ[0],AX142,RZ[Úroveň 2 (P0)],AY142,RZ[Úroveň 3 (P0)],AZ142,RZ[Úroveň 4 (P0)],BA142,RZ[Úroveň 5 (P0)],BB142,RZ[Úroveň 6 (P0)],BC142),RZ[[#This Row],[Koeficient odhadu HR '[-'] (P1)]]*$BM142*$IG142)</f>
        <v>0</v>
      </c>
      <c r="CM142" s="138">
        <f ca="1">IF(OFFSET(BD142,1,0,1,1)&lt;&gt;0,$BM142*SUMIFS(RZ[Úroveň 7 bez koef. (P2)],RZ[0],AX142,RZ[Úroveň 2 (P0)],AY142,RZ[Úroveň 3 (P0)],AZ142,RZ[Úroveň 4 (P0)],BA142,RZ[Úroveň 5 (P0)],BB142,RZ[Úroveň 6 (P0)],BC142),$BM142*$IG142)</f>
        <v>0</v>
      </c>
      <c r="CN142" s="132">
        <f ca="1">RZ[[#This Row],[Úroveň 7 s koef. (P2a)]]*RZ[[#This Row],[Počet MJHR (P0)]]</f>
        <v>0</v>
      </c>
      <c r="CO142" s="132">
        <f ca="1">RZ[Úroveň 7 bez koef. (P2a)]*RZ[[#This Row],[Počet MJHR (P0)]]</f>
        <v>0</v>
      </c>
      <c r="CP142" s="132">
        <f ca="1">IF(OFFSET(BE142,1,0,1,1)&lt;&gt;0,RZ[[#This Row],[Koeficient odhadu HR '[-'] (P1)]]*$BN142*SUMIFS(RZ[Úroveň 8 s koef. (P2)],RZ[0],AX142,RZ[Úroveň 2 (P0)],AY142,RZ[Úroveň 3 (P0)],AZ142,RZ[Úroveň 4 (P0)],BA142,RZ[Úroveň 5 (P0)],BB142,RZ[Úroveň 6 (P0)],BC142,RZ[Úroveň 7 (P0)],BD142),RZ[[#This Row],[Koeficient odhadu HR '[-'] (P1)]]*$BN142*$IG142)</f>
        <v>0</v>
      </c>
      <c r="CQ142" s="132">
        <f ca="1">IF(OFFSET(BE142,1,0,1,1)&lt;&gt;0,$BN142*SUMIFS(RZ[Úroveň 8 bez koef. (P2)],RZ[0],AX142,RZ[Úroveň 2 (P0)],AY142,RZ[Úroveň 3 (P0)],AZ142,RZ[Úroveň 4 (P0)],BA142,RZ[Úroveň 5 (P0)],BB142,RZ[Úroveň 6 (P0)],BC142,RZ[Úroveň 7 (P0)],BD142),$BN142*$IG142)</f>
        <v>0</v>
      </c>
      <c r="CR142" s="138">
        <f ca="1">RZ[[#This Row],[Úroveň 8 s koef. (P2a)]]*RZ[[#This Row],[Počet MJHR (P0)]]</f>
        <v>0</v>
      </c>
      <c r="CS142" s="138">
        <f ca="1">RZ[Úroveň 8 bez koef. (P2a)]*RZ[[#This Row],[Počet MJHR (P0)]]</f>
        <v>0</v>
      </c>
      <c r="CT142" s="138">
        <f ca="1">IF(OFFSET(BF142,1,0,1,1)&lt;&gt;0,RZ[[#This Row],[Koeficient odhadu HR '[-'] (P1)]]*$BO142*SUMIFS(RZ[Úroveň 9 s koef. (P2)],RZ[0],AX142,RZ[Úroveň 2 (P0)],AY142,RZ[Úroveň 3 (P0)],AZ142,RZ[Úroveň 4 (P0)],BA142,RZ[Úroveň 5 (P0)],BB142,RZ[Úroveň 6 (P0)],BC142,RZ[Úroveň 7 (P0)],BD142,RZ[Úroveň 8 (P0)],BE142),RZ[[#This Row],[Koeficient odhadu HR '[-'] (P1)]]*$BO142*$IG142)</f>
        <v>0</v>
      </c>
      <c r="CU142" s="138">
        <f ca="1">IF(OFFSET(BF142,1,0,1,1)&lt;&gt;0,$BO142*SUMIFS(RZ[Úroveň 9 bez koef. (P2)],RZ[0],AX142,RZ[Úroveň 2 (P0)],AY142,RZ[Úroveň 3 (P0)],AZ142,RZ[Úroveň 4 (P0)],BA142,RZ[Úroveň 5 (P0)],BB142,RZ[Úroveň 6 (P0)],BC142,RZ[Úroveň 7 (P0)],BD142,RZ[Úroveň 8 (P0)],BE142),$BO142*$IG142)</f>
        <v>0</v>
      </c>
      <c r="CV142" s="132">
        <f ca="1">RZ[[#This Row],[Úroveň 9 s koef. (P2a)]]*RZ[[#This Row],[Počet MJHR (P0)]]</f>
        <v>0</v>
      </c>
      <c r="CW142" s="132">
        <f ca="1">RZ[Úroveň 9 bez koef. (P2a)]*RZ[[#This Row],[Počet MJHR (P0)]]</f>
        <v>0</v>
      </c>
      <c r="CX142" s="132">
        <f ca="1">IF(OFFSET(BG142,1,0,1,1)&lt;&gt;0,RZ[[#This Row],[Koeficient odhadu HR '[-'] (P1)]]*$BP142*SUMIFS(RZ[Úroveň 10 s koef. (P2)],RZ[0],AX142,RZ[Úroveň 2 (P0)],AY142,RZ[Úroveň 3 (P0)],AZ142,RZ[Úroveň 4 (P0)],BA142,RZ[Úroveň 5 (P0)],BB142,RZ[Úroveň 6 (P0)],BC142,RZ[Úroveň 7 (P0)],BD142,RZ[Úroveň 8 (P0)],BE142,RZ[Úroveň 9 (P0)],BF142),RZ[[#This Row],[Koeficient odhadu HR '[-'] (P1)]]*$BP142*$IG142)</f>
        <v>0</v>
      </c>
      <c r="CY142" s="132">
        <f ca="1">IF(OFFSET(BG142,1,0,1,1)&lt;&gt;0,$BP142*SUMIFS(RZ[Úroveň 10 bez koef. (P2)],RZ[0],AX142,RZ[Úroveň 2 (P0)],AY142,RZ[Úroveň 3 (P0)],AZ142,RZ[Úroveň 4 (P0)],BA142,RZ[Úroveň 5 (P0)],BB142,RZ[Úroveň 6 (P0)],BC142,RZ[Úroveň 7 (P0)],BD142,RZ[Úroveň 8 (P0)],BE142,RZ[Úroveň 9 (P0)],BF142),$BP142*$IG142)</f>
        <v>0</v>
      </c>
      <c r="CZ142" s="138">
        <f>RZ[[#This Row],[Úroveň 10 s koef. (P2a)]]*RZ[[#This Row],[Počet MJHR (P0)]]</f>
        <v>0</v>
      </c>
      <c r="DA142" s="138">
        <f>RZ[Úroveň 10 bez koef. (P2a)]*RZ[[#This Row],[Počet MJHR (P0)]]</f>
        <v>0</v>
      </c>
      <c r="DB142" s="138">
        <f>RZ[[#This Row],[Koeficient odhadu HR '[-'] (P1)]]*$BQ142*IG142</f>
        <v>0</v>
      </c>
      <c r="DC142" s="231">
        <f t="shared" si="37"/>
        <v>0</v>
      </c>
      <c r="DD142" s="241">
        <f t="shared" ca="1" si="120"/>
        <v>592.5</v>
      </c>
      <c r="DE142" s="229">
        <f t="shared" ca="1" si="121"/>
        <v>592.5</v>
      </c>
      <c r="DF142" s="521">
        <f t="shared" si="40"/>
        <v>0</v>
      </c>
      <c r="DG142" s="522">
        <f t="shared" si="41"/>
        <v>1</v>
      </c>
      <c r="DH142" s="522">
        <f t="shared" si="42"/>
        <v>0</v>
      </c>
      <c r="DI142" s="523">
        <f t="shared" si="43"/>
        <v>0</v>
      </c>
      <c r="DJ142" s="524">
        <f t="shared" si="44"/>
        <v>0</v>
      </c>
      <c r="DK142" s="524">
        <f t="shared" si="45"/>
        <v>0</v>
      </c>
      <c r="DL142" s="524">
        <f t="shared" si="46"/>
        <v>0</v>
      </c>
      <c r="DM142" s="524">
        <f t="shared" si="47"/>
        <v>0</v>
      </c>
      <c r="DN142" s="524">
        <f t="shared" si="48"/>
        <v>0</v>
      </c>
      <c r="DO142" s="523">
        <f t="shared" si="49"/>
        <v>0</v>
      </c>
      <c r="DP142" s="525">
        <f ca="1">SUMIFS(RZ[Úroveň 1 (P4)],RZ[0],AX142)</f>
        <v>1</v>
      </c>
      <c r="DQ142" s="525">
        <f ca="1">SUMIFS(RZ[Úroveň 2 (P4)],RZ[0],AX142,RZ[Úroveň 2 (P0)],AY142)</f>
        <v>1</v>
      </c>
      <c r="DR142" s="525">
        <f ca="1">SUMIFS(RZ[Úroveň 3 (P4)],RZ[0],AX142,RZ[Úroveň 2 (P0)],AY142,RZ[Úroveň 3 (P0)],AZ142)</f>
        <v>0</v>
      </c>
      <c r="DS142" s="525">
        <f ca="1">SUMIFS(RZ[Úroveň 4 (P4)],RZ[0],AX142,RZ[Úroveň 2 (P0)],AY142,RZ[Úroveň 3 (P0)],AZ142,RZ[Úroveň 4 (P0)],BA142)</f>
        <v>0</v>
      </c>
      <c r="DT142" s="526">
        <f ca="1">SUMIFS(RZ[Úroveň 5 (P4)],RZ[0],AX142,RZ[Úroveň 2 (P0)],AY142,RZ[Úroveň 3 (P0)],AZ142,RZ[Úroveň 4 (P0)],BA142,RZ[Úroveň 5 (P0)],BB142)</f>
        <v>0</v>
      </c>
      <c r="DU142" s="526">
        <f ca="1">SUMIFS(RZ[Úroveň 6 (P4)],RZ[0],AX142,RZ[Úroveň 2 (P0)],AY142,RZ[Úroveň 3 (P0)],AZ142,RZ[Úroveň 4 (P0)],BA142,RZ[Úroveň 5 (P0)],BB142,RZ[Úroveň 6 (P0)],BC142)</f>
        <v>0</v>
      </c>
      <c r="DV142" s="526">
        <f ca="1">SUMIFS(RZ[Úroveň 7 (P4)],RZ[0],AX142,RZ[Úroveň 2 (P0)],AY142,RZ[Úroveň 3 (P0)],AZ142,RZ[Úroveň 4 (P0)],BA142,RZ[Úroveň 5 (P0)],BB142,RZ[Úroveň 6 (P0)],BC142,RZ[Úroveň 7 (P0)],BD142)</f>
        <v>0</v>
      </c>
      <c r="DW142" s="526">
        <f ca="1">SUMIFS(RZ[Úroveň 8 (P4)],RZ[0],AX142,RZ[Úroveň 2 (P0)],AY142,RZ[Úroveň 3 (P0)],AZ142,RZ[Úroveň 4 (P0)],BA142,RZ[Úroveň 5 (P0)],BB142,RZ[Úroveň 6 (P0)],BC142,RZ[Úroveň 7 (P0)],BD142,RZ[Úroveň 8 (P0)],BE142)</f>
        <v>0</v>
      </c>
      <c r="DX142" s="526">
        <f ca="1">SUMIFS(RZ[Úroveň 9 (P4)],RZ[0],AX142,RZ[Úroveň 2 (P0)],AY142,RZ[Úroveň 3 (P0)],AZ142,RZ[Úroveň 4 (P0)],BA142,RZ[Úroveň 5 (P0)],BB142,RZ[Úroveň 6 (P0)],BC142,RZ[Úroveň 7 (P0)],BD142,RZ[Úroveň 8 (P0)],BE142,RZ[Úroveň 9 (P0)],BF142)</f>
        <v>0</v>
      </c>
      <c r="DY142" s="526">
        <f ca="1">SUMIFS(RZ[Úroveň 10 (P4)],RZ[0],AX142,RZ[Úroveň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DZ142" s="527">
        <f t="shared" ca="1" si="122"/>
        <v>1</v>
      </c>
      <c r="EA142" s="528">
        <f ca="1">RZ[[#This Row],[Jednotková hmotnost bez koef. '[kg/MJHR'] (P0)]]*RZ[[#This Row],[Počet MJHR v rozpadu (P0)]]</f>
        <v>592.5</v>
      </c>
      <c r="EB142" s="191">
        <f ca="1">IF(OFFSET(AY142,1,0,1,1)&lt;&gt;0,RZ[[#This Row],[Koeficient odhadu CR '[-'] (P1)]]*$BH142*SUMIFS(RZ[Úroveň 2 s koef. (P3)],RZ[0],AX142),RZ[[#This Row],[Koeficient odhadu CR '[-'] (P1)]]*$BH142*$IQ142)</f>
        <v>0</v>
      </c>
      <c r="EC142" s="191">
        <f ca="1">IF(OFFSET(AY142,1,0,1,1)&lt;&gt;0,$BH142*SUMIFS(RZ[Úroveň 2 bez koef. (P3)],RZ[0],AX142),$BH142*$IQ142)</f>
        <v>0</v>
      </c>
      <c r="ED142" s="140">
        <f ca="1">RZ[[#This Row],[Úroveň 2 s koef. (P3a)]]*RZ[[#This Row],[Počet MJCR (P0) pro "kg"]]</f>
        <v>23700</v>
      </c>
      <c r="EE142" s="140">
        <f ca="1">RZ[Úroveň 2 bez koef. (P3a)]*RZ[[#This Row],[Počet MJCR (P0) pro "kg"]]</f>
        <v>23700</v>
      </c>
      <c r="EF142" s="140">
        <f ca="1">IF(OFFSET(AZ142,1,0,1,1)&lt;&gt;0,RZ[[#This Row],[Koeficient odhadu CR '[-'] (P1)]]*$BI142*SUMIFS(RZ[Úroveň 3 s koef. (P3)],RZ[0],AX142,RZ[Úroveň 2 (P0)],AY142),RZ[[#This Row],[Koeficient odhadu CR '[-'] (P1)]]*$BI142*$IQ142)</f>
        <v>40</v>
      </c>
      <c r="EG142" s="140">
        <f ca="1">IF(OFFSET(AZ142,1,0,1,1)&lt;&gt;0,$BI142*SUMIFS(RZ[Úroveň 3 bez koef. (P3)],RZ[0],AX142,RZ[Úroveň 2 (P0)],AY142),$BI142*$IQ142)</f>
        <v>40</v>
      </c>
      <c r="EH142" s="135">
        <f ca="1">RZ[[#This Row],[Úroveň 3 s koef. (P3a)]]*RZ[[#This Row],[Počet MJCR (P0) pro "kg"]]</f>
        <v>0</v>
      </c>
      <c r="EI142" s="135">
        <f ca="1">RZ[Úroveň 3 bez koef. (P3a)]*RZ[[#This Row],[Počet MJCR (P0) pro "kg"]]</f>
        <v>0</v>
      </c>
      <c r="EJ142" s="135">
        <f ca="1">IF(OFFSET(BA142,1,0,1,1)&lt;&gt;0,RZ[[#This Row],[Koeficient odhadu CR '[-'] (P1)]]*$BJ142*SUMIFS(RZ[Úroveň 4 s koef. (P3)],RZ[0],AX142,RZ[Úroveň 2 (P0)],AY142,RZ[Úroveň 3 (P0)],AZ142),RZ[[#This Row],[Koeficient odhadu CR '[-'] (P1)]]*$BJ142*$IQ142)</f>
        <v>0</v>
      </c>
      <c r="EK142" s="135">
        <f ca="1">IF(OFFSET(BA142,1,0,1,1)&lt;&gt;0,$BJ142*SUMIFS(RZ[Úroveň 4 bez koef. (P3)],RZ[0],AX142,RZ[Úroveň 2 (P0)],AY142,RZ[Úroveň 3 (P0)],AZ142),$BJ142*$IQ142)</f>
        <v>0</v>
      </c>
      <c r="EL142" s="140">
        <f ca="1">RZ[[#This Row],[Úroveň 4 s koef. (P3a)]]*RZ[[#This Row],[Počet MJCR (P0) pro "kg"]]</f>
        <v>0</v>
      </c>
      <c r="EM142" s="140">
        <f ca="1">RZ[Úroveň 4 bez koef. (P3a)]*RZ[[#This Row],[Počet MJCR (P0) pro "kg"]]</f>
        <v>0</v>
      </c>
      <c r="EN142" s="140">
        <f ca="1">IF(OFFSET(BB142,1,0,1,1)&lt;&gt;0,RZ[[#This Row],[Koeficient odhadu CR '[-'] (P1)]]*$BK142*SUMIFS(RZ[Úroveň 5 s koef. (P3)],RZ[0],AX142,RZ[Úroveň 2 (P0)],AY142,RZ[Úroveň 3 (P0)],AZ142,RZ[Úroveň 4 (P0)],BA142),RZ[[#This Row],[Koeficient odhadu CR '[-'] (P1)]]*$BK142*$IQ142)</f>
        <v>0</v>
      </c>
      <c r="EO142" s="140">
        <f ca="1">IF(OFFSET(BB142,1,0,1,1)&lt;&gt;0,$BK142*SUMIFS(RZ[Úroveň 5 bez koef. (P3)],RZ[0],AX142,RZ[Úroveň 2 (P0)],AY142,RZ[Úroveň 3 (P0)],AZ142,RZ[Úroveň 4 (P0)],BA142),$BK142*$IQ142)</f>
        <v>0</v>
      </c>
      <c r="EP142" s="135">
        <f ca="1">RZ[[#This Row],[Úroveň 5 s koef. (P3a)]]*RZ[[#This Row],[Počet MJCR (P0) pro "kg"]]</f>
        <v>0</v>
      </c>
      <c r="EQ142" s="135">
        <f ca="1">RZ[Úroveň 5 bez koef. (P3a)]*RZ[[#This Row],[Počet MJCR (P0) pro "kg"]]</f>
        <v>0</v>
      </c>
      <c r="ER142" s="135">
        <f ca="1">IF(OFFSET(BC142,1,0,1,1)&lt;&gt;0,RZ[[#This Row],[Koeficient odhadu CR '[-'] (P1)]]*$BL142*SUMIFS(RZ[Úroveň 6 s koef. (P3)],RZ[0],AX142,RZ[Úroveň 2 (P0)],AY142,RZ[Úroveň 3 (P0)],AZ142,RZ[Úroveň 4 (P0)],BA142,RZ[Úroveň 5 (P0)],BB142),RZ[[#This Row],[Koeficient odhadu CR '[-'] (P1)]]*$BL142*$IQ142)</f>
        <v>0</v>
      </c>
      <c r="ES142" s="135">
        <f ca="1">IF(OFFSET(BC142,1,0,1,1)&lt;&gt;0,$BL142*SUMIFS(RZ[Úroveň 6 bez koef. (P3)],RZ[0],AX142,RZ[Úroveň 2 (P0)],AY142,RZ[Úroveň 3 (P0)],AZ142,RZ[Úroveň 4 (P0)],BA142,RZ[Úroveň 5 (P0)],BB142),$BL142*$IQ142)</f>
        <v>0</v>
      </c>
      <c r="ET142" s="140">
        <f ca="1">RZ[[#This Row],[Úroveň 6 s koef. (P3a)]]*RZ[[#This Row],[Počet MJCR (P0) pro "kg"]]</f>
        <v>0</v>
      </c>
      <c r="EU142" s="140">
        <f ca="1">RZ[Úroveň 6 bez koef. (P3a)]*RZ[[#This Row],[Počet MJCR (P0) pro "kg"]]</f>
        <v>0</v>
      </c>
      <c r="EV142" s="140">
        <f ca="1">IF(OFFSET(BD142,1,0,1,1)&lt;&gt;0,RZ[[#This Row],[Koeficient odhadu CR '[-'] (P1)]]*$BM142*SUMIFS(RZ[Úroveň 7 s koef. (P3)],RZ[0],AX142,RZ[Úroveň 2 (P0)],AY142,RZ[Úroveň 3 (P0)],AZ142,RZ[Úroveň 4 (P0)],BA142,RZ[Úroveň 5 (P0)],BB142,RZ[Úroveň 6 (P0)],BC142),RZ[[#This Row],[Koeficient odhadu CR '[-'] (P1)]]*$BM142*$IQ142)</f>
        <v>0</v>
      </c>
      <c r="EW142" s="140">
        <f ca="1">IF(OFFSET(BD142,1,0,1,1)&lt;&gt;0,$BM142*SUMIFS(RZ[Úroveň 7 bez koef. (P3)],RZ[0],AX142,RZ[Úroveň 2 (P0)],AY142,RZ[Úroveň 3 (P0)],AZ142,RZ[Úroveň 4 (P0)],BA142,RZ[Úroveň 5 (P0)],BB142,RZ[Úroveň 6 (P0)],BC142),$BM142*$IQ142)</f>
        <v>0</v>
      </c>
      <c r="EX142" s="135">
        <f ca="1">RZ[[#This Row],[Úroveň 7 s koef. (P3a)]]*RZ[[#This Row],[Počet MJCR (P0) pro "kg"]]</f>
        <v>0</v>
      </c>
      <c r="EY142" s="135">
        <f ca="1">RZ[Úroveň 7 bez koef. (P3a)]*RZ[[#This Row],[Počet MJCR (P0) pro "kg"]]</f>
        <v>0</v>
      </c>
      <c r="EZ142" s="135">
        <f ca="1">IF(OFFSET(BE142,1,0,1,1)&lt;&gt;0,RZ[[#This Row],[Koeficient odhadu CR '[-'] (P1)]]*$BN142*SUMIFS(RZ[Úroveň 8 s koef. (P3)],RZ[0],AX142,RZ[Úroveň 2 (P0)],AY142,RZ[Úroveň 3 (P0)],AZ142,RZ[Úroveň 4 (P0)],BA142,RZ[Úroveň 5 (P0)],BB142,RZ[Úroveň 6 (P0)],BC142,RZ[Úroveň 7 (P0)],BD142),RZ[[#This Row],[Koeficient odhadu CR '[-'] (P1)]]*$BN142*$IQ142)</f>
        <v>0</v>
      </c>
      <c r="FA142" s="135">
        <f ca="1">IF(OFFSET(BE142,1,0,1,1)&lt;&gt;0,$BN142*SUMIFS(RZ[Úroveň 8 bez koef. (P3)],RZ[0],AX142,RZ[Úroveň 2 (P0)],AY142,RZ[Úroveň 3 (P0)],AZ142,RZ[Úroveň 4 (P0)],BA142,RZ[Úroveň 5 (P0)],BB142,RZ[Úroveň 6 (P0)],BC142,RZ[Úroveň 7 (P0)],BD142),$BN142*$IQ142)</f>
        <v>0</v>
      </c>
      <c r="FB142" s="140">
        <f ca="1">RZ[[#This Row],[Úroveň 8 s koef. (P3a)]]*RZ[[#This Row],[Počet MJCR (P0) pro "kg"]]</f>
        <v>0</v>
      </c>
      <c r="FC142" s="140">
        <f ca="1">RZ[Úroveň 8 bez koef. (P3a)]*RZ[[#This Row],[Počet MJCR (P0) pro "kg"]]</f>
        <v>0</v>
      </c>
      <c r="FD142" s="140">
        <f ca="1">IF(OFFSET(BF142,1,0,1,1)&lt;&gt;0,RZ[[#This Row],[Koeficient odhadu CR '[-'] (P1)]]*$BO142*SUMIFS(RZ[Úroveň 9 s koef. (P3)],RZ[0],AX142,RZ[Úroveň 2 (P0)],AY142,RZ[Úroveň 3 (P0)],AZ142,RZ[Úroveň 4 (P0)],BA142,RZ[Úroveň 5 (P0)],BB142,RZ[Úroveň 6 (P0)],BC142,RZ[Úroveň 7 (P0)],BD142,RZ[Úroveň 8 (P0)],BE142),RZ[[#This Row],[Koeficient odhadu CR '[-'] (P1)]]*$BO142*$IQ142)</f>
        <v>0</v>
      </c>
      <c r="FE142" s="140">
        <f ca="1">IF(OFFSET(BF142,1,0,1,1)&lt;&gt;0,$BO142*SUMIFS(RZ[Úroveň 9 bez koef. (P3)],RZ[0],AX142,RZ[Úroveň 2 (P0)],AY142,RZ[Úroveň 3 (P0)],AZ142,RZ[Úroveň 4 (P0)],BA142,RZ[Úroveň 5 (P0)],BB142,RZ[Úroveň 6 (P0)],BC142,RZ[Úroveň 7 (P0)],BD142,RZ[Úroveň 8 (P0)],BE142),$BO142*$IQ142)</f>
        <v>0</v>
      </c>
      <c r="FF142" s="135">
        <f ca="1">RZ[[#This Row],[Úroveň 9 s koef. (P3a)]]*RZ[[#This Row],[Počet MJCR (P0) pro "kg"]]</f>
        <v>0</v>
      </c>
      <c r="FG142" s="135">
        <f ca="1">RZ[Úroveň 9 bez koef. (P3a)]*RZ[[#This Row],[Počet MJCR (P0) pro "kg"]]</f>
        <v>0</v>
      </c>
      <c r="FH142" s="135">
        <f ca="1">IF(OFFSET(BG142,1,0,1,1)&lt;&gt;0,RZ[[#This Row],[Koeficient odhadu CR '[-'] (P1)]]*$BP142*SUMIFS(RZ[Úroveň 10 s koef. (P3)],RZ[0],AX142,RZ[Úroveň 2 (P0)],AY142,RZ[Úroveň 3 (P0)],AZ142,RZ[Úroveň 4 (P0)],BA142,RZ[Úroveň 5 (P0)],BB142,RZ[Úroveň 6 (P0)],BC142,RZ[Úroveň 7 (P0)],BD142,RZ[Úroveň 8 (P0)],BE142,RZ[Úroveň 9 (P0)],BF142),RZ[[#This Row],[Koeficient odhadu CR '[-'] (P1)]]*$BP142*$IQ142)</f>
        <v>0</v>
      </c>
      <c r="FI142" s="135">
        <f ca="1">IF(OFFSET(BG142,1,0,1,1)&lt;&gt;0,$BP142*SUMIFS(RZ[Úroveň 10 bez koef. (P3)],RZ[0],AX142,RZ[Úroveň 2 (P0)],AY142,RZ[Úroveň 3 (P0)],AZ142,RZ[Úroveň 4 (P0)],BA142,RZ[Úroveň 5 (P0)],BB142,RZ[Úroveň 6 (P0)],BC142,RZ[Úroveň 7 (P0)],BD142,RZ[Úroveň 8 (P0)],BE142,RZ[Úroveň 9 (P0)],BF142),$BP142*$IQ142)</f>
        <v>0</v>
      </c>
      <c r="FJ142" s="140">
        <f ca="1">RZ[[#This Row],[Úroveň 10 s koef. (P3a)]]*RZ[[#This Row],[Počet MJCR (P0) pro "kg"]]</f>
        <v>0</v>
      </c>
      <c r="FK142" s="140">
        <f ca="1">RZ[Úroveň 10 bez koef. (P3a)]*RZ[[#This Row],[Počet MJCR (P0) pro "kg"]]</f>
        <v>0</v>
      </c>
      <c r="FL142" s="140">
        <f ca="1">RZ[[#This Row],[Koeficient odhadu CR '[-'] (P1)]]*$BQ142*IQ142</f>
        <v>0</v>
      </c>
      <c r="FM142" s="236">
        <f t="shared" ca="1" si="51"/>
        <v>0</v>
      </c>
      <c r="FN142" s="194">
        <f t="shared" ca="1" si="123"/>
        <v>40</v>
      </c>
      <c r="FO142" s="238">
        <f t="shared" ca="1" si="124"/>
        <v>40</v>
      </c>
      <c r="FP142" s="191">
        <f t="shared" ca="1" si="54"/>
        <v>0</v>
      </c>
      <c r="FQ142" s="135">
        <f t="shared" ca="1" si="55"/>
        <v>592.5</v>
      </c>
      <c r="FR142" s="135">
        <f t="shared" ca="1" si="56"/>
        <v>0</v>
      </c>
      <c r="FS142" s="135">
        <f t="shared" ca="1" si="57"/>
        <v>0</v>
      </c>
      <c r="FT142" s="135">
        <f t="shared" ca="1" si="58"/>
        <v>0</v>
      </c>
      <c r="FU142" s="135">
        <f t="shared" ca="1" si="59"/>
        <v>0</v>
      </c>
      <c r="FV142" s="135">
        <f t="shared" ca="1" si="60"/>
        <v>0</v>
      </c>
      <c r="FW142" s="135">
        <f t="shared" ca="1" si="61"/>
        <v>0</v>
      </c>
      <c r="FX142" s="135">
        <f t="shared" ca="1" si="62"/>
        <v>0</v>
      </c>
      <c r="FY142" s="135">
        <f t="shared" ca="1" si="63"/>
        <v>0</v>
      </c>
      <c r="FZ142" s="140">
        <f ca="1">SUMIFS(RZ[Úroveň 1 (P6)],RZ[0],AX142)</f>
        <v>1</v>
      </c>
      <c r="GA142" s="140">
        <f ca="1">SUMIFS(RZ[Úroveň 2 (P6)],RZ[0],AX142,RZ[Úroveň 2 (P0)],AY142)</f>
        <v>592.5</v>
      </c>
      <c r="GB142" s="140">
        <f ca="1">SUMIFS(RZ[Úroveň 3 (P6)],RZ[0],AX142,RZ[Úroveň 2 (P0)],AY142,RZ[Úroveň 3 (P0)],AZ142)</f>
        <v>0</v>
      </c>
      <c r="GC142" s="140">
        <f ca="1">SUMIFS(RZ[Úroveň 4 (P6)],RZ[0],AX142,RZ[Úroveň 2 (P0)],AY142,RZ[Úroveň 3 (P0)],AZ142,RZ[Úroveň 4 (P0)],BA142)</f>
        <v>0</v>
      </c>
      <c r="GD142" s="140">
        <f ca="1">SUMIFS(RZ[Úroveň 5 (P6)],RZ[0],AX142,RZ[Úroveň 2 (P0)],AY142,RZ[Úroveň 3 (P0)],AZ142,RZ[Úroveň 4 (P0)],BA142,RZ[Úroveň 5 (P0)],BB142)</f>
        <v>0</v>
      </c>
      <c r="GE142" s="140">
        <f ca="1">SUMIFS(RZ[Úroveň 6 (P6)],RZ[0],AX142,RZ[Úroveň 2 (P0)],AY142,RZ[Úroveň 3 (P0)],AZ142,RZ[Úroveň 4 (P0)],BA142,RZ[Úroveň 5 (P0)],BB142,RZ[Úroveň 6 (P0)],BC142)</f>
        <v>0</v>
      </c>
      <c r="GF142" s="140">
        <f ca="1">SUMIFS(RZ[Úroveň 7 (P6)],RZ[0],AX142,RZ[Úroveň 2 (P0)],AY142,RZ[Úroveň 3 (P0)],AZ142,RZ[Úroveň 4 (P0)],BA142,RZ[Úroveň 5 (P0)],BB142,RZ[Úroveň 6 (P0)],BC142,RZ[Úroveň 7 (P0)],BD142)</f>
        <v>0</v>
      </c>
      <c r="GG142" s="140">
        <f ca="1">SUMIFS(RZ[Úroveň 8 (P6)],RZ[0],AX142,RZ[Úroveň 2 (P0)],AY142,RZ[Úroveň 3 (P0)],AZ142,RZ[Úroveň 4 (P0)],BA142,RZ[Úroveň 5 (P0)],BB142,RZ[Úroveň 6 (P0)],BC142,RZ[Úroveň 7 (P0)],BD142,RZ[Úroveň 8 (P0)],BE142)</f>
        <v>0</v>
      </c>
      <c r="GH142" s="140">
        <f ca="1">SUMIFS(RZ[Úroveň 9 (P6)],RZ[0],AX142,RZ[Úroveň 2 (P0)],AY142,RZ[Úroveň 3 (P0)],AZ142,RZ[Úroveň 4 (P0)],BA142,RZ[Úroveň 5 (P0)],BB142,RZ[Úroveň 6 (P0)],BC142,RZ[Úroveň 7 (P0)],BD142,RZ[Úroveň 8 (P0)],BE142,RZ[Úroveň 9 (P0)],BF142)</f>
        <v>0</v>
      </c>
      <c r="GI142" s="140">
        <f ca="1">SUMIFS(RZ[Úroveň 10 (P6)],RZ[0],AX142,RZ[Úroveň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GJ142" s="194">
        <f t="shared" ca="1" si="125"/>
        <v>592.5</v>
      </c>
      <c r="GK142" s="807">
        <f t="shared" si="65"/>
        <v>0</v>
      </c>
      <c r="GL142" s="808">
        <f t="shared" si="66"/>
        <v>1</v>
      </c>
      <c r="GM142" s="808">
        <f t="shared" si="67"/>
        <v>0</v>
      </c>
      <c r="GN142" s="808">
        <f t="shared" si="68"/>
        <v>0</v>
      </c>
      <c r="GO142" s="808">
        <f t="shared" si="69"/>
        <v>0</v>
      </c>
      <c r="GP142" s="808">
        <f t="shared" si="70"/>
        <v>0</v>
      </c>
      <c r="GQ142" s="808">
        <f t="shared" si="71"/>
        <v>0</v>
      </c>
      <c r="GR142" s="808">
        <f t="shared" si="72"/>
        <v>0</v>
      </c>
      <c r="GS142" s="808">
        <f t="shared" si="73"/>
        <v>0</v>
      </c>
      <c r="GT142" s="808">
        <f t="shared" si="74"/>
        <v>0</v>
      </c>
      <c r="GU142" s="809">
        <f ca="1">SUMIFS(RZ[Sloupec1],RZ[0],AX142)</f>
        <v>1</v>
      </c>
      <c r="GV142" s="809">
        <f ca="1">SUMIFS(RZ[Sloupec2],RZ[0],AX142,RZ[Úroveň 2 (P0)],AY142)</f>
        <v>1</v>
      </c>
      <c r="GW142" s="809">
        <f ca="1">SUMIFS(RZ[Sloupec3],RZ[0],AX142,RZ[Úroveň 2 (P0)],AY142,RZ[Úroveň 3 (P0)],AZ142)</f>
        <v>0</v>
      </c>
      <c r="GX142" s="809">
        <f ca="1">SUMIFS(RZ[Sloupec4],RZ[0],AX142,RZ[Úroveň 2 (P0)],AY142,RZ[Úroveň 3 (P0)],AZ142,RZ[Úroveň 4 (P0)],BA142)</f>
        <v>0</v>
      </c>
      <c r="GY142" s="809">
        <f ca="1">SUMIFS(RZ[Sloupec5],RZ[0],AX142,RZ[Úroveň 2 (P0)],AY142,RZ[Úroveň 3 (P0)],AZ142,RZ[Úroveň 4 (P0)],BA142,RZ[Úroveň 5 (P0)],BB142)</f>
        <v>0</v>
      </c>
      <c r="GZ142" s="809">
        <f ca="1">SUMIFS(RZ[Sloupec6],RZ[0],AX142,RZ[Úroveň 2 (P0)],AY142,RZ[Úroveň 3 (P0)],AZ142,RZ[Úroveň 4 (P0)],BA142,RZ[Úroveň 5 (P0)],BB142,RZ[Úroveň 6 (P0)],BC142)</f>
        <v>0</v>
      </c>
      <c r="HA142" s="809">
        <f ca="1">SUMIFS(RZ[Sloupec62],RZ[0],AX142,RZ[Úroveň 2 (P0)],AY142,RZ[Úroveň 3 (P0)],AZ142,RZ[Úroveň 4 (P0)],BA142,RZ[Úroveň 5 (P0)],BB142,RZ[Úroveň 6 (P0)],BC142,RZ[Úroveň 7 (P0)],BD142)</f>
        <v>0</v>
      </c>
      <c r="HB142" s="809">
        <f ca="1">SUMIFS(RZ[Sloupec63],RZ[0],AX142,RZ[Úroveň 2 (P0)],AY142,RZ[Úroveň 3 (P0)],AZ142,RZ[Úroveň 4 (P0)],BA142,RZ[Úroveň 5 (P0)],BB142,RZ[Úroveň 6 (P0)],BC142,RZ[Úroveň 7 (P0)],BD142,RZ[Úroveň 8 (P0)],BE142)</f>
        <v>0</v>
      </c>
      <c r="HC142" s="809">
        <f ca="1">SUMIFS(RZ[Sloupec64],RZ[0],AX142,RZ[Úroveň 2 (P0)],AY142,RZ[Úroveň 3 (P0)],AZ142,RZ[Úroveň 4 (P0)],BA142,RZ[Úroveň 5 (P0)],BB142,RZ[Úroveň 6 (P0)],BC142,RZ[Úroveň 7 (P0)],BD142,RZ[Úroveň 8 (P0)],BE142,RZ[Úroveň 9 (P0)],BF142)</f>
        <v>0</v>
      </c>
      <c r="HD142" s="809">
        <f ca="1">SUMIFS(RZ[Sloupec65],RZ[0],AX142,RZ[Úroveň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HE142" s="803">
        <f t="shared" ca="1" si="75"/>
        <v>1</v>
      </c>
      <c r="HF142" s="48" t="str">
        <f t="shared" si="76"/>
        <v/>
      </c>
      <c r="HG142" s="94" t="str">
        <f t="shared" si="77"/>
        <v/>
      </c>
      <c r="HH142" s="95" t="str">
        <f t="shared" si="78"/>
        <v>Ocelové profily</v>
      </c>
      <c r="HI142" s="95" t="str">
        <f t="shared" si="79"/>
        <v/>
      </c>
      <c r="HJ142" s="96" t="str">
        <f t="shared" si="80"/>
        <v/>
      </c>
      <c r="HK142" s="96" t="str">
        <f t="shared" si="81"/>
        <v/>
      </c>
      <c r="HL142" s="96" t="str">
        <f t="shared" si="82"/>
        <v/>
      </c>
      <c r="HM142" s="96" t="str">
        <f t="shared" si="83"/>
        <v/>
      </c>
      <c r="HN142" s="96" t="str">
        <f t="shared" si="84"/>
        <v/>
      </c>
      <c r="HO142" s="96" t="str">
        <f t="shared" si="85"/>
        <v/>
      </c>
      <c r="HP142" s="96" t="str">
        <f t="shared" si="86"/>
        <v/>
      </c>
      <c r="HQ142" s="145" t="str">
        <f t="shared" si="87"/>
        <v>OKHM</v>
      </c>
      <c r="HR142" s="175" t="str">
        <f t="shared" si="88"/>
        <v/>
      </c>
      <c r="HS142" s="173">
        <f t="shared" si="89"/>
        <v>0</v>
      </c>
      <c r="HT142" s="99">
        <f t="shared" si="90"/>
        <v>0</v>
      </c>
      <c r="HU142" s="99">
        <f t="shared" si="91"/>
        <v>0</v>
      </c>
      <c r="HV142" s="209">
        <f t="shared" si="92"/>
        <v>0</v>
      </c>
      <c r="HW142" s="47">
        <f t="shared" si="93"/>
        <v>0</v>
      </c>
      <c r="HX142" s="46">
        <f t="shared" si="94"/>
        <v>0</v>
      </c>
      <c r="HY142" s="149" t="str">
        <f t="shared" si="95"/>
        <v>S</v>
      </c>
      <c r="HZ142" s="263">
        <f t="shared" si="96"/>
        <v>0</v>
      </c>
      <c r="IA142" s="150">
        <f t="shared" si="97"/>
        <v>1</v>
      </c>
      <c r="IB142" s="319">
        <f t="shared" si="98"/>
        <v>0</v>
      </c>
      <c r="IC142" s="220">
        <f t="shared" si="99"/>
        <v>0</v>
      </c>
      <c r="ID142" s="200" t="str">
        <f t="shared" ca="1" si="100"/>
        <v>OK</v>
      </c>
      <c r="IE142" s="201" t="str">
        <f t="shared" si="101"/>
        <v>ks</v>
      </c>
      <c r="IF142" s="145">
        <f t="shared" si="102"/>
        <v>1</v>
      </c>
      <c r="IG142" s="216">
        <f t="shared" si="103"/>
        <v>592.5</v>
      </c>
      <c r="IH142" s="217">
        <f t="shared" si="126"/>
        <v>1</v>
      </c>
      <c r="II142" s="224" t="str">
        <f ca="1">IF(RZ[[#This Row],[Rozhodný sloupec indikativní ceny]]=1,"kg",IF($IW142=$JL$15,IF(JX142=0,JO142,JX142),IF($IW142=$KE$15,IF(KQ142=0,KH142,KQ142),IF($IW142=$KX$15,IF(LJ142=0,LA142,LJ142),IF($IW142=$LQ$15,IF(MC142=0,LT142,MC142),IF($IW142=$MJ$15,IF(NQ142=0,NH142,NQ142),0))))))</f>
        <v>kg</v>
      </c>
      <c r="IJ142" s="224">
        <f ca="1">IF((BH142+OFFSET(BH142,1,1,1,1))=2,RZ[[#This Row],[Počet MJHR (P0)]],IF((BI142+OFFSET(BI142,1,1,1,1))=2,RZ[[#This Row],[Počet MJHR (P0)]],IF((BJ142+OFFSET(BJ142,1,1,1,1))=2,RZ[[#This Row],[Počet MJHR (P0)]],IF((BK142+OFFSET(BK142,1,1,1,1))=2,RZ[[#This Row],[Počet MJHR (P0)]],IF((BL142+OFFSET(BL142,1,1,1,1))=2,RZ[[#This Row],[Počet MJHR (P0)]],IF((BM142+OFFSET(BM142,1,1,1,1))=2,RZ[[#This Row],[Počet MJHR (P0)]],IF((BN142+OFFSET(BN142,1,1,1,1))=2,RZ[[#This Row],[Počet MJHR (P0)]],IF((BO142+OFFSET(BO142,1,1,1,1))=2,RZ[[#This Row],[Počet MJHR (P0)]],IF((BP142+OFFSET(BP142,1,1,1,1))=2,RZ[[#This Row],[Počet MJHR (P0)]],IF((BQ142+OFFSET(BQ142,1,1,1,1))=2,RZ[[#This Row],[Počet MJHR (P0)]],IF(RZ[[#This Row],[Měrná jednotka CR (MJCR) (P0)]]=RZ[[#This Row],[Měrná jednotka HR '[MJHR'] (P0)]],RZ[[#This Row],[Počet MJHR (P0)]],IF($IW142=$JL$15,JY142,IF($IW142=$KE$15,KR142,IF($IW142=$KX$15,LK142,IF($IW142=$LQ$15,MD142,IF($IW142=$MJ$15,NR142,0))))))))))))))))</f>
        <v>0</v>
      </c>
      <c r="IK1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592.5</v>
      </c>
      <c r="IL142" s="330">
        <f ca="1">IF(AND(RZ[[#This Row],[Jednotková cena bez DPH '[cena/MJCR'] (P0)]]=0,RZ[[#This Row],[Indikativní jednotková cena '[CZK/kg'] (P1)]]&lt;&gt;0),1,0)</f>
        <v>1</v>
      </c>
      <c r="IM142" s="217">
        <f ca="1">VLOOKUP(RZ[[#This Row],[Kód položek]],INDIKAT_CENA,2,FALSE)</f>
        <v>40</v>
      </c>
      <c r="IN142" s="222">
        <f ca="1">IF(RZ[[#This Row],[Rozhodný sloupec indikativní ceny]]=1,RZ[[#This Row],[Indikativní jednotková cena '[CZK/kg'] (P1)]],RZ[[#This Row],[Jednotková cena bez DPH '[cena/MJCR'] (P0)]])</f>
        <v>40</v>
      </c>
      <c r="IO142" s="222">
        <f t="shared" si="127"/>
        <v>1</v>
      </c>
      <c r="IP142" s="223">
        <f ca="1">IF(RZ[[#This Row],[Rozhodný sloupec indikativní ceny]]=1,1,IF($IW142=$JL$15,KA142,IF($IW142=$KE$15,KT142,IF($IW142=$KX$15,LM142,IF($IW142=$LQ$15,MF142,IF($IW142=$MJ$15,NT142,0))))))</f>
        <v>1</v>
      </c>
      <c r="IQ142" s="225">
        <f ca="1">IF(RZ[[#This Row],[Jednotková cena bez DPH '[cena/MJCR'] (P1)]]="",0,IF(IP142=0,0,(RZ[[#This Row],[Jednotková cena bez DPH '[cena/MJCR'] (P1)]]*VLOOKUP(IP142,$BR$7:$BT$10,3))))</f>
        <v>40</v>
      </c>
      <c r="IR142" s="737"/>
      <c r="IS142" s="627">
        <f>IF(HY142=0,"",VLOOKUP(RZ[[#This Row],[Stav Projekce (P0)]],Vstupy!$E$11:'Vstupy'!$E$11:$H$17,4,FALSE))</f>
        <v>100</v>
      </c>
      <c r="IT142" s="628" t="str">
        <f>IF(RZ[[#This Row],[Stav Projekce (P0)]]=0,"",RZ[[#This Row],[Stav Projekce (P0)]])</f>
        <v>S</v>
      </c>
      <c r="IU142" s="628" t="str">
        <f>IF(RZ[[#This Row],[Stav Nákup (P0)]]=0,"",RZ[[#This Row],[Stav Nákup (P0)]])</f>
        <v/>
      </c>
      <c r="IV142" s="636" t="str">
        <f t="shared" si="128"/>
        <v/>
      </c>
      <c r="IW142" s="641">
        <v>1</v>
      </c>
      <c r="IX142" s="630"/>
      <c r="IY142" s="264"/>
      <c r="IZ142" s="776"/>
      <c r="JA142" s="100" t="s">
        <v>758</v>
      </c>
      <c r="JB142" s="100"/>
      <c r="JC142" s="100"/>
      <c r="JD142" s="100"/>
      <c r="JE142" s="100"/>
      <c r="JF142" s="100"/>
      <c r="JG142" s="100"/>
      <c r="JH142" s="100"/>
      <c r="JI142" s="100"/>
      <c r="JJ142" s="145" t="s">
        <v>767</v>
      </c>
      <c r="JK142" s="529"/>
      <c r="JL142" s="286"/>
      <c r="JM142" s="100"/>
      <c r="JN142" s="100"/>
      <c r="JO142" s="145" t="s">
        <v>35</v>
      </c>
      <c r="JP142" s="117">
        <v>1</v>
      </c>
      <c r="JQ142" s="117">
        <v>592.5</v>
      </c>
      <c r="JR142" s="148">
        <v>1</v>
      </c>
      <c r="JS142" s="145" t="s">
        <v>602</v>
      </c>
      <c r="JT142" s="631"/>
      <c r="JU142" s="148"/>
      <c r="JV142" s="154"/>
      <c r="JW142" s="145"/>
      <c r="JX142" s="210"/>
      <c r="JY142" s="117"/>
      <c r="JZ142" s="662"/>
      <c r="KA142" s="145"/>
      <c r="KB142" s="148"/>
      <c r="KC142" s="148"/>
      <c r="KD142" s="644"/>
      <c r="KE142" s="286"/>
      <c r="KF142" s="100"/>
      <c r="KG142" s="100"/>
      <c r="KH142" s="210"/>
      <c r="KI142" s="117"/>
      <c r="KJ142" s="117"/>
      <c r="KK142" s="148"/>
      <c r="KL142" s="145"/>
      <c r="KM142" s="632"/>
      <c r="KN142" s="148"/>
      <c r="KO142" s="154"/>
      <c r="KP142" s="154"/>
      <c r="KQ142" s="210"/>
      <c r="KR142" s="117"/>
      <c r="KS142" s="211"/>
      <c r="KT142" s="145"/>
      <c r="KU142" s="148"/>
      <c r="KV142" s="148"/>
      <c r="KW142" s="265"/>
      <c r="KX142" s="286"/>
      <c r="KY142" s="100"/>
      <c r="KZ142" s="100"/>
      <c r="LA142" s="210"/>
      <c r="LB142" s="117"/>
      <c r="LC142" s="117"/>
      <c r="LD142" s="148"/>
      <c r="LE142" s="145"/>
      <c r="LF142" s="632"/>
      <c r="LG142" s="148"/>
      <c r="LH142" s="154"/>
      <c r="LI142" s="154"/>
      <c r="LJ142" s="154"/>
      <c r="LK142" s="117"/>
      <c r="LL142" s="211"/>
      <c r="LM142" s="210"/>
      <c r="LN142" s="148"/>
      <c r="LO142" s="148"/>
      <c r="LP142" s="265"/>
      <c r="LQ142" s="286"/>
      <c r="LR142" s="100"/>
      <c r="LS142" s="100"/>
      <c r="LT142" s="210"/>
      <c r="LU142" s="117"/>
      <c r="LV142" s="117"/>
      <c r="LW142" s="148"/>
      <c r="LX142" s="145"/>
      <c r="LY142" s="632"/>
      <c r="LZ142" s="148"/>
      <c r="MA142" s="154"/>
      <c r="MB142" s="154"/>
      <c r="MC142" s="145"/>
      <c r="MD142" s="117"/>
      <c r="ME142" s="211"/>
      <c r="MF142" s="210"/>
      <c r="MG142" s="148"/>
      <c r="MH142" s="148"/>
      <c r="MI142" s="265"/>
      <c r="MJ142" s="647"/>
      <c r="MK142" s="264"/>
      <c r="ML142" s="153"/>
      <c r="MM142" s="153"/>
      <c r="MN142" s="153"/>
      <c r="MO142" s="153"/>
      <c r="MP142" s="153"/>
      <c r="MQ142" s="153"/>
      <c r="MR142" s="153"/>
      <c r="MS142" s="99"/>
      <c r="MT142" s="99"/>
      <c r="MU142" s="99"/>
      <c r="MV142" s="99"/>
      <c r="MW142" s="99"/>
      <c r="MX142" s="99"/>
      <c r="MY142" s="153"/>
      <c r="MZ142" s="153"/>
      <c r="NA142" s="153"/>
      <c r="NB142" s="153"/>
      <c r="NC142" s="153"/>
      <c r="ND142" s="153"/>
      <c r="NE142" s="153"/>
      <c r="NF142" s="153"/>
      <c r="NG142" s="153"/>
      <c r="NH142" s="145" t="str">
        <f t="shared" si="823"/>
        <v>ks</v>
      </c>
      <c r="NI142" s="779">
        <f>RZ[[#This Row],[Počet ks (K)]]</f>
        <v>0</v>
      </c>
      <c r="NJ142" s="210">
        <f>RZ[[#This Row],[Hmotnost '[kg/ks'] (K)]]</f>
        <v>0</v>
      </c>
      <c r="NK142" s="153"/>
      <c r="NL142" s="153"/>
      <c r="NM142" s="632"/>
      <c r="NN142" s="153"/>
      <c r="NO142" s="153"/>
      <c r="NP142" s="153"/>
      <c r="NQ142" s="153"/>
      <c r="NR142" s="153"/>
      <c r="NS142" s="153"/>
      <c r="NT142" s="153"/>
      <c r="NU142" s="153"/>
      <c r="NV142" s="148"/>
      <c r="NW142" s="633"/>
    </row>
    <row r="143" spans="2:387" ht="15.95" customHeight="1" thickBot="1" x14ac:dyDescent="0.4">
      <c r="B143" s="118" t="str">
        <f t="shared" si="1"/>
        <v/>
      </c>
      <c r="C1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3" s="262" t="str">
        <f t="shared" si="2"/>
        <v xml:space="preserve">  Elektro</v>
      </c>
      <c r="E143" s="120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Row],[Kód položek (P2)]]))))))))))</f>
        <v>N/A</v>
      </c>
      <c r="F143" s="791" t="str">
        <f t="shared" si="3"/>
        <v>N/A</v>
      </c>
      <c r="G143" s="792" t="str">
        <f t="shared" si="4"/>
        <v/>
      </c>
      <c r="H143" s="262" t="str">
        <f t="shared" si="5"/>
        <v/>
      </c>
      <c r="I143" s="123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HR '[MJHR'] (P0)]]))))))))))</f>
        <v>sada</v>
      </c>
      <c r="J143" s="123">
        <f t="shared" si="6"/>
        <v>1</v>
      </c>
      <c r="K143" s="793">
        <f>RZ[[#This Row],[Koeficient odhadu HR '[-'] (P1)]]</f>
        <v>1</v>
      </c>
      <c r="L143" s="124">
        <f ca="1">RZ[[#This Row],[Jednotková hmotnost s koef. '[kg/MJHR'] (P0)]]</f>
        <v>0.01</v>
      </c>
      <c r="M143" s="794">
        <f ca="1">IF(ISNUMBER(K143),L143/K143*(K143-1),0)</f>
        <v>0</v>
      </c>
      <c r="N143" s="125">
        <f ca="1">IF(ISNUMBER(J143),J143*L143,0)</f>
        <v>0.01</v>
      </c>
      <c r="O143" s="125">
        <f ca="1">IF(ISNUMBER(J143),J143*M143,0)</f>
        <v>0</v>
      </c>
      <c r="P143" s="126" t="str">
        <f t="shared" si="10"/>
        <v/>
      </c>
      <c r="Q143" s="795">
        <f ca="1">RZ[[#This Row],[Počet MJHR v rozpadu (P0)]]</f>
        <v>1</v>
      </c>
      <c r="R143" s="439" t="str">
        <f t="shared" si="11"/>
        <v>Zajíc</v>
      </c>
      <c r="S143" s="129" t="str">
        <f t="shared" si="12"/>
        <v/>
      </c>
      <c r="T143" s="126" t="str">
        <f t="shared" si="13"/>
        <v/>
      </c>
      <c r="U143" s="126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CR (MJCR) (P0)]]))))))))))</f>
        <v>sada</v>
      </c>
      <c r="V143" s="575">
        <f t="shared" ca="1" si="14"/>
        <v>1</v>
      </c>
      <c r="W143" s="322">
        <f>RZ[[#This Row],[Koeficient odhadu CR '[-'] (P1)]]</f>
        <v>1</v>
      </c>
      <c r="X143" s="440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Row],[Jednotková cena bez DPH '[cena/MJCR'] (P1)]]*RZ[[#This Row],[Koeficient odhadu CR '[-']]]))))))))))</f>
        <v>1115006.7</v>
      </c>
      <c r="Y143" s="440">
        <f t="shared" ca="1" si="108"/>
        <v>0</v>
      </c>
      <c r="Z143" s="142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VLOOKUP(IP143,$BR$7:$BS$11,2,FALSE)))))))))))</f>
        <v>CZK</v>
      </c>
      <c r="AA143" s="811">
        <f t="shared" ca="1" si="16"/>
        <v>1</v>
      </c>
      <c r="AB143" s="814">
        <f ca="1">RZ[[#This Row],[Kumulovaný koeficient v rozpadu (P0)]]</f>
        <v>1</v>
      </c>
      <c r="AC143" s="260"/>
      <c r="AD143" s="796">
        <f ca="1">RZ[[#This Row],[Jednotková cena bez DPH '[cena/MJCR'] s koef. (P0)]]/RZ[[#This Row],[Koeficient odhadu CR '[-']]]*RZ[[#This Row],[Kumulovaný koeficient odhadu CR  '[-']]]</f>
        <v>1115006.7</v>
      </c>
      <c r="AE143" s="796">
        <f t="shared" ca="1" si="17"/>
        <v>1115006.7</v>
      </c>
      <c r="AF143" s="796">
        <f ca="1">-IF(ISNUMBER(AA143),RZ[[#This Row],[Celková cena bez DPH (1)]]-RZ[[#This Row],[Jednotková cena bez DPH '[cena/MJCR'] bez koef. (P0)]]*AA143,0)</f>
        <v>0</v>
      </c>
      <c r="AG1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111500670</v>
      </c>
      <c r="AH143" s="261"/>
      <c r="AI143" s="796">
        <f ca="1">AD143/VLOOKUP($AJ$13,KURZY,3,FALSE)</f>
        <v>41296.544444444444</v>
      </c>
      <c r="AJ143" s="796">
        <f t="shared" ca="1" si="19"/>
        <v>41296.544444444444</v>
      </c>
      <c r="AK143" s="796">
        <f ca="1">AF143/VLOOKUP($AJ$13,KURZY,3,FALSE)</f>
        <v>0</v>
      </c>
      <c r="AL143" s="753">
        <f ca="1">RZ[[#This Row],[Kilogramová cena bez DPH '[cena/kg'] (1)]]/$AK$13</f>
        <v>4129654.4444444445</v>
      </c>
      <c r="AM143" s="261"/>
      <c r="AN143" s="796">
        <f ca="1">AD143/VLOOKUP($AO$13,KURZY,3,FALSE)</f>
        <v>53865.057971014496</v>
      </c>
      <c r="AO143" s="796">
        <f t="shared" ca="1" si="22"/>
        <v>53865.057971014496</v>
      </c>
      <c r="AP143" s="796">
        <f ca="1">AF143/VLOOKUP($AO$13,KURZY,3,FALSE)</f>
        <v>0</v>
      </c>
      <c r="AQ143" s="753">
        <f ca="1">RZ[[#This Row],[Kilogramová cena bez DPH '[cena/kg'] (1)]]/$AP$13</f>
        <v>5386505.7971014492</v>
      </c>
      <c r="AR143" s="261"/>
      <c r="AS143" s="796">
        <f ca="1">AD143/VLOOKUP($AT$13,KURZY,3,FALSE)</f>
        <v>30497.995076586431</v>
      </c>
      <c r="AT143" s="796">
        <f t="shared" ca="1" si="25"/>
        <v>30497.995076586431</v>
      </c>
      <c r="AU143" s="789">
        <f ca="1">AF143/VLOOKUP($AT$13,KURZY,3,FALSE)</f>
        <v>0</v>
      </c>
      <c r="AV143" s="767">
        <f ca="1">RZ[[#This Row],[Kilogramová cena bez DPH '[cena/kg'] (1)]]/$AU$13</f>
        <v>3049799.5076586432</v>
      </c>
      <c r="AW143" s="165"/>
      <c r="AX143" s="110">
        <f t="shared" ca="1" si="27"/>
        <v>2</v>
      </c>
      <c r="AY143" s="55">
        <f t="shared" ca="1" si="28"/>
        <v>26</v>
      </c>
      <c r="AZ143" s="111">
        <f t="shared" ca="1" si="29"/>
        <v>0</v>
      </c>
      <c r="BA143" s="111">
        <f t="shared" ca="1" si="30"/>
        <v>0</v>
      </c>
      <c r="BB143" s="111">
        <f t="shared" ca="1" si="31"/>
        <v>0</v>
      </c>
      <c r="BC143" s="111">
        <f t="shared" ca="1" si="32"/>
        <v>0</v>
      </c>
      <c r="BD143" s="111">
        <f t="shared" ca="1" si="33"/>
        <v>0</v>
      </c>
      <c r="BE143" s="111">
        <f t="shared" ca="1" si="109"/>
        <v>0</v>
      </c>
      <c r="BF143" s="111">
        <f t="shared" ca="1" si="34"/>
        <v>0</v>
      </c>
      <c r="BG143" s="112">
        <f t="shared" ca="1" si="35"/>
        <v>0</v>
      </c>
      <c r="BH143" s="110">
        <f t="shared" si="110"/>
        <v>0</v>
      </c>
      <c r="BI143" s="55">
        <f t="shared" si="111"/>
        <v>1</v>
      </c>
      <c r="BJ143" s="55">
        <f t="shared" si="112"/>
        <v>0</v>
      </c>
      <c r="BK143" s="111">
        <f t="shared" si="113"/>
        <v>0</v>
      </c>
      <c r="BL143" s="111">
        <f t="shared" si="114"/>
        <v>0</v>
      </c>
      <c r="BM143" s="111">
        <f t="shared" si="115"/>
        <v>0</v>
      </c>
      <c r="BN143" s="111">
        <f t="shared" si="116"/>
        <v>0</v>
      </c>
      <c r="BO143" s="111">
        <f t="shared" si="117"/>
        <v>0</v>
      </c>
      <c r="BP143" s="111">
        <f t="shared" si="118"/>
        <v>0</v>
      </c>
      <c r="BQ143" s="112">
        <f t="shared" si="119"/>
        <v>0</v>
      </c>
      <c r="BR143" s="186">
        <f ca="1">IF(OFFSET(AY143,1,0,1,1)&lt;&gt;0,RZ[[#This Row],[Koeficient odhadu HR '[-'] (P1)]]*$BH143*SUMIFS(RZ[Úroveň 2 s koef. (P2)],RZ[0],AX143),RZ[[#This Row],[Koeficient odhadu HR '[-'] (P1)]]*$BH143*$IG143)</f>
        <v>0</v>
      </c>
      <c r="BS143" s="186">
        <f ca="1">IF(OFFSET(AY143,1,0,1,1)&lt;&gt;0,$BH143*SUMIFS(RZ[Úroveň 2 bez koef. (P2)],RZ[0],AX143),$BH143*$IG143)</f>
        <v>0</v>
      </c>
      <c r="BT143" s="138">
        <f ca="1">RZ[[#This Row],[Úroveň 2 s koef. (P2a)]]*RZ[[#This Row],[Počet MJHR (P0)]]</f>
        <v>0.01</v>
      </c>
      <c r="BU143" s="138">
        <f ca="1">RZ[[#This Row],[Úroveň 2 bez koef. (P2a)]]*RZ[[#This Row],[Počet MJHR (P0)]]</f>
        <v>0.01</v>
      </c>
      <c r="BV143" s="138">
        <f ca="1">IF(OFFSET(AZ143,1,0,1,1)&lt;&gt;0,RZ[[#This Row],[Koeficient odhadu HR '[-'] (P1)]]*$BI143*SUMIFS(RZ[Úroveň 3 s koef. (P2)],RZ[0],AX143,RZ[Úroveň 2 (P0)],AY143),RZ[[#This Row],[Koeficient odhadu HR '[-'] (P1)]]*$BI143*$IG143)</f>
        <v>0.01</v>
      </c>
      <c r="BW143" s="138">
        <f ca="1">IF(OFFSET(AZ143,1,0,1,1)&lt;&gt;0,$BI143*SUMIFS(RZ[Úroveň 3 bez koef. (P2)],RZ[0],AX143,RZ[Úroveň 2 (P0)],AY143),$BI143*$IG143)</f>
        <v>0.01</v>
      </c>
      <c r="BX143" s="132">
        <f ca="1">RZ[[#This Row],[Úroveň 3 s koef. (P2a)]]*RZ[[#This Row],[Počet MJHR (P0)]]</f>
        <v>0</v>
      </c>
      <c r="BY143" s="132">
        <f ca="1">RZ[Úroveň 3 bez koef. (P2a)]*RZ[[#This Row],[Počet MJHR (P0)]]</f>
        <v>0</v>
      </c>
      <c r="BZ143" s="132">
        <f ca="1">IF(OFFSET(BA143,1,0,1,1)&lt;&gt;0,RZ[[#This Row],[Koeficient odhadu HR '[-'] (P1)]]*$BJ143*SUMIFS(RZ[Úroveň 4 s koef. (P2)],RZ[0],AX143,RZ[Úroveň 2 (P0)],AY143,RZ[Úroveň 3 (P0)],AZ143),RZ[[#This Row],[Koeficient odhadu HR '[-'] (P1)]]*$BJ143*$IG143)</f>
        <v>0</v>
      </c>
      <c r="CA143" s="132">
        <f ca="1">IF(OFFSET(BA143,1,0,1,1)&lt;&gt;0,$BJ143*SUMIFS(RZ[Úroveň 4 bez koef. (P2)],RZ[0],AX143,RZ[Úroveň 2 (P0)],AY143,RZ[Úroveň 3 (P0)],AZ143),$BJ143*$IG143)</f>
        <v>0</v>
      </c>
      <c r="CB143" s="138">
        <f ca="1">RZ[[#This Row],[Úroveň 4 s koef. (P2a)]]*RZ[[#This Row],[Počet MJHR (P0)]]</f>
        <v>0</v>
      </c>
      <c r="CC143" s="138">
        <f ca="1">RZ[Úroveň 4 bez koef. (P2a)]*RZ[[#This Row],[Počet MJHR (P0)]]</f>
        <v>0</v>
      </c>
      <c r="CD143" s="138">
        <f ca="1">IF(OFFSET(BB143,1,0,1,1)&lt;&gt;0,RZ[[#This Row],[Koeficient odhadu HR '[-'] (P1)]]*$BK143*SUMIFS(RZ[Úroveň 5 s koef. (P2)],RZ[0],AX143,RZ[Úroveň 2 (P0)],AY143,RZ[Úroveň 3 (P0)],AZ143,RZ[Úroveň 4 (P0)],BA143),RZ[[#This Row],[Koeficient odhadu HR '[-'] (P1)]]*$BK143*$IG143)</f>
        <v>0</v>
      </c>
      <c r="CE143" s="138">
        <f ca="1">IF(OFFSET(BB143,1,0,1,1)&lt;&gt;0,$BK143*SUMIFS(RZ[Úroveň 5 bez koef. (P2)],RZ[0],AX143,RZ[Úroveň 2 (P0)],AY143,RZ[Úroveň 3 (P0)],AZ143,RZ[Úroveň 4 (P0)],BA143),$BK143*$IG143)</f>
        <v>0</v>
      </c>
      <c r="CF143" s="132">
        <f ca="1">RZ[[#This Row],[Úroveň 5 s koef. (P2a)]]*RZ[[#This Row],[Počet MJHR (P0)]]</f>
        <v>0</v>
      </c>
      <c r="CG143" s="132">
        <f ca="1">RZ[Úroveň 5 bez koef. (P2a)]*RZ[[#This Row],[Počet MJHR (P0)]]</f>
        <v>0</v>
      </c>
      <c r="CH143" s="132">
        <f ca="1">IF(OFFSET(BC143,1,0,1,1)&lt;&gt;0,RZ[[#This Row],[Koeficient odhadu HR '[-'] (P1)]]*$BL143*SUMIFS(RZ[Úroveň 6 s koef. (P2)],RZ[0],AX143,RZ[Úroveň 2 (P0)],AY143,RZ[Úroveň 3 (P0)],AZ143,RZ[Úroveň 4 (P0)],BA143,RZ[Úroveň 5 (P0)],BB143),RZ[[#This Row],[Koeficient odhadu HR '[-'] (P1)]]*$BL143*$IG143)</f>
        <v>0</v>
      </c>
      <c r="CI143" s="132">
        <f ca="1">IF(OFFSET(BC143,1,0,1,1)&lt;&gt;0,$BL143*SUMIFS(RZ[Úroveň 6 bez koef. (P2)],RZ[0],AX143,RZ[Úroveň 2 (P0)],AY143,RZ[Úroveň 3 (P0)],AZ143,RZ[Úroveň 4 (P0)],BA143,RZ[Úroveň 5 (P0)],BB143),$BL143*$IG143)</f>
        <v>0</v>
      </c>
      <c r="CJ143" s="138">
        <f ca="1">RZ[[#This Row],[Úroveň 6 s koef. (P2a)]]*RZ[[#This Row],[Počet MJHR (P0)]]</f>
        <v>0</v>
      </c>
      <c r="CK143" s="138">
        <f ca="1">RZ[Úroveň 6 bez koef. (P2a)]*RZ[[#This Row],[Počet MJHR (P0)]]</f>
        <v>0</v>
      </c>
      <c r="CL143" s="138">
        <f ca="1">IF(OFFSET(BD143,1,0,1,1)&lt;&gt;0,RZ[[#This Row],[Koeficient odhadu HR '[-'] (P1)]]*$BM143*SUMIFS(RZ[Úroveň 7 s koef. (P2)],RZ[0],AX143,RZ[Úroveň 2 (P0)],AY143,RZ[Úroveň 3 (P0)],AZ143,RZ[Úroveň 4 (P0)],BA143,RZ[Úroveň 5 (P0)],BB143,RZ[Úroveň 6 (P0)],BC143),RZ[[#This Row],[Koeficient odhadu HR '[-'] (P1)]]*$BM143*$IG143)</f>
        <v>0</v>
      </c>
      <c r="CM143" s="138">
        <f ca="1">IF(OFFSET(BD143,1,0,1,1)&lt;&gt;0,$BM143*SUMIFS(RZ[Úroveň 7 bez koef. (P2)],RZ[0],AX143,RZ[Úroveň 2 (P0)],AY143,RZ[Úroveň 3 (P0)],AZ143,RZ[Úroveň 4 (P0)],BA143,RZ[Úroveň 5 (P0)],BB143,RZ[Úroveň 6 (P0)],BC143),$BM143*$IG143)</f>
        <v>0</v>
      </c>
      <c r="CN143" s="132">
        <f ca="1">RZ[[#This Row],[Úroveň 7 s koef. (P2a)]]*RZ[[#This Row],[Počet MJHR (P0)]]</f>
        <v>0</v>
      </c>
      <c r="CO143" s="132">
        <f ca="1">RZ[Úroveň 7 bez koef. (P2a)]*RZ[[#This Row],[Počet MJHR (P0)]]</f>
        <v>0</v>
      </c>
      <c r="CP143" s="132">
        <f ca="1">IF(OFFSET(BE143,1,0,1,1)&lt;&gt;0,RZ[[#This Row],[Koeficient odhadu HR '[-'] (P1)]]*$BN143*SUMIFS(RZ[Úroveň 8 s koef. (P2)],RZ[0],AX143,RZ[Úroveň 2 (P0)],AY143,RZ[Úroveň 3 (P0)],AZ143,RZ[Úroveň 4 (P0)],BA143,RZ[Úroveň 5 (P0)],BB143,RZ[Úroveň 6 (P0)],BC143,RZ[Úroveň 7 (P0)],BD143),RZ[[#This Row],[Koeficient odhadu HR '[-'] (P1)]]*$BN143*$IG143)</f>
        <v>0</v>
      </c>
      <c r="CQ143" s="132">
        <f ca="1">IF(OFFSET(BE143,1,0,1,1)&lt;&gt;0,$BN143*SUMIFS(RZ[Úroveň 8 bez koef. (P2)],RZ[0],AX143,RZ[Úroveň 2 (P0)],AY143,RZ[Úroveň 3 (P0)],AZ143,RZ[Úroveň 4 (P0)],BA143,RZ[Úroveň 5 (P0)],BB143,RZ[Úroveň 6 (P0)],BC143,RZ[Úroveň 7 (P0)],BD143),$BN143*$IG143)</f>
        <v>0</v>
      </c>
      <c r="CR143" s="138">
        <f ca="1">RZ[[#This Row],[Úroveň 8 s koef. (P2a)]]*RZ[[#This Row],[Počet MJHR (P0)]]</f>
        <v>0</v>
      </c>
      <c r="CS143" s="138">
        <f ca="1">RZ[Úroveň 8 bez koef. (P2a)]*RZ[[#This Row],[Počet MJHR (P0)]]</f>
        <v>0</v>
      </c>
      <c r="CT143" s="138">
        <f ca="1">IF(OFFSET(BF143,1,0,1,1)&lt;&gt;0,RZ[[#This Row],[Koeficient odhadu HR '[-'] (P1)]]*$BO143*SUMIFS(RZ[Úroveň 9 s koef. (P2)],RZ[0],AX143,RZ[Úroveň 2 (P0)],AY143,RZ[Úroveň 3 (P0)],AZ143,RZ[Úroveň 4 (P0)],BA143,RZ[Úroveň 5 (P0)],BB143,RZ[Úroveň 6 (P0)],BC143,RZ[Úroveň 7 (P0)],BD143,RZ[Úroveň 8 (P0)],BE143),RZ[[#This Row],[Koeficient odhadu HR '[-'] (P1)]]*$BO143*$IG143)</f>
        <v>0</v>
      </c>
      <c r="CU143" s="138">
        <f ca="1">IF(OFFSET(BF143,1,0,1,1)&lt;&gt;0,$BO143*SUMIFS(RZ[Úroveň 9 bez koef. (P2)],RZ[0],AX143,RZ[Úroveň 2 (P0)],AY143,RZ[Úroveň 3 (P0)],AZ143,RZ[Úroveň 4 (P0)],BA143,RZ[Úroveň 5 (P0)],BB143,RZ[Úroveň 6 (P0)],BC143,RZ[Úroveň 7 (P0)],BD143,RZ[Úroveň 8 (P0)],BE143),$BO143*$IG143)</f>
        <v>0</v>
      </c>
      <c r="CV143" s="132">
        <f ca="1">RZ[[#This Row],[Úroveň 9 s koef. (P2a)]]*RZ[[#This Row],[Počet MJHR (P0)]]</f>
        <v>0</v>
      </c>
      <c r="CW143" s="132">
        <f ca="1">RZ[Úroveň 9 bez koef. (P2a)]*RZ[[#This Row],[Počet MJHR (P0)]]</f>
        <v>0</v>
      </c>
      <c r="CX143" s="132">
        <f ca="1">IF(OFFSET(BG143,1,0,1,1)&lt;&gt;0,RZ[[#This Row],[Koeficient odhadu HR '[-'] (P1)]]*$BP143*SUMIFS(RZ[Úroveň 10 s koef. (P2)],RZ[0],AX143,RZ[Úroveň 2 (P0)],AY143,RZ[Úroveň 3 (P0)],AZ143,RZ[Úroveň 4 (P0)],BA143,RZ[Úroveň 5 (P0)],BB143,RZ[Úroveň 6 (P0)],BC143,RZ[Úroveň 7 (P0)],BD143,RZ[Úroveň 8 (P0)],BE143,RZ[Úroveň 9 (P0)],BF143),RZ[[#This Row],[Koeficient odhadu HR '[-'] (P1)]]*$BP143*$IG143)</f>
        <v>0</v>
      </c>
      <c r="CY143" s="132">
        <f ca="1">IF(OFFSET(BG143,1,0,1,1)&lt;&gt;0,$BP143*SUMIFS(RZ[Úroveň 10 bez koef. (P2)],RZ[0],AX143,RZ[Úroveň 2 (P0)],AY143,RZ[Úroveň 3 (P0)],AZ143,RZ[Úroveň 4 (P0)],BA143,RZ[Úroveň 5 (P0)],BB143,RZ[Úroveň 6 (P0)],BC143,RZ[Úroveň 7 (P0)],BD143,RZ[Úroveň 8 (P0)],BE143,RZ[Úroveň 9 (P0)],BF143),$BP143*$IG143)</f>
        <v>0</v>
      </c>
      <c r="CZ143" s="138">
        <f>RZ[[#This Row],[Úroveň 10 s koef. (P2a)]]*RZ[[#This Row],[Počet MJHR (P0)]]</f>
        <v>0</v>
      </c>
      <c r="DA143" s="138">
        <f>RZ[Úroveň 10 bez koef. (P2a)]*RZ[[#This Row],[Počet MJHR (P0)]]</f>
        <v>0</v>
      </c>
      <c r="DB143" s="138">
        <f>RZ[[#This Row],[Koeficient odhadu HR '[-'] (P1)]]*$BQ143*IG143</f>
        <v>0</v>
      </c>
      <c r="DC143" s="231">
        <f t="shared" si="37"/>
        <v>0</v>
      </c>
      <c r="DD143" s="241">
        <f t="shared" ca="1" si="120"/>
        <v>0.01</v>
      </c>
      <c r="DE143" s="229">
        <f t="shared" ca="1" si="121"/>
        <v>0.01</v>
      </c>
      <c r="DF143" s="521">
        <f t="shared" si="40"/>
        <v>0</v>
      </c>
      <c r="DG143" s="522">
        <f t="shared" si="41"/>
        <v>1</v>
      </c>
      <c r="DH143" s="522">
        <f t="shared" si="42"/>
        <v>0</v>
      </c>
      <c r="DI143" s="523">
        <f t="shared" si="43"/>
        <v>0</v>
      </c>
      <c r="DJ143" s="524">
        <f t="shared" si="44"/>
        <v>0</v>
      </c>
      <c r="DK143" s="524">
        <f t="shared" si="45"/>
        <v>0</v>
      </c>
      <c r="DL143" s="524">
        <f t="shared" si="46"/>
        <v>0</v>
      </c>
      <c r="DM143" s="524">
        <f t="shared" si="47"/>
        <v>0</v>
      </c>
      <c r="DN143" s="524">
        <f t="shared" si="48"/>
        <v>0</v>
      </c>
      <c r="DO143" s="523">
        <f t="shared" si="49"/>
        <v>0</v>
      </c>
      <c r="DP143" s="525">
        <f ca="1">SUMIFS(RZ[Úroveň 1 (P4)],RZ[0],AX143)</f>
        <v>1</v>
      </c>
      <c r="DQ143" s="525">
        <f ca="1">SUMIFS(RZ[Úroveň 2 (P4)],RZ[0],AX143,RZ[Úroveň 2 (P0)],AY143)</f>
        <v>1</v>
      </c>
      <c r="DR143" s="525">
        <f ca="1">SUMIFS(RZ[Úroveň 3 (P4)],RZ[0],AX143,RZ[Úroveň 2 (P0)],AY143,RZ[Úroveň 3 (P0)],AZ143)</f>
        <v>0</v>
      </c>
      <c r="DS143" s="525">
        <f ca="1">SUMIFS(RZ[Úroveň 4 (P4)],RZ[0],AX143,RZ[Úroveň 2 (P0)],AY143,RZ[Úroveň 3 (P0)],AZ143,RZ[Úroveň 4 (P0)],BA143)</f>
        <v>0</v>
      </c>
      <c r="DT143" s="526">
        <f ca="1">SUMIFS(RZ[Úroveň 5 (P4)],RZ[0],AX143,RZ[Úroveň 2 (P0)],AY143,RZ[Úroveň 3 (P0)],AZ143,RZ[Úroveň 4 (P0)],BA143,RZ[Úroveň 5 (P0)],BB143)</f>
        <v>0</v>
      </c>
      <c r="DU143" s="526">
        <f ca="1">SUMIFS(RZ[Úroveň 6 (P4)],RZ[0],AX143,RZ[Úroveň 2 (P0)],AY143,RZ[Úroveň 3 (P0)],AZ143,RZ[Úroveň 4 (P0)],BA143,RZ[Úroveň 5 (P0)],BB143,RZ[Úroveň 6 (P0)],BC143)</f>
        <v>0</v>
      </c>
      <c r="DV143" s="526">
        <f ca="1">SUMIFS(RZ[Úroveň 7 (P4)],RZ[0],AX143,RZ[Úroveň 2 (P0)],AY143,RZ[Úroveň 3 (P0)],AZ143,RZ[Úroveň 4 (P0)],BA143,RZ[Úroveň 5 (P0)],BB143,RZ[Úroveň 6 (P0)],BC143,RZ[Úroveň 7 (P0)],BD143)</f>
        <v>0</v>
      </c>
      <c r="DW143" s="526">
        <f ca="1">SUMIFS(RZ[Úroveň 8 (P4)],RZ[0],AX143,RZ[Úroveň 2 (P0)],AY143,RZ[Úroveň 3 (P0)],AZ143,RZ[Úroveň 4 (P0)],BA143,RZ[Úroveň 5 (P0)],BB143,RZ[Úroveň 6 (P0)],BC143,RZ[Úroveň 7 (P0)],BD143,RZ[Úroveň 8 (P0)],BE143)</f>
        <v>0</v>
      </c>
      <c r="DX143" s="526">
        <f ca="1">SUMIFS(RZ[Úroveň 9 (P4)],RZ[0],AX143,RZ[Úroveň 2 (P0)],AY143,RZ[Úroveň 3 (P0)],AZ143,RZ[Úroveň 4 (P0)],BA143,RZ[Úroveň 5 (P0)],BB143,RZ[Úroveň 6 (P0)],BC143,RZ[Úroveň 7 (P0)],BD143,RZ[Úroveň 8 (P0)],BE143,RZ[Úroveň 9 (P0)],BF143)</f>
        <v>0</v>
      </c>
      <c r="DY143" s="526">
        <f ca="1">SUMIFS(RZ[Úroveň 10 (P4)],RZ[0],AX143,RZ[Úroveň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DZ143" s="527">
        <f t="shared" ca="1" si="122"/>
        <v>1</v>
      </c>
      <c r="EA143" s="528">
        <f ca="1">RZ[[#This Row],[Jednotková hmotnost bez koef. '[kg/MJHR'] (P0)]]*RZ[[#This Row],[Počet MJHR v rozpadu (P0)]]</f>
        <v>0.01</v>
      </c>
      <c r="EB143" s="191">
        <f ca="1">IF(OFFSET(AY143,1,0,1,1)&lt;&gt;0,RZ[[#This Row],[Koeficient odhadu CR '[-'] (P1)]]*$BH143*SUMIFS(RZ[Úroveň 2 s koef. (P3)],RZ[0],AX143),RZ[[#This Row],[Koeficient odhadu CR '[-'] (P1)]]*$BH143*$IQ143)</f>
        <v>0</v>
      </c>
      <c r="EC143" s="191">
        <f ca="1">IF(OFFSET(AY143,1,0,1,1)&lt;&gt;0,$BH143*SUMIFS(RZ[Úroveň 2 bez koef. (P3)],RZ[0],AX143),$BH143*$IQ143)</f>
        <v>0</v>
      </c>
      <c r="ED143" s="140">
        <f ca="1">RZ[[#This Row],[Úroveň 2 s koef. (P3a)]]*RZ[[#This Row],[Počet MJCR (P0) pro "kg"]]</f>
        <v>1115006.7</v>
      </c>
      <c r="EE143" s="140">
        <f ca="1">RZ[Úroveň 2 bez koef. (P3a)]*RZ[[#This Row],[Počet MJCR (P0) pro "kg"]]</f>
        <v>1115006.7</v>
      </c>
      <c r="EF143" s="140">
        <f ca="1">IF(OFFSET(AZ143,1,0,1,1)&lt;&gt;0,RZ[[#This Row],[Koeficient odhadu CR '[-'] (P1)]]*$BI143*SUMIFS(RZ[Úroveň 3 s koef. (P3)],RZ[0],AX143,RZ[Úroveň 2 (P0)],AY143),RZ[[#This Row],[Koeficient odhadu CR '[-'] (P1)]]*$BI143*$IQ143)</f>
        <v>1115006.7</v>
      </c>
      <c r="EG143" s="140">
        <f ca="1">IF(OFFSET(AZ143,1,0,1,1)&lt;&gt;0,$BI143*SUMIFS(RZ[Úroveň 3 bez koef. (P3)],RZ[0],AX143,RZ[Úroveň 2 (P0)],AY143),$BI143*$IQ143)</f>
        <v>1115006.7</v>
      </c>
      <c r="EH143" s="135">
        <f ca="1">RZ[[#This Row],[Úroveň 3 s koef. (P3a)]]*RZ[[#This Row],[Počet MJCR (P0) pro "kg"]]</f>
        <v>0</v>
      </c>
      <c r="EI143" s="135">
        <f ca="1">RZ[Úroveň 3 bez koef. (P3a)]*RZ[[#This Row],[Počet MJCR (P0) pro "kg"]]</f>
        <v>0</v>
      </c>
      <c r="EJ143" s="135">
        <f ca="1">IF(OFFSET(BA143,1,0,1,1)&lt;&gt;0,RZ[[#This Row],[Koeficient odhadu CR '[-'] (P1)]]*$BJ143*SUMIFS(RZ[Úroveň 4 s koef. (P3)],RZ[0],AX143,RZ[Úroveň 2 (P0)],AY143,RZ[Úroveň 3 (P0)],AZ143),RZ[[#This Row],[Koeficient odhadu CR '[-'] (P1)]]*$BJ143*$IQ143)</f>
        <v>0</v>
      </c>
      <c r="EK143" s="135">
        <f ca="1">IF(OFFSET(BA143,1,0,1,1)&lt;&gt;0,$BJ143*SUMIFS(RZ[Úroveň 4 bez koef. (P3)],RZ[0],AX143,RZ[Úroveň 2 (P0)],AY143,RZ[Úroveň 3 (P0)],AZ143),$BJ143*$IQ143)</f>
        <v>0</v>
      </c>
      <c r="EL143" s="140">
        <f ca="1">RZ[[#This Row],[Úroveň 4 s koef. (P3a)]]*RZ[[#This Row],[Počet MJCR (P0) pro "kg"]]</f>
        <v>0</v>
      </c>
      <c r="EM143" s="140">
        <f ca="1">RZ[Úroveň 4 bez koef. (P3a)]*RZ[[#This Row],[Počet MJCR (P0) pro "kg"]]</f>
        <v>0</v>
      </c>
      <c r="EN143" s="140">
        <f ca="1">IF(OFFSET(BB143,1,0,1,1)&lt;&gt;0,RZ[[#This Row],[Koeficient odhadu CR '[-'] (P1)]]*$BK143*SUMIFS(RZ[Úroveň 5 s koef. (P3)],RZ[0],AX143,RZ[Úroveň 2 (P0)],AY143,RZ[Úroveň 3 (P0)],AZ143,RZ[Úroveň 4 (P0)],BA143),RZ[[#This Row],[Koeficient odhadu CR '[-'] (P1)]]*$BK143*$IQ143)</f>
        <v>0</v>
      </c>
      <c r="EO143" s="140">
        <f ca="1">IF(OFFSET(BB143,1,0,1,1)&lt;&gt;0,$BK143*SUMIFS(RZ[Úroveň 5 bez koef. (P3)],RZ[0],AX143,RZ[Úroveň 2 (P0)],AY143,RZ[Úroveň 3 (P0)],AZ143,RZ[Úroveň 4 (P0)],BA143),$BK143*$IQ143)</f>
        <v>0</v>
      </c>
      <c r="EP143" s="135">
        <f ca="1">RZ[[#This Row],[Úroveň 5 s koef. (P3a)]]*RZ[[#This Row],[Počet MJCR (P0) pro "kg"]]</f>
        <v>0</v>
      </c>
      <c r="EQ143" s="135">
        <f ca="1">RZ[Úroveň 5 bez koef. (P3a)]*RZ[[#This Row],[Počet MJCR (P0) pro "kg"]]</f>
        <v>0</v>
      </c>
      <c r="ER143" s="135">
        <f ca="1">IF(OFFSET(BC143,1,0,1,1)&lt;&gt;0,RZ[[#This Row],[Koeficient odhadu CR '[-'] (P1)]]*$BL143*SUMIFS(RZ[Úroveň 6 s koef. (P3)],RZ[0],AX143,RZ[Úroveň 2 (P0)],AY143,RZ[Úroveň 3 (P0)],AZ143,RZ[Úroveň 4 (P0)],BA143,RZ[Úroveň 5 (P0)],BB143),RZ[[#This Row],[Koeficient odhadu CR '[-'] (P1)]]*$BL143*$IQ143)</f>
        <v>0</v>
      </c>
      <c r="ES143" s="135">
        <f ca="1">IF(OFFSET(BC143,1,0,1,1)&lt;&gt;0,$BL143*SUMIFS(RZ[Úroveň 6 bez koef. (P3)],RZ[0],AX143,RZ[Úroveň 2 (P0)],AY143,RZ[Úroveň 3 (P0)],AZ143,RZ[Úroveň 4 (P0)],BA143,RZ[Úroveň 5 (P0)],BB143),$BL143*$IQ143)</f>
        <v>0</v>
      </c>
      <c r="ET143" s="140">
        <f ca="1">RZ[[#This Row],[Úroveň 6 s koef. (P3a)]]*RZ[[#This Row],[Počet MJCR (P0) pro "kg"]]</f>
        <v>0</v>
      </c>
      <c r="EU143" s="140">
        <f ca="1">RZ[Úroveň 6 bez koef. (P3a)]*RZ[[#This Row],[Počet MJCR (P0) pro "kg"]]</f>
        <v>0</v>
      </c>
      <c r="EV143" s="140">
        <f ca="1">IF(OFFSET(BD143,1,0,1,1)&lt;&gt;0,RZ[[#This Row],[Koeficient odhadu CR '[-'] (P1)]]*$BM143*SUMIFS(RZ[Úroveň 7 s koef. (P3)],RZ[0],AX143,RZ[Úroveň 2 (P0)],AY143,RZ[Úroveň 3 (P0)],AZ143,RZ[Úroveň 4 (P0)],BA143,RZ[Úroveň 5 (P0)],BB143,RZ[Úroveň 6 (P0)],BC143),RZ[[#This Row],[Koeficient odhadu CR '[-'] (P1)]]*$BM143*$IQ143)</f>
        <v>0</v>
      </c>
      <c r="EW143" s="140">
        <f ca="1">IF(OFFSET(BD143,1,0,1,1)&lt;&gt;0,$BM143*SUMIFS(RZ[Úroveň 7 bez koef. (P3)],RZ[0],AX143,RZ[Úroveň 2 (P0)],AY143,RZ[Úroveň 3 (P0)],AZ143,RZ[Úroveň 4 (P0)],BA143,RZ[Úroveň 5 (P0)],BB143,RZ[Úroveň 6 (P0)],BC143),$BM143*$IQ143)</f>
        <v>0</v>
      </c>
      <c r="EX143" s="135">
        <f ca="1">RZ[[#This Row],[Úroveň 7 s koef. (P3a)]]*RZ[[#This Row],[Počet MJCR (P0) pro "kg"]]</f>
        <v>0</v>
      </c>
      <c r="EY143" s="135">
        <f ca="1">RZ[Úroveň 7 bez koef. (P3a)]*RZ[[#This Row],[Počet MJCR (P0) pro "kg"]]</f>
        <v>0</v>
      </c>
      <c r="EZ143" s="135">
        <f ca="1">IF(OFFSET(BE143,1,0,1,1)&lt;&gt;0,RZ[[#This Row],[Koeficient odhadu CR '[-'] (P1)]]*$BN143*SUMIFS(RZ[Úroveň 8 s koef. (P3)],RZ[0],AX143,RZ[Úroveň 2 (P0)],AY143,RZ[Úroveň 3 (P0)],AZ143,RZ[Úroveň 4 (P0)],BA143,RZ[Úroveň 5 (P0)],BB143,RZ[Úroveň 6 (P0)],BC143,RZ[Úroveň 7 (P0)],BD143),RZ[[#This Row],[Koeficient odhadu CR '[-'] (P1)]]*$BN143*$IQ143)</f>
        <v>0</v>
      </c>
      <c r="FA143" s="135">
        <f ca="1">IF(OFFSET(BE143,1,0,1,1)&lt;&gt;0,$BN143*SUMIFS(RZ[Úroveň 8 bez koef. (P3)],RZ[0],AX143,RZ[Úroveň 2 (P0)],AY143,RZ[Úroveň 3 (P0)],AZ143,RZ[Úroveň 4 (P0)],BA143,RZ[Úroveň 5 (P0)],BB143,RZ[Úroveň 6 (P0)],BC143,RZ[Úroveň 7 (P0)],BD143),$BN143*$IQ143)</f>
        <v>0</v>
      </c>
      <c r="FB143" s="140">
        <f ca="1">RZ[[#This Row],[Úroveň 8 s koef. (P3a)]]*RZ[[#This Row],[Počet MJCR (P0) pro "kg"]]</f>
        <v>0</v>
      </c>
      <c r="FC143" s="140">
        <f ca="1">RZ[Úroveň 8 bez koef. (P3a)]*RZ[[#This Row],[Počet MJCR (P0) pro "kg"]]</f>
        <v>0</v>
      </c>
      <c r="FD143" s="140">
        <f ca="1">IF(OFFSET(BF143,1,0,1,1)&lt;&gt;0,RZ[[#This Row],[Koeficient odhadu CR '[-'] (P1)]]*$BO143*SUMIFS(RZ[Úroveň 9 s koef. (P3)],RZ[0],AX143,RZ[Úroveň 2 (P0)],AY143,RZ[Úroveň 3 (P0)],AZ143,RZ[Úroveň 4 (P0)],BA143,RZ[Úroveň 5 (P0)],BB143,RZ[Úroveň 6 (P0)],BC143,RZ[Úroveň 7 (P0)],BD143,RZ[Úroveň 8 (P0)],BE143),RZ[[#This Row],[Koeficient odhadu CR '[-'] (P1)]]*$BO143*$IQ143)</f>
        <v>0</v>
      </c>
      <c r="FE143" s="140">
        <f ca="1">IF(OFFSET(BF143,1,0,1,1)&lt;&gt;0,$BO143*SUMIFS(RZ[Úroveň 9 bez koef. (P3)],RZ[0],AX143,RZ[Úroveň 2 (P0)],AY143,RZ[Úroveň 3 (P0)],AZ143,RZ[Úroveň 4 (P0)],BA143,RZ[Úroveň 5 (P0)],BB143,RZ[Úroveň 6 (P0)],BC143,RZ[Úroveň 7 (P0)],BD143,RZ[Úroveň 8 (P0)],BE143),$BO143*$IQ143)</f>
        <v>0</v>
      </c>
      <c r="FF143" s="135">
        <f ca="1">RZ[[#This Row],[Úroveň 9 s koef. (P3a)]]*RZ[[#This Row],[Počet MJCR (P0) pro "kg"]]</f>
        <v>0</v>
      </c>
      <c r="FG143" s="135">
        <f ca="1">RZ[Úroveň 9 bez koef. (P3a)]*RZ[[#This Row],[Počet MJCR (P0) pro "kg"]]</f>
        <v>0</v>
      </c>
      <c r="FH143" s="135">
        <f ca="1">IF(OFFSET(BG143,1,0,1,1)&lt;&gt;0,RZ[[#This Row],[Koeficient odhadu CR '[-'] (P1)]]*$BP143*SUMIFS(RZ[Úroveň 10 s koef. (P3)],RZ[0],AX143,RZ[Úroveň 2 (P0)],AY143,RZ[Úroveň 3 (P0)],AZ143,RZ[Úroveň 4 (P0)],BA143,RZ[Úroveň 5 (P0)],BB143,RZ[Úroveň 6 (P0)],BC143,RZ[Úroveň 7 (P0)],BD143,RZ[Úroveň 8 (P0)],BE143,RZ[Úroveň 9 (P0)],BF143),RZ[[#This Row],[Koeficient odhadu CR '[-'] (P1)]]*$BP143*$IQ143)</f>
        <v>0</v>
      </c>
      <c r="FI143" s="135">
        <f ca="1">IF(OFFSET(BG143,1,0,1,1)&lt;&gt;0,$BP143*SUMIFS(RZ[Úroveň 10 bez koef. (P3)],RZ[0],AX143,RZ[Úroveň 2 (P0)],AY143,RZ[Úroveň 3 (P0)],AZ143,RZ[Úroveň 4 (P0)],BA143,RZ[Úroveň 5 (P0)],BB143,RZ[Úroveň 6 (P0)],BC143,RZ[Úroveň 7 (P0)],BD143,RZ[Úroveň 8 (P0)],BE143,RZ[Úroveň 9 (P0)],BF143),$BP143*$IQ143)</f>
        <v>0</v>
      </c>
      <c r="FJ143" s="140">
        <f ca="1">RZ[[#This Row],[Úroveň 10 s koef. (P3a)]]*RZ[[#This Row],[Počet MJCR (P0) pro "kg"]]</f>
        <v>0</v>
      </c>
      <c r="FK143" s="140">
        <f ca="1">RZ[Úroveň 10 bez koef. (P3a)]*RZ[[#This Row],[Počet MJCR (P0) pro "kg"]]</f>
        <v>0</v>
      </c>
      <c r="FL143" s="140">
        <f ca="1">RZ[[#This Row],[Koeficient odhadu CR '[-'] (P1)]]*$BQ143*IQ143</f>
        <v>0</v>
      </c>
      <c r="FM143" s="236">
        <f t="shared" ca="1" si="51"/>
        <v>0</v>
      </c>
      <c r="FN143" s="194">
        <f t="shared" ca="1" si="123"/>
        <v>1115006.7</v>
      </c>
      <c r="FO143" s="238">
        <f t="shared" ca="1" si="124"/>
        <v>1115006.7</v>
      </c>
      <c r="FP143" s="191">
        <f t="shared" ca="1" si="54"/>
        <v>0</v>
      </c>
      <c r="FQ143" s="135">
        <f t="shared" ca="1" si="55"/>
        <v>1</v>
      </c>
      <c r="FR143" s="135">
        <f t="shared" ca="1" si="56"/>
        <v>0</v>
      </c>
      <c r="FS143" s="135">
        <f t="shared" ca="1" si="57"/>
        <v>0</v>
      </c>
      <c r="FT143" s="135">
        <f t="shared" ca="1" si="58"/>
        <v>0</v>
      </c>
      <c r="FU143" s="135">
        <f t="shared" ca="1" si="59"/>
        <v>0</v>
      </c>
      <c r="FV143" s="135">
        <f t="shared" ca="1" si="60"/>
        <v>0</v>
      </c>
      <c r="FW143" s="135">
        <f t="shared" ca="1" si="61"/>
        <v>0</v>
      </c>
      <c r="FX143" s="135">
        <f t="shared" ca="1" si="62"/>
        <v>0</v>
      </c>
      <c r="FY143" s="135">
        <f t="shared" ca="1" si="63"/>
        <v>0</v>
      </c>
      <c r="FZ143" s="140">
        <f ca="1">SUMIFS(RZ[Úroveň 1 (P6)],RZ[0],AX143)</f>
        <v>1</v>
      </c>
      <c r="GA143" s="140">
        <f ca="1">SUMIFS(RZ[Úroveň 2 (P6)],RZ[0],AX143,RZ[Úroveň 2 (P0)],AY143)</f>
        <v>1</v>
      </c>
      <c r="GB143" s="140">
        <f ca="1">SUMIFS(RZ[Úroveň 3 (P6)],RZ[0],AX143,RZ[Úroveň 2 (P0)],AY143,RZ[Úroveň 3 (P0)],AZ143)</f>
        <v>0</v>
      </c>
      <c r="GC143" s="140">
        <f ca="1">SUMIFS(RZ[Úroveň 4 (P6)],RZ[0],AX143,RZ[Úroveň 2 (P0)],AY143,RZ[Úroveň 3 (P0)],AZ143,RZ[Úroveň 4 (P0)],BA143)</f>
        <v>0</v>
      </c>
      <c r="GD143" s="140">
        <f ca="1">SUMIFS(RZ[Úroveň 5 (P6)],RZ[0],AX143,RZ[Úroveň 2 (P0)],AY143,RZ[Úroveň 3 (P0)],AZ143,RZ[Úroveň 4 (P0)],BA143,RZ[Úroveň 5 (P0)],BB143)</f>
        <v>0</v>
      </c>
      <c r="GE143" s="140">
        <f ca="1">SUMIFS(RZ[Úroveň 6 (P6)],RZ[0],AX143,RZ[Úroveň 2 (P0)],AY143,RZ[Úroveň 3 (P0)],AZ143,RZ[Úroveň 4 (P0)],BA143,RZ[Úroveň 5 (P0)],BB143,RZ[Úroveň 6 (P0)],BC143)</f>
        <v>0</v>
      </c>
      <c r="GF143" s="140">
        <f ca="1">SUMIFS(RZ[Úroveň 7 (P6)],RZ[0],AX143,RZ[Úroveň 2 (P0)],AY143,RZ[Úroveň 3 (P0)],AZ143,RZ[Úroveň 4 (P0)],BA143,RZ[Úroveň 5 (P0)],BB143,RZ[Úroveň 6 (P0)],BC143,RZ[Úroveň 7 (P0)],BD143)</f>
        <v>0</v>
      </c>
      <c r="GG143" s="140">
        <f ca="1">SUMIFS(RZ[Úroveň 8 (P6)],RZ[0],AX143,RZ[Úroveň 2 (P0)],AY143,RZ[Úroveň 3 (P0)],AZ143,RZ[Úroveň 4 (P0)],BA143,RZ[Úroveň 5 (P0)],BB143,RZ[Úroveň 6 (P0)],BC143,RZ[Úroveň 7 (P0)],BD143,RZ[Úroveň 8 (P0)],BE143)</f>
        <v>0</v>
      </c>
      <c r="GH143" s="140">
        <f ca="1">SUMIFS(RZ[Úroveň 9 (P6)],RZ[0],AX143,RZ[Úroveň 2 (P0)],AY143,RZ[Úroveň 3 (P0)],AZ143,RZ[Úroveň 4 (P0)],BA143,RZ[Úroveň 5 (P0)],BB143,RZ[Úroveň 6 (P0)],BC143,RZ[Úroveň 7 (P0)],BD143,RZ[Úroveň 8 (P0)],BE143,RZ[Úroveň 9 (P0)],BF143)</f>
        <v>0</v>
      </c>
      <c r="GI143" s="140">
        <f ca="1">SUMIFS(RZ[Úroveň 10 (P6)],RZ[0],AX143,RZ[Úroveň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GJ143" s="194">
        <f t="shared" ca="1" si="125"/>
        <v>1</v>
      </c>
      <c r="GK143" s="807">
        <f t="shared" si="65"/>
        <v>0</v>
      </c>
      <c r="GL143" s="808">
        <f t="shared" si="66"/>
        <v>1</v>
      </c>
      <c r="GM143" s="808">
        <f t="shared" si="67"/>
        <v>0</v>
      </c>
      <c r="GN143" s="808">
        <f t="shared" si="68"/>
        <v>0</v>
      </c>
      <c r="GO143" s="808">
        <f t="shared" si="69"/>
        <v>0</v>
      </c>
      <c r="GP143" s="808">
        <f t="shared" si="70"/>
        <v>0</v>
      </c>
      <c r="GQ143" s="808">
        <f t="shared" si="71"/>
        <v>0</v>
      </c>
      <c r="GR143" s="808">
        <f t="shared" si="72"/>
        <v>0</v>
      </c>
      <c r="GS143" s="808">
        <f t="shared" si="73"/>
        <v>0</v>
      </c>
      <c r="GT143" s="808">
        <f t="shared" si="74"/>
        <v>0</v>
      </c>
      <c r="GU143" s="809">
        <f ca="1">SUMIFS(RZ[Sloupec1],RZ[0],AX143)</f>
        <v>1</v>
      </c>
      <c r="GV143" s="809">
        <f ca="1">SUMIFS(RZ[Sloupec2],RZ[0],AX143,RZ[Úroveň 2 (P0)],AY143)</f>
        <v>1</v>
      </c>
      <c r="GW143" s="809">
        <f ca="1">SUMIFS(RZ[Sloupec3],RZ[0],AX143,RZ[Úroveň 2 (P0)],AY143,RZ[Úroveň 3 (P0)],AZ143)</f>
        <v>0</v>
      </c>
      <c r="GX143" s="809">
        <f ca="1">SUMIFS(RZ[Sloupec4],RZ[0],AX143,RZ[Úroveň 2 (P0)],AY143,RZ[Úroveň 3 (P0)],AZ143,RZ[Úroveň 4 (P0)],BA143)</f>
        <v>0</v>
      </c>
      <c r="GY143" s="809">
        <f ca="1">SUMIFS(RZ[Sloupec5],RZ[0],AX143,RZ[Úroveň 2 (P0)],AY143,RZ[Úroveň 3 (P0)],AZ143,RZ[Úroveň 4 (P0)],BA143,RZ[Úroveň 5 (P0)],BB143)</f>
        <v>0</v>
      </c>
      <c r="GZ143" s="809">
        <f ca="1">SUMIFS(RZ[Sloupec6],RZ[0],AX143,RZ[Úroveň 2 (P0)],AY143,RZ[Úroveň 3 (P0)],AZ143,RZ[Úroveň 4 (P0)],BA143,RZ[Úroveň 5 (P0)],BB143,RZ[Úroveň 6 (P0)],BC143)</f>
        <v>0</v>
      </c>
      <c r="HA143" s="809">
        <f ca="1">SUMIFS(RZ[Sloupec62],RZ[0],AX143,RZ[Úroveň 2 (P0)],AY143,RZ[Úroveň 3 (P0)],AZ143,RZ[Úroveň 4 (P0)],BA143,RZ[Úroveň 5 (P0)],BB143,RZ[Úroveň 6 (P0)],BC143,RZ[Úroveň 7 (P0)],BD143)</f>
        <v>0</v>
      </c>
      <c r="HB143" s="809">
        <f ca="1">SUMIFS(RZ[Sloupec63],RZ[0],AX143,RZ[Úroveň 2 (P0)],AY143,RZ[Úroveň 3 (P0)],AZ143,RZ[Úroveň 4 (P0)],BA143,RZ[Úroveň 5 (P0)],BB143,RZ[Úroveň 6 (P0)],BC143,RZ[Úroveň 7 (P0)],BD143,RZ[Úroveň 8 (P0)],BE143)</f>
        <v>0</v>
      </c>
      <c r="HC143" s="809">
        <f ca="1">SUMIFS(RZ[Sloupec64],RZ[0],AX143,RZ[Úroveň 2 (P0)],AY143,RZ[Úroveň 3 (P0)],AZ143,RZ[Úroveň 4 (P0)],BA143,RZ[Úroveň 5 (P0)],BB143,RZ[Úroveň 6 (P0)],BC143,RZ[Úroveň 7 (P0)],BD143,RZ[Úroveň 8 (P0)],BE143,RZ[Úroveň 9 (P0)],BF143)</f>
        <v>0</v>
      </c>
      <c r="HD143" s="809">
        <f ca="1">SUMIFS(RZ[Sloupec65],RZ[0],AX143,RZ[Úroveň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HE143" s="803">
        <f t="shared" ca="1" si="75"/>
        <v>1</v>
      </c>
      <c r="HF143" s="48" t="str">
        <f t="shared" si="76"/>
        <v/>
      </c>
      <c r="HG143" s="94" t="str">
        <f t="shared" si="77"/>
        <v/>
      </c>
      <c r="HH143" s="95" t="str">
        <f t="shared" si="78"/>
        <v>Elektro</v>
      </c>
      <c r="HI143" s="95" t="str">
        <f t="shared" si="79"/>
        <v/>
      </c>
      <c r="HJ143" s="96" t="str">
        <f t="shared" si="80"/>
        <v/>
      </c>
      <c r="HK143" s="96" t="str">
        <f t="shared" si="81"/>
        <v/>
      </c>
      <c r="HL143" s="96" t="str">
        <f t="shared" si="82"/>
        <v/>
      </c>
      <c r="HM143" s="96" t="str">
        <f t="shared" si="83"/>
        <v/>
      </c>
      <c r="HN143" s="96" t="str">
        <f t="shared" si="84"/>
        <v/>
      </c>
      <c r="HO143" s="96" t="str">
        <f t="shared" si="85"/>
        <v/>
      </c>
      <c r="HP143" s="96" t="str">
        <f t="shared" si="86"/>
        <v/>
      </c>
      <c r="HQ143" s="145" t="str">
        <f t="shared" si="87"/>
        <v>N/A</v>
      </c>
      <c r="HR143" s="175" t="str">
        <f t="shared" si="88"/>
        <v/>
      </c>
      <c r="HS143" s="173">
        <f t="shared" si="89"/>
        <v>0</v>
      </c>
      <c r="HT143" s="99">
        <f t="shared" si="90"/>
        <v>0</v>
      </c>
      <c r="HU143" s="99">
        <f t="shared" si="91"/>
        <v>0</v>
      </c>
      <c r="HV143" s="209" t="str">
        <f t="shared" si="92"/>
        <v>Zajíc</v>
      </c>
      <c r="HW143" s="47">
        <f t="shared" si="93"/>
        <v>0</v>
      </c>
      <c r="HX143" s="46">
        <f t="shared" si="94"/>
        <v>0</v>
      </c>
      <c r="HY143" s="149" t="str">
        <f t="shared" si="95"/>
        <v>S</v>
      </c>
      <c r="HZ143" s="263" t="str">
        <f t="shared" si="96"/>
        <v>N</v>
      </c>
      <c r="IA143" s="150">
        <f t="shared" si="97"/>
        <v>1</v>
      </c>
      <c r="IB143" s="319">
        <f t="shared" si="98"/>
        <v>1115006.7</v>
      </c>
      <c r="IC143" s="220">
        <f t="shared" si="99"/>
        <v>1</v>
      </c>
      <c r="ID143" s="200" t="str">
        <f t="shared" ca="1" si="100"/>
        <v>OK</v>
      </c>
      <c r="IE143" s="201" t="str">
        <f t="shared" si="101"/>
        <v>sada</v>
      </c>
      <c r="IF143" s="145">
        <f t="shared" si="102"/>
        <v>1</v>
      </c>
      <c r="IG143" s="216">
        <f t="shared" si="103"/>
        <v>0.01</v>
      </c>
      <c r="IH143" s="217">
        <f t="shared" si="126"/>
        <v>1</v>
      </c>
      <c r="II143" s="224" t="str">
        <f ca="1">IF(RZ[[#This Row],[Rozhodný sloupec indikativní ceny]]=1,"kg",IF($IW143=$JL$15,IF(JX143=0,JO143,JX143),IF($IW143=$KE$15,IF(KQ143=0,KH143,KQ143),IF($IW143=$KX$15,IF(LJ143=0,LA143,LJ143),IF($IW143=$LQ$15,IF(MC143=0,LT143,MC143),IF($IW143=$MJ$15,IF(NQ143=0,NH143,NQ143),0))))))</f>
        <v>sada</v>
      </c>
      <c r="IJ143" s="224">
        <f ca="1">IF((BH143+OFFSET(BH143,1,1,1,1))=2,RZ[[#This Row],[Počet MJHR (P0)]],IF((BI143+OFFSET(BI143,1,1,1,1))=2,RZ[[#This Row],[Počet MJHR (P0)]],IF((BJ143+OFFSET(BJ143,1,1,1,1))=2,RZ[[#This Row],[Počet MJHR (P0)]],IF((BK143+OFFSET(BK143,1,1,1,1))=2,RZ[[#This Row],[Počet MJHR (P0)]],IF((BL143+OFFSET(BL143,1,1,1,1))=2,RZ[[#This Row],[Počet MJHR (P0)]],IF((BM143+OFFSET(BM143,1,1,1,1))=2,RZ[[#This Row],[Počet MJHR (P0)]],IF((BN143+OFFSET(BN143,1,1,1,1))=2,RZ[[#This Row],[Počet MJHR (P0)]],IF((BO143+OFFSET(BO143,1,1,1,1))=2,RZ[[#This Row],[Počet MJHR (P0)]],IF((BP143+OFFSET(BP143,1,1,1,1))=2,RZ[[#This Row],[Počet MJHR (P0)]],IF((BQ143+OFFSET(BQ143,1,1,1,1))=2,RZ[[#This Row],[Počet MJHR (P0)]],IF(RZ[[#This Row],[Měrná jednotka CR (MJCR) (P0)]]=RZ[[#This Row],[Měrná jednotka HR '[MJHR'] (P0)]],RZ[[#This Row],[Počet MJHR (P0)]],IF($IW143=$JL$15,JY143,IF($IW143=$KE$15,KR143,IF($IW143=$KX$15,LK143,IF($IW143=$LQ$15,MD143,IF($IW143=$MJ$15,NR143,0))))))))))))))))</f>
        <v>1</v>
      </c>
      <c r="IK1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3" s="330">
        <f ca="1">IF(AND(RZ[[#This Row],[Jednotková cena bez DPH '[cena/MJCR'] (P0)]]=0,RZ[[#This Row],[Indikativní jednotková cena '[CZK/kg'] (P1)]]&lt;&gt;0),1,0)</f>
        <v>0</v>
      </c>
      <c r="IM143" s="217">
        <f ca="1">VLOOKUP(RZ[[#This Row],[Kód položek]],INDIKAT_CENA,2,FALSE)</f>
        <v>0</v>
      </c>
      <c r="IN143" s="222">
        <f ca="1">IF(RZ[[#This Row],[Rozhodný sloupec indikativní ceny]]=1,RZ[[#This Row],[Indikativní jednotková cena '[CZK/kg'] (P1)]],RZ[[#This Row],[Jednotková cena bez DPH '[cena/MJCR'] (P0)]])</f>
        <v>1115006.7</v>
      </c>
      <c r="IO143" s="222">
        <f t="shared" si="127"/>
        <v>1</v>
      </c>
      <c r="IP143" s="223">
        <f ca="1">IF(RZ[[#This Row],[Rozhodný sloupec indikativní ceny]]=1,1,IF($IW143=$JL$15,KA143,IF($IW143=$KE$15,KT143,IF($IW143=$KX$15,LM143,IF($IW143=$LQ$15,MF143,IF($IW143=$MJ$15,NT143,0))))))</f>
        <v>1</v>
      </c>
      <c r="IQ143" s="225">
        <f ca="1">IF(RZ[[#This Row],[Jednotková cena bez DPH '[cena/MJCR'] (P1)]]="",0,IF(IP143=0,0,(RZ[[#This Row],[Jednotková cena bez DPH '[cena/MJCR'] (P1)]]*VLOOKUP(IP143,$BR$7:$BT$10,3))))</f>
        <v>1115006.7</v>
      </c>
      <c r="IR143" s="737"/>
      <c r="IS143" s="627">
        <f>IF(HY143=0,"",VLOOKUP(RZ[[#This Row],[Stav Projekce (P0)]],Vstupy!$E$11:'Vstupy'!$E$11:$H$17,4,FALSE))</f>
        <v>100</v>
      </c>
      <c r="IT143" s="628" t="str">
        <f>IF(RZ[[#This Row],[Stav Projekce (P0)]]=0,"",RZ[[#This Row],[Stav Projekce (P0)]])</f>
        <v>S</v>
      </c>
      <c r="IU143" s="628" t="str">
        <f>IF(RZ[[#This Row],[Stav Nákup (P0)]]=0,"",RZ[[#This Row],[Stav Nákup (P0)]])</f>
        <v>N</v>
      </c>
      <c r="IV143" s="636" t="str">
        <f t="shared" si="128"/>
        <v>Zajíc</v>
      </c>
      <c r="IW143" s="641">
        <v>1</v>
      </c>
      <c r="IX143" s="630"/>
      <c r="IY143" s="264"/>
      <c r="IZ143" s="648"/>
      <c r="JA143" s="100" t="s">
        <v>176</v>
      </c>
      <c r="JB143" s="100"/>
      <c r="JC143" s="100"/>
      <c r="JD143" s="100"/>
      <c r="JE143" s="100"/>
      <c r="JF143" s="100"/>
      <c r="JG143" s="100"/>
      <c r="JH143" s="100"/>
      <c r="JI143" s="100"/>
      <c r="JJ143" s="145"/>
      <c r="JK143" s="529"/>
      <c r="JL143" s="286"/>
      <c r="JM143" s="100"/>
      <c r="JN143" s="100"/>
      <c r="JO143" s="145" t="s">
        <v>44</v>
      </c>
      <c r="JP143" s="117">
        <v>1</v>
      </c>
      <c r="JQ143" s="117">
        <v>0.01</v>
      </c>
      <c r="JR143" s="148">
        <v>1</v>
      </c>
      <c r="JS143" s="145" t="s">
        <v>602</v>
      </c>
      <c r="JT143" s="631"/>
      <c r="JU143" s="148" t="s">
        <v>853</v>
      </c>
      <c r="JV143" s="154"/>
      <c r="JW143" s="145"/>
      <c r="JX143" s="210" t="s">
        <v>44</v>
      </c>
      <c r="JY143" s="117"/>
      <c r="JZ143" s="662">
        <v>1115006.7</v>
      </c>
      <c r="KA143" s="145">
        <v>1</v>
      </c>
      <c r="KB143" s="148">
        <v>1</v>
      </c>
      <c r="KC143" s="148" t="s">
        <v>611</v>
      </c>
      <c r="KD143" s="644"/>
      <c r="KE143" s="286"/>
      <c r="KF143" s="100"/>
      <c r="KG143" s="100"/>
      <c r="KH143" s="210"/>
      <c r="KI143" s="117"/>
      <c r="KJ143" s="117"/>
      <c r="KK143" s="148"/>
      <c r="KL143" s="145"/>
      <c r="KM143" s="632"/>
      <c r="KN143" s="148"/>
      <c r="KO143" s="154"/>
      <c r="KP143" s="154"/>
      <c r="KQ143" s="210"/>
      <c r="KR143" s="117"/>
      <c r="KS143" s="211"/>
      <c r="KT143" s="145"/>
      <c r="KU143" s="148"/>
      <c r="KV143" s="148"/>
      <c r="KW143" s="265"/>
      <c r="KX143" s="286"/>
      <c r="KY143" s="100"/>
      <c r="KZ143" s="100"/>
      <c r="LA143" s="210"/>
      <c r="LB143" s="117"/>
      <c r="LC143" s="117"/>
      <c r="LD143" s="148"/>
      <c r="LE143" s="145"/>
      <c r="LF143" s="632"/>
      <c r="LG143" s="148"/>
      <c r="LH143" s="154"/>
      <c r="LI143" s="154"/>
      <c r="LJ143" s="154"/>
      <c r="LK143" s="117"/>
      <c r="LL143" s="211"/>
      <c r="LM143" s="210"/>
      <c r="LN143" s="148"/>
      <c r="LO143" s="148"/>
      <c r="LP143" s="265"/>
      <c r="LQ143" s="286"/>
      <c r="LR143" s="100"/>
      <c r="LS143" s="100"/>
      <c r="LT143" s="210"/>
      <c r="LU143" s="117"/>
      <c r="LV143" s="117"/>
      <c r="LW143" s="148"/>
      <c r="LX143" s="145"/>
      <c r="LY143" s="632"/>
      <c r="LZ143" s="148"/>
      <c r="MA143" s="154"/>
      <c r="MB143" s="154"/>
      <c r="MC143" s="145"/>
      <c r="MD143" s="117"/>
      <c r="ME143" s="211"/>
      <c r="MF143" s="210"/>
      <c r="MG143" s="148"/>
      <c r="MH143" s="148"/>
      <c r="MI143" s="265"/>
      <c r="MJ143" s="647"/>
      <c r="MK143" s="264"/>
      <c r="ML143" s="153"/>
      <c r="MM143" s="153"/>
      <c r="MN143" s="153"/>
      <c r="MO143" s="153"/>
      <c r="MP143" s="153"/>
      <c r="MQ143" s="153"/>
      <c r="MR143" s="153"/>
      <c r="MS143" s="99"/>
      <c r="MT143" s="99"/>
      <c r="MU143" s="99"/>
      <c r="MV143" s="99"/>
      <c r="MW143" s="99"/>
      <c r="MX143" s="99"/>
      <c r="MY143" s="153"/>
      <c r="MZ143" s="153"/>
      <c r="NA143" s="153"/>
      <c r="NB143" s="153"/>
      <c r="NC143" s="153"/>
      <c r="ND143" s="153"/>
      <c r="NE143" s="153"/>
      <c r="NF143" s="153"/>
      <c r="NG143" s="153"/>
      <c r="NH143" s="330" t="str">
        <f>"ks"</f>
        <v>ks</v>
      </c>
      <c r="NI143" s="797">
        <f>RZ[[#This Row],[Počet ks (K)]]</f>
        <v>0</v>
      </c>
      <c r="NJ143" s="798">
        <f>RZ[[#This Row],[Hmotnost '[kg/ks'] (K)]]</f>
        <v>0</v>
      </c>
      <c r="NK143" s="153"/>
      <c r="NL143" s="153"/>
      <c r="NM143" s="632"/>
      <c r="NN143" s="153"/>
      <c r="NO143" s="153"/>
      <c r="NP143" s="153"/>
      <c r="NQ143" s="153"/>
      <c r="NR143" s="153"/>
      <c r="NS143" s="153"/>
      <c r="NT143" s="153"/>
      <c r="NU143" s="153"/>
      <c r="NV143" s="148"/>
      <c r="NW143" s="633"/>
    </row>
    <row r="144" spans="2:387" ht="15.95" customHeight="1" thickBot="1" x14ac:dyDescent="0.4">
      <c r="B144" s="118" t="str">
        <f t="shared" si="1"/>
        <v/>
      </c>
      <c r="C1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4" s="262" t="str">
        <f t="shared" si="2"/>
        <v xml:space="preserve">  Řídicí systém</v>
      </c>
      <c r="E144" s="120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Row],[Kód položek (P2)]]))))))))))</f>
        <v>ELRS</v>
      </c>
      <c r="F144" s="122" t="str">
        <f t="shared" si="3"/>
        <v>N/A</v>
      </c>
      <c r="G144" s="121" t="str">
        <f t="shared" si="4"/>
        <v/>
      </c>
      <c r="H144" s="122" t="str">
        <f t="shared" si="5"/>
        <v/>
      </c>
      <c r="I144" s="123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HR '[MJHR'] (P0)]]))))))))))</f>
        <v>ks</v>
      </c>
      <c r="J144" s="123">
        <f t="shared" si="6"/>
        <v>1</v>
      </c>
      <c r="K144" s="151">
        <f>RZ[[#This Row],[Koeficient odhadu HR '[-'] (P1)]]</f>
        <v>1</v>
      </c>
      <c r="L144" s="124">
        <f ca="1">RZ[[#This Row],[Jednotková hmotnost s koef. '[kg/MJHR'] (P0)]]</f>
        <v>0.01</v>
      </c>
      <c r="M144" s="124">
        <f t="shared" ca="1" si="7"/>
        <v>0</v>
      </c>
      <c r="N144" s="125">
        <f t="shared" ca="1" si="8"/>
        <v>0.01</v>
      </c>
      <c r="O144" s="125">
        <f t="shared" ca="1" si="9"/>
        <v>0</v>
      </c>
      <c r="P144" s="328" t="str">
        <f t="shared" si="10"/>
        <v/>
      </c>
      <c r="Q144" s="743">
        <f ca="1">RZ[[#This Row],[Počet MJHR v rozpadu (P0)]]</f>
        <v>1</v>
      </c>
      <c r="R144" s="439" t="str">
        <f t="shared" si="11"/>
        <v>Zajíc</v>
      </c>
      <c r="S144" s="129" t="str">
        <f t="shared" si="12"/>
        <v/>
      </c>
      <c r="T144" s="130" t="str">
        <f t="shared" si="13"/>
        <v/>
      </c>
      <c r="U144" s="126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CR (MJCR) (P0)]]))))))))))</f>
        <v>ks</v>
      </c>
      <c r="V144" s="575">
        <f t="shared" ca="1" si="14"/>
        <v>1</v>
      </c>
      <c r="W144" s="322">
        <f>RZ[[#This Row],[Koeficient odhadu CR '[-'] (P1)]]</f>
        <v>1</v>
      </c>
      <c r="X144" s="440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Row],[Jednotková cena bez DPH '[cena/MJCR'] (P1)]]*RZ[[#This Row],[Koeficient odhadu CR '[-']]]))))))))))</f>
        <v>1500000</v>
      </c>
      <c r="Y144" s="440">
        <f t="shared" ca="1" si="108"/>
        <v>0</v>
      </c>
      <c r="Z144" s="142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VLOOKUP(IP144,$BR$7:$BS$11,2,FALSE)))))))))))</f>
        <v>CZK</v>
      </c>
      <c r="AA144" s="811">
        <f t="shared" ca="1" si="16"/>
        <v>1</v>
      </c>
      <c r="AB144" s="814">
        <f ca="1">RZ[[#This Row],[Kumulovaný koeficient v rozpadu (P0)]]</f>
        <v>1</v>
      </c>
      <c r="AC144" s="260"/>
      <c r="AD144" s="510">
        <f ca="1">RZ[[#This Row],[Jednotková cena bez DPH '[cena/MJCR'] s koef. (P0)]]/RZ[[#This Row],[Koeficient odhadu CR '[-']]]*RZ[[#This Row],[Kumulovaný koeficient odhadu CR  '[-']]]</f>
        <v>1500000</v>
      </c>
      <c r="AE144" s="511">
        <f t="shared" ca="1" si="17"/>
        <v>1500000</v>
      </c>
      <c r="AF144" s="512">
        <f ca="1">-IF(ISNUMBER(AA144),RZ[[#This Row],[Celková cena bez DPH (1)]]-RZ[[#This Row],[Jednotková cena bez DPH '[cena/MJCR'] bez koef. (P0)]]*AA144,0)</f>
        <v>0</v>
      </c>
      <c r="AG1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150000000</v>
      </c>
      <c r="AH144" s="261"/>
      <c r="AI144" s="510">
        <f t="shared" ca="1" si="18"/>
        <v>55555.555555555555</v>
      </c>
      <c r="AJ144" s="511">
        <f t="shared" ca="1" si="19"/>
        <v>55555.555555555555</v>
      </c>
      <c r="AK144" s="512">
        <f t="shared" ca="1" si="20"/>
        <v>0</v>
      </c>
      <c r="AL144" s="753">
        <f ca="1">RZ[[#This Row],[Kilogramová cena bez DPH '[cena/kg'] (1)]]/$AK$13</f>
        <v>5555555.555555556</v>
      </c>
      <c r="AM144" s="261"/>
      <c r="AN144" s="510">
        <f t="shared" ca="1" si="21"/>
        <v>72463.768115942032</v>
      </c>
      <c r="AO144" s="511">
        <f t="shared" ca="1" si="22"/>
        <v>72463.768115942032</v>
      </c>
      <c r="AP144" s="512">
        <f t="shared" ca="1" si="23"/>
        <v>0</v>
      </c>
      <c r="AQ144" s="753">
        <f ca="1">RZ[[#This Row],[Kilogramová cena bez DPH '[cena/kg'] (1)]]/$AP$13</f>
        <v>7246376.8115942031</v>
      </c>
      <c r="AR144" s="261"/>
      <c r="AS144" s="510">
        <f t="shared" ca="1" si="24"/>
        <v>41028.446389496712</v>
      </c>
      <c r="AT144" s="511">
        <f t="shared" ca="1" si="25"/>
        <v>41028.446389496712</v>
      </c>
      <c r="AU144" s="511">
        <f t="shared" ca="1" si="26"/>
        <v>0</v>
      </c>
      <c r="AV144" s="767">
        <f ca="1">RZ[[#This Row],[Kilogramová cena bez DPH '[cena/kg'] (1)]]/$AU$13</f>
        <v>4102844.6389496713</v>
      </c>
      <c r="AW144" s="165"/>
      <c r="AX144" s="110">
        <f t="shared" ca="1" si="27"/>
        <v>2</v>
      </c>
      <c r="AY144" s="55">
        <f t="shared" ca="1" si="28"/>
        <v>27</v>
      </c>
      <c r="AZ144" s="111">
        <f t="shared" ca="1" si="29"/>
        <v>0</v>
      </c>
      <c r="BA144" s="111">
        <f t="shared" ca="1" si="30"/>
        <v>0</v>
      </c>
      <c r="BB144" s="111">
        <f t="shared" ca="1" si="31"/>
        <v>0</v>
      </c>
      <c r="BC144" s="111">
        <f t="shared" ca="1" si="32"/>
        <v>0</v>
      </c>
      <c r="BD144" s="111">
        <f t="shared" ca="1" si="33"/>
        <v>0</v>
      </c>
      <c r="BE144" s="111">
        <f t="shared" ca="1" si="109"/>
        <v>0</v>
      </c>
      <c r="BF144" s="111">
        <f t="shared" ca="1" si="34"/>
        <v>0</v>
      </c>
      <c r="BG144" s="112">
        <f t="shared" ca="1" si="35"/>
        <v>0</v>
      </c>
      <c r="BH144" s="110">
        <f t="shared" si="110"/>
        <v>0</v>
      </c>
      <c r="BI144" s="55">
        <f t="shared" si="111"/>
        <v>1</v>
      </c>
      <c r="BJ144" s="55">
        <f t="shared" si="112"/>
        <v>0</v>
      </c>
      <c r="BK144" s="111">
        <f t="shared" si="113"/>
        <v>0</v>
      </c>
      <c r="BL144" s="111">
        <f t="shared" si="114"/>
        <v>0</v>
      </c>
      <c r="BM144" s="111">
        <f t="shared" si="115"/>
        <v>0</v>
      </c>
      <c r="BN144" s="111">
        <f t="shared" si="116"/>
        <v>0</v>
      </c>
      <c r="BO144" s="111">
        <f t="shared" si="117"/>
        <v>0</v>
      </c>
      <c r="BP144" s="111">
        <f t="shared" si="118"/>
        <v>0</v>
      </c>
      <c r="BQ144" s="112">
        <f t="shared" si="119"/>
        <v>0</v>
      </c>
      <c r="BR144" s="186">
        <f ca="1">IF(OFFSET(AY144,1,0,1,1)&lt;&gt;0,RZ[[#This Row],[Koeficient odhadu HR '[-'] (P1)]]*$BH144*SUMIFS(RZ[Úroveň 2 s koef. (P2)],RZ[0],AX144),RZ[[#This Row],[Koeficient odhadu HR '[-'] (P1)]]*$BH144*$IG144)</f>
        <v>0</v>
      </c>
      <c r="BS144" s="186">
        <f ca="1">IF(OFFSET(AY144,1,0,1,1)&lt;&gt;0,$BH144*SUMIFS(RZ[Úroveň 2 bez koef. (P2)],RZ[0],AX144),$BH144*$IG144)</f>
        <v>0</v>
      </c>
      <c r="BT144" s="138">
        <f ca="1">RZ[[#This Row],[Úroveň 2 s koef. (P2a)]]*RZ[[#This Row],[Počet MJHR (P0)]]</f>
        <v>0.01</v>
      </c>
      <c r="BU144" s="138">
        <f ca="1">RZ[[#This Row],[Úroveň 2 bez koef. (P2a)]]*RZ[[#This Row],[Počet MJHR (P0)]]</f>
        <v>0.01</v>
      </c>
      <c r="BV144" s="138">
        <f ca="1">IF(OFFSET(AZ144,1,0,1,1)&lt;&gt;0,RZ[[#This Row],[Koeficient odhadu HR '[-'] (P1)]]*$BI144*SUMIFS(RZ[Úroveň 3 s koef. (P2)],RZ[0],AX144,RZ[Úroveň 2 (P0)],AY144),RZ[[#This Row],[Koeficient odhadu HR '[-'] (P1)]]*$BI144*$IG144)</f>
        <v>0.01</v>
      </c>
      <c r="BW144" s="138">
        <f ca="1">IF(OFFSET(AZ144,1,0,1,1)&lt;&gt;0,$BI144*SUMIFS(RZ[Úroveň 3 bez koef. (P2)],RZ[0],AX144,RZ[Úroveň 2 (P0)],AY144),$BI144*$IG144)</f>
        <v>0.01</v>
      </c>
      <c r="BX144" s="132">
        <f ca="1">RZ[[#This Row],[Úroveň 3 s koef. (P2a)]]*RZ[[#This Row],[Počet MJHR (P0)]]</f>
        <v>0</v>
      </c>
      <c r="BY144" s="132">
        <f ca="1">RZ[Úroveň 3 bez koef. (P2a)]*RZ[[#This Row],[Počet MJHR (P0)]]</f>
        <v>0</v>
      </c>
      <c r="BZ144" s="132">
        <f ca="1">IF(OFFSET(BA144,1,0,1,1)&lt;&gt;0,RZ[[#This Row],[Koeficient odhadu HR '[-'] (P1)]]*$BJ144*SUMIFS(RZ[Úroveň 4 s koef. (P2)],RZ[0],AX144,RZ[Úroveň 2 (P0)],AY144,RZ[Úroveň 3 (P0)],AZ144),RZ[[#This Row],[Koeficient odhadu HR '[-'] (P1)]]*$BJ144*$IG144)</f>
        <v>0</v>
      </c>
      <c r="CA144" s="132">
        <f ca="1">IF(OFFSET(BA144,1,0,1,1)&lt;&gt;0,$BJ144*SUMIFS(RZ[Úroveň 4 bez koef. (P2)],RZ[0],AX144,RZ[Úroveň 2 (P0)],AY144,RZ[Úroveň 3 (P0)],AZ144),$BJ144*$IG144)</f>
        <v>0</v>
      </c>
      <c r="CB144" s="138">
        <f ca="1">RZ[[#This Row],[Úroveň 4 s koef. (P2a)]]*RZ[[#This Row],[Počet MJHR (P0)]]</f>
        <v>0</v>
      </c>
      <c r="CC144" s="138">
        <f ca="1">RZ[Úroveň 4 bez koef. (P2a)]*RZ[[#This Row],[Počet MJHR (P0)]]</f>
        <v>0</v>
      </c>
      <c r="CD144" s="138">
        <f ca="1">IF(OFFSET(BB144,1,0,1,1)&lt;&gt;0,RZ[[#This Row],[Koeficient odhadu HR '[-'] (P1)]]*$BK144*SUMIFS(RZ[Úroveň 5 s koef. (P2)],RZ[0],AX144,RZ[Úroveň 2 (P0)],AY144,RZ[Úroveň 3 (P0)],AZ144,RZ[Úroveň 4 (P0)],BA144),RZ[[#This Row],[Koeficient odhadu HR '[-'] (P1)]]*$BK144*$IG144)</f>
        <v>0</v>
      </c>
      <c r="CE144" s="138">
        <f ca="1">IF(OFFSET(BB144,1,0,1,1)&lt;&gt;0,$BK144*SUMIFS(RZ[Úroveň 5 bez koef. (P2)],RZ[0],AX144,RZ[Úroveň 2 (P0)],AY144,RZ[Úroveň 3 (P0)],AZ144,RZ[Úroveň 4 (P0)],BA144),$BK144*$IG144)</f>
        <v>0</v>
      </c>
      <c r="CF144" s="132">
        <f ca="1">RZ[[#This Row],[Úroveň 5 s koef. (P2a)]]*RZ[[#This Row],[Počet MJHR (P0)]]</f>
        <v>0</v>
      </c>
      <c r="CG144" s="132">
        <f ca="1">RZ[Úroveň 5 bez koef. (P2a)]*RZ[[#This Row],[Počet MJHR (P0)]]</f>
        <v>0</v>
      </c>
      <c r="CH144" s="132">
        <f ca="1">IF(OFFSET(BC144,1,0,1,1)&lt;&gt;0,RZ[[#This Row],[Koeficient odhadu HR '[-'] (P1)]]*$BL144*SUMIFS(RZ[Úroveň 6 s koef. (P2)],RZ[0],AX144,RZ[Úroveň 2 (P0)],AY144,RZ[Úroveň 3 (P0)],AZ144,RZ[Úroveň 4 (P0)],BA144,RZ[Úroveň 5 (P0)],BB144),RZ[[#This Row],[Koeficient odhadu HR '[-'] (P1)]]*$BL144*$IG144)</f>
        <v>0</v>
      </c>
      <c r="CI144" s="132">
        <f ca="1">IF(OFFSET(BC144,1,0,1,1)&lt;&gt;0,$BL144*SUMIFS(RZ[Úroveň 6 bez koef. (P2)],RZ[0],AX144,RZ[Úroveň 2 (P0)],AY144,RZ[Úroveň 3 (P0)],AZ144,RZ[Úroveň 4 (P0)],BA144,RZ[Úroveň 5 (P0)],BB144),$BL144*$IG144)</f>
        <v>0</v>
      </c>
      <c r="CJ144" s="138">
        <f ca="1">RZ[[#This Row],[Úroveň 6 s koef. (P2a)]]*RZ[[#This Row],[Počet MJHR (P0)]]</f>
        <v>0</v>
      </c>
      <c r="CK144" s="138">
        <f ca="1">RZ[Úroveň 6 bez koef. (P2a)]*RZ[[#This Row],[Počet MJHR (P0)]]</f>
        <v>0</v>
      </c>
      <c r="CL144" s="138">
        <f ca="1">IF(OFFSET(BD144,1,0,1,1)&lt;&gt;0,RZ[[#This Row],[Koeficient odhadu HR '[-'] (P1)]]*$BM144*SUMIFS(RZ[Úroveň 7 s koef. (P2)],RZ[0],AX144,RZ[Úroveň 2 (P0)],AY144,RZ[Úroveň 3 (P0)],AZ144,RZ[Úroveň 4 (P0)],BA144,RZ[Úroveň 5 (P0)],BB144,RZ[Úroveň 6 (P0)],BC144),RZ[[#This Row],[Koeficient odhadu HR '[-'] (P1)]]*$BM144*$IG144)</f>
        <v>0</v>
      </c>
      <c r="CM144" s="138">
        <f ca="1">IF(OFFSET(BD144,1,0,1,1)&lt;&gt;0,$BM144*SUMIFS(RZ[Úroveň 7 bez koef. (P2)],RZ[0],AX144,RZ[Úroveň 2 (P0)],AY144,RZ[Úroveň 3 (P0)],AZ144,RZ[Úroveň 4 (P0)],BA144,RZ[Úroveň 5 (P0)],BB144,RZ[Úroveň 6 (P0)],BC144),$BM144*$IG144)</f>
        <v>0</v>
      </c>
      <c r="CN144" s="132">
        <f ca="1">RZ[[#This Row],[Úroveň 7 s koef. (P2a)]]*RZ[[#This Row],[Počet MJHR (P0)]]</f>
        <v>0</v>
      </c>
      <c r="CO144" s="132">
        <f ca="1">RZ[Úroveň 7 bez koef. (P2a)]*RZ[[#This Row],[Počet MJHR (P0)]]</f>
        <v>0</v>
      </c>
      <c r="CP144" s="132">
        <f ca="1">IF(OFFSET(BE144,1,0,1,1)&lt;&gt;0,RZ[[#This Row],[Koeficient odhadu HR '[-'] (P1)]]*$BN144*SUMIFS(RZ[Úroveň 8 s koef. (P2)],RZ[0],AX144,RZ[Úroveň 2 (P0)],AY144,RZ[Úroveň 3 (P0)],AZ144,RZ[Úroveň 4 (P0)],BA144,RZ[Úroveň 5 (P0)],BB144,RZ[Úroveň 6 (P0)],BC144,RZ[Úroveň 7 (P0)],BD144),RZ[[#This Row],[Koeficient odhadu HR '[-'] (P1)]]*$BN144*$IG144)</f>
        <v>0</v>
      </c>
      <c r="CQ144" s="132">
        <f ca="1">IF(OFFSET(BE144,1,0,1,1)&lt;&gt;0,$BN144*SUMIFS(RZ[Úroveň 8 bez koef. (P2)],RZ[0],AX144,RZ[Úroveň 2 (P0)],AY144,RZ[Úroveň 3 (P0)],AZ144,RZ[Úroveň 4 (P0)],BA144,RZ[Úroveň 5 (P0)],BB144,RZ[Úroveň 6 (P0)],BC144,RZ[Úroveň 7 (P0)],BD144),$BN144*$IG144)</f>
        <v>0</v>
      </c>
      <c r="CR144" s="138">
        <f ca="1">RZ[[#This Row],[Úroveň 8 s koef. (P2a)]]*RZ[[#This Row],[Počet MJHR (P0)]]</f>
        <v>0</v>
      </c>
      <c r="CS144" s="138">
        <f ca="1">RZ[Úroveň 8 bez koef. (P2a)]*RZ[[#This Row],[Počet MJHR (P0)]]</f>
        <v>0</v>
      </c>
      <c r="CT144" s="138">
        <f ca="1">IF(OFFSET(BF144,1,0,1,1)&lt;&gt;0,RZ[[#This Row],[Koeficient odhadu HR '[-'] (P1)]]*$BO144*SUMIFS(RZ[Úroveň 9 s koef. (P2)],RZ[0],AX144,RZ[Úroveň 2 (P0)],AY144,RZ[Úroveň 3 (P0)],AZ144,RZ[Úroveň 4 (P0)],BA144,RZ[Úroveň 5 (P0)],BB144,RZ[Úroveň 6 (P0)],BC144,RZ[Úroveň 7 (P0)],BD144,RZ[Úroveň 8 (P0)],BE144),RZ[[#This Row],[Koeficient odhadu HR '[-'] (P1)]]*$BO144*$IG144)</f>
        <v>0</v>
      </c>
      <c r="CU144" s="138">
        <f ca="1">IF(OFFSET(BF144,1,0,1,1)&lt;&gt;0,$BO144*SUMIFS(RZ[Úroveň 9 bez koef. (P2)],RZ[0],AX144,RZ[Úroveň 2 (P0)],AY144,RZ[Úroveň 3 (P0)],AZ144,RZ[Úroveň 4 (P0)],BA144,RZ[Úroveň 5 (P0)],BB144,RZ[Úroveň 6 (P0)],BC144,RZ[Úroveň 7 (P0)],BD144,RZ[Úroveň 8 (P0)],BE144),$BO144*$IG144)</f>
        <v>0</v>
      </c>
      <c r="CV144" s="132">
        <f ca="1">RZ[[#This Row],[Úroveň 9 s koef. (P2a)]]*RZ[[#This Row],[Počet MJHR (P0)]]</f>
        <v>0</v>
      </c>
      <c r="CW144" s="132">
        <f ca="1">RZ[Úroveň 9 bez koef. (P2a)]*RZ[[#This Row],[Počet MJHR (P0)]]</f>
        <v>0</v>
      </c>
      <c r="CX144" s="132">
        <f ca="1">IF(OFFSET(BG144,1,0,1,1)&lt;&gt;0,RZ[[#This Row],[Koeficient odhadu HR '[-'] (P1)]]*$BP144*SUMIFS(RZ[Úroveň 10 s koef. (P2)],RZ[0],AX144,RZ[Úroveň 2 (P0)],AY144,RZ[Úroveň 3 (P0)],AZ144,RZ[Úroveň 4 (P0)],BA144,RZ[Úroveň 5 (P0)],BB144,RZ[Úroveň 6 (P0)],BC144,RZ[Úroveň 7 (P0)],BD144,RZ[Úroveň 8 (P0)],BE144,RZ[Úroveň 9 (P0)],BF144),RZ[[#This Row],[Koeficient odhadu HR '[-'] (P1)]]*$BP144*$IG144)</f>
        <v>0</v>
      </c>
      <c r="CY144" s="132">
        <f ca="1">IF(OFFSET(BG144,1,0,1,1)&lt;&gt;0,$BP144*SUMIFS(RZ[Úroveň 10 bez koef. (P2)],RZ[0],AX144,RZ[Úroveň 2 (P0)],AY144,RZ[Úroveň 3 (P0)],AZ144,RZ[Úroveň 4 (P0)],BA144,RZ[Úroveň 5 (P0)],BB144,RZ[Úroveň 6 (P0)],BC144,RZ[Úroveň 7 (P0)],BD144,RZ[Úroveň 8 (P0)],BE144,RZ[Úroveň 9 (P0)],BF144),$BP144*$IG144)</f>
        <v>0</v>
      </c>
      <c r="CZ144" s="138">
        <f>RZ[[#This Row],[Úroveň 10 s koef. (P2a)]]*RZ[[#This Row],[Počet MJHR (P0)]]</f>
        <v>0</v>
      </c>
      <c r="DA144" s="138">
        <f>RZ[Úroveň 10 bez koef. (P2a)]*RZ[[#This Row],[Počet MJHR (P0)]]</f>
        <v>0</v>
      </c>
      <c r="DB144" s="138">
        <f>RZ[[#This Row],[Koeficient odhadu HR '[-'] (P1)]]*$BQ144*IG144</f>
        <v>0</v>
      </c>
      <c r="DC144" s="231">
        <f t="shared" si="37"/>
        <v>0</v>
      </c>
      <c r="DD144" s="241">
        <f t="shared" ca="1" si="120"/>
        <v>0.01</v>
      </c>
      <c r="DE144" s="229">
        <f t="shared" ca="1" si="121"/>
        <v>0.01</v>
      </c>
      <c r="DF144" s="521">
        <f t="shared" si="40"/>
        <v>0</v>
      </c>
      <c r="DG144" s="522">
        <f t="shared" si="41"/>
        <v>1</v>
      </c>
      <c r="DH144" s="522">
        <f t="shared" si="42"/>
        <v>0</v>
      </c>
      <c r="DI144" s="523">
        <f t="shared" si="43"/>
        <v>0</v>
      </c>
      <c r="DJ144" s="524">
        <f t="shared" si="44"/>
        <v>0</v>
      </c>
      <c r="DK144" s="524">
        <f t="shared" si="45"/>
        <v>0</v>
      </c>
      <c r="DL144" s="524">
        <f t="shared" si="46"/>
        <v>0</v>
      </c>
      <c r="DM144" s="524">
        <f t="shared" si="47"/>
        <v>0</v>
      </c>
      <c r="DN144" s="524">
        <f t="shared" si="48"/>
        <v>0</v>
      </c>
      <c r="DO144" s="523">
        <f t="shared" si="49"/>
        <v>0</v>
      </c>
      <c r="DP144" s="525">
        <f ca="1">SUMIFS(RZ[Úroveň 1 (P4)],RZ[0],AX144)</f>
        <v>1</v>
      </c>
      <c r="DQ144" s="525">
        <f ca="1">SUMIFS(RZ[Úroveň 2 (P4)],RZ[0],AX144,RZ[Úroveň 2 (P0)],AY144)</f>
        <v>1</v>
      </c>
      <c r="DR144" s="525">
        <f ca="1">SUMIFS(RZ[Úroveň 3 (P4)],RZ[0],AX144,RZ[Úroveň 2 (P0)],AY144,RZ[Úroveň 3 (P0)],AZ144)</f>
        <v>0</v>
      </c>
      <c r="DS144" s="525">
        <f ca="1">SUMIFS(RZ[Úroveň 4 (P4)],RZ[0],AX144,RZ[Úroveň 2 (P0)],AY144,RZ[Úroveň 3 (P0)],AZ144,RZ[Úroveň 4 (P0)],BA144)</f>
        <v>0</v>
      </c>
      <c r="DT144" s="526">
        <f ca="1">SUMIFS(RZ[Úroveň 5 (P4)],RZ[0],AX144,RZ[Úroveň 2 (P0)],AY144,RZ[Úroveň 3 (P0)],AZ144,RZ[Úroveň 4 (P0)],BA144,RZ[Úroveň 5 (P0)],BB144)</f>
        <v>0</v>
      </c>
      <c r="DU144" s="526">
        <f ca="1">SUMIFS(RZ[Úroveň 6 (P4)],RZ[0],AX144,RZ[Úroveň 2 (P0)],AY144,RZ[Úroveň 3 (P0)],AZ144,RZ[Úroveň 4 (P0)],BA144,RZ[Úroveň 5 (P0)],BB144,RZ[Úroveň 6 (P0)],BC144)</f>
        <v>0</v>
      </c>
      <c r="DV144" s="526">
        <f ca="1">SUMIFS(RZ[Úroveň 7 (P4)],RZ[0],AX144,RZ[Úroveň 2 (P0)],AY144,RZ[Úroveň 3 (P0)],AZ144,RZ[Úroveň 4 (P0)],BA144,RZ[Úroveň 5 (P0)],BB144,RZ[Úroveň 6 (P0)],BC144,RZ[Úroveň 7 (P0)],BD144)</f>
        <v>0</v>
      </c>
      <c r="DW144" s="526">
        <f ca="1">SUMIFS(RZ[Úroveň 8 (P4)],RZ[0],AX144,RZ[Úroveň 2 (P0)],AY144,RZ[Úroveň 3 (P0)],AZ144,RZ[Úroveň 4 (P0)],BA144,RZ[Úroveň 5 (P0)],BB144,RZ[Úroveň 6 (P0)],BC144,RZ[Úroveň 7 (P0)],BD144,RZ[Úroveň 8 (P0)],BE144)</f>
        <v>0</v>
      </c>
      <c r="DX144" s="526">
        <f ca="1">SUMIFS(RZ[Úroveň 9 (P4)],RZ[0],AX144,RZ[Úroveň 2 (P0)],AY144,RZ[Úroveň 3 (P0)],AZ144,RZ[Úroveň 4 (P0)],BA144,RZ[Úroveň 5 (P0)],BB144,RZ[Úroveň 6 (P0)],BC144,RZ[Úroveň 7 (P0)],BD144,RZ[Úroveň 8 (P0)],BE144,RZ[Úroveň 9 (P0)],BF144)</f>
        <v>0</v>
      </c>
      <c r="DY144" s="526">
        <f ca="1">SUMIFS(RZ[Úroveň 10 (P4)],RZ[0],AX144,RZ[Úroveň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DZ144" s="527">
        <f t="shared" ca="1" si="122"/>
        <v>1</v>
      </c>
      <c r="EA144" s="528">
        <f ca="1">RZ[[#This Row],[Jednotková hmotnost bez koef. '[kg/MJHR'] (P0)]]*RZ[[#This Row],[Počet MJHR v rozpadu (P0)]]</f>
        <v>0.01</v>
      </c>
      <c r="EB144" s="191">
        <f ca="1">IF(OFFSET(AY144,1,0,1,1)&lt;&gt;0,RZ[[#This Row],[Koeficient odhadu CR '[-'] (P1)]]*$BH144*SUMIFS(RZ[Úroveň 2 s koef. (P3)],RZ[0],AX144),RZ[[#This Row],[Koeficient odhadu CR '[-'] (P1)]]*$BH144*$IQ144)</f>
        <v>0</v>
      </c>
      <c r="EC144" s="191">
        <f ca="1">IF(OFFSET(AY144,1,0,1,1)&lt;&gt;0,$BH144*SUMIFS(RZ[Úroveň 2 bez koef. (P3)],RZ[0],AX144),$BH144*$IQ144)</f>
        <v>0</v>
      </c>
      <c r="ED144" s="140">
        <f ca="1">RZ[[#This Row],[Úroveň 2 s koef. (P3a)]]*RZ[[#This Row],[Počet MJCR (P0) pro "kg"]]</f>
        <v>1500000</v>
      </c>
      <c r="EE144" s="140">
        <f ca="1">RZ[Úroveň 2 bez koef. (P3a)]*RZ[[#This Row],[Počet MJCR (P0) pro "kg"]]</f>
        <v>1500000</v>
      </c>
      <c r="EF144" s="140">
        <f ca="1">IF(OFFSET(AZ144,1,0,1,1)&lt;&gt;0,RZ[[#This Row],[Koeficient odhadu CR '[-'] (P1)]]*$BI144*SUMIFS(RZ[Úroveň 3 s koef. (P3)],RZ[0],AX144,RZ[Úroveň 2 (P0)],AY144),RZ[[#This Row],[Koeficient odhadu CR '[-'] (P1)]]*$BI144*$IQ144)</f>
        <v>1500000</v>
      </c>
      <c r="EG144" s="140">
        <f ca="1">IF(OFFSET(AZ144,1,0,1,1)&lt;&gt;0,$BI144*SUMIFS(RZ[Úroveň 3 bez koef. (P3)],RZ[0],AX144,RZ[Úroveň 2 (P0)],AY144),$BI144*$IQ144)</f>
        <v>1500000</v>
      </c>
      <c r="EH144" s="135">
        <f ca="1">RZ[[#This Row],[Úroveň 3 s koef. (P3a)]]*RZ[[#This Row],[Počet MJCR (P0) pro "kg"]]</f>
        <v>0</v>
      </c>
      <c r="EI144" s="135">
        <f ca="1">RZ[Úroveň 3 bez koef. (P3a)]*RZ[[#This Row],[Počet MJCR (P0) pro "kg"]]</f>
        <v>0</v>
      </c>
      <c r="EJ144" s="135">
        <f ca="1">IF(OFFSET(BA144,1,0,1,1)&lt;&gt;0,RZ[[#This Row],[Koeficient odhadu CR '[-'] (P1)]]*$BJ144*SUMIFS(RZ[Úroveň 4 s koef. (P3)],RZ[0],AX144,RZ[Úroveň 2 (P0)],AY144,RZ[Úroveň 3 (P0)],AZ144),RZ[[#This Row],[Koeficient odhadu CR '[-'] (P1)]]*$BJ144*$IQ144)</f>
        <v>0</v>
      </c>
      <c r="EK144" s="135">
        <f ca="1">IF(OFFSET(BA144,1,0,1,1)&lt;&gt;0,$BJ144*SUMIFS(RZ[Úroveň 4 bez koef. (P3)],RZ[0],AX144,RZ[Úroveň 2 (P0)],AY144,RZ[Úroveň 3 (P0)],AZ144),$BJ144*$IQ144)</f>
        <v>0</v>
      </c>
      <c r="EL144" s="140">
        <f ca="1">RZ[[#This Row],[Úroveň 4 s koef. (P3a)]]*RZ[[#This Row],[Počet MJCR (P0) pro "kg"]]</f>
        <v>0</v>
      </c>
      <c r="EM144" s="140">
        <f ca="1">RZ[Úroveň 4 bez koef. (P3a)]*RZ[[#This Row],[Počet MJCR (P0) pro "kg"]]</f>
        <v>0</v>
      </c>
      <c r="EN144" s="140">
        <f ca="1">IF(OFFSET(BB144,1,0,1,1)&lt;&gt;0,RZ[[#This Row],[Koeficient odhadu CR '[-'] (P1)]]*$BK144*SUMIFS(RZ[Úroveň 5 s koef. (P3)],RZ[0],AX144,RZ[Úroveň 2 (P0)],AY144,RZ[Úroveň 3 (P0)],AZ144,RZ[Úroveň 4 (P0)],BA144),RZ[[#This Row],[Koeficient odhadu CR '[-'] (P1)]]*$BK144*$IQ144)</f>
        <v>0</v>
      </c>
      <c r="EO144" s="140">
        <f ca="1">IF(OFFSET(BB144,1,0,1,1)&lt;&gt;0,$BK144*SUMIFS(RZ[Úroveň 5 bez koef. (P3)],RZ[0],AX144,RZ[Úroveň 2 (P0)],AY144,RZ[Úroveň 3 (P0)],AZ144,RZ[Úroveň 4 (P0)],BA144),$BK144*$IQ144)</f>
        <v>0</v>
      </c>
      <c r="EP144" s="135">
        <f ca="1">RZ[[#This Row],[Úroveň 5 s koef. (P3a)]]*RZ[[#This Row],[Počet MJCR (P0) pro "kg"]]</f>
        <v>0</v>
      </c>
      <c r="EQ144" s="135">
        <f ca="1">RZ[Úroveň 5 bez koef. (P3a)]*RZ[[#This Row],[Počet MJCR (P0) pro "kg"]]</f>
        <v>0</v>
      </c>
      <c r="ER144" s="135">
        <f ca="1">IF(OFFSET(BC144,1,0,1,1)&lt;&gt;0,RZ[[#This Row],[Koeficient odhadu CR '[-'] (P1)]]*$BL144*SUMIFS(RZ[Úroveň 6 s koef. (P3)],RZ[0],AX144,RZ[Úroveň 2 (P0)],AY144,RZ[Úroveň 3 (P0)],AZ144,RZ[Úroveň 4 (P0)],BA144,RZ[Úroveň 5 (P0)],BB144),RZ[[#This Row],[Koeficient odhadu CR '[-'] (P1)]]*$BL144*$IQ144)</f>
        <v>0</v>
      </c>
      <c r="ES144" s="135">
        <f ca="1">IF(OFFSET(BC144,1,0,1,1)&lt;&gt;0,$BL144*SUMIFS(RZ[Úroveň 6 bez koef. (P3)],RZ[0],AX144,RZ[Úroveň 2 (P0)],AY144,RZ[Úroveň 3 (P0)],AZ144,RZ[Úroveň 4 (P0)],BA144,RZ[Úroveň 5 (P0)],BB144),$BL144*$IQ144)</f>
        <v>0</v>
      </c>
      <c r="ET144" s="140">
        <f ca="1">RZ[[#This Row],[Úroveň 6 s koef. (P3a)]]*RZ[[#This Row],[Počet MJCR (P0) pro "kg"]]</f>
        <v>0</v>
      </c>
      <c r="EU144" s="140">
        <f ca="1">RZ[Úroveň 6 bez koef. (P3a)]*RZ[[#This Row],[Počet MJCR (P0) pro "kg"]]</f>
        <v>0</v>
      </c>
      <c r="EV144" s="140">
        <f ca="1">IF(OFFSET(BD144,1,0,1,1)&lt;&gt;0,RZ[[#This Row],[Koeficient odhadu CR '[-'] (P1)]]*$BM144*SUMIFS(RZ[Úroveň 7 s koef. (P3)],RZ[0],AX144,RZ[Úroveň 2 (P0)],AY144,RZ[Úroveň 3 (P0)],AZ144,RZ[Úroveň 4 (P0)],BA144,RZ[Úroveň 5 (P0)],BB144,RZ[Úroveň 6 (P0)],BC144),RZ[[#This Row],[Koeficient odhadu CR '[-'] (P1)]]*$BM144*$IQ144)</f>
        <v>0</v>
      </c>
      <c r="EW144" s="140">
        <f ca="1">IF(OFFSET(BD144,1,0,1,1)&lt;&gt;0,$BM144*SUMIFS(RZ[Úroveň 7 bez koef. (P3)],RZ[0],AX144,RZ[Úroveň 2 (P0)],AY144,RZ[Úroveň 3 (P0)],AZ144,RZ[Úroveň 4 (P0)],BA144,RZ[Úroveň 5 (P0)],BB144,RZ[Úroveň 6 (P0)],BC144),$BM144*$IQ144)</f>
        <v>0</v>
      </c>
      <c r="EX144" s="135">
        <f ca="1">RZ[[#This Row],[Úroveň 7 s koef. (P3a)]]*RZ[[#This Row],[Počet MJCR (P0) pro "kg"]]</f>
        <v>0</v>
      </c>
      <c r="EY144" s="135">
        <f ca="1">RZ[Úroveň 7 bez koef. (P3a)]*RZ[[#This Row],[Počet MJCR (P0) pro "kg"]]</f>
        <v>0</v>
      </c>
      <c r="EZ144" s="135">
        <f ca="1">IF(OFFSET(BE144,1,0,1,1)&lt;&gt;0,RZ[[#This Row],[Koeficient odhadu CR '[-'] (P1)]]*$BN144*SUMIFS(RZ[Úroveň 8 s koef. (P3)],RZ[0],AX144,RZ[Úroveň 2 (P0)],AY144,RZ[Úroveň 3 (P0)],AZ144,RZ[Úroveň 4 (P0)],BA144,RZ[Úroveň 5 (P0)],BB144,RZ[Úroveň 6 (P0)],BC144,RZ[Úroveň 7 (P0)],BD144),RZ[[#This Row],[Koeficient odhadu CR '[-'] (P1)]]*$BN144*$IQ144)</f>
        <v>0</v>
      </c>
      <c r="FA144" s="135">
        <f ca="1">IF(OFFSET(BE144,1,0,1,1)&lt;&gt;0,$BN144*SUMIFS(RZ[Úroveň 8 bez koef. (P3)],RZ[0],AX144,RZ[Úroveň 2 (P0)],AY144,RZ[Úroveň 3 (P0)],AZ144,RZ[Úroveň 4 (P0)],BA144,RZ[Úroveň 5 (P0)],BB144,RZ[Úroveň 6 (P0)],BC144,RZ[Úroveň 7 (P0)],BD144),$BN144*$IQ144)</f>
        <v>0</v>
      </c>
      <c r="FB144" s="140">
        <f ca="1">RZ[[#This Row],[Úroveň 8 s koef. (P3a)]]*RZ[[#This Row],[Počet MJCR (P0) pro "kg"]]</f>
        <v>0</v>
      </c>
      <c r="FC144" s="140">
        <f ca="1">RZ[Úroveň 8 bez koef. (P3a)]*RZ[[#This Row],[Počet MJCR (P0) pro "kg"]]</f>
        <v>0</v>
      </c>
      <c r="FD144" s="140">
        <f ca="1">IF(OFFSET(BF144,1,0,1,1)&lt;&gt;0,RZ[[#This Row],[Koeficient odhadu CR '[-'] (P1)]]*$BO144*SUMIFS(RZ[Úroveň 9 s koef. (P3)],RZ[0],AX144,RZ[Úroveň 2 (P0)],AY144,RZ[Úroveň 3 (P0)],AZ144,RZ[Úroveň 4 (P0)],BA144,RZ[Úroveň 5 (P0)],BB144,RZ[Úroveň 6 (P0)],BC144,RZ[Úroveň 7 (P0)],BD144,RZ[Úroveň 8 (P0)],BE144),RZ[[#This Row],[Koeficient odhadu CR '[-'] (P1)]]*$BO144*$IQ144)</f>
        <v>0</v>
      </c>
      <c r="FE144" s="140">
        <f ca="1">IF(OFFSET(BF144,1,0,1,1)&lt;&gt;0,$BO144*SUMIFS(RZ[Úroveň 9 bez koef. (P3)],RZ[0],AX144,RZ[Úroveň 2 (P0)],AY144,RZ[Úroveň 3 (P0)],AZ144,RZ[Úroveň 4 (P0)],BA144,RZ[Úroveň 5 (P0)],BB144,RZ[Úroveň 6 (P0)],BC144,RZ[Úroveň 7 (P0)],BD144,RZ[Úroveň 8 (P0)],BE144),$BO144*$IQ144)</f>
        <v>0</v>
      </c>
      <c r="FF144" s="135">
        <f ca="1">RZ[[#This Row],[Úroveň 9 s koef. (P3a)]]*RZ[[#This Row],[Počet MJCR (P0) pro "kg"]]</f>
        <v>0</v>
      </c>
      <c r="FG144" s="135">
        <f ca="1">RZ[Úroveň 9 bez koef. (P3a)]*RZ[[#This Row],[Počet MJCR (P0) pro "kg"]]</f>
        <v>0</v>
      </c>
      <c r="FH144" s="135">
        <f ca="1">IF(OFFSET(BG144,1,0,1,1)&lt;&gt;0,RZ[[#This Row],[Koeficient odhadu CR '[-'] (P1)]]*$BP144*SUMIFS(RZ[Úroveň 10 s koef. (P3)],RZ[0],AX144,RZ[Úroveň 2 (P0)],AY144,RZ[Úroveň 3 (P0)],AZ144,RZ[Úroveň 4 (P0)],BA144,RZ[Úroveň 5 (P0)],BB144,RZ[Úroveň 6 (P0)],BC144,RZ[Úroveň 7 (P0)],BD144,RZ[Úroveň 8 (P0)],BE144,RZ[Úroveň 9 (P0)],BF144),RZ[[#This Row],[Koeficient odhadu CR '[-'] (P1)]]*$BP144*$IQ144)</f>
        <v>0</v>
      </c>
      <c r="FI144" s="135">
        <f ca="1">IF(OFFSET(BG144,1,0,1,1)&lt;&gt;0,$BP144*SUMIFS(RZ[Úroveň 10 bez koef. (P3)],RZ[0],AX144,RZ[Úroveň 2 (P0)],AY144,RZ[Úroveň 3 (P0)],AZ144,RZ[Úroveň 4 (P0)],BA144,RZ[Úroveň 5 (P0)],BB144,RZ[Úroveň 6 (P0)],BC144,RZ[Úroveň 7 (P0)],BD144,RZ[Úroveň 8 (P0)],BE144,RZ[Úroveň 9 (P0)],BF144),$BP144*$IQ144)</f>
        <v>0</v>
      </c>
      <c r="FJ144" s="140">
        <f ca="1">RZ[[#This Row],[Úroveň 10 s koef. (P3a)]]*RZ[[#This Row],[Počet MJCR (P0) pro "kg"]]</f>
        <v>0</v>
      </c>
      <c r="FK144" s="140">
        <f ca="1">RZ[Úroveň 10 bez koef. (P3a)]*RZ[[#This Row],[Počet MJCR (P0) pro "kg"]]</f>
        <v>0</v>
      </c>
      <c r="FL144" s="140">
        <f ca="1">RZ[[#This Row],[Koeficient odhadu CR '[-'] (P1)]]*$BQ144*IQ144</f>
        <v>0</v>
      </c>
      <c r="FM144" s="236">
        <f t="shared" ca="1" si="51"/>
        <v>0</v>
      </c>
      <c r="FN144" s="194">
        <f t="shared" ca="1" si="123"/>
        <v>1500000</v>
      </c>
      <c r="FO144" s="238">
        <f t="shared" ca="1" si="124"/>
        <v>1500000</v>
      </c>
      <c r="FP144" s="191">
        <f t="shared" ca="1" si="54"/>
        <v>0</v>
      </c>
      <c r="FQ144" s="135">
        <f t="shared" ca="1" si="55"/>
        <v>1</v>
      </c>
      <c r="FR144" s="135">
        <f t="shared" ca="1" si="56"/>
        <v>0</v>
      </c>
      <c r="FS144" s="135">
        <f t="shared" ca="1" si="57"/>
        <v>0</v>
      </c>
      <c r="FT144" s="135">
        <f t="shared" ca="1" si="58"/>
        <v>0</v>
      </c>
      <c r="FU144" s="135">
        <f t="shared" ca="1" si="59"/>
        <v>0</v>
      </c>
      <c r="FV144" s="135">
        <f t="shared" ca="1" si="60"/>
        <v>0</v>
      </c>
      <c r="FW144" s="135">
        <f t="shared" ca="1" si="61"/>
        <v>0</v>
      </c>
      <c r="FX144" s="135">
        <f t="shared" ca="1" si="62"/>
        <v>0</v>
      </c>
      <c r="FY144" s="135">
        <f t="shared" ca="1" si="63"/>
        <v>0</v>
      </c>
      <c r="FZ144" s="140">
        <f ca="1">SUMIFS(RZ[Úroveň 1 (P6)],RZ[0],AX144)</f>
        <v>1</v>
      </c>
      <c r="GA144" s="140">
        <f ca="1">SUMIFS(RZ[Úroveň 2 (P6)],RZ[0],AX144,RZ[Úroveň 2 (P0)],AY144)</f>
        <v>1</v>
      </c>
      <c r="GB144" s="140">
        <f ca="1">SUMIFS(RZ[Úroveň 3 (P6)],RZ[0],AX144,RZ[Úroveň 2 (P0)],AY144,RZ[Úroveň 3 (P0)],AZ144)</f>
        <v>0</v>
      </c>
      <c r="GC144" s="140">
        <f ca="1">SUMIFS(RZ[Úroveň 4 (P6)],RZ[0],AX144,RZ[Úroveň 2 (P0)],AY144,RZ[Úroveň 3 (P0)],AZ144,RZ[Úroveň 4 (P0)],BA144)</f>
        <v>0</v>
      </c>
      <c r="GD144" s="140">
        <f ca="1">SUMIFS(RZ[Úroveň 5 (P6)],RZ[0],AX144,RZ[Úroveň 2 (P0)],AY144,RZ[Úroveň 3 (P0)],AZ144,RZ[Úroveň 4 (P0)],BA144,RZ[Úroveň 5 (P0)],BB144)</f>
        <v>0</v>
      </c>
      <c r="GE144" s="140">
        <f ca="1">SUMIFS(RZ[Úroveň 6 (P6)],RZ[0],AX144,RZ[Úroveň 2 (P0)],AY144,RZ[Úroveň 3 (P0)],AZ144,RZ[Úroveň 4 (P0)],BA144,RZ[Úroveň 5 (P0)],BB144,RZ[Úroveň 6 (P0)],BC144)</f>
        <v>0</v>
      </c>
      <c r="GF144" s="140">
        <f ca="1">SUMIFS(RZ[Úroveň 7 (P6)],RZ[0],AX144,RZ[Úroveň 2 (P0)],AY144,RZ[Úroveň 3 (P0)],AZ144,RZ[Úroveň 4 (P0)],BA144,RZ[Úroveň 5 (P0)],BB144,RZ[Úroveň 6 (P0)],BC144,RZ[Úroveň 7 (P0)],BD144)</f>
        <v>0</v>
      </c>
      <c r="GG144" s="140">
        <f ca="1">SUMIFS(RZ[Úroveň 8 (P6)],RZ[0],AX144,RZ[Úroveň 2 (P0)],AY144,RZ[Úroveň 3 (P0)],AZ144,RZ[Úroveň 4 (P0)],BA144,RZ[Úroveň 5 (P0)],BB144,RZ[Úroveň 6 (P0)],BC144,RZ[Úroveň 7 (P0)],BD144,RZ[Úroveň 8 (P0)],BE144)</f>
        <v>0</v>
      </c>
      <c r="GH144" s="140">
        <f ca="1">SUMIFS(RZ[Úroveň 9 (P6)],RZ[0],AX144,RZ[Úroveň 2 (P0)],AY144,RZ[Úroveň 3 (P0)],AZ144,RZ[Úroveň 4 (P0)],BA144,RZ[Úroveň 5 (P0)],BB144,RZ[Úroveň 6 (P0)],BC144,RZ[Úroveň 7 (P0)],BD144,RZ[Úroveň 8 (P0)],BE144,RZ[Úroveň 9 (P0)],BF144)</f>
        <v>0</v>
      </c>
      <c r="GI144" s="140">
        <f ca="1">SUMIFS(RZ[Úroveň 10 (P6)],RZ[0],AX144,RZ[Úroveň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GJ144" s="194">
        <f t="shared" ca="1" si="125"/>
        <v>1</v>
      </c>
      <c r="GK144" s="807">
        <f t="shared" si="65"/>
        <v>0</v>
      </c>
      <c r="GL144" s="808">
        <f t="shared" si="66"/>
        <v>1</v>
      </c>
      <c r="GM144" s="808">
        <f t="shared" si="67"/>
        <v>0</v>
      </c>
      <c r="GN144" s="808">
        <f t="shared" si="68"/>
        <v>0</v>
      </c>
      <c r="GO144" s="808">
        <f t="shared" si="69"/>
        <v>0</v>
      </c>
      <c r="GP144" s="808">
        <f t="shared" si="70"/>
        <v>0</v>
      </c>
      <c r="GQ144" s="808">
        <f t="shared" si="71"/>
        <v>0</v>
      </c>
      <c r="GR144" s="808">
        <f t="shared" si="72"/>
        <v>0</v>
      </c>
      <c r="GS144" s="808">
        <f t="shared" si="73"/>
        <v>0</v>
      </c>
      <c r="GT144" s="808">
        <f t="shared" si="74"/>
        <v>0</v>
      </c>
      <c r="GU144" s="809">
        <f ca="1">SUMIFS(RZ[Sloupec1],RZ[0],AX144)</f>
        <v>1</v>
      </c>
      <c r="GV144" s="809">
        <f ca="1">SUMIFS(RZ[Sloupec2],RZ[0],AX144,RZ[Úroveň 2 (P0)],AY144)</f>
        <v>1</v>
      </c>
      <c r="GW144" s="809">
        <f ca="1">SUMIFS(RZ[Sloupec3],RZ[0],AX144,RZ[Úroveň 2 (P0)],AY144,RZ[Úroveň 3 (P0)],AZ144)</f>
        <v>0</v>
      </c>
      <c r="GX144" s="809">
        <f ca="1">SUMIFS(RZ[Sloupec4],RZ[0],AX144,RZ[Úroveň 2 (P0)],AY144,RZ[Úroveň 3 (P0)],AZ144,RZ[Úroveň 4 (P0)],BA144)</f>
        <v>0</v>
      </c>
      <c r="GY144" s="809">
        <f ca="1">SUMIFS(RZ[Sloupec5],RZ[0],AX144,RZ[Úroveň 2 (P0)],AY144,RZ[Úroveň 3 (P0)],AZ144,RZ[Úroveň 4 (P0)],BA144,RZ[Úroveň 5 (P0)],BB144)</f>
        <v>0</v>
      </c>
      <c r="GZ144" s="809">
        <f ca="1">SUMIFS(RZ[Sloupec6],RZ[0],AX144,RZ[Úroveň 2 (P0)],AY144,RZ[Úroveň 3 (P0)],AZ144,RZ[Úroveň 4 (P0)],BA144,RZ[Úroveň 5 (P0)],BB144,RZ[Úroveň 6 (P0)],BC144)</f>
        <v>0</v>
      </c>
      <c r="HA144" s="809">
        <f ca="1">SUMIFS(RZ[Sloupec62],RZ[0],AX144,RZ[Úroveň 2 (P0)],AY144,RZ[Úroveň 3 (P0)],AZ144,RZ[Úroveň 4 (P0)],BA144,RZ[Úroveň 5 (P0)],BB144,RZ[Úroveň 6 (P0)],BC144,RZ[Úroveň 7 (P0)],BD144)</f>
        <v>0</v>
      </c>
      <c r="HB144" s="809">
        <f ca="1">SUMIFS(RZ[Sloupec63],RZ[0],AX144,RZ[Úroveň 2 (P0)],AY144,RZ[Úroveň 3 (P0)],AZ144,RZ[Úroveň 4 (P0)],BA144,RZ[Úroveň 5 (P0)],BB144,RZ[Úroveň 6 (P0)],BC144,RZ[Úroveň 7 (P0)],BD144,RZ[Úroveň 8 (P0)],BE144)</f>
        <v>0</v>
      </c>
      <c r="HC144" s="809">
        <f ca="1">SUMIFS(RZ[Sloupec64],RZ[0],AX144,RZ[Úroveň 2 (P0)],AY144,RZ[Úroveň 3 (P0)],AZ144,RZ[Úroveň 4 (P0)],BA144,RZ[Úroveň 5 (P0)],BB144,RZ[Úroveň 6 (P0)],BC144,RZ[Úroveň 7 (P0)],BD144,RZ[Úroveň 8 (P0)],BE144,RZ[Úroveň 9 (P0)],BF144)</f>
        <v>0</v>
      </c>
      <c r="HD144" s="809">
        <f ca="1">SUMIFS(RZ[Sloupec65],RZ[0],AX144,RZ[Úroveň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HE144" s="803">
        <f t="shared" ca="1" si="75"/>
        <v>1</v>
      </c>
      <c r="HF144" s="48" t="str">
        <f t="shared" si="76"/>
        <v/>
      </c>
      <c r="HG144" s="94" t="str">
        <f t="shared" si="77"/>
        <v/>
      </c>
      <c r="HH144" s="95" t="str">
        <f t="shared" si="78"/>
        <v>Řídicí systém</v>
      </c>
      <c r="HI144" s="95" t="str">
        <f t="shared" si="79"/>
        <v/>
      </c>
      <c r="HJ144" s="96" t="str">
        <f t="shared" si="80"/>
        <v/>
      </c>
      <c r="HK144" s="96" t="str">
        <f t="shared" si="81"/>
        <v/>
      </c>
      <c r="HL144" s="96" t="str">
        <f t="shared" si="82"/>
        <v/>
      </c>
      <c r="HM144" s="96" t="str">
        <f t="shared" si="83"/>
        <v/>
      </c>
      <c r="HN144" s="96" t="str">
        <f t="shared" si="84"/>
        <v/>
      </c>
      <c r="HO144" s="96" t="str">
        <f t="shared" si="85"/>
        <v/>
      </c>
      <c r="HP144" s="96" t="str">
        <f t="shared" si="86"/>
        <v/>
      </c>
      <c r="HQ144" s="145" t="str">
        <f t="shared" si="87"/>
        <v>ELRS</v>
      </c>
      <c r="HR144" s="175" t="str">
        <f t="shared" si="88"/>
        <v/>
      </c>
      <c r="HS144" s="173">
        <f t="shared" si="89"/>
        <v>0</v>
      </c>
      <c r="HT144" s="99">
        <f t="shared" si="90"/>
        <v>0</v>
      </c>
      <c r="HU144" s="99">
        <f t="shared" si="91"/>
        <v>0</v>
      </c>
      <c r="HV144" s="209" t="str">
        <f t="shared" si="92"/>
        <v>Zajíc</v>
      </c>
      <c r="HW144" s="47">
        <f t="shared" si="93"/>
        <v>0</v>
      </c>
      <c r="HX144" s="46">
        <f t="shared" si="94"/>
        <v>0</v>
      </c>
      <c r="HY144" s="149" t="str">
        <f t="shared" si="95"/>
        <v>S</v>
      </c>
      <c r="HZ144" s="263" t="str">
        <f t="shared" si="96"/>
        <v>N</v>
      </c>
      <c r="IA144" s="150">
        <f t="shared" si="97"/>
        <v>1</v>
      </c>
      <c r="IB144" s="319">
        <f t="shared" si="98"/>
        <v>1500000</v>
      </c>
      <c r="IC144" s="220">
        <f t="shared" si="99"/>
        <v>1</v>
      </c>
      <c r="ID144" s="200" t="str">
        <f t="shared" ca="1" si="100"/>
        <v>OK</v>
      </c>
      <c r="IE144" s="201" t="str">
        <f t="shared" si="101"/>
        <v>ks</v>
      </c>
      <c r="IF144" s="145">
        <f t="shared" si="102"/>
        <v>1</v>
      </c>
      <c r="IG144" s="216">
        <f t="shared" si="103"/>
        <v>0.01</v>
      </c>
      <c r="IH144" s="217">
        <f t="shared" si="126"/>
        <v>1</v>
      </c>
      <c r="II144" s="224" t="str">
        <f ca="1">IF(RZ[[#This Row],[Rozhodný sloupec indikativní ceny]]=1,"kg",IF($IW144=$JL$15,IF(JX144=0,JO144,JX144),IF($IW144=$KE$15,IF(KQ144=0,KH144,KQ144),IF($IW144=$KX$15,IF(LJ144=0,LA144,LJ144),IF($IW144=$LQ$15,IF(MC144=0,LT144,MC144),IF($IW144=$MJ$15,IF(NQ144=0,NH144,NQ144),0))))))</f>
        <v>ks</v>
      </c>
      <c r="IJ144" s="224">
        <f ca="1">IF((BH144+OFFSET(BH144,1,1,1,1))=2,RZ[[#This Row],[Počet MJHR (P0)]],IF((BI144+OFFSET(BI144,1,1,1,1))=2,RZ[[#This Row],[Počet MJHR (P0)]],IF((BJ144+OFFSET(BJ144,1,1,1,1))=2,RZ[[#This Row],[Počet MJHR (P0)]],IF((BK144+OFFSET(BK144,1,1,1,1))=2,RZ[[#This Row],[Počet MJHR (P0)]],IF((BL144+OFFSET(BL144,1,1,1,1))=2,RZ[[#This Row],[Počet MJHR (P0)]],IF((BM144+OFFSET(BM144,1,1,1,1))=2,RZ[[#This Row],[Počet MJHR (P0)]],IF((BN144+OFFSET(BN144,1,1,1,1))=2,RZ[[#This Row],[Počet MJHR (P0)]],IF((BO144+OFFSET(BO144,1,1,1,1))=2,RZ[[#This Row],[Počet MJHR (P0)]],IF((BP144+OFFSET(BP144,1,1,1,1))=2,RZ[[#This Row],[Počet MJHR (P0)]],IF((BQ144+OFFSET(BQ144,1,1,1,1))=2,RZ[[#This Row],[Počet MJHR (P0)]],IF(RZ[[#This Row],[Měrná jednotka CR (MJCR) (P0)]]=RZ[[#This Row],[Měrná jednotka HR '[MJHR'] (P0)]],RZ[[#This Row],[Počet MJHR (P0)]],IF($IW144=$JL$15,JY144,IF($IW144=$KE$15,KR144,IF($IW144=$KX$15,LK144,IF($IW144=$LQ$15,MD144,IF($IW144=$MJ$15,NR144,0))))))))))))))))</f>
        <v>1</v>
      </c>
      <c r="IK1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4" s="330">
        <f ca="1">IF(AND(RZ[[#This Row],[Jednotková cena bez DPH '[cena/MJCR'] (P0)]]=0,RZ[[#This Row],[Indikativní jednotková cena '[CZK/kg'] (P1)]]&lt;&gt;0),1,0)</f>
        <v>0</v>
      </c>
      <c r="IM144" s="217">
        <f ca="1">VLOOKUP(RZ[[#This Row],[Kód položek]],INDIKAT_CENA,2,FALSE)</f>
        <v>0</v>
      </c>
      <c r="IN144" s="222">
        <f ca="1">IF(RZ[[#This Row],[Rozhodný sloupec indikativní ceny]]=1,RZ[[#This Row],[Indikativní jednotková cena '[CZK/kg'] (P1)]],RZ[[#This Row],[Jednotková cena bez DPH '[cena/MJCR'] (P0)]])</f>
        <v>1500000</v>
      </c>
      <c r="IO144" s="222">
        <f t="shared" si="127"/>
        <v>1</v>
      </c>
      <c r="IP144" s="223">
        <f ca="1">IF(RZ[[#This Row],[Rozhodný sloupec indikativní ceny]]=1,1,IF($IW144=$JL$15,KA144,IF($IW144=$KE$15,KT144,IF($IW144=$KX$15,LM144,IF($IW144=$LQ$15,MF144,IF($IW144=$MJ$15,NT144,0))))))</f>
        <v>1</v>
      </c>
      <c r="IQ144" s="225">
        <f ca="1">IF(RZ[[#This Row],[Jednotková cena bez DPH '[cena/MJCR'] (P1)]]="",0,IF(IP144=0,0,(RZ[[#This Row],[Jednotková cena bez DPH '[cena/MJCR'] (P1)]]*VLOOKUP(IP144,$BR$7:$BT$10,3))))</f>
        <v>1500000</v>
      </c>
      <c r="IR144" s="737"/>
      <c r="IS144" s="627">
        <f>IF(HY144=0,"",VLOOKUP(RZ[[#This Row],[Stav Projekce (P0)]],Vstupy!$E$11:'Vstupy'!$E$11:$H$17,4,FALSE))</f>
        <v>100</v>
      </c>
      <c r="IT144" s="628" t="str">
        <f>IF(RZ[[#This Row],[Stav Projekce (P0)]]=0,"",RZ[[#This Row],[Stav Projekce (P0)]])</f>
        <v>S</v>
      </c>
      <c r="IU144" s="628" t="str">
        <f>IF(RZ[[#This Row],[Stav Nákup (P0)]]=0,"",RZ[[#This Row],[Stav Nákup (P0)]])</f>
        <v>N</v>
      </c>
      <c r="IV144" s="636" t="str">
        <f t="shared" si="128"/>
        <v>Zajíc</v>
      </c>
      <c r="IW144" s="641">
        <v>1</v>
      </c>
      <c r="IX144" s="630"/>
      <c r="IY144" s="264"/>
      <c r="IZ144" s="776"/>
      <c r="JA144" s="100" t="s">
        <v>846</v>
      </c>
      <c r="JB144" s="100"/>
      <c r="JC144" s="100"/>
      <c r="JD144" s="100"/>
      <c r="JE144" s="100"/>
      <c r="JF144" s="100"/>
      <c r="JG144" s="100"/>
      <c r="JH144" s="100"/>
      <c r="JI144" s="100"/>
      <c r="JJ144" s="145" t="s">
        <v>847</v>
      </c>
      <c r="JK144" s="529"/>
      <c r="JL144" s="286"/>
      <c r="JM144" s="100"/>
      <c r="JN144" s="100"/>
      <c r="JO144" s="145" t="s">
        <v>35</v>
      </c>
      <c r="JP144" s="117">
        <v>1</v>
      </c>
      <c r="JQ144" s="117">
        <v>0.01</v>
      </c>
      <c r="JR144" s="148">
        <v>1</v>
      </c>
      <c r="JS144" s="145" t="s">
        <v>602</v>
      </c>
      <c r="JT144" s="631"/>
      <c r="JU144" s="148" t="s">
        <v>853</v>
      </c>
      <c r="JV144" s="154"/>
      <c r="JW144" s="145"/>
      <c r="JX144" s="210" t="s">
        <v>35</v>
      </c>
      <c r="JY144" s="117"/>
      <c r="JZ144" s="662">
        <v>1500000</v>
      </c>
      <c r="KA144" s="145">
        <v>1</v>
      </c>
      <c r="KB144" s="148">
        <v>1</v>
      </c>
      <c r="KC144" s="148" t="s">
        <v>611</v>
      </c>
      <c r="KD144" s="644"/>
      <c r="KE144" s="286"/>
      <c r="KF144" s="100"/>
      <c r="KG144" s="100"/>
      <c r="KH144" s="210"/>
      <c r="KI144" s="117"/>
      <c r="KJ144" s="117"/>
      <c r="KK144" s="148"/>
      <c r="KL144" s="145"/>
      <c r="KM144" s="632"/>
      <c r="KN144" s="148"/>
      <c r="KO144" s="154"/>
      <c r="KP144" s="154"/>
      <c r="KQ144" s="210"/>
      <c r="KR144" s="117"/>
      <c r="KS144" s="211"/>
      <c r="KT144" s="145"/>
      <c r="KU144" s="148"/>
      <c r="KV144" s="148"/>
      <c r="KW144" s="265"/>
      <c r="KX144" s="286"/>
      <c r="KY144" s="100"/>
      <c r="KZ144" s="100"/>
      <c r="LA144" s="210"/>
      <c r="LB144" s="117"/>
      <c r="LC144" s="117"/>
      <c r="LD144" s="148"/>
      <c r="LE144" s="145"/>
      <c r="LF144" s="632"/>
      <c r="LG144" s="148"/>
      <c r="LH144" s="154"/>
      <c r="LI144" s="154"/>
      <c r="LJ144" s="154"/>
      <c r="LK144" s="117"/>
      <c r="LL144" s="211"/>
      <c r="LM144" s="210"/>
      <c r="LN144" s="148"/>
      <c r="LO144" s="148"/>
      <c r="LP144" s="265"/>
      <c r="LQ144" s="286"/>
      <c r="LR144" s="100"/>
      <c r="LS144" s="100"/>
      <c r="LT144" s="210"/>
      <c r="LU144" s="117"/>
      <c r="LV144" s="117"/>
      <c r="LW144" s="148"/>
      <c r="LX144" s="145"/>
      <c r="LY144" s="632"/>
      <c r="LZ144" s="148"/>
      <c r="MA144" s="154"/>
      <c r="MB144" s="154"/>
      <c r="MC144" s="145"/>
      <c r="MD144" s="117"/>
      <c r="ME144" s="211"/>
      <c r="MF144" s="210"/>
      <c r="MG144" s="148"/>
      <c r="MH144" s="148"/>
      <c r="MI144" s="265"/>
      <c r="MJ144" s="647"/>
      <c r="MK144" s="264"/>
      <c r="ML144" s="153"/>
      <c r="MM144" s="153"/>
      <c r="MN144" s="153"/>
      <c r="MO144" s="153"/>
      <c r="MP144" s="153"/>
      <c r="MQ144" s="153"/>
      <c r="MR144" s="153"/>
      <c r="MS144" s="99"/>
      <c r="MT144" s="99"/>
      <c r="MU144" s="99"/>
      <c r="MV144" s="99"/>
      <c r="MW144" s="99"/>
      <c r="MX144" s="99"/>
      <c r="MY144" s="153"/>
      <c r="MZ144" s="153"/>
      <c r="NA144" s="153"/>
      <c r="NB144" s="153"/>
      <c r="NC144" s="153"/>
      <c r="ND144" s="153"/>
      <c r="NE144" s="153"/>
      <c r="NF144" s="153"/>
      <c r="NG144" s="153"/>
      <c r="NH144" s="145" t="str">
        <f t="shared" si="823"/>
        <v>ks</v>
      </c>
      <c r="NI144" s="779">
        <f>RZ[[#This Row],[Počet ks (K)]]</f>
        <v>0</v>
      </c>
      <c r="NJ144" s="210">
        <f>RZ[[#This Row],[Hmotnost '[kg/ks'] (K)]]</f>
        <v>0</v>
      </c>
      <c r="NK144" s="153"/>
      <c r="NL144" s="153"/>
      <c r="NM144" s="632"/>
      <c r="NN144" s="153"/>
      <c r="NO144" s="153"/>
      <c r="NP144" s="153"/>
      <c r="NQ144" s="153"/>
      <c r="NR144" s="153"/>
      <c r="NS144" s="153"/>
      <c r="NT144" s="153"/>
      <c r="NU144" s="153"/>
      <c r="NV144" s="148"/>
      <c r="NW144" s="633"/>
    </row>
    <row r="145" spans="2:387" ht="15.95" customHeight="1" thickBot="1" x14ac:dyDescent="0.4">
      <c r="B145" s="118" t="str">
        <f t="shared" si="1"/>
        <v/>
      </c>
      <c r="C1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5" s="262" t="str">
        <f t="shared" si="2"/>
        <v xml:space="preserve">  CMS</v>
      </c>
      <c r="E145" s="120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Row],[Kód položek (P2)]]))))))))))</f>
        <v>SUSM</v>
      </c>
      <c r="F145" s="122" t="str">
        <f t="shared" si="3"/>
        <v>N/A</v>
      </c>
      <c r="G145" s="121" t="str">
        <f t="shared" si="4"/>
        <v/>
      </c>
      <c r="H145" s="122" t="str">
        <f t="shared" si="5"/>
        <v/>
      </c>
      <c r="I145" s="123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HR '[MJHR'] (P0)]]))))))))))</f>
        <v>ks</v>
      </c>
      <c r="J145" s="123">
        <f t="shared" si="6"/>
        <v>1</v>
      </c>
      <c r="K145" s="151">
        <f>RZ[[#This Row],[Koeficient odhadu HR '[-'] (P1)]]</f>
        <v>1</v>
      </c>
      <c r="L145" s="124">
        <f ca="1">RZ[[#This Row],[Jednotková hmotnost s koef. '[kg/MJHR'] (P0)]]</f>
        <v>0.01</v>
      </c>
      <c r="M145" s="124">
        <f t="shared" ca="1" si="7"/>
        <v>0</v>
      </c>
      <c r="N145" s="125">
        <f t="shared" ca="1" si="8"/>
        <v>0.01</v>
      </c>
      <c r="O145" s="125">
        <f t="shared" ca="1" si="9"/>
        <v>0</v>
      </c>
      <c r="P145" s="328" t="str">
        <f t="shared" si="10"/>
        <v/>
      </c>
      <c r="Q145" s="743">
        <f ca="1">RZ[[#This Row],[Počet MJHR v rozpadu (P0)]]</f>
        <v>1</v>
      </c>
      <c r="R145" s="439" t="str">
        <f t="shared" si="11"/>
        <v>Zajíc</v>
      </c>
      <c r="S145" s="129" t="str">
        <f t="shared" si="12"/>
        <v/>
      </c>
      <c r="T145" s="130" t="str">
        <f t="shared" si="13"/>
        <v/>
      </c>
      <c r="U145" s="126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CR (MJCR) (P0)]]))))))))))</f>
        <v>ks</v>
      </c>
      <c r="V145" s="575">
        <f t="shared" ca="1" si="14"/>
        <v>1</v>
      </c>
      <c r="W145" s="322">
        <f>RZ[[#This Row],[Koeficient odhadu CR '[-'] (P1)]]</f>
        <v>1</v>
      </c>
      <c r="X145" s="440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Row],[Jednotková cena bez DPH '[cena/MJCR'] (P1)]]*RZ[[#This Row],[Koeficient odhadu CR '[-']]]))))))))))</f>
        <v>1000000</v>
      </c>
      <c r="Y145" s="440">
        <f t="shared" ca="1" si="108"/>
        <v>0</v>
      </c>
      <c r="Z145" s="142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VLOOKUP(IP145,$BR$7:$BS$11,2,FALSE)))))))))))</f>
        <v>CZK</v>
      </c>
      <c r="AA145" s="811">
        <f t="shared" ca="1" si="16"/>
        <v>1</v>
      </c>
      <c r="AB145" s="814">
        <f ca="1">RZ[[#This Row],[Kumulovaný koeficient v rozpadu (P0)]]</f>
        <v>1</v>
      </c>
      <c r="AC145" s="260"/>
      <c r="AD145" s="510">
        <f ca="1">RZ[[#This Row],[Jednotková cena bez DPH '[cena/MJCR'] s koef. (P0)]]/RZ[[#This Row],[Koeficient odhadu CR '[-']]]*RZ[[#This Row],[Kumulovaný koeficient odhadu CR  '[-']]]</f>
        <v>1000000</v>
      </c>
      <c r="AE145" s="511">
        <f t="shared" ca="1" si="17"/>
        <v>1000000</v>
      </c>
      <c r="AF145" s="512">
        <f ca="1">-IF(ISNUMBER(AA145),RZ[[#This Row],[Celková cena bez DPH (1)]]-RZ[[#This Row],[Jednotková cena bez DPH '[cena/MJCR'] bez koef. (P0)]]*AA145,0)</f>
        <v>0</v>
      </c>
      <c r="AG1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100000000</v>
      </c>
      <c r="AH145" s="261"/>
      <c r="AI145" s="510">
        <f t="shared" ca="1" si="18"/>
        <v>37037.037037037036</v>
      </c>
      <c r="AJ145" s="511">
        <f t="shared" ca="1" si="19"/>
        <v>37037.037037037036</v>
      </c>
      <c r="AK145" s="512">
        <f t="shared" ca="1" si="20"/>
        <v>0</v>
      </c>
      <c r="AL145" s="753">
        <f ca="1">RZ[[#This Row],[Kilogramová cena bez DPH '[cena/kg'] (1)]]/$AK$13</f>
        <v>3703703.7037037038</v>
      </c>
      <c r="AM145" s="261"/>
      <c r="AN145" s="510">
        <f t="shared" ca="1" si="21"/>
        <v>48309.178743961354</v>
      </c>
      <c r="AO145" s="511">
        <f t="shared" ca="1" si="22"/>
        <v>48309.178743961354</v>
      </c>
      <c r="AP145" s="512">
        <f t="shared" ca="1" si="23"/>
        <v>0</v>
      </c>
      <c r="AQ145" s="753">
        <f ca="1">RZ[[#This Row],[Kilogramová cena bez DPH '[cena/kg'] (1)]]/$AP$13</f>
        <v>4830917.8743961351</v>
      </c>
      <c r="AR145" s="261"/>
      <c r="AS145" s="510">
        <f t="shared" ca="1" si="24"/>
        <v>27352.297592997809</v>
      </c>
      <c r="AT145" s="511">
        <f t="shared" ca="1" si="25"/>
        <v>27352.297592997809</v>
      </c>
      <c r="AU145" s="511">
        <f t="shared" ca="1" si="26"/>
        <v>0</v>
      </c>
      <c r="AV145" s="767">
        <f ca="1">RZ[[#This Row],[Kilogramová cena bez DPH '[cena/kg'] (1)]]/$AU$13</f>
        <v>2735229.7592997812</v>
      </c>
      <c r="AW145" s="165"/>
      <c r="AX145" s="110">
        <f t="shared" ca="1" si="27"/>
        <v>2</v>
      </c>
      <c r="AY145" s="55">
        <f t="shared" ca="1" si="28"/>
        <v>28</v>
      </c>
      <c r="AZ145" s="111">
        <f t="shared" ca="1" si="29"/>
        <v>0</v>
      </c>
      <c r="BA145" s="111">
        <f t="shared" ca="1" si="30"/>
        <v>0</v>
      </c>
      <c r="BB145" s="111">
        <f t="shared" ca="1" si="31"/>
        <v>0</v>
      </c>
      <c r="BC145" s="111">
        <f t="shared" ca="1" si="32"/>
        <v>0</v>
      </c>
      <c r="BD145" s="111">
        <f t="shared" ca="1" si="33"/>
        <v>0</v>
      </c>
      <c r="BE145" s="111">
        <f t="shared" ca="1" si="109"/>
        <v>0</v>
      </c>
      <c r="BF145" s="111">
        <f t="shared" ca="1" si="34"/>
        <v>0</v>
      </c>
      <c r="BG145" s="112">
        <f t="shared" ca="1" si="35"/>
        <v>0</v>
      </c>
      <c r="BH145" s="110">
        <f t="shared" si="110"/>
        <v>0</v>
      </c>
      <c r="BI145" s="55">
        <f t="shared" si="111"/>
        <v>1</v>
      </c>
      <c r="BJ145" s="55">
        <f t="shared" si="112"/>
        <v>0</v>
      </c>
      <c r="BK145" s="111">
        <f t="shared" si="113"/>
        <v>0</v>
      </c>
      <c r="BL145" s="111">
        <f t="shared" si="114"/>
        <v>0</v>
      </c>
      <c r="BM145" s="111">
        <f t="shared" si="115"/>
        <v>0</v>
      </c>
      <c r="BN145" s="111">
        <f t="shared" si="116"/>
        <v>0</v>
      </c>
      <c r="BO145" s="111">
        <f t="shared" si="117"/>
        <v>0</v>
      </c>
      <c r="BP145" s="111">
        <f t="shared" si="118"/>
        <v>0</v>
      </c>
      <c r="BQ145" s="112">
        <f t="shared" si="119"/>
        <v>0</v>
      </c>
      <c r="BR145" s="186">
        <f ca="1">IF(OFFSET(AY145,1,0,1,1)&lt;&gt;0,RZ[[#This Row],[Koeficient odhadu HR '[-'] (P1)]]*$BH145*SUMIFS(RZ[Úroveň 2 s koef. (P2)],RZ[0],AX145),RZ[[#This Row],[Koeficient odhadu HR '[-'] (P1)]]*$BH145*$IG145)</f>
        <v>0</v>
      </c>
      <c r="BS145" s="186">
        <f ca="1">IF(OFFSET(AY145,1,0,1,1)&lt;&gt;0,$BH145*SUMIFS(RZ[Úroveň 2 bez koef. (P2)],RZ[0],AX145),$BH145*$IG145)</f>
        <v>0</v>
      </c>
      <c r="BT145" s="138">
        <f ca="1">RZ[[#This Row],[Úroveň 2 s koef. (P2a)]]*RZ[[#This Row],[Počet MJHR (P0)]]</f>
        <v>0.01</v>
      </c>
      <c r="BU145" s="138">
        <f ca="1">RZ[[#This Row],[Úroveň 2 bez koef. (P2a)]]*RZ[[#This Row],[Počet MJHR (P0)]]</f>
        <v>0.01</v>
      </c>
      <c r="BV145" s="138">
        <f ca="1">IF(OFFSET(AZ145,1,0,1,1)&lt;&gt;0,RZ[[#This Row],[Koeficient odhadu HR '[-'] (P1)]]*$BI145*SUMIFS(RZ[Úroveň 3 s koef. (P2)],RZ[0],AX145,RZ[Úroveň 2 (P0)],AY145),RZ[[#This Row],[Koeficient odhadu HR '[-'] (P1)]]*$BI145*$IG145)</f>
        <v>0.01</v>
      </c>
      <c r="BW145" s="138">
        <f ca="1">IF(OFFSET(AZ145,1,0,1,1)&lt;&gt;0,$BI145*SUMIFS(RZ[Úroveň 3 bez koef. (P2)],RZ[0],AX145,RZ[Úroveň 2 (P0)],AY145),$BI145*$IG145)</f>
        <v>0.01</v>
      </c>
      <c r="BX145" s="132">
        <f ca="1">RZ[[#This Row],[Úroveň 3 s koef. (P2a)]]*RZ[[#This Row],[Počet MJHR (P0)]]</f>
        <v>0</v>
      </c>
      <c r="BY145" s="132">
        <f ca="1">RZ[Úroveň 3 bez koef. (P2a)]*RZ[[#This Row],[Počet MJHR (P0)]]</f>
        <v>0</v>
      </c>
      <c r="BZ145" s="132">
        <f ca="1">IF(OFFSET(BA145,1,0,1,1)&lt;&gt;0,RZ[[#This Row],[Koeficient odhadu HR '[-'] (P1)]]*$BJ145*SUMIFS(RZ[Úroveň 4 s koef. (P2)],RZ[0],AX145,RZ[Úroveň 2 (P0)],AY145,RZ[Úroveň 3 (P0)],AZ145),RZ[[#This Row],[Koeficient odhadu HR '[-'] (P1)]]*$BJ145*$IG145)</f>
        <v>0</v>
      </c>
      <c r="CA145" s="132">
        <f ca="1">IF(OFFSET(BA145,1,0,1,1)&lt;&gt;0,$BJ145*SUMIFS(RZ[Úroveň 4 bez koef. (P2)],RZ[0],AX145,RZ[Úroveň 2 (P0)],AY145,RZ[Úroveň 3 (P0)],AZ145),$BJ145*$IG145)</f>
        <v>0</v>
      </c>
      <c r="CB145" s="138">
        <f ca="1">RZ[[#This Row],[Úroveň 4 s koef. (P2a)]]*RZ[[#This Row],[Počet MJHR (P0)]]</f>
        <v>0</v>
      </c>
      <c r="CC145" s="138">
        <f ca="1">RZ[Úroveň 4 bez koef. (P2a)]*RZ[[#This Row],[Počet MJHR (P0)]]</f>
        <v>0</v>
      </c>
      <c r="CD145" s="138">
        <f ca="1">IF(OFFSET(BB145,1,0,1,1)&lt;&gt;0,RZ[[#This Row],[Koeficient odhadu HR '[-'] (P1)]]*$BK145*SUMIFS(RZ[Úroveň 5 s koef. (P2)],RZ[0],AX145,RZ[Úroveň 2 (P0)],AY145,RZ[Úroveň 3 (P0)],AZ145,RZ[Úroveň 4 (P0)],BA145),RZ[[#This Row],[Koeficient odhadu HR '[-'] (P1)]]*$BK145*$IG145)</f>
        <v>0</v>
      </c>
      <c r="CE145" s="138">
        <f ca="1">IF(OFFSET(BB145,1,0,1,1)&lt;&gt;0,$BK145*SUMIFS(RZ[Úroveň 5 bez koef. (P2)],RZ[0],AX145,RZ[Úroveň 2 (P0)],AY145,RZ[Úroveň 3 (P0)],AZ145,RZ[Úroveň 4 (P0)],BA145),$BK145*$IG145)</f>
        <v>0</v>
      </c>
      <c r="CF145" s="132">
        <f ca="1">RZ[[#This Row],[Úroveň 5 s koef. (P2a)]]*RZ[[#This Row],[Počet MJHR (P0)]]</f>
        <v>0</v>
      </c>
      <c r="CG145" s="132">
        <f ca="1">RZ[Úroveň 5 bez koef. (P2a)]*RZ[[#This Row],[Počet MJHR (P0)]]</f>
        <v>0</v>
      </c>
      <c r="CH145" s="132">
        <f ca="1">IF(OFFSET(BC145,1,0,1,1)&lt;&gt;0,RZ[[#This Row],[Koeficient odhadu HR '[-'] (P1)]]*$BL145*SUMIFS(RZ[Úroveň 6 s koef. (P2)],RZ[0],AX145,RZ[Úroveň 2 (P0)],AY145,RZ[Úroveň 3 (P0)],AZ145,RZ[Úroveň 4 (P0)],BA145,RZ[Úroveň 5 (P0)],BB145),RZ[[#This Row],[Koeficient odhadu HR '[-'] (P1)]]*$BL145*$IG145)</f>
        <v>0</v>
      </c>
      <c r="CI145" s="132">
        <f ca="1">IF(OFFSET(BC145,1,0,1,1)&lt;&gt;0,$BL145*SUMIFS(RZ[Úroveň 6 bez koef. (P2)],RZ[0],AX145,RZ[Úroveň 2 (P0)],AY145,RZ[Úroveň 3 (P0)],AZ145,RZ[Úroveň 4 (P0)],BA145,RZ[Úroveň 5 (P0)],BB145),$BL145*$IG145)</f>
        <v>0</v>
      </c>
      <c r="CJ145" s="138">
        <f ca="1">RZ[[#This Row],[Úroveň 6 s koef. (P2a)]]*RZ[[#This Row],[Počet MJHR (P0)]]</f>
        <v>0</v>
      </c>
      <c r="CK145" s="138">
        <f ca="1">RZ[Úroveň 6 bez koef. (P2a)]*RZ[[#This Row],[Počet MJHR (P0)]]</f>
        <v>0</v>
      </c>
      <c r="CL145" s="138">
        <f ca="1">IF(OFFSET(BD145,1,0,1,1)&lt;&gt;0,RZ[[#This Row],[Koeficient odhadu HR '[-'] (P1)]]*$BM145*SUMIFS(RZ[Úroveň 7 s koef. (P2)],RZ[0],AX145,RZ[Úroveň 2 (P0)],AY145,RZ[Úroveň 3 (P0)],AZ145,RZ[Úroveň 4 (P0)],BA145,RZ[Úroveň 5 (P0)],BB145,RZ[Úroveň 6 (P0)],BC145),RZ[[#This Row],[Koeficient odhadu HR '[-'] (P1)]]*$BM145*$IG145)</f>
        <v>0</v>
      </c>
      <c r="CM145" s="138">
        <f ca="1">IF(OFFSET(BD145,1,0,1,1)&lt;&gt;0,$BM145*SUMIFS(RZ[Úroveň 7 bez koef. (P2)],RZ[0],AX145,RZ[Úroveň 2 (P0)],AY145,RZ[Úroveň 3 (P0)],AZ145,RZ[Úroveň 4 (P0)],BA145,RZ[Úroveň 5 (P0)],BB145,RZ[Úroveň 6 (P0)],BC145),$BM145*$IG145)</f>
        <v>0</v>
      </c>
      <c r="CN145" s="132">
        <f ca="1">RZ[[#This Row],[Úroveň 7 s koef. (P2a)]]*RZ[[#This Row],[Počet MJHR (P0)]]</f>
        <v>0</v>
      </c>
      <c r="CO145" s="132">
        <f ca="1">RZ[Úroveň 7 bez koef. (P2a)]*RZ[[#This Row],[Počet MJHR (P0)]]</f>
        <v>0</v>
      </c>
      <c r="CP145" s="132">
        <f ca="1">IF(OFFSET(BE145,1,0,1,1)&lt;&gt;0,RZ[[#This Row],[Koeficient odhadu HR '[-'] (P1)]]*$BN145*SUMIFS(RZ[Úroveň 8 s koef. (P2)],RZ[0],AX145,RZ[Úroveň 2 (P0)],AY145,RZ[Úroveň 3 (P0)],AZ145,RZ[Úroveň 4 (P0)],BA145,RZ[Úroveň 5 (P0)],BB145,RZ[Úroveň 6 (P0)],BC145,RZ[Úroveň 7 (P0)],BD145),RZ[[#This Row],[Koeficient odhadu HR '[-'] (P1)]]*$BN145*$IG145)</f>
        <v>0</v>
      </c>
      <c r="CQ145" s="132">
        <f ca="1">IF(OFFSET(BE145,1,0,1,1)&lt;&gt;0,$BN145*SUMIFS(RZ[Úroveň 8 bez koef. (P2)],RZ[0],AX145,RZ[Úroveň 2 (P0)],AY145,RZ[Úroveň 3 (P0)],AZ145,RZ[Úroveň 4 (P0)],BA145,RZ[Úroveň 5 (P0)],BB145,RZ[Úroveň 6 (P0)],BC145,RZ[Úroveň 7 (P0)],BD145),$BN145*$IG145)</f>
        <v>0</v>
      </c>
      <c r="CR145" s="138">
        <f ca="1">RZ[[#This Row],[Úroveň 8 s koef. (P2a)]]*RZ[[#This Row],[Počet MJHR (P0)]]</f>
        <v>0</v>
      </c>
      <c r="CS145" s="138">
        <f ca="1">RZ[Úroveň 8 bez koef. (P2a)]*RZ[[#This Row],[Počet MJHR (P0)]]</f>
        <v>0</v>
      </c>
      <c r="CT145" s="138">
        <f ca="1">IF(OFFSET(BF145,1,0,1,1)&lt;&gt;0,RZ[[#This Row],[Koeficient odhadu HR '[-'] (P1)]]*$BO145*SUMIFS(RZ[Úroveň 9 s koef. (P2)],RZ[0],AX145,RZ[Úroveň 2 (P0)],AY145,RZ[Úroveň 3 (P0)],AZ145,RZ[Úroveň 4 (P0)],BA145,RZ[Úroveň 5 (P0)],BB145,RZ[Úroveň 6 (P0)],BC145,RZ[Úroveň 7 (P0)],BD145,RZ[Úroveň 8 (P0)],BE145),RZ[[#This Row],[Koeficient odhadu HR '[-'] (P1)]]*$BO145*$IG145)</f>
        <v>0</v>
      </c>
      <c r="CU145" s="138">
        <f ca="1">IF(OFFSET(BF145,1,0,1,1)&lt;&gt;0,$BO145*SUMIFS(RZ[Úroveň 9 bez koef. (P2)],RZ[0],AX145,RZ[Úroveň 2 (P0)],AY145,RZ[Úroveň 3 (P0)],AZ145,RZ[Úroveň 4 (P0)],BA145,RZ[Úroveň 5 (P0)],BB145,RZ[Úroveň 6 (P0)],BC145,RZ[Úroveň 7 (P0)],BD145,RZ[Úroveň 8 (P0)],BE145),$BO145*$IG145)</f>
        <v>0</v>
      </c>
      <c r="CV145" s="132">
        <f ca="1">RZ[[#This Row],[Úroveň 9 s koef. (P2a)]]*RZ[[#This Row],[Počet MJHR (P0)]]</f>
        <v>0</v>
      </c>
      <c r="CW145" s="132">
        <f ca="1">RZ[Úroveň 9 bez koef. (P2a)]*RZ[[#This Row],[Počet MJHR (P0)]]</f>
        <v>0</v>
      </c>
      <c r="CX145" s="132">
        <f ca="1">IF(OFFSET(BG145,1,0,1,1)&lt;&gt;0,RZ[[#This Row],[Koeficient odhadu HR '[-'] (P1)]]*$BP145*SUMIFS(RZ[Úroveň 10 s koef. (P2)],RZ[0],AX145,RZ[Úroveň 2 (P0)],AY145,RZ[Úroveň 3 (P0)],AZ145,RZ[Úroveň 4 (P0)],BA145,RZ[Úroveň 5 (P0)],BB145,RZ[Úroveň 6 (P0)],BC145,RZ[Úroveň 7 (P0)],BD145,RZ[Úroveň 8 (P0)],BE145,RZ[Úroveň 9 (P0)],BF145),RZ[[#This Row],[Koeficient odhadu HR '[-'] (P1)]]*$BP145*$IG145)</f>
        <v>0</v>
      </c>
      <c r="CY145" s="132">
        <f ca="1">IF(OFFSET(BG145,1,0,1,1)&lt;&gt;0,$BP145*SUMIFS(RZ[Úroveň 10 bez koef. (P2)],RZ[0],AX145,RZ[Úroveň 2 (P0)],AY145,RZ[Úroveň 3 (P0)],AZ145,RZ[Úroveň 4 (P0)],BA145,RZ[Úroveň 5 (P0)],BB145,RZ[Úroveň 6 (P0)],BC145,RZ[Úroveň 7 (P0)],BD145,RZ[Úroveň 8 (P0)],BE145,RZ[Úroveň 9 (P0)],BF145),$BP145*$IG145)</f>
        <v>0</v>
      </c>
      <c r="CZ145" s="138">
        <f>RZ[[#This Row],[Úroveň 10 s koef. (P2a)]]*RZ[[#This Row],[Počet MJHR (P0)]]</f>
        <v>0</v>
      </c>
      <c r="DA145" s="138">
        <f>RZ[Úroveň 10 bez koef. (P2a)]*RZ[[#This Row],[Počet MJHR (P0)]]</f>
        <v>0</v>
      </c>
      <c r="DB145" s="138">
        <f>RZ[[#This Row],[Koeficient odhadu HR '[-'] (P1)]]*$BQ145*IG145</f>
        <v>0</v>
      </c>
      <c r="DC145" s="231">
        <f t="shared" si="37"/>
        <v>0</v>
      </c>
      <c r="DD145" s="241">
        <f t="shared" ca="1" si="120"/>
        <v>0.01</v>
      </c>
      <c r="DE145" s="229">
        <f t="shared" ca="1" si="121"/>
        <v>0.01</v>
      </c>
      <c r="DF145" s="521">
        <f t="shared" si="40"/>
        <v>0</v>
      </c>
      <c r="DG145" s="522">
        <f t="shared" si="41"/>
        <v>1</v>
      </c>
      <c r="DH145" s="522">
        <f t="shared" si="42"/>
        <v>0</v>
      </c>
      <c r="DI145" s="523">
        <f t="shared" si="43"/>
        <v>0</v>
      </c>
      <c r="DJ145" s="524">
        <f t="shared" si="44"/>
        <v>0</v>
      </c>
      <c r="DK145" s="524">
        <f t="shared" si="45"/>
        <v>0</v>
      </c>
      <c r="DL145" s="524">
        <f t="shared" si="46"/>
        <v>0</v>
      </c>
      <c r="DM145" s="524">
        <f t="shared" si="47"/>
        <v>0</v>
      </c>
      <c r="DN145" s="524">
        <f t="shared" si="48"/>
        <v>0</v>
      </c>
      <c r="DO145" s="523">
        <f t="shared" si="49"/>
        <v>0</v>
      </c>
      <c r="DP145" s="525">
        <f ca="1">SUMIFS(RZ[Úroveň 1 (P4)],RZ[0],AX145)</f>
        <v>1</v>
      </c>
      <c r="DQ145" s="525">
        <f ca="1">SUMIFS(RZ[Úroveň 2 (P4)],RZ[0],AX145,RZ[Úroveň 2 (P0)],AY145)</f>
        <v>1</v>
      </c>
      <c r="DR145" s="525">
        <f ca="1">SUMIFS(RZ[Úroveň 3 (P4)],RZ[0],AX145,RZ[Úroveň 2 (P0)],AY145,RZ[Úroveň 3 (P0)],AZ145)</f>
        <v>0</v>
      </c>
      <c r="DS145" s="525">
        <f ca="1">SUMIFS(RZ[Úroveň 4 (P4)],RZ[0],AX145,RZ[Úroveň 2 (P0)],AY145,RZ[Úroveň 3 (P0)],AZ145,RZ[Úroveň 4 (P0)],BA145)</f>
        <v>0</v>
      </c>
      <c r="DT145" s="526">
        <f ca="1">SUMIFS(RZ[Úroveň 5 (P4)],RZ[0],AX145,RZ[Úroveň 2 (P0)],AY145,RZ[Úroveň 3 (P0)],AZ145,RZ[Úroveň 4 (P0)],BA145,RZ[Úroveň 5 (P0)],BB145)</f>
        <v>0</v>
      </c>
      <c r="DU145" s="526">
        <f ca="1">SUMIFS(RZ[Úroveň 6 (P4)],RZ[0],AX145,RZ[Úroveň 2 (P0)],AY145,RZ[Úroveň 3 (P0)],AZ145,RZ[Úroveň 4 (P0)],BA145,RZ[Úroveň 5 (P0)],BB145,RZ[Úroveň 6 (P0)],BC145)</f>
        <v>0</v>
      </c>
      <c r="DV145" s="526">
        <f ca="1">SUMIFS(RZ[Úroveň 7 (P4)],RZ[0],AX145,RZ[Úroveň 2 (P0)],AY145,RZ[Úroveň 3 (P0)],AZ145,RZ[Úroveň 4 (P0)],BA145,RZ[Úroveň 5 (P0)],BB145,RZ[Úroveň 6 (P0)],BC145,RZ[Úroveň 7 (P0)],BD145)</f>
        <v>0</v>
      </c>
      <c r="DW145" s="526">
        <f ca="1">SUMIFS(RZ[Úroveň 8 (P4)],RZ[0],AX145,RZ[Úroveň 2 (P0)],AY145,RZ[Úroveň 3 (P0)],AZ145,RZ[Úroveň 4 (P0)],BA145,RZ[Úroveň 5 (P0)],BB145,RZ[Úroveň 6 (P0)],BC145,RZ[Úroveň 7 (P0)],BD145,RZ[Úroveň 8 (P0)],BE145)</f>
        <v>0</v>
      </c>
      <c r="DX145" s="526">
        <f ca="1">SUMIFS(RZ[Úroveň 9 (P4)],RZ[0],AX145,RZ[Úroveň 2 (P0)],AY145,RZ[Úroveň 3 (P0)],AZ145,RZ[Úroveň 4 (P0)],BA145,RZ[Úroveň 5 (P0)],BB145,RZ[Úroveň 6 (P0)],BC145,RZ[Úroveň 7 (P0)],BD145,RZ[Úroveň 8 (P0)],BE145,RZ[Úroveň 9 (P0)],BF145)</f>
        <v>0</v>
      </c>
      <c r="DY145" s="526">
        <f ca="1">SUMIFS(RZ[Úroveň 10 (P4)],RZ[0],AX145,RZ[Úroveň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DZ145" s="527">
        <f t="shared" ca="1" si="122"/>
        <v>1</v>
      </c>
      <c r="EA145" s="528">
        <f ca="1">RZ[[#This Row],[Jednotková hmotnost bez koef. '[kg/MJHR'] (P0)]]*RZ[[#This Row],[Počet MJHR v rozpadu (P0)]]</f>
        <v>0.01</v>
      </c>
      <c r="EB145" s="191">
        <f ca="1">IF(OFFSET(AY145,1,0,1,1)&lt;&gt;0,RZ[[#This Row],[Koeficient odhadu CR '[-'] (P1)]]*$BH145*SUMIFS(RZ[Úroveň 2 s koef. (P3)],RZ[0],AX145),RZ[[#This Row],[Koeficient odhadu CR '[-'] (P1)]]*$BH145*$IQ145)</f>
        <v>0</v>
      </c>
      <c r="EC145" s="191">
        <f ca="1">IF(OFFSET(AY145,1,0,1,1)&lt;&gt;0,$BH145*SUMIFS(RZ[Úroveň 2 bez koef. (P3)],RZ[0],AX145),$BH145*$IQ145)</f>
        <v>0</v>
      </c>
      <c r="ED145" s="140">
        <f ca="1">RZ[[#This Row],[Úroveň 2 s koef. (P3a)]]*RZ[[#This Row],[Počet MJCR (P0) pro "kg"]]</f>
        <v>1000000</v>
      </c>
      <c r="EE145" s="140">
        <f ca="1">RZ[Úroveň 2 bez koef. (P3a)]*RZ[[#This Row],[Počet MJCR (P0) pro "kg"]]</f>
        <v>1000000</v>
      </c>
      <c r="EF145" s="140">
        <f ca="1">IF(OFFSET(AZ145,1,0,1,1)&lt;&gt;0,RZ[[#This Row],[Koeficient odhadu CR '[-'] (P1)]]*$BI145*SUMIFS(RZ[Úroveň 3 s koef. (P3)],RZ[0],AX145,RZ[Úroveň 2 (P0)],AY145),RZ[[#This Row],[Koeficient odhadu CR '[-'] (P1)]]*$BI145*$IQ145)</f>
        <v>1000000</v>
      </c>
      <c r="EG145" s="140">
        <f ca="1">IF(OFFSET(AZ145,1,0,1,1)&lt;&gt;0,$BI145*SUMIFS(RZ[Úroveň 3 bez koef. (P3)],RZ[0],AX145,RZ[Úroveň 2 (P0)],AY145),$BI145*$IQ145)</f>
        <v>1000000</v>
      </c>
      <c r="EH145" s="135">
        <f ca="1">RZ[[#This Row],[Úroveň 3 s koef. (P3a)]]*RZ[[#This Row],[Počet MJCR (P0) pro "kg"]]</f>
        <v>0</v>
      </c>
      <c r="EI145" s="135">
        <f ca="1">RZ[Úroveň 3 bez koef. (P3a)]*RZ[[#This Row],[Počet MJCR (P0) pro "kg"]]</f>
        <v>0</v>
      </c>
      <c r="EJ145" s="135">
        <f ca="1">IF(OFFSET(BA145,1,0,1,1)&lt;&gt;0,RZ[[#This Row],[Koeficient odhadu CR '[-'] (P1)]]*$BJ145*SUMIFS(RZ[Úroveň 4 s koef. (P3)],RZ[0],AX145,RZ[Úroveň 2 (P0)],AY145,RZ[Úroveň 3 (P0)],AZ145),RZ[[#This Row],[Koeficient odhadu CR '[-'] (P1)]]*$BJ145*$IQ145)</f>
        <v>0</v>
      </c>
      <c r="EK145" s="135">
        <f ca="1">IF(OFFSET(BA145,1,0,1,1)&lt;&gt;0,$BJ145*SUMIFS(RZ[Úroveň 4 bez koef. (P3)],RZ[0],AX145,RZ[Úroveň 2 (P0)],AY145,RZ[Úroveň 3 (P0)],AZ145),$BJ145*$IQ145)</f>
        <v>0</v>
      </c>
      <c r="EL145" s="140">
        <f ca="1">RZ[[#This Row],[Úroveň 4 s koef. (P3a)]]*RZ[[#This Row],[Počet MJCR (P0) pro "kg"]]</f>
        <v>0</v>
      </c>
      <c r="EM145" s="140">
        <f ca="1">RZ[Úroveň 4 bez koef. (P3a)]*RZ[[#This Row],[Počet MJCR (P0) pro "kg"]]</f>
        <v>0</v>
      </c>
      <c r="EN145" s="140">
        <f ca="1">IF(OFFSET(BB145,1,0,1,1)&lt;&gt;0,RZ[[#This Row],[Koeficient odhadu CR '[-'] (P1)]]*$BK145*SUMIFS(RZ[Úroveň 5 s koef. (P3)],RZ[0],AX145,RZ[Úroveň 2 (P0)],AY145,RZ[Úroveň 3 (P0)],AZ145,RZ[Úroveň 4 (P0)],BA145),RZ[[#This Row],[Koeficient odhadu CR '[-'] (P1)]]*$BK145*$IQ145)</f>
        <v>0</v>
      </c>
      <c r="EO145" s="140">
        <f ca="1">IF(OFFSET(BB145,1,0,1,1)&lt;&gt;0,$BK145*SUMIFS(RZ[Úroveň 5 bez koef. (P3)],RZ[0],AX145,RZ[Úroveň 2 (P0)],AY145,RZ[Úroveň 3 (P0)],AZ145,RZ[Úroveň 4 (P0)],BA145),$BK145*$IQ145)</f>
        <v>0</v>
      </c>
      <c r="EP145" s="135">
        <f ca="1">RZ[[#This Row],[Úroveň 5 s koef. (P3a)]]*RZ[[#This Row],[Počet MJCR (P0) pro "kg"]]</f>
        <v>0</v>
      </c>
      <c r="EQ145" s="135">
        <f ca="1">RZ[Úroveň 5 bez koef. (P3a)]*RZ[[#This Row],[Počet MJCR (P0) pro "kg"]]</f>
        <v>0</v>
      </c>
      <c r="ER145" s="135">
        <f ca="1">IF(OFFSET(BC145,1,0,1,1)&lt;&gt;0,RZ[[#This Row],[Koeficient odhadu CR '[-'] (P1)]]*$BL145*SUMIFS(RZ[Úroveň 6 s koef. (P3)],RZ[0],AX145,RZ[Úroveň 2 (P0)],AY145,RZ[Úroveň 3 (P0)],AZ145,RZ[Úroveň 4 (P0)],BA145,RZ[Úroveň 5 (P0)],BB145),RZ[[#This Row],[Koeficient odhadu CR '[-'] (P1)]]*$BL145*$IQ145)</f>
        <v>0</v>
      </c>
      <c r="ES145" s="135">
        <f ca="1">IF(OFFSET(BC145,1,0,1,1)&lt;&gt;0,$BL145*SUMIFS(RZ[Úroveň 6 bez koef. (P3)],RZ[0],AX145,RZ[Úroveň 2 (P0)],AY145,RZ[Úroveň 3 (P0)],AZ145,RZ[Úroveň 4 (P0)],BA145,RZ[Úroveň 5 (P0)],BB145),$BL145*$IQ145)</f>
        <v>0</v>
      </c>
      <c r="ET145" s="140">
        <f ca="1">RZ[[#This Row],[Úroveň 6 s koef. (P3a)]]*RZ[[#This Row],[Počet MJCR (P0) pro "kg"]]</f>
        <v>0</v>
      </c>
      <c r="EU145" s="140">
        <f ca="1">RZ[Úroveň 6 bez koef. (P3a)]*RZ[[#This Row],[Počet MJCR (P0) pro "kg"]]</f>
        <v>0</v>
      </c>
      <c r="EV145" s="140">
        <f ca="1">IF(OFFSET(BD145,1,0,1,1)&lt;&gt;0,RZ[[#This Row],[Koeficient odhadu CR '[-'] (P1)]]*$BM145*SUMIFS(RZ[Úroveň 7 s koef. (P3)],RZ[0],AX145,RZ[Úroveň 2 (P0)],AY145,RZ[Úroveň 3 (P0)],AZ145,RZ[Úroveň 4 (P0)],BA145,RZ[Úroveň 5 (P0)],BB145,RZ[Úroveň 6 (P0)],BC145),RZ[[#This Row],[Koeficient odhadu CR '[-'] (P1)]]*$BM145*$IQ145)</f>
        <v>0</v>
      </c>
      <c r="EW145" s="140">
        <f ca="1">IF(OFFSET(BD145,1,0,1,1)&lt;&gt;0,$BM145*SUMIFS(RZ[Úroveň 7 bez koef. (P3)],RZ[0],AX145,RZ[Úroveň 2 (P0)],AY145,RZ[Úroveň 3 (P0)],AZ145,RZ[Úroveň 4 (P0)],BA145,RZ[Úroveň 5 (P0)],BB145,RZ[Úroveň 6 (P0)],BC145),$BM145*$IQ145)</f>
        <v>0</v>
      </c>
      <c r="EX145" s="135">
        <f ca="1">RZ[[#This Row],[Úroveň 7 s koef. (P3a)]]*RZ[[#This Row],[Počet MJCR (P0) pro "kg"]]</f>
        <v>0</v>
      </c>
      <c r="EY145" s="135">
        <f ca="1">RZ[Úroveň 7 bez koef. (P3a)]*RZ[[#This Row],[Počet MJCR (P0) pro "kg"]]</f>
        <v>0</v>
      </c>
      <c r="EZ145" s="135">
        <f ca="1">IF(OFFSET(BE145,1,0,1,1)&lt;&gt;0,RZ[[#This Row],[Koeficient odhadu CR '[-'] (P1)]]*$BN145*SUMIFS(RZ[Úroveň 8 s koef. (P3)],RZ[0],AX145,RZ[Úroveň 2 (P0)],AY145,RZ[Úroveň 3 (P0)],AZ145,RZ[Úroveň 4 (P0)],BA145,RZ[Úroveň 5 (P0)],BB145,RZ[Úroveň 6 (P0)],BC145,RZ[Úroveň 7 (P0)],BD145),RZ[[#This Row],[Koeficient odhadu CR '[-'] (P1)]]*$BN145*$IQ145)</f>
        <v>0</v>
      </c>
      <c r="FA145" s="135">
        <f ca="1">IF(OFFSET(BE145,1,0,1,1)&lt;&gt;0,$BN145*SUMIFS(RZ[Úroveň 8 bez koef. (P3)],RZ[0],AX145,RZ[Úroveň 2 (P0)],AY145,RZ[Úroveň 3 (P0)],AZ145,RZ[Úroveň 4 (P0)],BA145,RZ[Úroveň 5 (P0)],BB145,RZ[Úroveň 6 (P0)],BC145,RZ[Úroveň 7 (P0)],BD145),$BN145*$IQ145)</f>
        <v>0</v>
      </c>
      <c r="FB145" s="140">
        <f ca="1">RZ[[#This Row],[Úroveň 8 s koef. (P3a)]]*RZ[[#This Row],[Počet MJCR (P0) pro "kg"]]</f>
        <v>0</v>
      </c>
      <c r="FC145" s="140">
        <f ca="1">RZ[Úroveň 8 bez koef. (P3a)]*RZ[[#This Row],[Počet MJCR (P0) pro "kg"]]</f>
        <v>0</v>
      </c>
      <c r="FD145" s="140">
        <f ca="1">IF(OFFSET(BF145,1,0,1,1)&lt;&gt;0,RZ[[#This Row],[Koeficient odhadu CR '[-'] (P1)]]*$BO145*SUMIFS(RZ[Úroveň 9 s koef. (P3)],RZ[0],AX145,RZ[Úroveň 2 (P0)],AY145,RZ[Úroveň 3 (P0)],AZ145,RZ[Úroveň 4 (P0)],BA145,RZ[Úroveň 5 (P0)],BB145,RZ[Úroveň 6 (P0)],BC145,RZ[Úroveň 7 (P0)],BD145,RZ[Úroveň 8 (P0)],BE145),RZ[[#This Row],[Koeficient odhadu CR '[-'] (P1)]]*$BO145*$IQ145)</f>
        <v>0</v>
      </c>
      <c r="FE145" s="140">
        <f ca="1">IF(OFFSET(BF145,1,0,1,1)&lt;&gt;0,$BO145*SUMIFS(RZ[Úroveň 9 bez koef. (P3)],RZ[0],AX145,RZ[Úroveň 2 (P0)],AY145,RZ[Úroveň 3 (P0)],AZ145,RZ[Úroveň 4 (P0)],BA145,RZ[Úroveň 5 (P0)],BB145,RZ[Úroveň 6 (P0)],BC145,RZ[Úroveň 7 (P0)],BD145,RZ[Úroveň 8 (P0)],BE145),$BO145*$IQ145)</f>
        <v>0</v>
      </c>
      <c r="FF145" s="135">
        <f ca="1">RZ[[#This Row],[Úroveň 9 s koef. (P3a)]]*RZ[[#This Row],[Počet MJCR (P0) pro "kg"]]</f>
        <v>0</v>
      </c>
      <c r="FG145" s="135">
        <f ca="1">RZ[Úroveň 9 bez koef. (P3a)]*RZ[[#This Row],[Počet MJCR (P0) pro "kg"]]</f>
        <v>0</v>
      </c>
      <c r="FH145" s="135">
        <f ca="1">IF(OFFSET(BG145,1,0,1,1)&lt;&gt;0,RZ[[#This Row],[Koeficient odhadu CR '[-'] (P1)]]*$BP145*SUMIFS(RZ[Úroveň 10 s koef. (P3)],RZ[0],AX145,RZ[Úroveň 2 (P0)],AY145,RZ[Úroveň 3 (P0)],AZ145,RZ[Úroveň 4 (P0)],BA145,RZ[Úroveň 5 (P0)],BB145,RZ[Úroveň 6 (P0)],BC145,RZ[Úroveň 7 (P0)],BD145,RZ[Úroveň 8 (P0)],BE145,RZ[Úroveň 9 (P0)],BF145),RZ[[#This Row],[Koeficient odhadu CR '[-'] (P1)]]*$BP145*$IQ145)</f>
        <v>0</v>
      </c>
      <c r="FI145" s="135">
        <f ca="1">IF(OFFSET(BG145,1,0,1,1)&lt;&gt;0,$BP145*SUMIFS(RZ[Úroveň 10 bez koef. (P3)],RZ[0],AX145,RZ[Úroveň 2 (P0)],AY145,RZ[Úroveň 3 (P0)],AZ145,RZ[Úroveň 4 (P0)],BA145,RZ[Úroveň 5 (P0)],BB145,RZ[Úroveň 6 (P0)],BC145,RZ[Úroveň 7 (P0)],BD145,RZ[Úroveň 8 (P0)],BE145,RZ[Úroveň 9 (P0)],BF145),$BP145*$IQ145)</f>
        <v>0</v>
      </c>
      <c r="FJ145" s="140">
        <f ca="1">RZ[[#This Row],[Úroveň 10 s koef. (P3a)]]*RZ[[#This Row],[Počet MJCR (P0) pro "kg"]]</f>
        <v>0</v>
      </c>
      <c r="FK145" s="140">
        <f ca="1">RZ[Úroveň 10 bez koef. (P3a)]*RZ[[#This Row],[Počet MJCR (P0) pro "kg"]]</f>
        <v>0</v>
      </c>
      <c r="FL145" s="140">
        <f ca="1">RZ[[#This Row],[Koeficient odhadu CR '[-'] (P1)]]*$BQ145*IQ145</f>
        <v>0</v>
      </c>
      <c r="FM145" s="236">
        <f t="shared" ca="1" si="51"/>
        <v>0</v>
      </c>
      <c r="FN145" s="194">
        <f t="shared" ca="1" si="123"/>
        <v>1000000</v>
      </c>
      <c r="FO145" s="238">
        <f t="shared" ca="1" si="124"/>
        <v>1000000</v>
      </c>
      <c r="FP145" s="191">
        <f t="shared" ca="1" si="54"/>
        <v>0</v>
      </c>
      <c r="FQ145" s="135">
        <f t="shared" ca="1" si="55"/>
        <v>1</v>
      </c>
      <c r="FR145" s="135">
        <f t="shared" ca="1" si="56"/>
        <v>0</v>
      </c>
      <c r="FS145" s="135">
        <f t="shared" ca="1" si="57"/>
        <v>0</v>
      </c>
      <c r="FT145" s="135">
        <f t="shared" ca="1" si="58"/>
        <v>0</v>
      </c>
      <c r="FU145" s="135">
        <f t="shared" ca="1" si="59"/>
        <v>0</v>
      </c>
      <c r="FV145" s="135">
        <f t="shared" ca="1" si="60"/>
        <v>0</v>
      </c>
      <c r="FW145" s="135">
        <f t="shared" ca="1" si="61"/>
        <v>0</v>
      </c>
      <c r="FX145" s="135">
        <f t="shared" ca="1" si="62"/>
        <v>0</v>
      </c>
      <c r="FY145" s="135">
        <f t="shared" ca="1" si="63"/>
        <v>0</v>
      </c>
      <c r="FZ145" s="140">
        <f ca="1">SUMIFS(RZ[Úroveň 1 (P6)],RZ[0],AX145)</f>
        <v>1</v>
      </c>
      <c r="GA145" s="140">
        <f ca="1">SUMIFS(RZ[Úroveň 2 (P6)],RZ[0],AX145,RZ[Úroveň 2 (P0)],AY145)</f>
        <v>1</v>
      </c>
      <c r="GB145" s="140">
        <f ca="1">SUMIFS(RZ[Úroveň 3 (P6)],RZ[0],AX145,RZ[Úroveň 2 (P0)],AY145,RZ[Úroveň 3 (P0)],AZ145)</f>
        <v>0</v>
      </c>
      <c r="GC145" s="140">
        <f ca="1">SUMIFS(RZ[Úroveň 4 (P6)],RZ[0],AX145,RZ[Úroveň 2 (P0)],AY145,RZ[Úroveň 3 (P0)],AZ145,RZ[Úroveň 4 (P0)],BA145)</f>
        <v>0</v>
      </c>
      <c r="GD145" s="140">
        <f ca="1">SUMIFS(RZ[Úroveň 5 (P6)],RZ[0],AX145,RZ[Úroveň 2 (P0)],AY145,RZ[Úroveň 3 (P0)],AZ145,RZ[Úroveň 4 (P0)],BA145,RZ[Úroveň 5 (P0)],BB145)</f>
        <v>0</v>
      </c>
      <c r="GE145" s="140">
        <f ca="1">SUMIFS(RZ[Úroveň 6 (P6)],RZ[0],AX145,RZ[Úroveň 2 (P0)],AY145,RZ[Úroveň 3 (P0)],AZ145,RZ[Úroveň 4 (P0)],BA145,RZ[Úroveň 5 (P0)],BB145,RZ[Úroveň 6 (P0)],BC145)</f>
        <v>0</v>
      </c>
      <c r="GF145" s="140">
        <f ca="1">SUMIFS(RZ[Úroveň 7 (P6)],RZ[0],AX145,RZ[Úroveň 2 (P0)],AY145,RZ[Úroveň 3 (P0)],AZ145,RZ[Úroveň 4 (P0)],BA145,RZ[Úroveň 5 (P0)],BB145,RZ[Úroveň 6 (P0)],BC145,RZ[Úroveň 7 (P0)],BD145)</f>
        <v>0</v>
      </c>
      <c r="GG145" s="140">
        <f ca="1">SUMIFS(RZ[Úroveň 8 (P6)],RZ[0],AX145,RZ[Úroveň 2 (P0)],AY145,RZ[Úroveň 3 (P0)],AZ145,RZ[Úroveň 4 (P0)],BA145,RZ[Úroveň 5 (P0)],BB145,RZ[Úroveň 6 (P0)],BC145,RZ[Úroveň 7 (P0)],BD145,RZ[Úroveň 8 (P0)],BE145)</f>
        <v>0</v>
      </c>
      <c r="GH145" s="140">
        <f ca="1">SUMIFS(RZ[Úroveň 9 (P6)],RZ[0],AX145,RZ[Úroveň 2 (P0)],AY145,RZ[Úroveň 3 (P0)],AZ145,RZ[Úroveň 4 (P0)],BA145,RZ[Úroveň 5 (P0)],BB145,RZ[Úroveň 6 (P0)],BC145,RZ[Úroveň 7 (P0)],BD145,RZ[Úroveň 8 (P0)],BE145,RZ[Úroveň 9 (P0)],BF145)</f>
        <v>0</v>
      </c>
      <c r="GI145" s="140">
        <f ca="1">SUMIFS(RZ[Úroveň 10 (P6)],RZ[0],AX145,RZ[Úroveň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GJ145" s="194">
        <f t="shared" ca="1" si="125"/>
        <v>1</v>
      </c>
      <c r="GK145" s="807">
        <f t="shared" si="65"/>
        <v>0</v>
      </c>
      <c r="GL145" s="808">
        <f t="shared" si="66"/>
        <v>1</v>
      </c>
      <c r="GM145" s="808">
        <f t="shared" si="67"/>
        <v>0</v>
      </c>
      <c r="GN145" s="808">
        <f t="shared" si="68"/>
        <v>0</v>
      </c>
      <c r="GO145" s="808">
        <f t="shared" si="69"/>
        <v>0</v>
      </c>
      <c r="GP145" s="808">
        <f t="shared" si="70"/>
        <v>0</v>
      </c>
      <c r="GQ145" s="808">
        <f t="shared" si="71"/>
        <v>0</v>
      </c>
      <c r="GR145" s="808">
        <f t="shared" si="72"/>
        <v>0</v>
      </c>
      <c r="GS145" s="808">
        <f t="shared" si="73"/>
        <v>0</v>
      </c>
      <c r="GT145" s="808">
        <f t="shared" si="74"/>
        <v>0</v>
      </c>
      <c r="GU145" s="809">
        <f ca="1">SUMIFS(RZ[Sloupec1],RZ[0],AX145)</f>
        <v>1</v>
      </c>
      <c r="GV145" s="809">
        <f ca="1">SUMIFS(RZ[Sloupec2],RZ[0],AX145,RZ[Úroveň 2 (P0)],AY145)</f>
        <v>1</v>
      </c>
      <c r="GW145" s="809">
        <f ca="1">SUMIFS(RZ[Sloupec3],RZ[0],AX145,RZ[Úroveň 2 (P0)],AY145,RZ[Úroveň 3 (P0)],AZ145)</f>
        <v>0</v>
      </c>
      <c r="GX145" s="809">
        <f ca="1">SUMIFS(RZ[Sloupec4],RZ[0],AX145,RZ[Úroveň 2 (P0)],AY145,RZ[Úroveň 3 (P0)],AZ145,RZ[Úroveň 4 (P0)],BA145)</f>
        <v>0</v>
      </c>
      <c r="GY145" s="809">
        <f ca="1">SUMIFS(RZ[Sloupec5],RZ[0],AX145,RZ[Úroveň 2 (P0)],AY145,RZ[Úroveň 3 (P0)],AZ145,RZ[Úroveň 4 (P0)],BA145,RZ[Úroveň 5 (P0)],BB145)</f>
        <v>0</v>
      </c>
      <c r="GZ145" s="809">
        <f ca="1">SUMIFS(RZ[Sloupec6],RZ[0],AX145,RZ[Úroveň 2 (P0)],AY145,RZ[Úroveň 3 (P0)],AZ145,RZ[Úroveň 4 (P0)],BA145,RZ[Úroveň 5 (P0)],BB145,RZ[Úroveň 6 (P0)],BC145)</f>
        <v>0</v>
      </c>
      <c r="HA145" s="809">
        <f ca="1">SUMIFS(RZ[Sloupec62],RZ[0],AX145,RZ[Úroveň 2 (P0)],AY145,RZ[Úroveň 3 (P0)],AZ145,RZ[Úroveň 4 (P0)],BA145,RZ[Úroveň 5 (P0)],BB145,RZ[Úroveň 6 (P0)],BC145,RZ[Úroveň 7 (P0)],BD145)</f>
        <v>0</v>
      </c>
      <c r="HB145" s="809">
        <f ca="1">SUMIFS(RZ[Sloupec63],RZ[0],AX145,RZ[Úroveň 2 (P0)],AY145,RZ[Úroveň 3 (P0)],AZ145,RZ[Úroveň 4 (P0)],BA145,RZ[Úroveň 5 (P0)],BB145,RZ[Úroveň 6 (P0)],BC145,RZ[Úroveň 7 (P0)],BD145,RZ[Úroveň 8 (P0)],BE145)</f>
        <v>0</v>
      </c>
      <c r="HC145" s="809">
        <f ca="1">SUMIFS(RZ[Sloupec64],RZ[0],AX145,RZ[Úroveň 2 (P0)],AY145,RZ[Úroveň 3 (P0)],AZ145,RZ[Úroveň 4 (P0)],BA145,RZ[Úroveň 5 (P0)],BB145,RZ[Úroveň 6 (P0)],BC145,RZ[Úroveň 7 (P0)],BD145,RZ[Úroveň 8 (P0)],BE145,RZ[Úroveň 9 (P0)],BF145)</f>
        <v>0</v>
      </c>
      <c r="HD145" s="809">
        <f ca="1">SUMIFS(RZ[Sloupec65],RZ[0],AX145,RZ[Úroveň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HE145" s="803">
        <f t="shared" ca="1" si="75"/>
        <v>1</v>
      </c>
      <c r="HF145" s="48" t="str">
        <f t="shared" si="76"/>
        <v/>
      </c>
      <c r="HG145" s="94" t="str">
        <f t="shared" si="77"/>
        <v/>
      </c>
      <c r="HH145" s="95" t="str">
        <f t="shared" si="78"/>
        <v>CMS</v>
      </c>
      <c r="HI145" s="95" t="str">
        <f t="shared" si="79"/>
        <v/>
      </c>
      <c r="HJ145" s="96" t="str">
        <f t="shared" si="80"/>
        <v/>
      </c>
      <c r="HK145" s="96" t="str">
        <f t="shared" si="81"/>
        <v/>
      </c>
      <c r="HL145" s="96" t="str">
        <f t="shared" si="82"/>
        <v/>
      </c>
      <c r="HM145" s="96" t="str">
        <f t="shared" si="83"/>
        <v/>
      </c>
      <c r="HN145" s="96" t="str">
        <f t="shared" si="84"/>
        <v/>
      </c>
      <c r="HO145" s="96" t="str">
        <f t="shared" si="85"/>
        <v/>
      </c>
      <c r="HP145" s="96" t="str">
        <f t="shared" si="86"/>
        <v/>
      </c>
      <c r="HQ145" s="145" t="str">
        <f t="shared" si="87"/>
        <v>SUSM</v>
      </c>
      <c r="HR145" s="175" t="str">
        <f t="shared" si="88"/>
        <v/>
      </c>
      <c r="HS145" s="173">
        <f t="shared" si="89"/>
        <v>0</v>
      </c>
      <c r="HT145" s="99">
        <f t="shared" si="90"/>
        <v>0</v>
      </c>
      <c r="HU145" s="99">
        <f t="shared" si="91"/>
        <v>0</v>
      </c>
      <c r="HV145" s="209" t="str">
        <f t="shared" si="92"/>
        <v>Zajíc</v>
      </c>
      <c r="HW145" s="47">
        <f t="shared" si="93"/>
        <v>0</v>
      </c>
      <c r="HX145" s="46">
        <f t="shared" si="94"/>
        <v>0</v>
      </c>
      <c r="HY145" s="149" t="str">
        <f t="shared" si="95"/>
        <v>S</v>
      </c>
      <c r="HZ145" s="263" t="str">
        <f t="shared" si="96"/>
        <v>N</v>
      </c>
      <c r="IA145" s="150">
        <f t="shared" si="97"/>
        <v>1</v>
      </c>
      <c r="IB145" s="319">
        <f t="shared" si="98"/>
        <v>1000000</v>
      </c>
      <c r="IC145" s="220">
        <f t="shared" si="99"/>
        <v>1</v>
      </c>
      <c r="ID145" s="200" t="str">
        <f t="shared" ca="1" si="100"/>
        <v>OK</v>
      </c>
      <c r="IE145" s="201" t="str">
        <f t="shared" si="101"/>
        <v>ks</v>
      </c>
      <c r="IF145" s="145">
        <f t="shared" si="102"/>
        <v>1</v>
      </c>
      <c r="IG145" s="216">
        <f t="shared" si="103"/>
        <v>0.01</v>
      </c>
      <c r="IH145" s="217">
        <f t="shared" si="126"/>
        <v>1</v>
      </c>
      <c r="II145" s="224" t="str">
        <f ca="1">IF(RZ[[#This Row],[Rozhodný sloupec indikativní ceny]]=1,"kg",IF($IW145=$JL$15,IF(JX145=0,JO145,JX145),IF($IW145=$KE$15,IF(KQ145=0,KH145,KQ145),IF($IW145=$KX$15,IF(LJ145=0,LA145,LJ145),IF($IW145=$LQ$15,IF(MC145=0,LT145,MC145),IF($IW145=$MJ$15,IF(NQ145=0,NH145,NQ145),0))))))</f>
        <v>ks</v>
      </c>
      <c r="IJ145" s="224">
        <f ca="1">IF((BH145+OFFSET(BH145,1,1,1,1))=2,RZ[[#This Row],[Počet MJHR (P0)]],IF((BI145+OFFSET(BI145,1,1,1,1))=2,RZ[[#This Row],[Počet MJHR (P0)]],IF((BJ145+OFFSET(BJ145,1,1,1,1))=2,RZ[[#This Row],[Počet MJHR (P0)]],IF((BK145+OFFSET(BK145,1,1,1,1))=2,RZ[[#This Row],[Počet MJHR (P0)]],IF((BL145+OFFSET(BL145,1,1,1,1))=2,RZ[[#This Row],[Počet MJHR (P0)]],IF((BM145+OFFSET(BM145,1,1,1,1))=2,RZ[[#This Row],[Počet MJHR (P0)]],IF((BN145+OFFSET(BN145,1,1,1,1))=2,RZ[[#This Row],[Počet MJHR (P0)]],IF((BO145+OFFSET(BO145,1,1,1,1))=2,RZ[[#This Row],[Počet MJHR (P0)]],IF((BP145+OFFSET(BP145,1,1,1,1))=2,RZ[[#This Row],[Počet MJHR (P0)]],IF((BQ145+OFFSET(BQ145,1,1,1,1))=2,RZ[[#This Row],[Počet MJHR (P0)]],IF(RZ[[#This Row],[Měrná jednotka CR (MJCR) (P0)]]=RZ[[#This Row],[Měrná jednotka HR '[MJHR'] (P0)]],RZ[[#This Row],[Počet MJHR (P0)]],IF($IW145=$JL$15,JY145,IF($IW145=$KE$15,KR145,IF($IW145=$KX$15,LK145,IF($IW145=$LQ$15,MD145,IF($IW145=$MJ$15,NR145,0))))))))))))))))</f>
        <v>1</v>
      </c>
      <c r="IK1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5" s="330">
        <f ca="1">IF(AND(RZ[[#This Row],[Jednotková cena bez DPH '[cena/MJCR'] (P0)]]=0,RZ[[#This Row],[Indikativní jednotková cena '[CZK/kg'] (P1)]]&lt;&gt;0),1,0)</f>
        <v>0</v>
      </c>
      <c r="IM145" s="217">
        <f ca="1">VLOOKUP(RZ[[#This Row],[Kód položek]],INDIKAT_CENA,2,FALSE)</f>
        <v>0</v>
      </c>
      <c r="IN145" s="222">
        <f ca="1">IF(RZ[[#This Row],[Rozhodný sloupec indikativní ceny]]=1,RZ[[#This Row],[Indikativní jednotková cena '[CZK/kg'] (P1)]],RZ[[#This Row],[Jednotková cena bez DPH '[cena/MJCR'] (P0)]])</f>
        <v>1000000</v>
      </c>
      <c r="IO145" s="222">
        <f t="shared" si="127"/>
        <v>1</v>
      </c>
      <c r="IP145" s="223">
        <f ca="1">IF(RZ[[#This Row],[Rozhodný sloupec indikativní ceny]]=1,1,IF($IW145=$JL$15,KA145,IF($IW145=$KE$15,KT145,IF($IW145=$KX$15,LM145,IF($IW145=$LQ$15,MF145,IF($IW145=$MJ$15,NT145,0))))))</f>
        <v>1</v>
      </c>
      <c r="IQ145" s="225">
        <f ca="1">IF(RZ[[#This Row],[Jednotková cena bez DPH '[cena/MJCR'] (P1)]]="",0,IF(IP145=0,0,(RZ[[#This Row],[Jednotková cena bez DPH '[cena/MJCR'] (P1)]]*VLOOKUP(IP145,$BR$7:$BT$10,3))))</f>
        <v>1000000</v>
      </c>
      <c r="IR145" s="737"/>
      <c r="IS145" s="627">
        <f>IF(HY145=0,"",VLOOKUP(RZ[[#This Row],[Stav Projekce (P0)]],Vstupy!$E$11:'Vstupy'!$E$11:$H$17,4,FALSE))</f>
        <v>100</v>
      </c>
      <c r="IT145" s="628" t="str">
        <f>IF(RZ[[#This Row],[Stav Projekce (P0)]]=0,"",RZ[[#This Row],[Stav Projekce (P0)]])</f>
        <v>S</v>
      </c>
      <c r="IU145" s="628" t="str">
        <f>IF(RZ[[#This Row],[Stav Nákup (P0)]]=0,"",RZ[[#This Row],[Stav Nákup (P0)]])</f>
        <v>N</v>
      </c>
      <c r="IV145" s="636" t="str">
        <f t="shared" si="128"/>
        <v>Zajíc</v>
      </c>
      <c r="IW145" s="641">
        <v>1</v>
      </c>
      <c r="IX145" s="630"/>
      <c r="IY145" s="264"/>
      <c r="IZ145" s="776"/>
      <c r="JA145" s="100" t="s">
        <v>202</v>
      </c>
      <c r="JB145" s="100"/>
      <c r="JC145" s="100"/>
      <c r="JD145" s="100"/>
      <c r="JE145" s="100"/>
      <c r="JF145" s="100"/>
      <c r="JG145" s="100"/>
      <c r="JH145" s="100"/>
      <c r="JI145" s="100"/>
      <c r="JJ145" s="145" t="s">
        <v>848</v>
      </c>
      <c r="JK145" s="529"/>
      <c r="JL145" s="286"/>
      <c r="JM145" s="100"/>
      <c r="JN145" s="100"/>
      <c r="JO145" s="145" t="s">
        <v>35</v>
      </c>
      <c r="JP145" s="117">
        <v>1</v>
      </c>
      <c r="JQ145" s="117">
        <v>0.01</v>
      </c>
      <c r="JR145" s="148">
        <v>1</v>
      </c>
      <c r="JS145" s="145" t="s">
        <v>602</v>
      </c>
      <c r="JT145" s="631"/>
      <c r="JU145" s="148" t="s">
        <v>853</v>
      </c>
      <c r="JV145" s="154"/>
      <c r="JW145" s="145"/>
      <c r="JX145" s="210" t="s">
        <v>35</v>
      </c>
      <c r="JY145" s="117"/>
      <c r="JZ145" s="662">
        <v>1000000</v>
      </c>
      <c r="KA145" s="145">
        <v>1</v>
      </c>
      <c r="KB145" s="148">
        <v>1</v>
      </c>
      <c r="KC145" s="148" t="s">
        <v>611</v>
      </c>
      <c r="KD145" s="644"/>
      <c r="KE145" s="286"/>
      <c r="KF145" s="100"/>
      <c r="KG145" s="100"/>
      <c r="KH145" s="210"/>
      <c r="KI145" s="117"/>
      <c r="KJ145" s="117"/>
      <c r="KK145" s="148"/>
      <c r="KL145" s="145"/>
      <c r="KM145" s="632"/>
      <c r="KN145" s="148"/>
      <c r="KO145" s="154"/>
      <c r="KP145" s="154"/>
      <c r="KQ145" s="210"/>
      <c r="KR145" s="117"/>
      <c r="KS145" s="211"/>
      <c r="KT145" s="145"/>
      <c r="KU145" s="148"/>
      <c r="KV145" s="148"/>
      <c r="KW145" s="265"/>
      <c r="KX145" s="286"/>
      <c r="KY145" s="100"/>
      <c r="KZ145" s="100"/>
      <c r="LA145" s="210"/>
      <c r="LB145" s="117"/>
      <c r="LC145" s="117"/>
      <c r="LD145" s="148"/>
      <c r="LE145" s="145"/>
      <c r="LF145" s="632"/>
      <c r="LG145" s="148"/>
      <c r="LH145" s="154"/>
      <c r="LI145" s="154"/>
      <c r="LJ145" s="154"/>
      <c r="LK145" s="117"/>
      <c r="LL145" s="211"/>
      <c r="LM145" s="210"/>
      <c r="LN145" s="148"/>
      <c r="LO145" s="148"/>
      <c r="LP145" s="265"/>
      <c r="LQ145" s="286"/>
      <c r="LR145" s="100"/>
      <c r="LS145" s="100"/>
      <c r="LT145" s="210"/>
      <c r="LU145" s="117"/>
      <c r="LV145" s="117"/>
      <c r="LW145" s="148"/>
      <c r="LX145" s="145"/>
      <c r="LY145" s="632"/>
      <c r="LZ145" s="148"/>
      <c r="MA145" s="154"/>
      <c r="MB145" s="154"/>
      <c r="MC145" s="145"/>
      <c r="MD145" s="117"/>
      <c r="ME145" s="211"/>
      <c r="MF145" s="210"/>
      <c r="MG145" s="148"/>
      <c r="MH145" s="148"/>
      <c r="MI145" s="265"/>
      <c r="MJ145" s="647"/>
      <c r="MK145" s="264"/>
      <c r="ML145" s="153"/>
      <c r="MM145" s="153"/>
      <c r="MN145" s="153"/>
      <c r="MO145" s="153"/>
      <c r="MP145" s="153"/>
      <c r="MQ145" s="153"/>
      <c r="MR145" s="153"/>
      <c r="MS145" s="99"/>
      <c r="MT145" s="99"/>
      <c r="MU145" s="99"/>
      <c r="MV145" s="99"/>
      <c r="MW145" s="99"/>
      <c r="MX145" s="99"/>
      <c r="MY145" s="153"/>
      <c r="MZ145" s="153"/>
      <c r="NA145" s="153"/>
      <c r="NB145" s="153"/>
      <c r="NC145" s="153"/>
      <c r="ND145" s="153"/>
      <c r="NE145" s="153"/>
      <c r="NF145" s="153"/>
      <c r="NG145" s="153"/>
      <c r="NH145" s="145" t="str">
        <f t="shared" si="823"/>
        <v>ks</v>
      </c>
      <c r="NI145" s="779">
        <f>RZ[[#This Row],[Počet ks (K)]]</f>
        <v>0</v>
      </c>
      <c r="NJ145" s="210">
        <f>RZ[[#This Row],[Hmotnost '[kg/ks'] (K)]]</f>
        <v>0</v>
      </c>
      <c r="NK145" s="153"/>
      <c r="NL145" s="153"/>
      <c r="NM145" s="632"/>
      <c r="NN145" s="153"/>
      <c r="NO145" s="153"/>
      <c r="NP145" s="153"/>
      <c r="NQ145" s="153"/>
      <c r="NR145" s="153"/>
      <c r="NS145" s="153"/>
      <c r="NT145" s="153"/>
      <c r="NU145" s="153"/>
      <c r="NV145" s="148"/>
      <c r="NW145" s="633"/>
    </row>
    <row r="146" spans="2:387" ht="15.95" customHeight="1" x14ac:dyDescent="0.35">
      <c r="B146" s="118" t="str">
        <f t="shared" si="1"/>
        <v/>
      </c>
      <c r="C1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6" s="262" t="str">
        <f t="shared" si="2"/>
        <v xml:space="preserve">  Kabina</v>
      </c>
      <c r="E146" s="120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Row],[Kód položek (P2)]]))))))))))</f>
        <v>SUKA</v>
      </c>
      <c r="F146" s="122" t="str">
        <f t="shared" si="3"/>
        <v>N/A</v>
      </c>
      <c r="G146" s="121" t="str">
        <f t="shared" si="4"/>
        <v/>
      </c>
      <c r="H146" s="122" t="str">
        <f t="shared" si="5"/>
        <v/>
      </c>
      <c r="I146" s="123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HR '[MJHR'] (P0)]]))))))))))</f>
        <v>ks</v>
      </c>
      <c r="J146" s="123">
        <f t="shared" si="6"/>
        <v>1</v>
      </c>
      <c r="K146" s="151">
        <f>RZ[[#This Row],[Koeficient odhadu HR '[-'] (P1)]]</f>
        <v>1</v>
      </c>
      <c r="L146" s="124">
        <f ca="1">RZ[[#This Row],[Jednotková hmotnost s koef. '[kg/MJHR'] (P0)]]</f>
        <v>0.01</v>
      </c>
      <c r="M146" s="124">
        <f t="shared" ca="1" si="7"/>
        <v>0</v>
      </c>
      <c r="N146" s="125">
        <f t="shared" ca="1" si="8"/>
        <v>0.01</v>
      </c>
      <c r="O146" s="125">
        <f t="shared" ca="1" si="9"/>
        <v>0</v>
      </c>
      <c r="P146" s="328" t="str">
        <f t="shared" si="10"/>
        <v/>
      </c>
      <c r="Q146" s="743">
        <f ca="1">RZ[[#This Row],[Počet MJHR v rozpadu (P0)]]</f>
        <v>1</v>
      </c>
      <c r="R146" s="439" t="str">
        <f t="shared" si="11"/>
        <v>Zajíc</v>
      </c>
      <c r="S146" s="129" t="str">
        <f t="shared" si="12"/>
        <v/>
      </c>
      <c r="T146" s="130" t="str">
        <f t="shared" si="13"/>
        <v/>
      </c>
      <c r="U146" s="126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CR (MJCR) (P0)]]))))))))))</f>
        <v>ks</v>
      </c>
      <c r="V146" s="575">
        <f t="shared" ca="1" si="14"/>
        <v>1</v>
      </c>
      <c r="W146" s="322">
        <f>RZ[[#This Row],[Koeficient odhadu CR '[-'] (P1)]]</f>
        <v>1</v>
      </c>
      <c r="X146" s="440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Row],[Jednotková cena bez DPH '[cena/MJCR'] (P1)]]*RZ[[#This Row],[Koeficient odhadu CR '[-']]]))))))))))</f>
        <v>800000</v>
      </c>
      <c r="Y146" s="440">
        <f t="shared" ca="1" si="108"/>
        <v>0</v>
      </c>
      <c r="Z146" s="142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VLOOKUP(IP146,$BR$7:$BS$11,2,FALSE)))))))))))</f>
        <v>CZK</v>
      </c>
      <c r="AA146" s="811">
        <f t="shared" ca="1" si="16"/>
        <v>1</v>
      </c>
      <c r="AB146" s="814">
        <f ca="1">RZ[[#This Row],[Kumulovaný koeficient v rozpadu (P0)]]</f>
        <v>1</v>
      </c>
      <c r="AC146" s="260"/>
      <c r="AD146" s="510">
        <f ca="1">RZ[[#This Row],[Jednotková cena bez DPH '[cena/MJCR'] s koef. (P0)]]/RZ[[#This Row],[Koeficient odhadu CR '[-']]]*RZ[[#This Row],[Kumulovaný koeficient odhadu CR  '[-']]]</f>
        <v>800000</v>
      </c>
      <c r="AE146" s="511">
        <f t="shared" ca="1" si="17"/>
        <v>800000</v>
      </c>
      <c r="AF146" s="512">
        <f ca="1">-IF(ISNUMBER(AA146),RZ[[#This Row],[Celková cena bez DPH (1)]]-RZ[[#This Row],[Jednotková cena bez DPH '[cena/MJCR'] bez koef. (P0)]]*AA146,0)</f>
        <v>0</v>
      </c>
      <c r="AG1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80000000</v>
      </c>
      <c r="AH146" s="261"/>
      <c r="AI146" s="510">
        <f t="shared" ca="1" si="18"/>
        <v>29629.629629629631</v>
      </c>
      <c r="AJ146" s="511">
        <f t="shared" ca="1" si="19"/>
        <v>29629.629629629631</v>
      </c>
      <c r="AK146" s="512">
        <f t="shared" ca="1" si="20"/>
        <v>0</v>
      </c>
      <c r="AL146" s="753">
        <f ca="1">RZ[[#This Row],[Kilogramová cena bez DPH '[cena/kg'] (1)]]/$AK$13</f>
        <v>2962962.9629629632</v>
      </c>
      <c r="AM146" s="261"/>
      <c r="AN146" s="510">
        <f t="shared" ca="1" si="21"/>
        <v>38647.342995169085</v>
      </c>
      <c r="AO146" s="511">
        <f t="shared" ca="1" si="22"/>
        <v>38647.342995169085</v>
      </c>
      <c r="AP146" s="512">
        <f t="shared" ca="1" si="23"/>
        <v>0</v>
      </c>
      <c r="AQ146" s="753">
        <f ca="1">RZ[[#This Row],[Kilogramová cena bez DPH '[cena/kg'] (1)]]/$AP$13</f>
        <v>3864734.2995169084</v>
      </c>
      <c r="AR146" s="261"/>
      <c r="AS146" s="510">
        <f t="shared" ca="1" si="24"/>
        <v>21881.838074398249</v>
      </c>
      <c r="AT146" s="511">
        <f t="shared" ca="1" si="25"/>
        <v>21881.838074398249</v>
      </c>
      <c r="AU146" s="511">
        <f t="shared" ca="1" si="26"/>
        <v>0</v>
      </c>
      <c r="AV146" s="767">
        <f ca="1">RZ[[#This Row],[Kilogramová cena bez DPH '[cena/kg'] (1)]]/$AU$13</f>
        <v>2188183.807439825</v>
      </c>
      <c r="AW146" s="165"/>
      <c r="AX146" s="110">
        <f t="shared" ca="1" si="27"/>
        <v>2</v>
      </c>
      <c r="AY146" s="55">
        <f t="shared" ca="1" si="28"/>
        <v>29</v>
      </c>
      <c r="AZ146" s="111">
        <f t="shared" ca="1" si="29"/>
        <v>0</v>
      </c>
      <c r="BA146" s="111">
        <f t="shared" ca="1" si="30"/>
        <v>0</v>
      </c>
      <c r="BB146" s="111">
        <f t="shared" ca="1" si="31"/>
        <v>0</v>
      </c>
      <c r="BC146" s="111">
        <f t="shared" ca="1" si="32"/>
        <v>0</v>
      </c>
      <c r="BD146" s="111">
        <f t="shared" ca="1" si="33"/>
        <v>0</v>
      </c>
      <c r="BE146" s="111">
        <f t="shared" ca="1" si="109"/>
        <v>0</v>
      </c>
      <c r="BF146" s="111">
        <f t="shared" ca="1" si="34"/>
        <v>0</v>
      </c>
      <c r="BG146" s="112">
        <f t="shared" ca="1" si="35"/>
        <v>0</v>
      </c>
      <c r="BH146" s="110">
        <f t="shared" si="110"/>
        <v>0</v>
      </c>
      <c r="BI146" s="55">
        <f t="shared" si="111"/>
        <v>1</v>
      </c>
      <c r="BJ146" s="55">
        <f t="shared" si="112"/>
        <v>0</v>
      </c>
      <c r="BK146" s="111">
        <f t="shared" si="113"/>
        <v>0</v>
      </c>
      <c r="BL146" s="111">
        <f t="shared" si="114"/>
        <v>0</v>
      </c>
      <c r="BM146" s="111">
        <f t="shared" si="115"/>
        <v>0</v>
      </c>
      <c r="BN146" s="111">
        <f t="shared" si="116"/>
        <v>0</v>
      </c>
      <c r="BO146" s="111">
        <f t="shared" si="117"/>
        <v>0</v>
      </c>
      <c r="BP146" s="111">
        <f t="shared" si="118"/>
        <v>0</v>
      </c>
      <c r="BQ146" s="112">
        <f t="shared" si="119"/>
        <v>0</v>
      </c>
      <c r="BR146" s="186">
        <f ca="1">IF(OFFSET(AY146,1,0,1,1)&lt;&gt;0,RZ[[#This Row],[Koeficient odhadu HR '[-'] (P1)]]*$BH146*SUMIFS(RZ[Úroveň 2 s koef. (P2)],RZ[0],AX146),RZ[[#This Row],[Koeficient odhadu HR '[-'] (P1)]]*$BH146*$IG146)</f>
        <v>0</v>
      </c>
      <c r="BS146" s="186">
        <f ca="1">IF(OFFSET(AY146,1,0,1,1)&lt;&gt;0,$BH146*SUMIFS(RZ[Úroveň 2 bez koef. (P2)],RZ[0],AX146),$BH146*$IG146)</f>
        <v>0</v>
      </c>
      <c r="BT146" s="138">
        <f ca="1">RZ[[#This Row],[Úroveň 2 s koef. (P2a)]]*RZ[[#This Row],[Počet MJHR (P0)]]</f>
        <v>0.01</v>
      </c>
      <c r="BU146" s="138">
        <f ca="1">RZ[[#This Row],[Úroveň 2 bez koef. (P2a)]]*RZ[[#This Row],[Počet MJHR (P0)]]</f>
        <v>0.01</v>
      </c>
      <c r="BV146" s="138">
        <f ca="1">IF(OFFSET(AZ146,1,0,1,1)&lt;&gt;0,RZ[[#This Row],[Koeficient odhadu HR '[-'] (P1)]]*$BI146*SUMIFS(RZ[Úroveň 3 s koef. (P2)],RZ[0],AX146,RZ[Úroveň 2 (P0)],AY146),RZ[[#This Row],[Koeficient odhadu HR '[-'] (P1)]]*$BI146*$IG146)</f>
        <v>0.01</v>
      </c>
      <c r="BW146" s="138">
        <f ca="1">IF(OFFSET(AZ146,1,0,1,1)&lt;&gt;0,$BI146*SUMIFS(RZ[Úroveň 3 bez koef. (P2)],RZ[0],AX146,RZ[Úroveň 2 (P0)],AY146),$BI146*$IG146)</f>
        <v>0.01</v>
      </c>
      <c r="BX146" s="132">
        <f ca="1">RZ[[#This Row],[Úroveň 3 s koef. (P2a)]]*RZ[[#This Row],[Počet MJHR (P0)]]</f>
        <v>0</v>
      </c>
      <c r="BY146" s="132">
        <f ca="1">RZ[Úroveň 3 bez koef. (P2a)]*RZ[[#This Row],[Počet MJHR (P0)]]</f>
        <v>0</v>
      </c>
      <c r="BZ146" s="132">
        <f ca="1">IF(OFFSET(BA146,1,0,1,1)&lt;&gt;0,RZ[[#This Row],[Koeficient odhadu HR '[-'] (P1)]]*$BJ146*SUMIFS(RZ[Úroveň 4 s koef. (P2)],RZ[0],AX146,RZ[Úroveň 2 (P0)],AY146,RZ[Úroveň 3 (P0)],AZ146),RZ[[#This Row],[Koeficient odhadu HR '[-'] (P1)]]*$BJ146*$IG146)</f>
        <v>0</v>
      </c>
      <c r="CA146" s="132">
        <f ca="1">IF(OFFSET(BA146,1,0,1,1)&lt;&gt;0,$BJ146*SUMIFS(RZ[Úroveň 4 bez koef. (P2)],RZ[0],AX146,RZ[Úroveň 2 (P0)],AY146,RZ[Úroveň 3 (P0)],AZ146),$BJ146*$IG146)</f>
        <v>0</v>
      </c>
      <c r="CB146" s="138">
        <f ca="1">RZ[[#This Row],[Úroveň 4 s koef. (P2a)]]*RZ[[#This Row],[Počet MJHR (P0)]]</f>
        <v>0</v>
      </c>
      <c r="CC146" s="138">
        <f ca="1">RZ[Úroveň 4 bez koef. (P2a)]*RZ[[#This Row],[Počet MJHR (P0)]]</f>
        <v>0</v>
      </c>
      <c r="CD146" s="138">
        <f ca="1">IF(OFFSET(BB146,1,0,1,1)&lt;&gt;0,RZ[[#This Row],[Koeficient odhadu HR '[-'] (P1)]]*$BK146*SUMIFS(RZ[Úroveň 5 s koef. (P2)],RZ[0],AX146,RZ[Úroveň 2 (P0)],AY146,RZ[Úroveň 3 (P0)],AZ146,RZ[Úroveň 4 (P0)],BA146),RZ[[#This Row],[Koeficient odhadu HR '[-'] (P1)]]*$BK146*$IG146)</f>
        <v>0</v>
      </c>
      <c r="CE146" s="138">
        <f ca="1">IF(OFFSET(BB146,1,0,1,1)&lt;&gt;0,$BK146*SUMIFS(RZ[Úroveň 5 bez koef. (P2)],RZ[0],AX146,RZ[Úroveň 2 (P0)],AY146,RZ[Úroveň 3 (P0)],AZ146,RZ[Úroveň 4 (P0)],BA146),$BK146*$IG146)</f>
        <v>0</v>
      </c>
      <c r="CF146" s="132">
        <f ca="1">RZ[[#This Row],[Úroveň 5 s koef. (P2a)]]*RZ[[#This Row],[Počet MJHR (P0)]]</f>
        <v>0</v>
      </c>
      <c r="CG146" s="132">
        <f ca="1">RZ[Úroveň 5 bez koef. (P2a)]*RZ[[#This Row],[Počet MJHR (P0)]]</f>
        <v>0</v>
      </c>
      <c r="CH146" s="132">
        <f ca="1">IF(OFFSET(BC146,1,0,1,1)&lt;&gt;0,RZ[[#This Row],[Koeficient odhadu HR '[-'] (P1)]]*$BL146*SUMIFS(RZ[Úroveň 6 s koef. (P2)],RZ[0],AX146,RZ[Úroveň 2 (P0)],AY146,RZ[Úroveň 3 (P0)],AZ146,RZ[Úroveň 4 (P0)],BA146,RZ[Úroveň 5 (P0)],BB146),RZ[[#This Row],[Koeficient odhadu HR '[-'] (P1)]]*$BL146*$IG146)</f>
        <v>0</v>
      </c>
      <c r="CI146" s="132">
        <f ca="1">IF(OFFSET(BC146,1,0,1,1)&lt;&gt;0,$BL146*SUMIFS(RZ[Úroveň 6 bez koef. (P2)],RZ[0],AX146,RZ[Úroveň 2 (P0)],AY146,RZ[Úroveň 3 (P0)],AZ146,RZ[Úroveň 4 (P0)],BA146,RZ[Úroveň 5 (P0)],BB146),$BL146*$IG146)</f>
        <v>0</v>
      </c>
      <c r="CJ146" s="138">
        <f ca="1">RZ[[#This Row],[Úroveň 6 s koef. (P2a)]]*RZ[[#This Row],[Počet MJHR (P0)]]</f>
        <v>0</v>
      </c>
      <c r="CK146" s="138">
        <f ca="1">RZ[Úroveň 6 bez koef. (P2a)]*RZ[[#This Row],[Počet MJHR (P0)]]</f>
        <v>0</v>
      </c>
      <c r="CL146" s="138">
        <f ca="1">IF(OFFSET(BD146,1,0,1,1)&lt;&gt;0,RZ[[#This Row],[Koeficient odhadu HR '[-'] (P1)]]*$BM146*SUMIFS(RZ[Úroveň 7 s koef. (P2)],RZ[0],AX146,RZ[Úroveň 2 (P0)],AY146,RZ[Úroveň 3 (P0)],AZ146,RZ[Úroveň 4 (P0)],BA146,RZ[Úroveň 5 (P0)],BB146,RZ[Úroveň 6 (P0)],BC146),RZ[[#This Row],[Koeficient odhadu HR '[-'] (P1)]]*$BM146*$IG146)</f>
        <v>0</v>
      </c>
      <c r="CM146" s="138">
        <f ca="1">IF(OFFSET(BD146,1,0,1,1)&lt;&gt;0,$BM146*SUMIFS(RZ[Úroveň 7 bez koef. (P2)],RZ[0],AX146,RZ[Úroveň 2 (P0)],AY146,RZ[Úroveň 3 (P0)],AZ146,RZ[Úroveň 4 (P0)],BA146,RZ[Úroveň 5 (P0)],BB146,RZ[Úroveň 6 (P0)],BC146),$BM146*$IG146)</f>
        <v>0</v>
      </c>
      <c r="CN146" s="132">
        <f ca="1">RZ[[#This Row],[Úroveň 7 s koef. (P2a)]]*RZ[[#This Row],[Počet MJHR (P0)]]</f>
        <v>0</v>
      </c>
      <c r="CO146" s="132">
        <f ca="1">RZ[Úroveň 7 bez koef. (P2a)]*RZ[[#This Row],[Počet MJHR (P0)]]</f>
        <v>0</v>
      </c>
      <c r="CP146" s="132">
        <f ca="1">IF(OFFSET(BE146,1,0,1,1)&lt;&gt;0,RZ[[#This Row],[Koeficient odhadu HR '[-'] (P1)]]*$BN146*SUMIFS(RZ[Úroveň 8 s koef. (P2)],RZ[0],AX146,RZ[Úroveň 2 (P0)],AY146,RZ[Úroveň 3 (P0)],AZ146,RZ[Úroveň 4 (P0)],BA146,RZ[Úroveň 5 (P0)],BB146,RZ[Úroveň 6 (P0)],BC146,RZ[Úroveň 7 (P0)],BD146),RZ[[#This Row],[Koeficient odhadu HR '[-'] (P1)]]*$BN146*$IG146)</f>
        <v>0</v>
      </c>
      <c r="CQ146" s="132">
        <f ca="1">IF(OFFSET(BE146,1,0,1,1)&lt;&gt;0,$BN146*SUMIFS(RZ[Úroveň 8 bez koef. (P2)],RZ[0],AX146,RZ[Úroveň 2 (P0)],AY146,RZ[Úroveň 3 (P0)],AZ146,RZ[Úroveň 4 (P0)],BA146,RZ[Úroveň 5 (P0)],BB146,RZ[Úroveň 6 (P0)],BC146,RZ[Úroveň 7 (P0)],BD146),$BN146*$IG146)</f>
        <v>0</v>
      </c>
      <c r="CR146" s="138">
        <f ca="1">RZ[[#This Row],[Úroveň 8 s koef. (P2a)]]*RZ[[#This Row],[Počet MJHR (P0)]]</f>
        <v>0</v>
      </c>
      <c r="CS146" s="138">
        <f ca="1">RZ[Úroveň 8 bez koef. (P2a)]*RZ[[#This Row],[Počet MJHR (P0)]]</f>
        <v>0</v>
      </c>
      <c r="CT146" s="138">
        <f ca="1">IF(OFFSET(BF146,1,0,1,1)&lt;&gt;0,RZ[[#This Row],[Koeficient odhadu HR '[-'] (P1)]]*$BO146*SUMIFS(RZ[Úroveň 9 s koef. (P2)],RZ[0],AX146,RZ[Úroveň 2 (P0)],AY146,RZ[Úroveň 3 (P0)],AZ146,RZ[Úroveň 4 (P0)],BA146,RZ[Úroveň 5 (P0)],BB146,RZ[Úroveň 6 (P0)],BC146,RZ[Úroveň 7 (P0)],BD146,RZ[Úroveň 8 (P0)],BE146),RZ[[#This Row],[Koeficient odhadu HR '[-'] (P1)]]*$BO146*$IG146)</f>
        <v>0</v>
      </c>
      <c r="CU146" s="138">
        <f ca="1">IF(OFFSET(BF146,1,0,1,1)&lt;&gt;0,$BO146*SUMIFS(RZ[Úroveň 9 bez koef. (P2)],RZ[0],AX146,RZ[Úroveň 2 (P0)],AY146,RZ[Úroveň 3 (P0)],AZ146,RZ[Úroveň 4 (P0)],BA146,RZ[Úroveň 5 (P0)],BB146,RZ[Úroveň 6 (P0)],BC146,RZ[Úroveň 7 (P0)],BD146,RZ[Úroveň 8 (P0)],BE146),$BO146*$IG146)</f>
        <v>0</v>
      </c>
      <c r="CV146" s="132">
        <f ca="1">RZ[[#This Row],[Úroveň 9 s koef. (P2a)]]*RZ[[#This Row],[Počet MJHR (P0)]]</f>
        <v>0</v>
      </c>
      <c r="CW146" s="132">
        <f ca="1">RZ[Úroveň 9 bez koef. (P2a)]*RZ[[#This Row],[Počet MJHR (P0)]]</f>
        <v>0</v>
      </c>
      <c r="CX146" s="132">
        <f ca="1">IF(OFFSET(BG146,1,0,1,1)&lt;&gt;0,RZ[[#This Row],[Koeficient odhadu HR '[-'] (P1)]]*$BP146*SUMIFS(RZ[Úroveň 10 s koef. (P2)],RZ[0],AX146,RZ[Úroveň 2 (P0)],AY146,RZ[Úroveň 3 (P0)],AZ146,RZ[Úroveň 4 (P0)],BA146,RZ[Úroveň 5 (P0)],BB146,RZ[Úroveň 6 (P0)],BC146,RZ[Úroveň 7 (P0)],BD146,RZ[Úroveň 8 (P0)],BE146,RZ[Úroveň 9 (P0)],BF146),RZ[[#This Row],[Koeficient odhadu HR '[-'] (P1)]]*$BP146*$IG146)</f>
        <v>0</v>
      </c>
      <c r="CY146" s="132">
        <f ca="1">IF(OFFSET(BG146,1,0,1,1)&lt;&gt;0,$BP146*SUMIFS(RZ[Úroveň 10 bez koef. (P2)],RZ[0],AX146,RZ[Úroveň 2 (P0)],AY146,RZ[Úroveň 3 (P0)],AZ146,RZ[Úroveň 4 (P0)],BA146,RZ[Úroveň 5 (P0)],BB146,RZ[Úroveň 6 (P0)],BC146,RZ[Úroveň 7 (P0)],BD146,RZ[Úroveň 8 (P0)],BE146,RZ[Úroveň 9 (P0)],BF146),$BP146*$IG146)</f>
        <v>0</v>
      </c>
      <c r="CZ146" s="138">
        <f>RZ[[#This Row],[Úroveň 10 s koef. (P2a)]]*RZ[[#This Row],[Počet MJHR (P0)]]</f>
        <v>0</v>
      </c>
      <c r="DA146" s="138">
        <f>RZ[Úroveň 10 bez koef. (P2a)]*RZ[[#This Row],[Počet MJHR (P0)]]</f>
        <v>0</v>
      </c>
      <c r="DB146" s="138">
        <f>RZ[[#This Row],[Koeficient odhadu HR '[-'] (P1)]]*$BQ146*IG146</f>
        <v>0</v>
      </c>
      <c r="DC146" s="231">
        <f t="shared" si="37"/>
        <v>0</v>
      </c>
      <c r="DD146" s="241">
        <f t="shared" ca="1" si="120"/>
        <v>0.01</v>
      </c>
      <c r="DE146" s="229">
        <f t="shared" ca="1" si="121"/>
        <v>0.01</v>
      </c>
      <c r="DF146" s="521">
        <f t="shared" si="40"/>
        <v>0</v>
      </c>
      <c r="DG146" s="522">
        <f t="shared" si="41"/>
        <v>1</v>
      </c>
      <c r="DH146" s="522">
        <f t="shared" si="42"/>
        <v>0</v>
      </c>
      <c r="DI146" s="523">
        <f t="shared" si="43"/>
        <v>0</v>
      </c>
      <c r="DJ146" s="524">
        <f t="shared" si="44"/>
        <v>0</v>
      </c>
      <c r="DK146" s="524">
        <f t="shared" si="45"/>
        <v>0</v>
      </c>
      <c r="DL146" s="524">
        <f t="shared" si="46"/>
        <v>0</v>
      </c>
      <c r="DM146" s="524">
        <f t="shared" si="47"/>
        <v>0</v>
      </c>
      <c r="DN146" s="524">
        <f t="shared" si="48"/>
        <v>0</v>
      </c>
      <c r="DO146" s="523">
        <f t="shared" si="49"/>
        <v>0</v>
      </c>
      <c r="DP146" s="525">
        <f ca="1">SUMIFS(RZ[Úroveň 1 (P4)],RZ[0],AX146)</f>
        <v>1</v>
      </c>
      <c r="DQ146" s="525">
        <f ca="1">SUMIFS(RZ[Úroveň 2 (P4)],RZ[0],AX146,RZ[Úroveň 2 (P0)],AY146)</f>
        <v>1</v>
      </c>
      <c r="DR146" s="525">
        <f ca="1">SUMIFS(RZ[Úroveň 3 (P4)],RZ[0],AX146,RZ[Úroveň 2 (P0)],AY146,RZ[Úroveň 3 (P0)],AZ146)</f>
        <v>0</v>
      </c>
      <c r="DS146" s="525">
        <f ca="1">SUMIFS(RZ[Úroveň 4 (P4)],RZ[0],AX146,RZ[Úroveň 2 (P0)],AY146,RZ[Úroveň 3 (P0)],AZ146,RZ[Úroveň 4 (P0)],BA146)</f>
        <v>0</v>
      </c>
      <c r="DT146" s="526">
        <f ca="1">SUMIFS(RZ[Úroveň 5 (P4)],RZ[0],AX146,RZ[Úroveň 2 (P0)],AY146,RZ[Úroveň 3 (P0)],AZ146,RZ[Úroveň 4 (P0)],BA146,RZ[Úroveň 5 (P0)],BB146)</f>
        <v>0</v>
      </c>
      <c r="DU146" s="526">
        <f ca="1">SUMIFS(RZ[Úroveň 6 (P4)],RZ[0],AX146,RZ[Úroveň 2 (P0)],AY146,RZ[Úroveň 3 (P0)],AZ146,RZ[Úroveň 4 (P0)],BA146,RZ[Úroveň 5 (P0)],BB146,RZ[Úroveň 6 (P0)],BC146)</f>
        <v>0</v>
      </c>
      <c r="DV146" s="526">
        <f ca="1">SUMIFS(RZ[Úroveň 7 (P4)],RZ[0],AX146,RZ[Úroveň 2 (P0)],AY146,RZ[Úroveň 3 (P0)],AZ146,RZ[Úroveň 4 (P0)],BA146,RZ[Úroveň 5 (P0)],BB146,RZ[Úroveň 6 (P0)],BC146,RZ[Úroveň 7 (P0)],BD146)</f>
        <v>0</v>
      </c>
      <c r="DW146" s="526">
        <f ca="1">SUMIFS(RZ[Úroveň 8 (P4)],RZ[0],AX146,RZ[Úroveň 2 (P0)],AY146,RZ[Úroveň 3 (P0)],AZ146,RZ[Úroveň 4 (P0)],BA146,RZ[Úroveň 5 (P0)],BB146,RZ[Úroveň 6 (P0)],BC146,RZ[Úroveň 7 (P0)],BD146,RZ[Úroveň 8 (P0)],BE146)</f>
        <v>0</v>
      </c>
      <c r="DX146" s="526">
        <f ca="1">SUMIFS(RZ[Úroveň 9 (P4)],RZ[0],AX146,RZ[Úroveň 2 (P0)],AY146,RZ[Úroveň 3 (P0)],AZ146,RZ[Úroveň 4 (P0)],BA146,RZ[Úroveň 5 (P0)],BB146,RZ[Úroveň 6 (P0)],BC146,RZ[Úroveň 7 (P0)],BD146,RZ[Úroveň 8 (P0)],BE146,RZ[Úroveň 9 (P0)],BF146)</f>
        <v>0</v>
      </c>
      <c r="DY146" s="526">
        <f ca="1">SUMIFS(RZ[Úroveň 10 (P4)],RZ[0],AX146,RZ[Úroveň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DZ146" s="527">
        <f t="shared" ca="1" si="122"/>
        <v>1</v>
      </c>
      <c r="EA146" s="528">
        <f ca="1">RZ[[#This Row],[Jednotková hmotnost bez koef. '[kg/MJHR'] (P0)]]*RZ[[#This Row],[Počet MJHR v rozpadu (P0)]]</f>
        <v>0.01</v>
      </c>
      <c r="EB146" s="191">
        <f ca="1">IF(OFFSET(AY146,1,0,1,1)&lt;&gt;0,RZ[[#This Row],[Koeficient odhadu CR '[-'] (P1)]]*$BH146*SUMIFS(RZ[Úroveň 2 s koef. (P3)],RZ[0],AX146),RZ[[#This Row],[Koeficient odhadu CR '[-'] (P1)]]*$BH146*$IQ146)</f>
        <v>0</v>
      </c>
      <c r="EC146" s="191">
        <f ca="1">IF(OFFSET(AY146,1,0,1,1)&lt;&gt;0,$BH146*SUMIFS(RZ[Úroveň 2 bez koef. (P3)],RZ[0],AX146),$BH146*$IQ146)</f>
        <v>0</v>
      </c>
      <c r="ED146" s="140">
        <f ca="1">RZ[[#This Row],[Úroveň 2 s koef. (P3a)]]*RZ[[#This Row],[Počet MJCR (P0) pro "kg"]]</f>
        <v>800000</v>
      </c>
      <c r="EE146" s="140">
        <f ca="1">RZ[Úroveň 2 bez koef. (P3a)]*RZ[[#This Row],[Počet MJCR (P0) pro "kg"]]</f>
        <v>800000</v>
      </c>
      <c r="EF146" s="140">
        <f ca="1">IF(OFFSET(AZ146,1,0,1,1)&lt;&gt;0,RZ[[#This Row],[Koeficient odhadu CR '[-'] (P1)]]*$BI146*SUMIFS(RZ[Úroveň 3 s koef. (P3)],RZ[0],AX146,RZ[Úroveň 2 (P0)],AY146),RZ[[#This Row],[Koeficient odhadu CR '[-'] (P1)]]*$BI146*$IQ146)</f>
        <v>800000</v>
      </c>
      <c r="EG146" s="140">
        <f ca="1">IF(OFFSET(AZ146,1,0,1,1)&lt;&gt;0,$BI146*SUMIFS(RZ[Úroveň 3 bez koef. (P3)],RZ[0],AX146,RZ[Úroveň 2 (P0)],AY146),$BI146*$IQ146)</f>
        <v>800000</v>
      </c>
      <c r="EH146" s="135">
        <f ca="1">RZ[[#This Row],[Úroveň 3 s koef. (P3a)]]*RZ[[#This Row],[Počet MJCR (P0) pro "kg"]]</f>
        <v>0</v>
      </c>
      <c r="EI146" s="135">
        <f ca="1">RZ[Úroveň 3 bez koef. (P3a)]*RZ[[#This Row],[Počet MJCR (P0) pro "kg"]]</f>
        <v>0</v>
      </c>
      <c r="EJ146" s="135">
        <f ca="1">IF(OFFSET(BA146,1,0,1,1)&lt;&gt;0,RZ[[#This Row],[Koeficient odhadu CR '[-'] (P1)]]*$BJ146*SUMIFS(RZ[Úroveň 4 s koef. (P3)],RZ[0],AX146,RZ[Úroveň 2 (P0)],AY146,RZ[Úroveň 3 (P0)],AZ146),RZ[[#This Row],[Koeficient odhadu CR '[-'] (P1)]]*$BJ146*$IQ146)</f>
        <v>0</v>
      </c>
      <c r="EK146" s="135">
        <f ca="1">IF(OFFSET(BA146,1,0,1,1)&lt;&gt;0,$BJ146*SUMIFS(RZ[Úroveň 4 bez koef. (P3)],RZ[0],AX146,RZ[Úroveň 2 (P0)],AY146,RZ[Úroveň 3 (P0)],AZ146),$BJ146*$IQ146)</f>
        <v>0</v>
      </c>
      <c r="EL146" s="140">
        <f ca="1">RZ[[#This Row],[Úroveň 4 s koef. (P3a)]]*RZ[[#This Row],[Počet MJCR (P0) pro "kg"]]</f>
        <v>0</v>
      </c>
      <c r="EM146" s="140">
        <f ca="1">RZ[Úroveň 4 bez koef. (P3a)]*RZ[[#This Row],[Počet MJCR (P0) pro "kg"]]</f>
        <v>0</v>
      </c>
      <c r="EN146" s="140">
        <f ca="1">IF(OFFSET(BB146,1,0,1,1)&lt;&gt;0,RZ[[#This Row],[Koeficient odhadu CR '[-'] (P1)]]*$BK146*SUMIFS(RZ[Úroveň 5 s koef. (P3)],RZ[0],AX146,RZ[Úroveň 2 (P0)],AY146,RZ[Úroveň 3 (P0)],AZ146,RZ[Úroveň 4 (P0)],BA146),RZ[[#This Row],[Koeficient odhadu CR '[-'] (P1)]]*$BK146*$IQ146)</f>
        <v>0</v>
      </c>
      <c r="EO146" s="140">
        <f ca="1">IF(OFFSET(BB146,1,0,1,1)&lt;&gt;0,$BK146*SUMIFS(RZ[Úroveň 5 bez koef. (P3)],RZ[0],AX146,RZ[Úroveň 2 (P0)],AY146,RZ[Úroveň 3 (P0)],AZ146,RZ[Úroveň 4 (P0)],BA146),$BK146*$IQ146)</f>
        <v>0</v>
      </c>
      <c r="EP146" s="135">
        <f ca="1">RZ[[#This Row],[Úroveň 5 s koef. (P3a)]]*RZ[[#This Row],[Počet MJCR (P0) pro "kg"]]</f>
        <v>0</v>
      </c>
      <c r="EQ146" s="135">
        <f ca="1">RZ[Úroveň 5 bez koef. (P3a)]*RZ[[#This Row],[Počet MJCR (P0) pro "kg"]]</f>
        <v>0</v>
      </c>
      <c r="ER146" s="135">
        <f ca="1">IF(OFFSET(BC146,1,0,1,1)&lt;&gt;0,RZ[[#This Row],[Koeficient odhadu CR '[-'] (P1)]]*$BL146*SUMIFS(RZ[Úroveň 6 s koef. (P3)],RZ[0],AX146,RZ[Úroveň 2 (P0)],AY146,RZ[Úroveň 3 (P0)],AZ146,RZ[Úroveň 4 (P0)],BA146,RZ[Úroveň 5 (P0)],BB146),RZ[[#This Row],[Koeficient odhadu CR '[-'] (P1)]]*$BL146*$IQ146)</f>
        <v>0</v>
      </c>
      <c r="ES146" s="135">
        <f ca="1">IF(OFFSET(BC146,1,0,1,1)&lt;&gt;0,$BL146*SUMIFS(RZ[Úroveň 6 bez koef. (P3)],RZ[0],AX146,RZ[Úroveň 2 (P0)],AY146,RZ[Úroveň 3 (P0)],AZ146,RZ[Úroveň 4 (P0)],BA146,RZ[Úroveň 5 (P0)],BB146),$BL146*$IQ146)</f>
        <v>0</v>
      </c>
      <c r="ET146" s="140">
        <f ca="1">RZ[[#This Row],[Úroveň 6 s koef. (P3a)]]*RZ[[#This Row],[Počet MJCR (P0) pro "kg"]]</f>
        <v>0</v>
      </c>
      <c r="EU146" s="140">
        <f ca="1">RZ[Úroveň 6 bez koef. (P3a)]*RZ[[#This Row],[Počet MJCR (P0) pro "kg"]]</f>
        <v>0</v>
      </c>
      <c r="EV146" s="140">
        <f ca="1">IF(OFFSET(BD146,1,0,1,1)&lt;&gt;0,RZ[[#This Row],[Koeficient odhadu CR '[-'] (P1)]]*$BM146*SUMIFS(RZ[Úroveň 7 s koef. (P3)],RZ[0],AX146,RZ[Úroveň 2 (P0)],AY146,RZ[Úroveň 3 (P0)],AZ146,RZ[Úroveň 4 (P0)],BA146,RZ[Úroveň 5 (P0)],BB146,RZ[Úroveň 6 (P0)],BC146),RZ[[#This Row],[Koeficient odhadu CR '[-'] (P1)]]*$BM146*$IQ146)</f>
        <v>0</v>
      </c>
      <c r="EW146" s="140">
        <f ca="1">IF(OFFSET(BD146,1,0,1,1)&lt;&gt;0,$BM146*SUMIFS(RZ[Úroveň 7 bez koef. (P3)],RZ[0],AX146,RZ[Úroveň 2 (P0)],AY146,RZ[Úroveň 3 (P0)],AZ146,RZ[Úroveň 4 (P0)],BA146,RZ[Úroveň 5 (P0)],BB146,RZ[Úroveň 6 (P0)],BC146),$BM146*$IQ146)</f>
        <v>0</v>
      </c>
      <c r="EX146" s="135">
        <f ca="1">RZ[[#This Row],[Úroveň 7 s koef. (P3a)]]*RZ[[#This Row],[Počet MJCR (P0) pro "kg"]]</f>
        <v>0</v>
      </c>
      <c r="EY146" s="135">
        <f ca="1">RZ[Úroveň 7 bez koef. (P3a)]*RZ[[#This Row],[Počet MJCR (P0) pro "kg"]]</f>
        <v>0</v>
      </c>
      <c r="EZ146" s="135">
        <f ca="1">IF(OFFSET(BE146,1,0,1,1)&lt;&gt;0,RZ[[#This Row],[Koeficient odhadu CR '[-'] (P1)]]*$BN146*SUMIFS(RZ[Úroveň 8 s koef. (P3)],RZ[0],AX146,RZ[Úroveň 2 (P0)],AY146,RZ[Úroveň 3 (P0)],AZ146,RZ[Úroveň 4 (P0)],BA146,RZ[Úroveň 5 (P0)],BB146,RZ[Úroveň 6 (P0)],BC146,RZ[Úroveň 7 (P0)],BD146),RZ[[#This Row],[Koeficient odhadu CR '[-'] (P1)]]*$BN146*$IQ146)</f>
        <v>0</v>
      </c>
      <c r="FA146" s="135">
        <f ca="1">IF(OFFSET(BE146,1,0,1,1)&lt;&gt;0,$BN146*SUMIFS(RZ[Úroveň 8 bez koef. (P3)],RZ[0],AX146,RZ[Úroveň 2 (P0)],AY146,RZ[Úroveň 3 (P0)],AZ146,RZ[Úroveň 4 (P0)],BA146,RZ[Úroveň 5 (P0)],BB146,RZ[Úroveň 6 (P0)],BC146,RZ[Úroveň 7 (P0)],BD146),$BN146*$IQ146)</f>
        <v>0</v>
      </c>
      <c r="FB146" s="140">
        <f ca="1">RZ[[#This Row],[Úroveň 8 s koef. (P3a)]]*RZ[[#This Row],[Počet MJCR (P0) pro "kg"]]</f>
        <v>0</v>
      </c>
      <c r="FC146" s="140">
        <f ca="1">RZ[Úroveň 8 bez koef. (P3a)]*RZ[[#This Row],[Počet MJCR (P0) pro "kg"]]</f>
        <v>0</v>
      </c>
      <c r="FD146" s="140">
        <f ca="1">IF(OFFSET(BF146,1,0,1,1)&lt;&gt;0,RZ[[#This Row],[Koeficient odhadu CR '[-'] (P1)]]*$BO146*SUMIFS(RZ[Úroveň 9 s koef. (P3)],RZ[0],AX146,RZ[Úroveň 2 (P0)],AY146,RZ[Úroveň 3 (P0)],AZ146,RZ[Úroveň 4 (P0)],BA146,RZ[Úroveň 5 (P0)],BB146,RZ[Úroveň 6 (P0)],BC146,RZ[Úroveň 7 (P0)],BD146,RZ[Úroveň 8 (P0)],BE146),RZ[[#This Row],[Koeficient odhadu CR '[-'] (P1)]]*$BO146*$IQ146)</f>
        <v>0</v>
      </c>
      <c r="FE146" s="140">
        <f ca="1">IF(OFFSET(BF146,1,0,1,1)&lt;&gt;0,$BO146*SUMIFS(RZ[Úroveň 9 bez koef. (P3)],RZ[0],AX146,RZ[Úroveň 2 (P0)],AY146,RZ[Úroveň 3 (P0)],AZ146,RZ[Úroveň 4 (P0)],BA146,RZ[Úroveň 5 (P0)],BB146,RZ[Úroveň 6 (P0)],BC146,RZ[Úroveň 7 (P0)],BD146,RZ[Úroveň 8 (P0)],BE146),$BO146*$IQ146)</f>
        <v>0</v>
      </c>
      <c r="FF146" s="135">
        <f ca="1">RZ[[#This Row],[Úroveň 9 s koef. (P3a)]]*RZ[[#This Row],[Počet MJCR (P0) pro "kg"]]</f>
        <v>0</v>
      </c>
      <c r="FG146" s="135">
        <f ca="1">RZ[Úroveň 9 bez koef. (P3a)]*RZ[[#This Row],[Počet MJCR (P0) pro "kg"]]</f>
        <v>0</v>
      </c>
      <c r="FH146" s="135">
        <f ca="1">IF(OFFSET(BG146,1,0,1,1)&lt;&gt;0,RZ[[#This Row],[Koeficient odhadu CR '[-'] (P1)]]*$BP146*SUMIFS(RZ[Úroveň 10 s koef. (P3)],RZ[0],AX146,RZ[Úroveň 2 (P0)],AY146,RZ[Úroveň 3 (P0)],AZ146,RZ[Úroveň 4 (P0)],BA146,RZ[Úroveň 5 (P0)],BB146,RZ[Úroveň 6 (P0)],BC146,RZ[Úroveň 7 (P0)],BD146,RZ[Úroveň 8 (P0)],BE146,RZ[Úroveň 9 (P0)],BF146),RZ[[#This Row],[Koeficient odhadu CR '[-'] (P1)]]*$BP146*$IQ146)</f>
        <v>0</v>
      </c>
      <c r="FI146" s="135">
        <f ca="1">IF(OFFSET(BG146,1,0,1,1)&lt;&gt;0,$BP146*SUMIFS(RZ[Úroveň 10 bez koef. (P3)],RZ[0],AX146,RZ[Úroveň 2 (P0)],AY146,RZ[Úroveň 3 (P0)],AZ146,RZ[Úroveň 4 (P0)],BA146,RZ[Úroveň 5 (P0)],BB146,RZ[Úroveň 6 (P0)],BC146,RZ[Úroveň 7 (P0)],BD146,RZ[Úroveň 8 (P0)],BE146,RZ[Úroveň 9 (P0)],BF146),$BP146*$IQ146)</f>
        <v>0</v>
      </c>
      <c r="FJ146" s="140">
        <f ca="1">RZ[[#This Row],[Úroveň 10 s koef. (P3a)]]*RZ[[#This Row],[Počet MJCR (P0) pro "kg"]]</f>
        <v>0</v>
      </c>
      <c r="FK146" s="140">
        <f ca="1">RZ[Úroveň 10 bez koef. (P3a)]*RZ[[#This Row],[Počet MJCR (P0) pro "kg"]]</f>
        <v>0</v>
      </c>
      <c r="FL146" s="140">
        <f ca="1">RZ[[#This Row],[Koeficient odhadu CR '[-'] (P1)]]*$BQ146*IQ146</f>
        <v>0</v>
      </c>
      <c r="FM146" s="236">
        <f t="shared" ca="1" si="51"/>
        <v>0</v>
      </c>
      <c r="FN146" s="194">
        <f t="shared" ca="1" si="123"/>
        <v>800000</v>
      </c>
      <c r="FO146" s="238">
        <f t="shared" ca="1" si="124"/>
        <v>800000</v>
      </c>
      <c r="FP146" s="191">
        <f t="shared" ca="1" si="54"/>
        <v>0</v>
      </c>
      <c r="FQ146" s="135">
        <f t="shared" ca="1" si="55"/>
        <v>1</v>
      </c>
      <c r="FR146" s="135">
        <f t="shared" ca="1" si="56"/>
        <v>0</v>
      </c>
      <c r="FS146" s="135">
        <f t="shared" ca="1" si="57"/>
        <v>0</v>
      </c>
      <c r="FT146" s="135">
        <f t="shared" ca="1" si="58"/>
        <v>0</v>
      </c>
      <c r="FU146" s="135">
        <f t="shared" ca="1" si="59"/>
        <v>0</v>
      </c>
      <c r="FV146" s="135">
        <f t="shared" ca="1" si="60"/>
        <v>0</v>
      </c>
      <c r="FW146" s="135">
        <f t="shared" ca="1" si="61"/>
        <v>0</v>
      </c>
      <c r="FX146" s="135">
        <f t="shared" ca="1" si="62"/>
        <v>0</v>
      </c>
      <c r="FY146" s="135">
        <f t="shared" ca="1" si="63"/>
        <v>0</v>
      </c>
      <c r="FZ146" s="140">
        <f ca="1">SUMIFS(RZ[Úroveň 1 (P6)],RZ[0],AX146)</f>
        <v>1</v>
      </c>
      <c r="GA146" s="140">
        <f ca="1">SUMIFS(RZ[Úroveň 2 (P6)],RZ[0],AX146,RZ[Úroveň 2 (P0)],AY146)</f>
        <v>1</v>
      </c>
      <c r="GB146" s="140">
        <f ca="1">SUMIFS(RZ[Úroveň 3 (P6)],RZ[0],AX146,RZ[Úroveň 2 (P0)],AY146,RZ[Úroveň 3 (P0)],AZ146)</f>
        <v>0</v>
      </c>
      <c r="GC146" s="140">
        <f ca="1">SUMIFS(RZ[Úroveň 4 (P6)],RZ[0],AX146,RZ[Úroveň 2 (P0)],AY146,RZ[Úroveň 3 (P0)],AZ146,RZ[Úroveň 4 (P0)],BA146)</f>
        <v>0</v>
      </c>
      <c r="GD146" s="140">
        <f ca="1">SUMIFS(RZ[Úroveň 5 (P6)],RZ[0],AX146,RZ[Úroveň 2 (P0)],AY146,RZ[Úroveň 3 (P0)],AZ146,RZ[Úroveň 4 (P0)],BA146,RZ[Úroveň 5 (P0)],BB146)</f>
        <v>0</v>
      </c>
      <c r="GE146" s="140">
        <f ca="1">SUMIFS(RZ[Úroveň 6 (P6)],RZ[0],AX146,RZ[Úroveň 2 (P0)],AY146,RZ[Úroveň 3 (P0)],AZ146,RZ[Úroveň 4 (P0)],BA146,RZ[Úroveň 5 (P0)],BB146,RZ[Úroveň 6 (P0)],BC146)</f>
        <v>0</v>
      </c>
      <c r="GF146" s="140">
        <f ca="1">SUMIFS(RZ[Úroveň 7 (P6)],RZ[0],AX146,RZ[Úroveň 2 (P0)],AY146,RZ[Úroveň 3 (P0)],AZ146,RZ[Úroveň 4 (P0)],BA146,RZ[Úroveň 5 (P0)],BB146,RZ[Úroveň 6 (P0)],BC146,RZ[Úroveň 7 (P0)],BD146)</f>
        <v>0</v>
      </c>
      <c r="GG146" s="140">
        <f ca="1">SUMIFS(RZ[Úroveň 8 (P6)],RZ[0],AX146,RZ[Úroveň 2 (P0)],AY146,RZ[Úroveň 3 (P0)],AZ146,RZ[Úroveň 4 (P0)],BA146,RZ[Úroveň 5 (P0)],BB146,RZ[Úroveň 6 (P0)],BC146,RZ[Úroveň 7 (P0)],BD146,RZ[Úroveň 8 (P0)],BE146)</f>
        <v>0</v>
      </c>
      <c r="GH146" s="140">
        <f ca="1">SUMIFS(RZ[Úroveň 9 (P6)],RZ[0],AX146,RZ[Úroveň 2 (P0)],AY146,RZ[Úroveň 3 (P0)],AZ146,RZ[Úroveň 4 (P0)],BA146,RZ[Úroveň 5 (P0)],BB146,RZ[Úroveň 6 (P0)],BC146,RZ[Úroveň 7 (P0)],BD146,RZ[Úroveň 8 (P0)],BE146,RZ[Úroveň 9 (P0)],BF146)</f>
        <v>0</v>
      </c>
      <c r="GI146" s="140">
        <f ca="1">SUMIFS(RZ[Úroveň 10 (P6)],RZ[0],AX146,RZ[Úroveň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GJ146" s="194">
        <f t="shared" ca="1" si="125"/>
        <v>1</v>
      </c>
      <c r="GK146" s="807">
        <f t="shared" si="65"/>
        <v>0</v>
      </c>
      <c r="GL146" s="808">
        <f t="shared" si="66"/>
        <v>1</v>
      </c>
      <c r="GM146" s="808">
        <f t="shared" si="67"/>
        <v>0</v>
      </c>
      <c r="GN146" s="808">
        <f t="shared" si="68"/>
        <v>0</v>
      </c>
      <c r="GO146" s="808">
        <f t="shared" si="69"/>
        <v>0</v>
      </c>
      <c r="GP146" s="808">
        <f t="shared" si="70"/>
        <v>0</v>
      </c>
      <c r="GQ146" s="808">
        <f t="shared" si="71"/>
        <v>0</v>
      </c>
      <c r="GR146" s="808">
        <f t="shared" si="72"/>
        <v>0</v>
      </c>
      <c r="GS146" s="808">
        <f t="shared" si="73"/>
        <v>0</v>
      </c>
      <c r="GT146" s="808">
        <f t="shared" si="74"/>
        <v>0</v>
      </c>
      <c r="GU146" s="809">
        <f ca="1">SUMIFS(RZ[Sloupec1],RZ[0],AX146)</f>
        <v>1</v>
      </c>
      <c r="GV146" s="809">
        <f ca="1">SUMIFS(RZ[Sloupec2],RZ[0],AX146,RZ[Úroveň 2 (P0)],AY146)</f>
        <v>1</v>
      </c>
      <c r="GW146" s="809">
        <f ca="1">SUMIFS(RZ[Sloupec3],RZ[0],AX146,RZ[Úroveň 2 (P0)],AY146,RZ[Úroveň 3 (P0)],AZ146)</f>
        <v>0</v>
      </c>
      <c r="GX146" s="809">
        <f ca="1">SUMIFS(RZ[Sloupec4],RZ[0],AX146,RZ[Úroveň 2 (P0)],AY146,RZ[Úroveň 3 (P0)],AZ146,RZ[Úroveň 4 (P0)],BA146)</f>
        <v>0</v>
      </c>
      <c r="GY146" s="809">
        <f ca="1">SUMIFS(RZ[Sloupec5],RZ[0],AX146,RZ[Úroveň 2 (P0)],AY146,RZ[Úroveň 3 (P0)],AZ146,RZ[Úroveň 4 (P0)],BA146,RZ[Úroveň 5 (P0)],BB146)</f>
        <v>0</v>
      </c>
      <c r="GZ146" s="809">
        <f ca="1">SUMIFS(RZ[Sloupec6],RZ[0],AX146,RZ[Úroveň 2 (P0)],AY146,RZ[Úroveň 3 (P0)],AZ146,RZ[Úroveň 4 (P0)],BA146,RZ[Úroveň 5 (P0)],BB146,RZ[Úroveň 6 (P0)],BC146)</f>
        <v>0</v>
      </c>
      <c r="HA146" s="809">
        <f ca="1">SUMIFS(RZ[Sloupec62],RZ[0],AX146,RZ[Úroveň 2 (P0)],AY146,RZ[Úroveň 3 (P0)],AZ146,RZ[Úroveň 4 (P0)],BA146,RZ[Úroveň 5 (P0)],BB146,RZ[Úroveň 6 (P0)],BC146,RZ[Úroveň 7 (P0)],BD146)</f>
        <v>0</v>
      </c>
      <c r="HB146" s="809">
        <f ca="1">SUMIFS(RZ[Sloupec63],RZ[0],AX146,RZ[Úroveň 2 (P0)],AY146,RZ[Úroveň 3 (P0)],AZ146,RZ[Úroveň 4 (P0)],BA146,RZ[Úroveň 5 (P0)],BB146,RZ[Úroveň 6 (P0)],BC146,RZ[Úroveň 7 (P0)],BD146,RZ[Úroveň 8 (P0)],BE146)</f>
        <v>0</v>
      </c>
      <c r="HC146" s="809">
        <f ca="1">SUMIFS(RZ[Sloupec64],RZ[0],AX146,RZ[Úroveň 2 (P0)],AY146,RZ[Úroveň 3 (P0)],AZ146,RZ[Úroveň 4 (P0)],BA146,RZ[Úroveň 5 (P0)],BB146,RZ[Úroveň 6 (P0)],BC146,RZ[Úroveň 7 (P0)],BD146,RZ[Úroveň 8 (P0)],BE146,RZ[Úroveň 9 (P0)],BF146)</f>
        <v>0</v>
      </c>
      <c r="HD146" s="809">
        <f ca="1">SUMIFS(RZ[Sloupec65],RZ[0],AX146,RZ[Úroveň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HE146" s="803">
        <f t="shared" ca="1" si="75"/>
        <v>1</v>
      </c>
      <c r="HF146" s="48" t="str">
        <f t="shared" si="76"/>
        <v/>
      </c>
      <c r="HG146" s="94" t="str">
        <f t="shared" si="77"/>
        <v/>
      </c>
      <c r="HH146" s="95" t="str">
        <f t="shared" si="78"/>
        <v>Kabina</v>
      </c>
      <c r="HI146" s="95" t="str">
        <f t="shared" si="79"/>
        <v/>
      </c>
      <c r="HJ146" s="96" t="str">
        <f t="shared" si="80"/>
        <v/>
      </c>
      <c r="HK146" s="96" t="str">
        <f t="shared" si="81"/>
        <v/>
      </c>
      <c r="HL146" s="96" t="str">
        <f t="shared" si="82"/>
        <v/>
      </c>
      <c r="HM146" s="96" t="str">
        <f t="shared" si="83"/>
        <v/>
      </c>
      <c r="HN146" s="96" t="str">
        <f t="shared" si="84"/>
        <v/>
      </c>
      <c r="HO146" s="96" t="str">
        <f t="shared" si="85"/>
        <v/>
      </c>
      <c r="HP146" s="96" t="str">
        <f t="shared" si="86"/>
        <v/>
      </c>
      <c r="HQ146" s="145" t="str">
        <f t="shared" si="87"/>
        <v>SUKA</v>
      </c>
      <c r="HR146" s="175" t="str">
        <f t="shared" si="88"/>
        <v/>
      </c>
      <c r="HS146" s="173">
        <f t="shared" si="89"/>
        <v>0</v>
      </c>
      <c r="HT146" s="99">
        <f t="shared" si="90"/>
        <v>0</v>
      </c>
      <c r="HU146" s="99">
        <f t="shared" si="91"/>
        <v>0</v>
      </c>
      <c r="HV146" s="209" t="str">
        <f t="shared" si="92"/>
        <v>Zajíc</v>
      </c>
      <c r="HW146" s="47">
        <f t="shared" si="93"/>
        <v>0</v>
      </c>
      <c r="HX146" s="46">
        <f t="shared" si="94"/>
        <v>0</v>
      </c>
      <c r="HY146" s="149" t="str">
        <f t="shared" si="95"/>
        <v>S</v>
      </c>
      <c r="HZ146" s="263" t="str">
        <f t="shared" si="96"/>
        <v>N</v>
      </c>
      <c r="IA146" s="150">
        <f t="shared" si="97"/>
        <v>1</v>
      </c>
      <c r="IB146" s="319">
        <f t="shared" si="98"/>
        <v>800000</v>
      </c>
      <c r="IC146" s="220">
        <f t="shared" si="99"/>
        <v>1</v>
      </c>
      <c r="ID146" s="200" t="str">
        <f t="shared" ca="1" si="100"/>
        <v>OK</v>
      </c>
      <c r="IE146" s="201" t="str">
        <f t="shared" si="101"/>
        <v>ks</v>
      </c>
      <c r="IF146" s="145">
        <f t="shared" si="102"/>
        <v>1</v>
      </c>
      <c r="IG146" s="216">
        <f t="shared" si="103"/>
        <v>0.01</v>
      </c>
      <c r="IH146" s="217">
        <f t="shared" si="126"/>
        <v>1</v>
      </c>
      <c r="II146" s="224" t="str">
        <f ca="1">IF(RZ[[#This Row],[Rozhodný sloupec indikativní ceny]]=1,"kg",IF($IW146=$JL$15,IF(JX146=0,JO146,JX146),IF($IW146=$KE$15,IF(KQ146=0,KH146,KQ146),IF($IW146=$KX$15,IF(LJ146=0,LA146,LJ146),IF($IW146=$LQ$15,IF(MC146=0,LT146,MC146),IF($IW146=$MJ$15,IF(NQ146=0,NH146,NQ146),0))))))</f>
        <v>ks</v>
      </c>
      <c r="IJ146" s="224">
        <f ca="1">IF((BH146+OFFSET(BH146,1,1,1,1))=2,RZ[[#This Row],[Počet MJHR (P0)]],IF((BI146+OFFSET(BI146,1,1,1,1))=2,RZ[[#This Row],[Počet MJHR (P0)]],IF((BJ146+OFFSET(BJ146,1,1,1,1))=2,RZ[[#This Row],[Počet MJHR (P0)]],IF((BK146+OFFSET(BK146,1,1,1,1))=2,RZ[[#This Row],[Počet MJHR (P0)]],IF((BL146+OFFSET(BL146,1,1,1,1))=2,RZ[[#This Row],[Počet MJHR (P0)]],IF((BM146+OFFSET(BM146,1,1,1,1))=2,RZ[[#This Row],[Počet MJHR (P0)]],IF((BN146+OFFSET(BN146,1,1,1,1))=2,RZ[[#This Row],[Počet MJHR (P0)]],IF((BO146+OFFSET(BO146,1,1,1,1))=2,RZ[[#This Row],[Počet MJHR (P0)]],IF((BP146+OFFSET(BP146,1,1,1,1))=2,RZ[[#This Row],[Počet MJHR (P0)]],IF((BQ146+OFFSET(BQ146,1,1,1,1))=2,RZ[[#This Row],[Počet MJHR (P0)]],IF(RZ[[#This Row],[Měrná jednotka CR (MJCR) (P0)]]=RZ[[#This Row],[Měrná jednotka HR '[MJHR'] (P0)]],RZ[[#This Row],[Počet MJHR (P0)]],IF($IW146=$JL$15,JY146,IF($IW146=$KE$15,KR146,IF($IW146=$KX$15,LK146,IF($IW146=$LQ$15,MD146,IF($IW146=$MJ$15,NR146,0))))))))))))))))</f>
        <v>1</v>
      </c>
      <c r="IK1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6" s="330">
        <f ca="1">IF(AND(RZ[[#This Row],[Jednotková cena bez DPH '[cena/MJCR'] (P0)]]=0,RZ[[#This Row],[Indikativní jednotková cena '[CZK/kg'] (P1)]]&lt;&gt;0),1,0)</f>
        <v>0</v>
      </c>
      <c r="IM146" s="217">
        <f ca="1">VLOOKUP(RZ[[#This Row],[Kód položek]],INDIKAT_CENA,2,FALSE)</f>
        <v>0</v>
      </c>
      <c r="IN146" s="222">
        <f ca="1">IF(RZ[[#This Row],[Rozhodný sloupec indikativní ceny]]=1,RZ[[#This Row],[Indikativní jednotková cena '[CZK/kg'] (P1)]],RZ[[#This Row],[Jednotková cena bez DPH '[cena/MJCR'] (P0)]])</f>
        <v>800000</v>
      </c>
      <c r="IO146" s="222">
        <f t="shared" si="127"/>
        <v>1</v>
      </c>
      <c r="IP146" s="223">
        <f ca="1">IF(RZ[[#This Row],[Rozhodný sloupec indikativní ceny]]=1,1,IF($IW146=$JL$15,KA146,IF($IW146=$KE$15,KT146,IF($IW146=$KX$15,LM146,IF($IW146=$LQ$15,MF146,IF($IW146=$MJ$15,NT146,0))))))</f>
        <v>1</v>
      </c>
      <c r="IQ146" s="225">
        <f ca="1">IF(RZ[[#This Row],[Jednotková cena bez DPH '[cena/MJCR'] (P1)]]="",0,IF(IP146=0,0,(RZ[[#This Row],[Jednotková cena bez DPH '[cena/MJCR'] (P1)]]*VLOOKUP(IP146,$BR$7:$BT$10,3))))</f>
        <v>800000</v>
      </c>
      <c r="IR146" s="737"/>
      <c r="IS146" s="627">
        <f>IF(HY146=0,"",VLOOKUP(RZ[[#This Row],[Stav Projekce (P0)]],Vstupy!$E$11:'Vstupy'!$E$11:$H$17,4,FALSE))</f>
        <v>100</v>
      </c>
      <c r="IT146" s="628" t="str">
        <f>IF(RZ[[#This Row],[Stav Projekce (P0)]]=0,"",RZ[[#This Row],[Stav Projekce (P0)]])</f>
        <v>S</v>
      </c>
      <c r="IU146" s="628" t="str">
        <f>IF(RZ[[#This Row],[Stav Nákup (P0)]]=0,"",RZ[[#This Row],[Stav Nákup (P0)]])</f>
        <v>N</v>
      </c>
      <c r="IV146" s="636" t="str">
        <f t="shared" si="128"/>
        <v>Zajíc</v>
      </c>
      <c r="IW146" s="641">
        <v>1</v>
      </c>
      <c r="IX146" s="630"/>
      <c r="IY146" s="264"/>
      <c r="IZ146" s="776"/>
      <c r="JA146" s="100" t="s">
        <v>199</v>
      </c>
      <c r="JB146" s="100"/>
      <c r="JC146" s="100"/>
      <c r="JD146" s="100"/>
      <c r="JE146" s="100"/>
      <c r="JF146" s="100"/>
      <c r="JG146" s="100"/>
      <c r="JH146" s="100"/>
      <c r="JI146" s="100"/>
      <c r="JJ146" s="145" t="s">
        <v>849</v>
      </c>
      <c r="JK146" s="529"/>
      <c r="JL146" s="286"/>
      <c r="JM146" s="100"/>
      <c r="JN146" s="100"/>
      <c r="JO146" s="145" t="s">
        <v>35</v>
      </c>
      <c r="JP146" s="117">
        <v>1</v>
      </c>
      <c r="JQ146" s="117">
        <v>0.01</v>
      </c>
      <c r="JR146" s="148">
        <v>1</v>
      </c>
      <c r="JS146" s="145" t="s">
        <v>602</v>
      </c>
      <c r="JT146" s="631"/>
      <c r="JU146" s="148" t="s">
        <v>853</v>
      </c>
      <c r="JV146" s="154"/>
      <c r="JW146" s="145"/>
      <c r="JX146" s="210" t="s">
        <v>35</v>
      </c>
      <c r="JY146" s="117"/>
      <c r="JZ146" s="662">
        <v>800000</v>
      </c>
      <c r="KA146" s="145">
        <v>1</v>
      </c>
      <c r="KB146" s="148">
        <v>1</v>
      </c>
      <c r="KC146" s="148" t="s">
        <v>611</v>
      </c>
      <c r="KD146" s="644"/>
      <c r="KE146" s="286"/>
      <c r="KF146" s="100"/>
      <c r="KG146" s="100"/>
      <c r="KH146" s="210"/>
      <c r="KI146" s="117"/>
      <c r="KJ146" s="117"/>
      <c r="KK146" s="148"/>
      <c r="KL146" s="145"/>
      <c r="KM146" s="632"/>
      <c r="KN146" s="148"/>
      <c r="KO146" s="154"/>
      <c r="KP146" s="154"/>
      <c r="KQ146" s="210"/>
      <c r="KR146" s="117"/>
      <c r="KS146" s="211"/>
      <c r="KT146" s="145"/>
      <c r="KU146" s="148"/>
      <c r="KV146" s="148"/>
      <c r="KW146" s="265"/>
      <c r="KX146" s="286"/>
      <c r="KY146" s="100"/>
      <c r="KZ146" s="100"/>
      <c r="LA146" s="210"/>
      <c r="LB146" s="117"/>
      <c r="LC146" s="117"/>
      <c r="LD146" s="148"/>
      <c r="LE146" s="145"/>
      <c r="LF146" s="632"/>
      <c r="LG146" s="148"/>
      <c r="LH146" s="154"/>
      <c r="LI146" s="154"/>
      <c r="LJ146" s="154"/>
      <c r="LK146" s="117"/>
      <c r="LL146" s="211"/>
      <c r="LM146" s="210"/>
      <c r="LN146" s="148"/>
      <c r="LO146" s="148"/>
      <c r="LP146" s="265"/>
      <c r="LQ146" s="286"/>
      <c r="LR146" s="100"/>
      <c r="LS146" s="100"/>
      <c r="LT146" s="210"/>
      <c r="LU146" s="117"/>
      <c r="LV146" s="117"/>
      <c r="LW146" s="148"/>
      <c r="LX146" s="145"/>
      <c r="LY146" s="632"/>
      <c r="LZ146" s="148"/>
      <c r="MA146" s="154"/>
      <c r="MB146" s="154"/>
      <c r="MC146" s="145"/>
      <c r="MD146" s="117"/>
      <c r="ME146" s="211"/>
      <c r="MF146" s="210"/>
      <c r="MG146" s="148"/>
      <c r="MH146" s="148"/>
      <c r="MI146" s="265"/>
      <c r="MJ146" s="647"/>
      <c r="MK146" s="264"/>
      <c r="ML146" s="153"/>
      <c r="MM146" s="153"/>
      <c r="MN146" s="153"/>
      <c r="MO146" s="153"/>
      <c r="MP146" s="153"/>
      <c r="MQ146" s="153"/>
      <c r="MR146" s="153"/>
      <c r="MS146" s="99"/>
      <c r="MT146" s="99"/>
      <c r="MU146" s="99"/>
      <c r="MV146" s="99"/>
      <c r="MW146" s="99"/>
      <c r="MX146" s="99"/>
      <c r="MY146" s="153"/>
      <c r="MZ146" s="153"/>
      <c r="NA146" s="153"/>
      <c r="NB146" s="153"/>
      <c r="NC146" s="153"/>
      <c r="ND146" s="153"/>
      <c r="NE146" s="153"/>
      <c r="NF146" s="153"/>
      <c r="NG146" s="153"/>
      <c r="NH146" s="145" t="str">
        <f t="shared" si="823"/>
        <v>ks</v>
      </c>
      <c r="NI146" s="779">
        <f>RZ[[#This Row],[Počet ks (K)]]</f>
        <v>0</v>
      </c>
      <c r="NJ146" s="210">
        <f>RZ[[#This Row],[Hmotnost '[kg/ks'] (K)]]</f>
        <v>0</v>
      </c>
      <c r="NK146" s="153"/>
      <c r="NL146" s="153"/>
      <c r="NM146" s="632"/>
      <c r="NN146" s="153"/>
      <c r="NO146" s="153"/>
      <c r="NP146" s="153"/>
      <c r="NQ146" s="153"/>
      <c r="NR146" s="153"/>
      <c r="NS146" s="153"/>
      <c r="NT146" s="153"/>
      <c r="NU146" s="153"/>
      <c r="NV146" s="148"/>
      <c r="NW146" s="633"/>
    </row>
    <row r="147" spans="2:387" ht="15.95" customHeight="1" x14ac:dyDescent="0.35">
      <c r="B147" s="118" t="str">
        <f t="shared" ref="B147:B150" si="1264">IF(HF147=0,"",HF147)</f>
        <v/>
      </c>
      <c r="C1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7" s="262" t="str">
        <f t="shared" ref="D147:D150" si="1265">IF(HG147&lt;&gt;"",HG147,IF(HH147&lt;&gt;"","  "&amp;HH147,IF(HI147&lt;&gt;"","  "&amp;"  "&amp;HI147,IF(HJ147&lt;&gt;"","  "&amp;"  "&amp;"  "&amp;HJ147,IF(HK147&lt;&gt;"","  "&amp;"  "&amp;"  "&amp;"  "&amp;HK147,IF(HL147&lt;&gt;"","  "&amp;"  "&amp;"  "&amp;"  "&amp;"  "&amp;HL147,IF(HM147&lt;&gt;"","  "&amp;"  "&amp;"  "&amp;"  "&amp;"  "&amp;"  "&amp;HM147,IF(HN147&lt;&gt;"","  "&amp;"  "&amp;"  "&amp;"  "&amp;"  "&amp;"  "&amp;"  "&amp;HN147,IF(HO147&lt;&gt;"","  "&amp;"  "&amp;"  "&amp;"  "&amp;"  "&amp;"  "&amp;"  "&amp;"  "&amp;HO147,IF(HP147&lt;&gt;"","  "&amp;"  "&amp;"  "&amp;"  "&amp;"  "&amp;"  "&amp;"  "&amp;"  "&amp;"  "&amp;HP147,0))))))))))</f>
        <v xml:space="preserve">  Ocelová konstrukce</v>
      </c>
      <c r="E147" s="120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Row],[Kód položek (P2)]]))))))))))</f>
        <v>OKS1</v>
      </c>
      <c r="F147" s="791" t="str">
        <f t="shared" ref="F147:F150" si="1266">IF(HS147=0,"N/A",HS147)</f>
        <v>N/A</v>
      </c>
      <c r="G147" s="792" t="str">
        <f t="shared" ref="G147:G150" si="1267">IF(HT147=0,"",HT147)</f>
        <v/>
      </c>
      <c r="H147" s="262" t="str">
        <f t="shared" ref="H147:H150" si="1268">IF(HU147=0,"",HU147)</f>
        <v/>
      </c>
      <c r="I147" s="123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HR '[MJHR'] (P0)]]))))))))))</f>
        <v>ks</v>
      </c>
      <c r="J147" s="123">
        <f t="shared" ref="J147:J150" si="1269">IF(IF147=0,"",IF147)</f>
        <v>1</v>
      </c>
      <c r="K147" s="793">
        <f>RZ[[#This Row],[Koeficient odhadu HR '[-'] (P1)]]</f>
        <v>1</v>
      </c>
      <c r="L147" s="124">
        <f ca="1">RZ[[#This Row],[Jednotková hmotnost s koef. '[kg/MJHR'] (P0)]]</f>
        <v>80000</v>
      </c>
      <c r="M147" s="794">
        <f t="shared" ref="M147:M150" ca="1" si="1270">IF(ISNUMBER(K147),L147/K147*(K147-1),0)</f>
        <v>0</v>
      </c>
      <c r="N147" s="125">
        <f t="shared" ref="N147:N150" ca="1" si="1271">IF(ISNUMBER(J147),J147*L147,0)</f>
        <v>80000</v>
      </c>
      <c r="O147" s="125">
        <f t="shared" ref="O147:O150" ca="1" si="1272">IF(ISNUMBER(J147),J147*M147,0)</f>
        <v>0</v>
      </c>
      <c r="P147" s="126" t="str">
        <f t="shared" ref="P147:P150" si="1273">IF(HR147=0,"",HR147)</f>
        <v/>
      </c>
      <c r="Q147" s="795">
        <f ca="1">RZ[[#This Row],[Počet MJHR v rozpadu (P0)]]</f>
        <v>1</v>
      </c>
      <c r="R147" s="439" t="str">
        <f t="shared" ref="R147:R150" si="1274">IF(HV147&lt;&gt;0,HV147,"")</f>
        <v/>
      </c>
      <c r="S147" s="129" t="str">
        <f t="shared" ref="S147:S150" si="1275">IF(HW147&lt;&gt;0,HW147,"")</f>
        <v/>
      </c>
      <c r="T147" s="126" t="str">
        <f t="shared" ref="T147:T150" si="1276">IF(HX147=0,"",HX147)</f>
        <v/>
      </c>
      <c r="U147" s="126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CR (MJCR) (P0)]]))))))))))</f>
        <v>kg</v>
      </c>
      <c r="V147" s="575">
        <f t="shared" ref="V147:V150" ca="1" si="1277">IF(IK147=0,"",IK147)</f>
        <v>80000</v>
      </c>
      <c r="W147" s="322">
        <f>RZ[[#This Row],[Koeficient odhadu CR '[-'] (P1)]]</f>
        <v>1</v>
      </c>
      <c r="X147" s="440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Row],[Jednotková cena bez DPH '[cena/MJCR'] (P1)]]*RZ[[#This Row],[Koeficient odhadu CR '[-']]]))))))))))</f>
        <v>140</v>
      </c>
      <c r="Y147" s="440">
        <f t="shared" ref="Y147:Y150" ca="1" si="1278">IF(ISNUMBER(X147),-X147/W147*(W147-1),0)</f>
        <v>0</v>
      </c>
      <c r="Z147" s="142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VLOOKUP(IP147,$BR$7:$BS$11,2,FALSE)))))))))))</f>
        <v>CZK</v>
      </c>
      <c r="AA147" s="811">
        <f t="shared" ref="AA147:AA150" ca="1" si="1279">GJ147</f>
        <v>80000</v>
      </c>
      <c r="AB147" s="814">
        <f ca="1">RZ[[#This Row],[Kumulovaný koeficient v rozpadu (P0)]]</f>
        <v>1</v>
      </c>
      <c r="AC147" s="260"/>
      <c r="AD147" s="796">
        <f ca="1">RZ[[#This Row],[Jednotková cena bez DPH '[cena/MJCR'] s koef. (P0)]]/RZ[[#This Row],[Koeficient odhadu CR '[-']]]*RZ[[#This Row],[Kumulovaný koeficient odhadu CR  '[-']]]</f>
        <v>140</v>
      </c>
      <c r="AE147" s="796">
        <f t="shared" ref="AE147:AE150" ca="1" si="1280">IF(ISNUMBER(AA147),AA147*AD147,0)*IF(V147="",0,1)</f>
        <v>11200000</v>
      </c>
      <c r="AF147" s="796">
        <f ca="1">-IF(ISNUMBER(AA147),RZ[[#This Row],[Celková cena bez DPH (1)]]-RZ[[#This Row],[Jednotková cena bez DPH '[cena/MJCR'] bez koef. (P0)]]*AA147,0)</f>
        <v>0</v>
      </c>
      <c r="AG1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47" s="261"/>
      <c r="AI147" s="796">
        <f t="shared" ref="AI147:AI150" ca="1" si="1281">AD147/VLOOKUP($AJ$13,KURZY,3,FALSE)</f>
        <v>5.1851851851851851</v>
      </c>
      <c r="AJ147" s="796">
        <f t="shared" ref="AJ147:AJ150" ca="1" si="1282">AE147/VLOOKUP($AJ$13,KURZY,3,FALSE)*IF(V147="",0,1)</f>
        <v>414814.81481481483</v>
      </c>
      <c r="AK147" s="796">
        <f t="shared" ref="AK147:AK150" ca="1" si="1283">AF147/VLOOKUP($AJ$13,KURZY,3,FALSE)</f>
        <v>0</v>
      </c>
      <c r="AL147" s="753">
        <f ca="1">RZ[[#This Row],[Kilogramová cena bez DPH '[cena/kg'] (1)]]/$AK$13</f>
        <v>5.1851851851851851</v>
      </c>
      <c r="AM147" s="261"/>
      <c r="AN147" s="796">
        <f t="shared" ref="AN147:AN150" ca="1" si="1284">AD147/VLOOKUP($AO$13,KURZY,3,FALSE)</f>
        <v>6.7632850241545892</v>
      </c>
      <c r="AO147" s="796">
        <f t="shared" ref="AO147:AO150" ca="1" si="1285">AE147/VLOOKUP($AO$13,KURZY,3,FALSE)*IF(V147="",0,1)</f>
        <v>541062.80193236715</v>
      </c>
      <c r="AP147" s="796">
        <f t="shared" ref="AP147:AP150" ca="1" si="1286">AF147/VLOOKUP($AO$13,KURZY,3,FALSE)</f>
        <v>0</v>
      </c>
      <c r="AQ147" s="753">
        <f ca="1">RZ[[#This Row],[Kilogramová cena bez DPH '[cena/kg'] (1)]]/$AP$13</f>
        <v>6.7632850241545892</v>
      </c>
      <c r="AR147" s="261"/>
      <c r="AS147" s="796">
        <f t="shared" ref="AS147:AS150" ca="1" si="1287">AD147/VLOOKUP($AT$13,KURZY,3,FALSE)</f>
        <v>3.8293216630196936</v>
      </c>
      <c r="AT147" s="796">
        <f t="shared" ref="AT147:AT150" ca="1" si="1288">AE147/VLOOKUP($AT$13,KURZY,3,FALSE)*IF(V147="",0,1)</f>
        <v>306345.73304157547</v>
      </c>
      <c r="AU147" s="789">
        <f t="shared" ref="AU147:AU150" ca="1" si="1289">AF147/VLOOKUP($AT$13,KURZY,3,FALSE)</f>
        <v>0</v>
      </c>
      <c r="AV147" s="767">
        <f ca="1">RZ[[#This Row],[Kilogramová cena bez DPH '[cena/kg'] (1)]]/$AU$13</f>
        <v>3.8293216630196936</v>
      </c>
      <c r="AW147" s="165"/>
      <c r="AX147" s="110">
        <f t="shared" ref="AX147:AX150" ca="1" si="1290">IF($BH147=0,IF(AY147&gt;0,OFFSET(AX147,-1,0,1,1),0),OFFSET(AX147,-1,0,1,1)+1)</f>
        <v>2</v>
      </c>
      <c r="AY147" s="55">
        <f t="shared" ref="AY147:AY150" ca="1" si="1291">IF($BI147=0,IF(AZ147&gt;0,OFFSET(AY147,-1,0,1,1),0),OFFSET(AY147,-1,0,1,1)+1)</f>
        <v>30</v>
      </c>
      <c r="AZ147" s="111">
        <f t="shared" ref="AZ147:AZ150" ca="1" si="1292">IF($BJ147=0,IF(BA147&gt;0,OFFSET(AZ147,-1,0,1,1),0),OFFSET(AZ147,-1,0,1,1)+1)</f>
        <v>0</v>
      </c>
      <c r="BA147" s="111">
        <f t="shared" ref="BA147:BA150" ca="1" si="1293">IF($BK147=0,IF(BB147&gt;0,OFFSET(BA147,-1,0,1,1),0),OFFSET(BA147,-1,0,1,1)+1)</f>
        <v>0</v>
      </c>
      <c r="BB147" s="111">
        <f t="shared" ref="BB147:BB150" ca="1" si="1294">IF($BL147=0,IF(BC147&gt;0,OFFSET(BB147,-1,0,1,1),0),OFFSET(BB147,-1,0,1,1)+1)</f>
        <v>0</v>
      </c>
      <c r="BC147" s="111">
        <f t="shared" ref="BC147:BC150" ca="1" si="1295">IF($BM147=0,IF(BD147&gt;0,OFFSET(BC147,-1,0,1,1),0),OFFSET(BC147,-1,0,1,1)+1)</f>
        <v>0</v>
      </c>
      <c r="BD147" s="111">
        <f t="shared" ref="BD147:BD150" ca="1" si="1296">IF($BN147=0,IF(BE147&gt;0,OFFSET(BD147,-1,0,1,1),0),OFFSET(BD147,-1,0,1,1)+1)</f>
        <v>0</v>
      </c>
      <c r="BE147" s="111">
        <f t="shared" ref="BE147:BE150" ca="1" si="1297">IF($BO147=0,IF(BF147&gt;0,OFFSET(BE147,-1,0,1,1),0),OFFSET(BE147,-1,0,1,1)+1)</f>
        <v>0</v>
      </c>
      <c r="BF147" s="111">
        <f t="shared" ref="BF147:BF150" ca="1" si="1298">IF($BP147=0,IF(BG147&gt;0,OFFSET(BF147,-1,0,1,1),0),OFFSET(BF147,-1,0,1,1)+1)</f>
        <v>0</v>
      </c>
      <c r="BG147" s="112">
        <f t="shared" ref="BG147:BG150" ca="1" si="1299">IF($BQ147=0,0,OFFSET($BG147,-1,0,1,1)+1)</f>
        <v>0</v>
      </c>
      <c r="BH147" s="110">
        <f t="shared" ref="BH147:BH150" si="1300">IF(HG147="",0,1)</f>
        <v>0</v>
      </c>
      <c r="BI147" s="55">
        <f t="shared" ref="BI147:BI150" si="1301">IF(HH147="",0,1)</f>
        <v>1</v>
      </c>
      <c r="BJ147" s="55">
        <f t="shared" ref="BJ147:BJ150" si="1302">IF(HI147="",0,1)</f>
        <v>0</v>
      </c>
      <c r="BK147" s="111">
        <f t="shared" ref="BK147:BK150" si="1303">IF(HJ147="",0,1)</f>
        <v>0</v>
      </c>
      <c r="BL147" s="111">
        <f t="shared" ref="BL147:BL150" si="1304">IF(HK147="",0,1)</f>
        <v>0</v>
      </c>
      <c r="BM147" s="111">
        <f t="shared" ref="BM147:BM150" si="1305">IF(HL147="",0,1)</f>
        <v>0</v>
      </c>
      <c r="BN147" s="111">
        <f t="shared" ref="BN147:BN150" si="1306">IF(HM147="",0,1)</f>
        <v>0</v>
      </c>
      <c r="BO147" s="111">
        <f t="shared" ref="BO147:BO150" si="1307">IF(HN147="",0,1)</f>
        <v>0</v>
      </c>
      <c r="BP147" s="111">
        <f t="shared" ref="BP147:BP150" si="1308">IF(HO147="",0,1)</f>
        <v>0</v>
      </c>
      <c r="BQ147" s="112">
        <f t="shared" ref="BQ147:BQ150" si="1309">IF(HP147="",0,1)</f>
        <v>0</v>
      </c>
      <c r="BR147" s="186">
        <f ca="1">IF(OFFSET(AY147,1,0,1,1)&lt;&gt;0,RZ[[#This Row],[Koeficient odhadu HR '[-'] (P1)]]*$BH147*SUMIFS(RZ[Úroveň 2 s koef. (P2)],RZ[0],AX147),RZ[[#This Row],[Koeficient odhadu HR '[-'] (P1)]]*$BH147*$IG147)</f>
        <v>0</v>
      </c>
      <c r="BS147" s="186">
        <f ca="1">IF(OFFSET(AY147,1,0,1,1)&lt;&gt;0,$BH147*SUMIFS(RZ[Úroveň 2 bez koef. (P2)],RZ[0],AX147),$BH147*$IG147)</f>
        <v>0</v>
      </c>
      <c r="BT147" s="138">
        <f ca="1">RZ[[#This Row],[Úroveň 2 s koef. (P2a)]]*RZ[[#This Row],[Počet MJHR (P0)]]</f>
        <v>80000</v>
      </c>
      <c r="BU147" s="138">
        <f ca="1">RZ[[#This Row],[Úroveň 2 bez koef. (P2a)]]*RZ[[#This Row],[Počet MJHR (P0)]]</f>
        <v>80000</v>
      </c>
      <c r="BV147" s="138">
        <f ca="1">IF(OFFSET(AZ147,1,0,1,1)&lt;&gt;0,RZ[[#This Row],[Koeficient odhadu HR '[-'] (P1)]]*$BI147*SUMIFS(RZ[Úroveň 3 s koef. (P2)],RZ[0],AX147,RZ[Úroveň 2 (P0)],AY147),RZ[[#This Row],[Koeficient odhadu HR '[-'] (P1)]]*$BI147*$IG147)</f>
        <v>80000</v>
      </c>
      <c r="BW147" s="138">
        <f ca="1">IF(OFFSET(AZ147,1,0,1,1)&lt;&gt;0,$BI147*SUMIFS(RZ[Úroveň 3 bez koef. (P2)],RZ[0],AX147,RZ[Úroveň 2 (P0)],AY147),$BI147*$IG147)</f>
        <v>80000</v>
      </c>
      <c r="BX147" s="132">
        <f ca="1">RZ[[#This Row],[Úroveň 3 s koef. (P2a)]]*RZ[[#This Row],[Počet MJHR (P0)]]</f>
        <v>0</v>
      </c>
      <c r="BY147" s="132">
        <f ca="1">RZ[Úroveň 3 bez koef. (P2a)]*RZ[[#This Row],[Počet MJHR (P0)]]</f>
        <v>0</v>
      </c>
      <c r="BZ147" s="132">
        <f ca="1">IF(OFFSET(BA147,1,0,1,1)&lt;&gt;0,RZ[[#This Row],[Koeficient odhadu HR '[-'] (P1)]]*$BJ147*SUMIFS(RZ[Úroveň 4 s koef. (P2)],RZ[0],AX147,RZ[Úroveň 2 (P0)],AY147,RZ[Úroveň 3 (P0)],AZ147),RZ[[#This Row],[Koeficient odhadu HR '[-'] (P1)]]*$BJ147*$IG147)</f>
        <v>0</v>
      </c>
      <c r="CA147" s="132">
        <f ca="1">IF(OFFSET(BA147,1,0,1,1)&lt;&gt;0,$BJ147*SUMIFS(RZ[Úroveň 4 bez koef. (P2)],RZ[0],AX147,RZ[Úroveň 2 (P0)],AY147,RZ[Úroveň 3 (P0)],AZ147),$BJ147*$IG147)</f>
        <v>0</v>
      </c>
      <c r="CB147" s="138">
        <f ca="1">RZ[[#This Row],[Úroveň 4 s koef. (P2a)]]*RZ[[#This Row],[Počet MJHR (P0)]]</f>
        <v>0</v>
      </c>
      <c r="CC147" s="138">
        <f ca="1">RZ[Úroveň 4 bez koef. (P2a)]*RZ[[#This Row],[Počet MJHR (P0)]]</f>
        <v>0</v>
      </c>
      <c r="CD147" s="138">
        <f ca="1">IF(OFFSET(BB147,1,0,1,1)&lt;&gt;0,RZ[[#This Row],[Koeficient odhadu HR '[-'] (P1)]]*$BK147*SUMIFS(RZ[Úroveň 5 s koef. (P2)],RZ[0],AX147,RZ[Úroveň 2 (P0)],AY147,RZ[Úroveň 3 (P0)],AZ147,RZ[Úroveň 4 (P0)],BA147),RZ[[#This Row],[Koeficient odhadu HR '[-'] (P1)]]*$BK147*$IG147)</f>
        <v>0</v>
      </c>
      <c r="CE147" s="138">
        <f ca="1">IF(OFFSET(BB147,1,0,1,1)&lt;&gt;0,$BK147*SUMIFS(RZ[Úroveň 5 bez koef. (P2)],RZ[0],AX147,RZ[Úroveň 2 (P0)],AY147,RZ[Úroveň 3 (P0)],AZ147,RZ[Úroveň 4 (P0)],BA147),$BK147*$IG147)</f>
        <v>0</v>
      </c>
      <c r="CF147" s="132">
        <f ca="1">RZ[[#This Row],[Úroveň 5 s koef. (P2a)]]*RZ[[#This Row],[Počet MJHR (P0)]]</f>
        <v>0</v>
      </c>
      <c r="CG147" s="132">
        <f ca="1">RZ[Úroveň 5 bez koef. (P2a)]*RZ[[#This Row],[Počet MJHR (P0)]]</f>
        <v>0</v>
      </c>
      <c r="CH147" s="132">
        <f ca="1">IF(OFFSET(BC147,1,0,1,1)&lt;&gt;0,RZ[[#This Row],[Koeficient odhadu HR '[-'] (P1)]]*$BL147*SUMIFS(RZ[Úroveň 6 s koef. (P2)],RZ[0],AX147,RZ[Úroveň 2 (P0)],AY147,RZ[Úroveň 3 (P0)],AZ147,RZ[Úroveň 4 (P0)],BA147,RZ[Úroveň 5 (P0)],BB147),RZ[[#This Row],[Koeficient odhadu HR '[-'] (P1)]]*$BL147*$IG147)</f>
        <v>0</v>
      </c>
      <c r="CI147" s="132">
        <f ca="1">IF(OFFSET(BC147,1,0,1,1)&lt;&gt;0,$BL147*SUMIFS(RZ[Úroveň 6 bez koef. (P2)],RZ[0],AX147,RZ[Úroveň 2 (P0)],AY147,RZ[Úroveň 3 (P0)],AZ147,RZ[Úroveň 4 (P0)],BA147,RZ[Úroveň 5 (P0)],BB147),$BL147*$IG147)</f>
        <v>0</v>
      </c>
      <c r="CJ147" s="138">
        <f ca="1">RZ[[#This Row],[Úroveň 6 s koef. (P2a)]]*RZ[[#This Row],[Počet MJHR (P0)]]</f>
        <v>0</v>
      </c>
      <c r="CK147" s="138">
        <f ca="1">RZ[Úroveň 6 bez koef. (P2a)]*RZ[[#This Row],[Počet MJHR (P0)]]</f>
        <v>0</v>
      </c>
      <c r="CL147" s="138">
        <f ca="1">IF(OFFSET(BD147,1,0,1,1)&lt;&gt;0,RZ[[#This Row],[Koeficient odhadu HR '[-'] (P1)]]*$BM147*SUMIFS(RZ[Úroveň 7 s koef. (P2)],RZ[0],AX147,RZ[Úroveň 2 (P0)],AY147,RZ[Úroveň 3 (P0)],AZ147,RZ[Úroveň 4 (P0)],BA147,RZ[Úroveň 5 (P0)],BB147,RZ[Úroveň 6 (P0)],BC147),RZ[[#This Row],[Koeficient odhadu HR '[-'] (P1)]]*$BM147*$IG147)</f>
        <v>0</v>
      </c>
      <c r="CM147" s="138">
        <f ca="1">IF(OFFSET(BD147,1,0,1,1)&lt;&gt;0,$BM147*SUMIFS(RZ[Úroveň 7 bez koef. (P2)],RZ[0],AX147,RZ[Úroveň 2 (P0)],AY147,RZ[Úroveň 3 (P0)],AZ147,RZ[Úroveň 4 (P0)],BA147,RZ[Úroveň 5 (P0)],BB147,RZ[Úroveň 6 (P0)],BC147),$BM147*$IG147)</f>
        <v>0</v>
      </c>
      <c r="CN147" s="132">
        <f ca="1">RZ[[#This Row],[Úroveň 7 s koef. (P2a)]]*RZ[[#This Row],[Počet MJHR (P0)]]</f>
        <v>0</v>
      </c>
      <c r="CO147" s="132">
        <f ca="1">RZ[Úroveň 7 bez koef. (P2a)]*RZ[[#This Row],[Počet MJHR (P0)]]</f>
        <v>0</v>
      </c>
      <c r="CP147" s="132">
        <f ca="1">IF(OFFSET(BE147,1,0,1,1)&lt;&gt;0,RZ[[#This Row],[Koeficient odhadu HR '[-'] (P1)]]*$BN147*SUMIFS(RZ[Úroveň 8 s koef. (P2)],RZ[0],AX147,RZ[Úroveň 2 (P0)],AY147,RZ[Úroveň 3 (P0)],AZ147,RZ[Úroveň 4 (P0)],BA147,RZ[Úroveň 5 (P0)],BB147,RZ[Úroveň 6 (P0)],BC147,RZ[Úroveň 7 (P0)],BD147),RZ[[#This Row],[Koeficient odhadu HR '[-'] (P1)]]*$BN147*$IG147)</f>
        <v>0</v>
      </c>
      <c r="CQ147" s="132">
        <f ca="1">IF(OFFSET(BE147,1,0,1,1)&lt;&gt;0,$BN147*SUMIFS(RZ[Úroveň 8 bez koef. (P2)],RZ[0],AX147,RZ[Úroveň 2 (P0)],AY147,RZ[Úroveň 3 (P0)],AZ147,RZ[Úroveň 4 (P0)],BA147,RZ[Úroveň 5 (P0)],BB147,RZ[Úroveň 6 (P0)],BC147,RZ[Úroveň 7 (P0)],BD147),$BN147*$IG147)</f>
        <v>0</v>
      </c>
      <c r="CR147" s="138">
        <f ca="1">RZ[[#This Row],[Úroveň 8 s koef. (P2a)]]*RZ[[#This Row],[Počet MJHR (P0)]]</f>
        <v>0</v>
      </c>
      <c r="CS147" s="138">
        <f ca="1">RZ[Úroveň 8 bez koef. (P2a)]*RZ[[#This Row],[Počet MJHR (P0)]]</f>
        <v>0</v>
      </c>
      <c r="CT147" s="138">
        <f ca="1">IF(OFFSET(BF147,1,0,1,1)&lt;&gt;0,RZ[[#This Row],[Koeficient odhadu HR '[-'] (P1)]]*$BO147*SUMIFS(RZ[Úroveň 9 s koef. (P2)],RZ[0],AX147,RZ[Úroveň 2 (P0)],AY147,RZ[Úroveň 3 (P0)],AZ147,RZ[Úroveň 4 (P0)],BA147,RZ[Úroveň 5 (P0)],BB147,RZ[Úroveň 6 (P0)],BC147,RZ[Úroveň 7 (P0)],BD147,RZ[Úroveň 8 (P0)],BE147),RZ[[#This Row],[Koeficient odhadu HR '[-'] (P1)]]*$BO147*$IG147)</f>
        <v>0</v>
      </c>
      <c r="CU147" s="138">
        <f ca="1">IF(OFFSET(BF147,1,0,1,1)&lt;&gt;0,$BO147*SUMIFS(RZ[Úroveň 9 bez koef. (P2)],RZ[0],AX147,RZ[Úroveň 2 (P0)],AY147,RZ[Úroveň 3 (P0)],AZ147,RZ[Úroveň 4 (P0)],BA147,RZ[Úroveň 5 (P0)],BB147,RZ[Úroveň 6 (P0)],BC147,RZ[Úroveň 7 (P0)],BD147,RZ[Úroveň 8 (P0)],BE147),$BO147*$IG147)</f>
        <v>0</v>
      </c>
      <c r="CV147" s="132">
        <f ca="1">RZ[[#This Row],[Úroveň 9 s koef. (P2a)]]*RZ[[#This Row],[Počet MJHR (P0)]]</f>
        <v>0</v>
      </c>
      <c r="CW147" s="132">
        <f ca="1">RZ[Úroveň 9 bez koef. (P2a)]*RZ[[#This Row],[Počet MJHR (P0)]]</f>
        <v>0</v>
      </c>
      <c r="CX147" s="132">
        <f ca="1">IF(OFFSET(BG147,1,0,1,1)&lt;&gt;0,RZ[[#This Row],[Koeficient odhadu HR '[-'] (P1)]]*$BP147*SUMIFS(RZ[Úroveň 10 s koef. (P2)],RZ[0],AX147,RZ[Úroveň 2 (P0)],AY147,RZ[Úroveň 3 (P0)],AZ147,RZ[Úroveň 4 (P0)],BA147,RZ[Úroveň 5 (P0)],BB147,RZ[Úroveň 6 (P0)],BC147,RZ[Úroveň 7 (P0)],BD147,RZ[Úroveň 8 (P0)],BE147,RZ[Úroveň 9 (P0)],BF147),RZ[[#This Row],[Koeficient odhadu HR '[-'] (P1)]]*$BP147*$IG147)</f>
        <v>0</v>
      </c>
      <c r="CY147" s="132">
        <f ca="1">IF(OFFSET(BG147,1,0,1,1)&lt;&gt;0,$BP147*SUMIFS(RZ[Úroveň 10 bez koef. (P2)],RZ[0],AX147,RZ[Úroveň 2 (P0)],AY147,RZ[Úroveň 3 (P0)],AZ147,RZ[Úroveň 4 (P0)],BA147,RZ[Úroveň 5 (P0)],BB147,RZ[Úroveň 6 (P0)],BC147,RZ[Úroveň 7 (P0)],BD147,RZ[Úroveň 8 (P0)],BE147,RZ[Úroveň 9 (P0)],BF147),$BP147*$IG147)</f>
        <v>0</v>
      </c>
      <c r="CZ147" s="138">
        <f>RZ[[#This Row],[Úroveň 10 s koef. (P2a)]]*RZ[[#This Row],[Počet MJHR (P0)]]</f>
        <v>0</v>
      </c>
      <c r="DA147" s="138">
        <f>RZ[Úroveň 10 bez koef. (P2a)]*RZ[[#This Row],[Počet MJHR (P0)]]</f>
        <v>0</v>
      </c>
      <c r="DB147" s="138">
        <f>RZ[[#This Row],[Koeficient odhadu HR '[-'] (P1)]]*$BQ147*IG147</f>
        <v>0</v>
      </c>
      <c r="DC147" s="231">
        <f t="shared" ref="DC147:DC150" si="1310">$BQ147*IG147</f>
        <v>0</v>
      </c>
      <c r="DD147" s="241">
        <f t="shared" ref="DD147:DD150" ca="1" si="1311">IF(BH147=1,BR147,IF(BI147=1,BV147,IF(BJ147=1,BZ147,IF(BK147=1,CD147,IF(BL147=1,CH147,IF(BM147=1,CL147,IF(BN147=1,CP147,IF(BO147=1,CT147,IF(BP147=1,CX147,DB147)))))))))</f>
        <v>80000</v>
      </c>
      <c r="DE147" s="229">
        <f t="shared" ref="DE147:DE150" ca="1" si="1312">IF(BH147=1,BS147,IF(BI147=1,BW147,IF(BJ147=1,CA147,IF(BK147=1,CE147,IF(BL147=1,CI147,IF(BM147=1,CM147,IF(BN147=1,CQ147,IF(BO147=1,CU147,IF(BP147=1,CY147,DC147)))))))))</f>
        <v>80000</v>
      </c>
      <c r="DF147" s="521">
        <f t="shared" ref="DF147:DF150" si="1313">BH147*$IF147</f>
        <v>0</v>
      </c>
      <c r="DG147" s="522">
        <f t="shared" ref="DG147:DG150" si="1314">BI147*$IF147</f>
        <v>1</v>
      </c>
      <c r="DH147" s="522">
        <f t="shared" ref="DH147:DH150" si="1315">BJ147*$IF147</f>
        <v>0</v>
      </c>
      <c r="DI147" s="523">
        <f t="shared" ref="DI147:DI150" si="1316">BK147*$IF147</f>
        <v>0</v>
      </c>
      <c r="DJ147" s="524">
        <f t="shared" ref="DJ147:DJ150" si="1317">BL147*$IF147</f>
        <v>0</v>
      </c>
      <c r="DK147" s="524">
        <f t="shared" ref="DK147:DK150" si="1318">BM147*$IF147</f>
        <v>0</v>
      </c>
      <c r="DL147" s="524">
        <f t="shared" ref="DL147:DL150" si="1319">BN147*$IF147</f>
        <v>0</v>
      </c>
      <c r="DM147" s="524">
        <f t="shared" ref="DM147:DM150" si="1320">BO147*$IF147</f>
        <v>0</v>
      </c>
      <c r="DN147" s="524">
        <f t="shared" ref="DN147:DN150" si="1321">BP147*$IF147</f>
        <v>0</v>
      </c>
      <c r="DO147" s="523">
        <f t="shared" ref="DO147:DO150" si="1322">BQ147*$IF147</f>
        <v>0</v>
      </c>
      <c r="DP147" s="525">
        <f ca="1">SUMIFS(RZ[Úroveň 1 (P4)],RZ[0],AX147)</f>
        <v>1</v>
      </c>
      <c r="DQ147" s="525">
        <f ca="1">SUMIFS(RZ[Úroveň 2 (P4)],RZ[0],AX147,RZ[Úroveň 2 (P0)],AY147)</f>
        <v>1</v>
      </c>
      <c r="DR147" s="525">
        <f ca="1">SUMIFS(RZ[Úroveň 3 (P4)],RZ[0],AX147,RZ[Úroveň 2 (P0)],AY147,RZ[Úroveň 3 (P0)],AZ147)</f>
        <v>0</v>
      </c>
      <c r="DS147" s="525">
        <f ca="1">SUMIFS(RZ[Úroveň 4 (P4)],RZ[0],AX147,RZ[Úroveň 2 (P0)],AY147,RZ[Úroveň 3 (P0)],AZ147,RZ[Úroveň 4 (P0)],BA147)</f>
        <v>0</v>
      </c>
      <c r="DT147" s="526">
        <f ca="1">SUMIFS(RZ[Úroveň 5 (P4)],RZ[0],AX147,RZ[Úroveň 2 (P0)],AY147,RZ[Úroveň 3 (P0)],AZ147,RZ[Úroveň 4 (P0)],BA147,RZ[Úroveň 5 (P0)],BB147)</f>
        <v>0</v>
      </c>
      <c r="DU147" s="526">
        <f ca="1">SUMIFS(RZ[Úroveň 6 (P4)],RZ[0],AX147,RZ[Úroveň 2 (P0)],AY147,RZ[Úroveň 3 (P0)],AZ147,RZ[Úroveň 4 (P0)],BA147,RZ[Úroveň 5 (P0)],BB147,RZ[Úroveň 6 (P0)],BC147)</f>
        <v>0</v>
      </c>
      <c r="DV147" s="526">
        <f ca="1">SUMIFS(RZ[Úroveň 7 (P4)],RZ[0],AX147,RZ[Úroveň 2 (P0)],AY147,RZ[Úroveň 3 (P0)],AZ147,RZ[Úroveň 4 (P0)],BA147,RZ[Úroveň 5 (P0)],BB147,RZ[Úroveň 6 (P0)],BC147,RZ[Úroveň 7 (P0)],BD147)</f>
        <v>0</v>
      </c>
      <c r="DW147" s="526">
        <f ca="1">SUMIFS(RZ[Úroveň 8 (P4)],RZ[0],AX147,RZ[Úroveň 2 (P0)],AY147,RZ[Úroveň 3 (P0)],AZ147,RZ[Úroveň 4 (P0)],BA147,RZ[Úroveň 5 (P0)],BB147,RZ[Úroveň 6 (P0)],BC147,RZ[Úroveň 7 (P0)],BD147,RZ[Úroveň 8 (P0)],BE147)</f>
        <v>0</v>
      </c>
      <c r="DX147" s="526">
        <f ca="1">SUMIFS(RZ[Úroveň 9 (P4)],RZ[0],AX147,RZ[Úroveň 2 (P0)],AY147,RZ[Úroveň 3 (P0)],AZ147,RZ[Úroveň 4 (P0)],BA147,RZ[Úroveň 5 (P0)],BB147,RZ[Úroveň 6 (P0)],BC147,RZ[Úroveň 7 (P0)],BD147,RZ[Úroveň 8 (P0)],BE147,RZ[Úroveň 9 (P0)],BF147)</f>
        <v>0</v>
      </c>
      <c r="DY147" s="526">
        <f ca="1">SUMIFS(RZ[Úroveň 10 (P4)],RZ[0],AX147,RZ[Úroveň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DZ147" s="527">
        <f t="shared" ref="DZ147:DZ150" ca="1" si="1323">IF(DP147&lt;&gt;0,DP147,1)*IF(DQ147&lt;&gt;0,DQ147,1)*IF(DR147&lt;&gt;0,DR147,1)*IF(DS147&lt;&gt;0,DS147,1)*IF(DT147&lt;&gt;0,DT147,1)*IF(DU147&lt;&gt;0,DU147,1)*IF(DV147&lt;&gt;0,DV147,1)*IF(DW147&lt;&gt;0,DW147,1)*IF(DX147&lt;&gt;0,DX147,1)*IF(DY147&lt;&gt;0,DY147,1)</f>
        <v>1</v>
      </c>
      <c r="EA147" s="528">
        <f ca="1">RZ[[#This Row],[Jednotková hmotnost bez koef. '[kg/MJHR'] (P0)]]*RZ[[#This Row],[Počet MJHR v rozpadu (P0)]]</f>
        <v>80000</v>
      </c>
      <c r="EB147" s="191">
        <f ca="1">IF(OFFSET(AY147,1,0,1,1)&lt;&gt;0,RZ[[#This Row],[Koeficient odhadu CR '[-'] (P1)]]*$BH147*SUMIFS(RZ[Úroveň 2 s koef. (P3)],RZ[0],AX147),RZ[[#This Row],[Koeficient odhadu CR '[-'] (P1)]]*$BH147*$IQ147)</f>
        <v>0</v>
      </c>
      <c r="EC147" s="191">
        <f ca="1">IF(OFFSET(AY147,1,0,1,1)&lt;&gt;0,$BH147*SUMIFS(RZ[Úroveň 2 bez koef. (P3)],RZ[0],AX147),$BH147*$IQ147)</f>
        <v>0</v>
      </c>
      <c r="ED147" s="140">
        <f ca="1">RZ[[#This Row],[Úroveň 2 s koef. (P3a)]]*RZ[[#This Row],[Počet MJCR (P0) pro "kg"]]</f>
        <v>11200000</v>
      </c>
      <c r="EE147" s="140">
        <f ca="1">RZ[Úroveň 2 bez koef. (P3a)]*RZ[[#This Row],[Počet MJCR (P0) pro "kg"]]</f>
        <v>11200000</v>
      </c>
      <c r="EF147" s="140">
        <f ca="1">IF(OFFSET(AZ147,1,0,1,1)&lt;&gt;0,RZ[[#This Row],[Koeficient odhadu CR '[-'] (P1)]]*$BI147*SUMIFS(RZ[Úroveň 3 s koef. (P3)],RZ[0],AX147,RZ[Úroveň 2 (P0)],AY147),RZ[[#This Row],[Koeficient odhadu CR '[-'] (P1)]]*$BI147*$IQ147)</f>
        <v>140</v>
      </c>
      <c r="EG147" s="140">
        <f ca="1">IF(OFFSET(AZ147,1,0,1,1)&lt;&gt;0,$BI147*SUMIFS(RZ[Úroveň 3 bez koef. (P3)],RZ[0],AX147,RZ[Úroveň 2 (P0)],AY147),$BI147*$IQ147)</f>
        <v>140</v>
      </c>
      <c r="EH147" s="135">
        <f ca="1">RZ[[#This Row],[Úroveň 3 s koef. (P3a)]]*RZ[[#This Row],[Počet MJCR (P0) pro "kg"]]</f>
        <v>0</v>
      </c>
      <c r="EI147" s="135">
        <f ca="1">RZ[Úroveň 3 bez koef. (P3a)]*RZ[[#This Row],[Počet MJCR (P0) pro "kg"]]</f>
        <v>0</v>
      </c>
      <c r="EJ147" s="135">
        <f ca="1">IF(OFFSET(BA147,1,0,1,1)&lt;&gt;0,RZ[[#This Row],[Koeficient odhadu CR '[-'] (P1)]]*$BJ147*SUMIFS(RZ[Úroveň 4 s koef. (P3)],RZ[0],AX147,RZ[Úroveň 2 (P0)],AY147,RZ[Úroveň 3 (P0)],AZ147),RZ[[#This Row],[Koeficient odhadu CR '[-'] (P1)]]*$BJ147*$IQ147)</f>
        <v>0</v>
      </c>
      <c r="EK147" s="135">
        <f ca="1">IF(OFFSET(BA147,1,0,1,1)&lt;&gt;0,$BJ147*SUMIFS(RZ[Úroveň 4 bez koef. (P3)],RZ[0],AX147,RZ[Úroveň 2 (P0)],AY147,RZ[Úroveň 3 (P0)],AZ147),$BJ147*$IQ147)</f>
        <v>0</v>
      </c>
      <c r="EL147" s="140">
        <f ca="1">RZ[[#This Row],[Úroveň 4 s koef. (P3a)]]*RZ[[#This Row],[Počet MJCR (P0) pro "kg"]]</f>
        <v>0</v>
      </c>
      <c r="EM147" s="140">
        <f ca="1">RZ[Úroveň 4 bez koef. (P3a)]*RZ[[#This Row],[Počet MJCR (P0) pro "kg"]]</f>
        <v>0</v>
      </c>
      <c r="EN147" s="140">
        <f ca="1">IF(OFFSET(BB147,1,0,1,1)&lt;&gt;0,RZ[[#This Row],[Koeficient odhadu CR '[-'] (P1)]]*$BK147*SUMIFS(RZ[Úroveň 5 s koef. (P3)],RZ[0],AX147,RZ[Úroveň 2 (P0)],AY147,RZ[Úroveň 3 (P0)],AZ147,RZ[Úroveň 4 (P0)],BA147),RZ[[#This Row],[Koeficient odhadu CR '[-'] (P1)]]*$BK147*$IQ147)</f>
        <v>0</v>
      </c>
      <c r="EO147" s="140">
        <f ca="1">IF(OFFSET(BB147,1,0,1,1)&lt;&gt;0,$BK147*SUMIFS(RZ[Úroveň 5 bez koef. (P3)],RZ[0],AX147,RZ[Úroveň 2 (P0)],AY147,RZ[Úroveň 3 (P0)],AZ147,RZ[Úroveň 4 (P0)],BA147),$BK147*$IQ147)</f>
        <v>0</v>
      </c>
      <c r="EP147" s="135">
        <f ca="1">RZ[[#This Row],[Úroveň 5 s koef. (P3a)]]*RZ[[#This Row],[Počet MJCR (P0) pro "kg"]]</f>
        <v>0</v>
      </c>
      <c r="EQ147" s="135">
        <f ca="1">RZ[Úroveň 5 bez koef. (P3a)]*RZ[[#This Row],[Počet MJCR (P0) pro "kg"]]</f>
        <v>0</v>
      </c>
      <c r="ER147" s="135">
        <f ca="1">IF(OFFSET(BC147,1,0,1,1)&lt;&gt;0,RZ[[#This Row],[Koeficient odhadu CR '[-'] (P1)]]*$BL147*SUMIFS(RZ[Úroveň 6 s koef. (P3)],RZ[0],AX147,RZ[Úroveň 2 (P0)],AY147,RZ[Úroveň 3 (P0)],AZ147,RZ[Úroveň 4 (P0)],BA147,RZ[Úroveň 5 (P0)],BB147),RZ[[#This Row],[Koeficient odhadu CR '[-'] (P1)]]*$BL147*$IQ147)</f>
        <v>0</v>
      </c>
      <c r="ES147" s="135">
        <f ca="1">IF(OFFSET(BC147,1,0,1,1)&lt;&gt;0,$BL147*SUMIFS(RZ[Úroveň 6 bez koef. (P3)],RZ[0],AX147,RZ[Úroveň 2 (P0)],AY147,RZ[Úroveň 3 (P0)],AZ147,RZ[Úroveň 4 (P0)],BA147,RZ[Úroveň 5 (P0)],BB147),$BL147*$IQ147)</f>
        <v>0</v>
      </c>
      <c r="ET147" s="140">
        <f ca="1">RZ[[#This Row],[Úroveň 6 s koef. (P3a)]]*RZ[[#This Row],[Počet MJCR (P0) pro "kg"]]</f>
        <v>0</v>
      </c>
      <c r="EU147" s="140">
        <f ca="1">RZ[Úroveň 6 bez koef. (P3a)]*RZ[[#This Row],[Počet MJCR (P0) pro "kg"]]</f>
        <v>0</v>
      </c>
      <c r="EV147" s="140">
        <f ca="1">IF(OFFSET(BD147,1,0,1,1)&lt;&gt;0,RZ[[#This Row],[Koeficient odhadu CR '[-'] (P1)]]*$BM147*SUMIFS(RZ[Úroveň 7 s koef. (P3)],RZ[0],AX147,RZ[Úroveň 2 (P0)],AY147,RZ[Úroveň 3 (P0)],AZ147,RZ[Úroveň 4 (P0)],BA147,RZ[Úroveň 5 (P0)],BB147,RZ[Úroveň 6 (P0)],BC147),RZ[[#This Row],[Koeficient odhadu CR '[-'] (P1)]]*$BM147*$IQ147)</f>
        <v>0</v>
      </c>
      <c r="EW147" s="140">
        <f ca="1">IF(OFFSET(BD147,1,0,1,1)&lt;&gt;0,$BM147*SUMIFS(RZ[Úroveň 7 bez koef. (P3)],RZ[0],AX147,RZ[Úroveň 2 (P0)],AY147,RZ[Úroveň 3 (P0)],AZ147,RZ[Úroveň 4 (P0)],BA147,RZ[Úroveň 5 (P0)],BB147,RZ[Úroveň 6 (P0)],BC147),$BM147*$IQ147)</f>
        <v>0</v>
      </c>
      <c r="EX147" s="135">
        <f ca="1">RZ[[#This Row],[Úroveň 7 s koef. (P3a)]]*RZ[[#This Row],[Počet MJCR (P0) pro "kg"]]</f>
        <v>0</v>
      </c>
      <c r="EY147" s="135">
        <f ca="1">RZ[Úroveň 7 bez koef. (P3a)]*RZ[[#This Row],[Počet MJCR (P0) pro "kg"]]</f>
        <v>0</v>
      </c>
      <c r="EZ147" s="135">
        <f ca="1">IF(OFFSET(BE147,1,0,1,1)&lt;&gt;0,RZ[[#This Row],[Koeficient odhadu CR '[-'] (P1)]]*$BN147*SUMIFS(RZ[Úroveň 8 s koef. (P3)],RZ[0],AX147,RZ[Úroveň 2 (P0)],AY147,RZ[Úroveň 3 (P0)],AZ147,RZ[Úroveň 4 (P0)],BA147,RZ[Úroveň 5 (P0)],BB147,RZ[Úroveň 6 (P0)],BC147,RZ[Úroveň 7 (P0)],BD147),RZ[[#This Row],[Koeficient odhadu CR '[-'] (P1)]]*$BN147*$IQ147)</f>
        <v>0</v>
      </c>
      <c r="FA147" s="135">
        <f ca="1">IF(OFFSET(BE147,1,0,1,1)&lt;&gt;0,$BN147*SUMIFS(RZ[Úroveň 8 bez koef. (P3)],RZ[0],AX147,RZ[Úroveň 2 (P0)],AY147,RZ[Úroveň 3 (P0)],AZ147,RZ[Úroveň 4 (P0)],BA147,RZ[Úroveň 5 (P0)],BB147,RZ[Úroveň 6 (P0)],BC147,RZ[Úroveň 7 (P0)],BD147),$BN147*$IQ147)</f>
        <v>0</v>
      </c>
      <c r="FB147" s="140">
        <f ca="1">RZ[[#This Row],[Úroveň 8 s koef. (P3a)]]*RZ[[#This Row],[Počet MJCR (P0) pro "kg"]]</f>
        <v>0</v>
      </c>
      <c r="FC147" s="140">
        <f ca="1">RZ[Úroveň 8 bez koef. (P3a)]*RZ[[#This Row],[Počet MJCR (P0) pro "kg"]]</f>
        <v>0</v>
      </c>
      <c r="FD147" s="140">
        <f ca="1">IF(OFFSET(BF147,1,0,1,1)&lt;&gt;0,RZ[[#This Row],[Koeficient odhadu CR '[-'] (P1)]]*$BO147*SUMIFS(RZ[Úroveň 9 s koef. (P3)],RZ[0],AX147,RZ[Úroveň 2 (P0)],AY147,RZ[Úroveň 3 (P0)],AZ147,RZ[Úroveň 4 (P0)],BA147,RZ[Úroveň 5 (P0)],BB147,RZ[Úroveň 6 (P0)],BC147,RZ[Úroveň 7 (P0)],BD147,RZ[Úroveň 8 (P0)],BE147),RZ[[#This Row],[Koeficient odhadu CR '[-'] (P1)]]*$BO147*$IQ147)</f>
        <v>0</v>
      </c>
      <c r="FE147" s="140">
        <f ca="1">IF(OFFSET(BF147,1,0,1,1)&lt;&gt;0,$BO147*SUMIFS(RZ[Úroveň 9 bez koef. (P3)],RZ[0],AX147,RZ[Úroveň 2 (P0)],AY147,RZ[Úroveň 3 (P0)],AZ147,RZ[Úroveň 4 (P0)],BA147,RZ[Úroveň 5 (P0)],BB147,RZ[Úroveň 6 (P0)],BC147,RZ[Úroveň 7 (P0)],BD147,RZ[Úroveň 8 (P0)],BE147),$BO147*$IQ147)</f>
        <v>0</v>
      </c>
      <c r="FF147" s="135">
        <f ca="1">RZ[[#This Row],[Úroveň 9 s koef. (P3a)]]*RZ[[#This Row],[Počet MJCR (P0) pro "kg"]]</f>
        <v>0</v>
      </c>
      <c r="FG147" s="135">
        <f ca="1">RZ[Úroveň 9 bez koef. (P3a)]*RZ[[#This Row],[Počet MJCR (P0) pro "kg"]]</f>
        <v>0</v>
      </c>
      <c r="FH147" s="135">
        <f ca="1">IF(OFFSET(BG147,1,0,1,1)&lt;&gt;0,RZ[[#This Row],[Koeficient odhadu CR '[-'] (P1)]]*$BP147*SUMIFS(RZ[Úroveň 10 s koef. (P3)],RZ[0],AX147,RZ[Úroveň 2 (P0)],AY147,RZ[Úroveň 3 (P0)],AZ147,RZ[Úroveň 4 (P0)],BA147,RZ[Úroveň 5 (P0)],BB147,RZ[Úroveň 6 (P0)],BC147,RZ[Úroveň 7 (P0)],BD147,RZ[Úroveň 8 (P0)],BE147,RZ[Úroveň 9 (P0)],BF147),RZ[[#This Row],[Koeficient odhadu CR '[-'] (P1)]]*$BP147*$IQ147)</f>
        <v>0</v>
      </c>
      <c r="FI147" s="135">
        <f ca="1">IF(OFFSET(BG147,1,0,1,1)&lt;&gt;0,$BP147*SUMIFS(RZ[Úroveň 10 bez koef. (P3)],RZ[0],AX147,RZ[Úroveň 2 (P0)],AY147,RZ[Úroveň 3 (P0)],AZ147,RZ[Úroveň 4 (P0)],BA147,RZ[Úroveň 5 (P0)],BB147,RZ[Úroveň 6 (P0)],BC147,RZ[Úroveň 7 (P0)],BD147,RZ[Úroveň 8 (P0)],BE147,RZ[Úroveň 9 (P0)],BF147),$BP147*$IQ147)</f>
        <v>0</v>
      </c>
      <c r="FJ147" s="140">
        <f ca="1">RZ[[#This Row],[Úroveň 10 s koef. (P3a)]]*RZ[[#This Row],[Počet MJCR (P0) pro "kg"]]</f>
        <v>0</v>
      </c>
      <c r="FK147" s="140">
        <f ca="1">RZ[Úroveň 10 bez koef. (P3a)]*RZ[[#This Row],[Počet MJCR (P0) pro "kg"]]</f>
        <v>0</v>
      </c>
      <c r="FL147" s="140">
        <f ca="1">RZ[[#This Row],[Koeficient odhadu CR '[-'] (P1)]]*$BQ147*IQ147</f>
        <v>0</v>
      </c>
      <c r="FM147" s="236">
        <f t="shared" ref="FM147:FM150" ca="1" si="1324">$BQ147*IQ147</f>
        <v>0</v>
      </c>
      <c r="FN147" s="194">
        <f t="shared" ref="FN147:FN150" ca="1" si="1325">IF(BH147=1,EB147,IF(BI147=1,EF147,IF(BJ147=1,EJ147,IF(BK147=1,EN147,IF(BL147=1,ER147,IF(BM147=1,EV147,IF(BN147=1,EZ147,IF(BO147=1,FD147,IF(BP147=1,FH147,FL147)))))))))</f>
        <v>140</v>
      </c>
      <c r="FO147" s="238">
        <f t="shared" ref="FO147:FO150" ca="1" si="1326">IF(BH147=1,EC147,IF(BI147=1,EG147,IF(BJ147=1,EK147,IF(BK147=1,EO147,IF(BL147=1,ES147,IF(BM147=1,EW147,IF(BN147=1,FA147,IF(BO147=1,FE147,IF(BP147=1,FI147,FM147)))))))))</f>
        <v>140</v>
      </c>
      <c r="FP147" s="191">
        <f t="shared" ref="FP147:FP150" ca="1" si="1327">BH147*$IK147</f>
        <v>0</v>
      </c>
      <c r="FQ147" s="135">
        <f t="shared" ref="FQ147:FQ150" ca="1" si="1328">BI147*$IK147</f>
        <v>80000</v>
      </c>
      <c r="FR147" s="135">
        <f t="shared" ref="FR147:FR150" ca="1" si="1329">BJ147*$IK147</f>
        <v>0</v>
      </c>
      <c r="FS147" s="135">
        <f t="shared" ref="FS147:FS150" ca="1" si="1330">BK147*$IK147</f>
        <v>0</v>
      </c>
      <c r="FT147" s="135">
        <f t="shared" ref="FT147:FT150" ca="1" si="1331">BL147*$IK147</f>
        <v>0</v>
      </c>
      <c r="FU147" s="135">
        <f t="shared" ref="FU147:FU150" ca="1" si="1332">BM147*$IK147</f>
        <v>0</v>
      </c>
      <c r="FV147" s="135">
        <f t="shared" ref="FV147:FV150" ca="1" si="1333">BN147*$IK147</f>
        <v>0</v>
      </c>
      <c r="FW147" s="135">
        <f t="shared" ref="FW147:FW150" ca="1" si="1334">BO147*$IK147</f>
        <v>0</v>
      </c>
      <c r="FX147" s="135">
        <f t="shared" ref="FX147:FX150" ca="1" si="1335">BP147*$IK147</f>
        <v>0</v>
      </c>
      <c r="FY147" s="135">
        <f t="shared" ref="FY147:FY150" ca="1" si="1336">BQ147*$IK147</f>
        <v>0</v>
      </c>
      <c r="FZ147" s="140">
        <f ca="1">SUMIFS(RZ[Úroveň 1 (P6)],RZ[0],AX147)</f>
        <v>1</v>
      </c>
      <c r="GA147" s="140">
        <f ca="1">SUMIFS(RZ[Úroveň 2 (P6)],RZ[0],AX147,RZ[Úroveň 2 (P0)],AY147)</f>
        <v>80000</v>
      </c>
      <c r="GB147" s="140">
        <f ca="1">SUMIFS(RZ[Úroveň 3 (P6)],RZ[0],AX147,RZ[Úroveň 2 (P0)],AY147,RZ[Úroveň 3 (P0)],AZ147)</f>
        <v>0</v>
      </c>
      <c r="GC147" s="140">
        <f ca="1">SUMIFS(RZ[Úroveň 4 (P6)],RZ[0],AX147,RZ[Úroveň 2 (P0)],AY147,RZ[Úroveň 3 (P0)],AZ147,RZ[Úroveň 4 (P0)],BA147)</f>
        <v>0</v>
      </c>
      <c r="GD147" s="140">
        <f ca="1">SUMIFS(RZ[Úroveň 5 (P6)],RZ[0],AX147,RZ[Úroveň 2 (P0)],AY147,RZ[Úroveň 3 (P0)],AZ147,RZ[Úroveň 4 (P0)],BA147,RZ[Úroveň 5 (P0)],BB147)</f>
        <v>0</v>
      </c>
      <c r="GE147" s="140">
        <f ca="1">SUMIFS(RZ[Úroveň 6 (P6)],RZ[0],AX147,RZ[Úroveň 2 (P0)],AY147,RZ[Úroveň 3 (P0)],AZ147,RZ[Úroveň 4 (P0)],BA147,RZ[Úroveň 5 (P0)],BB147,RZ[Úroveň 6 (P0)],BC147)</f>
        <v>0</v>
      </c>
      <c r="GF147" s="140">
        <f ca="1">SUMIFS(RZ[Úroveň 7 (P6)],RZ[0],AX147,RZ[Úroveň 2 (P0)],AY147,RZ[Úroveň 3 (P0)],AZ147,RZ[Úroveň 4 (P0)],BA147,RZ[Úroveň 5 (P0)],BB147,RZ[Úroveň 6 (P0)],BC147,RZ[Úroveň 7 (P0)],BD147)</f>
        <v>0</v>
      </c>
      <c r="GG147" s="140">
        <f ca="1">SUMIFS(RZ[Úroveň 8 (P6)],RZ[0],AX147,RZ[Úroveň 2 (P0)],AY147,RZ[Úroveň 3 (P0)],AZ147,RZ[Úroveň 4 (P0)],BA147,RZ[Úroveň 5 (P0)],BB147,RZ[Úroveň 6 (P0)],BC147,RZ[Úroveň 7 (P0)],BD147,RZ[Úroveň 8 (P0)],BE147)</f>
        <v>0</v>
      </c>
      <c r="GH147" s="140">
        <f ca="1">SUMIFS(RZ[Úroveň 9 (P6)],RZ[0],AX147,RZ[Úroveň 2 (P0)],AY147,RZ[Úroveň 3 (P0)],AZ147,RZ[Úroveň 4 (P0)],BA147,RZ[Úroveň 5 (P0)],BB147,RZ[Úroveň 6 (P0)],BC147,RZ[Úroveň 7 (P0)],BD147,RZ[Úroveň 8 (P0)],BE147,RZ[Úroveň 9 (P0)],BF147)</f>
        <v>0</v>
      </c>
      <c r="GI147" s="140">
        <f ca="1">SUMIFS(RZ[Úroveň 10 (P6)],RZ[0],AX147,RZ[Úroveň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GJ147" s="194">
        <f t="shared" ref="GJ147:GJ150" ca="1" si="1337">IF(FZ147&lt;&gt;0,FZ147,1)*IF(GA147&lt;&gt;0,GA147,1)*IF(GB147&lt;&gt;0,GB147,1)*IF(GC147&lt;&gt;0,GC147,1)*IF(GD147&lt;&gt;0,GD147,1)*IF(GE147&lt;&gt;0,GE147,1)*IF(GF147&lt;&gt;0,GF147,1)*IF(GG147&lt;&gt;0,GG147,1)*IF(GH147&lt;&gt;0,GH147,1)*IF(GI147&lt;&gt;0,GI147,1)</f>
        <v>80000</v>
      </c>
      <c r="GK147" s="807">
        <f t="shared" ref="GK147:GK150" si="1338">BH147*$IO147</f>
        <v>0</v>
      </c>
      <c r="GL147" s="808">
        <f t="shared" ref="GL147:GL150" si="1339">BI147*$IO147</f>
        <v>1</v>
      </c>
      <c r="GM147" s="808">
        <f t="shared" ref="GM147:GM150" si="1340">BJ147*$IO147</f>
        <v>0</v>
      </c>
      <c r="GN147" s="808">
        <f t="shared" ref="GN147:GN150" si="1341">BK147*$IO147</f>
        <v>0</v>
      </c>
      <c r="GO147" s="808">
        <f t="shared" ref="GO147:GO150" si="1342">BL147*$IO147</f>
        <v>0</v>
      </c>
      <c r="GP147" s="808">
        <f t="shared" ref="GP147:GP150" si="1343">BM147*$IO147</f>
        <v>0</v>
      </c>
      <c r="GQ147" s="808">
        <f t="shared" ref="GQ147:GQ150" si="1344">BN147*$IO147</f>
        <v>0</v>
      </c>
      <c r="GR147" s="808">
        <f t="shared" ref="GR147:GR150" si="1345">BO147*$IO147</f>
        <v>0</v>
      </c>
      <c r="GS147" s="808">
        <f t="shared" ref="GS147:GS150" si="1346">BP147*$IO147</f>
        <v>0</v>
      </c>
      <c r="GT147" s="808">
        <f t="shared" ref="GT147:GT150" si="1347">BQ147*$IO147</f>
        <v>0</v>
      </c>
      <c r="GU147" s="809">
        <f ca="1">SUMIFS(RZ[Sloupec1],RZ[0],AX147)</f>
        <v>1</v>
      </c>
      <c r="GV147" s="809">
        <f ca="1">SUMIFS(RZ[Sloupec2],RZ[0],AX147,RZ[Úroveň 2 (P0)],AY147)</f>
        <v>1</v>
      </c>
      <c r="GW147" s="809">
        <f ca="1">SUMIFS(RZ[Sloupec3],RZ[0],AX147,RZ[Úroveň 2 (P0)],AY147,RZ[Úroveň 3 (P0)],AZ147)</f>
        <v>0</v>
      </c>
      <c r="GX147" s="809">
        <f ca="1">SUMIFS(RZ[Sloupec4],RZ[0],AX147,RZ[Úroveň 2 (P0)],AY147,RZ[Úroveň 3 (P0)],AZ147,RZ[Úroveň 4 (P0)],BA147)</f>
        <v>0</v>
      </c>
      <c r="GY147" s="809">
        <f ca="1">SUMIFS(RZ[Sloupec5],RZ[0],AX147,RZ[Úroveň 2 (P0)],AY147,RZ[Úroveň 3 (P0)],AZ147,RZ[Úroveň 4 (P0)],BA147,RZ[Úroveň 5 (P0)],BB147)</f>
        <v>0</v>
      </c>
      <c r="GZ147" s="809">
        <f ca="1">SUMIFS(RZ[Sloupec6],RZ[0],AX147,RZ[Úroveň 2 (P0)],AY147,RZ[Úroveň 3 (P0)],AZ147,RZ[Úroveň 4 (P0)],BA147,RZ[Úroveň 5 (P0)],BB147,RZ[Úroveň 6 (P0)],BC147)</f>
        <v>0</v>
      </c>
      <c r="HA147" s="809">
        <f ca="1">SUMIFS(RZ[Sloupec62],RZ[0],AX147,RZ[Úroveň 2 (P0)],AY147,RZ[Úroveň 3 (P0)],AZ147,RZ[Úroveň 4 (P0)],BA147,RZ[Úroveň 5 (P0)],BB147,RZ[Úroveň 6 (P0)],BC147,RZ[Úroveň 7 (P0)],BD147)</f>
        <v>0</v>
      </c>
      <c r="HB147" s="809">
        <f ca="1">SUMIFS(RZ[Sloupec63],RZ[0],AX147,RZ[Úroveň 2 (P0)],AY147,RZ[Úroveň 3 (P0)],AZ147,RZ[Úroveň 4 (P0)],BA147,RZ[Úroveň 5 (P0)],BB147,RZ[Úroveň 6 (P0)],BC147,RZ[Úroveň 7 (P0)],BD147,RZ[Úroveň 8 (P0)],BE147)</f>
        <v>0</v>
      </c>
      <c r="HC147" s="809">
        <f ca="1">SUMIFS(RZ[Sloupec64],RZ[0],AX147,RZ[Úroveň 2 (P0)],AY147,RZ[Úroveň 3 (P0)],AZ147,RZ[Úroveň 4 (P0)],BA147,RZ[Úroveň 5 (P0)],BB147,RZ[Úroveň 6 (P0)],BC147,RZ[Úroveň 7 (P0)],BD147,RZ[Úroveň 8 (P0)],BE147,RZ[Úroveň 9 (P0)],BF147)</f>
        <v>0</v>
      </c>
      <c r="HD147" s="809">
        <f ca="1">SUMIFS(RZ[Sloupec65],RZ[0],AX147,RZ[Úroveň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HE147" s="803">
        <f t="shared" ref="HE147:HE150" ca="1" si="1348">IF(GU147&lt;&gt;0,GU147,1)*IF(GV147&lt;&gt;0,GV147,1)*IF(GW147&lt;&gt;0,GW147,1)*IF(GX147&lt;&gt;0,GX147,1)*IF(GY147&lt;&gt;0,GY147,1)*IF(GZ147&lt;&gt;0,GZ147,1)*IF(HA147&lt;&gt;0,HA147,1)*IF(HB147&lt;&gt;0,HB147,1)*IF(HC147&lt;&gt;0,HC147,1)*IF(HD147&lt;&gt;0,HD147,1)</f>
        <v>1</v>
      </c>
      <c r="HF147" s="48" t="str">
        <f t="shared" ref="HF147:HF150" si="1349">IF($IW147=$MJ$15,IF(MK147="","",MK147),IF(IY147="","",IY147))</f>
        <v/>
      </c>
      <c r="HG147" s="94" t="str">
        <f t="shared" ref="HG147:HG150" si="1350">IF($IW147=$MJ$15,IF($MJ147=1,$MS147,""),IF(IZ147="","",IZ147))</f>
        <v/>
      </c>
      <c r="HH147" s="95" t="str">
        <f t="shared" ref="HH147:HH150" si="1351">IF($IW147=$MJ$15,IF($MJ147=2,$MS147,""),IF(JA147="","",JA147))</f>
        <v>Ocelová konstrukce</v>
      </c>
      <c r="HI147" s="95" t="str">
        <f t="shared" ref="HI147:HI150" si="1352">IF($IW147=$MJ$15,IF($MJ147=3,$MS147,""),IF(JB147="","",JB147))</f>
        <v/>
      </c>
      <c r="HJ147" s="96" t="str">
        <f t="shared" ref="HJ147:HJ150" si="1353">IF($IW147=$MJ$15,IF($MJ147=4,$MS147,""),IF(JC147="","",JC147))</f>
        <v/>
      </c>
      <c r="HK147" s="96" t="str">
        <f t="shared" ref="HK147:HK150" si="1354">IF($IW147=$MJ$15,IF($MJ147=5,$MS147,""),IF(JD147="","",JD147))</f>
        <v/>
      </c>
      <c r="HL147" s="96" t="str">
        <f t="shared" ref="HL147:HL150" si="1355">IF($IW147=$MJ$15,IF($MJ147=6,$MS147,""),IF(JE147="","",JE147))</f>
        <v/>
      </c>
      <c r="HM147" s="96" t="str">
        <f t="shared" ref="HM147:HM150" si="1356">IF($IW147=$MJ$15,IF($MJ147=7,$MS147,""),IF(JF147="","",JF147))</f>
        <v/>
      </c>
      <c r="HN147" s="96" t="str">
        <f t="shared" ref="HN147:HN150" si="1357">IF($IW147=$MJ$15,IF($MJ147=8,$MS147,""),IF(JG147="","",JG147))</f>
        <v/>
      </c>
      <c r="HO147" s="96" t="str">
        <f t="shared" ref="HO147:HO150" si="1358">IF($IW147=$MJ$15,IF($MJ147=9,$MS147,""),IF(JH147="","",JH147))</f>
        <v/>
      </c>
      <c r="HP147" s="96" t="str">
        <f t="shared" ref="HP147:HP150" si="1359">IF($IW147=$MJ$15,IF($MJ147=10,$MS147,""),IF(JI147="","",JI147))</f>
        <v/>
      </c>
      <c r="HQ147" s="145" t="str">
        <f t="shared" ref="HQ147:HQ150" si="1360">IF($IW147=$MJ$15,IF(ML147="","N/A",ML147),IF(JJ147="","N/A",JJ147))</f>
        <v>OKS1</v>
      </c>
      <c r="HR147" s="175" t="str">
        <f t="shared" ref="HR147:HR150" si="1361">IF($IW147=$MJ$15,IF(MM147="","",MM147),IF(JK147="","",JK147))</f>
        <v/>
      </c>
      <c r="HS147" s="173">
        <f t="shared" ref="HS147:HS150" si="1362">IF($IW147=$JL$15,JL147,IF($IW147=$KE$15,KE147,IF($IW147=$KX$15,KX147,IF($IW147=$LQ$15,LQ147,IF($IW147=$MJ$15,NE147,0)))))</f>
        <v>0</v>
      </c>
      <c r="HT147" s="99">
        <f t="shared" ref="HT147:HT150" si="1363">IF($IW147=$JL$15,JM147,IF($IW147=$KE$15,KF147,IF($IW147=$KX$15,KY147,IF($IW147=$LQ$15,LR147,IF($IW147=$MJ$15,NF147,0)))))</f>
        <v>0</v>
      </c>
      <c r="HU147" s="99">
        <f t="shared" ref="HU147:HU150" si="1364">IF($IW147=$JL$15,JN147,IF($IW147=$KE$15,KG147,IF($IW147=$KX$15,KZ147,IF($IW147=$LQ$15,LS147,IF($IW147=$MJ$15,NG147,0)))))</f>
        <v>0</v>
      </c>
      <c r="HV147" s="209">
        <f t="shared" ref="HV147:HV150" si="1365">IF($IW147=$JL$15,JU147,IF($IW147=$KE$15,KN147,IF($IW147=$KX$15,LG147,IF($IW147=$LQ$15,LZ147,IF($IW147=$MJ$15,NN147,0)))))</f>
        <v>0</v>
      </c>
      <c r="HW147" s="47">
        <f t="shared" ref="HW147:HW150" si="1366">IF($IW147=$JL$15,JV147,IF($IW147=$KE$15,KO147,IF($IW147=$KX$15,LH147,IF($IW147=$LQ$15,MA147,IF($IW147=$MJ$15,NO147,0)))))</f>
        <v>0</v>
      </c>
      <c r="HX147" s="46">
        <f t="shared" ref="HX147:HX150" si="1367">IF($IW147=$JL$15,JW147,IF($IW147=$KE$15,KP147,IF($IW147=$KX$15,LI147,IF($IW147=$LQ$15,MB147,IF($IW147=$MJ$15,NP147,0)))))</f>
        <v>0</v>
      </c>
      <c r="HY147" s="149" t="str">
        <f t="shared" ref="HY147:HY150" si="1368">IF($IW147=$JL$15,JS147,IF($IW147=$KE$15,KL147,IF($IW147=$KX$15,LE147,IF($IW147=$LQ$15,LX147,IF($IW147=$MJ$15,NL147,0)))))</f>
        <v>S</v>
      </c>
      <c r="HZ147" s="263">
        <f t="shared" ref="HZ147:HZ150" si="1369">IF($IW147=$JL$15,KC147,IF($IW147=$KE$15,KV147,IF($IW147=$KX$15,LO147,IF($IW147=$LQ$15,MH147,IF($IW147=$MJ$15,NV147,0)))))</f>
        <v>0</v>
      </c>
      <c r="IA147" s="150">
        <f t="shared" ref="IA147:IA150" si="1370">IF($IW147=$JL$15,JR147,IF($IW147=$KE$15,KK147,IF($IW147=$KX$15,LD147,IF($IW147=$LQ$15,LW147,IF($IW147=$MJ$15,NK147,0)))))</f>
        <v>1</v>
      </c>
      <c r="IB147" s="319">
        <f t="shared" ref="IB147:IB150" si="1371">IF($IW147=$JL$15,JZ147,IF($IW147=$KE$15,KS147,IF($IW147=$KX$15,LL147,IF($IW147=$LQ$15,ME147,IF($IW147=$MJ$15,NS147,0)))))</f>
        <v>0</v>
      </c>
      <c r="IC147" s="220">
        <f t="shared" ref="IC147:IC150" si="1372">IF($IW147=$JL$15,KB147,IF($IW147=$KE$15,KU147,IF($IW147=$KX$15,LN147,IF($IW147=$LQ$15,MG147,IF($IW147=$MJ$15,NU147,0)))))</f>
        <v>0</v>
      </c>
      <c r="ID147" s="200" t="str">
        <f t="shared" ref="ID147:ID150" ca="1" si="1373">IF((BH147+OFFSET(BH147,1,1,1,1))=2,"--",IF((BI147+OFFSET(BI147,1,1,1,1))=2,"--",IF((BJ147+OFFSET(BJ147,1,1,1,1))=2,"--",IF((BK147+OFFSET(BK147,1,1,1,1))=2,"--",IF((BL147+OFFSET(BL147,1,1,1,1))=2,"--",IF((BM147+OFFSET(BM147,1,1,1,1))=2,"--",IF((BN147+OFFSET(BN147,1,1,1,1))=2,"--",IF((BO147+OFFSET(BO147,1,1,1,1))=2,"--",IF((BP147+OFFSET(BP147,1,1,1,1))=2,"--",IF((BQ147+OFFSET(BQ147,1,1,1,1))=2,"--","OK"))))))))))</f>
        <v>OK</v>
      </c>
      <c r="IE147" s="201" t="str">
        <f t="shared" ref="IE147:IE150" si="1374">IF($IW147=$JL$15,JO147,IF($IW147=$KE$15,KH147,IF($IW147=$KX$15,LA147,IF($IW147=$LQ$15,LT147,IF($IW147=$MJ$15,NH147,0)))))</f>
        <v>ks</v>
      </c>
      <c r="IF147" s="145">
        <f t="shared" ref="IF147:IF150" si="1375">IF($IW147=$JL$15,JP147,IF($IW147=$KE$15,KI147,IF($IW147=$KX$15,LB147,IF($IW147=$LQ$15,LU147,IF($IW147=$MJ$15,NI147,0)))))</f>
        <v>1</v>
      </c>
      <c r="IG147" s="216">
        <f t="shared" ref="IG147:IG150" si="1376">IF($IW147=$JL$15,JQ147,IF($IW147=$KE$15,KJ147,IF($IW147=$KX$15,LC147,IF($IW147=$LQ$15,LV147,IF($IW147=$MJ$15,NJ147,0)))))</f>
        <v>80000</v>
      </c>
      <c r="IH147" s="217">
        <f t="shared" ref="IH147:IH150" si="1377">IF(IA147=0,1,IA147)</f>
        <v>1</v>
      </c>
      <c r="II147" s="224" t="str">
        <f ca="1">IF(RZ[[#This Row],[Rozhodný sloupec indikativní ceny]]=1,"kg",IF($IW147=$JL$15,IF(JX147=0,JO147,JX147),IF($IW147=$KE$15,IF(KQ147=0,KH147,KQ147),IF($IW147=$KX$15,IF(LJ147=0,LA147,LJ147),IF($IW147=$LQ$15,IF(MC147=0,LT147,MC147),IF($IW147=$MJ$15,IF(NQ147=0,NH147,NQ147),0))))))</f>
        <v>kg</v>
      </c>
      <c r="IJ147" s="224">
        <f ca="1">IF((BH147+OFFSET(BH147,1,1,1,1))=2,RZ[[#This Row],[Počet MJHR (P0)]],IF((BI147+OFFSET(BI147,1,1,1,1))=2,RZ[[#This Row],[Počet MJHR (P0)]],IF((BJ147+OFFSET(BJ147,1,1,1,1))=2,RZ[[#This Row],[Počet MJHR (P0)]],IF((BK147+OFFSET(BK147,1,1,1,1))=2,RZ[[#This Row],[Počet MJHR (P0)]],IF((BL147+OFFSET(BL147,1,1,1,1))=2,RZ[[#This Row],[Počet MJHR (P0)]],IF((BM147+OFFSET(BM147,1,1,1,1))=2,RZ[[#This Row],[Počet MJHR (P0)]],IF((BN147+OFFSET(BN147,1,1,1,1))=2,RZ[[#This Row],[Počet MJHR (P0)]],IF((BO147+OFFSET(BO147,1,1,1,1))=2,RZ[[#This Row],[Počet MJHR (P0)]],IF((BP147+OFFSET(BP147,1,1,1,1))=2,RZ[[#This Row],[Počet MJHR (P0)]],IF((BQ147+OFFSET(BQ147,1,1,1,1))=2,RZ[[#This Row],[Počet MJHR (P0)]],IF(RZ[[#This Row],[Měrná jednotka CR (MJCR) (P0)]]=RZ[[#This Row],[Měrná jednotka HR '[MJHR'] (P0)]],RZ[[#This Row],[Počet MJHR (P0)]],IF($IW147=$JL$15,JY147,IF($IW147=$KE$15,KR147,IF($IW147=$KX$15,LK147,IF($IW147=$LQ$15,MD147,IF($IW147=$MJ$15,NR147,0))))))))))))))))</f>
        <v>0</v>
      </c>
      <c r="IK1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80000</v>
      </c>
      <c r="IL147" s="330">
        <f ca="1">IF(AND(RZ[[#This Row],[Jednotková cena bez DPH '[cena/MJCR'] (P0)]]=0,RZ[[#This Row],[Indikativní jednotková cena '[CZK/kg'] (P1)]]&lt;&gt;0),1,0)</f>
        <v>1</v>
      </c>
      <c r="IM147" s="217">
        <f ca="1">VLOOKUP(RZ[[#This Row],[Kód položek]],INDIKAT_CENA,2,FALSE)</f>
        <v>140</v>
      </c>
      <c r="IN147" s="222">
        <f ca="1">IF(RZ[[#This Row],[Rozhodný sloupec indikativní ceny]]=1,RZ[[#This Row],[Indikativní jednotková cena '[CZK/kg'] (P1)]],RZ[[#This Row],[Jednotková cena bez DPH '[cena/MJCR'] (P0)]])</f>
        <v>140</v>
      </c>
      <c r="IO147" s="222">
        <f t="shared" ref="IO147:IO150" si="1378">IF(IC147=0,1,IC147)</f>
        <v>1</v>
      </c>
      <c r="IP147" s="223">
        <f ca="1">IF(RZ[[#This Row],[Rozhodný sloupec indikativní ceny]]=1,1,IF($IW147=$JL$15,KA147,IF($IW147=$KE$15,KT147,IF($IW147=$KX$15,LM147,IF($IW147=$LQ$15,MF147,IF($IW147=$MJ$15,NT147,0))))))</f>
        <v>1</v>
      </c>
      <c r="IQ147" s="225">
        <f ca="1">IF(RZ[[#This Row],[Jednotková cena bez DPH '[cena/MJCR'] (P1)]]="",0,IF(IP147=0,0,(RZ[[#This Row],[Jednotková cena bez DPH '[cena/MJCR'] (P1)]]*VLOOKUP(IP147,$BR$7:$BT$10,3))))</f>
        <v>140</v>
      </c>
      <c r="IR147" s="790"/>
      <c r="IS147" s="627">
        <f>IF(HY147=0,"",VLOOKUP(RZ[[#This Row],[Stav Projekce (P0)]],Vstupy!$E$11:'Vstupy'!$E$11:$H$17,4,FALSE))</f>
        <v>100</v>
      </c>
      <c r="IT147" s="628" t="str">
        <f>IF(RZ[[#This Row],[Stav Projekce (P0)]]=0,"",RZ[[#This Row],[Stav Projekce (P0)]])</f>
        <v>S</v>
      </c>
      <c r="IU147" s="628" t="str">
        <f>IF(RZ[[#This Row],[Stav Nákup (P0)]]=0,"",RZ[[#This Row],[Stav Nákup (P0)]])</f>
        <v/>
      </c>
      <c r="IV147" s="636" t="str">
        <f t="shared" ref="IV147:IV150" si="1379">IF(HV147=0,"",HV147)</f>
        <v/>
      </c>
      <c r="IW147" s="555">
        <v>1</v>
      </c>
      <c r="IX147" s="630"/>
      <c r="IY147" s="264"/>
      <c r="IZ147" s="648"/>
      <c r="JA147" s="100" t="s">
        <v>850</v>
      </c>
      <c r="JB147" s="100"/>
      <c r="JC147" s="100"/>
      <c r="JD147" s="100"/>
      <c r="JE147" s="100"/>
      <c r="JF147" s="100"/>
      <c r="JG147" s="100"/>
      <c r="JH147" s="100"/>
      <c r="JI147" s="100"/>
      <c r="JJ147" s="145" t="s">
        <v>764</v>
      </c>
      <c r="JK147" s="529"/>
      <c r="JL147" s="286"/>
      <c r="JM147" s="100"/>
      <c r="JN147" s="100"/>
      <c r="JO147" s="145" t="s">
        <v>35</v>
      </c>
      <c r="JP147" s="117">
        <v>1</v>
      </c>
      <c r="JQ147" s="117">
        <v>80000</v>
      </c>
      <c r="JR147" s="148">
        <v>1</v>
      </c>
      <c r="JS147" s="145" t="s">
        <v>602</v>
      </c>
      <c r="JT147" s="631"/>
      <c r="JU147" s="148"/>
      <c r="JV147" s="154"/>
      <c r="JW147" s="145"/>
      <c r="JX147" s="210"/>
      <c r="JY147" s="117"/>
      <c r="JZ147" s="662"/>
      <c r="KA147" s="145"/>
      <c r="KB147" s="148"/>
      <c r="KC147" s="148"/>
      <c r="KD147" s="644"/>
      <c r="KE147" s="286"/>
      <c r="KF147" s="100"/>
      <c r="KG147" s="100"/>
      <c r="KH147" s="210"/>
      <c r="KI147" s="117"/>
      <c r="KJ147" s="117"/>
      <c r="KK147" s="148"/>
      <c r="KL147" s="145"/>
      <c r="KM147" s="632"/>
      <c r="KN147" s="148"/>
      <c r="KO147" s="154"/>
      <c r="KP147" s="154"/>
      <c r="KQ147" s="210"/>
      <c r="KR147" s="117"/>
      <c r="KS147" s="211"/>
      <c r="KT147" s="145"/>
      <c r="KU147" s="148"/>
      <c r="KV147" s="148"/>
      <c r="KW147" s="265"/>
      <c r="KX147" s="286"/>
      <c r="KY147" s="100"/>
      <c r="KZ147" s="100"/>
      <c r="LA147" s="210"/>
      <c r="LB147" s="117"/>
      <c r="LC147" s="117"/>
      <c r="LD147" s="148"/>
      <c r="LE147" s="145"/>
      <c r="LF147" s="632"/>
      <c r="LG147" s="148"/>
      <c r="LH147" s="154"/>
      <c r="LI147" s="154"/>
      <c r="LJ147" s="154"/>
      <c r="LK147" s="117"/>
      <c r="LL147" s="211"/>
      <c r="LM147" s="210"/>
      <c r="LN147" s="148"/>
      <c r="LO147" s="148"/>
      <c r="LP147" s="265"/>
      <c r="LQ147" s="286"/>
      <c r="LR147" s="100"/>
      <c r="LS147" s="100"/>
      <c r="LT147" s="210"/>
      <c r="LU147" s="117"/>
      <c r="LV147" s="117"/>
      <c r="LW147" s="148"/>
      <c r="LX147" s="145"/>
      <c r="LY147" s="632"/>
      <c r="LZ147" s="148"/>
      <c r="MA147" s="154"/>
      <c r="MB147" s="154"/>
      <c r="MC147" s="145"/>
      <c r="MD147" s="117"/>
      <c r="ME147" s="211"/>
      <c r="MF147" s="210"/>
      <c r="MG147" s="148"/>
      <c r="MH147" s="148"/>
      <c r="MI147" s="265"/>
      <c r="MJ147" s="647"/>
      <c r="MK147" s="264"/>
      <c r="ML147" s="153"/>
      <c r="MM147" s="153"/>
      <c r="MN147" s="153"/>
      <c r="MO147" s="153"/>
      <c r="MP147" s="153"/>
      <c r="MQ147" s="153"/>
      <c r="MR147" s="153"/>
      <c r="MS147" s="99"/>
      <c r="MT147" s="99"/>
      <c r="MU147" s="99"/>
      <c r="MV147" s="99"/>
      <c r="MW147" s="99"/>
      <c r="MX147" s="99"/>
      <c r="MY147" s="153"/>
      <c r="MZ147" s="153"/>
      <c r="NA147" s="153"/>
      <c r="NB147" s="153"/>
      <c r="NC147" s="153"/>
      <c r="ND147" s="153"/>
      <c r="NE147" s="153"/>
      <c r="NF147" s="153"/>
      <c r="NG147" s="153"/>
      <c r="NH147" s="330" t="str">
        <f t="shared" ref="NH147:NH150" si="1380">"ks"</f>
        <v>ks</v>
      </c>
      <c r="NI147" s="797">
        <f>RZ[[#This Row],[Počet ks (K)]]</f>
        <v>0</v>
      </c>
      <c r="NJ147" s="798">
        <f>RZ[[#This Row],[Hmotnost '[kg/ks'] (K)]]</f>
        <v>0</v>
      </c>
      <c r="NK147" s="153"/>
      <c r="NL147" s="153"/>
      <c r="NM147" s="632"/>
      <c r="NN147" s="153"/>
      <c r="NO147" s="153"/>
      <c r="NP147" s="153"/>
      <c r="NQ147" s="153"/>
      <c r="NR147" s="153"/>
      <c r="NS147" s="153"/>
      <c r="NT147" s="153"/>
      <c r="NU147" s="153"/>
      <c r="NV147" s="148"/>
      <c r="NW147" s="633"/>
    </row>
    <row r="148" spans="2:387" ht="15.95" customHeight="1" x14ac:dyDescent="0.35">
      <c r="B148" s="118" t="str">
        <f>IF(HF148=0,"",HF148)</f>
        <v/>
      </c>
      <c r="C1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8" s="262" t="str">
        <f>IF(HG148&lt;&gt;"",HG148,IF(HH148&lt;&gt;"","  "&amp;HH148,IF(HI148&lt;&gt;"","  "&amp;"  "&amp;HI148,IF(HJ148&lt;&gt;"","  "&amp;"  "&amp;"  "&amp;HJ148,IF(HK148&lt;&gt;"","  "&amp;"  "&amp;"  "&amp;"  "&amp;HK148,IF(HL148&lt;&gt;"","  "&amp;"  "&amp;"  "&amp;"  "&amp;"  "&amp;HL148,IF(HM148&lt;&gt;"","  "&amp;"  "&amp;"  "&amp;"  "&amp;"  "&amp;"  "&amp;HM148,IF(HN148&lt;&gt;"","  "&amp;"  "&amp;"  "&amp;"  "&amp;"  "&amp;"  "&amp;"  "&amp;HN148,IF(HO148&lt;&gt;"","  "&amp;"  "&amp;"  "&amp;"  "&amp;"  "&amp;"  "&amp;"  "&amp;"  "&amp;HO148,IF(HP148&lt;&gt;"","  "&amp;"  "&amp;"  "&amp;"  "&amp;"  "&amp;"  "&amp;"  "&amp;"  "&amp;"  "&amp;HP148,0))))))))))</f>
        <v xml:space="preserve">  Montáž</v>
      </c>
      <c r="E148" s="120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Row],[Kód položek (P2)]]))))))))))</f>
        <v>PRMZ</v>
      </c>
      <c r="F148" s="791" t="str">
        <f>IF(HS148=0,"N/A",HS148)</f>
        <v>N/A</v>
      </c>
      <c r="G148" s="792" t="str">
        <f>IF(HT148=0,"",HT148)</f>
        <v/>
      </c>
      <c r="H148" s="262" t="str">
        <f>IF(HU148=0,"",HU148)</f>
        <v/>
      </c>
      <c r="I148" s="123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HR '[MJHR'] (P0)]]))))))))))</f>
        <v>sada</v>
      </c>
      <c r="J148" s="123">
        <f>IF(IF148=0,"",IF148)</f>
        <v>1</v>
      </c>
      <c r="K148" s="793">
        <f>RZ[[#This Row],[Koeficient odhadu HR '[-'] (P1)]]</f>
        <v>1</v>
      </c>
      <c r="L148" s="124">
        <f ca="1">RZ[[#This Row],[Jednotková hmotnost s koef. '[kg/MJHR'] (P0)]]</f>
        <v>1</v>
      </c>
      <c r="M148" s="794">
        <f ca="1">IF(ISNUMBER(K148),L148/K148*(K148-1),0)</f>
        <v>0</v>
      </c>
      <c r="N148" s="125">
        <f ca="1">IF(ISNUMBER(J148),J148*L148,0)</f>
        <v>1</v>
      </c>
      <c r="O148" s="125">
        <f ca="1">IF(ISNUMBER(J148),J148*M148,0)</f>
        <v>0</v>
      </c>
      <c r="P148" s="126" t="str">
        <f>IF(HR148=0,"",HR148)</f>
        <v/>
      </c>
      <c r="Q148" s="795">
        <f ca="1">RZ[[#This Row],[Počet MJHR v rozpadu (P0)]]</f>
        <v>1</v>
      </c>
      <c r="R148" s="439" t="str">
        <f>IF(HV148&lt;&gt;0,HV148,"")</f>
        <v>Zajíc</v>
      </c>
      <c r="S148" s="129" t="str">
        <f>IF(HW148&lt;&gt;0,HW148,"")</f>
        <v/>
      </c>
      <c r="T148" s="126" t="str">
        <f>IF(HX148=0,"",HX148)</f>
        <v/>
      </c>
      <c r="U148" s="126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CR (MJCR) (P0)]]))))))))))</f>
        <v>sada</v>
      </c>
      <c r="V148" s="575">
        <f ca="1">IF(IK148=0,"",IK148)</f>
        <v>1</v>
      </c>
      <c r="W148" s="322">
        <f>RZ[[#This Row],[Koeficient odhadu CR '[-'] (P1)]]</f>
        <v>1</v>
      </c>
      <c r="X148" s="440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Row],[Jednotková cena bez DPH '[cena/MJCR'] (P1)]]*RZ[[#This Row],[Koeficient odhadu CR '[-']]]))))))))))</f>
        <v>3596775</v>
      </c>
      <c r="Y148" s="440">
        <f ca="1">IF(ISNUMBER(X148),-X148/W148*(W148-1),0)</f>
        <v>0</v>
      </c>
      <c r="Z148" s="142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VLOOKUP(IP148,$BR$7:$BS$11,2,FALSE)))))))))))</f>
        <v>CZK</v>
      </c>
      <c r="AA148" s="909">
        <f ca="1">GJ148</f>
        <v>1</v>
      </c>
      <c r="AB148" s="910">
        <f ca="1">RZ[[#This Row],[Kumulovaný koeficient v rozpadu (P0)]]</f>
        <v>1</v>
      </c>
      <c r="AC148" s="261"/>
      <c r="AD148" s="796">
        <f ca="1">RZ[[#This Row],[Jednotková cena bez DPH '[cena/MJCR'] s koef. (P0)]]/RZ[[#This Row],[Koeficient odhadu CR '[-']]]*RZ[[#This Row],[Kumulovaný koeficient odhadu CR  '[-']]]</f>
        <v>3596775</v>
      </c>
      <c r="AE148" s="796">
        <f ca="1">IF(ISNUMBER(AA148),AA148*AD148,0)*IF(V148="",0,1)</f>
        <v>3596775</v>
      </c>
      <c r="AF148" s="796">
        <f ca="1">-IF(ISNUMBER(AA148),RZ[[#This Row],[Celková cena bez DPH (1)]]-RZ[[#This Row],[Jednotková cena bez DPH '[cena/MJCR'] bez koef. (P0)]]*AA148,0)</f>
        <v>0</v>
      </c>
      <c r="AG1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3596775</v>
      </c>
      <c r="AH148" s="261"/>
      <c r="AI148" s="796">
        <f ca="1">AD148/VLOOKUP($AJ$13,KURZY,3,FALSE)</f>
        <v>133213.88888888888</v>
      </c>
      <c r="AJ148" s="796">
        <f ca="1">AE148/VLOOKUP($AJ$13,KURZY,3,FALSE)*IF(V148="",0,1)</f>
        <v>133213.88888888888</v>
      </c>
      <c r="AK148" s="796">
        <f ca="1">AF148/VLOOKUP($AJ$13,KURZY,3,FALSE)</f>
        <v>0</v>
      </c>
      <c r="AL148" s="753">
        <f ca="1">RZ[[#This Row],[Kilogramová cena bez DPH '[cena/kg'] (1)]]/$AK$13</f>
        <v>133213.88888888888</v>
      </c>
      <c r="AM148" s="261"/>
      <c r="AN148" s="796">
        <f ca="1">AD148/VLOOKUP($AO$13,KURZY,3,FALSE)</f>
        <v>173757.24637681161</v>
      </c>
      <c r="AO148" s="796">
        <f ca="1">AE148/VLOOKUP($AO$13,KURZY,3,FALSE)*IF(V148="",0,1)</f>
        <v>173757.24637681161</v>
      </c>
      <c r="AP148" s="796">
        <f ca="1">AF148/VLOOKUP($AO$13,KURZY,3,FALSE)</f>
        <v>0</v>
      </c>
      <c r="AQ148" s="753">
        <f ca="1">RZ[[#This Row],[Kilogramová cena bez DPH '[cena/kg'] (1)]]/$AP$13</f>
        <v>173757.24637681161</v>
      </c>
      <c r="AR148" s="261"/>
      <c r="AS148" s="796">
        <f ca="1">AD148/VLOOKUP($AT$13,KURZY,3,FALSE)</f>
        <v>98380.060175054692</v>
      </c>
      <c r="AT148" s="796">
        <f ca="1">AE148/VLOOKUP($AT$13,KURZY,3,FALSE)*IF(V148="",0,1)</f>
        <v>98380.060175054692</v>
      </c>
      <c r="AU148" s="789">
        <f ca="1">AF148/VLOOKUP($AT$13,KURZY,3,FALSE)</f>
        <v>0</v>
      </c>
      <c r="AV148" s="767">
        <f ca="1">RZ[[#This Row],[Kilogramová cena bez DPH '[cena/kg'] (1)]]/$AU$13</f>
        <v>98380.060175054692</v>
      </c>
      <c r="AW148" s="165"/>
      <c r="AX148" s="911">
        <f ca="1">IF($BH148=0,IF(AY148&gt;0,OFFSET(AX148,-1,0,1,1),0),OFFSET(AX148,-1,0,1,1)+1)</f>
        <v>2</v>
      </c>
      <c r="AY148" s="111">
        <f ca="1">IF($BI148=0,IF(AZ148&gt;0,OFFSET(AY148,-1,0,1,1),0),OFFSET(AY148,-1,0,1,1)+1)</f>
        <v>31</v>
      </c>
      <c r="AZ148" s="111">
        <f ca="1">IF($BJ148=0,IF(BA148&gt;0,OFFSET(AZ148,-1,0,1,1),0),OFFSET(AZ148,-1,0,1,1)+1)</f>
        <v>0</v>
      </c>
      <c r="BA148" s="111">
        <f ca="1">IF($BK148=0,IF(BB148&gt;0,OFFSET(BA148,-1,0,1,1),0),OFFSET(BA148,-1,0,1,1)+1)</f>
        <v>0</v>
      </c>
      <c r="BB148" s="111">
        <f ca="1">IF($BL148=0,IF(BC148&gt;0,OFFSET(BB148,-1,0,1,1),0),OFFSET(BB148,-1,0,1,1)+1)</f>
        <v>0</v>
      </c>
      <c r="BC148" s="111">
        <f ca="1">IF($BM148=0,IF(BD148&gt;0,OFFSET(BC148,-1,0,1,1),0),OFFSET(BC148,-1,0,1,1)+1)</f>
        <v>0</v>
      </c>
      <c r="BD148" s="111">
        <f ca="1">IF($BN148=0,IF(BE148&gt;0,OFFSET(BD148,-1,0,1,1),0),OFFSET(BD148,-1,0,1,1)+1)</f>
        <v>0</v>
      </c>
      <c r="BE148" s="111">
        <f ca="1">IF($BO148=0,IF(BF148&gt;0,OFFSET(BE148,-1,0,1,1),0),OFFSET(BE148,-1,0,1,1)+1)</f>
        <v>0</v>
      </c>
      <c r="BF148" s="111">
        <f ca="1">IF($BP148=0,IF(BG148&gt;0,OFFSET(BF148,-1,0,1,1),0),OFFSET(BF148,-1,0,1,1)+1)</f>
        <v>0</v>
      </c>
      <c r="BG148" s="112">
        <f ca="1">IF($BQ148=0,0,OFFSET($BG148,-1,0,1,1)+1)</f>
        <v>0</v>
      </c>
      <c r="BH148" s="911">
        <f t="shared" ref="BH148:BQ149" si="1381">IF(HG148="",0,1)</f>
        <v>0</v>
      </c>
      <c r="BI148" s="111">
        <f t="shared" si="1381"/>
        <v>1</v>
      </c>
      <c r="BJ148" s="111">
        <f t="shared" si="1381"/>
        <v>0</v>
      </c>
      <c r="BK148" s="111">
        <f t="shared" si="1381"/>
        <v>0</v>
      </c>
      <c r="BL148" s="111">
        <f t="shared" si="1381"/>
        <v>0</v>
      </c>
      <c r="BM148" s="111">
        <f t="shared" si="1381"/>
        <v>0</v>
      </c>
      <c r="BN148" s="111">
        <f t="shared" si="1381"/>
        <v>0</v>
      </c>
      <c r="BO148" s="111">
        <f t="shared" si="1381"/>
        <v>0</v>
      </c>
      <c r="BP148" s="111">
        <f t="shared" si="1381"/>
        <v>0</v>
      </c>
      <c r="BQ148" s="112">
        <f t="shared" si="1381"/>
        <v>0</v>
      </c>
      <c r="BR148" s="132">
        <f ca="1">IF(OFFSET(AY148,1,0,1,1)&lt;&gt;0,RZ[[#This Row],[Koeficient odhadu HR '[-'] (P1)]]*$BH148*SUMIFS(RZ[Úroveň 2 s koef. (P2)],RZ[0],AX148),RZ[[#This Row],[Koeficient odhadu HR '[-'] (P1)]]*$BH148*$IG148)</f>
        <v>0</v>
      </c>
      <c r="BS148" s="186">
        <f ca="1">IF(OFFSET(AY148,1,0,1,1)&lt;&gt;0,$BH148*SUMIFS(RZ[Úroveň 2 bez koef. (P2)],RZ[0],AX148),$BH148*$IG148)</f>
        <v>0</v>
      </c>
      <c r="BT148" s="138">
        <f ca="1">RZ[[#This Row],[Úroveň 2 s koef. (P2a)]]*RZ[[#This Row],[Počet MJHR (P0)]]</f>
        <v>1</v>
      </c>
      <c r="BU148" s="138">
        <f ca="1">RZ[[#This Row],[Úroveň 2 bez koef. (P2a)]]*RZ[[#This Row],[Počet MJHR (P0)]]</f>
        <v>1</v>
      </c>
      <c r="BV148" s="138">
        <f ca="1">IF(OFFSET(AZ148,1,0,1,1)&lt;&gt;0,RZ[[#This Row],[Koeficient odhadu HR '[-'] (P1)]]*$BI148*SUMIFS(RZ[Úroveň 3 s koef. (P2)],RZ[0],AX148,RZ[Úroveň 2 (P0)],AY148),RZ[[#This Row],[Koeficient odhadu HR '[-'] (P1)]]*$BI148*$IG148)</f>
        <v>1</v>
      </c>
      <c r="BW148" s="138">
        <f ca="1">IF(OFFSET(AZ148,1,0,1,1)&lt;&gt;0,$BI148*SUMIFS(RZ[Úroveň 3 bez koef. (P2)],RZ[0],AX148,RZ[Úroveň 2 (P0)],AY148),$BI148*$IG148)</f>
        <v>1</v>
      </c>
      <c r="BX148" s="132">
        <f ca="1">RZ[[#This Row],[Úroveň 3 s koef. (P2a)]]*RZ[[#This Row],[Počet MJHR (P0)]]</f>
        <v>0</v>
      </c>
      <c r="BY148" s="132">
        <f ca="1">RZ[Úroveň 3 bez koef. (P2a)]*RZ[[#This Row],[Počet MJHR (P0)]]</f>
        <v>0</v>
      </c>
      <c r="BZ148" s="132">
        <f ca="1">IF(OFFSET(BA148,1,0,1,1)&lt;&gt;0,RZ[[#This Row],[Koeficient odhadu HR '[-'] (P1)]]*$BJ148*SUMIFS(RZ[Úroveň 4 s koef. (P2)],RZ[0],AX148,RZ[Úroveň 2 (P0)],AY148,RZ[Úroveň 3 (P0)],AZ148),RZ[[#This Row],[Koeficient odhadu HR '[-'] (P1)]]*$BJ148*$IG148)</f>
        <v>0</v>
      </c>
      <c r="CA148" s="132">
        <f ca="1">IF(OFFSET(BA148,1,0,1,1)&lt;&gt;0,$BJ148*SUMIFS(RZ[Úroveň 4 bez koef. (P2)],RZ[0],AX148,RZ[Úroveň 2 (P0)],AY148,RZ[Úroveň 3 (P0)],AZ148),$BJ148*$IG148)</f>
        <v>0</v>
      </c>
      <c r="CB148" s="138">
        <f ca="1">RZ[[#This Row],[Úroveň 4 s koef. (P2a)]]*RZ[[#This Row],[Počet MJHR (P0)]]</f>
        <v>0</v>
      </c>
      <c r="CC148" s="138">
        <f ca="1">RZ[Úroveň 4 bez koef. (P2a)]*RZ[[#This Row],[Počet MJHR (P0)]]</f>
        <v>0</v>
      </c>
      <c r="CD148" s="138">
        <f ca="1">IF(OFFSET(BB148,1,0,1,1)&lt;&gt;0,RZ[[#This Row],[Koeficient odhadu HR '[-'] (P1)]]*$BK148*SUMIFS(RZ[Úroveň 5 s koef. (P2)],RZ[0],AX148,RZ[Úroveň 2 (P0)],AY148,RZ[Úroveň 3 (P0)],AZ148,RZ[Úroveň 4 (P0)],BA148),RZ[[#This Row],[Koeficient odhadu HR '[-'] (P1)]]*$BK148*$IG148)</f>
        <v>0</v>
      </c>
      <c r="CE148" s="138">
        <f ca="1">IF(OFFSET(BB148,1,0,1,1)&lt;&gt;0,$BK148*SUMIFS(RZ[Úroveň 5 bez koef. (P2)],RZ[0],AX148,RZ[Úroveň 2 (P0)],AY148,RZ[Úroveň 3 (P0)],AZ148,RZ[Úroveň 4 (P0)],BA148),$BK148*$IG148)</f>
        <v>0</v>
      </c>
      <c r="CF148" s="132">
        <f ca="1">RZ[[#This Row],[Úroveň 5 s koef. (P2a)]]*RZ[[#This Row],[Počet MJHR (P0)]]</f>
        <v>0</v>
      </c>
      <c r="CG148" s="132">
        <f ca="1">RZ[Úroveň 5 bez koef. (P2a)]*RZ[[#This Row],[Počet MJHR (P0)]]</f>
        <v>0</v>
      </c>
      <c r="CH148" s="132">
        <f ca="1">IF(OFFSET(BC148,1,0,1,1)&lt;&gt;0,RZ[[#This Row],[Koeficient odhadu HR '[-'] (P1)]]*$BL148*SUMIFS(RZ[Úroveň 6 s koef. (P2)],RZ[0],AX148,RZ[Úroveň 2 (P0)],AY148,RZ[Úroveň 3 (P0)],AZ148,RZ[Úroveň 4 (P0)],BA148,RZ[Úroveň 5 (P0)],BB148),RZ[[#This Row],[Koeficient odhadu HR '[-'] (P1)]]*$BL148*$IG148)</f>
        <v>0</v>
      </c>
      <c r="CI148" s="132">
        <f ca="1">IF(OFFSET(BC148,1,0,1,1)&lt;&gt;0,$BL148*SUMIFS(RZ[Úroveň 6 bez koef. (P2)],RZ[0],AX148,RZ[Úroveň 2 (P0)],AY148,RZ[Úroveň 3 (P0)],AZ148,RZ[Úroveň 4 (P0)],BA148,RZ[Úroveň 5 (P0)],BB148),$BL148*$IG148)</f>
        <v>0</v>
      </c>
      <c r="CJ148" s="138">
        <f ca="1">RZ[[#This Row],[Úroveň 6 s koef. (P2a)]]*RZ[[#This Row],[Počet MJHR (P0)]]</f>
        <v>0</v>
      </c>
      <c r="CK148" s="138">
        <f ca="1">RZ[Úroveň 6 bez koef. (P2a)]*RZ[[#This Row],[Počet MJHR (P0)]]</f>
        <v>0</v>
      </c>
      <c r="CL148" s="138">
        <f ca="1">IF(OFFSET(BD148,1,0,1,1)&lt;&gt;0,RZ[[#This Row],[Koeficient odhadu HR '[-'] (P1)]]*$BM148*SUMIFS(RZ[Úroveň 7 s koef. (P2)],RZ[0],AX148,RZ[Úroveň 2 (P0)],AY148,RZ[Úroveň 3 (P0)],AZ148,RZ[Úroveň 4 (P0)],BA148,RZ[Úroveň 5 (P0)],BB148,RZ[Úroveň 6 (P0)],BC148),RZ[[#This Row],[Koeficient odhadu HR '[-'] (P1)]]*$BM148*$IG148)</f>
        <v>0</v>
      </c>
      <c r="CM148" s="138">
        <f ca="1">IF(OFFSET(BD148,1,0,1,1)&lt;&gt;0,$BM148*SUMIFS(RZ[Úroveň 7 bez koef. (P2)],RZ[0],AX148,RZ[Úroveň 2 (P0)],AY148,RZ[Úroveň 3 (P0)],AZ148,RZ[Úroveň 4 (P0)],BA148,RZ[Úroveň 5 (P0)],BB148,RZ[Úroveň 6 (P0)],BC148),$BM148*$IG148)</f>
        <v>0</v>
      </c>
      <c r="CN148" s="132">
        <f ca="1">RZ[[#This Row],[Úroveň 7 s koef. (P2a)]]*RZ[[#This Row],[Počet MJHR (P0)]]</f>
        <v>0</v>
      </c>
      <c r="CO148" s="132">
        <f ca="1">RZ[Úroveň 7 bez koef. (P2a)]*RZ[[#This Row],[Počet MJHR (P0)]]</f>
        <v>0</v>
      </c>
      <c r="CP148" s="132">
        <f ca="1">IF(OFFSET(BE148,1,0,1,1)&lt;&gt;0,RZ[[#This Row],[Koeficient odhadu HR '[-'] (P1)]]*$BN148*SUMIFS(RZ[Úroveň 8 s koef. (P2)],RZ[0],AX148,RZ[Úroveň 2 (P0)],AY148,RZ[Úroveň 3 (P0)],AZ148,RZ[Úroveň 4 (P0)],BA148,RZ[Úroveň 5 (P0)],BB148,RZ[Úroveň 6 (P0)],BC148,RZ[Úroveň 7 (P0)],BD148),RZ[[#This Row],[Koeficient odhadu HR '[-'] (P1)]]*$BN148*$IG148)</f>
        <v>0</v>
      </c>
      <c r="CQ148" s="132">
        <f ca="1">IF(OFFSET(BE148,1,0,1,1)&lt;&gt;0,$BN148*SUMIFS(RZ[Úroveň 8 bez koef. (P2)],RZ[0],AX148,RZ[Úroveň 2 (P0)],AY148,RZ[Úroveň 3 (P0)],AZ148,RZ[Úroveň 4 (P0)],BA148,RZ[Úroveň 5 (P0)],BB148,RZ[Úroveň 6 (P0)],BC148,RZ[Úroveň 7 (P0)],BD148),$BN148*$IG148)</f>
        <v>0</v>
      </c>
      <c r="CR148" s="138">
        <f ca="1">RZ[[#This Row],[Úroveň 8 s koef. (P2a)]]*RZ[[#This Row],[Počet MJHR (P0)]]</f>
        <v>0</v>
      </c>
      <c r="CS148" s="138">
        <f ca="1">RZ[Úroveň 8 bez koef. (P2a)]*RZ[[#This Row],[Počet MJHR (P0)]]</f>
        <v>0</v>
      </c>
      <c r="CT148" s="138">
        <f ca="1">IF(OFFSET(BF148,1,0,1,1)&lt;&gt;0,RZ[[#This Row],[Koeficient odhadu HR '[-'] (P1)]]*$BO148*SUMIFS(RZ[Úroveň 9 s koef. (P2)],RZ[0],AX148,RZ[Úroveň 2 (P0)],AY148,RZ[Úroveň 3 (P0)],AZ148,RZ[Úroveň 4 (P0)],BA148,RZ[Úroveň 5 (P0)],BB148,RZ[Úroveň 6 (P0)],BC148,RZ[Úroveň 7 (P0)],BD148,RZ[Úroveň 8 (P0)],BE148),RZ[[#This Row],[Koeficient odhadu HR '[-'] (P1)]]*$BO148*$IG148)</f>
        <v>0</v>
      </c>
      <c r="CU148" s="138">
        <f ca="1">IF(OFFSET(BF148,1,0,1,1)&lt;&gt;0,$BO148*SUMIFS(RZ[Úroveň 9 bez koef. (P2)],RZ[0],AX148,RZ[Úroveň 2 (P0)],AY148,RZ[Úroveň 3 (P0)],AZ148,RZ[Úroveň 4 (P0)],BA148,RZ[Úroveň 5 (P0)],BB148,RZ[Úroveň 6 (P0)],BC148,RZ[Úroveň 7 (P0)],BD148,RZ[Úroveň 8 (P0)],BE148),$BO148*$IG148)</f>
        <v>0</v>
      </c>
      <c r="CV148" s="132">
        <f ca="1">RZ[[#This Row],[Úroveň 9 s koef. (P2a)]]*RZ[[#This Row],[Počet MJHR (P0)]]</f>
        <v>0</v>
      </c>
      <c r="CW148" s="132">
        <f ca="1">RZ[Úroveň 9 bez koef. (P2a)]*RZ[[#This Row],[Počet MJHR (P0)]]</f>
        <v>0</v>
      </c>
      <c r="CX148" s="132">
        <f ca="1">IF(OFFSET(BG148,1,0,1,1)&lt;&gt;0,RZ[[#This Row],[Koeficient odhadu HR '[-'] (P1)]]*$BP148*SUMIFS(RZ[Úroveň 10 s koef. (P2)],RZ[0],AX148,RZ[Úroveň 2 (P0)],AY148,RZ[Úroveň 3 (P0)],AZ148,RZ[Úroveň 4 (P0)],BA148,RZ[Úroveň 5 (P0)],BB148,RZ[Úroveň 6 (P0)],BC148,RZ[Úroveň 7 (P0)],BD148,RZ[Úroveň 8 (P0)],BE148,RZ[Úroveň 9 (P0)],BF148),RZ[[#This Row],[Koeficient odhadu HR '[-'] (P1)]]*$BP148*$IG148)</f>
        <v>0</v>
      </c>
      <c r="CY148" s="132">
        <f ca="1">IF(OFFSET(BG148,1,0,1,1)&lt;&gt;0,$BP148*SUMIFS(RZ[Úroveň 10 bez koef. (P2)],RZ[0],AX148,RZ[Úroveň 2 (P0)],AY148,RZ[Úroveň 3 (P0)],AZ148,RZ[Úroveň 4 (P0)],BA148,RZ[Úroveň 5 (P0)],BB148,RZ[Úroveň 6 (P0)],BC148,RZ[Úroveň 7 (P0)],BD148,RZ[Úroveň 8 (P0)],BE148,RZ[Úroveň 9 (P0)],BF148),$BP148*$IG148)</f>
        <v>0</v>
      </c>
      <c r="CZ148" s="138">
        <f>RZ[[#This Row],[Úroveň 10 s koef. (P2a)]]*RZ[[#This Row],[Počet MJHR (P0)]]</f>
        <v>0</v>
      </c>
      <c r="DA148" s="138">
        <f>RZ[Úroveň 10 bez koef. (P2a)]*RZ[[#This Row],[Počet MJHR (P0)]]</f>
        <v>0</v>
      </c>
      <c r="DB148" s="138">
        <f>RZ[[#This Row],[Koeficient odhadu HR '[-'] (P1)]]*$BQ148*IG148</f>
        <v>0</v>
      </c>
      <c r="DC148" s="231">
        <f>$BQ148*IG148</f>
        <v>0</v>
      </c>
      <c r="DD148" s="241">
        <f ca="1">IF(BH148=1,BR148,IF(BI148=1,BV148,IF(BJ148=1,BZ148,IF(BK148=1,CD148,IF(BL148=1,CH148,IF(BM148=1,CL148,IF(BN148=1,CP148,IF(BO148=1,CT148,IF(BP148=1,CX148,DB148)))))))))</f>
        <v>1</v>
      </c>
      <c r="DE148" s="229">
        <f ca="1">IF(BH148=1,BS148,IF(BI148=1,BW148,IF(BJ148=1,CA148,IF(BK148=1,CE148,IF(BL148=1,CI148,IF(BM148=1,CM148,IF(BN148=1,CQ148,IF(BO148=1,CU148,IF(BP148=1,CY148,DC148)))))))))</f>
        <v>1</v>
      </c>
      <c r="DF148" s="912">
        <f t="shared" ref="DF148:DO149" si="1382">BH148*$IF148</f>
        <v>0</v>
      </c>
      <c r="DG148" s="913">
        <f t="shared" si="1382"/>
        <v>1</v>
      </c>
      <c r="DH148" s="913">
        <f t="shared" si="1382"/>
        <v>0</v>
      </c>
      <c r="DI148" s="913">
        <f t="shared" si="1382"/>
        <v>0</v>
      </c>
      <c r="DJ148" s="913">
        <f t="shared" si="1382"/>
        <v>0</v>
      </c>
      <c r="DK148" s="913">
        <f t="shared" si="1382"/>
        <v>0</v>
      </c>
      <c r="DL148" s="913">
        <f t="shared" si="1382"/>
        <v>0</v>
      </c>
      <c r="DM148" s="913">
        <f t="shared" si="1382"/>
        <v>0</v>
      </c>
      <c r="DN148" s="913">
        <f t="shared" si="1382"/>
        <v>0</v>
      </c>
      <c r="DO148" s="913">
        <f t="shared" si="1382"/>
        <v>0</v>
      </c>
      <c r="DP148" s="914">
        <f ca="1">SUMIFS(RZ[Úroveň 1 (P4)],RZ[0],AX148)</f>
        <v>1</v>
      </c>
      <c r="DQ148" s="914">
        <f ca="1">SUMIFS(RZ[Úroveň 2 (P4)],RZ[0],AX148,RZ[Úroveň 2 (P0)],AY148)</f>
        <v>1</v>
      </c>
      <c r="DR148" s="914">
        <f ca="1">SUMIFS(RZ[Úroveň 3 (P4)],RZ[0],AX148,RZ[Úroveň 2 (P0)],AY148,RZ[Úroveň 3 (P0)],AZ148)</f>
        <v>0</v>
      </c>
      <c r="DS148" s="914">
        <f ca="1">SUMIFS(RZ[Úroveň 4 (P4)],RZ[0],AX148,RZ[Úroveň 2 (P0)],AY148,RZ[Úroveň 3 (P0)],AZ148,RZ[Úroveň 4 (P0)],BA148)</f>
        <v>0</v>
      </c>
      <c r="DT148" s="914">
        <f ca="1">SUMIFS(RZ[Úroveň 5 (P4)],RZ[0],AX148,RZ[Úroveň 2 (P0)],AY148,RZ[Úroveň 3 (P0)],AZ148,RZ[Úroveň 4 (P0)],BA148,RZ[Úroveň 5 (P0)],BB148)</f>
        <v>0</v>
      </c>
      <c r="DU148" s="914">
        <f ca="1">SUMIFS(RZ[Úroveň 6 (P4)],RZ[0],AX148,RZ[Úroveň 2 (P0)],AY148,RZ[Úroveň 3 (P0)],AZ148,RZ[Úroveň 4 (P0)],BA148,RZ[Úroveň 5 (P0)],BB148,RZ[Úroveň 6 (P0)],BC148)</f>
        <v>0</v>
      </c>
      <c r="DV148" s="914">
        <f ca="1">SUMIFS(RZ[Úroveň 7 (P4)],RZ[0],AX148,RZ[Úroveň 2 (P0)],AY148,RZ[Úroveň 3 (P0)],AZ148,RZ[Úroveň 4 (P0)],BA148,RZ[Úroveň 5 (P0)],BB148,RZ[Úroveň 6 (P0)],BC148,RZ[Úroveň 7 (P0)],BD148)</f>
        <v>0</v>
      </c>
      <c r="DW148" s="914">
        <f ca="1">SUMIFS(RZ[Úroveň 8 (P4)],RZ[0],AX148,RZ[Úroveň 2 (P0)],AY148,RZ[Úroveň 3 (P0)],AZ148,RZ[Úroveň 4 (P0)],BA148,RZ[Úroveň 5 (P0)],BB148,RZ[Úroveň 6 (P0)],BC148,RZ[Úroveň 7 (P0)],BD148,RZ[Úroveň 8 (P0)],BE148)</f>
        <v>0</v>
      </c>
      <c r="DX148" s="914">
        <f ca="1">SUMIFS(RZ[Úroveň 9 (P4)],RZ[0],AX148,RZ[Úroveň 2 (P0)],AY148,RZ[Úroveň 3 (P0)],AZ148,RZ[Úroveň 4 (P0)],BA148,RZ[Úroveň 5 (P0)],BB148,RZ[Úroveň 6 (P0)],BC148,RZ[Úroveň 7 (P0)],BD148,RZ[Úroveň 8 (P0)],BE148,RZ[Úroveň 9 (P0)],BF148)</f>
        <v>0</v>
      </c>
      <c r="DY148" s="914">
        <f ca="1">SUMIFS(RZ[Úroveň 10 (P4)],RZ[0],AX148,RZ[Úroveň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DZ148" s="915">
        <f ca="1">IF(DP148&lt;&gt;0,DP148,1)*IF(DQ148&lt;&gt;0,DQ148,1)*IF(DR148&lt;&gt;0,DR148,1)*IF(DS148&lt;&gt;0,DS148,1)*IF(DT148&lt;&gt;0,DT148,1)*IF(DU148&lt;&gt;0,DU148,1)*IF(DV148&lt;&gt;0,DV148,1)*IF(DW148&lt;&gt;0,DW148,1)*IF(DX148&lt;&gt;0,DX148,1)*IF(DY148&lt;&gt;0,DY148,1)</f>
        <v>1</v>
      </c>
      <c r="EA148" s="916">
        <f ca="1">RZ[[#This Row],[Jednotková hmotnost bez koef. '[kg/MJHR'] (P0)]]*RZ[[#This Row],[Počet MJHR v rozpadu (P0)]]</f>
        <v>1</v>
      </c>
      <c r="EB148" s="917">
        <f ca="1">IF(OFFSET(AY148,1,0,1,1)&lt;&gt;0,RZ[[#This Row],[Koeficient odhadu CR '[-'] (P1)]]*$BH148*SUMIFS(RZ[Úroveň 2 s koef. (P3)],RZ[0],AX148),RZ[[#This Row],[Koeficient odhadu CR '[-'] (P1)]]*$BH148*$IQ148)</f>
        <v>0</v>
      </c>
      <c r="EC148" s="191">
        <f ca="1">IF(OFFSET(AY148,1,0,1,1)&lt;&gt;0,$BH148*SUMIFS(RZ[Úroveň 2 bez koef. (P3)],RZ[0],AX148),$BH148*$IQ148)</f>
        <v>0</v>
      </c>
      <c r="ED148" s="140">
        <f ca="1">RZ[[#This Row],[Úroveň 2 s koef. (P3a)]]*RZ[[#This Row],[Počet MJCR (P0) pro "kg"]]</f>
        <v>3596775</v>
      </c>
      <c r="EE148" s="140">
        <f ca="1">RZ[Úroveň 2 bez koef. (P3a)]*RZ[[#This Row],[Počet MJCR (P0) pro "kg"]]</f>
        <v>3596775</v>
      </c>
      <c r="EF148" s="140">
        <f ca="1">IF(OFFSET(AZ148,1,0,1,1)&lt;&gt;0,RZ[[#This Row],[Koeficient odhadu CR '[-'] (P1)]]*$BI148*SUMIFS(RZ[Úroveň 3 s koef. (P3)],RZ[0],AX148,RZ[Úroveň 2 (P0)],AY148),RZ[[#This Row],[Koeficient odhadu CR '[-'] (P1)]]*$BI148*$IQ148)</f>
        <v>3596775</v>
      </c>
      <c r="EG148" s="140">
        <f ca="1">IF(OFFSET(AZ148,1,0,1,1)&lt;&gt;0,$BI148*SUMIFS(RZ[Úroveň 3 bez koef. (P3)],RZ[0],AX148,RZ[Úroveň 2 (P0)],AY148),$BI148*$IQ148)</f>
        <v>3596775</v>
      </c>
      <c r="EH148" s="135">
        <f ca="1">RZ[[#This Row],[Úroveň 3 s koef. (P3a)]]*RZ[[#This Row],[Počet MJCR (P0) pro "kg"]]</f>
        <v>0</v>
      </c>
      <c r="EI148" s="135">
        <f ca="1">RZ[Úroveň 3 bez koef. (P3a)]*RZ[[#This Row],[Počet MJCR (P0) pro "kg"]]</f>
        <v>0</v>
      </c>
      <c r="EJ148" s="135">
        <f ca="1">IF(OFFSET(BA148,1,0,1,1)&lt;&gt;0,RZ[[#This Row],[Koeficient odhadu CR '[-'] (P1)]]*$BJ148*SUMIFS(RZ[Úroveň 4 s koef. (P3)],RZ[0],AX148,RZ[Úroveň 2 (P0)],AY148,RZ[Úroveň 3 (P0)],AZ148),RZ[[#This Row],[Koeficient odhadu CR '[-'] (P1)]]*$BJ148*$IQ148)</f>
        <v>0</v>
      </c>
      <c r="EK148" s="135">
        <f ca="1">IF(OFFSET(BA148,1,0,1,1)&lt;&gt;0,$BJ148*SUMIFS(RZ[Úroveň 4 bez koef. (P3)],RZ[0],AX148,RZ[Úroveň 2 (P0)],AY148,RZ[Úroveň 3 (P0)],AZ148),$BJ148*$IQ148)</f>
        <v>0</v>
      </c>
      <c r="EL148" s="140">
        <f ca="1">RZ[[#This Row],[Úroveň 4 s koef. (P3a)]]*RZ[[#This Row],[Počet MJCR (P0) pro "kg"]]</f>
        <v>0</v>
      </c>
      <c r="EM148" s="140">
        <f ca="1">RZ[Úroveň 4 bez koef. (P3a)]*RZ[[#This Row],[Počet MJCR (P0) pro "kg"]]</f>
        <v>0</v>
      </c>
      <c r="EN148" s="140">
        <f ca="1">IF(OFFSET(BB148,1,0,1,1)&lt;&gt;0,RZ[[#This Row],[Koeficient odhadu CR '[-'] (P1)]]*$BK148*SUMIFS(RZ[Úroveň 5 s koef. (P3)],RZ[0],AX148,RZ[Úroveň 2 (P0)],AY148,RZ[Úroveň 3 (P0)],AZ148,RZ[Úroveň 4 (P0)],BA148),RZ[[#This Row],[Koeficient odhadu CR '[-'] (P1)]]*$BK148*$IQ148)</f>
        <v>0</v>
      </c>
      <c r="EO148" s="140">
        <f ca="1">IF(OFFSET(BB148,1,0,1,1)&lt;&gt;0,$BK148*SUMIFS(RZ[Úroveň 5 bez koef. (P3)],RZ[0],AX148,RZ[Úroveň 2 (P0)],AY148,RZ[Úroveň 3 (P0)],AZ148,RZ[Úroveň 4 (P0)],BA148),$BK148*$IQ148)</f>
        <v>0</v>
      </c>
      <c r="EP148" s="135">
        <f ca="1">RZ[[#This Row],[Úroveň 5 s koef. (P3a)]]*RZ[[#This Row],[Počet MJCR (P0) pro "kg"]]</f>
        <v>0</v>
      </c>
      <c r="EQ148" s="135">
        <f ca="1">RZ[Úroveň 5 bez koef. (P3a)]*RZ[[#This Row],[Počet MJCR (P0) pro "kg"]]</f>
        <v>0</v>
      </c>
      <c r="ER148" s="135">
        <f ca="1">IF(OFFSET(BC148,1,0,1,1)&lt;&gt;0,RZ[[#This Row],[Koeficient odhadu CR '[-'] (P1)]]*$BL148*SUMIFS(RZ[Úroveň 6 s koef. (P3)],RZ[0],AX148,RZ[Úroveň 2 (P0)],AY148,RZ[Úroveň 3 (P0)],AZ148,RZ[Úroveň 4 (P0)],BA148,RZ[Úroveň 5 (P0)],BB148),RZ[[#This Row],[Koeficient odhadu CR '[-'] (P1)]]*$BL148*$IQ148)</f>
        <v>0</v>
      </c>
      <c r="ES148" s="135">
        <f ca="1">IF(OFFSET(BC148,1,0,1,1)&lt;&gt;0,$BL148*SUMIFS(RZ[Úroveň 6 bez koef. (P3)],RZ[0],AX148,RZ[Úroveň 2 (P0)],AY148,RZ[Úroveň 3 (P0)],AZ148,RZ[Úroveň 4 (P0)],BA148,RZ[Úroveň 5 (P0)],BB148),$BL148*$IQ148)</f>
        <v>0</v>
      </c>
      <c r="ET148" s="140">
        <f ca="1">RZ[[#This Row],[Úroveň 6 s koef. (P3a)]]*RZ[[#This Row],[Počet MJCR (P0) pro "kg"]]</f>
        <v>0</v>
      </c>
      <c r="EU148" s="140">
        <f ca="1">RZ[Úroveň 6 bez koef. (P3a)]*RZ[[#This Row],[Počet MJCR (P0) pro "kg"]]</f>
        <v>0</v>
      </c>
      <c r="EV148" s="140">
        <f ca="1">IF(OFFSET(BD148,1,0,1,1)&lt;&gt;0,RZ[[#This Row],[Koeficient odhadu CR '[-'] (P1)]]*$BM148*SUMIFS(RZ[Úroveň 7 s koef. (P3)],RZ[0],AX148,RZ[Úroveň 2 (P0)],AY148,RZ[Úroveň 3 (P0)],AZ148,RZ[Úroveň 4 (P0)],BA148,RZ[Úroveň 5 (P0)],BB148,RZ[Úroveň 6 (P0)],BC148),RZ[[#This Row],[Koeficient odhadu CR '[-'] (P1)]]*$BM148*$IQ148)</f>
        <v>0</v>
      </c>
      <c r="EW148" s="140">
        <f ca="1">IF(OFFSET(BD148,1,0,1,1)&lt;&gt;0,$BM148*SUMIFS(RZ[Úroveň 7 bez koef. (P3)],RZ[0],AX148,RZ[Úroveň 2 (P0)],AY148,RZ[Úroveň 3 (P0)],AZ148,RZ[Úroveň 4 (P0)],BA148,RZ[Úroveň 5 (P0)],BB148,RZ[Úroveň 6 (P0)],BC148),$BM148*$IQ148)</f>
        <v>0</v>
      </c>
      <c r="EX148" s="135">
        <f ca="1">RZ[[#This Row],[Úroveň 7 s koef. (P3a)]]*RZ[[#This Row],[Počet MJCR (P0) pro "kg"]]</f>
        <v>0</v>
      </c>
      <c r="EY148" s="135">
        <f ca="1">RZ[Úroveň 7 bez koef. (P3a)]*RZ[[#This Row],[Počet MJCR (P0) pro "kg"]]</f>
        <v>0</v>
      </c>
      <c r="EZ148" s="135">
        <f ca="1">IF(OFFSET(BE148,1,0,1,1)&lt;&gt;0,RZ[[#This Row],[Koeficient odhadu CR '[-'] (P1)]]*$BN148*SUMIFS(RZ[Úroveň 8 s koef. (P3)],RZ[0],AX148,RZ[Úroveň 2 (P0)],AY148,RZ[Úroveň 3 (P0)],AZ148,RZ[Úroveň 4 (P0)],BA148,RZ[Úroveň 5 (P0)],BB148,RZ[Úroveň 6 (P0)],BC148,RZ[Úroveň 7 (P0)],BD148),RZ[[#This Row],[Koeficient odhadu CR '[-'] (P1)]]*$BN148*$IQ148)</f>
        <v>0</v>
      </c>
      <c r="FA148" s="135">
        <f ca="1">IF(OFFSET(BE148,1,0,1,1)&lt;&gt;0,$BN148*SUMIFS(RZ[Úroveň 8 bez koef. (P3)],RZ[0],AX148,RZ[Úroveň 2 (P0)],AY148,RZ[Úroveň 3 (P0)],AZ148,RZ[Úroveň 4 (P0)],BA148,RZ[Úroveň 5 (P0)],BB148,RZ[Úroveň 6 (P0)],BC148,RZ[Úroveň 7 (P0)],BD148),$BN148*$IQ148)</f>
        <v>0</v>
      </c>
      <c r="FB148" s="140">
        <f ca="1">RZ[[#This Row],[Úroveň 8 s koef. (P3a)]]*RZ[[#This Row],[Počet MJCR (P0) pro "kg"]]</f>
        <v>0</v>
      </c>
      <c r="FC148" s="140">
        <f ca="1">RZ[Úroveň 8 bez koef. (P3a)]*RZ[[#This Row],[Počet MJCR (P0) pro "kg"]]</f>
        <v>0</v>
      </c>
      <c r="FD148" s="140">
        <f ca="1">IF(OFFSET(BF148,1,0,1,1)&lt;&gt;0,RZ[[#This Row],[Koeficient odhadu CR '[-'] (P1)]]*$BO148*SUMIFS(RZ[Úroveň 9 s koef. (P3)],RZ[0],AX148,RZ[Úroveň 2 (P0)],AY148,RZ[Úroveň 3 (P0)],AZ148,RZ[Úroveň 4 (P0)],BA148,RZ[Úroveň 5 (P0)],BB148,RZ[Úroveň 6 (P0)],BC148,RZ[Úroveň 7 (P0)],BD148,RZ[Úroveň 8 (P0)],BE148),RZ[[#This Row],[Koeficient odhadu CR '[-'] (P1)]]*$BO148*$IQ148)</f>
        <v>0</v>
      </c>
      <c r="FE148" s="140">
        <f ca="1">IF(OFFSET(BF148,1,0,1,1)&lt;&gt;0,$BO148*SUMIFS(RZ[Úroveň 9 bez koef. (P3)],RZ[0],AX148,RZ[Úroveň 2 (P0)],AY148,RZ[Úroveň 3 (P0)],AZ148,RZ[Úroveň 4 (P0)],BA148,RZ[Úroveň 5 (P0)],BB148,RZ[Úroveň 6 (P0)],BC148,RZ[Úroveň 7 (P0)],BD148,RZ[Úroveň 8 (P0)],BE148),$BO148*$IQ148)</f>
        <v>0</v>
      </c>
      <c r="FF148" s="135">
        <f ca="1">RZ[[#This Row],[Úroveň 9 s koef. (P3a)]]*RZ[[#This Row],[Počet MJCR (P0) pro "kg"]]</f>
        <v>0</v>
      </c>
      <c r="FG148" s="135">
        <f ca="1">RZ[Úroveň 9 bez koef. (P3a)]*RZ[[#This Row],[Počet MJCR (P0) pro "kg"]]</f>
        <v>0</v>
      </c>
      <c r="FH148" s="135">
        <f ca="1">IF(OFFSET(BG148,1,0,1,1)&lt;&gt;0,RZ[[#This Row],[Koeficient odhadu CR '[-'] (P1)]]*$BP148*SUMIFS(RZ[Úroveň 10 s koef. (P3)],RZ[0],AX148,RZ[Úroveň 2 (P0)],AY148,RZ[Úroveň 3 (P0)],AZ148,RZ[Úroveň 4 (P0)],BA148,RZ[Úroveň 5 (P0)],BB148,RZ[Úroveň 6 (P0)],BC148,RZ[Úroveň 7 (P0)],BD148,RZ[Úroveň 8 (P0)],BE148,RZ[Úroveň 9 (P0)],BF148),RZ[[#This Row],[Koeficient odhadu CR '[-'] (P1)]]*$BP148*$IQ148)</f>
        <v>0</v>
      </c>
      <c r="FI148" s="135">
        <f ca="1">IF(OFFSET(BG148,1,0,1,1)&lt;&gt;0,$BP148*SUMIFS(RZ[Úroveň 10 bez koef. (P3)],RZ[0],AX148,RZ[Úroveň 2 (P0)],AY148,RZ[Úroveň 3 (P0)],AZ148,RZ[Úroveň 4 (P0)],BA148,RZ[Úroveň 5 (P0)],BB148,RZ[Úroveň 6 (P0)],BC148,RZ[Úroveň 7 (P0)],BD148,RZ[Úroveň 8 (P0)],BE148,RZ[Úroveň 9 (P0)],BF148),$BP148*$IQ148)</f>
        <v>0</v>
      </c>
      <c r="FJ148" s="140">
        <f ca="1">RZ[[#This Row],[Úroveň 10 s koef. (P3a)]]*RZ[[#This Row],[Počet MJCR (P0) pro "kg"]]</f>
        <v>0</v>
      </c>
      <c r="FK148" s="140">
        <f ca="1">RZ[Úroveň 10 bez koef. (P3a)]*RZ[[#This Row],[Počet MJCR (P0) pro "kg"]]</f>
        <v>0</v>
      </c>
      <c r="FL148" s="140">
        <f ca="1">RZ[[#This Row],[Koeficient odhadu CR '[-'] (P1)]]*$BQ148*IQ148</f>
        <v>0</v>
      </c>
      <c r="FM148" s="236">
        <f ca="1">$BQ148*IQ148</f>
        <v>0</v>
      </c>
      <c r="FN148" s="194">
        <f ca="1">IF(BH148=1,EB148,IF(BI148=1,EF148,IF(BJ148=1,EJ148,IF(BK148=1,EN148,IF(BL148=1,ER148,IF(BM148=1,EV148,IF(BN148=1,EZ148,IF(BO148=1,FD148,IF(BP148=1,FH148,FL148)))))))))</f>
        <v>3596775</v>
      </c>
      <c r="FO148" s="238">
        <f ca="1">IF(BH148=1,EC148,IF(BI148=1,EG148,IF(BJ148=1,EK148,IF(BK148=1,EO148,IF(BL148=1,ES148,IF(BM148=1,EW148,IF(BN148=1,FA148,IF(BO148=1,FE148,IF(BP148=1,FI148,FM148)))))))))</f>
        <v>3596775</v>
      </c>
      <c r="FP148" s="135">
        <f t="shared" ref="FP148:FY149" ca="1" si="1383">BH148*$IK148</f>
        <v>0</v>
      </c>
      <c r="FQ148" s="135">
        <f t="shared" ca="1" si="1383"/>
        <v>1</v>
      </c>
      <c r="FR148" s="135">
        <f t="shared" ca="1" si="1383"/>
        <v>0</v>
      </c>
      <c r="FS148" s="135">
        <f t="shared" ca="1" si="1383"/>
        <v>0</v>
      </c>
      <c r="FT148" s="135">
        <f t="shared" ca="1" si="1383"/>
        <v>0</v>
      </c>
      <c r="FU148" s="135">
        <f t="shared" ca="1" si="1383"/>
        <v>0</v>
      </c>
      <c r="FV148" s="135">
        <f t="shared" ca="1" si="1383"/>
        <v>0</v>
      </c>
      <c r="FW148" s="135">
        <f t="shared" ca="1" si="1383"/>
        <v>0</v>
      </c>
      <c r="FX148" s="135">
        <f t="shared" ca="1" si="1383"/>
        <v>0</v>
      </c>
      <c r="FY148" s="135">
        <f t="shared" ca="1" si="1383"/>
        <v>0</v>
      </c>
      <c r="FZ148" s="140">
        <f ca="1">SUMIFS(RZ[Úroveň 1 (P6)],RZ[0],AX148)</f>
        <v>1</v>
      </c>
      <c r="GA148" s="140">
        <f ca="1">SUMIFS(RZ[Úroveň 2 (P6)],RZ[0],AX148,RZ[Úroveň 2 (P0)],AY148)</f>
        <v>1</v>
      </c>
      <c r="GB148" s="140">
        <f ca="1">SUMIFS(RZ[Úroveň 3 (P6)],RZ[0],AX148,RZ[Úroveň 2 (P0)],AY148,RZ[Úroveň 3 (P0)],AZ148)</f>
        <v>0</v>
      </c>
      <c r="GC148" s="140">
        <f ca="1">SUMIFS(RZ[Úroveň 4 (P6)],RZ[0],AX148,RZ[Úroveň 2 (P0)],AY148,RZ[Úroveň 3 (P0)],AZ148,RZ[Úroveň 4 (P0)],BA148)</f>
        <v>0</v>
      </c>
      <c r="GD148" s="140">
        <f ca="1">SUMIFS(RZ[Úroveň 5 (P6)],RZ[0],AX148,RZ[Úroveň 2 (P0)],AY148,RZ[Úroveň 3 (P0)],AZ148,RZ[Úroveň 4 (P0)],BA148,RZ[Úroveň 5 (P0)],BB148)</f>
        <v>0</v>
      </c>
      <c r="GE148" s="140">
        <f ca="1">SUMIFS(RZ[Úroveň 6 (P6)],RZ[0],AX148,RZ[Úroveň 2 (P0)],AY148,RZ[Úroveň 3 (P0)],AZ148,RZ[Úroveň 4 (P0)],BA148,RZ[Úroveň 5 (P0)],BB148,RZ[Úroveň 6 (P0)],BC148)</f>
        <v>0</v>
      </c>
      <c r="GF148" s="140">
        <f ca="1">SUMIFS(RZ[Úroveň 7 (P6)],RZ[0],AX148,RZ[Úroveň 2 (P0)],AY148,RZ[Úroveň 3 (P0)],AZ148,RZ[Úroveň 4 (P0)],BA148,RZ[Úroveň 5 (P0)],BB148,RZ[Úroveň 6 (P0)],BC148,RZ[Úroveň 7 (P0)],BD148)</f>
        <v>0</v>
      </c>
      <c r="GG148" s="140">
        <f ca="1">SUMIFS(RZ[Úroveň 8 (P6)],RZ[0],AX148,RZ[Úroveň 2 (P0)],AY148,RZ[Úroveň 3 (P0)],AZ148,RZ[Úroveň 4 (P0)],BA148,RZ[Úroveň 5 (P0)],BB148,RZ[Úroveň 6 (P0)],BC148,RZ[Úroveň 7 (P0)],BD148,RZ[Úroveň 8 (P0)],BE148)</f>
        <v>0</v>
      </c>
      <c r="GH148" s="140">
        <f ca="1">SUMIFS(RZ[Úroveň 9 (P6)],RZ[0],AX148,RZ[Úroveň 2 (P0)],AY148,RZ[Úroveň 3 (P0)],AZ148,RZ[Úroveň 4 (P0)],BA148,RZ[Úroveň 5 (P0)],BB148,RZ[Úroveň 6 (P0)],BC148,RZ[Úroveň 7 (P0)],BD148,RZ[Úroveň 8 (P0)],BE148,RZ[Úroveň 9 (P0)],BF148)</f>
        <v>0</v>
      </c>
      <c r="GI148" s="140">
        <f ca="1">SUMIFS(RZ[Úroveň 10 (P6)],RZ[0],AX148,RZ[Úroveň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GJ148" s="918">
        <f ca="1">IF(FZ148&lt;&gt;0,FZ148,1)*IF(GA148&lt;&gt;0,GA148,1)*IF(GB148&lt;&gt;0,GB148,1)*IF(GC148&lt;&gt;0,GC148,1)*IF(GD148&lt;&gt;0,GD148,1)*IF(GE148&lt;&gt;0,GE148,1)*IF(GF148&lt;&gt;0,GF148,1)*IF(GG148&lt;&gt;0,GG148,1)*IF(GH148&lt;&gt;0,GH148,1)*IF(GI148&lt;&gt;0,GI148,1)</f>
        <v>1</v>
      </c>
      <c r="GK148" s="808">
        <f t="shared" ref="GK148:GT149" si="1384">BH148*$IO148</f>
        <v>0</v>
      </c>
      <c r="GL148" s="808">
        <f t="shared" si="1384"/>
        <v>1</v>
      </c>
      <c r="GM148" s="808">
        <f t="shared" si="1384"/>
        <v>0</v>
      </c>
      <c r="GN148" s="808">
        <f t="shared" si="1384"/>
        <v>0</v>
      </c>
      <c r="GO148" s="808">
        <f t="shared" si="1384"/>
        <v>0</v>
      </c>
      <c r="GP148" s="808">
        <f t="shared" si="1384"/>
        <v>0</v>
      </c>
      <c r="GQ148" s="808">
        <f t="shared" si="1384"/>
        <v>0</v>
      </c>
      <c r="GR148" s="808">
        <f t="shared" si="1384"/>
        <v>0</v>
      </c>
      <c r="GS148" s="808">
        <f t="shared" si="1384"/>
        <v>0</v>
      </c>
      <c r="GT148" s="808">
        <f t="shared" si="1384"/>
        <v>0</v>
      </c>
      <c r="GU148" s="809">
        <f ca="1">SUMIFS(RZ[Sloupec1],RZ[0],AX148)</f>
        <v>1</v>
      </c>
      <c r="GV148" s="809">
        <f ca="1">SUMIFS(RZ[Sloupec2],RZ[0],AX148,RZ[Úroveň 2 (P0)],AY148)</f>
        <v>1</v>
      </c>
      <c r="GW148" s="809">
        <f ca="1">SUMIFS(RZ[Sloupec3],RZ[0],AX148,RZ[Úroveň 2 (P0)],AY148,RZ[Úroveň 3 (P0)],AZ148)</f>
        <v>0</v>
      </c>
      <c r="GX148" s="809">
        <f ca="1">SUMIFS(RZ[Sloupec4],RZ[0],AX148,RZ[Úroveň 2 (P0)],AY148,RZ[Úroveň 3 (P0)],AZ148,RZ[Úroveň 4 (P0)],BA148)</f>
        <v>0</v>
      </c>
      <c r="GY148" s="809">
        <f ca="1">SUMIFS(RZ[Sloupec5],RZ[0],AX148,RZ[Úroveň 2 (P0)],AY148,RZ[Úroveň 3 (P0)],AZ148,RZ[Úroveň 4 (P0)],BA148,RZ[Úroveň 5 (P0)],BB148)</f>
        <v>0</v>
      </c>
      <c r="GZ148" s="809">
        <f ca="1">SUMIFS(RZ[Sloupec6],RZ[0],AX148,RZ[Úroveň 2 (P0)],AY148,RZ[Úroveň 3 (P0)],AZ148,RZ[Úroveň 4 (P0)],BA148,RZ[Úroveň 5 (P0)],BB148,RZ[Úroveň 6 (P0)],BC148)</f>
        <v>0</v>
      </c>
      <c r="HA148" s="809">
        <f ca="1">SUMIFS(RZ[Sloupec62],RZ[0],AX148,RZ[Úroveň 2 (P0)],AY148,RZ[Úroveň 3 (P0)],AZ148,RZ[Úroveň 4 (P0)],BA148,RZ[Úroveň 5 (P0)],BB148,RZ[Úroveň 6 (P0)],BC148,RZ[Úroveň 7 (P0)],BD148)</f>
        <v>0</v>
      </c>
      <c r="HB148" s="809">
        <f ca="1">SUMIFS(RZ[Sloupec63],RZ[0],AX148,RZ[Úroveň 2 (P0)],AY148,RZ[Úroveň 3 (P0)],AZ148,RZ[Úroveň 4 (P0)],BA148,RZ[Úroveň 5 (P0)],BB148,RZ[Úroveň 6 (P0)],BC148,RZ[Úroveň 7 (P0)],BD148,RZ[Úroveň 8 (P0)],BE148)</f>
        <v>0</v>
      </c>
      <c r="HC148" s="809">
        <f ca="1">SUMIFS(RZ[Sloupec64],RZ[0],AX148,RZ[Úroveň 2 (P0)],AY148,RZ[Úroveň 3 (P0)],AZ148,RZ[Úroveň 4 (P0)],BA148,RZ[Úroveň 5 (P0)],BB148,RZ[Úroveň 6 (P0)],BC148,RZ[Úroveň 7 (P0)],BD148,RZ[Úroveň 8 (P0)],BE148,RZ[Úroveň 9 (P0)],BF148)</f>
        <v>0</v>
      </c>
      <c r="HD148" s="809">
        <f ca="1">SUMIFS(RZ[Sloupec65],RZ[0],AX148,RZ[Úroveň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HE148" s="919">
        <f ca="1">IF(GU148&lt;&gt;0,GU148,1)*IF(GV148&lt;&gt;0,GV148,1)*IF(GW148&lt;&gt;0,GW148,1)*IF(GX148&lt;&gt;0,GX148,1)*IF(GY148&lt;&gt;0,GY148,1)*IF(GZ148&lt;&gt;0,GZ148,1)*IF(HA148&lt;&gt;0,HA148,1)*IF(HB148&lt;&gt;0,HB148,1)*IF(HC148&lt;&gt;0,HC148,1)*IF(HD148&lt;&gt;0,HD148,1)</f>
        <v>1</v>
      </c>
      <c r="HF148" s="920" t="str">
        <f>IF($IW148=$MJ$15,IF(MK148="","",MK148),IF(IY148="","",IY148))</f>
        <v/>
      </c>
      <c r="HG148" s="94" t="str">
        <f>IF($IW148=$MJ$15,IF($MJ148=1,$MS148,""),IF(IZ148="","",IZ148))</f>
        <v/>
      </c>
      <c r="HH148" s="95" t="str">
        <f>IF($IW148=$MJ$15,IF($MJ148=2,$MS148,""),IF(JA148="","",JA148))</f>
        <v>Montáž</v>
      </c>
      <c r="HI148" s="95" t="str">
        <f>IF($IW148=$MJ$15,IF($MJ148=3,$MS148,""),IF(JB148="","",JB148))</f>
        <v/>
      </c>
      <c r="HJ148" s="96" t="str">
        <f>IF($IW148=$MJ$15,IF($MJ148=4,$MS148,""),IF(JC148="","",JC148))</f>
        <v/>
      </c>
      <c r="HK148" s="96" t="str">
        <f>IF($IW148=$MJ$15,IF($MJ148=5,$MS148,""),IF(JD148="","",JD148))</f>
        <v/>
      </c>
      <c r="HL148" s="96" t="str">
        <f>IF($IW148=$MJ$15,IF($MJ148=6,$MS148,""),IF(JE148="","",JE148))</f>
        <v/>
      </c>
      <c r="HM148" s="96" t="str">
        <f>IF($IW148=$MJ$15,IF($MJ148=7,$MS148,""),IF(JF148="","",JF148))</f>
        <v/>
      </c>
      <c r="HN148" s="96" t="str">
        <f>IF($IW148=$MJ$15,IF($MJ148=8,$MS148,""),IF(JG148="","",JG148))</f>
        <v/>
      </c>
      <c r="HO148" s="96" t="str">
        <f>IF($IW148=$MJ$15,IF($MJ148=9,$MS148,""),IF(JH148="","",JH148))</f>
        <v/>
      </c>
      <c r="HP148" s="96" t="str">
        <f>IF($IW148=$MJ$15,IF($MJ148=10,$MS148,""),IF(JI148="","",JI148))</f>
        <v/>
      </c>
      <c r="HQ148" s="145" t="str">
        <f>IF($IW148=$MJ$15,IF(ML148="","N/A",ML148),IF(JJ148="","N/A",JJ148))</f>
        <v>PRMZ</v>
      </c>
      <c r="HR148" s="921" t="str">
        <f>IF($IW148=$MJ$15,IF(MM148="","",MM148),IF(JK148="","",JK148))</f>
        <v/>
      </c>
      <c r="HS148" s="173">
        <f t="shared" ref="HS148:HU149" si="1385">IF($IW148=$JL$15,JL148,IF($IW148=$KE$15,KE148,IF($IW148=$KX$15,KX148,IF($IW148=$LQ$15,LQ148,IF($IW148=$MJ$15,NE148,0)))))</f>
        <v>0</v>
      </c>
      <c r="HT148" s="100">
        <f t="shared" si="1385"/>
        <v>0</v>
      </c>
      <c r="HU148" s="100">
        <f t="shared" si="1385"/>
        <v>0</v>
      </c>
      <c r="HV148" s="908" t="str">
        <f t="shared" ref="HV148:HX149" si="1386">IF($IW148=$JL$15,JU148,IF($IW148=$KE$15,KN148,IF($IW148=$KX$15,LG148,IF($IW148=$LQ$15,LZ148,IF($IW148=$MJ$15,NN148,0)))))</f>
        <v>Zajíc</v>
      </c>
      <c r="HW148" s="922">
        <f t="shared" si="1386"/>
        <v>0</v>
      </c>
      <c r="HX148" s="224">
        <f t="shared" si="1386"/>
        <v>0</v>
      </c>
      <c r="HY148" s="263" t="str">
        <f>IF($IW148=$JL$15,JS148,IF($IW148=$KE$15,KL148,IF($IW148=$KX$15,LE148,IF($IW148=$LQ$15,LX148,IF($IW148=$MJ$15,NL148,0)))))</f>
        <v>S</v>
      </c>
      <c r="HZ148" s="263" t="str">
        <f>IF($IW148=$JL$15,KC148,IF($IW148=$KE$15,KV148,IF($IW148=$KX$15,LO148,IF($IW148=$LQ$15,MH148,IF($IW148=$MJ$15,NV148,0)))))</f>
        <v>N</v>
      </c>
      <c r="IA148" s="150">
        <f>IF($IW148=$JL$15,JR148,IF($IW148=$KE$15,KK148,IF($IW148=$KX$15,LD148,IF($IW148=$LQ$15,LW148,IF($IW148=$MJ$15,NK148,0)))))</f>
        <v>1</v>
      </c>
      <c r="IB148" s="319">
        <f>IF($IW148=$JL$15,JZ148,IF($IW148=$KE$15,KS148,IF($IW148=$KX$15,LL148,IF($IW148=$LQ$15,ME148,IF($IW148=$MJ$15,NS148,0)))))</f>
        <v>3596775</v>
      </c>
      <c r="IC148" s="923">
        <f>IF($IW148=$JL$15,KB148,IF($IW148=$KE$15,KU148,IF($IW148=$KX$15,LN148,IF($IW148=$LQ$15,MG148,IF($IW148=$MJ$15,NU148,0)))))</f>
        <v>1</v>
      </c>
      <c r="ID148" s="924" t="str">
        <f ca="1">IF((BH148+OFFSET(BH148,1,1,1,1))=2,"--",IF((BI148+OFFSET(BI148,1,1,1,1))=2,"--",IF((BJ148+OFFSET(BJ148,1,1,1,1))=2,"--",IF((BK148+OFFSET(BK148,1,1,1,1))=2,"--",IF((BL148+OFFSET(BL148,1,1,1,1))=2,"--",IF((BM148+OFFSET(BM148,1,1,1,1))=2,"--",IF((BN148+OFFSET(BN148,1,1,1,1))=2,"--",IF((BO148+OFFSET(BO148,1,1,1,1))=2,"--",IF((BP148+OFFSET(BP148,1,1,1,1))=2,"--",IF((BQ148+OFFSET(BQ148,1,1,1,1))=2,"--","OK"))))))))))</f>
        <v>OK</v>
      </c>
      <c r="IE148" s="201" t="str">
        <f t="shared" ref="IE148:IG149" si="1387">IF($IW148=$JL$15,JO148,IF($IW148=$KE$15,KH148,IF($IW148=$KX$15,LA148,IF($IW148=$LQ$15,LT148,IF($IW148=$MJ$15,NH148,0)))))</f>
        <v>sada</v>
      </c>
      <c r="IF148" s="145">
        <f t="shared" si="1387"/>
        <v>1</v>
      </c>
      <c r="IG148" s="216">
        <f t="shared" si="1387"/>
        <v>1</v>
      </c>
      <c r="IH148" s="217">
        <f>IF(IA148=0,1,IA148)</f>
        <v>1</v>
      </c>
      <c r="II148" s="224" t="str">
        <f ca="1">IF(RZ[[#This Row],[Rozhodný sloupec indikativní ceny]]=1,"kg",IF($IW148=$JL$15,IF(JX148=0,JO148,JX148),IF($IW148=$KE$15,IF(KQ148=0,KH148,KQ148),IF($IW148=$KX$15,IF(LJ148=0,LA148,LJ148),IF($IW148=$LQ$15,IF(MC148=0,LT148,MC148),IF($IW148=$MJ$15,IF(NQ148=0,NH148,NQ148),0))))))</f>
        <v>sada</v>
      </c>
      <c r="IJ148" s="224">
        <f ca="1">IF((BH148+OFFSET(BH148,1,1,1,1))=2,RZ[[#This Row],[Počet MJHR (P0)]],IF((BI148+OFFSET(BI148,1,1,1,1))=2,RZ[[#This Row],[Počet MJHR (P0)]],IF((BJ148+OFFSET(BJ148,1,1,1,1))=2,RZ[[#This Row],[Počet MJHR (P0)]],IF((BK148+OFFSET(BK148,1,1,1,1))=2,RZ[[#This Row],[Počet MJHR (P0)]],IF((BL148+OFFSET(BL148,1,1,1,1))=2,RZ[[#This Row],[Počet MJHR (P0)]],IF((BM148+OFFSET(BM148,1,1,1,1))=2,RZ[[#This Row],[Počet MJHR (P0)]],IF((BN148+OFFSET(BN148,1,1,1,1))=2,RZ[[#This Row],[Počet MJHR (P0)]],IF((BO148+OFFSET(BO148,1,1,1,1))=2,RZ[[#This Row],[Počet MJHR (P0)]],IF((BP148+OFFSET(BP148,1,1,1,1))=2,RZ[[#This Row],[Počet MJHR (P0)]],IF((BQ148+OFFSET(BQ148,1,1,1,1))=2,RZ[[#This Row],[Počet MJHR (P0)]],IF(RZ[[#This Row],[Měrná jednotka CR (MJCR) (P0)]]=RZ[[#This Row],[Měrná jednotka HR '[MJHR'] (P0)]],RZ[[#This Row],[Počet MJHR (P0)]],IF($IW148=$JL$15,JY148,IF($IW148=$KE$15,KR148,IF($IW148=$KX$15,LK148,IF($IW148=$LQ$15,MD148,IF($IW148=$MJ$15,NR148,0))))))))))))))))</f>
        <v>1</v>
      </c>
      <c r="IK1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8" s="145">
        <f ca="1">IF(AND(RZ[[#This Row],[Jednotková cena bez DPH '[cena/MJCR'] (P0)]]=0,RZ[[#This Row],[Indikativní jednotková cena '[CZK/kg'] (P1)]]&lt;&gt;0),1,0)</f>
        <v>0</v>
      </c>
      <c r="IM148" s="217">
        <f ca="1">VLOOKUP(RZ[[#This Row],[Kód položek]],INDIKAT_CENA,2,FALSE)</f>
        <v>0</v>
      </c>
      <c r="IN148" s="222">
        <f ca="1">IF(RZ[[#This Row],[Rozhodný sloupec indikativní ceny]]=1,RZ[[#This Row],[Indikativní jednotková cena '[CZK/kg'] (P1)]],RZ[[#This Row],[Jednotková cena bez DPH '[cena/MJCR'] (P0)]])</f>
        <v>3596775</v>
      </c>
      <c r="IO148" s="222">
        <f>IF(IC148=0,1,IC148)</f>
        <v>1</v>
      </c>
      <c r="IP148" s="224">
        <f ca="1">IF(RZ[[#This Row],[Rozhodný sloupec indikativní ceny]]=1,1,IF($IW148=$JL$15,KA148,IF($IW148=$KE$15,KT148,IF($IW148=$KX$15,LM148,IF($IW148=$LQ$15,MF148,IF($IW148=$MJ$15,NT148,0))))))</f>
        <v>1</v>
      </c>
      <c r="IQ148" s="225">
        <f ca="1">IF(RZ[[#This Row],[Jednotková cena bez DPH '[cena/MJCR'] (P1)]]="",0,IF(IP148=0,0,(RZ[[#This Row],[Jednotková cena bez DPH '[cena/MJCR'] (P1)]]*VLOOKUP(IP148,$BR$7:$BT$10,3))))</f>
        <v>3596775</v>
      </c>
      <c r="IR148" s="790"/>
      <c r="IS148" s="627">
        <f>IF(HY148=0,"",VLOOKUP(RZ[[#This Row],[Stav Projekce (P0)]],Vstupy!$E$11:'Vstupy'!$E$11:$H$17,4,FALSE))</f>
        <v>100</v>
      </c>
      <c r="IT148" s="925" t="str">
        <f>IF(RZ[[#This Row],[Stav Projekce (P0)]]=0,"",RZ[[#This Row],[Stav Projekce (P0)]])</f>
        <v>S</v>
      </c>
      <c r="IU148" s="925" t="str">
        <f>IF(RZ[[#This Row],[Stav Nákup (P0)]]=0,"",RZ[[#This Row],[Stav Nákup (P0)]])</f>
        <v>N</v>
      </c>
      <c r="IV148" s="926" t="str">
        <f>IF(HV148=0,"",HV148)</f>
        <v>Zajíc</v>
      </c>
      <c r="IW148" s="555">
        <v>1</v>
      </c>
      <c r="IX148" s="630"/>
      <c r="IY148" s="264"/>
      <c r="IZ148" s="648"/>
      <c r="JA148" s="100" t="s">
        <v>1</v>
      </c>
      <c r="JB148" s="100"/>
      <c r="JC148" s="100"/>
      <c r="JD148" s="100"/>
      <c r="JE148" s="100"/>
      <c r="JF148" s="100"/>
      <c r="JG148" s="100"/>
      <c r="JH148" s="100"/>
      <c r="JI148" s="100"/>
      <c r="JJ148" s="145" t="s">
        <v>861</v>
      </c>
      <c r="JK148" s="529"/>
      <c r="JL148" s="286"/>
      <c r="JM148" s="100"/>
      <c r="JN148" s="100"/>
      <c r="JO148" s="145" t="s">
        <v>44</v>
      </c>
      <c r="JP148" s="117">
        <v>1</v>
      </c>
      <c r="JQ148" s="117">
        <v>1</v>
      </c>
      <c r="JR148" s="148">
        <v>1</v>
      </c>
      <c r="JS148" s="145" t="s">
        <v>602</v>
      </c>
      <c r="JT148" s="631"/>
      <c r="JU148" s="148" t="s">
        <v>853</v>
      </c>
      <c r="JV148" s="154"/>
      <c r="JW148" s="145"/>
      <c r="JX148" s="210" t="s">
        <v>44</v>
      </c>
      <c r="JY148" s="117"/>
      <c r="JZ148" s="662">
        <v>3596775</v>
      </c>
      <c r="KA148" s="145">
        <v>1</v>
      </c>
      <c r="KB148" s="148">
        <v>1</v>
      </c>
      <c r="KC148" s="148" t="s">
        <v>611</v>
      </c>
      <c r="KD148" s="644"/>
      <c r="KE148" s="286"/>
      <c r="KF148" s="100"/>
      <c r="KG148" s="100"/>
      <c r="KH148" s="210"/>
      <c r="KI148" s="117"/>
      <c r="KJ148" s="117"/>
      <c r="KK148" s="148"/>
      <c r="KL148" s="145"/>
      <c r="KM148" s="632"/>
      <c r="KN148" s="148"/>
      <c r="KO148" s="154"/>
      <c r="KP148" s="154"/>
      <c r="KQ148" s="210"/>
      <c r="KR148" s="117"/>
      <c r="KS148" s="211"/>
      <c r="KT148" s="145"/>
      <c r="KU148" s="148"/>
      <c r="KV148" s="148"/>
      <c r="KW148" s="265"/>
      <c r="KX148" s="286"/>
      <c r="KY148" s="100"/>
      <c r="KZ148" s="100"/>
      <c r="LA148" s="210"/>
      <c r="LB148" s="117"/>
      <c r="LC148" s="117"/>
      <c r="LD148" s="148"/>
      <c r="LE148" s="145"/>
      <c r="LF148" s="632"/>
      <c r="LG148" s="148"/>
      <c r="LH148" s="154"/>
      <c r="LI148" s="154"/>
      <c r="LJ148" s="154"/>
      <c r="LK148" s="117"/>
      <c r="LL148" s="211"/>
      <c r="LM148" s="210"/>
      <c r="LN148" s="148"/>
      <c r="LO148" s="148"/>
      <c r="LP148" s="265"/>
      <c r="LQ148" s="286"/>
      <c r="LR148" s="100"/>
      <c r="LS148" s="100"/>
      <c r="LT148" s="210"/>
      <c r="LU148" s="117"/>
      <c r="LV148" s="117"/>
      <c r="LW148" s="148"/>
      <c r="LX148" s="145"/>
      <c r="LY148" s="632"/>
      <c r="LZ148" s="148"/>
      <c r="MA148" s="154"/>
      <c r="MB148" s="154"/>
      <c r="MC148" s="145"/>
      <c r="MD148" s="117"/>
      <c r="ME148" s="211"/>
      <c r="MF148" s="210"/>
      <c r="MG148" s="148"/>
      <c r="MH148" s="148"/>
      <c r="MI148" s="265"/>
      <c r="MJ148" s="647"/>
      <c r="MK148" s="264"/>
      <c r="ML148" s="153"/>
      <c r="MM148" s="153"/>
      <c r="MN148" s="153"/>
      <c r="MO148" s="153"/>
      <c r="MP148" s="153"/>
      <c r="MQ148" s="153"/>
      <c r="MR148" s="153"/>
      <c r="MS148" s="99"/>
      <c r="MT148" s="99"/>
      <c r="MU148" s="99"/>
      <c r="MV148" s="99"/>
      <c r="MW148" s="99"/>
      <c r="MX148" s="99"/>
      <c r="MY148" s="153"/>
      <c r="MZ148" s="153"/>
      <c r="NA148" s="153"/>
      <c r="NB148" s="153"/>
      <c r="NC148" s="153"/>
      <c r="ND148" s="153"/>
      <c r="NE148" s="153"/>
      <c r="NF148" s="153"/>
      <c r="NG148" s="153"/>
      <c r="NH148" s="330" t="str">
        <f>"ks"</f>
        <v>ks</v>
      </c>
      <c r="NI148" s="797">
        <f>RZ[[#This Row],[Počet ks (K)]]</f>
        <v>0</v>
      </c>
      <c r="NJ148" s="798">
        <f>RZ[[#This Row],[Hmotnost '[kg/ks'] (K)]]</f>
        <v>0</v>
      </c>
      <c r="NK148" s="153"/>
      <c r="NL148" s="153"/>
      <c r="NM148" s="632"/>
      <c r="NN148" s="153"/>
      <c r="NO148" s="153"/>
      <c r="NP148" s="153"/>
      <c r="NQ148" s="153"/>
      <c r="NR148" s="153"/>
      <c r="NS148" s="153"/>
      <c r="NT148" s="153"/>
      <c r="NU148" s="153"/>
      <c r="NV148" s="148"/>
      <c r="NW148" s="633"/>
    </row>
    <row r="149" spans="2:387" ht="15.95" customHeight="1" x14ac:dyDescent="0.35">
      <c r="B149" s="118" t="str">
        <f>IF(HF149=0,"",HF149)</f>
        <v/>
      </c>
      <c r="C1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9" s="262" t="str">
        <f>IF(HG149&lt;&gt;"",HG149,IF(HH149&lt;&gt;"","  "&amp;HH149,IF(HI149&lt;&gt;"","  "&amp;"  "&amp;HI149,IF(HJ149&lt;&gt;"","  "&amp;"  "&amp;"  "&amp;HJ149,IF(HK149&lt;&gt;"","  "&amp;"  "&amp;"  "&amp;"  "&amp;HK149,IF(HL149&lt;&gt;"","  "&amp;"  "&amp;"  "&amp;"  "&amp;"  "&amp;HL149,IF(HM149&lt;&gt;"","  "&amp;"  "&amp;"  "&amp;"  "&amp;"  "&amp;"  "&amp;HM149,IF(HN149&lt;&gt;"","  "&amp;"  "&amp;"  "&amp;"  "&amp;"  "&amp;"  "&amp;"  "&amp;HN149,IF(HO149&lt;&gt;"","  "&amp;"  "&amp;"  "&amp;"  "&amp;"  "&amp;"  "&amp;"  "&amp;"  "&amp;HO149,IF(HP149&lt;&gt;"","  "&amp;"  "&amp;"  "&amp;"  "&amp;"  "&amp;"  "&amp;"  "&amp;"  "&amp;"  "&amp;HP149,0))))))))))</f>
        <v xml:space="preserve">  Demontáž</v>
      </c>
      <c r="E149" s="120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Row],[Kód položek (P2)]]))))))))))</f>
        <v>PRMZ</v>
      </c>
      <c r="F149" s="791" t="str">
        <f>IF(HS149=0,"N/A",HS149)</f>
        <v>N/A</v>
      </c>
      <c r="G149" s="792" t="str">
        <f>IF(HT149=0,"",HT149)</f>
        <v/>
      </c>
      <c r="H149" s="262" t="str">
        <f>IF(HU149=0,"",HU149)</f>
        <v/>
      </c>
      <c r="I149" s="123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HR '[MJHR'] (P0)]]))))))))))</f>
        <v>sada</v>
      </c>
      <c r="J149" s="123">
        <f>IF(IF149=0,"",IF149)</f>
        <v>1</v>
      </c>
      <c r="K149" s="793">
        <f>RZ[[#This Row],[Koeficient odhadu HR '[-'] (P1)]]</f>
        <v>1</v>
      </c>
      <c r="L149" s="124">
        <f ca="1">RZ[[#This Row],[Jednotková hmotnost s koef. '[kg/MJHR'] (P0)]]</f>
        <v>1</v>
      </c>
      <c r="M149" s="794">
        <f ca="1">IF(ISNUMBER(K149),L149/K149*(K149-1),0)</f>
        <v>0</v>
      </c>
      <c r="N149" s="125">
        <f ca="1">IF(ISNUMBER(J149),J149*L149,0)</f>
        <v>1</v>
      </c>
      <c r="O149" s="125">
        <f ca="1">IF(ISNUMBER(J149),J149*M149,0)</f>
        <v>0</v>
      </c>
      <c r="P149" s="126" t="str">
        <f>IF(HR149=0,"",HR149)</f>
        <v/>
      </c>
      <c r="Q149" s="795">
        <f ca="1">RZ[[#This Row],[Počet MJHR v rozpadu (P0)]]</f>
        <v>1</v>
      </c>
      <c r="R149" s="439" t="str">
        <f>IF(HV149&lt;&gt;0,HV149,"")</f>
        <v>Zajíc</v>
      </c>
      <c r="S149" s="129" t="str">
        <f>IF(HW149&lt;&gt;0,HW149,"")</f>
        <v/>
      </c>
      <c r="T149" s="126" t="str">
        <f>IF(HX149=0,"",HX149)</f>
        <v/>
      </c>
      <c r="U149" s="126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CR (MJCR) (P0)]]))))))))))</f>
        <v>sada</v>
      </c>
      <c r="V149" s="575">
        <f ca="1">IF(IK149=0,"",IK149)</f>
        <v>1</v>
      </c>
      <c r="W149" s="322">
        <f>RZ[[#This Row],[Koeficient odhadu CR '[-'] (P1)]]</f>
        <v>1</v>
      </c>
      <c r="X149" s="440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Row],[Jednotková cena bez DPH '[cena/MJCR'] (P1)]]*RZ[[#This Row],[Koeficient odhadu CR '[-']]]))))))))))</f>
        <v>2158065</v>
      </c>
      <c r="Y149" s="440">
        <f ca="1">IF(ISNUMBER(X149),-X149/W149*(W149-1),0)</f>
        <v>0</v>
      </c>
      <c r="Z149" s="142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VLOOKUP(IP149,$BR$7:$BS$11,2,FALSE)))))))))))</f>
        <v>CZK</v>
      </c>
      <c r="AA149" s="909">
        <f ca="1">GJ149</f>
        <v>1</v>
      </c>
      <c r="AB149" s="910">
        <f ca="1">RZ[[#This Row],[Kumulovaný koeficient v rozpadu (P0)]]</f>
        <v>1</v>
      </c>
      <c r="AC149" s="261"/>
      <c r="AD149" s="796">
        <f ca="1">RZ[[#This Row],[Jednotková cena bez DPH '[cena/MJCR'] s koef. (P0)]]/RZ[[#This Row],[Koeficient odhadu CR '[-']]]*RZ[[#This Row],[Kumulovaný koeficient odhadu CR  '[-']]]</f>
        <v>2158065</v>
      </c>
      <c r="AE149" s="796">
        <f ca="1">IF(ISNUMBER(AA149),AA149*AD149,0)*IF(V149="",0,1)</f>
        <v>2158065</v>
      </c>
      <c r="AF149" s="796">
        <f ca="1">-IF(ISNUMBER(AA149),RZ[[#This Row],[Celková cena bez DPH (1)]]-RZ[[#This Row],[Jednotková cena bez DPH '[cena/MJCR'] bez koef. (P0)]]*AA149,0)</f>
        <v>0</v>
      </c>
      <c r="AG1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2158065</v>
      </c>
      <c r="AH149" s="261"/>
      <c r="AI149" s="796">
        <f ca="1">AD149/VLOOKUP($AJ$13,KURZY,3,FALSE)</f>
        <v>79928.333333333328</v>
      </c>
      <c r="AJ149" s="796">
        <f ca="1">AE149/VLOOKUP($AJ$13,KURZY,3,FALSE)*IF(V149="",0,1)</f>
        <v>79928.333333333328</v>
      </c>
      <c r="AK149" s="796">
        <f ca="1">AF149/VLOOKUP($AJ$13,KURZY,3,FALSE)</f>
        <v>0</v>
      </c>
      <c r="AL149" s="753">
        <f ca="1">RZ[[#This Row],[Kilogramová cena bez DPH '[cena/kg'] (1)]]/$AK$13</f>
        <v>79928.333333333328</v>
      </c>
      <c r="AM149" s="261"/>
      <c r="AN149" s="796">
        <f ca="1">AD149/VLOOKUP($AO$13,KURZY,3,FALSE)</f>
        <v>104254.34782608696</v>
      </c>
      <c r="AO149" s="796">
        <f ca="1">AE149/VLOOKUP($AO$13,KURZY,3,FALSE)*IF(V149="",0,1)</f>
        <v>104254.34782608696</v>
      </c>
      <c r="AP149" s="796">
        <f ca="1">AF149/VLOOKUP($AO$13,KURZY,3,FALSE)</f>
        <v>0</v>
      </c>
      <c r="AQ149" s="753">
        <f ca="1">RZ[[#This Row],[Kilogramová cena bez DPH '[cena/kg'] (1)]]/$AP$13</f>
        <v>104254.34782608696</v>
      </c>
      <c r="AR149" s="261"/>
      <c r="AS149" s="796">
        <f ca="1">AD149/VLOOKUP($AT$13,KURZY,3,FALSE)</f>
        <v>59028.036105032821</v>
      </c>
      <c r="AT149" s="796">
        <f ca="1">AE149/VLOOKUP($AT$13,KURZY,3,FALSE)*IF(V149="",0,1)</f>
        <v>59028.036105032821</v>
      </c>
      <c r="AU149" s="789">
        <f ca="1">AF149/VLOOKUP($AT$13,KURZY,3,FALSE)</f>
        <v>0</v>
      </c>
      <c r="AV149" s="767">
        <f ca="1">RZ[[#This Row],[Kilogramová cena bez DPH '[cena/kg'] (1)]]/$AU$13</f>
        <v>59028.036105032821</v>
      </c>
      <c r="AW149" s="165"/>
      <c r="AX149" s="911">
        <f ca="1">IF($BH149=0,IF(AY149&gt;0,OFFSET(AX149,-1,0,1,1),0),OFFSET(AX149,-1,0,1,1)+1)</f>
        <v>2</v>
      </c>
      <c r="AY149" s="111">
        <f ca="1">IF($BI149=0,IF(AZ149&gt;0,OFFSET(AY149,-1,0,1,1),0),OFFSET(AY149,-1,0,1,1)+1)</f>
        <v>32</v>
      </c>
      <c r="AZ149" s="111">
        <f ca="1">IF($BJ149=0,IF(BA149&gt;0,OFFSET(AZ149,-1,0,1,1),0),OFFSET(AZ149,-1,0,1,1)+1)</f>
        <v>0</v>
      </c>
      <c r="BA149" s="111">
        <f ca="1">IF($BK149=0,IF(BB149&gt;0,OFFSET(BA149,-1,0,1,1),0),OFFSET(BA149,-1,0,1,1)+1)</f>
        <v>0</v>
      </c>
      <c r="BB149" s="111">
        <f ca="1">IF($BL149=0,IF(BC149&gt;0,OFFSET(BB149,-1,0,1,1),0),OFFSET(BB149,-1,0,1,1)+1)</f>
        <v>0</v>
      </c>
      <c r="BC149" s="111">
        <f ca="1">IF($BM149=0,IF(BD149&gt;0,OFFSET(BC149,-1,0,1,1),0),OFFSET(BC149,-1,0,1,1)+1)</f>
        <v>0</v>
      </c>
      <c r="BD149" s="111">
        <f ca="1">IF($BN149=0,IF(BE149&gt;0,OFFSET(BD149,-1,0,1,1),0),OFFSET(BD149,-1,0,1,1)+1)</f>
        <v>0</v>
      </c>
      <c r="BE149" s="111">
        <f ca="1">IF($BO149=0,IF(BF149&gt;0,OFFSET(BE149,-1,0,1,1),0),OFFSET(BE149,-1,0,1,1)+1)</f>
        <v>0</v>
      </c>
      <c r="BF149" s="111">
        <f ca="1">IF($BP149=0,IF(BG149&gt;0,OFFSET(BF149,-1,0,1,1),0),OFFSET(BF149,-1,0,1,1)+1)</f>
        <v>0</v>
      </c>
      <c r="BG149" s="112">
        <f ca="1">IF($BQ149=0,0,OFFSET($BG149,-1,0,1,1)+1)</f>
        <v>0</v>
      </c>
      <c r="BH149" s="911">
        <f t="shared" si="1381"/>
        <v>0</v>
      </c>
      <c r="BI149" s="111">
        <f t="shared" si="1381"/>
        <v>1</v>
      </c>
      <c r="BJ149" s="111">
        <f t="shared" si="1381"/>
        <v>0</v>
      </c>
      <c r="BK149" s="111">
        <f t="shared" si="1381"/>
        <v>0</v>
      </c>
      <c r="BL149" s="111">
        <f t="shared" si="1381"/>
        <v>0</v>
      </c>
      <c r="BM149" s="111">
        <f t="shared" si="1381"/>
        <v>0</v>
      </c>
      <c r="BN149" s="111">
        <f t="shared" si="1381"/>
        <v>0</v>
      </c>
      <c r="BO149" s="111">
        <f t="shared" si="1381"/>
        <v>0</v>
      </c>
      <c r="BP149" s="111">
        <f t="shared" si="1381"/>
        <v>0</v>
      </c>
      <c r="BQ149" s="112">
        <f t="shared" si="1381"/>
        <v>0</v>
      </c>
      <c r="BR149" s="132">
        <f ca="1">IF(OFFSET(AY149,1,0,1,1)&lt;&gt;0,RZ[[#This Row],[Koeficient odhadu HR '[-'] (P1)]]*$BH149*SUMIFS(RZ[Úroveň 2 s koef. (P2)],RZ[0],AX149),RZ[[#This Row],[Koeficient odhadu HR '[-'] (P1)]]*$BH149*$IG149)</f>
        <v>0</v>
      </c>
      <c r="BS149" s="186">
        <f ca="1">IF(OFFSET(AY149,1,0,1,1)&lt;&gt;0,$BH149*SUMIFS(RZ[Úroveň 2 bez koef. (P2)],RZ[0],AX149),$BH149*$IG149)</f>
        <v>0</v>
      </c>
      <c r="BT149" s="138">
        <f ca="1">RZ[[#This Row],[Úroveň 2 s koef. (P2a)]]*RZ[[#This Row],[Počet MJHR (P0)]]</f>
        <v>1</v>
      </c>
      <c r="BU149" s="138">
        <f ca="1">RZ[[#This Row],[Úroveň 2 bez koef. (P2a)]]*RZ[[#This Row],[Počet MJHR (P0)]]</f>
        <v>1</v>
      </c>
      <c r="BV149" s="138">
        <f ca="1">IF(OFFSET(AZ149,1,0,1,1)&lt;&gt;0,RZ[[#This Row],[Koeficient odhadu HR '[-'] (P1)]]*$BI149*SUMIFS(RZ[Úroveň 3 s koef. (P2)],RZ[0],AX149,RZ[Úroveň 2 (P0)],AY149),RZ[[#This Row],[Koeficient odhadu HR '[-'] (P1)]]*$BI149*$IG149)</f>
        <v>1</v>
      </c>
      <c r="BW149" s="138">
        <f ca="1">IF(OFFSET(AZ149,1,0,1,1)&lt;&gt;0,$BI149*SUMIFS(RZ[Úroveň 3 bez koef. (P2)],RZ[0],AX149,RZ[Úroveň 2 (P0)],AY149),$BI149*$IG149)</f>
        <v>1</v>
      </c>
      <c r="BX149" s="132">
        <f ca="1">RZ[[#This Row],[Úroveň 3 s koef. (P2a)]]*RZ[[#This Row],[Počet MJHR (P0)]]</f>
        <v>0</v>
      </c>
      <c r="BY149" s="132">
        <f ca="1">RZ[Úroveň 3 bez koef. (P2a)]*RZ[[#This Row],[Počet MJHR (P0)]]</f>
        <v>0</v>
      </c>
      <c r="BZ149" s="132">
        <f ca="1">IF(OFFSET(BA149,1,0,1,1)&lt;&gt;0,RZ[[#This Row],[Koeficient odhadu HR '[-'] (P1)]]*$BJ149*SUMIFS(RZ[Úroveň 4 s koef. (P2)],RZ[0],AX149,RZ[Úroveň 2 (P0)],AY149,RZ[Úroveň 3 (P0)],AZ149),RZ[[#This Row],[Koeficient odhadu HR '[-'] (P1)]]*$BJ149*$IG149)</f>
        <v>0</v>
      </c>
      <c r="CA149" s="132">
        <f ca="1">IF(OFFSET(BA149,1,0,1,1)&lt;&gt;0,$BJ149*SUMIFS(RZ[Úroveň 4 bez koef. (P2)],RZ[0],AX149,RZ[Úroveň 2 (P0)],AY149,RZ[Úroveň 3 (P0)],AZ149),$BJ149*$IG149)</f>
        <v>0</v>
      </c>
      <c r="CB149" s="138">
        <f ca="1">RZ[[#This Row],[Úroveň 4 s koef. (P2a)]]*RZ[[#This Row],[Počet MJHR (P0)]]</f>
        <v>0</v>
      </c>
      <c r="CC149" s="138">
        <f ca="1">RZ[Úroveň 4 bez koef. (P2a)]*RZ[[#This Row],[Počet MJHR (P0)]]</f>
        <v>0</v>
      </c>
      <c r="CD149" s="138">
        <f ca="1">IF(OFFSET(BB149,1,0,1,1)&lt;&gt;0,RZ[[#This Row],[Koeficient odhadu HR '[-'] (P1)]]*$BK149*SUMIFS(RZ[Úroveň 5 s koef. (P2)],RZ[0],AX149,RZ[Úroveň 2 (P0)],AY149,RZ[Úroveň 3 (P0)],AZ149,RZ[Úroveň 4 (P0)],BA149),RZ[[#This Row],[Koeficient odhadu HR '[-'] (P1)]]*$BK149*$IG149)</f>
        <v>0</v>
      </c>
      <c r="CE149" s="138">
        <f ca="1">IF(OFFSET(BB149,1,0,1,1)&lt;&gt;0,$BK149*SUMIFS(RZ[Úroveň 5 bez koef. (P2)],RZ[0],AX149,RZ[Úroveň 2 (P0)],AY149,RZ[Úroveň 3 (P0)],AZ149,RZ[Úroveň 4 (P0)],BA149),$BK149*$IG149)</f>
        <v>0</v>
      </c>
      <c r="CF149" s="132">
        <f ca="1">RZ[[#This Row],[Úroveň 5 s koef. (P2a)]]*RZ[[#This Row],[Počet MJHR (P0)]]</f>
        <v>0</v>
      </c>
      <c r="CG149" s="132">
        <f ca="1">RZ[Úroveň 5 bez koef. (P2a)]*RZ[[#This Row],[Počet MJHR (P0)]]</f>
        <v>0</v>
      </c>
      <c r="CH149" s="132">
        <f ca="1">IF(OFFSET(BC149,1,0,1,1)&lt;&gt;0,RZ[[#This Row],[Koeficient odhadu HR '[-'] (P1)]]*$BL149*SUMIFS(RZ[Úroveň 6 s koef. (P2)],RZ[0],AX149,RZ[Úroveň 2 (P0)],AY149,RZ[Úroveň 3 (P0)],AZ149,RZ[Úroveň 4 (P0)],BA149,RZ[Úroveň 5 (P0)],BB149),RZ[[#This Row],[Koeficient odhadu HR '[-'] (P1)]]*$BL149*$IG149)</f>
        <v>0</v>
      </c>
      <c r="CI149" s="132">
        <f ca="1">IF(OFFSET(BC149,1,0,1,1)&lt;&gt;0,$BL149*SUMIFS(RZ[Úroveň 6 bez koef. (P2)],RZ[0],AX149,RZ[Úroveň 2 (P0)],AY149,RZ[Úroveň 3 (P0)],AZ149,RZ[Úroveň 4 (P0)],BA149,RZ[Úroveň 5 (P0)],BB149),$BL149*$IG149)</f>
        <v>0</v>
      </c>
      <c r="CJ149" s="138">
        <f ca="1">RZ[[#This Row],[Úroveň 6 s koef. (P2a)]]*RZ[[#This Row],[Počet MJHR (P0)]]</f>
        <v>0</v>
      </c>
      <c r="CK149" s="138">
        <f ca="1">RZ[Úroveň 6 bez koef. (P2a)]*RZ[[#This Row],[Počet MJHR (P0)]]</f>
        <v>0</v>
      </c>
      <c r="CL149" s="138">
        <f ca="1">IF(OFFSET(BD149,1,0,1,1)&lt;&gt;0,RZ[[#This Row],[Koeficient odhadu HR '[-'] (P1)]]*$BM149*SUMIFS(RZ[Úroveň 7 s koef. (P2)],RZ[0],AX149,RZ[Úroveň 2 (P0)],AY149,RZ[Úroveň 3 (P0)],AZ149,RZ[Úroveň 4 (P0)],BA149,RZ[Úroveň 5 (P0)],BB149,RZ[Úroveň 6 (P0)],BC149),RZ[[#This Row],[Koeficient odhadu HR '[-'] (P1)]]*$BM149*$IG149)</f>
        <v>0</v>
      </c>
      <c r="CM149" s="138">
        <f ca="1">IF(OFFSET(BD149,1,0,1,1)&lt;&gt;0,$BM149*SUMIFS(RZ[Úroveň 7 bez koef. (P2)],RZ[0],AX149,RZ[Úroveň 2 (P0)],AY149,RZ[Úroveň 3 (P0)],AZ149,RZ[Úroveň 4 (P0)],BA149,RZ[Úroveň 5 (P0)],BB149,RZ[Úroveň 6 (P0)],BC149),$BM149*$IG149)</f>
        <v>0</v>
      </c>
      <c r="CN149" s="132">
        <f ca="1">RZ[[#This Row],[Úroveň 7 s koef. (P2a)]]*RZ[[#This Row],[Počet MJHR (P0)]]</f>
        <v>0</v>
      </c>
      <c r="CO149" s="132">
        <f ca="1">RZ[Úroveň 7 bez koef. (P2a)]*RZ[[#This Row],[Počet MJHR (P0)]]</f>
        <v>0</v>
      </c>
      <c r="CP149" s="132">
        <f ca="1">IF(OFFSET(BE149,1,0,1,1)&lt;&gt;0,RZ[[#This Row],[Koeficient odhadu HR '[-'] (P1)]]*$BN149*SUMIFS(RZ[Úroveň 8 s koef. (P2)],RZ[0],AX149,RZ[Úroveň 2 (P0)],AY149,RZ[Úroveň 3 (P0)],AZ149,RZ[Úroveň 4 (P0)],BA149,RZ[Úroveň 5 (P0)],BB149,RZ[Úroveň 6 (P0)],BC149,RZ[Úroveň 7 (P0)],BD149),RZ[[#This Row],[Koeficient odhadu HR '[-'] (P1)]]*$BN149*$IG149)</f>
        <v>0</v>
      </c>
      <c r="CQ149" s="132">
        <f ca="1">IF(OFFSET(BE149,1,0,1,1)&lt;&gt;0,$BN149*SUMIFS(RZ[Úroveň 8 bez koef. (P2)],RZ[0],AX149,RZ[Úroveň 2 (P0)],AY149,RZ[Úroveň 3 (P0)],AZ149,RZ[Úroveň 4 (P0)],BA149,RZ[Úroveň 5 (P0)],BB149,RZ[Úroveň 6 (P0)],BC149,RZ[Úroveň 7 (P0)],BD149),$BN149*$IG149)</f>
        <v>0</v>
      </c>
      <c r="CR149" s="138">
        <f ca="1">RZ[[#This Row],[Úroveň 8 s koef. (P2a)]]*RZ[[#This Row],[Počet MJHR (P0)]]</f>
        <v>0</v>
      </c>
      <c r="CS149" s="138">
        <f ca="1">RZ[Úroveň 8 bez koef. (P2a)]*RZ[[#This Row],[Počet MJHR (P0)]]</f>
        <v>0</v>
      </c>
      <c r="CT149" s="138">
        <f ca="1">IF(OFFSET(BF149,1,0,1,1)&lt;&gt;0,RZ[[#This Row],[Koeficient odhadu HR '[-'] (P1)]]*$BO149*SUMIFS(RZ[Úroveň 9 s koef. (P2)],RZ[0],AX149,RZ[Úroveň 2 (P0)],AY149,RZ[Úroveň 3 (P0)],AZ149,RZ[Úroveň 4 (P0)],BA149,RZ[Úroveň 5 (P0)],BB149,RZ[Úroveň 6 (P0)],BC149,RZ[Úroveň 7 (P0)],BD149,RZ[Úroveň 8 (P0)],BE149),RZ[[#This Row],[Koeficient odhadu HR '[-'] (P1)]]*$BO149*$IG149)</f>
        <v>0</v>
      </c>
      <c r="CU149" s="138">
        <f ca="1">IF(OFFSET(BF149,1,0,1,1)&lt;&gt;0,$BO149*SUMIFS(RZ[Úroveň 9 bez koef. (P2)],RZ[0],AX149,RZ[Úroveň 2 (P0)],AY149,RZ[Úroveň 3 (P0)],AZ149,RZ[Úroveň 4 (P0)],BA149,RZ[Úroveň 5 (P0)],BB149,RZ[Úroveň 6 (P0)],BC149,RZ[Úroveň 7 (P0)],BD149,RZ[Úroveň 8 (P0)],BE149),$BO149*$IG149)</f>
        <v>0</v>
      </c>
      <c r="CV149" s="132">
        <f ca="1">RZ[[#This Row],[Úroveň 9 s koef. (P2a)]]*RZ[[#This Row],[Počet MJHR (P0)]]</f>
        <v>0</v>
      </c>
      <c r="CW149" s="132">
        <f ca="1">RZ[Úroveň 9 bez koef. (P2a)]*RZ[[#This Row],[Počet MJHR (P0)]]</f>
        <v>0</v>
      </c>
      <c r="CX149" s="132">
        <f ca="1">IF(OFFSET(BG149,1,0,1,1)&lt;&gt;0,RZ[[#This Row],[Koeficient odhadu HR '[-'] (P1)]]*$BP149*SUMIFS(RZ[Úroveň 10 s koef. (P2)],RZ[0],AX149,RZ[Úroveň 2 (P0)],AY149,RZ[Úroveň 3 (P0)],AZ149,RZ[Úroveň 4 (P0)],BA149,RZ[Úroveň 5 (P0)],BB149,RZ[Úroveň 6 (P0)],BC149,RZ[Úroveň 7 (P0)],BD149,RZ[Úroveň 8 (P0)],BE149,RZ[Úroveň 9 (P0)],BF149),RZ[[#This Row],[Koeficient odhadu HR '[-'] (P1)]]*$BP149*$IG149)</f>
        <v>0</v>
      </c>
      <c r="CY149" s="132">
        <f ca="1">IF(OFFSET(BG149,1,0,1,1)&lt;&gt;0,$BP149*SUMIFS(RZ[Úroveň 10 bez koef. (P2)],RZ[0],AX149,RZ[Úroveň 2 (P0)],AY149,RZ[Úroveň 3 (P0)],AZ149,RZ[Úroveň 4 (P0)],BA149,RZ[Úroveň 5 (P0)],BB149,RZ[Úroveň 6 (P0)],BC149,RZ[Úroveň 7 (P0)],BD149,RZ[Úroveň 8 (P0)],BE149,RZ[Úroveň 9 (P0)],BF149),$BP149*$IG149)</f>
        <v>0</v>
      </c>
      <c r="CZ149" s="138">
        <f>RZ[[#This Row],[Úroveň 10 s koef. (P2a)]]*RZ[[#This Row],[Počet MJHR (P0)]]</f>
        <v>0</v>
      </c>
      <c r="DA149" s="138">
        <f>RZ[Úroveň 10 bez koef. (P2a)]*RZ[[#This Row],[Počet MJHR (P0)]]</f>
        <v>0</v>
      </c>
      <c r="DB149" s="138">
        <f>RZ[[#This Row],[Koeficient odhadu HR '[-'] (P1)]]*$BQ149*IG149</f>
        <v>0</v>
      </c>
      <c r="DC149" s="231">
        <f>$BQ149*IG149</f>
        <v>0</v>
      </c>
      <c r="DD149" s="241">
        <f ca="1">IF(BH149=1,BR149,IF(BI149=1,BV149,IF(BJ149=1,BZ149,IF(BK149=1,CD149,IF(BL149=1,CH149,IF(BM149=1,CL149,IF(BN149=1,CP149,IF(BO149=1,CT149,IF(BP149=1,CX149,DB149)))))))))</f>
        <v>1</v>
      </c>
      <c r="DE149" s="229">
        <f ca="1">IF(BH149=1,BS149,IF(BI149=1,BW149,IF(BJ149=1,CA149,IF(BK149=1,CE149,IF(BL149=1,CI149,IF(BM149=1,CM149,IF(BN149=1,CQ149,IF(BO149=1,CU149,IF(BP149=1,CY149,DC149)))))))))</f>
        <v>1</v>
      </c>
      <c r="DF149" s="912">
        <f t="shared" si="1382"/>
        <v>0</v>
      </c>
      <c r="DG149" s="913">
        <f t="shared" si="1382"/>
        <v>1</v>
      </c>
      <c r="DH149" s="913">
        <f t="shared" si="1382"/>
        <v>0</v>
      </c>
      <c r="DI149" s="913">
        <f t="shared" si="1382"/>
        <v>0</v>
      </c>
      <c r="DJ149" s="913">
        <f t="shared" si="1382"/>
        <v>0</v>
      </c>
      <c r="DK149" s="913">
        <f t="shared" si="1382"/>
        <v>0</v>
      </c>
      <c r="DL149" s="913">
        <f t="shared" si="1382"/>
        <v>0</v>
      </c>
      <c r="DM149" s="913">
        <f t="shared" si="1382"/>
        <v>0</v>
      </c>
      <c r="DN149" s="913">
        <f t="shared" si="1382"/>
        <v>0</v>
      </c>
      <c r="DO149" s="913">
        <f t="shared" si="1382"/>
        <v>0</v>
      </c>
      <c r="DP149" s="914">
        <f ca="1">SUMIFS(RZ[Úroveň 1 (P4)],RZ[0],AX149)</f>
        <v>1</v>
      </c>
      <c r="DQ149" s="914">
        <f ca="1">SUMIFS(RZ[Úroveň 2 (P4)],RZ[0],AX149,RZ[Úroveň 2 (P0)],AY149)</f>
        <v>1</v>
      </c>
      <c r="DR149" s="914">
        <f ca="1">SUMIFS(RZ[Úroveň 3 (P4)],RZ[0],AX149,RZ[Úroveň 2 (P0)],AY149,RZ[Úroveň 3 (P0)],AZ149)</f>
        <v>0</v>
      </c>
      <c r="DS149" s="914">
        <f ca="1">SUMIFS(RZ[Úroveň 4 (P4)],RZ[0],AX149,RZ[Úroveň 2 (P0)],AY149,RZ[Úroveň 3 (P0)],AZ149,RZ[Úroveň 4 (P0)],BA149)</f>
        <v>0</v>
      </c>
      <c r="DT149" s="914">
        <f ca="1">SUMIFS(RZ[Úroveň 5 (P4)],RZ[0],AX149,RZ[Úroveň 2 (P0)],AY149,RZ[Úroveň 3 (P0)],AZ149,RZ[Úroveň 4 (P0)],BA149,RZ[Úroveň 5 (P0)],BB149)</f>
        <v>0</v>
      </c>
      <c r="DU149" s="914">
        <f ca="1">SUMIFS(RZ[Úroveň 6 (P4)],RZ[0],AX149,RZ[Úroveň 2 (P0)],AY149,RZ[Úroveň 3 (P0)],AZ149,RZ[Úroveň 4 (P0)],BA149,RZ[Úroveň 5 (P0)],BB149,RZ[Úroveň 6 (P0)],BC149)</f>
        <v>0</v>
      </c>
      <c r="DV149" s="914">
        <f ca="1">SUMIFS(RZ[Úroveň 7 (P4)],RZ[0],AX149,RZ[Úroveň 2 (P0)],AY149,RZ[Úroveň 3 (P0)],AZ149,RZ[Úroveň 4 (P0)],BA149,RZ[Úroveň 5 (P0)],BB149,RZ[Úroveň 6 (P0)],BC149,RZ[Úroveň 7 (P0)],BD149)</f>
        <v>0</v>
      </c>
      <c r="DW149" s="914">
        <f ca="1">SUMIFS(RZ[Úroveň 8 (P4)],RZ[0],AX149,RZ[Úroveň 2 (P0)],AY149,RZ[Úroveň 3 (P0)],AZ149,RZ[Úroveň 4 (P0)],BA149,RZ[Úroveň 5 (P0)],BB149,RZ[Úroveň 6 (P0)],BC149,RZ[Úroveň 7 (P0)],BD149,RZ[Úroveň 8 (P0)],BE149)</f>
        <v>0</v>
      </c>
      <c r="DX149" s="914">
        <f ca="1">SUMIFS(RZ[Úroveň 9 (P4)],RZ[0],AX149,RZ[Úroveň 2 (P0)],AY149,RZ[Úroveň 3 (P0)],AZ149,RZ[Úroveň 4 (P0)],BA149,RZ[Úroveň 5 (P0)],BB149,RZ[Úroveň 6 (P0)],BC149,RZ[Úroveň 7 (P0)],BD149,RZ[Úroveň 8 (P0)],BE149,RZ[Úroveň 9 (P0)],BF149)</f>
        <v>0</v>
      </c>
      <c r="DY149" s="914">
        <f ca="1">SUMIFS(RZ[Úroveň 10 (P4)],RZ[0],AX149,RZ[Úroveň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DZ149" s="915">
        <f ca="1">IF(DP149&lt;&gt;0,DP149,1)*IF(DQ149&lt;&gt;0,DQ149,1)*IF(DR149&lt;&gt;0,DR149,1)*IF(DS149&lt;&gt;0,DS149,1)*IF(DT149&lt;&gt;0,DT149,1)*IF(DU149&lt;&gt;0,DU149,1)*IF(DV149&lt;&gt;0,DV149,1)*IF(DW149&lt;&gt;0,DW149,1)*IF(DX149&lt;&gt;0,DX149,1)*IF(DY149&lt;&gt;0,DY149,1)</f>
        <v>1</v>
      </c>
      <c r="EA149" s="916">
        <f ca="1">RZ[[#This Row],[Jednotková hmotnost bez koef. '[kg/MJHR'] (P0)]]*RZ[[#This Row],[Počet MJHR v rozpadu (P0)]]</f>
        <v>1</v>
      </c>
      <c r="EB149" s="917">
        <f ca="1">IF(OFFSET(AY149,1,0,1,1)&lt;&gt;0,RZ[[#This Row],[Koeficient odhadu CR '[-'] (P1)]]*$BH149*SUMIFS(RZ[Úroveň 2 s koef. (P3)],RZ[0],AX149),RZ[[#This Row],[Koeficient odhadu CR '[-'] (P1)]]*$BH149*$IQ149)</f>
        <v>0</v>
      </c>
      <c r="EC149" s="191">
        <f ca="1">IF(OFFSET(AY149,1,0,1,1)&lt;&gt;0,$BH149*SUMIFS(RZ[Úroveň 2 bez koef. (P3)],RZ[0],AX149),$BH149*$IQ149)</f>
        <v>0</v>
      </c>
      <c r="ED149" s="140">
        <f ca="1">RZ[[#This Row],[Úroveň 2 s koef. (P3a)]]*RZ[[#This Row],[Počet MJCR (P0) pro "kg"]]</f>
        <v>2158065</v>
      </c>
      <c r="EE149" s="140">
        <f ca="1">RZ[Úroveň 2 bez koef. (P3a)]*RZ[[#This Row],[Počet MJCR (P0) pro "kg"]]</f>
        <v>2158065</v>
      </c>
      <c r="EF149" s="140">
        <f ca="1">IF(OFFSET(AZ149,1,0,1,1)&lt;&gt;0,RZ[[#This Row],[Koeficient odhadu CR '[-'] (P1)]]*$BI149*SUMIFS(RZ[Úroveň 3 s koef. (P3)],RZ[0],AX149,RZ[Úroveň 2 (P0)],AY149),RZ[[#This Row],[Koeficient odhadu CR '[-'] (P1)]]*$BI149*$IQ149)</f>
        <v>2158065</v>
      </c>
      <c r="EG149" s="140">
        <f ca="1">IF(OFFSET(AZ149,1,0,1,1)&lt;&gt;0,$BI149*SUMIFS(RZ[Úroveň 3 bez koef. (P3)],RZ[0],AX149,RZ[Úroveň 2 (P0)],AY149),$BI149*$IQ149)</f>
        <v>2158065</v>
      </c>
      <c r="EH149" s="135">
        <f ca="1">RZ[[#This Row],[Úroveň 3 s koef. (P3a)]]*RZ[[#This Row],[Počet MJCR (P0) pro "kg"]]</f>
        <v>0</v>
      </c>
      <c r="EI149" s="135">
        <f ca="1">RZ[Úroveň 3 bez koef. (P3a)]*RZ[[#This Row],[Počet MJCR (P0) pro "kg"]]</f>
        <v>0</v>
      </c>
      <c r="EJ149" s="135">
        <f ca="1">IF(OFFSET(BA149,1,0,1,1)&lt;&gt;0,RZ[[#This Row],[Koeficient odhadu CR '[-'] (P1)]]*$BJ149*SUMIFS(RZ[Úroveň 4 s koef. (P3)],RZ[0],AX149,RZ[Úroveň 2 (P0)],AY149,RZ[Úroveň 3 (P0)],AZ149),RZ[[#This Row],[Koeficient odhadu CR '[-'] (P1)]]*$BJ149*$IQ149)</f>
        <v>0</v>
      </c>
      <c r="EK149" s="135">
        <f ca="1">IF(OFFSET(BA149,1,0,1,1)&lt;&gt;0,$BJ149*SUMIFS(RZ[Úroveň 4 bez koef. (P3)],RZ[0],AX149,RZ[Úroveň 2 (P0)],AY149,RZ[Úroveň 3 (P0)],AZ149),$BJ149*$IQ149)</f>
        <v>0</v>
      </c>
      <c r="EL149" s="140">
        <f ca="1">RZ[[#This Row],[Úroveň 4 s koef. (P3a)]]*RZ[[#This Row],[Počet MJCR (P0) pro "kg"]]</f>
        <v>0</v>
      </c>
      <c r="EM149" s="140">
        <f ca="1">RZ[Úroveň 4 bez koef. (P3a)]*RZ[[#This Row],[Počet MJCR (P0) pro "kg"]]</f>
        <v>0</v>
      </c>
      <c r="EN149" s="140">
        <f ca="1">IF(OFFSET(BB149,1,0,1,1)&lt;&gt;0,RZ[[#This Row],[Koeficient odhadu CR '[-'] (P1)]]*$BK149*SUMIFS(RZ[Úroveň 5 s koef. (P3)],RZ[0],AX149,RZ[Úroveň 2 (P0)],AY149,RZ[Úroveň 3 (P0)],AZ149,RZ[Úroveň 4 (P0)],BA149),RZ[[#This Row],[Koeficient odhadu CR '[-'] (P1)]]*$BK149*$IQ149)</f>
        <v>0</v>
      </c>
      <c r="EO149" s="140">
        <f ca="1">IF(OFFSET(BB149,1,0,1,1)&lt;&gt;0,$BK149*SUMIFS(RZ[Úroveň 5 bez koef. (P3)],RZ[0],AX149,RZ[Úroveň 2 (P0)],AY149,RZ[Úroveň 3 (P0)],AZ149,RZ[Úroveň 4 (P0)],BA149),$BK149*$IQ149)</f>
        <v>0</v>
      </c>
      <c r="EP149" s="135">
        <f ca="1">RZ[[#This Row],[Úroveň 5 s koef. (P3a)]]*RZ[[#This Row],[Počet MJCR (P0) pro "kg"]]</f>
        <v>0</v>
      </c>
      <c r="EQ149" s="135">
        <f ca="1">RZ[Úroveň 5 bez koef. (P3a)]*RZ[[#This Row],[Počet MJCR (P0) pro "kg"]]</f>
        <v>0</v>
      </c>
      <c r="ER149" s="135">
        <f ca="1">IF(OFFSET(BC149,1,0,1,1)&lt;&gt;0,RZ[[#This Row],[Koeficient odhadu CR '[-'] (P1)]]*$BL149*SUMIFS(RZ[Úroveň 6 s koef. (P3)],RZ[0],AX149,RZ[Úroveň 2 (P0)],AY149,RZ[Úroveň 3 (P0)],AZ149,RZ[Úroveň 4 (P0)],BA149,RZ[Úroveň 5 (P0)],BB149),RZ[[#This Row],[Koeficient odhadu CR '[-'] (P1)]]*$BL149*$IQ149)</f>
        <v>0</v>
      </c>
      <c r="ES149" s="135">
        <f ca="1">IF(OFFSET(BC149,1,0,1,1)&lt;&gt;0,$BL149*SUMIFS(RZ[Úroveň 6 bez koef. (P3)],RZ[0],AX149,RZ[Úroveň 2 (P0)],AY149,RZ[Úroveň 3 (P0)],AZ149,RZ[Úroveň 4 (P0)],BA149,RZ[Úroveň 5 (P0)],BB149),$BL149*$IQ149)</f>
        <v>0</v>
      </c>
      <c r="ET149" s="140">
        <f ca="1">RZ[[#This Row],[Úroveň 6 s koef. (P3a)]]*RZ[[#This Row],[Počet MJCR (P0) pro "kg"]]</f>
        <v>0</v>
      </c>
      <c r="EU149" s="140">
        <f ca="1">RZ[Úroveň 6 bez koef. (P3a)]*RZ[[#This Row],[Počet MJCR (P0) pro "kg"]]</f>
        <v>0</v>
      </c>
      <c r="EV149" s="140">
        <f ca="1">IF(OFFSET(BD149,1,0,1,1)&lt;&gt;0,RZ[[#This Row],[Koeficient odhadu CR '[-'] (P1)]]*$BM149*SUMIFS(RZ[Úroveň 7 s koef. (P3)],RZ[0],AX149,RZ[Úroveň 2 (P0)],AY149,RZ[Úroveň 3 (P0)],AZ149,RZ[Úroveň 4 (P0)],BA149,RZ[Úroveň 5 (P0)],BB149,RZ[Úroveň 6 (P0)],BC149),RZ[[#This Row],[Koeficient odhadu CR '[-'] (P1)]]*$BM149*$IQ149)</f>
        <v>0</v>
      </c>
      <c r="EW149" s="140">
        <f ca="1">IF(OFFSET(BD149,1,0,1,1)&lt;&gt;0,$BM149*SUMIFS(RZ[Úroveň 7 bez koef. (P3)],RZ[0],AX149,RZ[Úroveň 2 (P0)],AY149,RZ[Úroveň 3 (P0)],AZ149,RZ[Úroveň 4 (P0)],BA149,RZ[Úroveň 5 (P0)],BB149,RZ[Úroveň 6 (P0)],BC149),$BM149*$IQ149)</f>
        <v>0</v>
      </c>
      <c r="EX149" s="135">
        <f ca="1">RZ[[#This Row],[Úroveň 7 s koef. (P3a)]]*RZ[[#This Row],[Počet MJCR (P0) pro "kg"]]</f>
        <v>0</v>
      </c>
      <c r="EY149" s="135">
        <f ca="1">RZ[Úroveň 7 bez koef. (P3a)]*RZ[[#This Row],[Počet MJCR (P0) pro "kg"]]</f>
        <v>0</v>
      </c>
      <c r="EZ149" s="135">
        <f ca="1">IF(OFFSET(BE149,1,0,1,1)&lt;&gt;0,RZ[[#This Row],[Koeficient odhadu CR '[-'] (P1)]]*$BN149*SUMIFS(RZ[Úroveň 8 s koef. (P3)],RZ[0],AX149,RZ[Úroveň 2 (P0)],AY149,RZ[Úroveň 3 (P0)],AZ149,RZ[Úroveň 4 (P0)],BA149,RZ[Úroveň 5 (P0)],BB149,RZ[Úroveň 6 (P0)],BC149,RZ[Úroveň 7 (P0)],BD149),RZ[[#This Row],[Koeficient odhadu CR '[-'] (P1)]]*$BN149*$IQ149)</f>
        <v>0</v>
      </c>
      <c r="FA149" s="135">
        <f ca="1">IF(OFFSET(BE149,1,0,1,1)&lt;&gt;0,$BN149*SUMIFS(RZ[Úroveň 8 bez koef. (P3)],RZ[0],AX149,RZ[Úroveň 2 (P0)],AY149,RZ[Úroveň 3 (P0)],AZ149,RZ[Úroveň 4 (P0)],BA149,RZ[Úroveň 5 (P0)],BB149,RZ[Úroveň 6 (P0)],BC149,RZ[Úroveň 7 (P0)],BD149),$BN149*$IQ149)</f>
        <v>0</v>
      </c>
      <c r="FB149" s="140">
        <f ca="1">RZ[[#This Row],[Úroveň 8 s koef. (P3a)]]*RZ[[#This Row],[Počet MJCR (P0) pro "kg"]]</f>
        <v>0</v>
      </c>
      <c r="FC149" s="140">
        <f ca="1">RZ[Úroveň 8 bez koef. (P3a)]*RZ[[#This Row],[Počet MJCR (P0) pro "kg"]]</f>
        <v>0</v>
      </c>
      <c r="FD149" s="140">
        <f ca="1">IF(OFFSET(BF149,1,0,1,1)&lt;&gt;0,RZ[[#This Row],[Koeficient odhadu CR '[-'] (P1)]]*$BO149*SUMIFS(RZ[Úroveň 9 s koef. (P3)],RZ[0],AX149,RZ[Úroveň 2 (P0)],AY149,RZ[Úroveň 3 (P0)],AZ149,RZ[Úroveň 4 (P0)],BA149,RZ[Úroveň 5 (P0)],BB149,RZ[Úroveň 6 (P0)],BC149,RZ[Úroveň 7 (P0)],BD149,RZ[Úroveň 8 (P0)],BE149),RZ[[#This Row],[Koeficient odhadu CR '[-'] (P1)]]*$BO149*$IQ149)</f>
        <v>0</v>
      </c>
      <c r="FE149" s="140">
        <f ca="1">IF(OFFSET(BF149,1,0,1,1)&lt;&gt;0,$BO149*SUMIFS(RZ[Úroveň 9 bez koef. (P3)],RZ[0],AX149,RZ[Úroveň 2 (P0)],AY149,RZ[Úroveň 3 (P0)],AZ149,RZ[Úroveň 4 (P0)],BA149,RZ[Úroveň 5 (P0)],BB149,RZ[Úroveň 6 (P0)],BC149,RZ[Úroveň 7 (P0)],BD149,RZ[Úroveň 8 (P0)],BE149),$BO149*$IQ149)</f>
        <v>0</v>
      </c>
      <c r="FF149" s="135">
        <f ca="1">RZ[[#This Row],[Úroveň 9 s koef. (P3a)]]*RZ[[#This Row],[Počet MJCR (P0) pro "kg"]]</f>
        <v>0</v>
      </c>
      <c r="FG149" s="135">
        <f ca="1">RZ[Úroveň 9 bez koef. (P3a)]*RZ[[#This Row],[Počet MJCR (P0) pro "kg"]]</f>
        <v>0</v>
      </c>
      <c r="FH149" s="135">
        <f ca="1">IF(OFFSET(BG149,1,0,1,1)&lt;&gt;0,RZ[[#This Row],[Koeficient odhadu CR '[-'] (P1)]]*$BP149*SUMIFS(RZ[Úroveň 10 s koef. (P3)],RZ[0],AX149,RZ[Úroveň 2 (P0)],AY149,RZ[Úroveň 3 (P0)],AZ149,RZ[Úroveň 4 (P0)],BA149,RZ[Úroveň 5 (P0)],BB149,RZ[Úroveň 6 (P0)],BC149,RZ[Úroveň 7 (P0)],BD149,RZ[Úroveň 8 (P0)],BE149,RZ[Úroveň 9 (P0)],BF149),RZ[[#This Row],[Koeficient odhadu CR '[-'] (P1)]]*$BP149*$IQ149)</f>
        <v>0</v>
      </c>
      <c r="FI149" s="135">
        <f ca="1">IF(OFFSET(BG149,1,0,1,1)&lt;&gt;0,$BP149*SUMIFS(RZ[Úroveň 10 bez koef. (P3)],RZ[0],AX149,RZ[Úroveň 2 (P0)],AY149,RZ[Úroveň 3 (P0)],AZ149,RZ[Úroveň 4 (P0)],BA149,RZ[Úroveň 5 (P0)],BB149,RZ[Úroveň 6 (P0)],BC149,RZ[Úroveň 7 (P0)],BD149,RZ[Úroveň 8 (P0)],BE149,RZ[Úroveň 9 (P0)],BF149),$BP149*$IQ149)</f>
        <v>0</v>
      </c>
      <c r="FJ149" s="140">
        <f ca="1">RZ[[#This Row],[Úroveň 10 s koef. (P3a)]]*RZ[[#This Row],[Počet MJCR (P0) pro "kg"]]</f>
        <v>0</v>
      </c>
      <c r="FK149" s="140">
        <f ca="1">RZ[Úroveň 10 bez koef. (P3a)]*RZ[[#This Row],[Počet MJCR (P0) pro "kg"]]</f>
        <v>0</v>
      </c>
      <c r="FL149" s="140">
        <f ca="1">RZ[[#This Row],[Koeficient odhadu CR '[-'] (P1)]]*$BQ149*IQ149</f>
        <v>0</v>
      </c>
      <c r="FM149" s="236">
        <f ca="1">$BQ149*IQ149</f>
        <v>0</v>
      </c>
      <c r="FN149" s="194">
        <f ca="1">IF(BH149=1,EB149,IF(BI149=1,EF149,IF(BJ149=1,EJ149,IF(BK149=1,EN149,IF(BL149=1,ER149,IF(BM149=1,EV149,IF(BN149=1,EZ149,IF(BO149=1,FD149,IF(BP149=1,FH149,FL149)))))))))</f>
        <v>2158065</v>
      </c>
      <c r="FO149" s="238">
        <f ca="1">IF(BH149=1,EC149,IF(BI149=1,EG149,IF(BJ149=1,EK149,IF(BK149=1,EO149,IF(BL149=1,ES149,IF(BM149=1,EW149,IF(BN149=1,FA149,IF(BO149=1,FE149,IF(BP149=1,FI149,FM149)))))))))</f>
        <v>2158065</v>
      </c>
      <c r="FP149" s="135">
        <f t="shared" ca="1" si="1383"/>
        <v>0</v>
      </c>
      <c r="FQ149" s="135">
        <f t="shared" ca="1" si="1383"/>
        <v>1</v>
      </c>
      <c r="FR149" s="135">
        <f t="shared" ca="1" si="1383"/>
        <v>0</v>
      </c>
      <c r="FS149" s="135">
        <f t="shared" ca="1" si="1383"/>
        <v>0</v>
      </c>
      <c r="FT149" s="135">
        <f t="shared" ca="1" si="1383"/>
        <v>0</v>
      </c>
      <c r="FU149" s="135">
        <f t="shared" ca="1" si="1383"/>
        <v>0</v>
      </c>
      <c r="FV149" s="135">
        <f t="shared" ca="1" si="1383"/>
        <v>0</v>
      </c>
      <c r="FW149" s="135">
        <f t="shared" ca="1" si="1383"/>
        <v>0</v>
      </c>
      <c r="FX149" s="135">
        <f t="shared" ca="1" si="1383"/>
        <v>0</v>
      </c>
      <c r="FY149" s="135">
        <f t="shared" ca="1" si="1383"/>
        <v>0</v>
      </c>
      <c r="FZ149" s="140">
        <f ca="1">SUMIFS(RZ[Úroveň 1 (P6)],RZ[0],AX149)</f>
        <v>1</v>
      </c>
      <c r="GA149" s="140">
        <f ca="1">SUMIFS(RZ[Úroveň 2 (P6)],RZ[0],AX149,RZ[Úroveň 2 (P0)],AY149)</f>
        <v>1</v>
      </c>
      <c r="GB149" s="140">
        <f ca="1">SUMIFS(RZ[Úroveň 3 (P6)],RZ[0],AX149,RZ[Úroveň 2 (P0)],AY149,RZ[Úroveň 3 (P0)],AZ149)</f>
        <v>0</v>
      </c>
      <c r="GC149" s="140">
        <f ca="1">SUMIFS(RZ[Úroveň 4 (P6)],RZ[0],AX149,RZ[Úroveň 2 (P0)],AY149,RZ[Úroveň 3 (P0)],AZ149,RZ[Úroveň 4 (P0)],BA149)</f>
        <v>0</v>
      </c>
      <c r="GD149" s="140">
        <f ca="1">SUMIFS(RZ[Úroveň 5 (P6)],RZ[0],AX149,RZ[Úroveň 2 (P0)],AY149,RZ[Úroveň 3 (P0)],AZ149,RZ[Úroveň 4 (P0)],BA149,RZ[Úroveň 5 (P0)],BB149)</f>
        <v>0</v>
      </c>
      <c r="GE149" s="140">
        <f ca="1">SUMIFS(RZ[Úroveň 6 (P6)],RZ[0],AX149,RZ[Úroveň 2 (P0)],AY149,RZ[Úroveň 3 (P0)],AZ149,RZ[Úroveň 4 (P0)],BA149,RZ[Úroveň 5 (P0)],BB149,RZ[Úroveň 6 (P0)],BC149)</f>
        <v>0</v>
      </c>
      <c r="GF149" s="140">
        <f ca="1">SUMIFS(RZ[Úroveň 7 (P6)],RZ[0],AX149,RZ[Úroveň 2 (P0)],AY149,RZ[Úroveň 3 (P0)],AZ149,RZ[Úroveň 4 (P0)],BA149,RZ[Úroveň 5 (P0)],BB149,RZ[Úroveň 6 (P0)],BC149,RZ[Úroveň 7 (P0)],BD149)</f>
        <v>0</v>
      </c>
      <c r="GG149" s="140">
        <f ca="1">SUMIFS(RZ[Úroveň 8 (P6)],RZ[0],AX149,RZ[Úroveň 2 (P0)],AY149,RZ[Úroveň 3 (P0)],AZ149,RZ[Úroveň 4 (P0)],BA149,RZ[Úroveň 5 (P0)],BB149,RZ[Úroveň 6 (P0)],BC149,RZ[Úroveň 7 (P0)],BD149,RZ[Úroveň 8 (P0)],BE149)</f>
        <v>0</v>
      </c>
      <c r="GH149" s="140">
        <f ca="1">SUMIFS(RZ[Úroveň 9 (P6)],RZ[0],AX149,RZ[Úroveň 2 (P0)],AY149,RZ[Úroveň 3 (P0)],AZ149,RZ[Úroveň 4 (P0)],BA149,RZ[Úroveň 5 (P0)],BB149,RZ[Úroveň 6 (P0)],BC149,RZ[Úroveň 7 (P0)],BD149,RZ[Úroveň 8 (P0)],BE149,RZ[Úroveň 9 (P0)],BF149)</f>
        <v>0</v>
      </c>
      <c r="GI149" s="140">
        <f ca="1">SUMIFS(RZ[Úroveň 10 (P6)],RZ[0],AX149,RZ[Úroveň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GJ149" s="918">
        <f ca="1">IF(FZ149&lt;&gt;0,FZ149,1)*IF(GA149&lt;&gt;0,GA149,1)*IF(GB149&lt;&gt;0,GB149,1)*IF(GC149&lt;&gt;0,GC149,1)*IF(GD149&lt;&gt;0,GD149,1)*IF(GE149&lt;&gt;0,GE149,1)*IF(GF149&lt;&gt;0,GF149,1)*IF(GG149&lt;&gt;0,GG149,1)*IF(GH149&lt;&gt;0,GH149,1)*IF(GI149&lt;&gt;0,GI149,1)</f>
        <v>1</v>
      </c>
      <c r="GK149" s="808">
        <f t="shared" si="1384"/>
        <v>0</v>
      </c>
      <c r="GL149" s="808">
        <f t="shared" si="1384"/>
        <v>1</v>
      </c>
      <c r="GM149" s="808">
        <f t="shared" si="1384"/>
        <v>0</v>
      </c>
      <c r="GN149" s="808">
        <f t="shared" si="1384"/>
        <v>0</v>
      </c>
      <c r="GO149" s="808">
        <f t="shared" si="1384"/>
        <v>0</v>
      </c>
      <c r="GP149" s="808">
        <f t="shared" si="1384"/>
        <v>0</v>
      </c>
      <c r="GQ149" s="808">
        <f t="shared" si="1384"/>
        <v>0</v>
      </c>
      <c r="GR149" s="808">
        <f t="shared" si="1384"/>
        <v>0</v>
      </c>
      <c r="GS149" s="808">
        <f t="shared" si="1384"/>
        <v>0</v>
      </c>
      <c r="GT149" s="808">
        <f t="shared" si="1384"/>
        <v>0</v>
      </c>
      <c r="GU149" s="809">
        <f ca="1">SUMIFS(RZ[Sloupec1],RZ[0],AX149)</f>
        <v>1</v>
      </c>
      <c r="GV149" s="809">
        <f ca="1">SUMIFS(RZ[Sloupec2],RZ[0],AX149,RZ[Úroveň 2 (P0)],AY149)</f>
        <v>1</v>
      </c>
      <c r="GW149" s="809">
        <f ca="1">SUMIFS(RZ[Sloupec3],RZ[0],AX149,RZ[Úroveň 2 (P0)],AY149,RZ[Úroveň 3 (P0)],AZ149)</f>
        <v>0</v>
      </c>
      <c r="GX149" s="809">
        <f ca="1">SUMIFS(RZ[Sloupec4],RZ[0],AX149,RZ[Úroveň 2 (P0)],AY149,RZ[Úroveň 3 (P0)],AZ149,RZ[Úroveň 4 (P0)],BA149)</f>
        <v>0</v>
      </c>
      <c r="GY149" s="809">
        <f ca="1">SUMIFS(RZ[Sloupec5],RZ[0],AX149,RZ[Úroveň 2 (P0)],AY149,RZ[Úroveň 3 (P0)],AZ149,RZ[Úroveň 4 (P0)],BA149,RZ[Úroveň 5 (P0)],BB149)</f>
        <v>0</v>
      </c>
      <c r="GZ149" s="809">
        <f ca="1">SUMIFS(RZ[Sloupec6],RZ[0],AX149,RZ[Úroveň 2 (P0)],AY149,RZ[Úroveň 3 (P0)],AZ149,RZ[Úroveň 4 (P0)],BA149,RZ[Úroveň 5 (P0)],BB149,RZ[Úroveň 6 (P0)],BC149)</f>
        <v>0</v>
      </c>
      <c r="HA149" s="809">
        <f ca="1">SUMIFS(RZ[Sloupec62],RZ[0],AX149,RZ[Úroveň 2 (P0)],AY149,RZ[Úroveň 3 (P0)],AZ149,RZ[Úroveň 4 (P0)],BA149,RZ[Úroveň 5 (P0)],BB149,RZ[Úroveň 6 (P0)],BC149,RZ[Úroveň 7 (P0)],BD149)</f>
        <v>0</v>
      </c>
      <c r="HB149" s="809">
        <f ca="1">SUMIFS(RZ[Sloupec63],RZ[0],AX149,RZ[Úroveň 2 (P0)],AY149,RZ[Úroveň 3 (P0)],AZ149,RZ[Úroveň 4 (P0)],BA149,RZ[Úroveň 5 (P0)],BB149,RZ[Úroveň 6 (P0)],BC149,RZ[Úroveň 7 (P0)],BD149,RZ[Úroveň 8 (P0)],BE149)</f>
        <v>0</v>
      </c>
      <c r="HC149" s="809">
        <f ca="1">SUMIFS(RZ[Sloupec64],RZ[0],AX149,RZ[Úroveň 2 (P0)],AY149,RZ[Úroveň 3 (P0)],AZ149,RZ[Úroveň 4 (P0)],BA149,RZ[Úroveň 5 (P0)],BB149,RZ[Úroveň 6 (P0)],BC149,RZ[Úroveň 7 (P0)],BD149,RZ[Úroveň 8 (P0)],BE149,RZ[Úroveň 9 (P0)],BF149)</f>
        <v>0</v>
      </c>
      <c r="HD149" s="809">
        <f ca="1">SUMIFS(RZ[Sloupec65],RZ[0],AX149,RZ[Úroveň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HE149" s="919">
        <f ca="1">IF(GU149&lt;&gt;0,GU149,1)*IF(GV149&lt;&gt;0,GV149,1)*IF(GW149&lt;&gt;0,GW149,1)*IF(GX149&lt;&gt;0,GX149,1)*IF(GY149&lt;&gt;0,GY149,1)*IF(GZ149&lt;&gt;0,GZ149,1)*IF(HA149&lt;&gt;0,HA149,1)*IF(HB149&lt;&gt;0,HB149,1)*IF(HC149&lt;&gt;0,HC149,1)*IF(HD149&lt;&gt;0,HD149,1)</f>
        <v>1</v>
      </c>
      <c r="HF149" s="920" t="str">
        <f>IF($IW149=$MJ$15,IF(MK149="","",MK149),IF(IY149="","",IY149))</f>
        <v/>
      </c>
      <c r="HG149" s="94" t="str">
        <f>IF($IW149=$MJ$15,IF($MJ149=1,$MS149,""),IF(IZ149="","",IZ149))</f>
        <v/>
      </c>
      <c r="HH149" s="95" t="str">
        <f>IF($IW149=$MJ$15,IF($MJ149=2,$MS149,""),IF(JA149="","",JA149))</f>
        <v>Demontáž</v>
      </c>
      <c r="HI149" s="95" t="str">
        <f>IF($IW149=$MJ$15,IF($MJ149=3,$MS149,""),IF(JB149="","",JB149))</f>
        <v/>
      </c>
      <c r="HJ149" s="96" t="str">
        <f>IF($IW149=$MJ$15,IF($MJ149=4,$MS149,""),IF(JC149="","",JC149))</f>
        <v/>
      </c>
      <c r="HK149" s="96" t="str">
        <f>IF($IW149=$MJ$15,IF($MJ149=5,$MS149,""),IF(JD149="","",JD149))</f>
        <v/>
      </c>
      <c r="HL149" s="96" t="str">
        <f>IF($IW149=$MJ$15,IF($MJ149=6,$MS149,""),IF(JE149="","",JE149))</f>
        <v/>
      </c>
      <c r="HM149" s="96" t="str">
        <f>IF($IW149=$MJ$15,IF($MJ149=7,$MS149,""),IF(JF149="","",JF149))</f>
        <v/>
      </c>
      <c r="HN149" s="96" t="str">
        <f>IF($IW149=$MJ$15,IF($MJ149=8,$MS149,""),IF(JG149="","",JG149))</f>
        <v/>
      </c>
      <c r="HO149" s="96" t="str">
        <f>IF($IW149=$MJ$15,IF($MJ149=9,$MS149,""),IF(JH149="","",JH149))</f>
        <v/>
      </c>
      <c r="HP149" s="96" t="str">
        <f>IF($IW149=$MJ$15,IF($MJ149=10,$MS149,""),IF(JI149="","",JI149))</f>
        <v/>
      </c>
      <c r="HQ149" s="145" t="str">
        <f>IF($IW149=$MJ$15,IF(ML149="","N/A",ML149),IF(JJ149="","N/A",JJ149))</f>
        <v>PRMZ</v>
      </c>
      <c r="HR149" s="921" t="str">
        <f>IF($IW149=$MJ$15,IF(MM149="","",MM149),IF(JK149="","",JK149))</f>
        <v/>
      </c>
      <c r="HS149" s="173">
        <f t="shared" si="1385"/>
        <v>0</v>
      </c>
      <c r="HT149" s="100">
        <f t="shared" si="1385"/>
        <v>0</v>
      </c>
      <c r="HU149" s="100">
        <f t="shared" si="1385"/>
        <v>0</v>
      </c>
      <c r="HV149" s="908" t="str">
        <f t="shared" si="1386"/>
        <v>Zajíc</v>
      </c>
      <c r="HW149" s="922">
        <f t="shared" si="1386"/>
        <v>0</v>
      </c>
      <c r="HX149" s="224">
        <f t="shared" si="1386"/>
        <v>0</v>
      </c>
      <c r="HY149" s="263" t="str">
        <f>IF($IW149=$JL$15,JS149,IF($IW149=$KE$15,KL149,IF($IW149=$KX$15,LE149,IF($IW149=$LQ$15,LX149,IF($IW149=$MJ$15,NL149,0)))))</f>
        <v>S</v>
      </c>
      <c r="HZ149" s="263" t="str">
        <f>IF($IW149=$JL$15,KC149,IF($IW149=$KE$15,KV149,IF($IW149=$KX$15,LO149,IF($IW149=$LQ$15,MH149,IF($IW149=$MJ$15,NV149,0)))))</f>
        <v>N</v>
      </c>
      <c r="IA149" s="150">
        <f>IF($IW149=$JL$15,JR149,IF($IW149=$KE$15,KK149,IF($IW149=$KX$15,LD149,IF($IW149=$LQ$15,LW149,IF($IW149=$MJ$15,NK149,0)))))</f>
        <v>1</v>
      </c>
      <c r="IB149" s="319">
        <f>IF($IW149=$JL$15,JZ149,IF($IW149=$KE$15,KS149,IF($IW149=$KX$15,LL149,IF($IW149=$LQ$15,ME149,IF($IW149=$MJ$15,NS149,0)))))</f>
        <v>2158065</v>
      </c>
      <c r="IC149" s="923">
        <f>IF($IW149=$JL$15,KB149,IF($IW149=$KE$15,KU149,IF($IW149=$KX$15,LN149,IF($IW149=$LQ$15,MG149,IF($IW149=$MJ$15,NU149,0)))))</f>
        <v>1</v>
      </c>
      <c r="ID149" s="924" t="str">
        <f ca="1">IF((BH149+OFFSET(BH149,1,1,1,1))=2,"--",IF((BI149+OFFSET(BI149,1,1,1,1))=2,"--",IF((BJ149+OFFSET(BJ149,1,1,1,1))=2,"--",IF((BK149+OFFSET(BK149,1,1,1,1))=2,"--",IF((BL149+OFFSET(BL149,1,1,1,1))=2,"--",IF((BM149+OFFSET(BM149,1,1,1,1))=2,"--",IF((BN149+OFFSET(BN149,1,1,1,1))=2,"--",IF((BO149+OFFSET(BO149,1,1,1,1))=2,"--",IF((BP149+OFFSET(BP149,1,1,1,1))=2,"--",IF((BQ149+OFFSET(BQ149,1,1,1,1))=2,"--","OK"))))))))))</f>
        <v>OK</v>
      </c>
      <c r="IE149" s="201" t="str">
        <f t="shared" si="1387"/>
        <v>sada</v>
      </c>
      <c r="IF149" s="145">
        <f t="shared" si="1387"/>
        <v>1</v>
      </c>
      <c r="IG149" s="216">
        <f t="shared" si="1387"/>
        <v>1</v>
      </c>
      <c r="IH149" s="217">
        <f>IF(IA149=0,1,IA149)</f>
        <v>1</v>
      </c>
      <c r="II149" s="224" t="str">
        <f ca="1">IF(RZ[[#This Row],[Rozhodný sloupec indikativní ceny]]=1,"kg",IF($IW149=$JL$15,IF(JX149=0,JO149,JX149),IF($IW149=$KE$15,IF(KQ149=0,KH149,KQ149),IF($IW149=$KX$15,IF(LJ149=0,LA149,LJ149),IF($IW149=$LQ$15,IF(MC149=0,LT149,MC149),IF($IW149=$MJ$15,IF(NQ149=0,NH149,NQ149),0))))))</f>
        <v>sada</v>
      </c>
      <c r="IJ149" s="224">
        <f ca="1">IF((BH149+OFFSET(BH149,1,1,1,1))=2,RZ[[#This Row],[Počet MJHR (P0)]],IF((BI149+OFFSET(BI149,1,1,1,1))=2,RZ[[#This Row],[Počet MJHR (P0)]],IF((BJ149+OFFSET(BJ149,1,1,1,1))=2,RZ[[#This Row],[Počet MJHR (P0)]],IF((BK149+OFFSET(BK149,1,1,1,1))=2,RZ[[#This Row],[Počet MJHR (P0)]],IF((BL149+OFFSET(BL149,1,1,1,1))=2,RZ[[#This Row],[Počet MJHR (P0)]],IF((BM149+OFFSET(BM149,1,1,1,1))=2,RZ[[#This Row],[Počet MJHR (P0)]],IF((BN149+OFFSET(BN149,1,1,1,1))=2,RZ[[#This Row],[Počet MJHR (P0)]],IF((BO149+OFFSET(BO149,1,1,1,1))=2,RZ[[#This Row],[Počet MJHR (P0)]],IF((BP149+OFFSET(BP149,1,1,1,1))=2,RZ[[#This Row],[Počet MJHR (P0)]],IF((BQ149+OFFSET(BQ149,1,1,1,1))=2,RZ[[#This Row],[Počet MJHR (P0)]],IF(RZ[[#This Row],[Měrná jednotka CR (MJCR) (P0)]]=RZ[[#This Row],[Měrná jednotka HR '[MJHR'] (P0)]],RZ[[#This Row],[Počet MJHR (P0)]],IF($IW149=$JL$15,JY149,IF($IW149=$KE$15,KR149,IF($IW149=$KX$15,LK149,IF($IW149=$LQ$15,MD149,IF($IW149=$MJ$15,NR149,0))))))))))))))))</f>
        <v>1</v>
      </c>
      <c r="IK1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9" s="145">
        <f ca="1">IF(AND(RZ[[#This Row],[Jednotková cena bez DPH '[cena/MJCR'] (P0)]]=0,RZ[[#This Row],[Indikativní jednotková cena '[CZK/kg'] (P1)]]&lt;&gt;0),1,0)</f>
        <v>0</v>
      </c>
      <c r="IM149" s="217">
        <f ca="1">VLOOKUP(RZ[[#This Row],[Kód položek]],INDIKAT_CENA,2,FALSE)</f>
        <v>0</v>
      </c>
      <c r="IN149" s="222">
        <f ca="1">IF(RZ[[#This Row],[Rozhodný sloupec indikativní ceny]]=1,RZ[[#This Row],[Indikativní jednotková cena '[CZK/kg'] (P1)]],RZ[[#This Row],[Jednotková cena bez DPH '[cena/MJCR'] (P0)]])</f>
        <v>2158065</v>
      </c>
      <c r="IO149" s="222">
        <f>IF(IC149=0,1,IC149)</f>
        <v>1</v>
      </c>
      <c r="IP149" s="224">
        <f ca="1">IF(RZ[[#This Row],[Rozhodný sloupec indikativní ceny]]=1,1,IF($IW149=$JL$15,KA149,IF($IW149=$KE$15,KT149,IF($IW149=$KX$15,LM149,IF($IW149=$LQ$15,MF149,IF($IW149=$MJ$15,NT149,0))))))</f>
        <v>1</v>
      </c>
      <c r="IQ149" s="225">
        <f ca="1">IF(RZ[[#This Row],[Jednotková cena bez DPH '[cena/MJCR'] (P1)]]="",0,IF(IP149=0,0,(RZ[[#This Row],[Jednotková cena bez DPH '[cena/MJCR'] (P1)]]*VLOOKUP(IP149,$BR$7:$BT$10,3))))</f>
        <v>2158065</v>
      </c>
      <c r="IR149" s="790"/>
      <c r="IS149" s="627">
        <f>IF(HY149=0,"",VLOOKUP(RZ[[#This Row],[Stav Projekce (P0)]],Vstupy!$E$11:'Vstupy'!$E$11:$H$17,4,FALSE))</f>
        <v>100</v>
      </c>
      <c r="IT149" s="925" t="str">
        <f>IF(RZ[[#This Row],[Stav Projekce (P0)]]=0,"",RZ[[#This Row],[Stav Projekce (P0)]])</f>
        <v>S</v>
      </c>
      <c r="IU149" s="925" t="str">
        <f>IF(RZ[[#This Row],[Stav Nákup (P0)]]=0,"",RZ[[#This Row],[Stav Nákup (P0)]])</f>
        <v>N</v>
      </c>
      <c r="IV149" s="926" t="str">
        <f>IF(HV149=0,"",HV149)</f>
        <v>Zajíc</v>
      </c>
      <c r="IW149" s="555">
        <v>1</v>
      </c>
      <c r="IX149" s="630"/>
      <c r="IY149" s="264"/>
      <c r="IZ149" s="648"/>
      <c r="JA149" s="100" t="s">
        <v>859</v>
      </c>
      <c r="JB149" s="100"/>
      <c r="JC149" s="100"/>
      <c r="JD149" s="100"/>
      <c r="JE149" s="100"/>
      <c r="JF149" s="100"/>
      <c r="JG149" s="100"/>
      <c r="JH149" s="100"/>
      <c r="JI149" s="100"/>
      <c r="JJ149" s="145" t="s">
        <v>861</v>
      </c>
      <c r="JK149" s="529"/>
      <c r="JL149" s="286"/>
      <c r="JM149" s="100"/>
      <c r="JN149" s="100"/>
      <c r="JO149" s="145" t="s">
        <v>44</v>
      </c>
      <c r="JP149" s="117">
        <v>1</v>
      </c>
      <c r="JQ149" s="117">
        <v>1</v>
      </c>
      <c r="JR149" s="148">
        <v>1</v>
      </c>
      <c r="JS149" s="145" t="s">
        <v>602</v>
      </c>
      <c r="JT149" s="631"/>
      <c r="JU149" s="148" t="s">
        <v>853</v>
      </c>
      <c r="JV149" s="154"/>
      <c r="JW149" s="145"/>
      <c r="JX149" s="210" t="s">
        <v>44</v>
      </c>
      <c r="JY149" s="117"/>
      <c r="JZ149" s="662">
        <v>2158065</v>
      </c>
      <c r="KA149" s="145">
        <v>1</v>
      </c>
      <c r="KB149" s="148">
        <v>1</v>
      </c>
      <c r="KC149" s="148" t="s">
        <v>611</v>
      </c>
      <c r="KD149" s="644"/>
      <c r="KE149" s="286"/>
      <c r="KF149" s="100"/>
      <c r="KG149" s="100"/>
      <c r="KH149" s="210"/>
      <c r="KI149" s="117"/>
      <c r="KJ149" s="117"/>
      <c r="KK149" s="148"/>
      <c r="KL149" s="145"/>
      <c r="KM149" s="632"/>
      <c r="KN149" s="148"/>
      <c r="KO149" s="154"/>
      <c r="KP149" s="154"/>
      <c r="KQ149" s="210"/>
      <c r="KR149" s="117"/>
      <c r="KS149" s="211"/>
      <c r="KT149" s="145"/>
      <c r="KU149" s="148"/>
      <c r="KV149" s="148"/>
      <c r="KW149" s="265"/>
      <c r="KX149" s="286"/>
      <c r="KY149" s="100"/>
      <c r="KZ149" s="100"/>
      <c r="LA149" s="210"/>
      <c r="LB149" s="117"/>
      <c r="LC149" s="117"/>
      <c r="LD149" s="148"/>
      <c r="LE149" s="145"/>
      <c r="LF149" s="632"/>
      <c r="LG149" s="148"/>
      <c r="LH149" s="154"/>
      <c r="LI149" s="154"/>
      <c r="LJ149" s="154"/>
      <c r="LK149" s="117"/>
      <c r="LL149" s="211"/>
      <c r="LM149" s="210"/>
      <c r="LN149" s="148"/>
      <c r="LO149" s="148"/>
      <c r="LP149" s="265"/>
      <c r="LQ149" s="286"/>
      <c r="LR149" s="100"/>
      <c r="LS149" s="100"/>
      <c r="LT149" s="210"/>
      <c r="LU149" s="117"/>
      <c r="LV149" s="117"/>
      <c r="LW149" s="148"/>
      <c r="LX149" s="145"/>
      <c r="LY149" s="632"/>
      <c r="LZ149" s="148"/>
      <c r="MA149" s="154"/>
      <c r="MB149" s="154"/>
      <c r="MC149" s="145"/>
      <c r="MD149" s="117"/>
      <c r="ME149" s="211"/>
      <c r="MF149" s="210"/>
      <c r="MG149" s="148"/>
      <c r="MH149" s="148"/>
      <c r="MI149" s="265"/>
      <c r="MJ149" s="647"/>
      <c r="MK149" s="264"/>
      <c r="ML149" s="153"/>
      <c r="MM149" s="153"/>
      <c r="MN149" s="153"/>
      <c r="MO149" s="153"/>
      <c r="MP149" s="153"/>
      <c r="MQ149" s="153"/>
      <c r="MR149" s="153"/>
      <c r="MS149" s="99"/>
      <c r="MT149" s="99"/>
      <c r="MU149" s="99"/>
      <c r="MV149" s="99"/>
      <c r="MW149" s="99"/>
      <c r="MX149" s="99"/>
      <c r="MY149" s="153"/>
      <c r="MZ149" s="153"/>
      <c r="NA149" s="153"/>
      <c r="NB149" s="153"/>
      <c r="NC149" s="153"/>
      <c r="ND149" s="153"/>
      <c r="NE149" s="153"/>
      <c r="NF149" s="153"/>
      <c r="NG149" s="153"/>
      <c r="NH149" s="330" t="str">
        <f>"ks"</f>
        <v>ks</v>
      </c>
      <c r="NI149" s="797">
        <f>RZ[[#This Row],[Počet ks (K)]]</f>
        <v>0</v>
      </c>
      <c r="NJ149" s="798">
        <f>RZ[[#This Row],[Hmotnost '[kg/ks'] (K)]]</f>
        <v>0</v>
      </c>
      <c r="NK149" s="153"/>
      <c r="NL149" s="153"/>
      <c r="NM149" s="632"/>
      <c r="NN149" s="153"/>
      <c r="NO149" s="153"/>
      <c r="NP149" s="153"/>
      <c r="NQ149" s="153"/>
      <c r="NR149" s="153"/>
      <c r="NS149" s="153"/>
      <c r="NT149" s="153"/>
      <c r="NU149" s="153"/>
      <c r="NV149" s="148"/>
      <c r="NW149" s="633"/>
    </row>
    <row r="150" spans="2:387" ht="15.95" customHeight="1" x14ac:dyDescent="0.35">
      <c r="B150" s="118" t="str">
        <f t="shared" si="1264"/>
        <v/>
      </c>
      <c r="C1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50" s="262" t="str">
        <f t="shared" si="1265"/>
        <v xml:space="preserve">  Doprava</v>
      </c>
      <c r="E150" s="120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Row],[Kód položek (P2)]]))))))))))</f>
        <v>PRDP</v>
      </c>
      <c r="F150" s="791" t="str">
        <f t="shared" si="1266"/>
        <v>N/A</v>
      </c>
      <c r="G150" s="792" t="str">
        <f t="shared" si="1267"/>
        <v/>
      </c>
      <c r="H150" s="262" t="str">
        <f t="shared" si="1268"/>
        <v/>
      </c>
      <c r="I150" s="123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HR '[MJHR'] (P0)]]))))))))))</f>
        <v>sada</v>
      </c>
      <c r="J150" s="123">
        <f t="shared" si="1269"/>
        <v>1</v>
      </c>
      <c r="K150" s="793">
        <f>RZ[[#This Row],[Koeficient odhadu HR '[-'] (P1)]]</f>
        <v>1</v>
      </c>
      <c r="L150" s="124">
        <f ca="1">RZ[[#This Row],[Jednotková hmotnost s koef. '[kg/MJHR'] (P0)]]</f>
        <v>1</v>
      </c>
      <c r="M150" s="794">
        <f t="shared" ca="1" si="1270"/>
        <v>0</v>
      </c>
      <c r="N150" s="125">
        <f t="shared" ca="1" si="1271"/>
        <v>1</v>
      </c>
      <c r="O150" s="125">
        <f t="shared" ca="1" si="1272"/>
        <v>0</v>
      </c>
      <c r="P150" s="126" t="str">
        <f t="shared" si="1273"/>
        <v/>
      </c>
      <c r="Q150" s="795">
        <f ca="1">RZ[[#This Row],[Počet MJHR v rozpadu (P0)]]</f>
        <v>1</v>
      </c>
      <c r="R150" s="439" t="str">
        <f t="shared" si="1274"/>
        <v>Zajíc</v>
      </c>
      <c r="S150" s="129" t="str">
        <f t="shared" si="1275"/>
        <v/>
      </c>
      <c r="T150" s="126" t="str">
        <f t="shared" si="1276"/>
        <v/>
      </c>
      <c r="U150" s="126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CR (MJCR) (P0)]]))))))))))</f>
        <v>sada</v>
      </c>
      <c r="V150" s="575">
        <f t="shared" ca="1" si="1277"/>
        <v>1</v>
      </c>
      <c r="W150" s="322">
        <f>RZ[[#This Row],[Koeficient odhadu CR '[-'] (P1)]]</f>
        <v>1</v>
      </c>
      <c r="X150" s="440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Row],[Jednotková cena bez DPH '[cena/MJCR'] (P1)]]*RZ[[#This Row],[Koeficient odhadu CR '[-']]]))))))))))</f>
        <v>300000</v>
      </c>
      <c r="Y150" s="440">
        <f t="shared" ca="1" si="1278"/>
        <v>0</v>
      </c>
      <c r="Z150" s="142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VLOOKUP(IP150,$BR$7:$BS$11,2,FALSE)))))))))))</f>
        <v>CZK</v>
      </c>
      <c r="AA150" s="811">
        <f t="shared" ca="1" si="1279"/>
        <v>1</v>
      </c>
      <c r="AB150" s="814">
        <f ca="1">RZ[[#This Row],[Kumulovaný koeficient v rozpadu (P0)]]</f>
        <v>1</v>
      </c>
      <c r="AC150" s="260"/>
      <c r="AD150" s="796">
        <f ca="1">RZ[[#This Row],[Jednotková cena bez DPH '[cena/MJCR'] s koef. (P0)]]/RZ[[#This Row],[Koeficient odhadu CR '[-']]]*RZ[[#This Row],[Kumulovaný koeficient odhadu CR  '[-']]]</f>
        <v>300000</v>
      </c>
      <c r="AE150" s="796">
        <f t="shared" ca="1" si="1280"/>
        <v>300000</v>
      </c>
      <c r="AF150" s="796">
        <f ca="1">-IF(ISNUMBER(AA150),RZ[[#This Row],[Celková cena bez DPH (1)]]-RZ[[#This Row],[Jednotková cena bez DPH '[cena/MJCR'] bez koef. (P0)]]*AA150,0)</f>
        <v>0</v>
      </c>
      <c r="AG1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300000</v>
      </c>
      <c r="AH150" s="261"/>
      <c r="AI150" s="796">
        <f t="shared" ca="1" si="1281"/>
        <v>11111.111111111111</v>
      </c>
      <c r="AJ150" s="796">
        <f t="shared" ca="1" si="1282"/>
        <v>11111.111111111111</v>
      </c>
      <c r="AK150" s="796">
        <f t="shared" ca="1" si="1283"/>
        <v>0</v>
      </c>
      <c r="AL150" s="753">
        <f ca="1">RZ[[#This Row],[Kilogramová cena bez DPH '[cena/kg'] (1)]]/$AK$13</f>
        <v>11111.111111111111</v>
      </c>
      <c r="AM150" s="261"/>
      <c r="AN150" s="796">
        <f t="shared" ca="1" si="1284"/>
        <v>14492.753623188406</v>
      </c>
      <c r="AO150" s="796">
        <f t="shared" ca="1" si="1285"/>
        <v>14492.753623188406</v>
      </c>
      <c r="AP150" s="796">
        <f t="shared" ca="1" si="1286"/>
        <v>0</v>
      </c>
      <c r="AQ150" s="753">
        <f ca="1">RZ[[#This Row],[Kilogramová cena bez DPH '[cena/kg'] (1)]]/$AP$13</f>
        <v>14492.753623188406</v>
      </c>
      <c r="AR150" s="261"/>
      <c r="AS150" s="796">
        <f t="shared" ca="1" si="1287"/>
        <v>8205.6892778993424</v>
      </c>
      <c r="AT150" s="796">
        <f t="shared" ca="1" si="1288"/>
        <v>8205.6892778993424</v>
      </c>
      <c r="AU150" s="789">
        <f t="shared" ca="1" si="1289"/>
        <v>0</v>
      </c>
      <c r="AV150" s="767">
        <f ca="1">RZ[[#This Row],[Kilogramová cena bez DPH '[cena/kg'] (1)]]/$AU$13</f>
        <v>8205.6892778993424</v>
      </c>
      <c r="AW150" s="165"/>
      <c r="AX150" s="110">
        <f t="shared" ca="1" si="1290"/>
        <v>2</v>
      </c>
      <c r="AY150" s="55">
        <f t="shared" ca="1" si="1291"/>
        <v>33</v>
      </c>
      <c r="AZ150" s="111">
        <f t="shared" ca="1" si="1292"/>
        <v>0</v>
      </c>
      <c r="BA150" s="111">
        <f t="shared" ca="1" si="1293"/>
        <v>0</v>
      </c>
      <c r="BB150" s="111">
        <f t="shared" ca="1" si="1294"/>
        <v>0</v>
      </c>
      <c r="BC150" s="111">
        <f t="shared" ca="1" si="1295"/>
        <v>0</v>
      </c>
      <c r="BD150" s="111">
        <f t="shared" ca="1" si="1296"/>
        <v>0</v>
      </c>
      <c r="BE150" s="111">
        <f t="shared" ca="1" si="1297"/>
        <v>0</v>
      </c>
      <c r="BF150" s="111">
        <f t="shared" ca="1" si="1298"/>
        <v>0</v>
      </c>
      <c r="BG150" s="112">
        <f t="shared" ca="1" si="1299"/>
        <v>0</v>
      </c>
      <c r="BH150" s="110">
        <f t="shared" si="1300"/>
        <v>0</v>
      </c>
      <c r="BI150" s="55">
        <f t="shared" si="1301"/>
        <v>1</v>
      </c>
      <c r="BJ150" s="55">
        <f t="shared" si="1302"/>
        <v>0</v>
      </c>
      <c r="BK150" s="111">
        <f t="shared" si="1303"/>
        <v>0</v>
      </c>
      <c r="BL150" s="111">
        <f t="shared" si="1304"/>
        <v>0</v>
      </c>
      <c r="BM150" s="111">
        <f t="shared" si="1305"/>
        <v>0</v>
      </c>
      <c r="BN150" s="111">
        <f t="shared" si="1306"/>
        <v>0</v>
      </c>
      <c r="BO150" s="111">
        <f t="shared" si="1307"/>
        <v>0</v>
      </c>
      <c r="BP150" s="111">
        <f t="shared" si="1308"/>
        <v>0</v>
      </c>
      <c r="BQ150" s="112">
        <f t="shared" si="1309"/>
        <v>0</v>
      </c>
      <c r="BR150" s="186">
        <f ca="1">IF(OFFSET(AY150,1,0,1,1)&lt;&gt;0,RZ[[#This Row],[Koeficient odhadu HR '[-'] (P1)]]*$BH150*SUMIFS(RZ[Úroveň 2 s koef. (P2)],RZ[0],AX150),RZ[[#This Row],[Koeficient odhadu HR '[-'] (P1)]]*$BH150*$IG150)</f>
        <v>0</v>
      </c>
      <c r="BS150" s="186">
        <f ca="1">IF(OFFSET(AY150,1,0,1,1)&lt;&gt;0,$BH150*SUMIFS(RZ[Úroveň 2 bez koef. (P2)],RZ[0],AX150),$BH150*$IG150)</f>
        <v>0</v>
      </c>
      <c r="BT150" s="138">
        <f ca="1">RZ[[#This Row],[Úroveň 2 s koef. (P2a)]]*RZ[[#This Row],[Počet MJHR (P0)]]</f>
        <v>1</v>
      </c>
      <c r="BU150" s="138">
        <f ca="1">RZ[[#This Row],[Úroveň 2 bez koef. (P2a)]]*RZ[[#This Row],[Počet MJHR (P0)]]</f>
        <v>1</v>
      </c>
      <c r="BV150" s="138">
        <f ca="1">IF(OFFSET(AZ150,1,0,1,1)&lt;&gt;0,RZ[[#This Row],[Koeficient odhadu HR '[-'] (P1)]]*$BI150*SUMIFS(RZ[Úroveň 3 s koef. (P2)],RZ[0],AX150,RZ[Úroveň 2 (P0)],AY150),RZ[[#This Row],[Koeficient odhadu HR '[-'] (P1)]]*$BI150*$IG150)</f>
        <v>1</v>
      </c>
      <c r="BW150" s="138">
        <f ca="1">IF(OFFSET(AZ150,1,0,1,1)&lt;&gt;0,$BI150*SUMIFS(RZ[Úroveň 3 bez koef. (P2)],RZ[0],AX150,RZ[Úroveň 2 (P0)],AY150),$BI150*$IG150)</f>
        <v>1</v>
      </c>
      <c r="BX150" s="132">
        <f ca="1">RZ[[#This Row],[Úroveň 3 s koef. (P2a)]]*RZ[[#This Row],[Počet MJHR (P0)]]</f>
        <v>0</v>
      </c>
      <c r="BY150" s="132">
        <f ca="1">RZ[Úroveň 3 bez koef. (P2a)]*RZ[[#This Row],[Počet MJHR (P0)]]</f>
        <v>0</v>
      </c>
      <c r="BZ150" s="132">
        <f ca="1">IF(OFFSET(BA150,1,0,1,1)&lt;&gt;0,RZ[[#This Row],[Koeficient odhadu HR '[-'] (P1)]]*$BJ150*SUMIFS(RZ[Úroveň 4 s koef. (P2)],RZ[0],AX150,RZ[Úroveň 2 (P0)],AY150,RZ[Úroveň 3 (P0)],AZ150),RZ[[#This Row],[Koeficient odhadu HR '[-'] (P1)]]*$BJ150*$IG150)</f>
        <v>0</v>
      </c>
      <c r="CA150" s="132">
        <f ca="1">IF(OFFSET(BA150,1,0,1,1)&lt;&gt;0,$BJ150*SUMIFS(RZ[Úroveň 4 bez koef. (P2)],RZ[0],AX150,RZ[Úroveň 2 (P0)],AY150,RZ[Úroveň 3 (P0)],AZ150),$BJ150*$IG150)</f>
        <v>0</v>
      </c>
      <c r="CB150" s="138">
        <f ca="1">RZ[[#This Row],[Úroveň 4 s koef. (P2a)]]*RZ[[#This Row],[Počet MJHR (P0)]]</f>
        <v>0</v>
      </c>
      <c r="CC150" s="138">
        <f ca="1">RZ[Úroveň 4 bez koef. (P2a)]*RZ[[#This Row],[Počet MJHR (P0)]]</f>
        <v>0</v>
      </c>
      <c r="CD150" s="138">
        <f ca="1">IF(OFFSET(BB150,1,0,1,1)&lt;&gt;0,RZ[[#This Row],[Koeficient odhadu HR '[-'] (P1)]]*$BK150*SUMIFS(RZ[Úroveň 5 s koef. (P2)],RZ[0],AX150,RZ[Úroveň 2 (P0)],AY150,RZ[Úroveň 3 (P0)],AZ150,RZ[Úroveň 4 (P0)],BA150),RZ[[#This Row],[Koeficient odhadu HR '[-'] (P1)]]*$BK150*$IG150)</f>
        <v>0</v>
      </c>
      <c r="CE150" s="138">
        <f ca="1">IF(OFFSET(BB150,1,0,1,1)&lt;&gt;0,$BK150*SUMIFS(RZ[Úroveň 5 bez koef. (P2)],RZ[0],AX150,RZ[Úroveň 2 (P0)],AY150,RZ[Úroveň 3 (P0)],AZ150,RZ[Úroveň 4 (P0)],BA150),$BK150*$IG150)</f>
        <v>0</v>
      </c>
      <c r="CF150" s="132">
        <f ca="1">RZ[[#This Row],[Úroveň 5 s koef. (P2a)]]*RZ[[#This Row],[Počet MJHR (P0)]]</f>
        <v>0</v>
      </c>
      <c r="CG150" s="132">
        <f ca="1">RZ[Úroveň 5 bez koef. (P2a)]*RZ[[#This Row],[Počet MJHR (P0)]]</f>
        <v>0</v>
      </c>
      <c r="CH150" s="132">
        <f ca="1">IF(OFFSET(BC150,1,0,1,1)&lt;&gt;0,RZ[[#This Row],[Koeficient odhadu HR '[-'] (P1)]]*$BL150*SUMIFS(RZ[Úroveň 6 s koef. (P2)],RZ[0],AX150,RZ[Úroveň 2 (P0)],AY150,RZ[Úroveň 3 (P0)],AZ150,RZ[Úroveň 4 (P0)],BA150,RZ[Úroveň 5 (P0)],BB150),RZ[[#This Row],[Koeficient odhadu HR '[-'] (P1)]]*$BL150*$IG150)</f>
        <v>0</v>
      </c>
      <c r="CI150" s="132">
        <f ca="1">IF(OFFSET(BC150,1,0,1,1)&lt;&gt;0,$BL150*SUMIFS(RZ[Úroveň 6 bez koef. (P2)],RZ[0],AX150,RZ[Úroveň 2 (P0)],AY150,RZ[Úroveň 3 (P0)],AZ150,RZ[Úroveň 4 (P0)],BA150,RZ[Úroveň 5 (P0)],BB150),$BL150*$IG150)</f>
        <v>0</v>
      </c>
      <c r="CJ150" s="138">
        <f ca="1">RZ[[#This Row],[Úroveň 6 s koef. (P2a)]]*RZ[[#This Row],[Počet MJHR (P0)]]</f>
        <v>0</v>
      </c>
      <c r="CK150" s="138">
        <f ca="1">RZ[Úroveň 6 bez koef. (P2a)]*RZ[[#This Row],[Počet MJHR (P0)]]</f>
        <v>0</v>
      </c>
      <c r="CL150" s="138">
        <f ca="1">IF(OFFSET(BD150,1,0,1,1)&lt;&gt;0,RZ[[#This Row],[Koeficient odhadu HR '[-'] (P1)]]*$BM150*SUMIFS(RZ[Úroveň 7 s koef. (P2)],RZ[0],AX150,RZ[Úroveň 2 (P0)],AY150,RZ[Úroveň 3 (P0)],AZ150,RZ[Úroveň 4 (P0)],BA150,RZ[Úroveň 5 (P0)],BB150,RZ[Úroveň 6 (P0)],BC150),RZ[[#This Row],[Koeficient odhadu HR '[-'] (P1)]]*$BM150*$IG150)</f>
        <v>0</v>
      </c>
      <c r="CM150" s="138">
        <f ca="1">IF(OFFSET(BD150,1,0,1,1)&lt;&gt;0,$BM150*SUMIFS(RZ[Úroveň 7 bez koef. (P2)],RZ[0],AX150,RZ[Úroveň 2 (P0)],AY150,RZ[Úroveň 3 (P0)],AZ150,RZ[Úroveň 4 (P0)],BA150,RZ[Úroveň 5 (P0)],BB150,RZ[Úroveň 6 (P0)],BC150),$BM150*$IG150)</f>
        <v>0</v>
      </c>
      <c r="CN150" s="132">
        <f ca="1">RZ[[#This Row],[Úroveň 7 s koef. (P2a)]]*RZ[[#This Row],[Počet MJHR (P0)]]</f>
        <v>0</v>
      </c>
      <c r="CO150" s="132">
        <f ca="1">RZ[Úroveň 7 bez koef. (P2a)]*RZ[[#This Row],[Počet MJHR (P0)]]</f>
        <v>0</v>
      </c>
      <c r="CP150" s="132">
        <f ca="1">IF(OFFSET(BE150,1,0,1,1)&lt;&gt;0,RZ[[#This Row],[Koeficient odhadu HR '[-'] (P1)]]*$BN150*SUMIFS(RZ[Úroveň 8 s koef. (P2)],RZ[0],AX150,RZ[Úroveň 2 (P0)],AY150,RZ[Úroveň 3 (P0)],AZ150,RZ[Úroveň 4 (P0)],BA150,RZ[Úroveň 5 (P0)],BB150,RZ[Úroveň 6 (P0)],BC150,RZ[Úroveň 7 (P0)],BD150),RZ[[#This Row],[Koeficient odhadu HR '[-'] (P1)]]*$BN150*$IG150)</f>
        <v>0</v>
      </c>
      <c r="CQ150" s="132">
        <f ca="1">IF(OFFSET(BE150,1,0,1,1)&lt;&gt;0,$BN150*SUMIFS(RZ[Úroveň 8 bez koef. (P2)],RZ[0],AX150,RZ[Úroveň 2 (P0)],AY150,RZ[Úroveň 3 (P0)],AZ150,RZ[Úroveň 4 (P0)],BA150,RZ[Úroveň 5 (P0)],BB150,RZ[Úroveň 6 (P0)],BC150,RZ[Úroveň 7 (P0)],BD150),$BN150*$IG150)</f>
        <v>0</v>
      </c>
      <c r="CR150" s="138">
        <f ca="1">RZ[[#This Row],[Úroveň 8 s koef. (P2a)]]*RZ[[#This Row],[Počet MJHR (P0)]]</f>
        <v>0</v>
      </c>
      <c r="CS150" s="138">
        <f ca="1">RZ[Úroveň 8 bez koef. (P2a)]*RZ[[#This Row],[Počet MJHR (P0)]]</f>
        <v>0</v>
      </c>
      <c r="CT150" s="138">
        <f ca="1">IF(OFFSET(BF150,1,0,1,1)&lt;&gt;0,RZ[[#This Row],[Koeficient odhadu HR '[-'] (P1)]]*$BO150*SUMIFS(RZ[Úroveň 9 s koef. (P2)],RZ[0],AX150,RZ[Úroveň 2 (P0)],AY150,RZ[Úroveň 3 (P0)],AZ150,RZ[Úroveň 4 (P0)],BA150,RZ[Úroveň 5 (P0)],BB150,RZ[Úroveň 6 (P0)],BC150,RZ[Úroveň 7 (P0)],BD150,RZ[Úroveň 8 (P0)],BE150),RZ[[#This Row],[Koeficient odhadu HR '[-'] (P1)]]*$BO150*$IG150)</f>
        <v>0</v>
      </c>
      <c r="CU150" s="138">
        <f ca="1">IF(OFFSET(BF150,1,0,1,1)&lt;&gt;0,$BO150*SUMIFS(RZ[Úroveň 9 bez koef. (P2)],RZ[0],AX150,RZ[Úroveň 2 (P0)],AY150,RZ[Úroveň 3 (P0)],AZ150,RZ[Úroveň 4 (P0)],BA150,RZ[Úroveň 5 (P0)],BB150,RZ[Úroveň 6 (P0)],BC150,RZ[Úroveň 7 (P0)],BD150,RZ[Úroveň 8 (P0)],BE150),$BO150*$IG150)</f>
        <v>0</v>
      </c>
      <c r="CV150" s="132">
        <f ca="1">RZ[[#This Row],[Úroveň 9 s koef. (P2a)]]*RZ[[#This Row],[Počet MJHR (P0)]]</f>
        <v>0</v>
      </c>
      <c r="CW150" s="132">
        <f ca="1">RZ[Úroveň 9 bez koef. (P2a)]*RZ[[#This Row],[Počet MJHR (P0)]]</f>
        <v>0</v>
      </c>
      <c r="CX150" s="132">
        <f ca="1">IF(OFFSET(BG150,1,0,1,1)&lt;&gt;0,RZ[[#This Row],[Koeficient odhadu HR '[-'] (P1)]]*$BP150*SUMIFS(RZ[Úroveň 10 s koef. (P2)],RZ[0],AX150,RZ[Úroveň 2 (P0)],AY150,RZ[Úroveň 3 (P0)],AZ150,RZ[Úroveň 4 (P0)],BA150,RZ[Úroveň 5 (P0)],BB150,RZ[Úroveň 6 (P0)],BC150,RZ[Úroveň 7 (P0)],BD150,RZ[Úroveň 8 (P0)],BE150,RZ[Úroveň 9 (P0)],BF150),RZ[[#This Row],[Koeficient odhadu HR '[-'] (P1)]]*$BP150*$IG150)</f>
        <v>0</v>
      </c>
      <c r="CY150" s="132">
        <f ca="1">IF(OFFSET(BG150,1,0,1,1)&lt;&gt;0,$BP150*SUMIFS(RZ[Úroveň 10 bez koef. (P2)],RZ[0],AX150,RZ[Úroveň 2 (P0)],AY150,RZ[Úroveň 3 (P0)],AZ150,RZ[Úroveň 4 (P0)],BA150,RZ[Úroveň 5 (P0)],BB150,RZ[Úroveň 6 (P0)],BC150,RZ[Úroveň 7 (P0)],BD150,RZ[Úroveň 8 (P0)],BE150,RZ[Úroveň 9 (P0)],BF150),$BP150*$IG150)</f>
        <v>0</v>
      </c>
      <c r="CZ150" s="138">
        <f>RZ[[#This Row],[Úroveň 10 s koef. (P2a)]]*RZ[[#This Row],[Počet MJHR (P0)]]</f>
        <v>0</v>
      </c>
      <c r="DA150" s="138">
        <f>RZ[Úroveň 10 bez koef. (P2a)]*RZ[[#This Row],[Počet MJHR (P0)]]</f>
        <v>0</v>
      </c>
      <c r="DB150" s="138">
        <f>RZ[[#This Row],[Koeficient odhadu HR '[-'] (P1)]]*$BQ150*IG150</f>
        <v>0</v>
      </c>
      <c r="DC150" s="231">
        <f t="shared" si="1310"/>
        <v>0</v>
      </c>
      <c r="DD150" s="241">
        <f t="shared" ca="1" si="1311"/>
        <v>1</v>
      </c>
      <c r="DE150" s="229">
        <f t="shared" ca="1" si="1312"/>
        <v>1</v>
      </c>
      <c r="DF150" s="521">
        <f t="shared" si="1313"/>
        <v>0</v>
      </c>
      <c r="DG150" s="522">
        <f t="shared" si="1314"/>
        <v>1</v>
      </c>
      <c r="DH150" s="522">
        <f t="shared" si="1315"/>
        <v>0</v>
      </c>
      <c r="DI150" s="523">
        <f t="shared" si="1316"/>
        <v>0</v>
      </c>
      <c r="DJ150" s="524">
        <f t="shared" si="1317"/>
        <v>0</v>
      </c>
      <c r="DK150" s="524">
        <f t="shared" si="1318"/>
        <v>0</v>
      </c>
      <c r="DL150" s="524">
        <f t="shared" si="1319"/>
        <v>0</v>
      </c>
      <c r="DM150" s="524">
        <f t="shared" si="1320"/>
        <v>0</v>
      </c>
      <c r="DN150" s="524">
        <f t="shared" si="1321"/>
        <v>0</v>
      </c>
      <c r="DO150" s="523">
        <f t="shared" si="1322"/>
        <v>0</v>
      </c>
      <c r="DP150" s="525">
        <f ca="1">SUMIFS(RZ[Úroveň 1 (P4)],RZ[0],AX150)</f>
        <v>1</v>
      </c>
      <c r="DQ150" s="525">
        <f ca="1">SUMIFS(RZ[Úroveň 2 (P4)],RZ[0],AX150,RZ[Úroveň 2 (P0)],AY150)</f>
        <v>1</v>
      </c>
      <c r="DR150" s="525">
        <f ca="1">SUMIFS(RZ[Úroveň 3 (P4)],RZ[0],AX150,RZ[Úroveň 2 (P0)],AY150,RZ[Úroveň 3 (P0)],AZ150)</f>
        <v>0</v>
      </c>
      <c r="DS150" s="525">
        <f ca="1">SUMIFS(RZ[Úroveň 4 (P4)],RZ[0],AX150,RZ[Úroveň 2 (P0)],AY150,RZ[Úroveň 3 (P0)],AZ150,RZ[Úroveň 4 (P0)],BA150)</f>
        <v>0</v>
      </c>
      <c r="DT150" s="526">
        <f ca="1">SUMIFS(RZ[Úroveň 5 (P4)],RZ[0],AX150,RZ[Úroveň 2 (P0)],AY150,RZ[Úroveň 3 (P0)],AZ150,RZ[Úroveň 4 (P0)],BA150,RZ[Úroveň 5 (P0)],BB150)</f>
        <v>0</v>
      </c>
      <c r="DU150" s="526">
        <f ca="1">SUMIFS(RZ[Úroveň 6 (P4)],RZ[0],AX150,RZ[Úroveň 2 (P0)],AY150,RZ[Úroveň 3 (P0)],AZ150,RZ[Úroveň 4 (P0)],BA150,RZ[Úroveň 5 (P0)],BB150,RZ[Úroveň 6 (P0)],BC150)</f>
        <v>0</v>
      </c>
      <c r="DV150" s="526">
        <f ca="1">SUMIFS(RZ[Úroveň 7 (P4)],RZ[0],AX150,RZ[Úroveň 2 (P0)],AY150,RZ[Úroveň 3 (P0)],AZ150,RZ[Úroveň 4 (P0)],BA150,RZ[Úroveň 5 (P0)],BB150,RZ[Úroveň 6 (P0)],BC150,RZ[Úroveň 7 (P0)],BD150)</f>
        <v>0</v>
      </c>
      <c r="DW150" s="526">
        <f ca="1">SUMIFS(RZ[Úroveň 8 (P4)],RZ[0],AX150,RZ[Úroveň 2 (P0)],AY150,RZ[Úroveň 3 (P0)],AZ150,RZ[Úroveň 4 (P0)],BA150,RZ[Úroveň 5 (P0)],BB150,RZ[Úroveň 6 (P0)],BC150,RZ[Úroveň 7 (P0)],BD150,RZ[Úroveň 8 (P0)],BE150)</f>
        <v>0</v>
      </c>
      <c r="DX150" s="526">
        <f ca="1">SUMIFS(RZ[Úroveň 9 (P4)],RZ[0],AX150,RZ[Úroveň 2 (P0)],AY150,RZ[Úroveň 3 (P0)],AZ150,RZ[Úroveň 4 (P0)],BA150,RZ[Úroveň 5 (P0)],BB150,RZ[Úroveň 6 (P0)],BC150,RZ[Úroveň 7 (P0)],BD150,RZ[Úroveň 8 (P0)],BE150,RZ[Úroveň 9 (P0)],BF150)</f>
        <v>0</v>
      </c>
      <c r="DY150" s="526">
        <f ca="1">SUMIFS(RZ[Úroveň 10 (P4)],RZ[0],AX150,RZ[Úroveň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DZ150" s="527">
        <f t="shared" ca="1" si="1323"/>
        <v>1</v>
      </c>
      <c r="EA150" s="528">
        <f ca="1">RZ[[#This Row],[Jednotková hmotnost bez koef. '[kg/MJHR'] (P0)]]*RZ[[#This Row],[Počet MJHR v rozpadu (P0)]]</f>
        <v>1</v>
      </c>
      <c r="EB150" s="191">
        <f ca="1">IF(OFFSET(AY150,1,0,1,1)&lt;&gt;0,RZ[[#This Row],[Koeficient odhadu CR '[-'] (P1)]]*$BH150*SUMIFS(RZ[Úroveň 2 s koef. (P3)],RZ[0],AX150),RZ[[#This Row],[Koeficient odhadu CR '[-'] (P1)]]*$BH150*$IQ150)</f>
        <v>0</v>
      </c>
      <c r="EC150" s="191">
        <f ca="1">IF(OFFSET(AY150,1,0,1,1)&lt;&gt;0,$BH150*SUMIFS(RZ[Úroveň 2 bez koef. (P3)],RZ[0],AX150),$BH150*$IQ150)</f>
        <v>0</v>
      </c>
      <c r="ED150" s="140">
        <f ca="1">RZ[[#This Row],[Úroveň 2 s koef. (P3a)]]*RZ[[#This Row],[Počet MJCR (P0) pro "kg"]]</f>
        <v>300000</v>
      </c>
      <c r="EE150" s="140">
        <f ca="1">RZ[Úroveň 2 bez koef. (P3a)]*RZ[[#This Row],[Počet MJCR (P0) pro "kg"]]</f>
        <v>300000</v>
      </c>
      <c r="EF150" s="140">
        <f ca="1">IF(OFFSET(AZ150,1,0,1,1)&lt;&gt;0,RZ[[#This Row],[Koeficient odhadu CR '[-'] (P1)]]*$BI150*SUMIFS(RZ[Úroveň 3 s koef. (P3)],RZ[0],AX150,RZ[Úroveň 2 (P0)],AY150),RZ[[#This Row],[Koeficient odhadu CR '[-'] (P1)]]*$BI150*$IQ150)</f>
        <v>300000</v>
      </c>
      <c r="EG150" s="140">
        <f ca="1">IF(OFFSET(AZ150,1,0,1,1)&lt;&gt;0,$BI150*SUMIFS(RZ[Úroveň 3 bez koef. (P3)],RZ[0],AX150,RZ[Úroveň 2 (P0)],AY150),$BI150*$IQ150)</f>
        <v>300000</v>
      </c>
      <c r="EH150" s="135">
        <f ca="1">RZ[[#This Row],[Úroveň 3 s koef. (P3a)]]*RZ[[#This Row],[Počet MJCR (P0) pro "kg"]]</f>
        <v>0</v>
      </c>
      <c r="EI150" s="135">
        <f ca="1">RZ[Úroveň 3 bez koef. (P3a)]*RZ[[#This Row],[Počet MJCR (P0) pro "kg"]]</f>
        <v>0</v>
      </c>
      <c r="EJ150" s="135">
        <f ca="1">IF(OFFSET(BA150,1,0,1,1)&lt;&gt;0,RZ[[#This Row],[Koeficient odhadu CR '[-'] (P1)]]*$BJ150*SUMIFS(RZ[Úroveň 4 s koef. (P3)],RZ[0],AX150,RZ[Úroveň 2 (P0)],AY150,RZ[Úroveň 3 (P0)],AZ150),RZ[[#This Row],[Koeficient odhadu CR '[-'] (P1)]]*$BJ150*$IQ150)</f>
        <v>0</v>
      </c>
      <c r="EK150" s="135">
        <f ca="1">IF(OFFSET(BA150,1,0,1,1)&lt;&gt;0,$BJ150*SUMIFS(RZ[Úroveň 4 bez koef. (P3)],RZ[0],AX150,RZ[Úroveň 2 (P0)],AY150,RZ[Úroveň 3 (P0)],AZ150),$BJ150*$IQ150)</f>
        <v>0</v>
      </c>
      <c r="EL150" s="140">
        <f ca="1">RZ[[#This Row],[Úroveň 4 s koef. (P3a)]]*RZ[[#This Row],[Počet MJCR (P0) pro "kg"]]</f>
        <v>0</v>
      </c>
      <c r="EM150" s="140">
        <f ca="1">RZ[Úroveň 4 bez koef. (P3a)]*RZ[[#This Row],[Počet MJCR (P0) pro "kg"]]</f>
        <v>0</v>
      </c>
      <c r="EN150" s="140">
        <f ca="1">IF(OFFSET(BB150,1,0,1,1)&lt;&gt;0,RZ[[#This Row],[Koeficient odhadu CR '[-'] (P1)]]*$BK150*SUMIFS(RZ[Úroveň 5 s koef. (P3)],RZ[0],AX150,RZ[Úroveň 2 (P0)],AY150,RZ[Úroveň 3 (P0)],AZ150,RZ[Úroveň 4 (P0)],BA150),RZ[[#This Row],[Koeficient odhadu CR '[-'] (P1)]]*$BK150*$IQ150)</f>
        <v>0</v>
      </c>
      <c r="EO150" s="140">
        <f ca="1">IF(OFFSET(BB150,1,0,1,1)&lt;&gt;0,$BK150*SUMIFS(RZ[Úroveň 5 bez koef. (P3)],RZ[0],AX150,RZ[Úroveň 2 (P0)],AY150,RZ[Úroveň 3 (P0)],AZ150,RZ[Úroveň 4 (P0)],BA150),$BK150*$IQ150)</f>
        <v>0</v>
      </c>
      <c r="EP150" s="135">
        <f ca="1">RZ[[#This Row],[Úroveň 5 s koef. (P3a)]]*RZ[[#This Row],[Počet MJCR (P0) pro "kg"]]</f>
        <v>0</v>
      </c>
      <c r="EQ150" s="135">
        <f ca="1">RZ[Úroveň 5 bez koef. (P3a)]*RZ[[#This Row],[Počet MJCR (P0) pro "kg"]]</f>
        <v>0</v>
      </c>
      <c r="ER150" s="135">
        <f ca="1">IF(OFFSET(BC150,1,0,1,1)&lt;&gt;0,RZ[[#This Row],[Koeficient odhadu CR '[-'] (P1)]]*$BL150*SUMIFS(RZ[Úroveň 6 s koef. (P3)],RZ[0],AX150,RZ[Úroveň 2 (P0)],AY150,RZ[Úroveň 3 (P0)],AZ150,RZ[Úroveň 4 (P0)],BA150,RZ[Úroveň 5 (P0)],BB150),RZ[[#This Row],[Koeficient odhadu CR '[-'] (P1)]]*$BL150*$IQ150)</f>
        <v>0</v>
      </c>
      <c r="ES150" s="135">
        <f ca="1">IF(OFFSET(BC150,1,0,1,1)&lt;&gt;0,$BL150*SUMIFS(RZ[Úroveň 6 bez koef. (P3)],RZ[0],AX150,RZ[Úroveň 2 (P0)],AY150,RZ[Úroveň 3 (P0)],AZ150,RZ[Úroveň 4 (P0)],BA150,RZ[Úroveň 5 (P0)],BB150),$BL150*$IQ150)</f>
        <v>0</v>
      </c>
      <c r="ET150" s="140">
        <f ca="1">RZ[[#This Row],[Úroveň 6 s koef. (P3a)]]*RZ[[#This Row],[Počet MJCR (P0) pro "kg"]]</f>
        <v>0</v>
      </c>
      <c r="EU150" s="140">
        <f ca="1">RZ[Úroveň 6 bez koef. (P3a)]*RZ[[#This Row],[Počet MJCR (P0) pro "kg"]]</f>
        <v>0</v>
      </c>
      <c r="EV150" s="140">
        <f ca="1">IF(OFFSET(BD150,1,0,1,1)&lt;&gt;0,RZ[[#This Row],[Koeficient odhadu CR '[-'] (P1)]]*$BM150*SUMIFS(RZ[Úroveň 7 s koef. (P3)],RZ[0],AX150,RZ[Úroveň 2 (P0)],AY150,RZ[Úroveň 3 (P0)],AZ150,RZ[Úroveň 4 (P0)],BA150,RZ[Úroveň 5 (P0)],BB150,RZ[Úroveň 6 (P0)],BC150),RZ[[#This Row],[Koeficient odhadu CR '[-'] (P1)]]*$BM150*$IQ150)</f>
        <v>0</v>
      </c>
      <c r="EW150" s="140">
        <f ca="1">IF(OFFSET(BD150,1,0,1,1)&lt;&gt;0,$BM150*SUMIFS(RZ[Úroveň 7 bez koef. (P3)],RZ[0],AX150,RZ[Úroveň 2 (P0)],AY150,RZ[Úroveň 3 (P0)],AZ150,RZ[Úroveň 4 (P0)],BA150,RZ[Úroveň 5 (P0)],BB150,RZ[Úroveň 6 (P0)],BC150),$BM150*$IQ150)</f>
        <v>0</v>
      </c>
      <c r="EX150" s="135">
        <f ca="1">RZ[[#This Row],[Úroveň 7 s koef. (P3a)]]*RZ[[#This Row],[Počet MJCR (P0) pro "kg"]]</f>
        <v>0</v>
      </c>
      <c r="EY150" s="135">
        <f ca="1">RZ[Úroveň 7 bez koef. (P3a)]*RZ[[#This Row],[Počet MJCR (P0) pro "kg"]]</f>
        <v>0</v>
      </c>
      <c r="EZ150" s="135">
        <f ca="1">IF(OFFSET(BE150,1,0,1,1)&lt;&gt;0,RZ[[#This Row],[Koeficient odhadu CR '[-'] (P1)]]*$BN150*SUMIFS(RZ[Úroveň 8 s koef. (P3)],RZ[0],AX150,RZ[Úroveň 2 (P0)],AY150,RZ[Úroveň 3 (P0)],AZ150,RZ[Úroveň 4 (P0)],BA150,RZ[Úroveň 5 (P0)],BB150,RZ[Úroveň 6 (P0)],BC150,RZ[Úroveň 7 (P0)],BD150),RZ[[#This Row],[Koeficient odhadu CR '[-'] (P1)]]*$BN150*$IQ150)</f>
        <v>0</v>
      </c>
      <c r="FA150" s="135">
        <f ca="1">IF(OFFSET(BE150,1,0,1,1)&lt;&gt;0,$BN150*SUMIFS(RZ[Úroveň 8 bez koef. (P3)],RZ[0],AX150,RZ[Úroveň 2 (P0)],AY150,RZ[Úroveň 3 (P0)],AZ150,RZ[Úroveň 4 (P0)],BA150,RZ[Úroveň 5 (P0)],BB150,RZ[Úroveň 6 (P0)],BC150,RZ[Úroveň 7 (P0)],BD150),$BN150*$IQ150)</f>
        <v>0</v>
      </c>
      <c r="FB150" s="140">
        <f ca="1">RZ[[#This Row],[Úroveň 8 s koef. (P3a)]]*RZ[[#This Row],[Počet MJCR (P0) pro "kg"]]</f>
        <v>0</v>
      </c>
      <c r="FC150" s="140">
        <f ca="1">RZ[Úroveň 8 bez koef. (P3a)]*RZ[[#This Row],[Počet MJCR (P0) pro "kg"]]</f>
        <v>0</v>
      </c>
      <c r="FD150" s="140">
        <f ca="1">IF(OFFSET(BF150,1,0,1,1)&lt;&gt;0,RZ[[#This Row],[Koeficient odhadu CR '[-'] (P1)]]*$BO150*SUMIFS(RZ[Úroveň 9 s koef. (P3)],RZ[0],AX150,RZ[Úroveň 2 (P0)],AY150,RZ[Úroveň 3 (P0)],AZ150,RZ[Úroveň 4 (P0)],BA150,RZ[Úroveň 5 (P0)],BB150,RZ[Úroveň 6 (P0)],BC150,RZ[Úroveň 7 (P0)],BD150,RZ[Úroveň 8 (P0)],BE150),RZ[[#This Row],[Koeficient odhadu CR '[-'] (P1)]]*$BO150*$IQ150)</f>
        <v>0</v>
      </c>
      <c r="FE150" s="140">
        <f ca="1">IF(OFFSET(BF150,1,0,1,1)&lt;&gt;0,$BO150*SUMIFS(RZ[Úroveň 9 bez koef. (P3)],RZ[0],AX150,RZ[Úroveň 2 (P0)],AY150,RZ[Úroveň 3 (P0)],AZ150,RZ[Úroveň 4 (P0)],BA150,RZ[Úroveň 5 (P0)],BB150,RZ[Úroveň 6 (P0)],BC150,RZ[Úroveň 7 (P0)],BD150,RZ[Úroveň 8 (P0)],BE150),$BO150*$IQ150)</f>
        <v>0</v>
      </c>
      <c r="FF150" s="135">
        <f ca="1">RZ[[#This Row],[Úroveň 9 s koef. (P3a)]]*RZ[[#This Row],[Počet MJCR (P0) pro "kg"]]</f>
        <v>0</v>
      </c>
      <c r="FG150" s="135">
        <f ca="1">RZ[Úroveň 9 bez koef. (P3a)]*RZ[[#This Row],[Počet MJCR (P0) pro "kg"]]</f>
        <v>0</v>
      </c>
      <c r="FH150" s="135">
        <f ca="1">IF(OFFSET(BG150,1,0,1,1)&lt;&gt;0,RZ[[#This Row],[Koeficient odhadu CR '[-'] (P1)]]*$BP150*SUMIFS(RZ[Úroveň 10 s koef. (P3)],RZ[0],AX150,RZ[Úroveň 2 (P0)],AY150,RZ[Úroveň 3 (P0)],AZ150,RZ[Úroveň 4 (P0)],BA150,RZ[Úroveň 5 (P0)],BB150,RZ[Úroveň 6 (P0)],BC150,RZ[Úroveň 7 (P0)],BD150,RZ[Úroveň 8 (P0)],BE150,RZ[Úroveň 9 (P0)],BF150),RZ[[#This Row],[Koeficient odhadu CR '[-'] (P1)]]*$BP150*$IQ150)</f>
        <v>0</v>
      </c>
      <c r="FI150" s="135">
        <f ca="1">IF(OFFSET(BG150,1,0,1,1)&lt;&gt;0,$BP150*SUMIFS(RZ[Úroveň 10 bez koef. (P3)],RZ[0],AX150,RZ[Úroveň 2 (P0)],AY150,RZ[Úroveň 3 (P0)],AZ150,RZ[Úroveň 4 (P0)],BA150,RZ[Úroveň 5 (P0)],BB150,RZ[Úroveň 6 (P0)],BC150,RZ[Úroveň 7 (P0)],BD150,RZ[Úroveň 8 (P0)],BE150,RZ[Úroveň 9 (P0)],BF150),$BP150*$IQ150)</f>
        <v>0</v>
      </c>
      <c r="FJ150" s="140">
        <f ca="1">RZ[[#This Row],[Úroveň 10 s koef. (P3a)]]*RZ[[#This Row],[Počet MJCR (P0) pro "kg"]]</f>
        <v>0</v>
      </c>
      <c r="FK150" s="140">
        <f ca="1">RZ[Úroveň 10 bez koef. (P3a)]*RZ[[#This Row],[Počet MJCR (P0) pro "kg"]]</f>
        <v>0</v>
      </c>
      <c r="FL150" s="140">
        <f ca="1">RZ[[#This Row],[Koeficient odhadu CR '[-'] (P1)]]*$BQ150*IQ150</f>
        <v>0</v>
      </c>
      <c r="FM150" s="236">
        <f t="shared" ca="1" si="1324"/>
        <v>0</v>
      </c>
      <c r="FN150" s="194">
        <f t="shared" ca="1" si="1325"/>
        <v>300000</v>
      </c>
      <c r="FO150" s="238">
        <f t="shared" ca="1" si="1326"/>
        <v>300000</v>
      </c>
      <c r="FP150" s="191">
        <f t="shared" ca="1" si="1327"/>
        <v>0</v>
      </c>
      <c r="FQ150" s="135">
        <f t="shared" ca="1" si="1328"/>
        <v>1</v>
      </c>
      <c r="FR150" s="135">
        <f t="shared" ca="1" si="1329"/>
        <v>0</v>
      </c>
      <c r="FS150" s="135">
        <f t="shared" ca="1" si="1330"/>
        <v>0</v>
      </c>
      <c r="FT150" s="135">
        <f t="shared" ca="1" si="1331"/>
        <v>0</v>
      </c>
      <c r="FU150" s="135">
        <f t="shared" ca="1" si="1332"/>
        <v>0</v>
      </c>
      <c r="FV150" s="135">
        <f t="shared" ca="1" si="1333"/>
        <v>0</v>
      </c>
      <c r="FW150" s="135">
        <f t="shared" ca="1" si="1334"/>
        <v>0</v>
      </c>
      <c r="FX150" s="135">
        <f t="shared" ca="1" si="1335"/>
        <v>0</v>
      </c>
      <c r="FY150" s="135">
        <f t="shared" ca="1" si="1336"/>
        <v>0</v>
      </c>
      <c r="FZ150" s="140">
        <f ca="1">SUMIFS(RZ[Úroveň 1 (P6)],RZ[0],AX150)</f>
        <v>1</v>
      </c>
      <c r="GA150" s="140">
        <f ca="1">SUMIFS(RZ[Úroveň 2 (P6)],RZ[0],AX150,RZ[Úroveň 2 (P0)],AY150)</f>
        <v>1</v>
      </c>
      <c r="GB150" s="140">
        <f ca="1">SUMIFS(RZ[Úroveň 3 (P6)],RZ[0],AX150,RZ[Úroveň 2 (P0)],AY150,RZ[Úroveň 3 (P0)],AZ150)</f>
        <v>0</v>
      </c>
      <c r="GC150" s="140">
        <f ca="1">SUMIFS(RZ[Úroveň 4 (P6)],RZ[0],AX150,RZ[Úroveň 2 (P0)],AY150,RZ[Úroveň 3 (P0)],AZ150,RZ[Úroveň 4 (P0)],BA150)</f>
        <v>0</v>
      </c>
      <c r="GD150" s="140">
        <f ca="1">SUMIFS(RZ[Úroveň 5 (P6)],RZ[0],AX150,RZ[Úroveň 2 (P0)],AY150,RZ[Úroveň 3 (P0)],AZ150,RZ[Úroveň 4 (P0)],BA150,RZ[Úroveň 5 (P0)],BB150)</f>
        <v>0</v>
      </c>
      <c r="GE150" s="140">
        <f ca="1">SUMIFS(RZ[Úroveň 6 (P6)],RZ[0],AX150,RZ[Úroveň 2 (P0)],AY150,RZ[Úroveň 3 (P0)],AZ150,RZ[Úroveň 4 (P0)],BA150,RZ[Úroveň 5 (P0)],BB150,RZ[Úroveň 6 (P0)],BC150)</f>
        <v>0</v>
      </c>
      <c r="GF150" s="140">
        <f ca="1">SUMIFS(RZ[Úroveň 7 (P6)],RZ[0],AX150,RZ[Úroveň 2 (P0)],AY150,RZ[Úroveň 3 (P0)],AZ150,RZ[Úroveň 4 (P0)],BA150,RZ[Úroveň 5 (P0)],BB150,RZ[Úroveň 6 (P0)],BC150,RZ[Úroveň 7 (P0)],BD150)</f>
        <v>0</v>
      </c>
      <c r="GG150" s="140">
        <f ca="1">SUMIFS(RZ[Úroveň 8 (P6)],RZ[0],AX150,RZ[Úroveň 2 (P0)],AY150,RZ[Úroveň 3 (P0)],AZ150,RZ[Úroveň 4 (P0)],BA150,RZ[Úroveň 5 (P0)],BB150,RZ[Úroveň 6 (P0)],BC150,RZ[Úroveň 7 (P0)],BD150,RZ[Úroveň 8 (P0)],BE150)</f>
        <v>0</v>
      </c>
      <c r="GH150" s="140">
        <f ca="1">SUMIFS(RZ[Úroveň 9 (P6)],RZ[0],AX150,RZ[Úroveň 2 (P0)],AY150,RZ[Úroveň 3 (P0)],AZ150,RZ[Úroveň 4 (P0)],BA150,RZ[Úroveň 5 (P0)],BB150,RZ[Úroveň 6 (P0)],BC150,RZ[Úroveň 7 (P0)],BD150,RZ[Úroveň 8 (P0)],BE150,RZ[Úroveň 9 (P0)],BF150)</f>
        <v>0</v>
      </c>
      <c r="GI150" s="140">
        <f ca="1">SUMIFS(RZ[Úroveň 10 (P6)],RZ[0],AX150,RZ[Úroveň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GJ150" s="194">
        <f t="shared" ca="1" si="1337"/>
        <v>1</v>
      </c>
      <c r="GK150" s="807">
        <f t="shared" si="1338"/>
        <v>0</v>
      </c>
      <c r="GL150" s="808">
        <f t="shared" si="1339"/>
        <v>1</v>
      </c>
      <c r="GM150" s="808">
        <f t="shared" si="1340"/>
        <v>0</v>
      </c>
      <c r="GN150" s="808">
        <f t="shared" si="1341"/>
        <v>0</v>
      </c>
      <c r="GO150" s="808">
        <f t="shared" si="1342"/>
        <v>0</v>
      </c>
      <c r="GP150" s="808">
        <f t="shared" si="1343"/>
        <v>0</v>
      </c>
      <c r="GQ150" s="808">
        <f t="shared" si="1344"/>
        <v>0</v>
      </c>
      <c r="GR150" s="808">
        <f t="shared" si="1345"/>
        <v>0</v>
      </c>
      <c r="GS150" s="808">
        <f t="shared" si="1346"/>
        <v>0</v>
      </c>
      <c r="GT150" s="808">
        <f t="shared" si="1347"/>
        <v>0</v>
      </c>
      <c r="GU150" s="809">
        <f ca="1">SUMIFS(RZ[Sloupec1],RZ[0],AX150)</f>
        <v>1</v>
      </c>
      <c r="GV150" s="809">
        <f ca="1">SUMIFS(RZ[Sloupec2],RZ[0],AX150,RZ[Úroveň 2 (P0)],AY150)</f>
        <v>1</v>
      </c>
      <c r="GW150" s="809">
        <f ca="1">SUMIFS(RZ[Sloupec3],RZ[0],AX150,RZ[Úroveň 2 (P0)],AY150,RZ[Úroveň 3 (P0)],AZ150)</f>
        <v>0</v>
      </c>
      <c r="GX150" s="809">
        <f ca="1">SUMIFS(RZ[Sloupec4],RZ[0],AX150,RZ[Úroveň 2 (P0)],AY150,RZ[Úroveň 3 (P0)],AZ150,RZ[Úroveň 4 (P0)],BA150)</f>
        <v>0</v>
      </c>
      <c r="GY150" s="809">
        <f ca="1">SUMIFS(RZ[Sloupec5],RZ[0],AX150,RZ[Úroveň 2 (P0)],AY150,RZ[Úroveň 3 (P0)],AZ150,RZ[Úroveň 4 (P0)],BA150,RZ[Úroveň 5 (P0)],BB150)</f>
        <v>0</v>
      </c>
      <c r="GZ150" s="809">
        <f ca="1">SUMIFS(RZ[Sloupec6],RZ[0],AX150,RZ[Úroveň 2 (P0)],AY150,RZ[Úroveň 3 (P0)],AZ150,RZ[Úroveň 4 (P0)],BA150,RZ[Úroveň 5 (P0)],BB150,RZ[Úroveň 6 (P0)],BC150)</f>
        <v>0</v>
      </c>
      <c r="HA150" s="809">
        <f ca="1">SUMIFS(RZ[Sloupec62],RZ[0],AX150,RZ[Úroveň 2 (P0)],AY150,RZ[Úroveň 3 (P0)],AZ150,RZ[Úroveň 4 (P0)],BA150,RZ[Úroveň 5 (P0)],BB150,RZ[Úroveň 6 (P0)],BC150,RZ[Úroveň 7 (P0)],BD150)</f>
        <v>0</v>
      </c>
      <c r="HB150" s="809">
        <f ca="1">SUMIFS(RZ[Sloupec63],RZ[0],AX150,RZ[Úroveň 2 (P0)],AY150,RZ[Úroveň 3 (P0)],AZ150,RZ[Úroveň 4 (P0)],BA150,RZ[Úroveň 5 (P0)],BB150,RZ[Úroveň 6 (P0)],BC150,RZ[Úroveň 7 (P0)],BD150,RZ[Úroveň 8 (P0)],BE150)</f>
        <v>0</v>
      </c>
      <c r="HC150" s="809">
        <f ca="1">SUMIFS(RZ[Sloupec64],RZ[0],AX150,RZ[Úroveň 2 (P0)],AY150,RZ[Úroveň 3 (P0)],AZ150,RZ[Úroveň 4 (P0)],BA150,RZ[Úroveň 5 (P0)],BB150,RZ[Úroveň 6 (P0)],BC150,RZ[Úroveň 7 (P0)],BD150,RZ[Úroveň 8 (P0)],BE150,RZ[Úroveň 9 (P0)],BF150)</f>
        <v>0</v>
      </c>
      <c r="HD150" s="809">
        <f ca="1">SUMIFS(RZ[Sloupec65],RZ[0],AX150,RZ[Úroveň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HE150" s="803">
        <f t="shared" ca="1" si="1348"/>
        <v>1</v>
      </c>
      <c r="HF150" s="48" t="str">
        <f t="shared" si="1349"/>
        <v/>
      </c>
      <c r="HG150" s="94" t="str">
        <f t="shared" si="1350"/>
        <v/>
      </c>
      <c r="HH150" s="95" t="str">
        <f t="shared" si="1351"/>
        <v>Doprava</v>
      </c>
      <c r="HI150" s="95" t="str">
        <f t="shared" si="1352"/>
        <v/>
      </c>
      <c r="HJ150" s="96" t="str">
        <f t="shared" si="1353"/>
        <v/>
      </c>
      <c r="HK150" s="96" t="str">
        <f t="shared" si="1354"/>
        <v/>
      </c>
      <c r="HL150" s="96" t="str">
        <f t="shared" si="1355"/>
        <v/>
      </c>
      <c r="HM150" s="96" t="str">
        <f t="shared" si="1356"/>
        <v/>
      </c>
      <c r="HN150" s="96" t="str">
        <f t="shared" si="1357"/>
        <v/>
      </c>
      <c r="HO150" s="96" t="str">
        <f t="shared" si="1358"/>
        <v/>
      </c>
      <c r="HP150" s="96" t="str">
        <f t="shared" si="1359"/>
        <v/>
      </c>
      <c r="HQ150" s="145" t="str">
        <f t="shared" si="1360"/>
        <v>PRDP</v>
      </c>
      <c r="HR150" s="175" t="str">
        <f t="shared" si="1361"/>
        <v/>
      </c>
      <c r="HS150" s="173">
        <f t="shared" si="1362"/>
        <v>0</v>
      </c>
      <c r="HT150" s="99">
        <f t="shared" si="1363"/>
        <v>0</v>
      </c>
      <c r="HU150" s="99">
        <f t="shared" si="1364"/>
        <v>0</v>
      </c>
      <c r="HV150" s="209" t="str">
        <f t="shared" si="1365"/>
        <v>Zajíc</v>
      </c>
      <c r="HW150" s="47">
        <f t="shared" si="1366"/>
        <v>0</v>
      </c>
      <c r="HX150" s="46">
        <f t="shared" si="1367"/>
        <v>0</v>
      </c>
      <c r="HY150" s="149" t="str">
        <f t="shared" si="1368"/>
        <v>S</v>
      </c>
      <c r="HZ150" s="263" t="str">
        <f t="shared" si="1369"/>
        <v>N</v>
      </c>
      <c r="IA150" s="150">
        <f t="shared" si="1370"/>
        <v>1</v>
      </c>
      <c r="IB150" s="319">
        <f t="shared" si="1371"/>
        <v>300000</v>
      </c>
      <c r="IC150" s="220">
        <f t="shared" si="1372"/>
        <v>1</v>
      </c>
      <c r="ID150" s="200" t="str">
        <f t="shared" ca="1" si="1373"/>
        <v>OK</v>
      </c>
      <c r="IE150" s="201" t="str">
        <f t="shared" si="1374"/>
        <v>sada</v>
      </c>
      <c r="IF150" s="145">
        <f t="shared" si="1375"/>
        <v>1</v>
      </c>
      <c r="IG150" s="216">
        <f t="shared" si="1376"/>
        <v>1</v>
      </c>
      <c r="IH150" s="217">
        <f t="shared" si="1377"/>
        <v>1</v>
      </c>
      <c r="II150" s="224" t="str">
        <f ca="1">IF(RZ[[#This Row],[Rozhodný sloupec indikativní ceny]]=1,"kg",IF($IW150=$JL$15,IF(JX150=0,JO150,JX150),IF($IW150=$KE$15,IF(KQ150=0,KH150,KQ150),IF($IW150=$KX$15,IF(LJ150=0,LA150,LJ150),IF($IW150=$LQ$15,IF(MC150=0,LT150,MC150),IF($IW150=$MJ$15,IF(NQ150=0,NH150,NQ150),0))))))</f>
        <v>sada</v>
      </c>
      <c r="IJ150" s="224">
        <f ca="1">IF((BH150+OFFSET(BH150,1,1,1,1))=2,RZ[[#This Row],[Počet MJHR (P0)]],IF((BI150+OFFSET(BI150,1,1,1,1))=2,RZ[[#This Row],[Počet MJHR (P0)]],IF((BJ150+OFFSET(BJ150,1,1,1,1))=2,RZ[[#This Row],[Počet MJHR (P0)]],IF((BK150+OFFSET(BK150,1,1,1,1))=2,RZ[[#This Row],[Počet MJHR (P0)]],IF((BL150+OFFSET(BL150,1,1,1,1))=2,RZ[[#This Row],[Počet MJHR (P0)]],IF((BM150+OFFSET(BM150,1,1,1,1))=2,RZ[[#This Row],[Počet MJHR (P0)]],IF((BN150+OFFSET(BN150,1,1,1,1))=2,RZ[[#This Row],[Počet MJHR (P0)]],IF((BO150+OFFSET(BO150,1,1,1,1))=2,RZ[[#This Row],[Počet MJHR (P0)]],IF((BP150+OFFSET(BP150,1,1,1,1))=2,RZ[[#This Row],[Počet MJHR (P0)]],IF((BQ150+OFFSET(BQ150,1,1,1,1))=2,RZ[[#This Row],[Počet MJHR (P0)]],IF(RZ[[#This Row],[Měrná jednotka CR (MJCR) (P0)]]=RZ[[#This Row],[Měrná jednotka HR '[MJHR'] (P0)]],RZ[[#This Row],[Počet MJHR (P0)]],IF($IW150=$JL$15,JY150,IF($IW150=$KE$15,KR150,IF($IW150=$KX$15,LK150,IF($IW150=$LQ$15,MD150,IF($IW150=$MJ$15,NR150,0))))))))))))))))</f>
        <v>1</v>
      </c>
      <c r="IK1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50" s="330">
        <f ca="1">IF(AND(RZ[[#This Row],[Jednotková cena bez DPH '[cena/MJCR'] (P0)]]=0,RZ[[#This Row],[Indikativní jednotková cena '[CZK/kg'] (P1)]]&lt;&gt;0),1,0)</f>
        <v>0</v>
      </c>
      <c r="IM150" s="217">
        <f ca="1">VLOOKUP(RZ[[#This Row],[Kód položek]],INDIKAT_CENA,2,FALSE)</f>
        <v>0</v>
      </c>
      <c r="IN150" s="222">
        <f ca="1">IF(RZ[[#This Row],[Rozhodný sloupec indikativní ceny]]=1,RZ[[#This Row],[Indikativní jednotková cena '[CZK/kg'] (P1)]],RZ[[#This Row],[Jednotková cena bez DPH '[cena/MJCR'] (P0)]])</f>
        <v>300000</v>
      </c>
      <c r="IO150" s="222">
        <f t="shared" si="1378"/>
        <v>1</v>
      </c>
      <c r="IP150" s="223">
        <f ca="1">IF(RZ[[#This Row],[Rozhodný sloupec indikativní ceny]]=1,1,IF($IW150=$JL$15,KA150,IF($IW150=$KE$15,KT150,IF($IW150=$KX$15,LM150,IF($IW150=$LQ$15,MF150,IF($IW150=$MJ$15,NT150,0))))))</f>
        <v>1</v>
      </c>
      <c r="IQ150" s="225">
        <f ca="1">IF(RZ[[#This Row],[Jednotková cena bez DPH '[cena/MJCR'] (P1)]]="",0,IF(IP150=0,0,(RZ[[#This Row],[Jednotková cena bez DPH '[cena/MJCR'] (P1)]]*VLOOKUP(IP150,$BR$7:$BT$10,3))))</f>
        <v>300000</v>
      </c>
      <c r="IR150" s="790"/>
      <c r="IS150" s="627">
        <f>IF(HY150=0,"",VLOOKUP(RZ[[#This Row],[Stav Projekce (P0)]],Vstupy!$E$11:'Vstupy'!$E$11:$H$17,4,FALSE))</f>
        <v>100</v>
      </c>
      <c r="IT150" s="628" t="str">
        <f>IF(RZ[[#This Row],[Stav Projekce (P0)]]=0,"",RZ[[#This Row],[Stav Projekce (P0)]])</f>
        <v>S</v>
      </c>
      <c r="IU150" s="628" t="str">
        <f>IF(RZ[[#This Row],[Stav Nákup (P0)]]=0,"",RZ[[#This Row],[Stav Nákup (P0)]])</f>
        <v>N</v>
      </c>
      <c r="IV150" s="636" t="str">
        <f t="shared" si="1379"/>
        <v>Zajíc</v>
      </c>
      <c r="IW150" s="555">
        <v>1</v>
      </c>
      <c r="IX150" s="630"/>
      <c r="IY150" s="264"/>
      <c r="IZ150" s="648"/>
      <c r="JA150" s="100" t="s">
        <v>213</v>
      </c>
      <c r="JB150" s="100"/>
      <c r="JC150" s="100"/>
      <c r="JD150" s="100"/>
      <c r="JE150" s="100"/>
      <c r="JF150" s="100"/>
      <c r="JG150" s="100"/>
      <c r="JH150" s="100"/>
      <c r="JI150" s="100"/>
      <c r="JJ150" s="145" t="s">
        <v>860</v>
      </c>
      <c r="JK150" s="529"/>
      <c r="JL150" s="286"/>
      <c r="JM150" s="100"/>
      <c r="JN150" s="100"/>
      <c r="JO150" s="145" t="s">
        <v>44</v>
      </c>
      <c r="JP150" s="117">
        <v>1</v>
      </c>
      <c r="JQ150" s="117">
        <v>1</v>
      </c>
      <c r="JR150" s="148">
        <v>1</v>
      </c>
      <c r="JS150" s="145" t="s">
        <v>602</v>
      </c>
      <c r="JT150" s="631"/>
      <c r="JU150" s="148" t="s">
        <v>853</v>
      </c>
      <c r="JV150" s="154"/>
      <c r="JW150" s="145"/>
      <c r="JX150" s="210" t="s">
        <v>44</v>
      </c>
      <c r="JY150" s="117"/>
      <c r="JZ150" s="662">
        <v>300000</v>
      </c>
      <c r="KA150" s="145">
        <v>1</v>
      </c>
      <c r="KB150" s="148">
        <v>1</v>
      </c>
      <c r="KC150" s="148" t="s">
        <v>611</v>
      </c>
      <c r="KD150" s="644"/>
      <c r="KE150" s="286"/>
      <c r="KF150" s="100"/>
      <c r="KG150" s="100"/>
      <c r="KH150" s="210"/>
      <c r="KI150" s="117"/>
      <c r="KJ150" s="117"/>
      <c r="KK150" s="148"/>
      <c r="KL150" s="145"/>
      <c r="KM150" s="632"/>
      <c r="KN150" s="148"/>
      <c r="KO150" s="154"/>
      <c r="KP150" s="154"/>
      <c r="KQ150" s="210"/>
      <c r="KR150" s="117"/>
      <c r="KS150" s="211"/>
      <c r="KT150" s="145"/>
      <c r="KU150" s="148"/>
      <c r="KV150" s="148"/>
      <c r="KW150" s="265"/>
      <c r="KX150" s="286"/>
      <c r="KY150" s="100"/>
      <c r="KZ150" s="100"/>
      <c r="LA150" s="210"/>
      <c r="LB150" s="117"/>
      <c r="LC150" s="117"/>
      <c r="LD150" s="148"/>
      <c r="LE150" s="145"/>
      <c r="LF150" s="632"/>
      <c r="LG150" s="148"/>
      <c r="LH150" s="154"/>
      <c r="LI150" s="154"/>
      <c r="LJ150" s="154"/>
      <c r="LK150" s="117"/>
      <c r="LL150" s="211"/>
      <c r="LM150" s="210"/>
      <c r="LN150" s="148"/>
      <c r="LO150" s="148"/>
      <c r="LP150" s="265"/>
      <c r="LQ150" s="286"/>
      <c r="LR150" s="100"/>
      <c r="LS150" s="100"/>
      <c r="LT150" s="210"/>
      <c r="LU150" s="117"/>
      <c r="LV150" s="117"/>
      <c r="LW150" s="148"/>
      <c r="LX150" s="145"/>
      <c r="LY150" s="632"/>
      <c r="LZ150" s="148"/>
      <c r="MA150" s="154"/>
      <c r="MB150" s="154"/>
      <c r="MC150" s="145"/>
      <c r="MD150" s="117"/>
      <c r="ME150" s="211"/>
      <c r="MF150" s="210"/>
      <c r="MG150" s="148"/>
      <c r="MH150" s="148"/>
      <c r="MI150" s="265"/>
      <c r="MJ150" s="647"/>
      <c r="MK150" s="264"/>
      <c r="ML150" s="153"/>
      <c r="MM150" s="153"/>
      <c r="MN150" s="153"/>
      <c r="MO150" s="153"/>
      <c r="MP150" s="153"/>
      <c r="MQ150" s="153"/>
      <c r="MR150" s="153"/>
      <c r="MS150" s="99"/>
      <c r="MT150" s="99"/>
      <c r="MU150" s="99"/>
      <c r="MV150" s="99"/>
      <c r="MW150" s="99"/>
      <c r="MX150" s="99"/>
      <c r="MY150" s="153"/>
      <c r="MZ150" s="153"/>
      <c r="NA150" s="153"/>
      <c r="NB150" s="153"/>
      <c r="NC150" s="153"/>
      <c r="ND150" s="153"/>
      <c r="NE150" s="153"/>
      <c r="NF150" s="153"/>
      <c r="NG150" s="153"/>
      <c r="NH150" s="330" t="str">
        <f t="shared" si="1380"/>
        <v>ks</v>
      </c>
      <c r="NI150" s="797">
        <f>RZ[[#This Row],[Počet ks (K)]]</f>
        <v>0</v>
      </c>
      <c r="NJ150" s="798">
        <f>RZ[[#This Row],[Hmotnost '[kg/ks'] (K)]]</f>
        <v>0</v>
      </c>
      <c r="NK150" s="153"/>
      <c r="NL150" s="153"/>
      <c r="NM150" s="632"/>
      <c r="NN150" s="153"/>
      <c r="NO150" s="153"/>
      <c r="NP150" s="153"/>
      <c r="NQ150" s="153"/>
      <c r="NR150" s="153"/>
      <c r="NS150" s="153"/>
      <c r="NT150" s="153"/>
      <c r="NU150" s="153"/>
      <c r="NV150" s="148"/>
      <c r="NW150" s="633"/>
    </row>
    <row r="151" spans="2:387" ht="15.95" customHeight="1" x14ac:dyDescent="0.4"/>
    <row r="152" spans="2:387" ht="15.95" customHeight="1" x14ac:dyDescent="0.4"/>
    <row r="153" spans="2:387" ht="15.95" customHeight="1" x14ac:dyDescent="0.4"/>
    <row r="154" spans="2:387" ht="15.95" customHeight="1" x14ac:dyDescent="0.4"/>
    <row r="155" spans="2:387" ht="15.95" customHeight="1" x14ac:dyDescent="0.4"/>
    <row r="156" spans="2:387" ht="15.95" customHeight="1" x14ac:dyDescent="0.4"/>
    <row r="157" spans="2:387" ht="15.95" customHeight="1" x14ac:dyDescent="0.4"/>
    <row r="158" spans="2:387" ht="15.95" customHeight="1" x14ac:dyDescent="0.4"/>
    <row r="159" spans="2:387" ht="15.95" customHeight="1" x14ac:dyDescent="0.4"/>
    <row r="160" spans="2:387" ht="15.95" customHeight="1" x14ac:dyDescent="0.4"/>
    <row r="161" ht="15.95" customHeight="1" x14ac:dyDescent="0.4"/>
    <row r="162" ht="15.95" customHeight="1" x14ac:dyDescent="0.4"/>
    <row r="163" ht="15.95" customHeight="1" x14ac:dyDescent="0.4"/>
    <row r="164" ht="15.95" customHeight="1" x14ac:dyDescent="0.4"/>
    <row r="165" ht="15.95" customHeight="1" x14ac:dyDescent="0.4"/>
    <row r="166" ht="15.95" customHeight="1" x14ac:dyDescent="0.4"/>
    <row r="167" ht="15.95" customHeight="1" x14ac:dyDescent="0.4"/>
    <row r="168" ht="15.95" customHeight="1" x14ac:dyDescent="0.4"/>
    <row r="169" ht="15.95" customHeight="1" x14ac:dyDescent="0.4"/>
    <row r="170" ht="15.95" customHeight="1" x14ac:dyDescent="0.4"/>
    <row r="171" ht="15.95" customHeight="1" x14ac:dyDescent="0.4"/>
    <row r="172" ht="15.95" customHeight="1" x14ac:dyDescent="0.4"/>
    <row r="173" ht="15.95" customHeight="1" x14ac:dyDescent="0.4"/>
    <row r="174" ht="15.95" customHeight="1" x14ac:dyDescent="0.4"/>
    <row r="175" ht="15.95" customHeight="1" x14ac:dyDescent="0.4"/>
    <row r="176" ht="15.95" customHeight="1" x14ac:dyDescent="0.4"/>
    <row r="177" ht="15.95" customHeight="1" x14ac:dyDescent="0.4"/>
    <row r="178" ht="15.95" customHeight="1" x14ac:dyDescent="0.4"/>
    <row r="179" ht="15.95" customHeight="1" x14ac:dyDescent="0.4"/>
    <row r="180" ht="15.95" customHeight="1" x14ac:dyDescent="0.4"/>
    <row r="181" ht="15.95" customHeight="1" x14ac:dyDescent="0.4"/>
    <row r="182" ht="15.95" customHeight="1" x14ac:dyDescent="0.4"/>
    <row r="183" ht="15.95" customHeight="1" x14ac:dyDescent="0.4"/>
    <row r="184" ht="15.95" customHeight="1" x14ac:dyDescent="0.4"/>
    <row r="185" ht="15.95" customHeight="1" x14ac:dyDescent="0.4"/>
    <row r="186" ht="15.95" customHeight="1" x14ac:dyDescent="0.4"/>
    <row r="187" ht="15.95" customHeight="1" x14ac:dyDescent="0.4"/>
    <row r="188" ht="15.95" customHeight="1" x14ac:dyDescent="0.4"/>
    <row r="189" ht="15.95" customHeight="1" x14ac:dyDescent="0.4"/>
    <row r="190" ht="15.95" customHeight="1" x14ac:dyDescent="0.4"/>
    <row r="191" ht="15.95" customHeight="1" x14ac:dyDescent="0.4"/>
    <row r="192" ht="15.95" customHeight="1" x14ac:dyDescent="0.4"/>
    <row r="193" ht="15.95" customHeight="1" x14ac:dyDescent="0.4"/>
    <row r="194" ht="15.95" customHeight="1" x14ac:dyDescent="0.4"/>
    <row r="195" ht="15.95" customHeight="1" x14ac:dyDescent="0.4"/>
    <row r="196" ht="15.95" customHeight="1" x14ac:dyDescent="0.4"/>
    <row r="197" ht="15.95" customHeight="1" x14ac:dyDescent="0.4"/>
    <row r="198" ht="15.95" customHeight="1" x14ac:dyDescent="0.4"/>
    <row r="199" ht="15.95" customHeight="1" x14ac:dyDescent="0.4"/>
    <row r="200" ht="15.95" customHeight="1" x14ac:dyDescent="0.4"/>
  </sheetData>
  <sheetProtection formatCells="0" formatColumns="0" formatRows="0" insertColumns="0" insertRows="0" insertHyperlinks="0" deleteColumns="0" deleteRows="0" sort="0" autoFilter="0" pivotTables="0"/>
  <dataConsolidate/>
  <mergeCells count="26">
    <mergeCell ref="AD14:AD15"/>
    <mergeCell ref="AI14:AI15"/>
    <mergeCell ref="AN14:AN15"/>
    <mergeCell ref="D2:J2"/>
    <mergeCell ref="D4:E4"/>
    <mergeCell ref="G4:H4"/>
    <mergeCell ref="I4:J4"/>
    <mergeCell ref="I5:J5"/>
    <mergeCell ref="D5:E5"/>
    <mergeCell ref="I6:J6"/>
    <mergeCell ref="D7:D10"/>
    <mergeCell ref="E7:E10"/>
    <mergeCell ref="G7:J7"/>
    <mergeCell ref="G8:J8"/>
    <mergeCell ref="G9:H9"/>
    <mergeCell ref="I9:J9"/>
    <mergeCell ref="G10:H10"/>
    <mergeCell ref="I10:J10"/>
    <mergeCell ref="D6:E6"/>
    <mergeCell ref="AE8:AE9"/>
    <mergeCell ref="AJ8:AJ9"/>
    <mergeCell ref="AO8:AO9"/>
    <mergeCell ref="AT8:AT9"/>
    <mergeCell ref="IX14:IX15"/>
    <mergeCell ref="IS14:IS15"/>
    <mergeCell ref="AS14:AS15"/>
  </mergeCells>
  <phoneticPr fontId="10" type="noConversion"/>
  <conditionalFormatting sqref="IS17:IV150 B17:AB150 IZ17:NW150">
    <cfRule type="expression" dxfId="777" priority="10">
      <formula>$AX17=0</formula>
    </cfRule>
  </conditionalFormatting>
  <conditionalFormatting sqref="K17:K150">
    <cfRule type="expression" dxfId="776" priority="9101">
      <formula>$IA17=0</formula>
    </cfRule>
  </conditionalFormatting>
  <conditionalFormatting sqref="L17:L150 X17:X150">
    <cfRule type="cellIs" dxfId="775" priority="9103" operator="equal">
      <formula>""</formula>
    </cfRule>
  </conditionalFormatting>
  <conditionalFormatting sqref="W17:W150 AB17:AB150">
    <cfRule type="expression" dxfId="774" priority="6253">
      <formula>$IC17=0</formula>
    </cfRule>
  </conditionalFormatting>
  <conditionalFormatting sqref="K17:K150 W17:W150">
    <cfRule type="cellIs" dxfId="773" priority="82" operator="notEqual">
      <formula>1</formula>
    </cfRule>
  </conditionalFormatting>
  <conditionalFormatting sqref="O17:O150 Y17:Y150">
    <cfRule type="cellIs" dxfId="772" priority="25" operator="notEqual">
      <formula>0</formula>
    </cfRule>
  </conditionalFormatting>
  <conditionalFormatting sqref="ML17:ML150 JQ17:JQ150 KH17:KH150 KJ17:KJ150 KQ17:KT150 LA17:LA150 LC17:LC150 LT17:LT150 LV17:LV150 MC17:MF150 NJ17:NJ150 NQ17:NT150 LJ17:LM150 NH17:NH150 JX17:KA150 JJ17:JJ150 JO17:JO150">
    <cfRule type="expression" dxfId="771" priority="81">
      <formula>$ID17="--"</formula>
    </cfRule>
  </conditionalFormatting>
  <conditionalFormatting sqref="D4:J4 F8:J8 F10 I10">
    <cfRule type="containsBlanks" dxfId="770" priority="35">
      <formula>LEN(TRIM(D4))=0</formula>
    </cfRule>
  </conditionalFormatting>
  <conditionalFormatting sqref="AD17:AG150 AI17:AL150 AN17:AQ150 AS17:AV150 R17:AB150">
    <cfRule type="expression" dxfId="769" priority="9104">
      <formula>$HG17&lt;&gt;""</formula>
    </cfRule>
    <cfRule type="expression" dxfId="768" priority="9105">
      <formula>$HH17&lt;&gt;""</formula>
    </cfRule>
    <cfRule type="expression" dxfId="767" priority="9126">
      <formula>$HI17&lt;&gt;""</formula>
    </cfRule>
    <cfRule type="expression" dxfId="766" priority="9131">
      <formula>$HJ17&lt;&gt;""</formula>
    </cfRule>
    <cfRule type="expression" dxfId="765" priority="9136">
      <formula>$HK17&lt;&gt;""</formula>
    </cfRule>
  </conditionalFormatting>
  <conditionalFormatting sqref="AD17:AG150 AI17:AL150 AN17:AQ150 AS17:AV150 B17:AB150">
    <cfRule type="expression" dxfId="764" priority="9141">
      <formula>$HL17&lt;&gt;""</formula>
    </cfRule>
  </conditionalFormatting>
  <conditionalFormatting sqref="AD17:AG150 AI17:AL150 AN17:AQ150 AS17:AV150 B17:AB150">
    <cfRule type="expression" dxfId="763" priority="9146">
      <formula>$HM17&lt;&gt;""</formula>
    </cfRule>
  </conditionalFormatting>
  <conditionalFormatting sqref="AD17:AG150 AI17:AL150 AN17:AQ150 AS17:AV150 B17:AB150">
    <cfRule type="expression" dxfId="762" priority="9151">
      <formula>$HN17&lt;&gt;""</formula>
    </cfRule>
  </conditionalFormatting>
  <conditionalFormatting sqref="AD17:AG150 AI17:AL150 AN17:AQ150 AS17:AV150 B17:AB150">
    <cfRule type="expression" dxfId="761" priority="9152">
      <formula>$HO17&lt;&gt;""</formula>
    </cfRule>
  </conditionalFormatting>
  <conditionalFormatting sqref="AD17:AG150 AI17:AL150 AN17:AQ150 AS17:AV150 B17:AB150">
    <cfRule type="expression" dxfId="760" priority="9153">
      <formula>$HP17&lt;&gt;""</formula>
    </cfRule>
  </conditionalFormatting>
  <conditionalFormatting sqref="IS17:IT150">
    <cfRule type="expression" dxfId="759" priority="26">
      <formula>$IT17="S"</formula>
    </cfRule>
    <cfRule type="expression" dxfId="758" priority="27">
      <formula>$IT17="K"</formula>
    </cfRule>
    <cfRule type="expression" dxfId="757" priority="31">
      <formula>$IT17="R75"</formula>
    </cfRule>
    <cfRule type="expression" dxfId="756" priority="38">
      <formula>$IT17="R50"</formula>
    </cfRule>
    <cfRule type="expression" dxfId="755" priority="77">
      <formula>$IT17="R25"</formula>
    </cfRule>
    <cfRule type="expression" dxfId="754" priority="78">
      <formula>$IT17="Z"</formula>
    </cfRule>
  </conditionalFormatting>
  <conditionalFormatting sqref="LK17:LK150">
    <cfRule type="expression" dxfId="753" priority="17">
      <formula>$LJ17="kg"</formula>
    </cfRule>
    <cfRule type="expression" dxfId="752" priority="19">
      <formula>$LJ17=$LA17</formula>
    </cfRule>
  </conditionalFormatting>
  <conditionalFormatting sqref="KR17:KR150">
    <cfRule type="expression" dxfId="751" priority="15">
      <formula>$KQ17="kg"</formula>
    </cfRule>
    <cfRule type="expression" dxfId="750" priority="16">
      <formula>$KQ17=$KH17</formula>
    </cfRule>
  </conditionalFormatting>
  <conditionalFormatting sqref="JY17:JY150">
    <cfRule type="expression" dxfId="749" priority="11">
      <formula>$JX17="kg"</formula>
    </cfRule>
    <cfRule type="expression" dxfId="748" priority="14">
      <formula>$JX17=$JO17</formula>
    </cfRule>
  </conditionalFormatting>
  <conditionalFormatting sqref="NR17:NR150">
    <cfRule type="expression" dxfId="747" priority="23">
      <formula>$NQ17="kg"</formula>
    </cfRule>
    <cfRule type="expression" dxfId="746" priority="24">
      <formula>$NQ17=$NH17</formula>
    </cfRule>
  </conditionalFormatting>
  <conditionalFormatting sqref="AD17:AG150 AI17:AL150 AN17:AQ150 AS17:AV150 U17:AB150">
    <cfRule type="expression" dxfId="745" priority="80">
      <formula>$IL17=1</formula>
    </cfRule>
  </conditionalFormatting>
  <conditionalFormatting sqref="AF10:AG10 AK10:AL10 AP10:AQ10 AU10:AV10">
    <cfRule type="dataBar" priority="12">
      <dataBar>
        <cfvo type="num" val="0"/>
        <cfvo type="num" val="1"/>
        <color rgb="FFFF0000"/>
      </dataBar>
      <extLst>
        <ext xmlns:x14="http://schemas.microsoft.com/office/spreadsheetml/2009/9/main" uri="{B025F937-C7B1-47D3-B67F-A62EFF666E3E}">
          <x14:id>{B12593CA-BD8C-41B1-A809-193C3B919CEE}</x14:id>
        </ext>
      </extLst>
    </cfRule>
  </conditionalFormatting>
  <conditionalFormatting sqref="IX17:IX150 JZ17:KD150 JQ17:JX150 IZ17:JO150">
    <cfRule type="expression" dxfId="744" priority="9353">
      <formula>$IX17&gt;0</formula>
    </cfRule>
  </conditionalFormatting>
  <conditionalFormatting sqref="IW17:KD150">
    <cfRule type="cellIs" dxfId="743" priority="79" operator="equal">
      <formula>"Vyplnit!"</formula>
    </cfRule>
  </conditionalFormatting>
  <conditionalFormatting sqref="IU17:IV150">
    <cfRule type="expression" dxfId="742" priority="5">
      <formula>$IU17="I"</formula>
    </cfRule>
    <cfRule type="expression" dxfId="741" priority="7">
      <formula>$IU17="O"</formula>
    </cfRule>
    <cfRule type="expression" dxfId="740" priority="8">
      <formula>$IU17="N"</formula>
    </cfRule>
    <cfRule type="expression" dxfId="739" priority="9">
      <formula>$IU17="P"</formula>
    </cfRule>
  </conditionalFormatting>
  <conditionalFormatting sqref="MD17:MD150">
    <cfRule type="expression" dxfId="738" priority="20">
      <formula>$MC17="kg"</formula>
    </cfRule>
    <cfRule type="expression" dxfId="737" priority="22">
      <formula>$MC17=$LT17</formula>
    </cfRule>
  </conditionalFormatting>
  <conditionalFormatting sqref="L17:L150 N17:N150 X17:X150 AE17:AE150">
    <cfRule type="cellIs" dxfId="736" priority="9102" operator="equal">
      <formula>0</formula>
    </cfRule>
  </conditionalFormatting>
  <conditionalFormatting sqref="B17:Q150 IZ18:JI150">
    <cfRule type="expression" dxfId="735" priority="9154">
      <formula>$HG17&lt;&gt;""</formula>
    </cfRule>
    <cfRule type="expression" dxfId="734" priority="9155">
      <formula>$HH17&lt;&gt;""</formula>
    </cfRule>
    <cfRule type="expression" dxfId="733" priority="9156">
      <formula>$HI17&lt;&gt;""</formula>
    </cfRule>
    <cfRule type="expression" dxfId="732" priority="9233">
      <formula>$HJ17&lt;&gt;""</formula>
    </cfRule>
    <cfRule type="expression" dxfId="731" priority="9346">
      <formula>$HK17&lt;&gt;""</formula>
    </cfRule>
  </conditionalFormatting>
  <conditionalFormatting sqref="AB17:AB150">
    <cfRule type="cellIs" dxfId="730" priority="3" operator="notEqual">
      <formula>1</formula>
    </cfRule>
  </conditionalFormatting>
  <conditionalFormatting sqref="AF17:AF150 AK17:AK150 AP17:AP150 AU17:AU150">
    <cfRule type="cellIs" dxfId="729" priority="2" operator="notEqual">
      <formula>0</formula>
    </cfRule>
  </conditionalFormatting>
  <conditionalFormatting sqref="F17:F150">
    <cfRule type="cellIs" dxfId="728" priority="1" operator="equal">
      <formula>"N/A"</formula>
    </cfRule>
  </conditionalFormatting>
  <conditionalFormatting sqref="T17:T150 T15">
    <cfRule type="dataBar" priority="89697">
      <dataBar>
        <cfvo type="min"/>
        <cfvo type="max"/>
        <color rgb="FFCC00FF"/>
      </dataBar>
      <extLst>
        <ext xmlns:x14="http://schemas.microsoft.com/office/spreadsheetml/2009/9/main" uri="{B025F937-C7B1-47D3-B67F-A62EFF666E3E}">
          <x14:id>{CBE2BDB8-1A7D-45CD-912E-0419F603778E}</x14:id>
        </ext>
      </extLst>
    </cfRule>
  </conditionalFormatting>
  <conditionalFormatting sqref="AE17:AE150 AE15">
    <cfRule type="dataBar" priority="897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{D95F937C-BF13-4CE7-AA0E-A2964FE6DB2A}</x14:id>
        </ext>
      </extLst>
    </cfRule>
  </conditionalFormatting>
  <conditionalFormatting sqref="N17:N150 N15">
    <cfRule type="dataBar" priority="897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{D98483C6-E902-4CD5-9ADB-265A05C3AA4D}</x14:id>
        </ext>
      </extLst>
    </cfRule>
  </conditionalFormatting>
  <dataValidations count="12">
    <dataValidation type="list" allowBlank="1" showInputMessage="1" showErrorMessage="1" sqref="NV151:NV1048576 LO151:LO1048576 KV151:KV1048576 MH151:MH1048576 KA151:KC1048576 NL17:NL150 KL17:KL150 LE17:LE150 LX17:LX150 JS17:JS150" xr:uid="{00000000-0002-0000-0300-000000000000}">
      <formula1>STAV_PROJEKCE</formula1>
    </dataValidation>
    <dataValidation type="list" allowBlank="1" showInputMessage="1" showErrorMessage="1" sqref="NS151:NS1048576 LL151:LL1048576 ME151:ME1048576 JY151:JY1048576 KS151:KS1048576 JU17:JU150 LZ17:LZ150 KN17:KN150 LG17:LG150 NN17:NN150" xr:uid="{00000000-0002-0000-0300-000001000000}">
      <formula1>OSOBY</formula1>
    </dataValidation>
    <dataValidation type="list" allowBlank="1" showInputMessage="1" showErrorMessage="1" sqref="IE151:IE1048576 LJ17:LJ150 JX17:JX150 NQ17:NQ150 MC17:MC150 KQ17:KQ150" xr:uid="{00000000-0002-0000-0300-000002000000}">
      <formula1>MJCR</formula1>
    </dataValidation>
    <dataValidation type="list" allowBlank="1" showInputMessage="1" showErrorMessage="1" sqref="HR151:HR1048576 JK17:JK150 MM17:MM150" xr:uid="{00000000-0002-0000-0300-000003000000}">
      <formula1>RESITEL</formula1>
    </dataValidation>
    <dataValidation type="list" allowBlank="1" showInputMessage="1" showErrorMessage="1" sqref="NP151:NP1048576 LI151:LI1048576 MB151:MB1048576 KP151:KP1048576" xr:uid="{00000000-0002-0000-0300-000004000000}">
      <formula1>TYP_CENY</formula1>
    </dataValidation>
    <dataValidation type="list" allowBlank="1" showInputMessage="1" showErrorMessage="1" sqref="I10:J10" xr:uid="{00000000-0002-0000-0300-000005000000}">
      <formula1>"Studie, Nabídka, Projekt, Realizace"</formula1>
    </dataValidation>
    <dataValidation type="list" allowBlank="1" showInputMessage="1" showErrorMessage="1" sqref="ML17:ML150 JJ17:JJ150" xr:uid="{00000000-0002-0000-0300-000006000000}">
      <formula1>KOD_POLOZEK</formula1>
    </dataValidation>
    <dataValidation type="list" allowBlank="1" showInputMessage="1" showErrorMessage="1" sqref="IW17:IW150" xr:uid="{00000000-0002-0000-0300-000007000000}">
      <formula1>VARIANTA</formula1>
    </dataValidation>
    <dataValidation type="list" allowBlank="1" showInputMessage="1" showErrorMessage="1" sqref="KC17:KC150 KV17:KV150 LO17:LO150 MH17:MH150 NV17:NV150" xr:uid="{00000000-0002-0000-0300-000008000000}">
      <formula1>STAV_NAKUP</formula1>
    </dataValidation>
    <dataValidation type="list" allowBlank="1" showInputMessage="1" showErrorMessage="1" sqref="NH17:NH150 KH17:KH150 LA17:LA150 LT17:LT150 JO17:JO150" xr:uid="{00000000-0002-0000-0300-000009000000}">
      <formula1>MJHR</formula1>
    </dataValidation>
    <dataValidation type="list" allowBlank="1" showInputMessage="1" showErrorMessage="1" sqref="IX17:IX150" xr:uid="{00000000-0002-0000-0300-00000A000000}">
      <formula1>SPOLECNE_POLOZKY_1SLOUPEC</formula1>
    </dataValidation>
    <dataValidation type="list" allowBlank="1" showInputMessage="1" showErrorMessage="1" sqref="KA17:KA150 KT17:KT150 LM17:LM150 MF17:MF150 NT17:NT150" xr:uid="{00000000-0002-0000-0300-00000B000000}">
      <formula1>MENA</formula1>
    </dataValidation>
  </dataValidations>
  <pageMargins left="0.39370078740157483" right="0.19685039370078741" top="0.39370078740157483" bottom="0.39370078740157483" header="0.51181102362204722" footer="0.51181102362204722"/>
  <pageSetup paperSize="8" fitToHeight="3" orientation="landscape" r:id="rId1"/>
  <headerFooter alignWithMargins="0">
    <oddFooter>&amp;L&amp;D&amp;C&amp;P/&amp;N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66" r:id="rId4" name="Button 218">
              <controlPr defaultSize="0" print="0" autoFill="0" autoPict="0" macro="[0]!Hypertext">
                <anchor moveWithCells="1" sizeWithCells="1">
                  <from>
                    <xdr:col>278</xdr:col>
                    <xdr:colOff>0</xdr:colOff>
                    <xdr:row>12</xdr:row>
                    <xdr:rowOff>0</xdr:rowOff>
                  </from>
                  <to>
                    <xdr:col>278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5" name="Button 2898">
              <controlPr defaultSize="0" print="0" autoFill="0" autoPict="0" macro="[0]!Vypln_duplicitu">
                <anchor moveWithCells="1" sizeWithCells="1">
                  <from>
                    <xdr:col>257</xdr:col>
                    <xdr:colOff>0</xdr:colOff>
                    <xdr:row>12</xdr:row>
                    <xdr:rowOff>0</xdr:rowOff>
                  </from>
                  <to>
                    <xdr:col>257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6" name="Button 2945">
              <controlPr defaultSize="0" print="0" autoFill="0" autoPict="0" macro="[0]!Vypln_duplicitu">
                <anchor moveWithCells="1" sizeWithCells="1">
                  <from>
                    <xdr:col>257</xdr:col>
                    <xdr:colOff>28575</xdr:colOff>
                    <xdr:row>13</xdr:row>
                    <xdr:rowOff>33338</xdr:rowOff>
                  </from>
                  <to>
                    <xdr:col>257</xdr:col>
                    <xdr:colOff>352425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7" name="Button 2958">
              <controlPr defaultSize="0" print="0" autoFill="0" autoPict="0" macro="[0]!Hypertext">
                <anchor moveWithCells="1" sizeWithCells="1">
                  <from>
                    <xdr:col>279</xdr:col>
                    <xdr:colOff>23813</xdr:colOff>
                    <xdr:row>13</xdr:row>
                    <xdr:rowOff>71438</xdr:rowOff>
                  </from>
                  <to>
                    <xdr:col>279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8" name="Button 2959">
              <controlPr defaultSize="0" print="0" autoFill="0" autoPict="0" macro="[0]!Hypertext">
                <anchor moveWithCells="1" sizeWithCells="1">
                  <from>
                    <xdr:col>289</xdr:col>
                    <xdr:colOff>23813</xdr:colOff>
                    <xdr:row>13</xdr:row>
                    <xdr:rowOff>71438</xdr:rowOff>
                  </from>
                  <to>
                    <xdr:col>289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9" name="Button 2962">
              <controlPr defaultSize="0" print="0" autoFill="0" autoPict="0" macro="[0]!Hypertext">
                <anchor moveWithCells="1" sizeWithCells="1">
                  <from>
                    <xdr:col>298</xdr:col>
                    <xdr:colOff>23813</xdr:colOff>
                    <xdr:row>13</xdr:row>
                    <xdr:rowOff>71438</xdr:rowOff>
                  </from>
                  <to>
                    <xdr:col>298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0" name="Button 2963">
              <controlPr defaultSize="0" print="0" autoFill="0" autoPict="0" macro="[0]!Hypertext">
                <anchor moveWithCells="1" sizeWithCells="1">
                  <from>
                    <xdr:col>308</xdr:col>
                    <xdr:colOff>23813</xdr:colOff>
                    <xdr:row>13</xdr:row>
                    <xdr:rowOff>71438</xdr:rowOff>
                  </from>
                  <to>
                    <xdr:col>308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1" name="Button 2964">
              <controlPr defaultSize="0" print="0" autoFill="0" autoPict="0" macro="[0]!Hypertext">
                <anchor moveWithCells="1" sizeWithCells="1">
                  <from>
                    <xdr:col>317</xdr:col>
                    <xdr:colOff>23813</xdr:colOff>
                    <xdr:row>13</xdr:row>
                    <xdr:rowOff>71438</xdr:rowOff>
                  </from>
                  <to>
                    <xdr:col>317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2" name="Button 2965">
              <controlPr defaultSize="0" print="0" autoFill="0" autoPict="0" macro="[0]!Hypertext">
                <anchor moveWithCells="1" sizeWithCells="1">
                  <from>
                    <xdr:col>327</xdr:col>
                    <xdr:colOff>23813</xdr:colOff>
                    <xdr:row>13</xdr:row>
                    <xdr:rowOff>71438</xdr:rowOff>
                  </from>
                  <to>
                    <xdr:col>327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3" name="Button 2966">
              <controlPr defaultSize="0" print="0" autoFill="0" autoPict="0" macro="[0]!Hypertext">
                <anchor moveWithCells="1" sizeWithCells="1">
                  <from>
                    <xdr:col>336</xdr:col>
                    <xdr:colOff>23813</xdr:colOff>
                    <xdr:row>13</xdr:row>
                    <xdr:rowOff>71438</xdr:rowOff>
                  </from>
                  <to>
                    <xdr:col>336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" name="Button 2967">
              <controlPr defaultSize="0" print="0" autoFill="0" autoPict="0" macro="[0]!Hypertext">
                <anchor moveWithCells="1" sizeWithCells="1">
                  <from>
                    <xdr:col>346</xdr:col>
                    <xdr:colOff>23813</xdr:colOff>
                    <xdr:row>13</xdr:row>
                    <xdr:rowOff>71438</xdr:rowOff>
                  </from>
                  <to>
                    <xdr:col>346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5" name="Button 2968">
              <controlPr defaultSize="0" print="0" autoFill="0" autoPict="0" macro="[0]!Hypertext">
                <anchor moveWithCells="1" sizeWithCells="1">
                  <from>
                    <xdr:col>376</xdr:col>
                    <xdr:colOff>23813</xdr:colOff>
                    <xdr:row>13</xdr:row>
                    <xdr:rowOff>71438</xdr:rowOff>
                  </from>
                  <to>
                    <xdr:col>376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6" name="Button 2969">
              <controlPr defaultSize="0" print="0" autoFill="0" autoPict="0" macro="[0]!Hypertext">
                <anchor moveWithCells="1" sizeWithCells="1">
                  <from>
                    <xdr:col>386</xdr:col>
                    <xdr:colOff>23813</xdr:colOff>
                    <xdr:row>13</xdr:row>
                    <xdr:rowOff>71438</xdr:rowOff>
                  </from>
                  <to>
                    <xdr:col>386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7" name="Button 2974">
              <controlPr defaultSize="0" print="0" autoFill="0" autoPict="0" macro="[0]!Datum">
                <anchor moveWithCells="1" sizeWithCells="1">
                  <from>
                    <xdr:col>281</xdr:col>
                    <xdr:colOff>85725</xdr:colOff>
                    <xdr:row>13</xdr:row>
                    <xdr:rowOff>76200</xdr:rowOff>
                  </from>
                  <to>
                    <xdr:col>281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8" name="Button 2975">
              <controlPr defaultSize="0" print="0" autoFill="0" autoPict="0" macro="[0]!Datum">
                <anchor moveWithCells="1" sizeWithCells="1">
                  <from>
                    <xdr:col>300</xdr:col>
                    <xdr:colOff>85725</xdr:colOff>
                    <xdr:row>13</xdr:row>
                    <xdr:rowOff>76200</xdr:rowOff>
                  </from>
                  <to>
                    <xdr:col>300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9" name="Button 2976">
              <controlPr defaultSize="0" print="0" autoFill="0" autoPict="0" macro="[0]!Datum">
                <anchor moveWithCells="1" sizeWithCells="1">
                  <from>
                    <xdr:col>319</xdr:col>
                    <xdr:colOff>85725</xdr:colOff>
                    <xdr:row>13</xdr:row>
                    <xdr:rowOff>76200</xdr:rowOff>
                  </from>
                  <to>
                    <xdr:col>319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20" name="Button 2977">
              <controlPr defaultSize="0" print="0" autoFill="0" autoPict="0" macro="[0]!Datum">
                <anchor moveWithCells="1" sizeWithCells="1">
                  <from>
                    <xdr:col>338</xdr:col>
                    <xdr:colOff>85725</xdr:colOff>
                    <xdr:row>13</xdr:row>
                    <xdr:rowOff>76200</xdr:rowOff>
                  </from>
                  <to>
                    <xdr:col>338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21" name="Button 2978">
              <controlPr defaultSize="0" print="0" autoFill="0" autoPict="0" macro="[0]!Datum">
                <anchor moveWithCells="1" sizeWithCells="1">
                  <from>
                    <xdr:col>378</xdr:col>
                    <xdr:colOff>85725</xdr:colOff>
                    <xdr:row>13</xdr:row>
                    <xdr:rowOff>76200</xdr:rowOff>
                  </from>
                  <to>
                    <xdr:col>378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</controls>
    </mc:Choice>
  </mc:AlternateContent>
  <tableParts count="1">
    <tablePart r:id="rId2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2593CA-BD8C-41B1-A809-193C3B919C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AF10:AG10 AK10:AL10 AP10:AQ10 AU10:AV10</xm:sqref>
        </x14:conditionalFormatting>
        <x14:conditionalFormatting xmlns:xm="http://schemas.microsoft.com/office/excel/2006/main">
          <x14:cfRule type="dataBar" id="{CBE2BDB8-1A7D-45CD-912E-0419F6037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T17:T150 T15</xm:sqref>
        </x14:conditionalFormatting>
        <x14:conditionalFormatting xmlns:xm="http://schemas.microsoft.com/office/excel/2006/main">
          <x14:cfRule type="dataBar" id="{D95F937C-BF13-4CE7-AA0E-A2964FE6D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AE17:AE150 AE15</xm:sqref>
        </x14:conditionalFormatting>
        <x14:conditionalFormatting xmlns:xm="http://schemas.microsoft.com/office/excel/2006/main">
          <x14:cfRule type="dataBar" id="{D98483C6-E902-4CD5-9ADB-265A05C3AA4D}">
            <x14:dataBar gradient="0" negativeBarColorSameAsPositive="1" axisPosition="none">
              <x14:cfvo type="min"/>
              <x14:cfvo type="max"/>
            </x14:dataBar>
          </x14:cfRule>
          <xm:sqref>N17:N150 N15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C000000}">
          <x14:formula1>
            <xm:f>Vstupy!$B$73:$B$122</xm:f>
          </x14:formula1>
          <xm:sqref>HQ151:HQ1048576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List7">
    <tabColor rgb="FF00B0F0"/>
  </sheetPr>
  <dimension ref="B1:W1001"/>
  <sheetViews>
    <sheetView zoomScale="70" zoomScaleNormal="70" workbookViewId="0">
      <selection activeCell="C7" sqref="C7"/>
    </sheetView>
  </sheetViews>
  <sheetFormatPr defaultRowHeight="12.75" x14ac:dyDescent="0.35"/>
  <cols>
    <col min="1" max="1" width="4.265625" customWidth="1"/>
    <col min="2" max="2" width="11.73046875" customWidth="1"/>
    <col min="3" max="3" width="42.265625" customWidth="1"/>
    <col min="4" max="4" width="11.73046875" customWidth="1"/>
    <col min="5" max="5" width="16.59765625" customWidth="1"/>
    <col min="6" max="6" width="23.1328125" customWidth="1"/>
    <col min="7" max="8" width="35.73046875" customWidth="1"/>
    <col min="9" max="9" width="10.73046875" customWidth="1"/>
    <col min="10" max="10" width="12" customWidth="1"/>
    <col min="11" max="13" width="10.73046875" customWidth="1"/>
    <col min="14" max="15" width="15.73046875" customWidth="1"/>
    <col min="16" max="17" width="10.73046875" customWidth="1"/>
    <col min="18" max="18" width="12.73046875" style="727" customWidth="1"/>
    <col min="19" max="22" width="10.73046875" customWidth="1"/>
    <col min="23" max="23" width="9.1328125" style="8"/>
  </cols>
  <sheetData>
    <row r="1" spans="2:23" ht="13.15" thickBot="1" x14ac:dyDescent="0.4"/>
    <row r="2" spans="2:23" s="1" customFormat="1" ht="28.5" customHeight="1" thickBot="1" x14ac:dyDescent="0.4">
      <c r="B2" s="541" t="s">
        <v>659</v>
      </c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728"/>
      <c r="S2" s="539"/>
      <c r="T2" s="539"/>
      <c r="U2" s="539"/>
      <c r="V2" s="540"/>
      <c r="W2" s="8"/>
    </row>
    <row r="3" spans="2:23" s="1" customFormat="1" ht="40.5" customHeight="1" x14ac:dyDescent="0.35">
      <c r="B3" s="484" t="s">
        <v>509</v>
      </c>
      <c r="C3" s="443"/>
      <c r="D3" s="159"/>
      <c r="E3" s="160"/>
      <c r="F3" s="478" t="s">
        <v>61</v>
      </c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729"/>
      <c r="S3" s="446"/>
      <c r="T3" s="446"/>
      <c r="U3" s="446"/>
      <c r="V3" s="479"/>
      <c r="W3" s="8"/>
    </row>
    <row r="4" spans="2:23" s="1" customFormat="1" ht="21" customHeight="1" thickBot="1" x14ac:dyDescent="0.4">
      <c r="B4" s="161"/>
      <c r="C4" s="486"/>
      <c r="D4" s="162"/>
      <c r="E4" s="487"/>
      <c r="F4" s="155">
        <v>1</v>
      </c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730"/>
      <c r="S4" s="448"/>
      <c r="T4" s="448"/>
      <c r="U4" s="448"/>
      <c r="V4" s="480"/>
      <c r="W4" s="8"/>
    </row>
    <row r="5" spans="2:23" ht="18" customHeight="1" thickBot="1" x14ac:dyDescent="0.4">
      <c r="B5" s="488">
        <v>1</v>
      </c>
      <c r="C5" s="475">
        <v>2</v>
      </c>
      <c r="D5" s="475">
        <v>3</v>
      </c>
      <c r="E5" s="476">
        <v>4</v>
      </c>
      <c r="F5" s="481">
        <v>5</v>
      </c>
      <c r="G5" s="482">
        <v>6</v>
      </c>
      <c r="H5" s="482">
        <v>7</v>
      </c>
      <c r="I5" s="482">
        <v>8</v>
      </c>
      <c r="J5" s="482">
        <v>9</v>
      </c>
      <c r="K5" s="482">
        <v>10</v>
      </c>
      <c r="L5" s="482">
        <v>11</v>
      </c>
      <c r="M5" s="483">
        <v>12</v>
      </c>
      <c r="N5" s="481">
        <v>13</v>
      </c>
      <c r="O5" s="482">
        <v>14</v>
      </c>
      <c r="P5" s="482">
        <v>15</v>
      </c>
      <c r="Q5" s="482">
        <v>16</v>
      </c>
      <c r="R5" s="733">
        <v>17</v>
      </c>
      <c r="S5" s="482">
        <v>18</v>
      </c>
      <c r="T5" s="482">
        <v>19</v>
      </c>
      <c r="U5" s="482">
        <v>20</v>
      </c>
      <c r="V5" s="483">
        <v>21</v>
      </c>
      <c r="W5" s="579">
        <v>22</v>
      </c>
    </row>
    <row r="6" spans="2:23" ht="65.650000000000006" x14ac:dyDescent="0.35">
      <c r="B6" s="489" t="s">
        <v>656</v>
      </c>
      <c r="C6" s="327" t="s">
        <v>657</v>
      </c>
      <c r="D6" s="326" t="s">
        <v>315</v>
      </c>
      <c r="E6" s="473" t="s">
        <v>113</v>
      </c>
      <c r="F6" s="474" t="s">
        <v>114</v>
      </c>
      <c r="G6" s="469" t="s">
        <v>115</v>
      </c>
      <c r="H6" s="469" t="s">
        <v>116</v>
      </c>
      <c r="I6" s="469" t="s">
        <v>392</v>
      </c>
      <c r="J6" s="469" t="s">
        <v>333</v>
      </c>
      <c r="K6" s="469" t="s">
        <v>379</v>
      </c>
      <c r="L6" s="469" t="s">
        <v>616</v>
      </c>
      <c r="M6" s="470" t="s">
        <v>632</v>
      </c>
      <c r="N6" s="477" t="s">
        <v>118</v>
      </c>
      <c r="O6" s="471" t="s">
        <v>119</v>
      </c>
      <c r="P6" s="471" t="s">
        <v>304</v>
      </c>
      <c r="Q6" s="471" t="s">
        <v>334</v>
      </c>
      <c r="R6" s="731" t="s">
        <v>336</v>
      </c>
      <c r="S6" s="471" t="s">
        <v>117</v>
      </c>
      <c r="T6" s="471" t="s">
        <v>380</v>
      </c>
      <c r="U6" s="471" t="s">
        <v>620</v>
      </c>
      <c r="V6" s="472" t="s">
        <v>631</v>
      </c>
      <c r="W6" s="507" t="s">
        <v>658</v>
      </c>
    </row>
    <row r="7" spans="2:23" ht="15" customHeight="1" x14ac:dyDescent="0.35">
      <c r="B7" s="490">
        <v>1</v>
      </c>
      <c r="C7" s="491"/>
      <c r="D7" s="492"/>
      <c r="E7" s="493"/>
      <c r="F7" s="494"/>
      <c r="G7" s="495"/>
      <c r="H7" s="495"/>
      <c r="I7" s="496"/>
      <c r="J7" s="497"/>
      <c r="K7" s="498"/>
      <c r="L7" s="499"/>
      <c r="M7" s="504"/>
      <c r="N7" s="500"/>
      <c r="O7" s="501"/>
      <c r="P7" s="496"/>
      <c r="Q7" s="502"/>
      <c r="R7" s="732"/>
      <c r="S7" s="499"/>
      <c r="T7" s="498"/>
      <c r="U7" s="498"/>
      <c r="V7" s="504"/>
      <c r="W7" s="508" t="str">
        <f t="shared" ref="W7:W51" si="0">"Vyplnit!"</f>
        <v>Vyplnit!</v>
      </c>
    </row>
    <row r="8" spans="2:23" ht="15" customHeight="1" x14ac:dyDescent="0.35">
      <c r="B8" s="490">
        <f>B7+1</f>
        <v>2</v>
      </c>
      <c r="C8" s="491"/>
      <c r="D8" s="492"/>
      <c r="E8" s="493"/>
      <c r="F8" s="494"/>
      <c r="G8" s="495"/>
      <c r="H8" s="495"/>
      <c r="I8" s="496"/>
      <c r="J8" s="497"/>
      <c r="K8" s="498"/>
      <c r="L8" s="499"/>
      <c r="M8" s="504"/>
      <c r="N8" s="500"/>
      <c r="O8" s="501"/>
      <c r="P8" s="496"/>
      <c r="Q8" s="502"/>
      <c r="R8" s="732"/>
      <c r="S8" s="499"/>
      <c r="T8" s="498"/>
      <c r="U8" s="498"/>
      <c r="V8" s="504"/>
      <c r="W8" s="508" t="str">
        <f t="shared" si="0"/>
        <v>Vyplnit!</v>
      </c>
    </row>
    <row r="9" spans="2:23" ht="15" customHeight="1" x14ac:dyDescent="0.35">
      <c r="B9" s="490">
        <f t="shared" ref="B9:B72" si="1">B8+1</f>
        <v>3</v>
      </c>
      <c r="C9" s="491"/>
      <c r="D9" s="492"/>
      <c r="E9" s="493"/>
      <c r="F9" s="494"/>
      <c r="G9" s="495"/>
      <c r="H9" s="495"/>
      <c r="I9" s="496"/>
      <c r="J9" s="497"/>
      <c r="K9" s="498"/>
      <c r="L9" s="499"/>
      <c r="M9" s="504"/>
      <c r="N9" s="500"/>
      <c r="O9" s="501"/>
      <c r="P9" s="496"/>
      <c r="Q9" s="502"/>
      <c r="R9" s="732"/>
      <c r="S9" s="499"/>
      <c r="T9" s="498"/>
      <c r="U9" s="498"/>
      <c r="V9" s="504"/>
      <c r="W9" s="508" t="str">
        <f t="shared" si="0"/>
        <v>Vyplnit!</v>
      </c>
    </row>
    <row r="10" spans="2:23" ht="15" customHeight="1" x14ac:dyDescent="0.35">
      <c r="B10" s="490">
        <f t="shared" si="1"/>
        <v>4</v>
      </c>
      <c r="C10" s="491"/>
      <c r="D10" s="492"/>
      <c r="E10" s="493"/>
      <c r="F10" s="494"/>
      <c r="G10" s="495"/>
      <c r="H10" s="495"/>
      <c r="I10" s="496"/>
      <c r="J10" s="497"/>
      <c r="K10" s="498"/>
      <c r="L10" s="499"/>
      <c r="M10" s="504"/>
      <c r="N10" s="500"/>
      <c r="O10" s="501"/>
      <c r="P10" s="496"/>
      <c r="Q10" s="502"/>
      <c r="R10" s="732"/>
      <c r="S10" s="499"/>
      <c r="T10" s="498"/>
      <c r="U10" s="498"/>
      <c r="V10" s="504"/>
      <c r="W10" s="508" t="str">
        <f t="shared" si="0"/>
        <v>Vyplnit!</v>
      </c>
    </row>
    <row r="11" spans="2:23" ht="15" customHeight="1" x14ac:dyDescent="0.35">
      <c r="B11" s="490">
        <f t="shared" si="1"/>
        <v>5</v>
      </c>
      <c r="C11" s="491"/>
      <c r="D11" s="492"/>
      <c r="E11" s="493"/>
      <c r="F11" s="494"/>
      <c r="G11" s="495"/>
      <c r="H11" s="495"/>
      <c r="I11" s="496"/>
      <c r="J11" s="497"/>
      <c r="K11" s="498"/>
      <c r="L11" s="499"/>
      <c r="M11" s="504"/>
      <c r="N11" s="500"/>
      <c r="O11" s="501"/>
      <c r="P11" s="496"/>
      <c r="Q11" s="502"/>
      <c r="R11" s="732"/>
      <c r="S11" s="499"/>
      <c r="T11" s="498"/>
      <c r="U11" s="498"/>
      <c r="V11" s="504"/>
      <c r="W11" s="508" t="str">
        <f t="shared" si="0"/>
        <v>Vyplnit!</v>
      </c>
    </row>
    <row r="12" spans="2:23" ht="15" customHeight="1" x14ac:dyDescent="0.35">
      <c r="B12" s="490">
        <f t="shared" si="1"/>
        <v>6</v>
      </c>
      <c r="C12" s="491"/>
      <c r="D12" s="492"/>
      <c r="E12" s="493"/>
      <c r="F12" s="494"/>
      <c r="G12" s="495"/>
      <c r="H12" s="495"/>
      <c r="I12" s="496"/>
      <c r="J12" s="497"/>
      <c r="K12" s="498"/>
      <c r="L12" s="499"/>
      <c r="M12" s="504"/>
      <c r="N12" s="500"/>
      <c r="O12" s="501"/>
      <c r="P12" s="496"/>
      <c r="Q12" s="502"/>
      <c r="R12" s="732"/>
      <c r="S12" s="499"/>
      <c r="T12" s="498"/>
      <c r="U12" s="498"/>
      <c r="V12" s="504"/>
      <c r="W12" s="508" t="str">
        <f t="shared" si="0"/>
        <v>Vyplnit!</v>
      </c>
    </row>
    <row r="13" spans="2:23" ht="15" customHeight="1" x14ac:dyDescent="0.35">
      <c r="B13" s="490">
        <f t="shared" si="1"/>
        <v>7</v>
      </c>
      <c r="C13" s="491"/>
      <c r="D13" s="492"/>
      <c r="E13" s="493"/>
      <c r="F13" s="494"/>
      <c r="G13" s="495"/>
      <c r="H13" s="495"/>
      <c r="I13" s="496"/>
      <c r="J13" s="497"/>
      <c r="K13" s="498"/>
      <c r="L13" s="499"/>
      <c r="M13" s="504"/>
      <c r="N13" s="500"/>
      <c r="O13" s="501"/>
      <c r="P13" s="496"/>
      <c r="Q13" s="502"/>
      <c r="R13" s="732"/>
      <c r="S13" s="499"/>
      <c r="T13" s="498"/>
      <c r="U13" s="498"/>
      <c r="V13" s="504"/>
      <c r="W13" s="508" t="str">
        <f t="shared" si="0"/>
        <v>Vyplnit!</v>
      </c>
    </row>
    <row r="14" spans="2:23" ht="15" customHeight="1" x14ac:dyDescent="0.35">
      <c r="B14" s="490">
        <f t="shared" si="1"/>
        <v>8</v>
      </c>
      <c r="C14" s="491"/>
      <c r="D14" s="492"/>
      <c r="E14" s="493"/>
      <c r="F14" s="494"/>
      <c r="G14" s="495"/>
      <c r="H14" s="495"/>
      <c r="I14" s="496"/>
      <c r="J14" s="497"/>
      <c r="K14" s="498"/>
      <c r="L14" s="499"/>
      <c r="M14" s="504"/>
      <c r="N14" s="500"/>
      <c r="O14" s="501"/>
      <c r="P14" s="496"/>
      <c r="Q14" s="502"/>
      <c r="R14" s="732"/>
      <c r="S14" s="499"/>
      <c r="T14" s="498"/>
      <c r="U14" s="498"/>
      <c r="V14" s="504"/>
      <c r="W14" s="508" t="str">
        <f t="shared" si="0"/>
        <v>Vyplnit!</v>
      </c>
    </row>
    <row r="15" spans="2:23" ht="15" customHeight="1" x14ac:dyDescent="0.35">
      <c r="B15" s="490">
        <f t="shared" si="1"/>
        <v>9</v>
      </c>
      <c r="C15" s="491"/>
      <c r="D15" s="492"/>
      <c r="E15" s="493"/>
      <c r="F15" s="494"/>
      <c r="G15" s="495"/>
      <c r="H15" s="495"/>
      <c r="I15" s="496"/>
      <c r="J15" s="497"/>
      <c r="K15" s="498"/>
      <c r="L15" s="499"/>
      <c r="M15" s="504"/>
      <c r="N15" s="500"/>
      <c r="O15" s="501"/>
      <c r="P15" s="496"/>
      <c r="Q15" s="502"/>
      <c r="R15" s="732"/>
      <c r="S15" s="499"/>
      <c r="T15" s="498"/>
      <c r="U15" s="498"/>
      <c r="V15" s="504"/>
      <c r="W15" s="508" t="str">
        <f t="shared" si="0"/>
        <v>Vyplnit!</v>
      </c>
    </row>
    <row r="16" spans="2:23" ht="15" customHeight="1" x14ac:dyDescent="0.35">
      <c r="B16" s="490">
        <f t="shared" si="1"/>
        <v>10</v>
      </c>
      <c r="C16" s="491"/>
      <c r="D16" s="492"/>
      <c r="E16" s="493"/>
      <c r="F16" s="494"/>
      <c r="G16" s="495"/>
      <c r="H16" s="495"/>
      <c r="I16" s="496"/>
      <c r="J16" s="497"/>
      <c r="K16" s="498"/>
      <c r="L16" s="499"/>
      <c r="M16" s="504"/>
      <c r="N16" s="500"/>
      <c r="O16" s="501"/>
      <c r="P16" s="496"/>
      <c r="Q16" s="502"/>
      <c r="R16" s="732"/>
      <c r="S16" s="499"/>
      <c r="T16" s="498"/>
      <c r="U16" s="498"/>
      <c r="V16" s="504"/>
      <c r="W16" s="508" t="str">
        <f t="shared" si="0"/>
        <v>Vyplnit!</v>
      </c>
    </row>
    <row r="17" spans="2:23" ht="15" customHeight="1" x14ac:dyDescent="0.35">
      <c r="B17" s="490">
        <f t="shared" si="1"/>
        <v>11</v>
      </c>
      <c r="C17" s="491"/>
      <c r="D17" s="492"/>
      <c r="E17" s="493"/>
      <c r="F17" s="494"/>
      <c r="G17" s="495"/>
      <c r="H17" s="495"/>
      <c r="I17" s="496"/>
      <c r="J17" s="497"/>
      <c r="K17" s="498"/>
      <c r="L17" s="499"/>
      <c r="M17" s="504"/>
      <c r="N17" s="500"/>
      <c r="O17" s="501"/>
      <c r="P17" s="496"/>
      <c r="Q17" s="502"/>
      <c r="R17" s="732"/>
      <c r="S17" s="499"/>
      <c r="T17" s="498"/>
      <c r="U17" s="498"/>
      <c r="V17" s="504"/>
      <c r="W17" s="508" t="str">
        <f t="shared" si="0"/>
        <v>Vyplnit!</v>
      </c>
    </row>
    <row r="18" spans="2:23" ht="15" customHeight="1" x14ac:dyDescent="0.35">
      <c r="B18" s="490">
        <f t="shared" si="1"/>
        <v>12</v>
      </c>
      <c r="C18" s="491"/>
      <c r="D18" s="492"/>
      <c r="E18" s="493"/>
      <c r="F18" s="494"/>
      <c r="G18" s="495"/>
      <c r="H18" s="495"/>
      <c r="I18" s="496"/>
      <c r="J18" s="497"/>
      <c r="K18" s="498"/>
      <c r="L18" s="499"/>
      <c r="M18" s="504"/>
      <c r="N18" s="500"/>
      <c r="O18" s="501"/>
      <c r="P18" s="496"/>
      <c r="Q18" s="502"/>
      <c r="R18" s="732"/>
      <c r="S18" s="499"/>
      <c r="T18" s="498"/>
      <c r="U18" s="498"/>
      <c r="V18" s="504"/>
      <c r="W18" s="508" t="str">
        <f t="shared" si="0"/>
        <v>Vyplnit!</v>
      </c>
    </row>
    <row r="19" spans="2:23" ht="15" customHeight="1" x14ac:dyDescent="0.35">
      <c r="B19" s="490">
        <f t="shared" si="1"/>
        <v>13</v>
      </c>
      <c r="C19" s="491"/>
      <c r="D19" s="492"/>
      <c r="E19" s="493"/>
      <c r="F19" s="494"/>
      <c r="G19" s="495"/>
      <c r="H19" s="495"/>
      <c r="I19" s="496"/>
      <c r="J19" s="497"/>
      <c r="K19" s="498"/>
      <c r="L19" s="499"/>
      <c r="M19" s="504"/>
      <c r="N19" s="500"/>
      <c r="O19" s="501"/>
      <c r="P19" s="496"/>
      <c r="Q19" s="502"/>
      <c r="R19" s="732"/>
      <c r="S19" s="499"/>
      <c r="T19" s="498"/>
      <c r="U19" s="498"/>
      <c r="V19" s="504"/>
      <c r="W19" s="508" t="str">
        <f t="shared" si="0"/>
        <v>Vyplnit!</v>
      </c>
    </row>
    <row r="20" spans="2:23" ht="15" customHeight="1" x14ac:dyDescent="0.35">
      <c r="B20" s="490">
        <f t="shared" si="1"/>
        <v>14</v>
      </c>
      <c r="C20" s="491"/>
      <c r="D20" s="492"/>
      <c r="E20" s="493"/>
      <c r="F20" s="494"/>
      <c r="G20" s="495"/>
      <c r="H20" s="495"/>
      <c r="I20" s="496"/>
      <c r="J20" s="497"/>
      <c r="K20" s="498"/>
      <c r="L20" s="499"/>
      <c r="M20" s="504"/>
      <c r="N20" s="500"/>
      <c r="O20" s="501"/>
      <c r="P20" s="496"/>
      <c r="Q20" s="502"/>
      <c r="R20" s="732"/>
      <c r="S20" s="499"/>
      <c r="T20" s="498"/>
      <c r="U20" s="498"/>
      <c r="V20" s="504"/>
      <c r="W20" s="508" t="str">
        <f t="shared" si="0"/>
        <v>Vyplnit!</v>
      </c>
    </row>
    <row r="21" spans="2:23" ht="15" customHeight="1" x14ac:dyDescent="0.35">
      <c r="B21" s="490">
        <f t="shared" si="1"/>
        <v>15</v>
      </c>
      <c r="C21" s="491"/>
      <c r="D21" s="492"/>
      <c r="E21" s="493"/>
      <c r="F21" s="494"/>
      <c r="G21" s="495"/>
      <c r="H21" s="495"/>
      <c r="I21" s="496"/>
      <c r="J21" s="497"/>
      <c r="K21" s="498"/>
      <c r="L21" s="499"/>
      <c r="M21" s="504"/>
      <c r="N21" s="500"/>
      <c r="O21" s="501"/>
      <c r="P21" s="496"/>
      <c r="Q21" s="502"/>
      <c r="R21" s="732"/>
      <c r="S21" s="499"/>
      <c r="T21" s="498"/>
      <c r="U21" s="498"/>
      <c r="V21" s="504"/>
      <c r="W21" s="508" t="str">
        <f t="shared" si="0"/>
        <v>Vyplnit!</v>
      </c>
    </row>
    <row r="22" spans="2:23" ht="15" customHeight="1" x14ac:dyDescent="0.35">
      <c r="B22" s="490">
        <f t="shared" si="1"/>
        <v>16</v>
      </c>
      <c r="C22" s="491"/>
      <c r="D22" s="492"/>
      <c r="E22" s="493"/>
      <c r="F22" s="494"/>
      <c r="G22" s="495"/>
      <c r="H22" s="495"/>
      <c r="I22" s="496"/>
      <c r="J22" s="497"/>
      <c r="K22" s="498"/>
      <c r="L22" s="499"/>
      <c r="M22" s="504"/>
      <c r="N22" s="500"/>
      <c r="O22" s="501"/>
      <c r="P22" s="496"/>
      <c r="Q22" s="502"/>
      <c r="R22" s="732"/>
      <c r="S22" s="499"/>
      <c r="T22" s="498"/>
      <c r="U22" s="498"/>
      <c r="V22" s="504"/>
      <c r="W22" s="508" t="str">
        <f t="shared" si="0"/>
        <v>Vyplnit!</v>
      </c>
    </row>
    <row r="23" spans="2:23" ht="15" customHeight="1" x14ac:dyDescent="0.35">
      <c r="B23" s="490">
        <f t="shared" si="1"/>
        <v>17</v>
      </c>
      <c r="C23" s="491"/>
      <c r="D23" s="492"/>
      <c r="E23" s="493"/>
      <c r="F23" s="494"/>
      <c r="G23" s="495"/>
      <c r="H23" s="495"/>
      <c r="I23" s="496"/>
      <c r="J23" s="497"/>
      <c r="K23" s="498"/>
      <c r="L23" s="499"/>
      <c r="M23" s="504"/>
      <c r="N23" s="500"/>
      <c r="O23" s="501"/>
      <c r="P23" s="496"/>
      <c r="Q23" s="502"/>
      <c r="R23" s="732"/>
      <c r="S23" s="499"/>
      <c r="T23" s="498"/>
      <c r="U23" s="498"/>
      <c r="V23" s="504"/>
      <c r="W23" s="508" t="str">
        <f t="shared" si="0"/>
        <v>Vyplnit!</v>
      </c>
    </row>
    <row r="24" spans="2:23" ht="15" customHeight="1" x14ac:dyDescent="0.35">
      <c r="B24" s="490">
        <f t="shared" si="1"/>
        <v>18</v>
      </c>
      <c r="C24" s="491"/>
      <c r="D24" s="492"/>
      <c r="E24" s="493"/>
      <c r="F24" s="494"/>
      <c r="G24" s="495"/>
      <c r="H24" s="495"/>
      <c r="I24" s="496"/>
      <c r="J24" s="497"/>
      <c r="K24" s="498"/>
      <c r="L24" s="499"/>
      <c r="M24" s="504"/>
      <c r="N24" s="500"/>
      <c r="O24" s="501"/>
      <c r="P24" s="496"/>
      <c r="Q24" s="502"/>
      <c r="R24" s="732"/>
      <c r="S24" s="499"/>
      <c r="T24" s="498"/>
      <c r="U24" s="498"/>
      <c r="V24" s="504"/>
      <c r="W24" s="508" t="str">
        <f t="shared" si="0"/>
        <v>Vyplnit!</v>
      </c>
    </row>
    <row r="25" spans="2:23" ht="15" customHeight="1" x14ac:dyDescent="0.35">
      <c r="B25" s="490">
        <f t="shared" si="1"/>
        <v>19</v>
      </c>
      <c r="C25" s="491"/>
      <c r="D25" s="492"/>
      <c r="E25" s="493"/>
      <c r="F25" s="494"/>
      <c r="G25" s="495"/>
      <c r="H25" s="495"/>
      <c r="I25" s="496"/>
      <c r="J25" s="497"/>
      <c r="K25" s="498"/>
      <c r="L25" s="499"/>
      <c r="M25" s="504"/>
      <c r="N25" s="500"/>
      <c r="O25" s="501"/>
      <c r="P25" s="496"/>
      <c r="Q25" s="502"/>
      <c r="R25" s="732"/>
      <c r="S25" s="499"/>
      <c r="T25" s="498"/>
      <c r="U25" s="498"/>
      <c r="V25" s="504"/>
      <c r="W25" s="508" t="str">
        <f t="shared" si="0"/>
        <v>Vyplnit!</v>
      </c>
    </row>
    <row r="26" spans="2:23" ht="15" customHeight="1" x14ac:dyDescent="0.35">
      <c r="B26" s="490">
        <f t="shared" si="1"/>
        <v>20</v>
      </c>
      <c r="C26" s="491"/>
      <c r="D26" s="492"/>
      <c r="E26" s="493"/>
      <c r="F26" s="494"/>
      <c r="G26" s="495"/>
      <c r="H26" s="495"/>
      <c r="I26" s="496"/>
      <c r="J26" s="497"/>
      <c r="K26" s="498"/>
      <c r="L26" s="499"/>
      <c r="M26" s="504"/>
      <c r="N26" s="500"/>
      <c r="O26" s="501"/>
      <c r="P26" s="496"/>
      <c r="Q26" s="502"/>
      <c r="R26" s="732"/>
      <c r="S26" s="499"/>
      <c r="T26" s="498"/>
      <c r="U26" s="498"/>
      <c r="V26" s="504"/>
      <c r="W26" s="508" t="str">
        <f t="shared" si="0"/>
        <v>Vyplnit!</v>
      </c>
    </row>
    <row r="27" spans="2:23" ht="15" customHeight="1" x14ac:dyDescent="0.35">
      <c r="B27" s="490">
        <f t="shared" si="1"/>
        <v>21</v>
      </c>
      <c r="C27" s="491"/>
      <c r="D27" s="492"/>
      <c r="E27" s="493"/>
      <c r="F27" s="494"/>
      <c r="G27" s="495"/>
      <c r="H27" s="495"/>
      <c r="I27" s="496"/>
      <c r="J27" s="497"/>
      <c r="K27" s="498"/>
      <c r="L27" s="499"/>
      <c r="M27" s="504"/>
      <c r="N27" s="500"/>
      <c r="O27" s="501"/>
      <c r="P27" s="496"/>
      <c r="Q27" s="502"/>
      <c r="R27" s="732"/>
      <c r="S27" s="499"/>
      <c r="T27" s="498"/>
      <c r="U27" s="498"/>
      <c r="V27" s="504"/>
      <c r="W27" s="508" t="str">
        <f t="shared" si="0"/>
        <v>Vyplnit!</v>
      </c>
    </row>
    <row r="28" spans="2:23" ht="15" customHeight="1" x14ac:dyDescent="0.35">
      <c r="B28" s="490">
        <f t="shared" si="1"/>
        <v>22</v>
      </c>
      <c r="C28" s="491"/>
      <c r="D28" s="492"/>
      <c r="E28" s="493"/>
      <c r="F28" s="494"/>
      <c r="G28" s="495"/>
      <c r="H28" s="495"/>
      <c r="I28" s="496"/>
      <c r="J28" s="497"/>
      <c r="K28" s="498"/>
      <c r="L28" s="499"/>
      <c r="M28" s="504"/>
      <c r="N28" s="500"/>
      <c r="O28" s="501"/>
      <c r="P28" s="496"/>
      <c r="Q28" s="502"/>
      <c r="R28" s="732"/>
      <c r="S28" s="499"/>
      <c r="T28" s="498"/>
      <c r="U28" s="498"/>
      <c r="V28" s="504"/>
      <c r="W28" s="508" t="str">
        <f t="shared" si="0"/>
        <v>Vyplnit!</v>
      </c>
    </row>
    <row r="29" spans="2:23" ht="15" customHeight="1" x14ac:dyDescent="0.35">
      <c r="B29" s="490">
        <f t="shared" si="1"/>
        <v>23</v>
      </c>
      <c r="C29" s="491"/>
      <c r="D29" s="492"/>
      <c r="E29" s="493"/>
      <c r="F29" s="494"/>
      <c r="G29" s="495"/>
      <c r="H29" s="495"/>
      <c r="I29" s="496"/>
      <c r="J29" s="497"/>
      <c r="K29" s="498"/>
      <c r="L29" s="499"/>
      <c r="M29" s="504"/>
      <c r="N29" s="500"/>
      <c r="O29" s="501"/>
      <c r="P29" s="496"/>
      <c r="Q29" s="502"/>
      <c r="R29" s="732"/>
      <c r="S29" s="499"/>
      <c r="T29" s="498"/>
      <c r="U29" s="498"/>
      <c r="V29" s="504"/>
      <c r="W29" s="508" t="str">
        <f t="shared" si="0"/>
        <v>Vyplnit!</v>
      </c>
    </row>
    <row r="30" spans="2:23" ht="15" customHeight="1" x14ac:dyDescent="0.35">
      <c r="B30" s="490">
        <f t="shared" si="1"/>
        <v>24</v>
      </c>
      <c r="C30" s="491"/>
      <c r="D30" s="492"/>
      <c r="E30" s="493"/>
      <c r="F30" s="494"/>
      <c r="G30" s="495"/>
      <c r="H30" s="495"/>
      <c r="I30" s="496"/>
      <c r="J30" s="497"/>
      <c r="K30" s="498"/>
      <c r="L30" s="499"/>
      <c r="M30" s="504"/>
      <c r="N30" s="500"/>
      <c r="O30" s="501"/>
      <c r="P30" s="496"/>
      <c r="Q30" s="502"/>
      <c r="R30" s="732"/>
      <c r="S30" s="499"/>
      <c r="T30" s="498"/>
      <c r="U30" s="498"/>
      <c r="V30" s="504"/>
      <c r="W30" s="508" t="str">
        <f t="shared" si="0"/>
        <v>Vyplnit!</v>
      </c>
    </row>
    <row r="31" spans="2:23" ht="15" customHeight="1" x14ac:dyDescent="0.35">
      <c r="B31" s="490">
        <f t="shared" si="1"/>
        <v>25</v>
      </c>
      <c r="C31" s="491"/>
      <c r="D31" s="492"/>
      <c r="E31" s="493"/>
      <c r="F31" s="494"/>
      <c r="G31" s="495"/>
      <c r="H31" s="495"/>
      <c r="I31" s="496"/>
      <c r="J31" s="497"/>
      <c r="K31" s="498"/>
      <c r="L31" s="499"/>
      <c r="M31" s="504"/>
      <c r="N31" s="500"/>
      <c r="O31" s="501"/>
      <c r="P31" s="496"/>
      <c r="Q31" s="502"/>
      <c r="R31" s="732"/>
      <c r="S31" s="499"/>
      <c r="T31" s="498"/>
      <c r="U31" s="498"/>
      <c r="V31" s="504"/>
      <c r="W31" s="508" t="str">
        <f t="shared" si="0"/>
        <v>Vyplnit!</v>
      </c>
    </row>
    <row r="32" spans="2:23" ht="15" customHeight="1" x14ac:dyDescent="0.35">
      <c r="B32" s="490">
        <f t="shared" si="1"/>
        <v>26</v>
      </c>
      <c r="C32" s="491"/>
      <c r="D32" s="492"/>
      <c r="E32" s="493"/>
      <c r="F32" s="494"/>
      <c r="G32" s="495"/>
      <c r="H32" s="495"/>
      <c r="I32" s="496"/>
      <c r="J32" s="497"/>
      <c r="K32" s="498"/>
      <c r="L32" s="499"/>
      <c r="M32" s="504"/>
      <c r="N32" s="500"/>
      <c r="O32" s="501"/>
      <c r="P32" s="496"/>
      <c r="Q32" s="502"/>
      <c r="R32" s="732"/>
      <c r="S32" s="499"/>
      <c r="T32" s="498"/>
      <c r="U32" s="498"/>
      <c r="V32" s="504"/>
      <c r="W32" s="508" t="str">
        <f t="shared" si="0"/>
        <v>Vyplnit!</v>
      </c>
    </row>
    <row r="33" spans="2:23" ht="15" customHeight="1" x14ac:dyDescent="0.35">
      <c r="B33" s="490">
        <f t="shared" si="1"/>
        <v>27</v>
      </c>
      <c r="C33" s="491"/>
      <c r="D33" s="492"/>
      <c r="E33" s="493"/>
      <c r="F33" s="494"/>
      <c r="G33" s="495"/>
      <c r="H33" s="495"/>
      <c r="I33" s="496"/>
      <c r="J33" s="497"/>
      <c r="K33" s="498"/>
      <c r="L33" s="499"/>
      <c r="M33" s="504"/>
      <c r="N33" s="500"/>
      <c r="O33" s="501"/>
      <c r="P33" s="496"/>
      <c r="Q33" s="502"/>
      <c r="R33" s="732"/>
      <c r="S33" s="499"/>
      <c r="T33" s="498"/>
      <c r="U33" s="498"/>
      <c r="V33" s="504"/>
      <c r="W33" s="508" t="str">
        <f t="shared" si="0"/>
        <v>Vyplnit!</v>
      </c>
    </row>
    <row r="34" spans="2:23" ht="15" customHeight="1" x14ac:dyDescent="0.35">
      <c r="B34" s="490">
        <f t="shared" si="1"/>
        <v>28</v>
      </c>
      <c r="C34" s="491"/>
      <c r="D34" s="492"/>
      <c r="E34" s="493"/>
      <c r="F34" s="494"/>
      <c r="G34" s="495"/>
      <c r="H34" s="495"/>
      <c r="I34" s="496"/>
      <c r="J34" s="497"/>
      <c r="K34" s="498"/>
      <c r="L34" s="499"/>
      <c r="M34" s="504"/>
      <c r="N34" s="500"/>
      <c r="O34" s="501"/>
      <c r="P34" s="496"/>
      <c r="Q34" s="502"/>
      <c r="R34" s="732"/>
      <c r="S34" s="499"/>
      <c r="T34" s="498"/>
      <c r="U34" s="498"/>
      <c r="V34" s="504"/>
      <c r="W34" s="508" t="str">
        <f t="shared" si="0"/>
        <v>Vyplnit!</v>
      </c>
    </row>
    <row r="35" spans="2:23" ht="15" customHeight="1" x14ac:dyDescent="0.35">
      <c r="B35" s="490">
        <f t="shared" si="1"/>
        <v>29</v>
      </c>
      <c r="C35" s="491"/>
      <c r="D35" s="492"/>
      <c r="E35" s="493"/>
      <c r="F35" s="494"/>
      <c r="G35" s="495"/>
      <c r="H35" s="495"/>
      <c r="I35" s="496"/>
      <c r="J35" s="497"/>
      <c r="K35" s="498"/>
      <c r="L35" s="499"/>
      <c r="M35" s="504"/>
      <c r="N35" s="500"/>
      <c r="O35" s="501"/>
      <c r="P35" s="496"/>
      <c r="Q35" s="502"/>
      <c r="R35" s="732"/>
      <c r="S35" s="499"/>
      <c r="T35" s="498"/>
      <c r="U35" s="498"/>
      <c r="V35" s="504"/>
      <c r="W35" s="508" t="str">
        <f t="shared" si="0"/>
        <v>Vyplnit!</v>
      </c>
    </row>
    <row r="36" spans="2:23" ht="15" customHeight="1" x14ac:dyDescent="0.35">
      <c r="B36" s="490">
        <f t="shared" si="1"/>
        <v>30</v>
      </c>
      <c r="C36" s="491"/>
      <c r="D36" s="492"/>
      <c r="E36" s="493"/>
      <c r="F36" s="494"/>
      <c r="G36" s="495"/>
      <c r="H36" s="495"/>
      <c r="I36" s="496"/>
      <c r="J36" s="497"/>
      <c r="K36" s="498"/>
      <c r="L36" s="499"/>
      <c r="M36" s="504"/>
      <c r="N36" s="500"/>
      <c r="O36" s="501"/>
      <c r="P36" s="496"/>
      <c r="Q36" s="502"/>
      <c r="R36" s="732"/>
      <c r="S36" s="499"/>
      <c r="T36" s="498"/>
      <c r="U36" s="498"/>
      <c r="V36" s="504"/>
      <c r="W36" s="508" t="str">
        <f t="shared" si="0"/>
        <v>Vyplnit!</v>
      </c>
    </row>
    <row r="37" spans="2:23" ht="15" customHeight="1" x14ac:dyDescent="0.35">
      <c r="B37" s="490">
        <f t="shared" si="1"/>
        <v>31</v>
      </c>
      <c r="C37" s="491"/>
      <c r="D37" s="492"/>
      <c r="E37" s="493"/>
      <c r="F37" s="494"/>
      <c r="G37" s="495"/>
      <c r="H37" s="495"/>
      <c r="I37" s="496"/>
      <c r="J37" s="497"/>
      <c r="K37" s="498"/>
      <c r="L37" s="499"/>
      <c r="M37" s="504"/>
      <c r="N37" s="500"/>
      <c r="O37" s="501"/>
      <c r="P37" s="496"/>
      <c r="Q37" s="502"/>
      <c r="R37" s="732"/>
      <c r="S37" s="499"/>
      <c r="T37" s="498"/>
      <c r="U37" s="498"/>
      <c r="V37" s="504"/>
      <c r="W37" s="508" t="str">
        <f t="shared" si="0"/>
        <v>Vyplnit!</v>
      </c>
    </row>
    <row r="38" spans="2:23" ht="15" customHeight="1" x14ac:dyDescent="0.35">
      <c r="B38" s="490">
        <f t="shared" si="1"/>
        <v>32</v>
      </c>
      <c r="C38" s="491"/>
      <c r="D38" s="492"/>
      <c r="E38" s="493"/>
      <c r="F38" s="494"/>
      <c r="G38" s="495"/>
      <c r="H38" s="495"/>
      <c r="I38" s="496"/>
      <c r="J38" s="497"/>
      <c r="K38" s="498"/>
      <c r="L38" s="499"/>
      <c r="M38" s="504"/>
      <c r="N38" s="500"/>
      <c r="O38" s="501"/>
      <c r="P38" s="496"/>
      <c r="Q38" s="502"/>
      <c r="R38" s="732"/>
      <c r="S38" s="499"/>
      <c r="T38" s="498"/>
      <c r="U38" s="498"/>
      <c r="V38" s="504"/>
      <c r="W38" s="508" t="str">
        <f t="shared" si="0"/>
        <v>Vyplnit!</v>
      </c>
    </row>
    <row r="39" spans="2:23" ht="15" customHeight="1" x14ac:dyDescent="0.35">
      <c r="B39" s="490">
        <f t="shared" si="1"/>
        <v>33</v>
      </c>
      <c r="C39" s="491"/>
      <c r="D39" s="492"/>
      <c r="E39" s="493"/>
      <c r="F39" s="494"/>
      <c r="G39" s="495"/>
      <c r="H39" s="495"/>
      <c r="I39" s="496"/>
      <c r="J39" s="497"/>
      <c r="K39" s="498"/>
      <c r="L39" s="499"/>
      <c r="M39" s="504"/>
      <c r="N39" s="500"/>
      <c r="O39" s="501"/>
      <c r="P39" s="496"/>
      <c r="Q39" s="502"/>
      <c r="R39" s="732"/>
      <c r="S39" s="499"/>
      <c r="T39" s="498"/>
      <c r="U39" s="498"/>
      <c r="V39" s="504"/>
      <c r="W39" s="508" t="str">
        <f t="shared" si="0"/>
        <v>Vyplnit!</v>
      </c>
    </row>
    <row r="40" spans="2:23" ht="15" customHeight="1" x14ac:dyDescent="0.35">
      <c r="B40" s="490">
        <f t="shared" si="1"/>
        <v>34</v>
      </c>
      <c r="C40" s="491"/>
      <c r="D40" s="492"/>
      <c r="E40" s="493"/>
      <c r="F40" s="494"/>
      <c r="G40" s="495"/>
      <c r="H40" s="495"/>
      <c r="I40" s="496"/>
      <c r="J40" s="497"/>
      <c r="K40" s="498"/>
      <c r="L40" s="499"/>
      <c r="M40" s="504"/>
      <c r="N40" s="500"/>
      <c r="O40" s="501"/>
      <c r="P40" s="496"/>
      <c r="Q40" s="502"/>
      <c r="R40" s="732"/>
      <c r="S40" s="499"/>
      <c r="T40" s="498"/>
      <c r="U40" s="498"/>
      <c r="V40" s="504"/>
      <c r="W40" s="508" t="str">
        <f t="shared" si="0"/>
        <v>Vyplnit!</v>
      </c>
    </row>
    <row r="41" spans="2:23" ht="15" customHeight="1" x14ac:dyDescent="0.35">
      <c r="B41" s="490">
        <f t="shared" si="1"/>
        <v>35</v>
      </c>
      <c r="C41" s="491"/>
      <c r="D41" s="492"/>
      <c r="E41" s="493"/>
      <c r="F41" s="494"/>
      <c r="G41" s="495"/>
      <c r="H41" s="495"/>
      <c r="I41" s="496"/>
      <c r="J41" s="497"/>
      <c r="K41" s="498"/>
      <c r="L41" s="499"/>
      <c r="M41" s="504"/>
      <c r="N41" s="500"/>
      <c r="O41" s="501"/>
      <c r="P41" s="496"/>
      <c r="Q41" s="502"/>
      <c r="R41" s="732"/>
      <c r="S41" s="499"/>
      <c r="T41" s="498"/>
      <c r="U41" s="498"/>
      <c r="V41" s="504"/>
      <c r="W41" s="508" t="str">
        <f t="shared" si="0"/>
        <v>Vyplnit!</v>
      </c>
    </row>
    <row r="42" spans="2:23" ht="15" customHeight="1" x14ac:dyDescent="0.35">
      <c r="B42" s="490">
        <f t="shared" si="1"/>
        <v>36</v>
      </c>
      <c r="C42" s="491"/>
      <c r="D42" s="492"/>
      <c r="E42" s="493"/>
      <c r="F42" s="494"/>
      <c r="G42" s="495"/>
      <c r="H42" s="495"/>
      <c r="I42" s="496"/>
      <c r="J42" s="497"/>
      <c r="K42" s="498"/>
      <c r="L42" s="499"/>
      <c r="M42" s="504"/>
      <c r="N42" s="500"/>
      <c r="O42" s="501"/>
      <c r="P42" s="496"/>
      <c r="Q42" s="502"/>
      <c r="R42" s="732"/>
      <c r="S42" s="499"/>
      <c r="T42" s="498"/>
      <c r="U42" s="498"/>
      <c r="V42" s="504"/>
      <c r="W42" s="508" t="str">
        <f t="shared" si="0"/>
        <v>Vyplnit!</v>
      </c>
    </row>
    <row r="43" spans="2:23" ht="15" customHeight="1" x14ac:dyDescent="0.35">
      <c r="B43" s="490">
        <f t="shared" si="1"/>
        <v>37</v>
      </c>
      <c r="C43" s="491"/>
      <c r="D43" s="492"/>
      <c r="E43" s="493"/>
      <c r="F43" s="494"/>
      <c r="G43" s="495"/>
      <c r="H43" s="495"/>
      <c r="I43" s="496"/>
      <c r="J43" s="497"/>
      <c r="K43" s="498"/>
      <c r="L43" s="499"/>
      <c r="M43" s="504"/>
      <c r="N43" s="500"/>
      <c r="O43" s="501"/>
      <c r="P43" s="496"/>
      <c r="Q43" s="502"/>
      <c r="R43" s="732"/>
      <c r="S43" s="499"/>
      <c r="T43" s="498"/>
      <c r="U43" s="498"/>
      <c r="V43" s="504"/>
      <c r="W43" s="508" t="str">
        <f t="shared" si="0"/>
        <v>Vyplnit!</v>
      </c>
    </row>
    <row r="44" spans="2:23" ht="15" customHeight="1" x14ac:dyDescent="0.35">
      <c r="B44" s="490">
        <f t="shared" si="1"/>
        <v>38</v>
      </c>
      <c r="C44" s="491"/>
      <c r="D44" s="492"/>
      <c r="E44" s="493"/>
      <c r="F44" s="494"/>
      <c r="G44" s="495"/>
      <c r="H44" s="495"/>
      <c r="I44" s="496"/>
      <c r="J44" s="497"/>
      <c r="K44" s="498"/>
      <c r="L44" s="499"/>
      <c r="M44" s="504"/>
      <c r="N44" s="500"/>
      <c r="O44" s="501"/>
      <c r="P44" s="496"/>
      <c r="Q44" s="502"/>
      <c r="R44" s="732"/>
      <c r="S44" s="499"/>
      <c r="T44" s="498"/>
      <c r="U44" s="498"/>
      <c r="V44" s="504"/>
      <c r="W44" s="508" t="str">
        <f t="shared" si="0"/>
        <v>Vyplnit!</v>
      </c>
    </row>
    <row r="45" spans="2:23" ht="15" customHeight="1" x14ac:dyDescent="0.35">
      <c r="B45" s="490">
        <f t="shared" si="1"/>
        <v>39</v>
      </c>
      <c r="C45" s="491"/>
      <c r="D45" s="492"/>
      <c r="E45" s="493"/>
      <c r="F45" s="494"/>
      <c r="G45" s="495"/>
      <c r="H45" s="495"/>
      <c r="I45" s="496"/>
      <c r="J45" s="497"/>
      <c r="K45" s="498"/>
      <c r="L45" s="499"/>
      <c r="M45" s="504"/>
      <c r="N45" s="500"/>
      <c r="O45" s="501"/>
      <c r="P45" s="496"/>
      <c r="Q45" s="502"/>
      <c r="R45" s="732"/>
      <c r="S45" s="499"/>
      <c r="T45" s="498"/>
      <c r="U45" s="498"/>
      <c r="V45" s="504"/>
      <c r="W45" s="508" t="str">
        <f t="shared" si="0"/>
        <v>Vyplnit!</v>
      </c>
    </row>
    <row r="46" spans="2:23" ht="15" customHeight="1" x14ac:dyDescent="0.35">
      <c r="B46" s="490">
        <f t="shared" si="1"/>
        <v>40</v>
      </c>
      <c r="C46" s="491"/>
      <c r="D46" s="492"/>
      <c r="E46" s="493"/>
      <c r="F46" s="494"/>
      <c r="G46" s="495"/>
      <c r="H46" s="495"/>
      <c r="I46" s="496"/>
      <c r="J46" s="497"/>
      <c r="K46" s="498"/>
      <c r="L46" s="499"/>
      <c r="M46" s="504"/>
      <c r="N46" s="500"/>
      <c r="O46" s="501"/>
      <c r="P46" s="496"/>
      <c r="Q46" s="502"/>
      <c r="R46" s="732"/>
      <c r="S46" s="499"/>
      <c r="T46" s="498"/>
      <c r="U46" s="498"/>
      <c r="V46" s="504"/>
      <c r="W46" s="508" t="str">
        <f t="shared" si="0"/>
        <v>Vyplnit!</v>
      </c>
    </row>
    <row r="47" spans="2:23" ht="15" customHeight="1" x14ac:dyDescent="0.35">
      <c r="B47" s="490">
        <f t="shared" si="1"/>
        <v>41</v>
      </c>
      <c r="C47" s="491"/>
      <c r="D47" s="492"/>
      <c r="E47" s="493"/>
      <c r="F47" s="494"/>
      <c r="G47" s="495"/>
      <c r="H47" s="495"/>
      <c r="I47" s="496"/>
      <c r="J47" s="497"/>
      <c r="K47" s="498"/>
      <c r="L47" s="499"/>
      <c r="M47" s="504"/>
      <c r="N47" s="500"/>
      <c r="O47" s="501"/>
      <c r="P47" s="496"/>
      <c r="Q47" s="502"/>
      <c r="R47" s="732"/>
      <c r="S47" s="499"/>
      <c r="T47" s="498"/>
      <c r="U47" s="498"/>
      <c r="V47" s="504"/>
      <c r="W47" s="508" t="str">
        <f t="shared" si="0"/>
        <v>Vyplnit!</v>
      </c>
    </row>
    <row r="48" spans="2:23" ht="15" customHeight="1" x14ac:dyDescent="0.35">
      <c r="B48" s="490">
        <f t="shared" si="1"/>
        <v>42</v>
      </c>
      <c r="C48" s="491"/>
      <c r="D48" s="492"/>
      <c r="E48" s="493"/>
      <c r="F48" s="494"/>
      <c r="G48" s="495"/>
      <c r="H48" s="495"/>
      <c r="I48" s="496"/>
      <c r="J48" s="497"/>
      <c r="K48" s="498"/>
      <c r="L48" s="499"/>
      <c r="M48" s="504"/>
      <c r="N48" s="500"/>
      <c r="O48" s="501"/>
      <c r="P48" s="496"/>
      <c r="Q48" s="502"/>
      <c r="R48" s="732"/>
      <c r="S48" s="499"/>
      <c r="T48" s="498"/>
      <c r="U48" s="498"/>
      <c r="V48" s="504"/>
      <c r="W48" s="508" t="str">
        <f t="shared" si="0"/>
        <v>Vyplnit!</v>
      </c>
    </row>
    <row r="49" spans="2:23" ht="15" customHeight="1" x14ac:dyDescent="0.35">
      <c r="B49" s="490">
        <f t="shared" si="1"/>
        <v>43</v>
      </c>
      <c r="C49" s="491"/>
      <c r="D49" s="492"/>
      <c r="E49" s="493"/>
      <c r="F49" s="494"/>
      <c r="G49" s="495"/>
      <c r="H49" s="495"/>
      <c r="I49" s="496"/>
      <c r="J49" s="497"/>
      <c r="K49" s="498"/>
      <c r="L49" s="499"/>
      <c r="M49" s="504"/>
      <c r="N49" s="500"/>
      <c r="O49" s="501"/>
      <c r="P49" s="496"/>
      <c r="Q49" s="502"/>
      <c r="R49" s="732"/>
      <c r="S49" s="499"/>
      <c r="T49" s="498"/>
      <c r="U49" s="498"/>
      <c r="V49" s="504"/>
      <c r="W49" s="508" t="str">
        <f t="shared" si="0"/>
        <v>Vyplnit!</v>
      </c>
    </row>
    <row r="50" spans="2:23" ht="15" customHeight="1" x14ac:dyDescent="0.35">
      <c r="B50" s="490">
        <f t="shared" si="1"/>
        <v>44</v>
      </c>
      <c r="C50" s="491"/>
      <c r="D50" s="492"/>
      <c r="E50" s="493"/>
      <c r="F50" s="494"/>
      <c r="G50" s="495"/>
      <c r="H50" s="495"/>
      <c r="I50" s="496"/>
      <c r="J50" s="497"/>
      <c r="K50" s="498"/>
      <c r="L50" s="499"/>
      <c r="M50" s="504"/>
      <c r="N50" s="500"/>
      <c r="O50" s="501"/>
      <c r="P50" s="496"/>
      <c r="Q50" s="502"/>
      <c r="R50" s="732"/>
      <c r="S50" s="499"/>
      <c r="T50" s="498"/>
      <c r="U50" s="498"/>
      <c r="V50" s="504"/>
      <c r="W50" s="508" t="str">
        <f t="shared" si="0"/>
        <v>Vyplnit!</v>
      </c>
    </row>
    <row r="51" spans="2:23" ht="15" customHeight="1" x14ac:dyDescent="0.35">
      <c r="B51" s="490">
        <f t="shared" si="1"/>
        <v>45</v>
      </c>
      <c r="C51" s="491"/>
      <c r="D51" s="492"/>
      <c r="E51" s="493"/>
      <c r="F51" s="494"/>
      <c r="G51" s="495"/>
      <c r="H51" s="495"/>
      <c r="I51" s="496"/>
      <c r="J51" s="497"/>
      <c r="K51" s="498"/>
      <c r="L51" s="499"/>
      <c r="M51" s="504"/>
      <c r="N51" s="500"/>
      <c r="O51" s="501"/>
      <c r="P51" s="496"/>
      <c r="Q51" s="502"/>
      <c r="R51" s="732"/>
      <c r="S51" s="499"/>
      <c r="T51" s="498"/>
      <c r="U51" s="498"/>
      <c r="V51" s="504"/>
      <c r="W51" s="508" t="str">
        <f t="shared" si="0"/>
        <v>Vyplnit!</v>
      </c>
    </row>
    <row r="52" spans="2:23" ht="15" customHeight="1" x14ac:dyDescent="0.35">
      <c r="B52" s="490">
        <f t="shared" si="1"/>
        <v>46</v>
      </c>
      <c r="C52" s="491"/>
      <c r="D52" s="492"/>
      <c r="E52" s="493"/>
      <c r="F52" s="494"/>
      <c r="G52" s="495"/>
      <c r="H52" s="495"/>
      <c r="I52" s="496"/>
      <c r="J52" s="497"/>
      <c r="K52" s="498"/>
      <c r="L52" s="499"/>
      <c r="M52" s="504"/>
      <c r="N52" s="500"/>
      <c r="O52" s="501"/>
      <c r="P52" s="496"/>
      <c r="Q52" s="502"/>
      <c r="R52" s="732"/>
      <c r="S52" s="499"/>
      <c r="T52" s="498"/>
      <c r="U52" s="498"/>
      <c r="V52" s="504"/>
      <c r="W52" s="508" t="str">
        <f t="shared" ref="W52:W83" si="2">"Vyplnit!"</f>
        <v>Vyplnit!</v>
      </c>
    </row>
    <row r="53" spans="2:23" ht="15" customHeight="1" x14ac:dyDescent="0.35">
      <c r="B53" s="490">
        <f t="shared" si="1"/>
        <v>47</v>
      </c>
      <c r="C53" s="491"/>
      <c r="D53" s="492"/>
      <c r="E53" s="493"/>
      <c r="F53" s="494"/>
      <c r="G53" s="495"/>
      <c r="H53" s="495"/>
      <c r="I53" s="496"/>
      <c r="J53" s="497"/>
      <c r="K53" s="498"/>
      <c r="L53" s="499"/>
      <c r="M53" s="504"/>
      <c r="N53" s="500"/>
      <c r="O53" s="501"/>
      <c r="P53" s="496"/>
      <c r="Q53" s="502"/>
      <c r="R53" s="732"/>
      <c r="S53" s="499"/>
      <c r="T53" s="498"/>
      <c r="U53" s="498"/>
      <c r="V53" s="504"/>
      <c r="W53" s="508" t="str">
        <f t="shared" si="2"/>
        <v>Vyplnit!</v>
      </c>
    </row>
    <row r="54" spans="2:23" ht="15" customHeight="1" x14ac:dyDescent="0.35">
      <c r="B54" s="490">
        <f t="shared" si="1"/>
        <v>48</v>
      </c>
      <c r="C54" s="491"/>
      <c r="D54" s="492"/>
      <c r="E54" s="493"/>
      <c r="F54" s="494"/>
      <c r="G54" s="495"/>
      <c r="H54" s="495"/>
      <c r="I54" s="496"/>
      <c r="J54" s="497"/>
      <c r="K54" s="498"/>
      <c r="L54" s="499"/>
      <c r="M54" s="504"/>
      <c r="N54" s="500"/>
      <c r="O54" s="501"/>
      <c r="P54" s="496"/>
      <c r="Q54" s="502"/>
      <c r="R54" s="732"/>
      <c r="S54" s="499"/>
      <c r="T54" s="498"/>
      <c r="U54" s="498"/>
      <c r="V54" s="504"/>
      <c r="W54" s="508" t="str">
        <f t="shared" si="2"/>
        <v>Vyplnit!</v>
      </c>
    </row>
    <row r="55" spans="2:23" ht="15" customHeight="1" x14ac:dyDescent="0.35">
      <c r="B55" s="490">
        <f t="shared" si="1"/>
        <v>49</v>
      </c>
      <c r="C55" s="491"/>
      <c r="D55" s="492"/>
      <c r="E55" s="493"/>
      <c r="F55" s="494"/>
      <c r="G55" s="495"/>
      <c r="H55" s="495"/>
      <c r="I55" s="496"/>
      <c r="J55" s="497"/>
      <c r="K55" s="498"/>
      <c r="L55" s="499"/>
      <c r="M55" s="504"/>
      <c r="N55" s="500"/>
      <c r="O55" s="501"/>
      <c r="P55" s="496"/>
      <c r="Q55" s="502"/>
      <c r="R55" s="732"/>
      <c r="S55" s="499"/>
      <c r="T55" s="498"/>
      <c r="U55" s="498"/>
      <c r="V55" s="504"/>
      <c r="W55" s="508" t="str">
        <f t="shared" si="2"/>
        <v>Vyplnit!</v>
      </c>
    </row>
    <row r="56" spans="2:23" ht="15" customHeight="1" x14ac:dyDescent="0.35">
      <c r="B56" s="490">
        <f t="shared" si="1"/>
        <v>50</v>
      </c>
      <c r="C56" s="491"/>
      <c r="D56" s="492"/>
      <c r="E56" s="493"/>
      <c r="F56" s="494"/>
      <c r="G56" s="495"/>
      <c r="H56" s="495"/>
      <c r="I56" s="496"/>
      <c r="J56" s="497"/>
      <c r="K56" s="498"/>
      <c r="L56" s="499"/>
      <c r="M56" s="504"/>
      <c r="N56" s="500"/>
      <c r="O56" s="501"/>
      <c r="P56" s="496"/>
      <c r="Q56" s="502"/>
      <c r="R56" s="732"/>
      <c r="S56" s="499"/>
      <c r="T56" s="498"/>
      <c r="U56" s="498"/>
      <c r="V56" s="504"/>
      <c r="W56" s="508" t="str">
        <f t="shared" si="2"/>
        <v>Vyplnit!</v>
      </c>
    </row>
    <row r="57" spans="2:23" ht="15" customHeight="1" x14ac:dyDescent="0.35">
      <c r="B57" s="490">
        <f t="shared" si="1"/>
        <v>51</v>
      </c>
      <c r="C57" s="491"/>
      <c r="D57" s="492"/>
      <c r="E57" s="493"/>
      <c r="F57" s="494"/>
      <c r="G57" s="495"/>
      <c r="H57" s="495"/>
      <c r="I57" s="496"/>
      <c r="J57" s="497"/>
      <c r="K57" s="498"/>
      <c r="L57" s="499"/>
      <c r="M57" s="504"/>
      <c r="N57" s="500"/>
      <c r="O57" s="501"/>
      <c r="P57" s="496"/>
      <c r="Q57" s="502"/>
      <c r="R57" s="732"/>
      <c r="S57" s="499"/>
      <c r="T57" s="498"/>
      <c r="U57" s="498"/>
      <c r="V57" s="504"/>
      <c r="W57" s="508" t="str">
        <f t="shared" si="2"/>
        <v>Vyplnit!</v>
      </c>
    </row>
    <row r="58" spans="2:23" ht="15" customHeight="1" x14ac:dyDescent="0.35">
      <c r="B58" s="490">
        <f t="shared" si="1"/>
        <v>52</v>
      </c>
      <c r="C58" s="491"/>
      <c r="D58" s="492"/>
      <c r="E58" s="493"/>
      <c r="F58" s="494"/>
      <c r="G58" s="495"/>
      <c r="H58" s="495"/>
      <c r="I58" s="496"/>
      <c r="J58" s="497"/>
      <c r="K58" s="498"/>
      <c r="L58" s="499"/>
      <c r="M58" s="504"/>
      <c r="N58" s="500"/>
      <c r="O58" s="501"/>
      <c r="P58" s="496"/>
      <c r="Q58" s="502"/>
      <c r="R58" s="732"/>
      <c r="S58" s="499"/>
      <c r="T58" s="498"/>
      <c r="U58" s="498"/>
      <c r="V58" s="504"/>
      <c r="W58" s="508" t="str">
        <f t="shared" si="2"/>
        <v>Vyplnit!</v>
      </c>
    </row>
    <row r="59" spans="2:23" ht="15" customHeight="1" x14ac:dyDescent="0.35">
      <c r="B59" s="490">
        <f t="shared" si="1"/>
        <v>53</v>
      </c>
      <c r="C59" s="491"/>
      <c r="D59" s="492"/>
      <c r="E59" s="493"/>
      <c r="F59" s="494"/>
      <c r="G59" s="495"/>
      <c r="H59" s="495"/>
      <c r="I59" s="496"/>
      <c r="J59" s="497"/>
      <c r="K59" s="498"/>
      <c r="L59" s="499"/>
      <c r="M59" s="504"/>
      <c r="N59" s="500"/>
      <c r="O59" s="501"/>
      <c r="P59" s="496"/>
      <c r="Q59" s="502"/>
      <c r="R59" s="732"/>
      <c r="S59" s="499"/>
      <c r="T59" s="498"/>
      <c r="U59" s="498"/>
      <c r="V59" s="504"/>
      <c r="W59" s="508" t="str">
        <f t="shared" si="2"/>
        <v>Vyplnit!</v>
      </c>
    </row>
    <row r="60" spans="2:23" ht="15" customHeight="1" x14ac:dyDescent="0.35">
      <c r="B60" s="490">
        <f t="shared" si="1"/>
        <v>54</v>
      </c>
      <c r="C60" s="491"/>
      <c r="D60" s="492"/>
      <c r="E60" s="493"/>
      <c r="F60" s="494"/>
      <c r="G60" s="495"/>
      <c r="H60" s="495"/>
      <c r="I60" s="496"/>
      <c r="J60" s="497"/>
      <c r="K60" s="498"/>
      <c r="L60" s="499"/>
      <c r="M60" s="504"/>
      <c r="N60" s="500"/>
      <c r="O60" s="501"/>
      <c r="P60" s="496"/>
      <c r="Q60" s="502"/>
      <c r="R60" s="732"/>
      <c r="S60" s="499"/>
      <c r="T60" s="498"/>
      <c r="U60" s="498"/>
      <c r="V60" s="504"/>
      <c r="W60" s="508" t="str">
        <f t="shared" si="2"/>
        <v>Vyplnit!</v>
      </c>
    </row>
    <row r="61" spans="2:23" ht="15" customHeight="1" x14ac:dyDescent="0.35">
      <c r="B61" s="490">
        <f t="shared" si="1"/>
        <v>55</v>
      </c>
      <c r="C61" s="491"/>
      <c r="D61" s="492"/>
      <c r="E61" s="493"/>
      <c r="F61" s="494"/>
      <c r="G61" s="495"/>
      <c r="H61" s="495"/>
      <c r="I61" s="496"/>
      <c r="J61" s="497"/>
      <c r="K61" s="498"/>
      <c r="L61" s="499"/>
      <c r="M61" s="504"/>
      <c r="N61" s="500"/>
      <c r="O61" s="501"/>
      <c r="P61" s="496"/>
      <c r="Q61" s="502"/>
      <c r="R61" s="732"/>
      <c r="S61" s="499"/>
      <c r="T61" s="498"/>
      <c r="U61" s="498"/>
      <c r="V61" s="504"/>
      <c r="W61" s="508" t="str">
        <f t="shared" si="2"/>
        <v>Vyplnit!</v>
      </c>
    </row>
    <row r="62" spans="2:23" ht="15" customHeight="1" x14ac:dyDescent="0.35">
      <c r="B62" s="490">
        <f t="shared" si="1"/>
        <v>56</v>
      </c>
      <c r="C62" s="491"/>
      <c r="D62" s="492"/>
      <c r="E62" s="493"/>
      <c r="F62" s="494"/>
      <c r="G62" s="495"/>
      <c r="H62" s="495"/>
      <c r="I62" s="496"/>
      <c r="J62" s="497"/>
      <c r="K62" s="498"/>
      <c r="L62" s="499"/>
      <c r="M62" s="504"/>
      <c r="N62" s="500"/>
      <c r="O62" s="501"/>
      <c r="P62" s="496"/>
      <c r="Q62" s="502"/>
      <c r="R62" s="732"/>
      <c r="S62" s="499"/>
      <c r="T62" s="498"/>
      <c r="U62" s="498"/>
      <c r="V62" s="504"/>
      <c r="W62" s="508" t="str">
        <f t="shared" si="2"/>
        <v>Vyplnit!</v>
      </c>
    </row>
    <row r="63" spans="2:23" ht="15" customHeight="1" x14ac:dyDescent="0.35">
      <c r="B63" s="490">
        <f t="shared" si="1"/>
        <v>57</v>
      </c>
      <c r="C63" s="491"/>
      <c r="D63" s="492"/>
      <c r="E63" s="493"/>
      <c r="F63" s="494"/>
      <c r="G63" s="495"/>
      <c r="H63" s="495"/>
      <c r="I63" s="496"/>
      <c r="J63" s="497"/>
      <c r="K63" s="498"/>
      <c r="L63" s="499"/>
      <c r="M63" s="504"/>
      <c r="N63" s="500"/>
      <c r="O63" s="501"/>
      <c r="P63" s="496"/>
      <c r="Q63" s="502"/>
      <c r="R63" s="732"/>
      <c r="S63" s="499"/>
      <c r="T63" s="498"/>
      <c r="U63" s="498"/>
      <c r="V63" s="504"/>
      <c r="W63" s="508" t="str">
        <f t="shared" si="2"/>
        <v>Vyplnit!</v>
      </c>
    </row>
    <row r="64" spans="2:23" ht="15" customHeight="1" x14ac:dyDescent="0.35">
      <c r="B64" s="490">
        <f t="shared" si="1"/>
        <v>58</v>
      </c>
      <c r="C64" s="491"/>
      <c r="D64" s="492"/>
      <c r="E64" s="493"/>
      <c r="F64" s="494"/>
      <c r="G64" s="495"/>
      <c r="H64" s="495"/>
      <c r="I64" s="496"/>
      <c r="J64" s="497"/>
      <c r="K64" s="498"/>
      <c r="L64" s="499"/>
      <c r="M64" s="504"/>
      <c r="N64" s="500"/>
      <c r="O64" s="501"/>
      <c r="P64" s="496"/>
      <c r="Q64" s="502"/>
      <c r="R64" s="732"/>
      <c r="S64" s="499"/>
      <c r="T64" s="498"/>
      <c r="U64" s="498"/>
      <c r="V64" s="504"/>
      <c r="W64" s="508" t="str">
        <f t="shared" si="2"/>
        <v>Vyplnit!</v>
      </c>
    </row>
    <row r="65" spans="2:23" ht="15" customHeight="1" x14ac:dyDescent="0.35">
      <c r="B65" s="490">
        <f t="shared" si="1"/>
        <v>59</v>
      </c>
      <c r="C65" s="491"/>
      <c r="D65" s="492"/>
      <c r="E65" s="493"/>
      <c r="F65" s="494"/>
      <c r="G65" s="495"/>
      <c r="H65" s="495"/>
      <c r="I65" s="496"/>
      <c r="J65" s="497"/>
      <c r="K65" s="498"/>
      <c r="L65" s="499"/>
      <c r="M65" s="504"/>
      <c r="N65" s="500"/>
      <c r="O65" s="501"/>
      <c r="P65" s="496"/>
      <c r="Q65" s="502"/>
      <c r="R65" s="732"/>
      <c r="S65" s="499"/>
      <c r="T65" s="498"/>
      <c r="U65" s="498"/>
      <c r="V65" s="504"/>
      <c r="W65" s="508" t="str">
        <f t="shared" si="2"/>
        <v>Vyplnit!</v>
      </c>
    </row>
    <row r="66" spans="2:23" ht="15" customHeight="1" x14ac:dyDescent="0.35">
      <c r="B66" s="490">
        <f t="shared" si="1"/>
        <v>60</v>
      </c>
      <c r="C66" s="491"/>
      <c r="D66" s="492"/>
      <c r="E66" s="493"/>
      <c r="F66" s="494"/>
      <c r="G66" s="495"/>
      <c r="H66" s="495"/>
      <c r="I66" s="496"/>
      <c r="J66" s="497"/>
      <c r="K66" s="498"/>
      <c r="L66" s="499"/>
      <c r="M66" s="504"/>
      <c r="N66" s="500"/>
      <c r="O66" s="501"/>
      <c r="P66" s="496"/>
      <c r="Q66" s="502"/>
      <c r="R66" s="732"/>
      <c r="S66" s="499"/>
      <c r="T66" s="498"/>
      <c r="U66" s="498"/>
      <c r="V66" s="504"/>
      <c r="W66" s="508" t="str">
        <f t="shared" si="2"/>
        <v>Vyplnit!</v>
      </c>
    </row>
    <row r="67" spans="2:23" ht="15" customHeight="1" x14ac:dyDescent="0.35">
      <c r="B67" s="490">
        <f t="shared" si="1"/>
        <v>61</v>
      </c>
      <c r="C67" s="491"/>
      <c r="D67" s="492"/>
      <c r="E67" s="493"/>
      <c r="F67" s="494"/>
      <c r="G67" s="495"/>
      <c r="H67" s="495"/>
      <c r="I67" s="496"/>
      <c r="J67" s="497"/>
      <c r="K67" s="498"/>
      <c r="L67" s="499"/>
      <c r="M67" s="504"/>
      <c r="N67" s="500"/>
      <c r="O67" s="501"/>
      <c r="P67" s="496"/>
      <c r="Q67" s="502"/>
      <c r="R67" s="732"/>
      <c r="S67" s="499"/>
      <c r="T67" s="498"/>
      <c r="U67" s="498"/>
      <c r="V67" s="504"/>
      <c r="W67" s="508" t="str">
        <f t="shared" si="2"/>
        <v>Vyplnit!</v>
      </c>
    </row>
    <row r="68" spans="2:23" ht="15" customHeight="1" x14ac:dyDescent="0.35">
      <c r="B68" s="490">
        <f t="shared" si="1"/>
        <v>62</v>
      </c>
      <c r="C68" s="491"/>
      <c r="D68" s="492"/>
      <c r="E68" s="493"/>
      <c r="F68" s="494"/>
      <c r="G68" s="495"/>
      <c r="H68" s="495"/>
      <c r="I68" s="496"/>
      <c r="J68" s="497"/>
      <c r="K68" s="498"/>
      <c r="L68" s="499"/>
      <c r="M68" s="504"/>
      <c r="N68" s="500"/>
      <c r="O68" s="501"/>
      <c r="P68" s="496"/>
      <c r="Q68" s="502"/>
      <c r="R68" s="732"/>
      <c r="S68" s="499"/>
      <c r="T68" s="498"/>
      <c r="U68" s="498"/>
      <c r="V68" s="504"/>
      <c r="W68" s="508" t="str">
        <f t="shared" si="2"/>
        <v>Vyplnit!</v>
      </c>
    </row>
    <row r="69" spans="2:23" ht="15" customHeight="1" x14ac:dyDescent="0.35">
      <c r="B69" s="490">
        <f t="shared" si="1"/>
        <v>63</v>
      </c>
      <c r="C69" s="491"/>
      <c r="D69" s="492"/>
      <c r="E69" s="493"/>
      <c r="F69" s="494"/>
      <c r="G69" s="495"/>
      <c r="H69" s="495"/>
      <c r="I69" s="496"/>
      <c r="J69" s="497"/>
      <c r="K69" s="498"/>
      <c r="L69" s="499"/>
      <c r="M69" s="504"/>
      <c r="N69" s="500"/>
      <c r="O69" s="501"/>
      <c r="P69" s="496"/>
      <c r="Q69" s="502"/>
      <c r="R69" s="732"/>
      <c r="S69" s="499"/>
      <c r="T69" s="498"/>
      <c r="U69" s="498"/>
      <c r="V69" s="504"/>
      <c r="W69" s="508" t="str">
        <f t="shared" si="2"/>
        <v>Vyplnit!</v>
      </c>
    </row>
    <row r="70" spans="2:23" ht="15" customHeight="1" x14ac:dyDescent="0.35">
      <c r="B70" s="490">
        <f t="shared" si="1"/>
        <v>64</v>
      </c>
      <c r="C70" s="491"/>
      <c r="D70" s="492"/>
      <c r="E70" s="493"/>
      <c r="F70" s="494"/>
      <c r="G70" s="495"/>
      <c r="H70" s="495"/>
      <c r="I70" s="496"/>
      <c r="J70" s="497"/>
      <c r="K70" s="498"/>
      <c r="L70" s="499"/>
      <c r="M70" s="504"/>
      <c r="N70" s="500"/>
      <c r="O70" s="501"/>
      <c r="P70" s="496"/>
      <c r="Q70" s="502"/>
      <c r="R70" s="732"/>
      <c r="S70" s="499"/>
      <c r="T70" s="498"/>
      <c r="U70" s="498"/>
      <c r="V70" s="504"/>
      <c r="W70" s="508" t="str">
        <f t="shared" si="2"/>
        <v>Vyplnit!</v>
      </c>
    </row>
    <row r="71" spans="2:23" ht="15" customHeight="1" x14ac:dyDescent="0.35">
      <c r="B71" s="490">
        <f t="shared" si="1"/>
        <v>65</v>
      </c>
      <c r="C71" s="491"/>
      <c r="D71" s="492"/>
      <c r="E71" s="493"/>
      <c r="F71" s="494"/>
      <c r="G71" s="495"/>
      <c r="H71" s="495"/>
      <c r="I71" s="496"/>
      <c r="J71" s="497"/>
      <c r="K71" s="498"/>
      <c r="L71" s="499"/>
      <c r="M71" s="504"/>
      <c r="N71" s="500"/>
      <c r="O71" s="501"/>
      <c r="P71" s="496"/>
      <c r="Q71" s="502"/>
      <c r="R71" s="732"/>
      <c r="S71" s="499"/>
      <c r="T71" s="498"/>
      <c r="U71" s="498"/>
      <c r="V71" s="504"/>
      <c r="W71" s="508" t="str">
        <f t="shared" si="2"/>
        <v>Vyplnit!</v>
      </c>
    </row>
    <row r="72" spans="2:23" ht="15" customHeight="1" x14ac:dyDescent="0.35">
      <c r="B72" s="490">
        <f t="shared" si="1"/>
        <v>66</v>
      </c>
      <c r="C72" s="491"/>
      <c r="D72" s="492"/>
      <c r="E72" s="493"/>
      <c r="F72" s="494"/>
      <c r="G72" s="495"/>
      <c r="H72" s="495"/>
      <c r="I72" s="496"/>
      <c r="J72" s="497"/>
      <c r="K72" s="498"/>
      <c r="L72" s="499"/>
      <c r="M72" s="504"/>
      <c r="N72" s="500"/>
      <c r="O72" s="501"/>
      <c r="P72" s="496"/>
      <c r="Q72" s="502"/>
      <c r="R72" s="732"/>
      <c r="S72" s="499"/>
      <c r="T72" s="498"/>
      <c r="U72" s="498"/>
      <c r="V72" s="504"/>
      <c r="W72" s="508" t="str">
        <f t="shared" si="2"/>
        <v>Vyplnit!</v>
      </c>
    </row>
    <row r="73" spans="2:23" ht="15" customHeight="1" x14ac:dyDescent="0.35">
      <c r="B73" s="490">
        <f t="shared" ref="B73:B106" si="3">B72+1</f>
        <v>67</v>
      </c>
      <c r="C73" s="491"/>
      <c r="D73" s="492"/>
      <c r="E73" s="493"/>
      <c r="F73" s="494"/>
      <c r="G73" s="495"/>
      <c r="H73" s="495"/>
      <c r="I73" s="496"/>
      <c r="J73" s="497"/>
      <c r="K73" s="498"/>
      <c r="L73" s="499"/>
      <c r="M73" s="504"/>
      <c r="N73" s="500"/>
      <c r="O73" s="501"/>
      <c r="P73" s="496"/>
      <c r="Q73" s="502"/>
      <c r="R73" s="732"/>
      <c r="S73" s="499"/>
      <c r="T73" s="498"/>
      <c r="U73" s="498"/>
      <c r="V73" s="504"/>
      <c r="W73" s="508" t="str">
        <f t="shared" si="2"/>
        <v>Vyplnit!</v>
      </c>
    </row>
    <row r="74" spans="2:23" ht="15" customHeight="1" x14ac:dyDescent="0.35">
      <c r="B74" s="490">
        <f t="shared" si="3"/>
        <v>68</v>
      </c>
      <c r="C74" s="491"/>
      <c r="D74" s="492"/>
      <c r="E74" s="493"/>
      <c r="F74" s="494"/>
      <c r="G74" s="495"/>
      <c r="H74" s="495"/>
      <c r="I74" s="496"/>
      <c r="J74" s="497"/>
      <c r="K74" s="498"/>
      <c r="L74" s="499"/>
      <c r="M74" s="504"/>
      <c r="N74" s="500"/>
      <c r="O74" s="501"/>
      <c r="P74" s="496"/>
      <c r="Q74" s="502"/>
      <c r="R74" s="732"/>
      <c r="S74" s="499"/>
      <c r="T74" s="498"/>
      <c r="U74" s="498"/>
      <c r="V74" s="504"/>
      <c r="W74" s="508" t="str">
        <f t="shared" si="2"/>
        <v>Vyplnit!</v>
      </c>
    </row>
    <row r="75" spans="2:23" ht="15" customHeight="1" x14ac:dyDescent="0.35">
      <c r="B75" s="490">
        <f t="shared" si="3"/>
        <v>69</v>
      </c>
      <c r="C75" s="491"/>
      <c r="D75" s="492"/>
      <c r="E75" s="493"/>
      <c r="F75" s="494"/>
      <c r="G75" s="495"/>
      <c r="H75" s="495"/>
      <c r="I75" s="496"/>
      <c r="J75" s="497"/>
      <c r="K75" s="498"/>
      <c r="L75" s="499"/>
      <c r="M75" s="504"/>
      <c r="N75" s="500"/>
      <c r="O75" s="501"/>
      <c r="P75" s="496"/>
      <c r="Q75" s="502"/>
      <c r="R75" s="732"/>
      <c r="S75" s="499"/>
      <c r="T75" s="498"/>
      <c r="U75" s="498"/>
      <c r="V75" s="504"/>
      <c r="W75" s="508" t="str">
        <f t="shared" si="2"/>
        <v>Vyplnit!</v>
      </c>
    </row>
    <row r="76" spans="2:23" ht="15" customHeight="1" x14ac:dyDescent="0.35">
      <c r="B76" s="490">
        <f t="shared" si="3"/>
        <v>70</v>
      </c>
      <c r="C76" s="491"/>
      <c r="D76" s="492"/>
      <c r="E76" s="493"/>
      <c r="F76" s="494"/>
      <c r="G76" s="495"/>
      <c r="H76" s="495"/>
      <c r="I76" s="496"/>
      <c r="J76" s="497"/>
      <c r="K76" s="498"/>
      <c r="L76" s="499"/>
      <c r="M76" s="504"/>
      <c r="N76" s="500"/>
      <c r="O76" s="501"/>
      <c r="P76" s="496"/>
      <c r="Q76" s="502"/>
      <c r="R76" s="732"/>
      <c r="S76" s="499"/>
      <c r="T76" s="498"/>
      <c r="U76" s="498"/>
      <c r="V76" s="504"/>
      <c r="W76" s="508" t="str">
        <f t="shared" si="2"/>
        <v>Vyplnit!</v>
      </c>
    </row>
    <row r="77" spans="2:23" ht="15" customHeight="1" x14ac:dyDescent="0.35">
      <c r="B77" s="490">
        <f t="shared" si="3"/>
        <v>71</v>
      </c>
      <c r="C77" s="491"/>
      <c r="D77" s="492"/>
      <c r="E77" s="493"/>
      <c r="F77" s="494"/>
      <c r="G77" s="495"/>
      <c r="H77" s="495"/>
      <c r="I77" s="496"/>
      <c r="J77" s="497"/>
      <c r="K77" s="498"/>
      <c r="L77" s="499"/>
      <c r="M77" s="504"/>
      <c r="N77" s="500"/>
      <c r="O77" s="501"/>
      <c r="P77" s="496"/>
      <c r="Q77" s="502"/>
      <c r="R77" s="732"/>
      <c r="S77" s="499"/>
      <c r="T77" s="498"/>
      <c r="U77" s="498"/>
      <c r="V77" s="504"/>
      <c r="W77" s="508" t="str">
        <f t="shared" si="2"/>
        <v>Vyplnit!</v>
      </c>
    </row>
    <row r="78" spans="2:23" ht="15" customHeight="1" x14ac:dyDescent="0.35">
      <c r="B78" s="490">
        <f t="shared" si="3"/>
        <v>72</v>
      </c>
      <c r="C78" s="491"/>
      <c r="D78" s="492"/>
      <c r="E78" s="493"/>
      <c r="F78" s="494"/>
      <c r="G78" s="495"/>
      <c r="H78" s="495"/>
      <c r="I78" s="496"/>
      <c r="J78" s="497"/>
      <c r="K78" s="498"/>
      <c r="L78" s="499"/>
      <c r="M78" s="504"/>
      <c r="N78" s="500"/>
      <c r="O78" s="501"/>
      <c r="P78" s="496"/>
      <c r="Q78" s="502"/>
      <c r="R78" s="732"/>
      <c r="S78" s="499"/>
      <c r="T78" s="498"/>
      <c r="U78" s="498"/>
      <c r="V78" s="504"/>
      <c r="W78" s="508" t="str">
        <f t="shared" si="2"/>
        <v>Vyplnit!</v>
      </c>
    </row>
    <row r="79" spans="2:23" ht="15" customHeight="1" x14ac:dyDescent="0.35">
      <c r="B79" s="490">
        <f t="shared" si="3"/>
        <v>73</v>
      </c>
      <c r="C79" s="491"/>
      <c r="D79" s="492"/>
      <c r="E79" s="493"/>
      <c r="F79" s="494"/>
      <c r="G79" s="495"/>
      <c r="H79" s="495"/>
      <c r="I79" s="496"/>
      <c r="J79" s="497"/>
      <c r="K79" s="498"/>
      <c r="L79" s="499"/>
      <c r="M79" s="504"/>
      <c r="N79" s="500"/>
      <c r="O79" s="501"/>
      <c r="P79" s="496"/>
      <c r="Q79" s="502"/>
      <c r="R79" s="732"/>
      <c r="S79" s="499"/>
      <c r="T79" s="498"/>
      <c r="U79" s="498"/>
      <c r="V79" s="504"/>
      <c r="W79" s="508" t="str">
        <f t="shared" si="2"/>
        <v>Vyplnit!</v>
      </c>
    </row>
    <row r="80" spans="2:23" ht="15" customHeight="1" x14ac:dyDescent="0.35">
      <c r="B80" s="490">
        <f t="shared" si="3"/>
        <v>74</v>
      </c>
      <c r="C80" s="491"/>
      <c r="D80" s="492"/>
      <c r="E80" s="493"/>
      <c r="F80" s="494"/>
      <c r="G80" s="495"/>
      <c r="H80" s="495"/>
      <c r="I80" s="496"/>
      <c r="J80" s="497"/>
      <c r="K80" s="498"/>
      <c r="L80" s="499"/>
      <c r="M80" s="504"/>
      <c r="N80" s="500"/>
      <c r="O80" s="501"/>
      <c r="P80" s="496"/>
      <c r="Q80" s="502"/>
      <c r="R80" s="732"/>
      <c r="S80" s="499"/>
      <c r="T80" s="498"/>
      <c r="U80" s="498"/>
      <c r="V80" s="504"/>
      <c r="W80" s="508" t="str">
        <f t="shared" si="2"/>
        <v>Vyplnit!</v>
      </c>
    </row>
    <row r="81" spans="2:23" ht="15" customHeight="1" x14ac:dyDescent="0.35">
      <c r="B81" s="490">
        <f t="shared" si="3"/>
        <v>75</v>
      </c>
      <c r="C81" s="491"/>
      <c r="D81" s="492"/>
      <c r="E81" s="493"/>
      <c r="F81" s="494"/>
      <c r="G81" s="495"/>
      <c r="H81" s="495"/>
      <c r="I81" s="496"/>
      <c r="J81" s="497"/>
      <c r="K81" s="498"/>
      <c r="L81" s="499"/>
      <c r="M81" s="504"/>
      <c r="N81" s="500"/>
      <c r="O81" s="501"/>
      <c r="P81" s="496"/>
      <c r="Q81" s="502"/>
      <c r="R81" s="732"/>
      <c r="S81" s="499"/>
      <c r="T81" s="498"/>
      <c r="U81" s="498"/>
      <c r="V81" s="504"/>
      <c r="W81" s="508" t="str">
        <f t="shared" si="2"/>
        <v>Vyplnit!</v>
      </c>
    </row>
    <row r="82" spans="2:23" ht="15" customHeight="1" x14ac:dyDescent="0.35">
      <c r="B82" s="490">
        <f t="shared" si="3"/>
        <v>76</v>
      </c>
      <c r="C82" s="491"/>
      <c r="D82" s="492"/>
      <c r="E82" s="493"/>
      <c r="F82" s="494"/>
      <c r="G82" s="495"/>
      <c r="H82" s="495"/>
      <c r="I82" s="496"/>
      <c r="J82" s="497"/>
      <c r="K82" s="498"/>
      <c r="L82" s="499"/>
      <c r="M82" s="504"/>
      <c r="N82" s="500"/>
      <c r="O82" s="501"/>
      <c r="P82" s="496"/>
      <c r="Q82" s="502"/>
      <c r="R82" s="732"/>
      <c r="S82" s="499"/>
      <c r="T82" s="498"/>
      <c r="U82" s="498"/>
      <c r="V82" s="504"/>
      <c r="W82" s="508" t="str">
        <f t="shared" si="2"/>
        <v>Vyplnit!</v>
      </c>
    </row>
    <row r="83" spans="2:23" ht="15" customHeight="1" x14ac:dyDescent="0.35">
      <c r="B83" s="490">
        <f t="shared" si="3"/>
        <v>77</v>
      </c>
      <c r="C83" s="491"/>
      <c r="D83" s="492"/>
      <c r="E83" s="493"/>
      <c r="F83" s="494"/>
      <c r="G83" s="495"/>
      <c r="H83" s="495"/>
      <c r="I83" s="496"/>
      <c r="J83" s="497"/>
      <c r="K83" s="498"/>
      <c r="L83" s="499"/>
      <c r="M83" s="504"/>
      <c r="N83" s="500"/>
      <c r="O83" s="501"/>
      <c r="P83" s="496"/>
      <c r="Q83" s="502"/>
      <c r="R83" s="732"/>
      <c r="S83" s="499"/>
      <c r="T83" s="498"/>
      <c r="U83" s="498"/>
      <c r="V83" s="504"/>
      <c r="W83" s="508" t="str">
        <f t="shared" si="2"/>
        <v>Vyplnit!</v>
      </c>
    </row>
    <row r="84" spans="2:23" ht="15" customHeight="1" x14ac:dyDescent="0.35">
      <c r="B84" s="490">
        <f t="shared" si="3"/>
        <v>78</v>
      </c>
      <c r="C84" s="491"/>
      <c r="D84" s="492"/>
      <c r="E84" s="493"/>
      <c r="F84" s="494"/>
      <c r="G84" s="495"/>
      <c r="H84" s="495"/>
      <c r="I84" s="496"/>
      <c r="J84" s="497"/>
      <c r="K84" s="498"/>
      <c r="L84" s="499"/>
      <c r="M84" s="504"/>
      <c r="N84" s="500"/>
      <c r="O84" s="501"/>
      <c r="P84" s="496"/>
      <c r="Q84" s="502"/>
      <c r="R84" s="732"/>
      <c r="S84" s="499"/>
      <c r="T84" s="498"/>
      <c r="U84" s="498"/>
      <c r="V84" s="504"/>
      <c r="W84" s="508" t="str">
        <f t="shared" ref="W84:W106" si="4">"Vyplnit!"</f>
        <v>Vyplnit!</v>
      </c>
    </row>
    <row r="85" spans="2:23" ht="15" customHeight="1" x14ac:dyDescent="0.35">
      <c r="B85" s="490">
        <f t="shared" si="3"/>
        <v>79</v>
      </c>
      <c r="C85" s="491"/>
      <c r="D85" s="492"/>
      <c r="E85" s="493"/>
      <c r="F85" s="494"/>
      <c r="G85" s="495"/>
      <c r="H85" s="495"/>
      <c r="I85" s="496"/>
      <c r="J85" s="497"/>
      <c r="K85" s="498"/>
      <c r="L85" s="499"/>
      <c r="M85" s="504"/>
      <c r="N85" s="500"/>
      <c r="O85" s="501"/>
      <c r="P85" s="496"/>
      <c r="Q85" s="502"/>
      <c r="R85" s="732"/>
      <c r="S85" s="499"/>
      <c r="T85" s="498"/>
      <c r="U85" s="498"/>
      <c r="V85" s="504"/>
      <c r="W85" s="508" t="str">
        <f t="shared" si="4"/>
        <v>Vyplnit!</v>
      </c>
    </row>
    <row r="86" spans="2:23" ht="15" customHeight="1" x14ac:dyDescent="0.35">
      <c r="B86" s="490">
        <f t="shared" si="3"/>
        <v>80</v>
      </c>
      <c r="C86" s="491"/>
      <c r="D86" s="492"/>
      <c r="E86" s="493"/>
      <c r="F86" s="494"/>
      <c r="G86" s="495"/>
      <c r="H86" s="495"/>
      <c r="I86" s="496"/>
      <c r="J86" s="497"/>
      <c r="K86" s="498"/>
      <c r="L86" s="499"/>
      <c r="M86" s="504"/>
      <c r="N86" s="500"/>
      <c r="O86" s="501"/>
      <c r="P86" s="496"/>
      <c r="Q86" s="502"/>
      <c r="R86" s="732"/>
      <c r="S86" s="499"/>
      <c r="T86" s="498"/>
      <c r="U86" s="498"/>
      <c r="V86" s="504"/>
      <c r="W86" s="508" t="str">
        <f t="shared" si="4"/>
        <v>Vyplnit!</v>
      </c>
    </row>
    <row r="87" spans="2:23" ht="15" customHeight="1" x14ac:dyDescent="0.35">
      <c r="B87" s="490">
        <f t="shared" si="3"/>
        <v>81</v>
      </c>
      <c r="C87" s="491"/>
      <c r="D87" s="492"/>
      <c r="E87" s="493"/>
      <c r="F87" s="494"/>
      <c r="G87" s="495"/>
      <c r="H87" s="495"/>
      <c r="I87" s="496"/>
      <c r="J87" s="497"/>
      <c r="K87" s="498"/>
      <c r="L87" s="499"/>
      <c r="M87" s="504"/>
      <c r="N87" s="500"/>
      <c r="O87" s="501"/>
      <c r="P87" s="496"/>
      <c r="Q87" s="502"/>
      <c r="R87" s="732"/>
      <c r="S87" s="499"/>
      <c r="T87" s="498"/>
      <c r="U87" s="498"/>
      <c r="V87" s="504"/>
      <c r="W87" s="508" t="str">
        <f t="shared" si="4"/>
        <v>Vyplnit!</v>
      </c>
    </row>
    <row r="88" spans="2:23" ht="15" customHeight="1" x14ac:dyDescent="0.35">
      <c r="B88" s="490">
        <f t="shared" si="3"/>
        <v>82</v>
      </c>
      <c r="C88" s="491"/>
      <c r="D88" s="492"/>
      <c r="E88" s="493"/>
      <c r="F88" s="494"/>
      <c r="G88" s="495"/>
      <c r="H88" s="495"/>
      <c r="I88" s="496"/>
      <c r="J88" s="497"/>
      <c r="K88" s="498"/>
      <c r="L88" s="499"/>
      <c r="M88" s="504"/>
      <c r="N88" s="500"/>
      <c r="O88" s="501"/>
      <c r="P88" s="496"/>
      <c r="Q88" s="502"/>
      <c r="R88" s="732"/>
      <c r="S88" s="499"/>
      <c r="T88" s="498"/>
      <c r="U88" s="498"/>
      <c r="V88" s="504"/>
      <c r="W88" s="508" t="str">
        <f t="shared" si="4"/>
        <v>Vyplnit!</v>
      </c>
    </row>
    <row r="89" spans="2:23" ht="15" customHeight="1" x14ac:dyDescent="0.35">
      <c r="B89" s="490">
        <f t="shared" si="3"/>
        <v>83</v>
      </c>
      <c r="C89" s="491"/>
      <c r="D89" s="492"/>
      <c r="E89" s="493"/>
      <c r="F89" s="494"/>
      <c r="G89" s="495"/>
      <c r="H89" s="495"/>
      <c r="I89" s="496"/>
      <c r="J89" s="497"/>
      <c r="K89" s="498"/>
      <c r="L89" s="499"/>
      <c r="M89" s="504"/>
      <c r="N89" s="500"/>
      <c r="O89" s="501"/>
      <c r="P89" s="496"/>
      <c r="Q89" s="502"/>
      <c r="R89" s="732"/>
      <c r="S89" s="499"/>
      <c r="T89" s="498"/>
      <c r="U89" s="498"/>
      <c r="V89" s="504"/>
      <c r="W89" s="508" t="str">
        <f t="shared" si="4"/>
        <v>Vyplnit!</v>
      </c>
    </row>
    <row r="90" spans="2:23" ht="15" customHeight="1" x14ac:dyDescent="0.35">
      <c r="B90" s="490">
        <f t="shared" si="3"/>
        <v>84</v>
      </c>
      <c r="C90" s="491"/>
      <c r="D90" s="492"/>
      <c r="E90" s="493"/>
      <c r="F90" s="494"/>
      <c r="G90" s="495"/>
      <c r="H90" s="495"/>
      <c r="I90" s="496"/>
      <c r="J90" s="497"/>
      <c r="K90" s="498"/>
      <c r="L90" s="499"/>
      <c r="M90" s="504"/>
      <c r="N90" s="500"/>
      <c r="O90" s="501"/>
      <c r="P90" s="496"/>
      <c r="Q90" s="502"/>
      <c r="R90" s="732"/>
      <c r="S90" s="499"/>
      <c r="T90" s="498"/>
      <c r="U90" s="498"/>
      <c r="V90" s="504"/>
      <c r="W90" s="508" t="str">
        <f t="shared" si="4"/>
        <v>Vyplnit!</v>
      </c>
    </row>
    <row r="91" spans="2:23" ht="15" customHeight="1" x14ac:dyDescent="0.35">
      <c r="B91" s="490">
        <f t="shared" si="3"/>
        <v>85</v>
      </c>
      <c r="C91" s="491"/>
      <c r="D91" s="492"/>
      <c r="E91" s="493"/>
      <c r="F91" s="494"/>
      <c r="G91" s="495"/>
      <c r="H91" s="495"/>
      <c r="I91" s="496"/>
      <c r="J91" s="497"/>
      <c r="K91" s="498"/>
      <c r="L91" s="499"/>
      <c r="M91" s="504"/>
      <c r="N91" s="500"/>
      <c r="O91" s="501"/>
      <c r="P91" s="496"/>
      <c r="Q91" s="502"/>
      <c r="R91" s="732"/>
      <c r="S91" s="499"/>
      <c r="T91" s="498"/>
      <c r="U91" s="498"/>
      <c r="V91" s="504"/>
      <c r="W91" s="508" t="str">
        <f t="shared" si="4"/>
        <v>Vyplnit!</v>
      </c>
    </row>
    <row r="92" spans="2:23" ht="15" customHeight="1" x14ac:dyDescent="0.35">
      <c r="B92" s="490">
        <f t="shared" si="3"/>
        <v>86</v>
      </c>
      <c r="C92" s="491"/>
      <c r="D92" s="492"/>
      <c r="E92" s="493"/>
      <c r="F92" s="494"/>
      <c r="G92" s="495"/>
      <c r="H92" s="495"/>
      <c r="I92" s="496"/>
      <c r="J92" s="497"/>
      <c r="K92" s="498"/>
      <c r="L92" s="499"/>
      <c r="M92" s="504"/>
      <c r="N92" s="500"/>
      <c r="O92" s="501"/>
      <c r="P92" s="496"/>
      <c r="Q92" s="502"/>
      <c r="R92" s="732"/>
      <c r="S92" s="499"/>
      <c r="T92" s="498"/>
      <c r="U92" s="498"/>
      <c r="V92" s="504"/>
      <c r="W92" s="508" t="str">
        <f t="shared" si="4"/>
        <v>Vyplnit!</v>
      </c>
    </row>
    <row r="93" spans="2:23" ht="15" customHeight="1" x14ac:dyDescent="0.35">
      <c r="B93" s="490">
        <f t="shared" si="3"/>
        <v>87</v>
      </c>
      <c r="C93" s="491"/>
      <c r="D93" s="492"/>
      <c r="E93" s="493"/>
      <c r="F93" s="494"/>
      <c r="G93" s="495"/>
      <c r="H93" s="495"/>
      <c r="I93" s="496"/>
      <c r="J93" s="497"/>
      <c r="K93" s="498"/>
      <c r="L93" s="499"/>
      <c r="M93" s="504"/>
      <c r="N93" s="500"/>
      <c r="O93" s="501"/>
      <c r="P93" s="496"/>
      <c r="Q93" s="502"/>
      <c r="R93" s="732"/>
      <c r="S93" s="499"/>
      <c r="T93" s="498"/>
      <c r="U93" s="498"/>
      <c r="V93" s="504"/>
      <c r="W93" s="508" t="str">
        <f t="shared" si="4"/>
        <v>Vyplnit!</v>
      </c>
    </row>
    <row r="94" spans="2:23" ht="15" customHeight="1" x14ac:dyDescent="0.35">
      <c r="B94" s="490">
        <f t="shared" si="3"/>
        <v>88</v>
      </c>
      <c r="C94" s="491"/>
      <c r="D94" s="492"/>
      <c r="E94" s="493"/>
      <c r="F94" s="494"/>
      <c r="G94" s="495"/>
      <c r="H94" s="495"/>
      <c r="I94" s="496"/>
      <c r="J94" s="497"/>
      <c r="K94" s="498"/>
      <c r="L94" s="499"/>
      <c r="M94" s="504"/>
      <c r="N94" s="500"/>
      <c r="O94" s="501"/>
      <c r="P94" s="496"/>
      <c r="Q94" s="502"/>
      <c r="R94" s="732"/>
      <c r="S94" s="499"/>
      <c r="T94" s="498"/>
      <c r="U94" s="498"/>
      <c r="V94" s="504"/>
      <c r="W94" s="508" t="str">
        <f t="shared" si="4"/>
        <v>Vyplnit!</v>
      </c>
    </row>
    <row r="95" spans="2:23" ht="15" customHeight="1" x14ac:dyDescent="0.35">
      <c r="B95" s="490">
        <f t="shared" si="3"/>
        <v>89</v>
      </c>
      <c r="C95" s="491"/>
      <c r="D95" s="492"/>
      <c r="E95" s="493"/>
      <c r="F95" s="494"/>
      <c r="G95" s="495"/>
      <c r="H95" s="495"/>
      <c r="I95" s="496"/>
      <c r="J95" s="497"/>
      <c r="K95" s="498"/>
      <c r="L95" s="499"/>
      <c r="M95" s="504"/>
      <c r="N95" s="500"/>
      <c r="O95" s="501"/>
      <c r="P95" s="496"/>
      <c r="Q95" s="502"/>
      <c r="R95" s="732"/>
      <c r="S95" s="499"/>
      <c r="T95" s="498"/>
      <c r="U95" s="498"/>
      <c r="V95" s="504"/>
      <c r="W95" s="508" t="str">
        <f t="shared" si="4"/>
        <v>Vyplnit!</v>
      </c>
    </row>
    <row r="96" spans="2:23" ht="15" customHeight="1" x14ac:dyDescent="0.35">
      <c r="B96" s="490">
        <f t="shared" si="3"/>
        <v>90</v>
      </c>
      <c r="C96" s="491"/>
      <c r="D96" s="492"/>
      <c r="E96" s="493"/>
      <c r="F96" s="494"/>
      <c r="G96" s="495"/>
      <c r="H96" s="495"/>
      <c r="I96" s="496"/>
      <c r="J96" s="497"/>
      <c r="K96" s="498"/>
      <c r="L96" s="499"/>
      <c r="M96" s="504"/>
      <c r="N96" s="500"/>
      <c r="O96" s="501"/>
      <c r="P96" s="496"/>
      <c r="Q96" s="502"/>
      <c r="R96" s="732"/>
      <c r="S96" s="499"/>
      <c r="T96" s="498"/>
      <c r="U96" s="498"/>
      <c r="V96" s="504"/>
      <c r="W96" s="508" t="str">
        <f t="shared" si="4"/>
        <v>Vyplnit!</v>
      </c>
    </row>
    <row r="97" spans="2:23" ht="15" customHeight="1" x14ac:dyDescent="0.35">
      <c r="B97" s="490">
        <f t="shared" si="3"/>
        <v>91</v>
      </c>
      <c r="C97" s="491"/>
      <c r="D97" s="492"/>
      <c r="E97" s="493"/>
      <c r="F97" s="494"/>
      <c r="G97" s="495"/>
      <c r="H97" s="495"/>
      <c r="I97" s="496"/>
      <c r="J97" s="497"/>
      <c r="K97" s="498"/>
      <c r="L97" s="499"/>
      <c r="M97" s="504"/>
      <c r="N97" s="500"/>
      <c r="O97" s="501"/>
      <c r="P97" s="496"/>
      <c r="Q97" s="502"/>
      <c r="R97" s="732"/>
      <c r="S97" s="499"/>
      <c r="T97" s="498"/>
      <c r="U97" s="498"/>
      <c r="V97" s="504"/>
      <c r="W97" s="508" t="str">
        <f t="shared" si="4"/>
        <v>Vyplnit!</v>
      </c>
    </row>
    <row r="98" spans="2:23" ht="15" customHeight="1" x14ac:dyDescent="0.35">
      <c r="B98" s="490">
        <f t="shared" si="3"/>
        <v>92</v>
      </c>
      <c r="C98" s="491"/>
      <c r="D98" s="492"/>
      <c r="E98" s="493"/>
      <c r="F98" s="494"/>
      <c r="G98" s="495"/>
      <c r="H98" s="495"/>
      <c r="I98" s="496"/>
      <c r="J98" s="497"/>
      <c r="K98" s="498"/>
      <c r="L98" s="499"/>
      <c r="M98" s="504"/>
      <c r="N98" s="500"/>
      <c r="O98" s="501"/>
      <c r="P98" s="496"/>
      <c r="Q98" s="502"/>
      <c r="R98" s="732"/>
      <c r="S98" s="499"/>
      <c r="T98" s="498"/>
      <c r="U98" s="498"/>
      <c r="V98" s="504"/>
      <c r="W98" s="508" t="str">
        <f t="shared" si="4"/>
        <v>Vyplnit!</v>
      </c>
    </row>
    <row r="99" spans="2:23" ht="15" customHeight="1" x14ac:dyDescent="0.35">
      <c r="B99" s="490">
        <f t="shared" si="3"/>
        <v>93</v>
      </c>
      <c r="C99" s="491"/>
      <c r="D99" s="492"/>
      <c r="E99" s="493"/>
      <c r="F99" s="494"/>
      <c r="G99" s="495"/>
      <c r="H99" s="495"/>
      <c r="I99" s="496"/>
      <c r="J99" s="497"/>
      <c r="K99" s="498"/>
      <c r="L99" s="499"/>
      <c r="M99" s="504"/>
      <c r="N99" s="500"/>
      <c r="O99" s="501"/>
      <c r="P99" s="496"/>
      <c r="Q99" s="502"/>
      <c r="R99" s="732"/>
      <c r="S99" s="499"/>
      <c r="T99" s="498"/>
      <c r="U99" s="498"/>
      <c r="V99" s="504"/>
      <c r="W99" s="508" t="str">
        <f t="shared" si="4"/>
        <v>Vyplnit!</v>
      </c>
    </row>
    <row r="100" spans="2:23" ht="15" customHeight="1" x14ac:dyDescent="0.35">
      <c r="B100" s="490">
        <f t="shared" si="3"/>
        <v>94</v>
      </c>
      <c r="C100" s="491"/>
      <c r="D100" s="492"/>
      <c r="E100" s="493"/>
      <c r="F100" s="494"/>
      <c r="G100" s="495"/>
      <c r="H100" s="495"/>
      <c r="I100" s="496"/>
      <c r="J100" s="497"/>
      <c r="K100" s="498"/>
      <c r="L100" s="499"/>
      <c r="M100" s="504"/>
      <c r="N100" s="500"/>
      <c r="O100" s="501"/>
      <c r="P100" s="496"/>
      <c r="Q100" s="502"/>
      <c r="R100" s="732"/>
      <c r="S100" s="499"/>
      <c r="T100" s="498"/>
      <c r="U100" s="498"/>
      <c r="V100" s="504"/>
      <c r="W100" s="508" t="str">
        <f t="shared" si="4"/>
        <v>Vyplnit!</v>
      </c>
    </row>
    <row r="101" spans="2:23" ht="15" customHeight="1" x14ac:dyDescent="0.35">
      <c r="B101" s="490">
        <f t="shared" si="3"/>
        <v>95</v>
      </c>
      <c r="C101" s="491"/>
      <c r="D101" s="492"/>
      <c r="E101" s="493"/>
      <c r="F101" s="494"/>
      <c r="G101" s="495"/>
      <c r="H101" s="495"/>
      <c r="I101" s="496"/>
      <c r="J101" s="497"/>
      <c r="K101" s="498"/>
      <c r="L101" s="499"/>
      <c r="M101" s="504"/>
      <c r="N101" s="500"/>
      <c r="O101" s="501"/>
      <c r="P101" s="496"/>
      <c r="Q101" s="502"/>
      <c r="R101" s="732"/>
      <c r="S101" s="499"/>
      <c r="T101" s="498"/>
      <c r="U101" s="498"/>
      <c r="V101" s="504"/>
      <c r="W101" s="508" t="str">
        <f t="shared" si="4"/>
        <v>Vyplnit!</v>
      </c>
    </row>
    <row r="102" spans="2:23" ht="15" customHeight="1" x14ac:dyDescent="0.35">
      <c r="B102" s="490">
        <f t="shared" si="3"/>
        <v>96</v>
      </c>
      <c r="C102" s="491"/>
      <c r="D102" s="492"/>
      <c r="E102" s="493"/>
      <c r="F102" s="494"/>
      <c r="G102" s="495"/>
      <c r="H102" s="495"/>
      <c r="I102" s="496"/>
      <c r="J102" s="497"/>
      <c r="K102" s="498"/>
      <c r="L102" s="499"/>
      <c r="M102" s="504"/>
      <c r="N102" s="500"/>
      <c r="O102" s="501"/>
      <c r="P102" s="496"/>
      <c r="Q102" s="502"/>
      <c r="R102" s="732"/>
      <c r="S102" s="499"/>
      <c r="T102" s="498"/>
      <c r="U102" s="498"/>
      <c r="V102" s="504"/>
      <c r="W102" s="508" t="str">
        <f t="shared" si="4"/>
        <v>Vyplnit!</v>
      </c>
    </row>
    <row r="103" spans="2:23" ht="15" customHeight="1" x14ac:dyDescent="0.35">
      <c r="B103" s="490">
        <f t="shared" si="3"/>
        <v>97</v>
      </c>
      <c r="C103" s="491"/>
      <c r="D103" s="492"/>
      <c r="E103" s="493"/>
      <c r="F103" s="494"/>
      <c r="G103" s="495"/>
      <c r="H103" s="495"/>
      <c r="I103" s="496"/>
      <c r="J103" s="497"/>
      <c r="K103" s="498"/>
      <c r="L103" s="499"/>
      <c r="M103" s="504"/>
      <c r="N103" s="500"/>
      <c r="O103" s="501"/>
      <c r="P103" s="496"/>
      <c r="Q103" s="502"/>
      <c r="R103" s="732"/>
      <c r="S103" s="499"/>
      <c r="T103" s="498"/>
      <c r="U103" s="498"/>
      <c r="V103" s="504"/>
      <c r="W103" s="508" t="str">
        <f t="shared" si="4"/>
        <v>Vyplnit!</v>
      </c>
    </row>
    <row r="104" spans="2:23" ht="15" customHeight="1" x14ac:dyDescent="0.35">
      <c r="B104" s="490">
        <f t="shared" si="3"/>
        <v>98</v>
      </c>
      <c r="C104" s="491"/>
      <c r="D104" s="492"/>
      <c r="E104" s="493"/>
      <c r="F104" s="494"/>
      <c r="G104" s="495"/>
      <c r="H104" s="495"/>
      <c r="I104" s="496"/>
      <c r="J104" s="497"/>
      <c r="K104" s="498"/>
      <c r="L104" s="499"/>
      <c r="M104" s="504"/>
      <c r="N104" s="500"/>
      <c r="O104" s="501"/>
      <c r="P104" s="496"/>
      <c r="Q104" s="502"/>
      <c r="R104" s="732"/>
      <c r="S104" s="499"/>
      <c r="T104" s="498"/>
      <c r="U104" s="498"/>
      <c r="V104" s="504"/>
      <c r="W104" s="508" t="str">
        <f t="shared" si="4"/>
        <v>Vyplnit!</v>
      </c>
    </row>
    <row r="105" spans="2:23" ht="15" customHeight="1" x14ac:dyDescent="0.35">
      <c r="B105" s="490">
        <f t="shared" si="3"/>
        <v>99</v>
      </c>
      <c r="C105" s="491"/>
      <c r="D105" s="492"/>
      <c r="E105" s="493"/>
      <c r="F105" s="494"/>
      <c r="G105" s="495"/>
      <c r="H105" s="495"/>
      <c r="I105" s="496"/>
      <c r="J105" s="497"/>
      <c r="K105" s="498"/>
      <c r="L105" s="499"/>
      <c r="M105" s="504"/>
      <c r="N105" s="500"/>
      <c r="O105" s="501"/>
      <c r="P105" s="496"/>
      <c r="Q105" s="502"/>
      <c r="R105" s="732"/>
      <c r="S105" s="499"/>
      <c r="T105" s="498"/>
      <c r="U105" s="498"/>
      <c r="V105" s="504"/>
      <c r="W105" s="508" t="str">
        <f t="shared" si="4"/>
        <v>Vyplnit!</v>
      </c>
    </row>
    <row r="106" spans="2:23" ht="15" customHeight="1" x14ac:dyDescent="0.35">
      <c r="B106" s="490">
        <f t="shared" si="3"/>
        <v>100</v>
      </c>
      <c r="C106" s="491"/>
      <c r="D106" s="492"/>
      <c r="E106" s="493"/>
      <c r="F106" s="494"/>
      <c r="G106" s="495"/>
      <c r="H106" s="495"/>
      <c r="I106" s="496"/>
      <c r="J106" s="497"/>
      <c r="K106" s="498"/>
      <c r="L106" s="499"/>
      <c r="M106" s="504"/>
      <c r="N106" s="500"/>
      <c r="O106" s="501"/>
      <c r="P106" s="496"/>
      <c r="Q106" s="502"/>
      <c r="R106" s="732"/>
      <c r="S106" s="499"/>
      <c r="T106" s="498"/>
      <c r="U106" s="498"/>
      <c r="V106" s="504"/>
      <c r="W106" s="508" t="str">
        <f t="shared" si="4"/>
        <v>Vyplnit!</v>
      </c>
    </row>
    <row r="107" spans="2:23" ht="15" customHeight="1" x14ac:dyDescent="0.35"/>
    <row r="108" spans="2:23" ht="15" customHeight="1" x14ac:dyDescent="0.35"/>
    <row r="109" spans="2:23" ht="15" customHeight="1" x14ac:dyDescent="0.35"/>
    <row r="110" spans="2:23" ht="15" customHeight="1" x14ac:dyDescent="0.35"/>
    <row r="111" spans="2:23" ht="15" customHeight="1" x14ac:dyDescent="0.35"/>
    <row r="112" spans="2:23" ht="15" customHeight="1" x14ac:dyDescent="0.35"/>
    <row r="113" ht="15" customHeight="1" x14ac:dyDescent="0.35"/>
    <row r="114" ht="15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5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5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  <row r="181" ht="15" customHeight="1" x14ac:dyDescent="0.35"/>
    <row r="182" ht="15" customHeight="1" x14ac:dyDescent="0.35"/>
    <row r="183" ht="15" customHeight="1" x14ac:dyDescent="0.35"/>
    <row r="184" ht="15" customHeight="1" x14ac:dyDescent="0.35"/>
    <row r="185" ht="15" customHeight="1" x14ac:dyDescent="0.35"/>
    <row r="186" ht="15" customHeight="1" x14ac:dyDescent="0.35"/>
    <row r="187" ht="15" customHeight="1" x14ac:dyDescent="0.35"/>
    <row r="188" ht="15" customHeight="1" x14ac:dyDescent="0.35"/>
    <row r="189" ht="15" customHeight="1" x14ac:dyDescent="0.35"/>
    <row r="190" ht="15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5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5" customHeight="1" x14ac:dyDescent="0.35"/>
    <row r="226" ht="15" customHeight="1" x14ac:dyDescent="0.35"/>
    <row r="227" ht="15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5" customHeight="1" x14ac:dyDescent="0.35"/>
    <row r="233" ht="15" customHeight="1" x14ac:dyDescent="0.35"/>
    <row r="234" ht="15" customHeight="1" x14ac:dyDescent="0.35"/>
    <row r="235" ht="15" customHeight="1" x14ac:dyDescent="0.35"/>
    <row r="236" ht="15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5" customHeight="1" x14ac:dyDescent="0.35"/>
    <row r="242" ht="15" customHeight="1" x14ac:dyDescent="0.35"/>
    <row r="243" ht="15" customHeight="1" x14ac:dyDescent="0.35"/>
    <row r="244" ht="15" customHeight="1" x14ac:dyDescent="0.35"/>
    <row r="245" ht="15" customHeight="1" x14ac:dyDescent="0.35"/>
    <row r="246" ht="15" customHeight="1" x14ac:dyDescent="0.35"/>
    <row r="247" ht="15" customHeight="1" x14ac:dyDescent="0.35"/>
    <row r="248" ht="15" customHeight="1" x14ac:dyDescent="0.35"/>
    <row r="249" ht="15" customHeight="1" x14ac:dyDescent="0.35"/>
    <row r="250" ht="15" customHeight="1" x14ac:dyDescent="0.35"/>
    <row r="251" ht="15" customHeight="1" x14ac:dyDescent="0.35"/>
    <row r="252" ht="15" customHeight="1" x14ac:dyDescent="0.35"/>
    <row r="253" ht="15" customHeight="1" x14ac:dyDescent="0.35"/>
    <row r="254" ht="15" customHeight="1" x14ac:dyDescent="0.35"/>
    <row r="255" ht="15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5" customHeight="1" x14ac:dyDescent="0.35"/>
    <row r="295" ht="15" customHeight="1" x14ac:dyDescent="0.35"/>
    <row r="296" ht="15" customHeight="1" x14ac:dyDescent="0.35"/>
    <row r="297" ht="15" customHeight="1" x14ac:dyDescent="0.35"/>
    <row r="298" ht="15" customHeight="1" x14ac:dyDescent="0.35"/>
    <row r="299" ht="15" customHeight="1" x14ac:dyDescent="0.35"/>
    <row r="300" ht="15" customHeight="1" x14ac:dyDescent="0.35"/>
    <row r="301" ht="15" customHeight="1" x14ac:dyDescent="0.35"/>
    <row r="302" ht="15" customHeight="1" x14ac:dyDescent="0.35"/>
    <row r="303" ht="15" customHeight="1" x14ac:dyDescent="0.35"/>
    <row r="304" ht="15" customHeight="1" x14ac:dyDescent="0.35"/>
    <row r="305" ht="15" customHeight="1" x14ac:dyDescent="0.35"/>
    <row r="306" ht="15" customHeight="1" x14ac:dyDescent="0.35"/>
    <row r="307" ht="15" customHeight="1" x14ac:dyDescent="0.35"/>
    <row r="308" ht="15" customHeight="1" x14ac:dyDescent="0.35"/>
    <row r="309" ht="15" customHeight="1" x14ac:dyDescent="0.35"/>
    <row r="310" ht="15" customHeight="1" x14ac:dyDescent="0.35"/>
    <row r="311" ht="15" customHeight="1" x14ac:dyDescent="0.35"/>
    <row r="312" ht="15" customHeight="1" x14ac:dyDescent="0.35"/>
    <row r="313" ht="15" customHeight="1" x14ac:dyDescent="0.35"/>
    <row r="314" ht="15" customHeight="1" x14ac:dyDescent="0.35"/>
    <row r="315" ht="15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5" customHeight="1" x14ac:dyDescent="0.35"/>
    <row r="323" ht="15" customHeight="1" x14ac:dyDescent="0.35"/>
    <row r="324" ht="15" customHeight="1" x14ac:dyDescent="0.35"/>
    <row r="325" ht="15" customHeight="1" x14ac:dyDescent="0.35"/>
    <row r="326" ht="15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5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5" customHeight="1" x14ac:dyDescent="0.35"/>
    <row r="366" ht="15" customHeight="1" x14ac:dyDescent="0.35"/>
    <row r="367" ht="15" customHeight="1" x14ac:dyDescent="0.35"/>
    <row r="368" ht="15" customHeight="1" x14ac:dyDescent="0.35"/>
    <row r="369" ht="15" customHeight="1" x14ac:dyDescent="0.35"/>
    <row r="370" ht="15" customHeight="1" x14ac:dyDescent="0.35"/>
    <row r="371" ht="15" customHeight="1" x14ac:dyDescent="0.35"/>
    <row r="372" ht="15" customHeight="1" x14ac:dyDescent="0.35"/>
    <row r="373" ht="15" customHeight="1" x14ac:dyDescent="0.35"/>
    <row r="374" ht="15" customHeight="1" x14ac:dyDescent="0.35"/>
    <row r="375" ht="15" customHeight="1" x14ac:dyDescent="0.35"/>
    <row r="376" ht="15" customHeight="1" x14ac:dyDescent="0.35"/>
    <row r="377" ht="15" customHeight="1" x14ac:dyDescent="0.35"/>
    <row r="378" ht="15" customHeight="1" x14ac:dyDescent="0.35"/>
    <row r="379" ht="15" customHeight="1" x14ac:dyDescent="0.35"/>
    <row r="380" ht="15" customHeight="1" x14ac:dyDescent="0.35"/>
    <row r="381" ht="15" customHeight="1" x14ac:dyDescent="0.35"/>
    <row r="382" ht="15" customHeight="1" x14ac:dyDescent="0.35"/>
    <row r="383" ht="15" customHeight="1" x14ac:dyDescent="0.35"/>
    <row r="384" ht="15" customHeight="1" x14ac:dyDescent="0.35"/>
    <row r="385" ht="15" customHeight="1" x14ac:dyDescent="0.35"/>
    <row r="386" ht="15" customHeight="1" x14ac:dyDescent="0.35"/>
    <row r="387" ht="15" customHeight="1" x14ac:dyDescent="0.35"/>
    <row r="388" ht="15" customHeight="1" x14ac:dyDescent="0.35"/>
    <row r="389" ht="15" customHeight="1" x14ac:dyDescent="0.35"/>
    <row r="390" ht="15" customHeight="1" x14ac:dyDescent="0.35"/>
    <row r="391" ht="15" customHeight="1" x14ac:dyDescent="0.35"/>
    <row r="392" ht="15" customHeight="1" x14ac:dyDescent="0.35"/>
    <row r="393" ht="15" customHeight="1" x14ac:dyDescent="0.35"/>
    <row r="394" ht="15" customHeight="1" x14ac:dyDescent="0.35"/>
    <row r="395" ht="15" customHeight="1" x14ac:dyDescent="0.35"/>
    <row r="396" ht="15" customHeight="1" x14ac:dyDescent="0.35"/>
    <row r="397" ht="15" customHeight="1" x14ac:dyDescent="0.35"/>
    <row r="398" ht="15" customHeight="1" x14ac:dyDescent="0.35"/>
    <row r="399" ht="15" customHeight="1" x14ac:dyDescent="0.35"/>
    <row r="400" ht="15" customHeight="1" x14ac:dyDescent="0.35"/>
    <row r="401" ht="15" customHeight="1" x14ac:dyDescent="0.35"/>
    <row r="402" ht="15" customHeight="1" x14ac:dyDescent="0.35"/>
    <row r="403" ht="15" customHeight="1" x14ac:dyDescent="0.35"/>
    <row r="404" ht="15" customHeight="1" x14ac:dyDescent="0.35"/>
    <row r="405" ht="15" customHeight="1" x14ac:dyDescent="0.35"/>
    <row r="406" ht="15" customHeight="1" x14ac:dyDescent="0.35"/>
    <row r="407" ht="15" customHeight="1" x14ac:dyDescent="0.35"/>
    <row r="408" ht="15" customHeight="1" x14ac:dyDescent="0.35"/>
    <row r="409" ht="15" customHeight="1" x14ac:dyDescent="0.35"/>
    <row r="410" ht="15" customHeight="1" x14ac:dyDescent="0.35"/>
    <row r="411" ht="15" customHeight="1" x14ac:dyDescent="0.35"/>
    <row r="412" ht="15" customHeight="1" x14ac:dyDescent="0.35"/>
    <row r="413" ht="15" customHeight="1" x14ac:dyDescent="0.35"/>
    <row r="414" ht="15" customHeight="1" x14ac:dyDescent="0.35"/>
    <row r="415" ht="15" customHeight="1" x14ac:dyDescent="0.35"/>
    <row r="416" ht="15" customHeight="1" x14ac:dyDescent="0.35"/>
    <row r="417" ht="15" customHeight="1" x14ac:dyDescent="0.35"/>
    <row r="418" ht="15" customHeight="1" x14ac:dyDescent="0.35"/>
    <row r="419" ht="15" customHeight="1" x14ac:dyDescent="0.35"/>
    <row r="420" ht="15" customHeight="1" x14ac:dyDescent="0.35"/>
    <row r="421" ht="15" customHeight="1" x14ac:dyDescent="0.35"/>
    <row r="422" ht="15" customHeight="1" x14ac:dyDescent="0.35"/>
    <row r="423" ht="15" customHeight="1" x14ac:dyDescent="0.35"/>
    <row r="424" ht="15" customHeight="1" x14ac:dyDescent="0.35"/>
    <row r="425" ht="15" customHeight="1" x14ac:dyDescent="0.35"/>
    <row r="426" ht="15" customHeight="1" x14ac:dyDescent="0.35"/>
    <row r="427" ht="15" customHeight="1" x14ac:dyDescent="0.35"/>
    <row r="428" ht="15" customHeight="1" x14ac:dyDescent="0.35"/>
    <row r="429" ht="15" customHeight="1" x14ac:dyDescent="0.35"/>
    <row r="430" ht="15" customHeight="1" x14ac:dyDescent="0.35"/>
    <row r="431" ht="15" customHeight="1" x14ac:dyDescent="0.35"/>
    <row r="432" ht="15" customHeight="1" x14ac:dyDescent="0.35"/>
    <row r="433" ht="15" customHeight="1" x14ac:dyDescent="0.35"/>
    <row r="434" ht="15" customHeight="1" x14ac:dyDescent="0.35"/>
    <row r="435" ht="15" customHeight="1" x14ac:dyDescent="0.35"/>
    <row r="436" ht="15" customHeight="1" x14ac:dyDescent="0.35"/>
    <row r="437" ht="15" customHeight="1" x14ac:dyDescent="0.35"/>
    <row r="438" ht="15" customHeight="1" x14ac:dyDescent="0.35"/>
    <row r="439" ht="15" customHeight="1" x14ac:dyDescent="0.35"/>
    <row r="440" ht="15" customHeight="1" x14ac:dyDescent="0.35"/>
    <row r="441" ht="15" customHeight="1" x14ac:dyDescent="0.35"/>
    <row r="442" ht="15" customHeight="1" x14ac:dyDescent="0.35"/>
    <row r="443" ht="15" customHeight="1" x14ac:dyDescent="0.35"/>
    <row r="444" ht="15" customHeight="1" x14ac:dyDescent="0.35"/>
    <row r="445" ht="15" customHeight="1" x14ac:dyDescent="0.35"/>
    <row r="446" ht="15" customHeight="1" x14ac:dyDescent="0.35"/>
    <row r="447" ht="15" customHeight="1" x14ac:dyDescent="0.35"/>
    <row r="448" ht="15" customHeight="1" x14ac:dyDescent="0.35"/>
    <row r="449" ht="15" customHeight="1" x14ac:dyDescent="0.35"/>
    <row r="450" ht="15" customHeight="1" x14ac:dyDescent="0.35"/>
    <row r="451" ht="15" customHeight="1" x14ac:dyDescent="0.35"/>
    <row r="452" ht="15" customHeight="1" x14ac:dyDescent="0.35"/>
    <row r="453" ht="15" customHeight="1" x14ac:dyDescent="0.35"/>
    <row r="454" ht="15" customHeight="1" x14ac:dyDescent="0.35"/>
    <row r="455" ht="15" customHeight="1" x14ac:dyDescent="0.35"/>
    <row r="456" ht="15" customHeight="1" x14ac:dyDescent="0.35"/>
    <row r="457" ht="15" customHeight="1" x14ac:dyDescent="0.35"/>
    <row r="458" ht="15" customHeight="1" x14ac:dyDescent="0.35"/>
    <row r="459" ht="15" customHeight="1" x14ac:dyDescent="0.35"/>
    <row r="460" ht="15" customHeight="1" x14ac:dyDescent="0.35"/>
    <row r="461" ht="15" customHeight="1" x14ac:dyDescent="0.35"/>
    <row r="462" ht="15" customHeight="1" x14ac:dyDescent="0.35"/>
    <row r="463" ht="15" customHeight="1" x14ac:dyDescent="0.35"/>
    <row r="464" ht="15" customHeight="1" x14ac:dyDescent="0.35"/>
    <row r="465" ht="15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5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5" customHeight="1" x14ac:dyDescent="0.35"/>
    <row r="492" ht="15" customHeight="1" x14ac:dyDescent="0.35"/>
    <row r="493" ht="15" customHeight="1" x14ac:dyDescent="0.35"/>
    <row r="494" ht="15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5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5" customHeight="1" x14ac:dyDescent="0.35"/>
    <row r="544" ht="15" customHeight="1" x14ac:dyDescent="0.35"/>
    <row r="545" ht="15" customHeight="1" x14ac:dyDescent="0.35"/>
    <row r="546" ht="15" customHeight="1" x14ac:dyDescent="0.35"/>
    <row r="547" ht="15" customHeight="1" x14ac:dyDescent="0.35"/>
    <row r="548" ht="15" customHeight="1" x14ac:dyDescent="0.35"/>
    <row r="549" ht="15" customHeight="1" x14ac:dyDescent="0.35"/>
    <row r="550" ht="15" customHeight="1" x14ac:dyDescent="0.35"/>
    <row r="551" ht="15" customHeight="1" x14ac:dyDescent="0.35"/>
    <row r="552" ht="15" customHeight="1" x14ac:dyDescent="0.35"/>
    <row r="553" ht="15" customHeight="1" x14ac:dyDescent="0.35"/>
    <row r="554" ht="15" customHeight="1" x14ac:dyDescent="0.35"/>
    <row r="555" ht="15" customHeight="1" x14ac:dyDescent="0.35"/>
    <row r="556" ht="15" customHeight="1" x14ac:dyDescent="0.35"/>
    <row r="557" ht="15" customHeight="1" x14ac:dyDescent="0.35"/>
    <row r="558" ht="15" customHeight="1" x14ac:dyDescent="0.35"/>
    <row r="559" ht="15" customHeight="1" x14ac:dyDescent="0.35"/>
    <row r="560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5" customHeight="1" x14ac:dyDescent="0.35"/>
    <row r="570" ht="15" customHeight="1" x14ac:dyDescent="0.35"/>
    <row r="571" ht="15" customHeight="1" x14ac:dyDescent="0.35"/>
    <row r="572" ht="15" customHeight="1" x14ac:dyDescent="0.35"/>
    <row r="573" ht="15" customHeight="1" x14ac:dyDescent="0.35"/>
    <row r="574" ht="15" customHeight="1" x14ac:dyDescent="0.35"/>
    <row r="575" ht="15" customHeight="1" x14ac:dyDescent="0.35"/>
    <row r="576" ht="15" customHeight="1" x14ac:dyDescent="0.35"/>
    <row r="577" ht="15" customHeight="1" x14ac:dyDescent="0.35"/>
    <row r="578" ht="15" customHeight="1" x14ac:dyDescent="0.35"/>
    <row r="579" ht="15" customHeight="1" x14ac:dyDescent="0.35"/>
    <row r="580" ht="15" customHeight="1" x14ac:dyDescent="0.35"/>
    <row r="581" ht="15" customHeight="1" x14ac:dyDescent="0.35"/>
    <row r="582" ht="15" customHeight="1" x14ac:dyDescent="0.35"/>
    <row r="583" ht="15" customHeight="1" x14ac:dyDescent="0.35"/>
    <row r="584" ht="15" customHeight="1" x14ac:dyDescent="0.35"/>
    <row r="585" ht="15" customHeight="1" x14ac:dyDescent="0.35"/>
    <row r="586" ht="15" customHeight="1" x14ac:dyDescent="0.35"/>
    <row r="587" ht="15" customHeight="1" x14ac:dyDescent="0.35"/>
    <row r="588" ht="15" customHeight="1" x14ac:dyDescent="0.35"/>
    <row r="589" ht="15" customHeight="1" x14ac:dyDescent="0.35"/>
    <row r="590" ht="15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5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5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5" customHeight="1" x14ac:dyDescent="0.35"/>
    <row r="623" ht="15" customHeight="1" x14ac:dyDescent="0.35"/>
    <row r="624" ht="15" customHeight="1" x14ac:dyDescent="0.35"/>
    <row r="625" ht="15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ht="15" customHeight="1" x14ac:dyDescent="0.35"/>
    <row r="642" ht="15" customHeight="1" x14ac:dyDescent="0.35"/>
    <row r="643" ht="15" customHeight="1" x14ac:dyDescent="0.35"/>
    <row r="644" ht="15" customHeight="1" x14ac:dyDescent="0.35"/>
    <row r="645" ht="15" customHeight="1" x14ac:dyDescent="0.35"/>
    <row r="646" ht="15" customHeight="1" x14ac:dyDescent="0.35"/>
    <row r="647" ht="15" customHeight="1" x14ac:dyDescent="0.35"/>
    <row r="648" ht="15" customHeight="1" x14ac:dyDescent="0.35"/>
    <row r="649" ht="15" customHeight="1" x14ac:dyDescent="0.35"/>
    <row r="650" ht="15" customHeight="1" x14ac:dyDescent="0.35"/>
    <row r="651" ht="15" customHeight="1" x14ac:dyDescent="0.35"/>
    <row r="652" ht="15" customHeight="1" x14ac:dyDescent="0.35"/>
    <row r="653" ht="15" customHeight="1" x14ac:dyDescent="0.35"/>
    <row r="654" ht="15" customHeight="1" x14ac:dyDescent="0.35"/>
    <row r="655" ht="15" customHeight="1" x14ac:dyDescent="0.35"/>
    <row r="656" ht="15" customHeight="1" x14ac:dyDescent="0.35"/>
    <row r="657" ht="15" customHeight="1" x14ac:dyDescent="0.35"/>
    <row r="658" ht="15" customHeight="1" x14ac:dyDescent="0.35"/>
    <row r="659" ht="15" customHeight="1" x14ac:dyDescent="0.35"/>
    <row r="660" ht="15" customHeight="1" x14ac:dyDescent="0.35"/>
    <row r="661" ht="15" customHeight="1" x14ac:dyDescent="0.35"/>
    <row r="662" ht="15" customHeight="1" x14ac:dyDescent="0.35"/>
    <row r="663" ht="15" customHeight="1" x14ac:dyDescent="0.35"/>
    <row r="664" ht="15" customHeight="1" x14ac:dyDescent="0.35"/>
    <row r="665" ht="15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5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5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5" customHeight="1" x14ac:dyDescent="0.35"/>
    <row r="700" ht="15" customHeight="1" x14ac:dyDescent="0.35"/>
    <row r="701" ht="15" customHeight="1" x14ac:dyDescent="0.35"/>
    <row r="702" ht="15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5" customHeight="1" x14ac:dyDescent="0.35"/>
    <row r="732" ht="15" customHeight="1" x14ac:dyDescent="0.35"/>
    <row r="733" ht="15" customHeight="1" x14ac:dyDescent="0.35"/>
    <row r="734" ht="15" customHeight="1" x14ac:dyDescent="0.35"/>
    <row r="735" ht="15" customHeight="1" x14ac:dyDescent="0.35"/>
    <row r="736" ht="15" customHeight="1" x14ac:dyDescent="0.35"/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</sheetData>
  <dataValidations count="7">
    <dataValidation type="list" allowBlank="1" showInputMessage="1" showErrorMessage="1" sqref="I7:I106" xr:uid="{00000000-0002-0000-0400-000000000000}">
      <formula1>MJHR</formula1>
    </dataValidation>
    <dataValidation type="list" allowBlank="1" showInputMessage="1" showErrorMessage="1" sqref="U7:U106" xr:uid="{00000000-0002-0000-0400-000001000000}">
      <formula1>STAV_NAKUP</formula1>
    </dataValidation>
    <dataValidation type="list" allowBlank="1" showInputMessage="1" showErrorMessage="1" sqref="E7:E106" xr:uid="{00000000-0002-0000-0400-000002000000}">
      <formula1>RESITEL</formula1>
    </dataValidation>
    <dataValidation type="list" allowBlank="1" showInputMessage="1" showErrorMessage="1" sqref="D7:D106" xr:uid="{00000000-0002-0000-0400-000003000000}">
      <formula1>KOD_POLOZEK</formula1>
    </dataValidation>
    <dataValidation type="list" allowBlank="1" showInputMessage="1" showErrorMessage="1" sqref="Q7:Q106" xr:uid="{00000000-0002-0000-0400-000004000000}">
      <formula1>MJCR</formula1>
    </dataValidation>
    <dataValidation type="list" allowBlank="1" showInputMessage="1" showErrorMessage="1" sqref="N7:N106" xr:uid="{00000000-0002-0000-0400-000005000000}">
      <formula1>OSOBY</formula1>
    </dataValidation>
    <dataValidation type="list" allowBlank="1" showInputMessage="1" showErrorMessage="1" sqref="L7:L106" xr:uid="{00000000-0002-0000-0400-000006000000}">
      <formula1>STAV_PROJEKCE</formula1>
    </dataValidation>
  </dataValidations>
  <pageMargins left="0.7" right="0.7" top="0.78740157499999996" bottom="0.78740157499999996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6" r:id="rId3" name="Button 4">
              <controlPr defaultSize="0" print="0" autoFill="0" autoPict="0" macro="[0]!Hypertext">
                <anchor moveWithCells="1" sizeWithCells="1">
                  <from>
                    <xdr:col>12</xdr:col>
                    <xdr:colOff>33338</xdr:colOff>
                    <xdr:row>2</xdr:row>
                    <xdr:rowOff>76200</xdr:rowOff>
                  </from>
                  <to>
                    <xdr:col>12</xdr:col>
                    <xdr:colOff>342900</xdr:colOff>
                    <xdr:row>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4" name="Button 5">
              <controlPr defaultSize="0" print="0" autoFill="0" autoPict="0" macro="[0]!Hypertext">
                <anchor moveWithCells="1" sizeWithCells="1">
                  <from>
                    <xdr:col>21</xdr:col>
                    <xdr:colOff>28575</xdr:colOff>
                    <xdr:row>2</xdr:row>
                    <xdr:rowOff>80963</xdr:rowOff>
                  </from>
                  <to>
                    <xdr:col>21</xdr:col>
                    <xdr:colOff>333375</xdr:colOff>
                    <xdr:row>3</xdr:row>
                    <xdr:rowOff>80963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5" name="Button 7">
              <controlPr defaultSize="0" print="0" autoFill="0" autoPict="0" macro="[0]!Datum">
                <anchor moveWithCells="1" sizeWithCells="1">
                  <from>
                    <xdr:col>14</xdr:col>
                    <xdr:colOff>14288</xdr:colOff>
                    <xdr:row>2</xdr:row>
                    <xdr:rowOff>85725</xdr:rowOff>
                  </from>
                  <to>
                    <xdr:col>14</xdr:col>
                    <xdr:colOff>509588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8">
    <tabColor rgb="FF00B050"/>
  </sheetPr>
  <dimension ref="A1:K1003"/>
  <sheetViews>
    <sheetView workbookViewId="0">
      <pane ySplit="1" topLeftCell="A2" activePane="bottomLeft" state="frozen"/>
      <selection pane="bottomLeft" activeCell="A2" sqref="A2:K1003"/>
    </sheetView>
  </sheetViews>
  <sheetFormatPr defaultColWidth="9.1328125" defaultRowHeight="12.75" x14ac:dyDescent="0.35"/>
  <cols>
    <col min="1" max="1" width="12.86328125" style="537" customWidth="1"/>
    <col min="2" max="3" width="34.265625" style="537" customWidth="1"/>
    <col min="4" max="4" width="32" style="664" customWidth="1"/>
    <col min="5" max="5" width="50" style="537" customWidth="1"/>
    <col min="6" max="6" width="9.86328125" style="537" customWidth="1"/>
    <col min="7" max="8" width="17.73046875" style="1" customWidth="1"/>
    <col min="9" max="9" width="13.59765625" style="749" customWidth="1"/>
    <col min="10" max="10" width="15" style="1" bestFit="1" customWidth="1"/>
    <col min="11" max="11" width="17.3984375" style="746" bestFit="1" customWidth="1"/>
    <col min="12" max="16384" width="9.1328125" style="1"/>
  </cols>
  <sheetData>
    <row r="1" spans="1:11" s="665" customFormat="1" ht="45.75" customHeight="1" x14ac:dyDescent="0.35">
      <c r="A1" s="852" t="s">
        <v>675</v>
      </c>
      <c r="B1" s="703" t="s">
        <v>721</v>
      </c>
      <c r="C1" s="704" t="s">
        <v>676</v>
      </c>
      <c r="D1" s="706" t="s">
        <v>32</v>
      </c>
      <c r="E1" s="713" t="s">
        <v>30</v>
      </c>
      <c r="F1" s="707" t="s">
        <v>61</v>
      </c>
      <c r="G1" s="705" t="s">
        <v>484</v>
      </c>
      <c r="H1" s="716" t="s">
        <v>678</v>
      </c>
      <c r="I1" s="747" t="s">
        <v>645</v>
      </c>
      <c r="J1" s="716" t="s">
        <v>685</v>
      </c>
      <c r="K1" s="744" t="s">
        <v>232</v>
      </c>
    </row>
    <row r="2" spans="1:11" x14ac:dyDescent="0.35">
      <c r="A2" s="709" t="str">
        <f ca="1">IF('Rozpad zakázky'!E18=0,"",IF('Rozpad zakázky'!E18="-","",'Rozpad zakázky'!E18))</f>
        <v/>
      </c>
      <c r="B2" s="708" t="str">
        <f ca="1">IF(A2="","",IF(A2="","",VLOOKUP(A:A,Pomocna_Nakup[],3,0))&amp;" | "&amp;IF(A2="","",VLOOKUP(A:A,Pomocna_Nakup[],4,0)))</f>
        <v/>
      </c>
      <c r="C2" s="710" t="str">
        <f ca="1">IF(Tabulka_nakup_Vonka[[#This Row],[Zkratka kalkulační položky]]="","",Tabulka_nakup_Vonka[[#This Row],[Zkratka kalkulační položky]]&amp;" | "&amp;IF(A2="","",VLOOKUP(A:A,Pomocna_Nakup[],2,0)))</f>
        <v/>
      </c>
      <c r="D2" s="710" t="str">
        <f ca="1">IF(A2="","",'Rozpad zakázky'!F18)</f>
        <v/>
      </c>
      <c r="E2" s="710" t="str">
        <f ca="1">IF(A2="","",'Rozpad zakázky'!D18&amp;IF('Rozpad zakázky'!G18="",""," ("&amp;'Rozpad zakázky'!G18&amp;")"))</f>
        <v/>
      </c>
      <c r="F2" s="709" t="str">
        <f ca="1">IF(A2="","",'Rozpad zakázky'!IW18)</f>
        <v/>
      </c>
      <c r="G2" s="711" t="str">
        <f ca="1">IF(A2="","",'Rozpad zakázky'!AE18)</f>
        <v/>
      </c>
      <c r="H2" s="717" t="str">
        <f ca="1">IF(A2="","",'Rozpad zakázky'!AJ18)</f>
        <v/>
      </c>
      <c r="I2" s="748" t="str">
        <f ca="1">IF(A2="","",'Rozpad zakázky'!Q18)</f>
        <v/>
      </c>
      <c r="J2" s="717" t="str">
        <f ca="1">IF(A2="","",ROUNDDOWN('Rozpad zakázky'!L18,1))</f>
        <v/>
      </c>
      <c r="K2" s="745" t="str">
        <f ca="1">IF(A2="","",Tabulka_nakup_Vonka[[#This Row],[Počet MJHR v rozpadu]]*Tabulka_nakup_Vonka[[#This Row],[Jedn. hmotnost '[kg/MJHR']]])</f>
        <v/>
      </c>
    </row>
    <row r="3" spans="1:11" x14ac:dyDescent="0.35">
      <c r="A3" s="709" t="str">
        <f ca="1">IF('Rozpad zakázky'!E19=0,"",IF('Rozpad zakázky'!E19="-","",'Rozpad zakázky'!E19))</f>
        <v/>
      </c>
      <c r="B3" s="708" t="str">
        <f ca="1">IF(A3="","",IF(A3="","",VLOOKUP(A:A,Pomocna_Nakup[],3,0))&amp;" | "&amp;IF(A3="","",VLOOKUP(A:A,Pomocna_Nakup[],4,0)))</f>
        <v/>
      </c>
      <c r="C3" s="710" t="str">
        <f ca="1">IF(Tabulka_nakup_Vonka[[#This Row],[Zkratka kalkulační položky]]="","",Tabulka_nakup_Vonka[[#This Row],[Zkratka kalkulační položky]]&amp;" | "&amp;IF(A3="","",VLOOKUP(A:A,Pomocna_Nakup[],2,0)))</f>
        <v/>
      </c>
      <c r="D3" s="710" t="str">
        <f ca="1">IF(A3="","",'Rozpad zakázky'!F19)</f>
        <v/>
      </c>
      <c r="E3" s="710" t="str">
        <f ca="1">IF(A3="","",'Rozpad zakázky'!D19&amp;IF('Rozpad zakázky'!G19="",""," ("&amp;'Rozpad zakázky'!G19&amp;")"))</f>
        <v/>
      </c>
      <c r="F3" s="709" t="str">
        <f ca="1">IF(A3="","",'Rozpad zakázky'!IW19)</f>
        <v/>
      </c>
      <c r="G3" s="711" t="str">
        <f ca="1">IF(A3="","",'Rozpad zakázky'!AE19)</f>
        <v/>
      </c>
      <c r="H3" s="717" t="str">
        <f ca="1">IF(A3="","",'Rozpad zakázky'!AJ19)</f>
        <v/>
      </c>
      <c r="I3" s="748" t="str">
        <f ca="1">IF(A3="","",'Rozpad zakázky'!Q19)</f>
        <v/>
      </c>
      <c r="J3" s="717" t="str">
        <f ca="1">IF(A3="","",ROUNDDOWN('Rozpad zakázky'!L19,1))</f>
        <v/>
      </c>
      <c r="K3" s="745" t="str">
        <f ca="1">IF(A3="","",Tabulka_nakup_Vonka[[#This Row],[Počet MJHR v rozpadu]]*Tabulka_nakup_Vonka[[#This Row],[Jedn. hmotnost '[kg/MJHR']]])</f>
        <v/>
      </c>
    </row>
    <row r="4" spans="1:11" x14ac:dyDescent="0.35">
      <c r="A4" s="709" t="str">
        <f ca="1">IF('Rozpad zakázky'!E20=0,"",IF('Rozpad zakázky'!E20="-","",'Rozpad zakázky'!E20))</f>
        <v>OKS1</v>
      </c>
      <c r="B4" s="708" t="str">
        <f ca="1">IF(A4="","",IF(A4="","",VLOOKUP(A:A,Pomocna_Nakup[],3,0))&amp;" | "&amp;IF(A4="","",VLOOKUP(A:A,Pomocna_Nakup[],4,0)))</f>
        <v>OK | Ocelové kosntrukce</v>
      </c>
      <c r="C4" s="710" t="str">
        <f ca="1">IF(Tabulka_nakup_Vonka[[#This Row],[Zkratka kalkulační položky]]="","",Tabulka_nakup_Vonka[[#This Row],[Zkratka kalkulační položky]]&amp;" | "&amp;IF(A4="","",VLOOKUP(A:A,Pomocna_Nakup[],2,0)))</f>
        <v>OKS1 | Svařenec třída 1</v>
      </c>
      <c r="D4" s="710" t="str">
        <f ca="1">IF(A4="","",'Rozpad zakázky'!F20)</f>
        <v>N/A</v>
      </c>
      <c r="E4" s="710" t="str">
        <f ca="1">IF(A4="","",'Rozpad zakázky'!D20&amp;IF('Rozpad zakázky'!G20="",""," ("&amp;'Rozpad zakázky'!G20&amp;")"))</f>
        <v xml:space="preserve">    Rám pohonu</v>
      </c>
      <c r="F4" s="709">
        <f ca="1">IF(A4="","",'Rozpad zakázky'!IW20)</f>
        <v>1</v>
      </c>
      <c r="G4" s="711">
        <f ca="1">IF(A4="","",'Rozpad zakázky'!AE20)</f>
        <v>95620</v>
      </c>
      <c r="H4" s="717">
        <f ca="1">IF(A4="","",'Rozpad zakázky'!AJ20)</f>
        <v>3541.4814814814813</v>
      </c>
      <c r="I4" s="748">
        <f ca="1">IF(A4="","",'Rozpad zakázky'!Q20)</f>
        <v>1</v>
      </c>
      <c r="J4" s="717">
        <f ca="1">IF(A4="","",ROUNDDOWN('Rozpad zakázky'!L20,1))</f>
        <v>683</v>
      </c>
      <c r="K4" s="745">
        <f ca="1">IF(A4="","",Tabulka_nakup_Vonka[[#This Row],[Počet MJHR v rozpadu]]*Tabulka_nakup_Vonka[[#This Row],[Jedn. hmotnost '[kg/MJHR']]])</f>
        <v>683</v>
      </c>
    </row>
    <row r="5" spans="1:11" x14ac:dyDescent="0.35">
      <c r="A5" s="709" t="str">
        <f ca="1">IF('Rozpad zakázky'!E21=0,"",IF('Rozpad zakázky'!E21="-","",'Rozpad zakázky'!E21))</f>
        <v>SUOS</v>
      </c>
      <c r="B5" s="708" t="str">
        <f ca="1">IF(A5="","",IF(A5="","",VLOOKUP(A:A,Pomocna_Nakup[],3,0))&amp;" | "&amp;IF(A5="","",VLOOKUP(A:A,Pomocna_Nakup[],4,0)))</f>
        <v>SU | Subdodávky</v>
      </c>
      <c r="C5" s="710" t="str">
        <f ca="1">IF(Tabulka_nakup_Vonka[[#This Row],[Zkratka kalkulační položky]]="","",Tabulka_nakup_Vonka[[#This Row],[Zkratka kalkulační položky]]&amp;" | "&amp;IF(A5="","",VLOOKUP(A:A,Pomocna_Nakup[],2,0)))</f>
        <v>SUOS | Ostatní</v>
      </c>
      <c r="D5" s="710" t="str">
        <f ca="1">IF(A5="","",'Rozpad zakázky'!F21)</f>
        <v>N/A</v>
      </c>
      <c r="E5" s="710" t="str">
        <f ca="1">IF(A5="","",'Rozpad zakázky'!D21&amp;IF('Rozpad zakázky'!G21="",""," ("&amp;'Rozpad zakázky'!G21&amp;")"))</f>
        <v xml:space="preserve">    Vzduchové potrubí</v>
      </c>
      <c r="F5" s="709">
        <f ca="1">IF(A5="","",'Rozpad zakázky'!IW21)</f>
        <v>1</v>
      </c>
      <c r="G5" s="711">
        <f ca="1">IF(A5="","",'Rozpad zakázky'!AE21)</f>
        <v>22500</v>
      </c>
      <c r="H5" s="717">
        <f ca="1">IF(A5="","",'Rozpad zakázky'!AJ21)</f>
        <v>833.33333333333337</v>
      </c>
      <c r="I5" s="748">
        <f ca="1">IF(A5="","",'Rozpad zakázky'!Q21)</f>
        <v>1</v>
      </c>
      <c r="J5" s="717">
        <f ca="1">IF(A5="","",ROUNDDOWN('Rozpad zakázky'!L21,1))</f>
        <v>52.4</v>
      </c>
      <c r="K5" s="745">
        <f ca="1">IF(A5="","",Tabulka_nakup_Vonka[[#This Row],[Počet MJHR v rozpadu]]*Tabulka_nakup_Vonka[[#This Row],[Jedn. hmotnost '[kg/MJHR']]])</f>
        <v>52.4</v>
      </c>
    </row>
    <row r="6" spans="1:11" x14ac:dyDescent="0.35">
      <c r="A6" s="709" t="str">
        <f ca="1">IF('Rozpad zakázky'!E22=0,"",IF('Rozpad zakázky'!E22="-","",'Rozpad zakázky'!E22))</f>
        <v>STSP</v>
      </c>
      <c r="B6" s="708" t="str">
        <f ca="1">IF(A6="","",IF(A6="","",VLOOKUP(A:A,Pomocna_Nakup[],3,0))&amp;" | "&amp;IF(A6="","",VLOOKUP(A:A,Pomocna_Nakup[],4,0)))</f>
        <v>ST | Strojní</v>
      </c>
      <c r="C6" s="710" t="str">
        <f ca="1">IF(Tabulka_nakup_Vonka[[#This Row],[Zkratka kalkulační položky]]="","",Tabulka_nakup_Vonka[[#This Row],[Zkratka kalkulační položky]]&amp;" | "&amp;IF(A6="","",VLOOKUP(A:A,Pomocna_Nakup[],2,0)))</f>
        <v>STSP | Spojky</v>
      </c>
      <c r="D6" s="710" t="str">
        <f ca="1">IF(A6="","",'Rozpad zakázky'!F22)</f>
        <v>N/A</v>
      </c>
      <c r="E6" s="710" t="str">
        <f ca="1">IF(A6="","",'Rozpad zakázky'!D22&amp;IF('Rozpad zakázky'!G22="",""," ("&amp;'Rozpad zakázky'!G22&amp;")"))</f>
        <v xml:space="preserve">    Spojka s brzdou - průměr 630</v>
      </c>
      <c r="F6" s="709">
        <f ca="1">IF(A6="","",'Rozpad zakázky'!IW22)</f>
        <v>1</v>
      </c>
      <c r="G6" s="711">
        <f ca="1">IF(A6="","",'Rozpad zakázky'!AE22)</f>
        <v>115500.00000000001</v>
      </c>
      <c r="H6" s="717">
        <f ca="1">IF(A6="","",'Rozpad zakázky'!AJ22)</f>
        <v>4277.7777777777783</v>
      </c>
      <c r="I6" s="748">
        <f ca="1">IF(A6="","",'Rozpad zakázky'!Q22)</f>
        <v>1</v>
      </c>
      <c r="J6" s="717">
        <f ca="1">IF(A6="","",ROUNDDOWN('Rozpad zakázky'!L22,1))</f>
        <v>264</v>
      </c>
      <c r="K6" s="745">
        <f ca="1">IF(A6="","",Tabulka_nakup_Vonka[[#This Row],[Počet MJHR v rozpadu]]*Tabulka_nakup_Vonka[[#This Row],[Jedn. hmotnost '[kg/MJHR']]])</f>
        <v>264</v>
      </c>
    </row>
    <row r="7" spans="1:11" x14ac:dyDescent="0.35">
      <c r="A7" s="709" t="str">
        <f ca="1">IF('Rozpad zakázky'!E23=0,"",IF('Rozpad zakázky'!E23="-","",'Rozpad zakázky'!E23))</f>
        <v>STBR</v>
      </c>
      <c r="B7" s="708" t="str">
        <f ca="1">IF(A7="","",IF(A7="","",VLOOKUP(A:A,Pomocna_Nakup[],3,0))&amp;" | "&amp;IF(A7="","",VLOOKUP(A:A,Pomocna_Nakup[],4,0)))</f>
        <v>ST | Strojní</v>
      </c>
      <c r="C7" s="710" t="str">
        <f ca="1">IF(Tabulka_nakup_Vonka[[#This Row],[Zkratka kalkulační položky]]="","",Tabulka_nakup_Vonka[[#This Row],[Zkratka kalkulační položky]]&amp;" | "&amp;IF(A7="","",VLOOKUP(A:A,Pomocna_Nakup[],2,0)))</f>
        <v>STBR | Brzdy</v>
      </c>
      <c r="D7" s="710" t="str">
        <f ca="1">IF(A7="","",'Rozpad zakázky'!F23)</f>
        <v>N/A</v>
      </c>
      <c r="E7" s="710" t="str">
        <f ca="1">IF(A7="","",'Rozpad zakázky'!D23&amp;IF('Rozpad zakázky'!G23="",""," ("&amp;'Rozpad zakázky'!G23&amp;")"))</f>
        <v xml:space="preserve">    Brzda</v>
      </c>
      <c r="F7" s="709">
        <f ca="1">IF(A7="","",'Rozpad zakázky'!IW23)</f>
        <v>1</v>
      </c>
      <c r="G7" s="711">
        <f ca="1">IF(A7="","",'Rozpad zakázky'!AE23)</f>
        <v>77000</v>
      </c>
      <c r="H7" s="717">
        <f ca="1">IF(A7="","",'Rozpad zakázky'!AJ23)</f>
        <v>2851.8518518518517</v>
      </c>
      <c r="I7" s="748">
        <f ca="1">IF(A7="","",'Rozpad zakázky'!Q23)</f>
        <v>1</v>
      </c>
      <c r="J7" s="717">
        <f ca="1">IF(A7="","",ROUNDDOWN('Rozpad zakázky'!L23,1))</f>
        <v>185</v>
      </c>
      <c r="K7" s="745">
        <f ca="1">IF(A7="","",Tabulka_nakup_Vonka[[#This Row],[Počet MJHR v rozpadu]]*Tabulka_nakup_Vonka[[#This Row],[Jedn. hmotnost '[kg/MJHR']]])</f>
        <v>185</v>
      </c>
    </row>
    <row r="8" spans="1:11" x14ac:dyDescent="0.35">
      <c r="A8" s="709" t="str">
        <f ca="1">IF('Rozpad zakázky'!E24=0,"",IF('Rozpad zakázky'!E24="-","",'Rozpad zakázky'!E24))</f>
        <v>STSP</v>
      </c>
      <c r="B8" s="708" t="str">
        <f ca="1">IF(A8="","",IF(A8="","",VLOOKUP(A:A,Pomocna_Nakup[],3,0))&amp;" | "&amp;IF(A8="","",VLOOKUP(A:A,Pomocna_Nakup[],4,0)))</f>
        <v>ST | Strojní</v>
      </c>
      <c r="C8" s="710" t="str">
        <f ca="1">IF(Tabulka_nakup_Vonka[[#This Row],[Zkratka kalkulační položky]]="","",Tabulka_nakup_Vonka[[#This Row],[Zkratka kalkulační položky]]&amp;" | "&amp;IF(A8="","",VLOOKUP(A:A,Pomocna_Nakup[],2,0)))</f>
        <v>STSP | Spojky</v>
      </c>
      <c r="D8" s="710" t="str">
        <f ca="1">IF(A8="","",'Rozpad zakázky'!F24)</f>
        <v>N/A</v>
      </c>
      <c r="E8" s="710" t="str">
        <f ca="1">IF(A8="","",'Rozpad zakázky'!D24&amp;IF('Rozpad zakázky'!G24="",""," ("&amp;'Rozpad zakázky'!G24&amp;")"))</f>
        <v xml:space="preserve">    Spojka</v>
      </c>
      <c r="F8" s="709">
        <f ca="1">IF(A8="","",'Rozpad zakázky'!IW24)</f>
        <v>1</v>
      </c>
      <c r="G8" s="711">
        <f ca="1">IF(A8="","",'Rozpad zakázky'!AE24)</f>
        <v>132000</v>
      </c>
      <c r="H8" s="717">
        <f ca="1">IF(A8="","",'Rozpad zakázky'!AJ24)</f>
        <v>4888.8888888888887</v>
      </c>
      <c r="I8" s="748">
        <f ca="1">IF(A8="","",'Rozpad zakázky'!Q24)</f>
        <v>2</v>
      </c>
      <c r="J8" s="717">
        <f ca="1">IF(A8="","",ROUNDDOWN('Rozpad zakázky'!L24,1))</f>
        <v>165.1</v>
      </c>
      <c r="K8" s="745">
        <f ca="1">IF(A8="","",Tabulka_nakup_Vonka[[#This Row],[Počet MJHR v rozpadu]]*Tabulka_nakup_Vonka[[#This Row],[Jedn. hmotnost '[kg/MJHR']]])</f>
        <v>330.2</v>
      </c>
    </row>
    <row r="9" spans="1:11" x14ac:dyDescent="0.35">
      <c r="A9" s="709" t="str">
        <f ca="1">IF('Rozpad zakázky'!E25=0,"",IF('Rozpad zakázky'!E25="-","",'Rozpad zakázky'!E25))</f>
        <v>STO2</v>
      </c>
      <c r="B9" s="708" t="str">
        <f ca="1">IF(A9="","",IF(A9="","",VLOOKUP(A:A,Pomocna_Nakup[],3,0))&amp;" | "&amp;IF(A9="","",VLOOKUP(A:A,Pomocna_Nakup[],4,0)))</f>
        <v>ST | Strojní</v>
      </c>
      <c r="C9" s="710" t="str">
        <f ca="1">IF(Tabulka_nakup_Vonka[[#This Row],[Zkratka kalkulační položky]]="","",Tabulka_nakup_Vonka[[#This Row],[Zkratka kalkulační položky]]&amp;" | "&amp;IF(A9="","",VLOOKUP(A:A,Pomocna_Nakup[],2,0)))</f>
        <v>STO2 | Obrobky třída 2</v>
      </c>
      <c r="D9" s="710" t="str">
        <f ca="1">IF(A9="","",'Rozpad zakázky'!F25)</f>
        <v>N/A</v>
      </c>
      <c r="E9" s="710" t="str">
        <f ca="1">IF(A9="","",'Rozpad zakázky'!D25&amp;IF('Rozpad zakázky'!G25="",""," ("&amp;'Rozpad zakázky'!G25&amp;")"))</f>
        <v xml:space="preserve">    Hřídel</v>
      </c>
      <c r="F9" s="709">
        <f ca="1">IF(A9="","",'Rozpad zakázky'!IW25)</f>
        <v>1</v>
      </c>
      <c r="G9" s="711">
        <f ca="1">IF(A9="","",'Rozpad zakázky'!AE25)</f>
        <v>132020</v>
      </c>
      <c r="H9" s="717">
        <f ca="1">IF(A9="","",'Rozpad zakázky'!AJ25)</f>
        <v>4889.6296296296296</v>
      </c>
      <c r="I9" s="748">
        <f ca="1">IF(A9="","",'Rozpad zakázky'!Q25)</f>
        <v>2</v>
      </c>
      <c r="J9" s="717">
        <f ca="1">IF(A9="","",ROUNDDOWN('Rozpad zakázky'!L25,1))</f>
        <v>574</v>
      </c>
      <c r="K9" s="745">
        <f ca="1">IF(A9="","",Tabulka_nakup_Vonka[[#This Row],[Počet MJHR v rozpadu]]*Tabulka_nakup_Vonka[[#This Row],[Jedn. hmotnost '[kg/MJHR']]])</f>
        <v>1148</v>
      </c>
    </row>
    <row r="10" spans="1:11" x14ac:dyDescent="0.35">
      <c r="A10" s="709" t="str">
        <f ca="1">IF('Rozpad zakázky'!E26=0,"",IF('Rozpad zakázky'!E26="-","",'Rozpad zakázky'!E26))</f>
        <v>OKS2</v>
      </c>
      <c r="B10" s="708" t="str">
        <f ca="1">IF(A10="","",IF(A10="","",VLOOKUP(A:A,Pomocna_Nakup[],3,0))&amp;" | "&amp;IF(A10="","",VLOOKUP(A:A,Pomocna_Nakup[],4,0)))</f>
        <v>OK | Ocelové kosntrukce</v>
      </c>
      <c r="C10" s="710" t="str">
        <f ca="1">IF(Tabulka_nakup_Vonka[[#This Row],[Zkratka kalkulační položky]]="","",Tabulka_nakup_Vonka[[#This Row],[Zkratka kalkulační položky]]&amp;" | "&amp;IF(A10="","",VLOOKUP(A:A,Pomocna_Nakup[],2,0)))</f>
        <v>OKS2 | Svařenec třída 2</v>
      </c>
      <c r="D10" s="710" t="str">
        <f ca="1">IF(A10="","",'Rozpad zakázky'!F26)</f>
        <v>N/A</v>
      </c>
      <c r="E10" s="710" t="str">
        <f ca="1">IF(A10="","",'Rozpad zakázky'!D26&amp;IF('Rozpad zakázky'!G26="",""," ("&amp;'Rozpad zakázky'!G26&amp;")"))</f>
        <v xml:space="preserve">    Podpěra</v>
      </c>
      <c r="F10" s="709">
        <f ca="1">IF(A10="","",'Rozpad zakázky'!IW26)</f>
        <v>1</v>
      </c>
      <c r="G10" s="711">
        <f ca="1">IF(A10="","",'Rozpad zakázky'!AE26)</f>
        <v>14674</v>
      </c>
      <c r="H10" s="717">
        <f ca="1">IF(A10="","",'Rozpad zakázky'!AJ26)</f>
        <v>543.48148148148152</v>
      </c>
      <c r="I10" s="748">
        <f ca="1">IF(A10="","",'Rozpad zakázky'!Q26)</f>
        <v>2</v>
      </c>
      <c r="J10" s="717">
        <f ca="1">IF(A10="","",ROUNDDOWN('Rozpad zakázky'!L26,1))</f>
        <v>66.7</v>
      </c>
      <c r="K10" s="745">
        <f ca="1">IF(A10="","",Tabulka_nakup_Vonka[[#This Row],[Počet MJHR v rozpadu]]*Tabulka_nakup_Vonka[[#This Row],[Jedn. hmotnost '[kg/MJHR']]])</f>
        <v>133.4</v>
      </c>
    </row>
    <row r="11" spans="1:11" x14ac:dyDescent="0.35">
      <c r="A11" s="709" t="str">
        <f ca="1">IF('Rozpad zakázky'!E27=0,"",IF('Rozpad zakázky'!E27="-","",'Rozpad zakázky'!E27))</f>
        <v/>
      </c>
      <c r="B11" s="708" t="str">
        <f ca="1">IF(A11="","",IF(A11="","",VLOOKUP(A:A,Pomocna_Nakup[],3,0))&amp;" | "&amp;IF(A11="","",VLOOKUP(A:A,Pomocna_Nakup[],4,0)))</f>
        <v/>
      </c>
      <c r="C11" s="710" t="str">
        <f ca="1">IF(Tabulka_nakup_Vonka[[#This Row],[Zkratka kalkulační položky]]="","",Tabulka_nakup_Vonka[[#This Row],[Zkratka kalkulační položky]]&amp;" | "&amp;IF(A11="","",VLOOKUP(A:A,Pomocna_Nakup[],2,0)))</f>
        <v/>
      </c>
      <c r="D11" s="710" t="str">
        <f ca="1">IF(A11="","",'Rozpad zakázky'!F27)</f>
        <v/>
      </c>
      <c r="E11" s="710" t="str">
        <f ca="1">IF(A11="","",'Rozpad zakázky'!D27&amp;IF('Rozpad zakázky'!G27="",""," ("&amp;'Rozpad zakázky'!G27&amp;")"))</f>
        <v/>
      </c>
      <c r="F11" s="709" t="str">
        <f ca="1">IF(A11="","",'Rozpad zakázky'!IW27)</f>
        <v/>
      </c>
      <c r="G11" s="711" t="str">
        <f ca="1">IF(A11="","",'Rozpad zakázky'!AE27)</f>
        <v/>
      </c>
      <c r="H11" s="717" t="str">
        <f ca="1">IF(A11="","",'Rozpad zakázky'!AJ27)</f>
        <v/>
      </c>
      <c r="I11" s="748" t="str">
        <f ca="1">IF(A11="","",'Rozpad zakázky'!Q27)</f>
        <v/>
      </c>
      <c r="J11" s="717" t="str">
        <f ca="1">IF(A11="","",ROUNDDOWN('Rozpad zakázky'!L27,1))</f>
        <v/>
      </c>
      <c r="K11" s="745" t="str">
        <f ca="1">IF(A11="","",Tabulka_nakup_Vonka[[#This Row],[Počet MJHR v rozpadu]]*Tabulka_nakup_Vonka[[#This Row],[Jedn. hmotnost '[kg/MJHR']]])</f>
        <v/>
      </c>
    </row>
    <row r="12" spans="1:11" x14ac:dyDescent="0.35">
      <c r="A12" s="709" t="str">
        <f ca="1">IF('Rozpad zakázky'!E28=0,"",IF('Rozpad zakázky'!E28="-","",'Rozpad zakázky'!E28))</f>
        <v>STLO</v>
      </c>
      <c r="B12" s="708" t="str">
        <f ca="1">IF(A12="","",IF(A12="","",VLOOKUP(A:A,Pomocna_Nakup[],3,0))&amp;" | "&amp;IF(A12="","",VLOOKUP(A:A,Pomocna_Nakup[],4,0)))</f>
        <v>ST | Strojní</v>
      </c>
      <c r="C12" s="710" t="str">
        <f ca="1">IF(Tabulka_nakup_Vonka[[#This Row],[Zkratka kalkulační položky]]="","",Tabulka_nakup_Vonka[[#This Row],[Zkratka kalkulační položky]]&amp;" | "&amp;IF(A12="","",VLOOKUP(A:A,Pomocna_Nakup[],2,0)))</f>
        <v>STLO | Ložiska</v>
      </c>
      <c r="D12" s="710" t="str">
        <f ca="1">IF(A12="","",'Rozpad zakázky'!F28)</f>
        <v>N/A</v>
      </c>
      <c r="E12" s="710" t="str">
        <f ca="1">IF(A12="","",'Rozpad zakázky'!D28&amp;IF('Rozpad zakázky'!G28="",""," ("&amp;'Rozpad zakázky'!G28&amp;")"))</f>
        <v xml:space="preserve">      Těleso ložiska</v>
      </c>
      <c r="F12" s="709">
        <f ca="1">IF(A12="","",'Rozpad zakázky'!IW28)</f>
        <v>1</v>
      </c>
      <c r="G12" s="711">
        <f ca="1">IF(A12="","",'Rozpad zakázky'!AE28)</f>
        <v>90000</v>
      </c>
      <c r="H12" s="717">
        <f ca="1">IF(A12="","",'Rozpad zakázky'!AJ28)</f>
        <v>3333.3333333333335</v>
      </c>
      <c r="I12" s="748">
        <f ca="1">IF(A12="","",'Rozpad zakázky'!Q28)</f>
        <v>2</v>
      </c>
      <c r="J12" s="717">
        <f ca="1">IF(A12="","",ROUNDDOWN('Rozpad zakázky'!L28,1))</f>
        <v>156</v>
      </c>
      <c r="K12" s="745">
        <f ca="1">IF(A12="","",Tabulka_nakup_Vonka[[#This Row],[Počet MJHR v rozpadu]]*Tabulka_nakup_Vonka[[#This Row],[Jedn. hmotnost '[kg/MJHR']]])</f>
        <v>312</v>
      </c>
    </row>
    <row r="13" spans="1:11" x14ac:dyDescent="0.35">
      <c r="A13" s="709" t="str">
        <f ca="1">IF('Rozpad zakázky'!E29=0,"",IF('Rozpad zakázky'!E29="-","",'Rozpad zakázky'!E29))</f>
        <v>STLO</v>
      </c>
      <c r="B13" s="708" t="str">
        <f ca="1">IF(A13="","",IF(A13="","",VLOOKUP(A:A,Pomocna_Nakup[],3,0))&amp;" | "&amp;IF(A13="","",VLOOKUP(A:A,Pomocna_Nakup[],4,0)))</f>
        <v>ST | Strojní</v>
      </c>
      <c r="C13" s="710" t="str">
        <f ca="1">IF(Tabulka_nakup_Vonka[[#This Row],[Zkratka kalkulační položky]]="","",Tabulka_nakup_Vonka[[#This Row],[Zkratka kalkulační položky]]&amp;" | "&amp;IF(A13="","",VLOOKUP(A:A,Pomocna_Nakup[],2,0)))</f>
        <v>STLO | Ložiska</v>
      </c>
      <c r="D13" s="710" t="str">
        <f ca="1">IF(A13="","",'Rozpad zakázky'!F29)</f>
        <v>N/A</v>
      </c>
      <c r="E13" s="710" t="str">
        <f ca="1">IF(A13="","",'Rozpad zakázky'!D29&amp;IF('Rozpad zakázky'!G29="",""," ("&amp;'Rozpad zakázky'!G29&amp;")"))</f>
        <v xml:space="preserve">      Ložisko 22240 K</v>
      </c>
      <c r="F13" s="709">
        <f ca="1">IF(A13="","",'Rozpad zakázky'!IW29)</f>
        <v>1</v>
      </c>
      <c r="G13" s="711">
        <f ca="1">IF(A13="","",'Rozpad zakázky'!AE29)</f>
        <v>60000</v>
      </c>
      <c r="H13" s="717">
        <f ca="1">IF(A13="","",'Rozpad zakázky'!AJ29)</f>
        <v>2222.2222222222222</v>
      </c>
      <c r="I13" s="748">
        <f ca="1">IF(A13="","",'Rozpad zakázky'!Q29)</f>
        <v>2</v>
      </c>
      <c r="J13" s="717">
        <f ca="1">IF(A13="","",ROUNDDOWN('Rozpad zakázky'!L29,1))</f>
        <v>43.5</v>
      </c>
      <c r="K13" s="745">
        <f ca="1">IF(A13="","",Tabulka_nakup_Vonka[[#This Row],[Počet MJHR v rozpadu]]*Tabulka_nakup_Vonka[[#This Row],[Jedn. hmotnost '[kg/MJHR']]])</f>
        <v>87</v>
      </c>
    </row>
    <row r="14" spans="1:11" x14ac:dyDescent="0.35">
      <c r="A14" s="709" t="str">
        <f ca="1">IF('Rozpad zakázky'!E30=0,"",IF('Rozpad zakázky'!E30="-","",'Rozpad zakázky'!E30))</f>
        <v>STLO</v>
      </c>
      <c r="B14" s="708" t="str">
        <f ca="1">IF(A14="","",IF(A14="","",VLOOKUP(A:A,Pomocna_Nakup[],3,0))&amp;" | "&amp;IF(A14="","",VLOOKUP(A:A,Pomocna_Nakup[],4,0)))</f>
        <v>ST | Strojní</v>
      </c>
      <c r="C14" s="710" t="str">
        <f ca="1">IF(Tabulka_nakup_Vonka[[#This Row],[Zkratka kalkulační položky]]="","",Tabulka_nakup_Vonka[[#This Row],[Zkratka kalkulační položky]]&amp;" | "&amp;IF(A14="","",VLOOKUP(A:A,Pomocna_Nakup[],2,0)))</f>
        <v>STLO | Ložiska</v>
      </c>
      <c r="D14" s="710" t="str">
        <f ca="1">IF(A14="","",'Rozpad zakázky'!F30)</f>
        <v>N/A</v>
      </c>
      <c r="E14" s="710" t="str">
        <f ca="1">IF(A14="","",'Rozpad zakázky'!D30&amp;IF('Rozpad zakázky'!G30="",""," ("&amp;'Rozpad zakázky'!G30&amp;")"))</f>
        <v xml:space="preserve">      Upínací pouzdro H3140 MB</v>
      </c>
      <c r="F14" s="709">
        <f ca="1">IF(A14="","",'Rozpad zakázky'!IW30)</f>
        <v>1</v>
      </c>
      <c r="G14" s="711">
        <f ca="1">IF(A14="","",'Rozpad zakázky'!AE30)</f>
        <v>12000</v>
      </c>
      <c r="H14" s="717">
        <f ca="1">IF(A14="","",'Rozpad zakázky'!AJ30)</f>
        <v>444.44444444444446</v>
      </c>
      <c r="I14" s="748">
        <f ca="1">IF(A14="","",'Rozpad zakázky'!Q30)</f>
        <v>2</v>
      </c>
      <c r="J14" s="717">
        <f ca="1">IF(A14="","",ROUNDDOWN('Rozpad zakázky'!L30,1))</f>
        <v>12.1</v>
      </c>
      <c r="K14" s="745">
        <f ca="1">IF(A14="","",Tabulka_nakup_Vonka[[#This Row],[Počet MJHR v rozpadu]]*Tabulka_nakup_Vonka[[#This Row],[Jedn. hmotnost '[kg/MJHR']]])</f>
        <v>24.2</v>
      </c>
    </row>
    <row r="15" spans="1:11" x14ac:dyDescent="0.35">
      <c r="A15" s="709" t="str">
        <f ca="1">IF('Rozpad zakázky'!E31=0,"",IF('Rozpad zakázky'!E31="-","",'Rozpad zakázky'!E31))</f>
        <v>STSM</v>
      </c>
      <c r="B15" s="708" t="str">
        <f ca="1">IF(A15="","",IF(A15="","",VLOOKUP(A:A,Pomocna_Nakup[],3,0))&amp;" | "&amp;IF(A15="","",VLOOKUP(A:A,Pomocna_Nakup[],4,0)))</f>
        <v>ST | Strojní</v>
      </c>
      <c r="C15" s="710" t="str">
        <f ca="1">IF(Tabulka_nakup_Vonka[[#This Row],[Zkratka kalkulační položky]]="","",Tabulka_nakup_Vonka[[#This Row],[Zkratka kalkulační položky]]&amp;" | "&amp;IF(A15="","",VLOOKUP(A:A,Pomocna_Nakup[],2,0)))</f>
        <v>STSM | Spojovací materiál</v>
      </c>
      <c r="D15" s="710" t="str">
        <f ca="1">IF(A15="","",'Rozpad zakázky'!F31)</f>
        <v>N/A</v>
      </c>
      <c r="E15" s="710" t="str">
        <f ca="1">IF(A15="","",'Rozpad zakázky'!D31&amp;IF('Rozpad zakázky'!G31="",""," ("&amp;'Rozpad zakázky'!G31&amp;")"))</f>
        <v xml:space="preserve">      Spojovací materíál</v>
      </c>
      <c r="F15" s="709">
        <f ca="1">IF(A15="","",'Rozpad zakázky'!IW31)</f>
        <v>1</v>
      </c>
      <c r="G15" s="711">
        <f ca="1">IF(A15="","",'Rozpad zakázky'!AE31)</f>
        <v>942.04</v>
      </c>
      <c r="H15" s="717">
        <f ca="1">IF(A15="","",'Rozpad zakázky'!AJ31)</f>
        <v>34.89037037037037</v>
      </c>
      <c r="I15" s="748">
        <f ca="1">IF(A15="","",'Rozpad zakázky'!Q31)</f>
        <v>2</v>
      </c>
      <c r="J15" s="717">
        <f ca="1">IF(A15="","",ROUNDDOWN('Rozpad zakázky'!L31,1))</f>
        <v>4.2</v>
      </c>
      <c r="K15" s="745">
        <f ca="1">IF(A15="","",Tabulka_nakup_Vonka[[#This Row],[Počet MJHR v rozpadu]]*Tabulka_nakup_Vonka[[#This Row],[Jedn. hmotnost '[kg/MJHR']]])</f>
        <v>8.4</v>
      </c>
    </row>
    <row r="16" spans="1:11" x14ac:dyDescent="0.35">
      <c r="A16" s="709" t="str">
        <f ca="1">IF('Rozpad zakázky'!E32=0,"",IF('Rozpad zakázky'!E32="-","",'Rozpad zakázky'!E32))</f>
        <v>STSP</v>
      </c>
      <c r="B16" s="708" t="str">
        <f ca="1">IF(A16="","",IF(A16="","",VLOOKUP(A:A,Pomocna_Nakup[],3,0))&amp;" | "&amp;IF(A16="","",VLOOKUP(A:A,Pomocna_Nakup[],4,0)))</f>
        <v>ST | Strojní</v>
      </c>
      <c r="C16" s="710" t="str">
        <f ca="1">IF(Tabulka_nakup_Vonka[[#This Row],[Zkratka kalkulační položky]]="","",Tabulka_nakup_Vonka[[#This Row],[Zkratka kalkulační položky]]&amp;" | "&amp;IF(A16="","",VLOOKUP(A:A,Pomocna_Nakup[],2,0)))</f>
        <v>STSP | Spojky</v>
      </c>
      <c r="D16" s="710" t="str">
        <f ca="1">IF(A16="","",'Rozpad zakázky'!F32)</f>
        <v>N/A</v>
      </c>
      <c r="E16" s="710" t="str">
        <f ca="1">IF(A16="","",'Rozpad zakázky'!D32&amp;IF('Rozpad zakázky'!G32="",""," ("&amp;'Rozpad zakázky'!G32&amp;")"))</f>
        <v xml:space="preserve">    Polovina spojky</v>
      </c>
      <c r="F16" s="709">
        <f ca="1">IF(A16="","",'Rozpad zakázky'!IW32)</f>
        <v>1</v>
      </c>
      <c r="G16" s="711">
        <f ca="1">IF(A16="","",'Rozpad zakázky'!AE32)</f>
        <v>100000</v>
      </c>
      <c r="H16" s="717">
        <f ca="1">IF(A16="","",'Rozpad zakázky'!AJ32)</f>
        <v>3703.7037037037039</v>
      </c>
      <c r="I16" s="748">
        <f ca="1">IF(A16="","",'Rozpad zakázky'!Q32)</f>
        <v>4</v>
      </c>
      <c r="J16" s="717">
        <f ca="1">IF(A16="","",ROUNDDOWN('Rozpad zakázky'!L32,1))</f>
        <v>55</v>
      </c>
      <c r="K16" s="745">
        <f ca="1">IF(A16="","",Tabulka_nakup_Vonka[[#This Row],[Počet MJHR v rozpadu]]*Tabulka_nakup_Vonka[[#This Row],[Jedn. hmotnost '[kg/MJHR']]])</f>
        <v>220</v>
      </c>
    </row>
    <row r="17" spans="1:11" x14ac:dyDescent="0.35">
      <c r="A17" s="709" t="str">
        <f ca="1">IF('Rozpad zakázky'!E33=0,"",IF('Rozpad zakázky'!E33="-","",'Rozpad zakázky'!E33))</f>
        <v>SUOS</v>
      </c>
      <c r="B17" s="708" t="str">
        <f ca="1">IF(A17="","",IF(A17="","",VLOOKUP(A:A,Pomocna_Nakup[],3,0))&amp;" | "&amp;IF(A17="","",VLOOKUP(A:A,Pomocna_Nakup[],4,0)))</f>
        <v>SU | Subdodávky</v>
      </c>
      <c r="C17" s="710" t="str">
        <f ca="1">IF(Tabulka_nakup_Vonka[[#This Row],[Zkratka kalkulační položky]]="","",Tabulka_nakup_Vonka[[#This Row],[Zkratka kalkulační položky]]&amp;" | "&amp;IF(A17="","",VLOOKUP(A:A,Pomocna_Nakup[],2,0)))</f>
        <v>SUOS | Ostatní</v>
      </c>
      <c r="D17" s="710" t="str">
        <f ca="1">IF(A17="","",'Rozpad zakázky'!F33)</f>
        <v>N/A</v>
      </c>
      <c r="E17" s="710" t="str">
        <f ca="1">IF(A17="","",'Rozpad zakázky'!D33&amp;IF('Rozpad zakázky'!G33="",""," ("&amp;'Rozpad zakázky'!G33&amp;")"))</f>
        <v xml:space="preserve">    Kardanový hřídel</v>
      </c>
      <c r="F17" s="709">
        <f ca="1">IF(A17="","",'Rozpad zakázky'!IW33)</f>
        <v>1</v>
      </c>
      <c r="G17" s="711">
        <f ca="1">IF(A17="","",'Rozpad zakázky'!AE33)</f>
        <v>350000</v>
      </c>
      <c r="H17" s="717">
        <f ca="1">IF(A17="","",'Rozpad zakázky'!AJ33)</f>
        <v>12962.962962962964</v>
      </c>
      <c r="I17" s="748">
        <f ca="1">IF(A17="","",'Rozpad zakázky'!Q33)</f>
        <v>2</v>
      </c>
      <c r="J17" s="717">
        <f ca="1">IF(A17="","",ROUNDDOWN('Rozpad zakázky'!L33,1))</f>
        <v>496</v>
      </c>
      <c r="K17" s="745">
        <f ca="1">IF(A17="","",Tabulka_nakup_Vonka[[#This Row],[Počet MJHR v rozpadu]]*Tabulka_nakup_Vonka[[#This Row],[Jedn. hmotnost '[kg/MJHR']]])</f>
        <v>992</v>
      </c>
    </row>
    <row r="18" spans="1:11" x14ac:dyDescent="0.35">
      <c r="A18" s="709" t="str">
        <f ca="1">IF('Rozpad zakázky'!E34=0,"",IF('Rozpad zakázky'!E34="-","",'Rozpad zakázky'!E34))</f>
        <v>STO1</v>
      </c>
      <c r="B18" s="708" t="str">
        <f ca="1">IF(A18="","",IF(A18="","",VLOOKUP(A:A,Pomocna_Nakup[],3,0))&amp;" | "&amp;IF(A18="","",VLOOKUP(A:A,Pomocna_Nakup[],4,0)))</f>
        <v>ST | Strojní</v>
      </c>
      <c r="C18" s="710" t="str">
        <f ca="1">IF(Tabulka_nakup_Vonka[[#This Row],[Zkratka kalkulační položky]]="","",Tabulka_nakup_Vonka[[#This Row],[Zkratka kalkulační položky]]&amp;" | "&amp;IF(A18="","",VLOOKUP(A:A,Pomocna_Nakup[],2,0)))</f>
        <v>STO1 | Obrobky třída 1</v>
      </c>
      <c r="D18" s="710" t="str">
        <f ca="1">IF(A18="","",'Rozpad zakázky'!F34)</f>
        <v>N/A</v>
      </c>
      <c r="E18" s="710" t="str">
        <f ca="1">IF(A18="","",'Rozpad zakázky'!D34&amp;IF('Rozpad zakázky'!G34="",""," ("&amp;'Rozpad zakázky'!G34&amp;")"))</f>
        <v xml:space="preserve">    Hřídel pastorku</v>
      </c>
      <c r="F18" s="709">
        <f ca="1">IF(A18="","",'Rozpad zakázky'!IW34)</f>
        <v>1</v>
      </c>
      <c r="G18" s="711">
        <f ca="1">IF(A18="","",'Rozpad zakázky'!AE34)</f>
        <v>84680</v>
      </c>
      <c r="H18" s="717">
        <f ca="1">IF(A18="","",'Rozpad zakázky'!AJ34)</f>
        <v>3136.2962962962961</v>
      </c>
      <c r="I18" s="748">
        <f ca="1">IF(A18="","",'Rozpad zakázky'!Q34)</f>
        <v>2</v>
      </c>
      <c r="J18" s="717">
        <f ca="1">IF(A18="","",ROUNDDOWN('Rozpad zakázky'!L34,1))</f>
        <v>292</v>
      </c>
      <c r="K18" s="745">
        <f ca="1">IF(A18="","",Tabulka_nakup_Vonka[[#This Row],[Počet MJHR v rozpadu]]*Tabulka_nakup_Vonka[[#This Row],[Jedn. hmotnost '[kg/MJHR']]])</f>
        <v>584</v>
      </c>
    </row>
    <row r="19" spans="1:11" x14ac:dyDescent="0.35">
      <c r="A19" s="709" t="str">
        <f ca="1">IF('Rozpad zakázky'!E35=0,"",IF('Rozpad zakázky'!E35="-","",'Rozpad zakázky'!E35))</f>
        <v>STO1</v>
      </c>
      <c r="B19" s="708" t="str">
        <f ca="1">IF(A19="","",IF(A19="","",VLOOKUP(A:A,Pomocna_Nakup[],3,0))&amp;" | "&amp;IF(A19="","",VLOOKUP(A:A,Pomocna_Nakup[],4,0)))</f>
        <v>ST | Strojní</v>
      </c>
      <c r="C19" s="710" t="str">
        <f ca="1">IF(Tabulka_nakup_Vonka[[#This Row],[Zkratka kalkulační položky]]="","",Tabulka_nakup_Vonka[[#This Row],[Zkratka kalkulační položky]]&amp;" | "&amp;IF(A19="","",VLOOKUP(A:A,Pomocna_Nakup[],2,0)))</f>
        <v>STO1 | Obrobky třída 1</v>
      </c>
      <c r="D19" s="710" t="str">
        <f ca="1">IF(A19="","",'Rozpad zakázky'!F35)</f>
        <v>N/A</v>
      </c>
      <c r="E19" s="710" t="str">
        <f ca="1">IF(A19="","",'Rozpad zakázky'!D35&amp;IF('Rozpad zakázky'!G35="",""," ("&amp;'Rozpad zakázky'!G35&amp;")"))</f>
        <v xml:space="preserve">    Pastorek s cévovým ozubením</v>
      </c>
      <c r="F19" s="709">
        <f ca="1">IF(A19="","",'Rozpad zakázky'!IW35)</f>
        <v>1</v>
      </c>
      <c r="G19" s="711">
        <f ca="1">IF(A19="","",'Rozpad zakázky'!AE35)</f>
        <v>131950</v>
      </c>
      <c r="H19" s="717">
        <f ca="1">IF(A19="","",'Rozpad zakázky'!AJ35)</f>
        <v>4887.0370370370374</v>
      </c>
      <c r="I19" s="748">
        <f ca="1">IF(A19="","",'Rozpad zakázky'!Q35)</f>
        <v>2</v>
      </c>
      <c r="J19" s="717">
        <f ca="1">IF(A19="","",ROUNDDOWN('Rozpad zakázky'!L35,1))</f>
        <v>455</v>
      </c>
      <c r="K19" s="745">
        <f ca="1">IF(A19="","",Tabulka_nakup_Vonka[[#This Row],[Počet MJHR v rozpadu]]*Tabulka_nakup_Vonka[[#This Row],[Jedn. hmotnost '[kg/MJHR']]])</f>
        <v>910</v>
      </c>
    </row>
    <row r="20" spans="1:11" x14ac:dyDescent="0.35">
      <c r="A20" s="709" t="str">
        <f ca="1">IF('Rozpad zakázky'!E36=0,"",IF('Rozpad zakázky'!E36="-","",'Rozpad zakázky'!E36))</f>
        <v>STLO</v>
      </c>
      <c r="B20" s="708" t="str">
        <f ca="1">IF(A20="","",IF(A20="","",VLOOKUP(A:A,Pomocna_Nakup[],3,0))&amp;" | "&amp;IF(A20="","",VLOOKUP(A:A,Pomocna_Nakup[],4,0)))</f>
        <v>ST | Strojní</v>
      </c>
      <c r="C20" s="710" t="str">
        <f ca="1">IF(Tabulka_nakup_Vonka[[#This Row],[Zkratka kalkulační položky]]="","",Tabulka_nakup_Vonka[[#This Row],[Zkratka kalkulační položky]]&amp;" | "&amp;IF(A20="","",VLOOKUP(A:A,Pomocna_Nakup[],2,0)))</f>
        <v>STLO | Ložiska</v>
      </c>
      <c r="D20" s="710" t="str">
        <f ca="1">IF(A20="","",'Rozpad zakázky'!F36)</f>
        <v>N/A</v>
      </c>
      <c r="E20" s="710" t="str">
        <f ca="1">IF(A20="","",'Rozpad zakázky'!D36&amp;IF('Rozpad zakázky'!G36="",""," ("&amp;'Rozpad zakázky'!G36&amp;")"))</f>
        <v xml:space="preserve">    Ložisko - průměr 200 mm</v>
      </c>
      <c r="F20" s="709">
        <f ca="1">IF(A20="","",'Rozpad zakázky'!IW36)</f>
        <v>1</v>
      </c>
      <c r="G20" s="711">
        <f ca="1">IF(A20="","",'Rozpad zakázky'!AE36)</f>
        <v>440000</v>
      </c>
      <c r="H20" s="717">
        <f ca="1">IF(A20="","",'Rozpad zakázky'!AJ36)</f>
        <v>16296.296296296296</v>
      </c>
      <c r="I20" s="748">
        <f ca="1">IF(A20="","",'Rozpad zakázky'!Q36)</f>
        <v>4</v>
      </c>
      <c r="J20" s="717">
        <f ca="1">IF(A20="","",ROUNDDOWN('Rozpad zakázky'!L36,1))</f>
        <v>284</v>
      </c>
      <c r="K20" s="745">
        <f ca="1">IF(A20="","",Tabulka_nakup_Vonka[[#This Row],[Počet MJHR v rozpadu]]*Tabulka_nakup_Vonka[[#This Row],[Jedn. hmotnost '[kg/MJHR']]])</f>
        <v>1136</v>
      </c>
    </row>
    <row r="21" spans="1:11" x14ac:dyDescent="0.35">
      <c r="A21" s="709" t="str">
        <f ca="1">IF('Rozpad zakázky'!E37=0,"",IF('Rozpad zakázky'!E37="-","",'Rozpad zakázky'!E37))</f>
        <v>OKS3</v>
      </c>
      <c r="B21" s="708" t="str">
        <f ca="1">IF(A21="","",IF(A21="","",VLOOKUP(A:A,Pomocna_Nakup[],3,0))&amp;" | "&amp;IF(A21="","",VLOOKUP(A:A,Pomocna_Nakup[],4,0)))</f>
        <v>OK | Ocelové kosntrukce</v>
      </c>
      <c r="C21" s="710" t="str">
        <f ca="1">IF(Tabulka_nakup_Vonka[[#This Row],[Zkratka kalkulační položky]]="","",Tabulka_nakup_Vonka[[#This Row],[Zkratka kalkulační položky]]&amp;" | "&amp;IF(A21="","",VLOOKUP(A:A,Pomocna_Nakup[],2,0)))</f>
        <v>OKS3 | Svařenec třída 3</v>
      </c>
      <c r="D21" s="710" t="str">
        <f ca="1">IF(A21="","",'Rozpad zakázky'!F37)</f>
        <v>N/A</v>
      </c>
      <c r="E21" s="710" t="str">
        <f ca="1">IF(A21="","",'Rozpad zakázky'!D37&amp;IF('Rozpad zakázky'!G37="",""," ("&amp;'Rozpad zakázky'!G37&amp;")"))</f>
        <v xml:space="preserve">    Rám pastorku</v>
      </c>
      <c r="F21" s="709">
        <f ca="1">IF(A21="","",'Rozpad zakázky'!IW37)</f>
        <v>1</v>
      </c>
      <c r="G21" s="711">
        <f ca="1">IF(A21="","",'Rozpad zakázky'!AE37)</f>
        <v>39312</v>
      </c>
      <c r="H21" s="717">
        <f ca="1">IF(A21="","",'Rozpad zakázky'!AJ37)</f>
        <v>1456</v>
      </c>
      <c r="I21" s="748">
        <f ca="1">IF(A21="","",'Rozpad zakázky'!Q37)</f>
        <v>2</v>
      </c>
      <c r="J21" s="717">
        <f ca="1">IF(A21="","",ROUNDDOWN('Rozpad zakázky'!L37,1))</f>
        <v>245.7</v>
      </c>
      <c r="K21" s="745">
        <f ca="1">IF(A21="","",Tabulka_nakup_Vonka[[#This Row],[Počet MJHR v rozpadu]]*Tabulka_nakup_Vonka[[#This Row],[Jedn. hmotnost '[kg/MJHR']]])</f>
        <v>491.4</v>
      </c>
    </row>
    <row r="22" spans="1:11" x14ac:dyDescent="0.35">
      <c r="A22" s="709" t="str">
        <f ca="1">IF('Rozpad zakázky'!E38=0,"",IF('Rozpad zakázky'!E38="-","",'Rozpad zakázky'!E38))</f>
        <v>OKS3</v>
      </c>
      <c r="B22" s="708" t="str">
        <f ca="1">IF(A22="","",IF(A22="","",VLOOKUP(A:A,Pomocna_Nakup[],3,0))&amp;" | "&amp;IF(A22="","",VLOOKUP(A:A,Pomocna_Nakup[],4,0)))</f>
        <v>OK | Ocelové kosntrukce</v>
      </c>
      <c r="C22" s="710" t="str">
        <f ca="1">IF(Tabulka_nakup_Vonka[[#This Row],[Zkratka kalkulační položky]]="","",Tabulka_nakup_Vonka[[#This Row],[Zkratka kalkulační položky]]&amp;" | "&amp;IF(A22="","",VLOOKUP(A:A,Pomocna_Nakup[],2,0)))</f>
        <v>OKS3 | Svařenec třída 3</v>
      </c>
      <c r="D22" s="710" t="str">
        <f ca="1">IF(A22="","",'Rozpad zakázky'!F38)</f>
        <v>N/A</v>
      </c>
      <c r="E22" s="710" t="str">
        <f ca="1">IF(A22="","",'Rozpad zakázky'!D38&amp;IF('Rozpad zakázky'!G38="",""," ("&amp;'Rozpad zakázky'!G38&amp;")"))</f>
        <v xml:space="preserve">    Krat pastorku</v>
      </c>
      <c r="F22" s="709">
        <f ca="1">IF(A22="","",'Rozpad zakázky'!IW38)</f>
        <v>1</v>
      </c>
      <c r="G22" s="711">
        <f ca="1">IF(A22="","",'Rozpad zakázky'!AE38)</f>
        <v>8217.6</v>
      </c>
      <c r="H22" s="717">
        <f ca="1">IF(A22="","",'Rozpad zakázky'!AJ38)</f>
        <v>304.35555555555555</v>
      </c>
      <c r="I22" s="748">
        <f ca="1">IF(A22="","",'Rozpad zakázky'!Q38)</f>
        <v>2</v>
      </c>
      <c r="J22" s="717">
        <f ca="1">IF(A22="","",ROUNDDOWN('Rozpad zakázky'!L38,1))</f>
        <v>51.3</v>
      </c>
      <c r="K22" s="745">
        <f ca="1">IF(A22="","",Tabulka_nakup_Vonka[[#This Row],[Počet MJHR v rozpadu]]*Tabulka_nakup_Vonka[[#This Row],[Jedn. hmotnost '[kg/MJHR']]])</f>
        <v>102.6</v>
      </c>
    </row>
    <row r="23" spans="1:11" x14ac:dyDescent="0.35">
      <c r="A23" s="709" t="str">
        <f ca="1">IF('Rozpad zakázky'!E39=0,"",IF('Rozpad zakázky'!E39="-","",'Rozpad zakázky'!E39))</f>
        <v>OKS3</v>
      </c>
      <c r="B23" s="708" t="str">
        <f ca="1">IF(A23="","",IF(A23="","",VLOOKUP(A:A,Pomocna_Nakup[],3,0))&amp;" | "&amp;IF(A23="","",VLOOKUP(A:A,Pomocna_Nakup[],4,0)))</f>
        <v>OK | Ocelové kosntrukce</v>
      </c>
      <c r="C23" s="710" t="str">
        <f ca="1">IF(Tabulka_nakup_Vonka[[#This Row],[Zkratka kalkulační položky]]="","",Tabulka_nakup_Vonka[[#This Row],[Zkratka kalkulační položky]]&amp;" | "&amp;IF(A23="","",VLOOKUP(A:A,Pomocna_Nakup[],2,0)))</f>
        <v>OKS3 | Svařenec třída 3</v>
      </c>
      <c r="D23" s="710" t="str">
        <f ca="1">IF(A23="","",'Rozpad zakázky'!F39)</f>
        <v>N/A</v>
      </c>
      <c r="E23" s="710" t="str">
        <f ca="1">IF(A23="","",'Rozpad zakázky'!D39&amp;IF('Rozpad zakázky'!G39="",""," ("&amp;'Rozpad zakázky'!G39&amp;")"))</f>
        <v xml:space="preserve">    Příložka</v>
      </c>
      <c r="F23" s="709">
        <f ca="1">IF(A23="","",'Rozpad zakázky'!IW39)</f>
        <v>1</v>
      </c>
      <c r="G23" s="711">
        <f ca="1">IF(A23="","",'Rozpad zakázky'!AE39)</f>
        <v>592</v>
      </c>
      <c r="H23" s="717">
        <f ca="1">IF(A23="","",'Rozpad zakázky'!AJ39)</f>
        <v>21.925925925925927</v>
      </c>
      <c r="I23" s="748">
        <f ca="1">IF(A23="","",'Rozpad zakázky'!Q39)</f>
        <v>2</v>
      </c>
      <c r="J23" s="717">
        <f ca="1">IF(A23="","",ROUNDDOWN('Rozpad zakázky'!L39,1))</f>
        <v>3.7</v>
      </c>
      <c r="K23" s="745">
        <f ca="1">IF(A23="","",Tabulka_nakup_Vonka[[#This Row],[Počet MJHR v rozpadu]]*Tabulka_nakup_Vonka[[#This Row],[Jedn. hmotnost '[kg/MJHR']]])</f>
        <v>7.4</v>
      </c>
    </row>
    <row r="24" spans="1:11" x14ac:dyDescent="0.35">
      <c r="A24" s="709" t="str">
        <f ca="1">IF('Rozpad zakázky'!E40=0,"",IF('Rozpad zakázky'!E40="-","",'Rozpad zakázky'!E40))</f>
        <v>STO1</v>
      </c>
      <c r="B24" s="708" t="str">
        <f ca="1">IF(A24="","",IF(A24="","",VLOOKUP(A:A,Pomocna_Nakup[],3,0))&amp;" | "&amp;IF(A24="","",VLOOKUP(A:A,Pomocna_Nakup[],4,0)))</f>
        <v>ST | Strojní</v>
      </c>
      <c r="C24" s="710" t="str">
        <f ca="1">IF(Tabulka_nakup_Vonka[[#This Row],[Zkratka kalkulační položky]]="","",Tabulka_nakup_Vonka[[#This Row],[Zkratka kalkulační položky]]&amp;" | "&amp;IF(A24="","",VLOOKUP(A:A,Pomocna_Nakup[],2,0)))</f>
        <v>STO1 | Obrobky třída 1</v>
      </c>
      <c r="D24" s="710" t="str">
        <f ca="1">IF(A24="","",'Rozpad zakázky'!F40)</f>
        <v>N/A</v>
      </c>
      <c r="E24" s="710" t="str">
        <f ca="1">IF(A24="","",'Rozpad zakázky'!D40&amp;IF('Rozpad zakázky'!G40="",""," ("&amp;'Rozpad zakázky'!G40&amp;")"))</f>
        <v xml:space="preserve">    Ozubené kolečko</v>
      </c>
      <c r="F24" s="709">
        <f ca="1">IF(A24="","",'Rozpad zakázky'!IW40)</f>
        <v>1</v>
      </c>
      <c r="G24" s="711">
        <f ca="1">IF(A24="","",'Rozpad zakázky'!AE40)</f>
        <v>986</v>
      </c>
      <c r="H24" s="717">
        <f ca="1">IF(A24="","",'Rozpad zakázky'!AJ40)</f>
        <v>36.518518518518519</v>
      </c>
      <c r="I24" s="748">
        <f ca="1">IF(A24="","",'Rozpad zakázky'!Q40)</f>
        <v>2</v>
      </c>
      <c r="J24" s="717">
        <f ca="1">IF(A24="","",ROUNDDOWN('Rozpad zakázky'!L40,1))</f>
        <v>3.4</v>
      </c>
      <c r="K24" s="745">
        <f ca="1">IF(A24="","",Tabulka_nakup_Vonka[[#This Row],[Počet MJHR v rozpadu]]*Tabulka_nakup_Vonka[[#This Row],[Jedn. hmotnost '[kg/MJHR']]])</f>
        <v>6.8</v>
      </c>
    </row>
    <row r="25" spans="1:11" x14ac:dyDescent="0.35">
      <c r="A25" s="709" t="str">
        <f ca="1">IF('Rozpad zakázky'!E41=0,"",IF('Rozpad zakázky'!E41="-","",'Rozpad zakázky'!E41))</f>
        <v>STO1</v>
      </c>
      <c r="B25" s="708" t="str">
        <f ca="1">IF(A25="","",IF(A25="","",VLOOKUP(A:A,Pomocna_Nakup[],3,0))&amp;" | "&amp;IF(A25="","",VLOOKUP(A:A,Pomocna_Nakup[],4,0)))</f>
        <v>ST | Strojní</v>
      </c>
      <c r="C25" s="710" t="str">
        <f ca="1">IF(Tabulka_nakup_Vonka[[#This Row],[Zkratka kalkulační položky]]="","",Tabulka_nakup_Vonka[[#This Row],[Zkratka kalkulační položky]]&amp;" | "&amp;IF(A25="","",VLOOKUP(A:A,Pomocna_Nakup[],2,0)))</f>
        <v>STO1 | Obrobky třída 1</v>
      </c>
      <c r="D25" s="710" t="str">
        <f ca="1">IF(A25="","",'Rozpad zakázky'!F41)</f>
        <v>N/A</v>
      </c>
      <c r="E25" s="710" t="str">
        <f ca="1">IF(A25="","",'Rozpad zakázky'!D41&amp;IF('Rozpad zakázky'!G41="",""," ("&amp;'Rozpad zakázky'!G41&amp;")"))</f>
        <v xml:space="preserve">    Pastorek s cévovým ozubením</v>
      </c>
      <c r="F25" s="709">
        <f ca="1">IF(A25="","",'Rozpad zakázky'!IW41)</f>
        <v>1</v>
      </c>
      <c r="G25" s="711">
        <f ca="1">IF(A25="","",'Rozpad zakázky'!AE41)</f>
        <v>145</v>
      </c>
      <c r="H25" s="717">
        <f ca="1">IF(A25="","",'Rozpad zakázky'!AJ41)</f>
        <v>5.3703703703703702</v>
      </c>
      <c r="I25" s="748">
        <f ca="1">IF(A25="","",'Rozpad zakázky'!Q41)</f>
        <v>2</v>
      </c>
      <c r="J25" s="717">
        <f ca="1">IF(A25="","",ROUNDDOWN('Rozpad zakázky'!L41,1))</f>
        <v>0.5</v>
      </c>
      <c r="K25" s="745">
        <f ca="1">IF(A25="","",Tabulka_nakup_Vonka[[#This Row],[Počet MJHR v rozpadu]]*Tabulka_nakup_Vonka[[#This Row],[Jedn. hmotnost '[kg/MJHR']]])</f>
        <v>1</v>
      </c>
    </row>
    <row r="26" spans="1:11" x14ac:dyDescent="0.35">
      <c r="A26" s="709" t="str">
        <f ca="1">IF('Rozpad zakázky'!E42=0,"",IF('Rozpad zakázky'!E42="-","",'Rozpad zakázky'!E42))</f>
        <v>OKS3</v>
      </c>
      <c r="B26" s="708" t="str">
        <f ca="1">IF(A26="","",IF(A26="","",VLOOKUP(A:A,Pomocna_Nakup[],3,0))&amp;" | "&amp;IF(A26="","",VLOOKUP(A:A,Pomocna_Nakup[],4,0)))</f>
        <v>OK | Ocelové kosntrukce</v>
      </c>
      <c r="C26" s="710" t="str">
        <f ca="1">IF(Tabulka_nakup_Vonka[[#This Row],[Zkratka kalkulační položky]]="","",Tabulka_nakup_Vonka[[#This Row],[Zkratka kalkulační položky]]&amp;" | "&amp;IF(A26="","",VLOOKUP(A:A,Pomocna_Nakup[],2,0)))</f>
        <v>OKS3 | Svařenec třída 3</v>
      </c>
      <c r="D26" s="710" t="str">
        <f ca="1">IF(A26="","",'Rozpad zakázky'!F42)</f>
        <v>N/A</v>
      </c>
      <c r="E26" s="710" t="str">
        <f ca="1">IF(A26="","",'Rozpad zakázky'!D42&amp;IF('Rozpad zakázky'!G42="",""," ("&amp;'Rozpad zakázky'!G42&amp;")"))</f>
        <v xml:space="preserve">    Kryt převodu</v>
      </c>
      <c r="F26" s="709">
        <f ca="1">IF(A26="","",'Rozpad zakázky'!IW42)</f>
        <v>1</v>
      </c>
      <c r="G26" s="711">
        <f ca="1">IF(A26="","",'Rozpad zakázky'!AE42)</f>
        <v>144</v>
      </c>
      <c r="H26" s="717">
        <f ca="1">IF(A26="","",'Rozpad zakázky'!AJ42)</f>
        <v>5.333333333333333</v>
      </c>
      <c r="I26" s="748">
        <f ca="1">IF(A26="","",'Rozpad zakázky'!Q42)</f>
        <v>2</v>
      </c>
      <c r="J26" s="717">
        <f ca="1">IF(A26="","",ROUNDDOWN('Rozpad zakázky'!L42,1))</f>
        <v>0.9</v>
      </c>
      <c r="K26" s="745">
        <f ca="1">IF(A26="","",Tabulka_nakup_Vonka[[#This Row],[Počet MJHR v rozpadu]]*Tabulka_nakup_Vonka[[#This Row],[Jedn. hmotnost '[kg/MJHR']]])</f>
        <v>1.8</v>
      </c>
    </row>
    <row r="27" spans="1:11" x14ac:dyDescent="0.35">
      <c r="A27" s="709" t="str">
        <f ca="1">IF('Rozpad zakázky'!E43=0,"",IF('Rozpad zakázky'!E43="-","",'Rozpad zakázky'!E43))</f>
        <v>OKS3</v>
      </c>
      <c r="B27" s="708" t="str">
        <f ca="1">IF(A27="","",IF(A27="","",VLOOKUP(A:A,Pomocna_Nakup[],3,0))&amp;" | "&amp;IF(A27="","",VLOOKUP(A:A,Pomocna_Nakup[],4,0)))</f>
        <v>OK | Ocelové kosntrukce</v>
      </c>
      <c r="C27" s="710" t="str">
        <f ca="1">IF(Tabulka_nakup_Vonka[[#This Row],[Zkratka kalkulační položky]]="","",Tabulka_nakup_Vonka[[#This Row],[Zkratka kalkulační položky]]&amp;" | "&amp;IF(A27="","",VLOOKUP(A:A,Pomocna_Nakup[],2,0)))</f>
        <v>OKS3 | Svařenec třída 3</v>
      </c>
      <c r="D27" s="710" t="str">
        <f ca="1">IF(A27="","",'Rozpad zakázky'!F43)</f>
        <v>N/A</v>
      </c>
      <c r="E27" s="710" t="str">
        <f ca="1">IF(A27="","",'Rozpad zakázky'!D43&amp;IF('Rozpad zakázky'!G43="",""," ("&amp;'Rozpad zakázky'!G43&amp;")"))</f>
        <v xml:space="preserve">    Kryt brzdy</v>
      </c>
      <c r="F27" s="709">
        <f ca="1">IF(A27="","",'Rozpad zakázky'!IW43)</f>
        <v>1</v>
      </c>
      <c r="G27" s="711">
        <f ca="1">IF(A27="","",'Rozpad zakázky'!AE43)</f>
        <v>944</v>
      </c>
      <c r="H27" s="717">
        <f ca="1">IF(A27="","",'Rozpad zakázky'!AJ43)</f>
        <v>34.962962962962962</v>
      </c>
      <c r="I27" s="748">
        <f ca="1">IF(A27="","",'Rozpad zakázky'!Q43)</f>
        <v>2</v>
      </c>
      <c r="J27" s="717">
        <f ca="1">IF(A27="","",ROUNDDOWN('Rozpad zakázky'!L43,1))</f>
        <v>5.9</v>
      </c>
      <c r="K27" s="745">
        <f ca="1">IF(A27="","",Tabulka_nakup_Vonka[[#This Row],[Počet MJHR v rozpadu]]*Tabulka_nakup_Vonka[[#This Row],[Jedn. hmotnost '[kg/MJHR']]])</f>
        <v>11.8</v>
      </c>
    </row>
    <row r="28" spans="1:11" x14ac:dyDescent="0.35">
      <c r="A28" s="709" t="str">
        <f ca="1">IF('Rozpad zakázky'!E44=0,"",IF('Rozpad zakázky'!E44="-","",'Rozpad zakázky'!E44))</f>
        <v>SUOS</v>
      </c>
      <c r="B28" s="708" t="str">
        <f ca="1">IF(A28="","",IF(A28="","",VLOOKUP(A:A,Pomocna_Nakup[],3,0))&amp;" | "&amp;IF(A28="","",VLOOKUP(A:A,Pomocna_Nakup[],4,0)))</f>
        <v>SU | Subdodávky</v>
      </c>
      <c r="C28" s="710" t="str">
        <f ca="1">IF(Tabulka_nakup_Vonka[[#This Row],[Zkratka kalkulační položky]]="","",Tabulka_nakup_Vonka[[#This Row],[Zkratka kalkulační položky]]&amp;" | "&amp;IF(A28="","",VLOOKUP(A:A,Pomocna_Nakup[],2,0)))</f>
        <v>SUOS | Ostatní</v>
      </c>
      <c r="D28" s="710" t="str">
        <f ca="1">IF(A28="","",'Rozpad zakázky'!F44)</f>
        <v>N/A</v>
      </c>
      <c r="E28" s="710" t="str">
        <f ca="1">IF(A28="","",'Rozpad zakázky'!D44&amp;IF('Rozpad zakázky'!G44="",""," ("&amp;'Rozpad zakázky'!G44&amp;")"))</f>
        <v xml:space="preserve">    Potrubí</v>
      </c>
      <c r="F28" s="709">
        <f ca="1">IF(A28="","",'Rozpad zakázky'!IW44)</f>
        <v>1</v>
      </c>
      <c r="G28" s="711">
        <f ca="1">IF(A28="","",'Rozpad zakázky'!AE44)</f>
        <v>1000</v>
      </c>
      <c r="H28" s="717">
        <f ca="1">IF(A28="","",'Rozpad zakázky'!AJ44)</f>
        <v>37.037037037037038</v>
      </c>
      <c r="I28" s="748">
        <f ca="1">IF(A28="","",'Rozpad zakázky'!Q44)</f>
        <v>1</v>
      </c>
      <c r="J28" s="717">
        <f ca="1">IF(A28="","",ROUNDDOWN('Rozpad zakázky'!L44,1))</f>
        <v>1.4</v>
      </c>
      <c r="K28" s="745">
        <f ca="1">IF(A28="","",Tabulka_nakup_Vonka[[#This Row],[Počet MJHR v rozpadu]]*Tabulka_nakup_Vonka[[#This Row],[Jedn. hmotnost '[kg/MJHR']]])</f>
        <v>1.4</v>
      </c>
    </row>
    <row r="29" spans="1:11" x14ac:dyDescent="0.35">
      <c r="A29" s="709" t="str">
        <f ca="1">IF('Rozpad zakázky'!E45=0,"",IF('Rozpad zakázky'!E45="-","",'Rozpad zakázky'!E45))</f>
        <v>OKS2</v>
      </c>
      <c r="B29" s="708" t="str">
        <f ca="1">IF(A29="","",IF(A29="","",VLOOKUP(A:A,Pomocna_Nakup[],3,0))&amp;" | "&amp;IF(A29="","",VLOOKUP(A:A,Pomocna_Nakup[],4,0)))</f>
        <v>OK | Ocelové kosntrukce</v>
      </c>
      <c r="C29" s="710" t="str">
        <f ca="1">IF(Tabulka_nakup_Vonka[[#This Row],[Zkratka kalkulační položky]]="","",Tabulka_nakup_Vonka[[#This Row],[Zkratka kalkulační položky]]&amp;" | "&amp;IF(A29="","",VLOOKUP(A:A,Pomocna_Nakup[],2,0)))</f>
        <v>OKS2 | Svařenec třída 2</v>
      </c>
      <c r="D29" s="710" t="str">
        <f ca="1">IF(A29="","",'Rozpad zakázky'!F45)</f>
        <v>N/A</v>
      </c>
      <c r="E29" s="710" t="str">
        <f ca="1">IF(A29="","",'Rozpad zakázky'!D45&amp;IF('Rozpad zakázky'!G45="",""," ("&amp;'Rozpad zakázky'!G45&amp;")"))</f>
        <v xml:space="preserve">    Distanční kroužek</v>
      </c>
      <c r="F29" s="709">
        <f ca="1">IF(A29="","",'Rozpad zakázky'!IW45)</f>
        <v>1</v>
      </c>
      <c r="G29" s="711">
        <f ca="1">IF(A29="","",'Rozpad zakázky'!AE45)</f>
        <v>2926</v>
      </c>
      <c r="H29" s="717">
        <f ca="1">IF(A29="","",'Rozpad zakázky'!AJ45)</f>
        <v>108.37037037037037</v>
      </c>
      <c r="I29" s="748">
        <f ca="1">IF(A29="","",'Rozpad zakázky'!Q45)</f>
        <v>2</v>
      </c>
      <c r="J29" s="717">
        <f ca="1">IF(A29="","",ROUNDDOWN('Rozpad zakázky'!L45,1))</f>
        <v>13.3</v>
      </c>
      <c r="K29" s="745">
        <f ca="1">IF(A29="","",Tabulka_nakup_Vonka[[#This Row],[Počet MJHR v rozpadu]]*Tabulka_nakup_Vonka[[#This Row],[Jedn. hmotnost '[kg/MJHR']]])</f>
        <v>26.6</v>
      </c>
    </row>
    <row r="30" spans="1:11" x14ac:dyDescent="0.35">
      <c r="A30" s="709" t="str">
        <f ca="1">IF('Rozpad zakázky'!E46=0,"",IF('Rozpad zakázky'!E46="-","",'Rozpad zakázky'!E46))</f>
        <v>OKS2</v>
      </c>
      <c r="B30" s="708" t="str">
        <f ca="1">IF(A30="","",IF(A30="","",VLOOKUP(A:A,Pomocna_Nakup[],3,0))&amp;" | "&amp;IF(A30="","",VLOOKUP(A:A,Pomocna_Nakup[],4,0)))</f>
        <v>OK | Ocelové kosntrukce</v>
      </c>
      <c r="C30" s="710" t="str">
        <f ca="1">IF(Tabulka_nakup_Vonka[[#This Row],[Zkratka kalkulační položky]]="","",Tabulka_nakup_Vonka[[#This Row],[Zkratka kalkulační položky]]&amp;" | "&amp;IF(A30="","",VLOOKUP(A:A,Pomocna_Nakup[],2,0)))</f>
        <v>OKS2 | Svařenec třída 2</v>
      </c>
      <c r="D30" s="710" t="str">
        <f ca="1">IF(A30="","",'Rozpad zakázky'!F46)</f>
        <v>N/A</v>
      </c>
      <c r="E30" s="710" t="str">
        <f ca="1">IF(A30="","",'Rozpad zakázky'!D46&amp;IF('Rozpad zakázky'!G46="",""," ("&amp;'Rozpad zakázky'!G46&amp;")"))</f>
        <v xml:space="preserve">    Držák krytu</v>
      </c>
      <c r="F30" s="709">
        <f ca="1">IF(A30="","",'Rozpad zakázky'!IW46)</f>
        <v>1</v>
      </c>
      <c r="G30" s="711">
        <f ca="1">IF(A30="","",'Rozpad zakázky'!AE46)</f>
        <v>13.2</v>
      </c>
      <c r="H30" s="717">
        <f ca="1">IF(A30="","",'Rozpad zakázky'!AJ46)</f>
        <v>0.48888888888888887</v>
      </c>
      <c r="I30" s="748">
        <f ca="1">IF(A30="","",'Rozpad zakázky'!Q46)</f>
        <v>4</v>
      </c>
      <c r="J30" s="717">
        <f ca="1">IF(A30="","",ROUNDDOWN('Rozpad zakázky'!L46,1))</f>
        <v>0</v>
      </c>
      <c r="K30" s="745">
        <f ca="1">IF(A30="","",Tabulka_nakup_Vonka[[#This Row],[Počet MJHR v rozpadu]]*Tabulka_nakup_Vonka[[#This Row],[Jedn. hmotnost '[kg/MJHR']]])</f>
        <v>0</v>
      </c>
    </row>
    <row r="31" spans="1:11" x14ac:dyDescent="0.35">
      <c r="A31" s="709" t="str">
        <f ca="1">IF('Rozpad zakázky'!E47=0,"",IF('Rozpad zakázky'!E47="-","",'Rozpad zakázky'!E47))</f>
        <v>ELMO</v>
      </c>
      <c r="B31" s="708" t="str">
        <f ca="1">IF(A31="","",IF(A31="","",VLOOKUP(A:A,Pomocna_Nakup[],3,0))&amp;" | "&amp;IF(A31="","",VLOOKUP(A:A,Pomocna_Nakup[],4,0)))</f>
        <v>EL | Elektro</v>
      </c>
      <c r="C31" s="710" t="str">
        <f ca="1">IF(Tabulka_nakup_Vonka[[#This Row],[Zkratka kalkulační položky]]="","",Tabulka_nakup_Vonka[[#This Row],[Zkratka kalkulační položky]]&amp;" | "&amp;IF(A31="","",VLOOKUP(A:A,Pomocna_Nakup[],2,0)))</f>
        <v>ELMO | Motory</v>
      </c>
      <c r="D31" s="710" t="str">
        <f ca="1">IF(A31="","",'Rozpad zakázky'!F47)</f>
        <v>SEW</v>
      </c>
      <c r="E31" s="710" t="str">
        <f ca="1">IF(A31="","",'Rozpad zakázky'!D47&amp;IF('Rozpad zakázky'!G47="",""," ("&amp;'Rozpad zakázky'!G47&amp;")"))</f>
        <v xml:space="preserve">    Elektromotor</v>
      </c>
      <c r="F31" s="709">
        <f ca="1">IF(A31="","",'Rozpad zakázky'!IW47)</f>
        <v>1</v>
      </c>
      <c r="G31" s="711">
        <f ca="1">IF(A31="","",'Rozpad zakázky'!AE47)</f>
        <v>199881</v>
      </c>
      <c r="H31" s="717">
        <f ca="1">IF(A31="","",'Rozpad zakázky'!AJ47)</f>
        <v>7403</v>
      </c>
      <c r="I31" s="748">
        <f ca="1">IF(A31="","",'Rozpad zakázky'!Q47)</f>
        <v>1</v>
      </c>
      <c r="J31" s="717">
        <f ca="1">IF(A31="","",ROUNDDOWN('Rozpad zakázky'!L47,1))</f>
        <v>2700</v>
      </c>
      <c r="K31" s="745">
        <f ca="1">IF(A31="","",Tabulka_nakup_Vonka[[#This Row],[Počet MJHR v rozpadu]]*Tabulka_nakup_Vonka[[#This Row],[Jedn. hmotnost '[kg/MJHR']]])</f>
        <v>2700</v>
      </c>
    </row>
    <row r="32" spans="1:11" x14ac:dyDescent="0.35">
      <c r="A32" s="709" t="str">
        <f ca="1">IF('Rozpad zakázky'!E48=0,"",IF('Rozpad zakázky'!E48="-","",'Rozpad zakázky'!E48))</f>
        <v>STPR</v>
      </c>
      <c r="B32" s="708" t="str">
        <f ca="1">IF(A32="","",IF(A32="","",VLOOKUP(A:A,Pomocna_Nakup[],3,0))&amp;" | "&amp;IF(A32="","",VLOOKUP(A:A,Pomocna_Nakup[],4,0)))</f>
        <v>ST | Strojní</v>
      </c>
      <c r="C32" s="710" t="str">
        <f ca="1">IF(Tabulka_nakup_Vonka[[#This Row],[Zkratka kalkulační položky]]="","",Tabulka_nakup_Vonka[[#This Row],[Zkratka kalkulační položky]]&amp;" | "&amp;IF(A32="","",VLOOKUP(A:A,Pomocna_Nakup[],2,0)))</f>
        <v>STPR | Převodovky</v>
      </c>
      <c r="D32" s="710" t="str">
        <f ca="1">IF(A32="","",'Rozpad zakázky'!F48)</f>
        <v>N/A</v>
      </c>
      <c r="E32" s="710" t="str">
        <f ca="1">IF(A32="","",'Rozpad zakázky'!D48&amp;IF('Rozpad zakázky'!G48="",""," ("&amp;'Rozpad zakázky'!G48&amp;")"))</f>
        <v xml:space="preserve">    Převodovka (X4K270 n2=9,5 rpm, n1=1480 rpm, Fs=2, i= 151 )</v>
      </c>
      <c r="F32" s="709">
        <f ca="1">IF(A32="","",'Rozpad zakázky'!IW48)</f>
        <v>1</v>
      </c>
      <c r="G32" s="711">
        <f ca="1">IF(A32="","",'Rozpad zakázky'!AE48)</f>
        <v>1650375</v>
      </c>
      <c r="H32" s="717">
        <f ca="1">IF(A32="","",'Rozpad zakázky'!AJ48)</f>
        <v>61125</v>
      </c>
      <c r="I32" s="748">
        <f ca="1">IF(A32="","",'Rozpad zakázky'!Q48)</f>
        <v>1</v>
      </c>
      <c r="J32" s="717">
        <f ca="1">IF(A32="","",ROUNDDOWN('Rozpad zakázky'!L48,1))</f>
        <v>7000</v>
      </c>
      <c r="K32" s="745">
        <f ca="1">IF(A32="","",Tabulka_nakup_Vonka[[#This Row],[Počet MJHR v rozpadu]]*Tabulka_nakup_Vonka[[#This Row],[Jedn. hmotnost '[kg/MJHR']]])</f>
        <v>7000</v>
      </c>
    </row>
    <row r="33" spans="1:11" x14ac:dyDescent="0.35">
      <c r="A33" s="709" t="str">
        <f ca="1">IF('Rozpad zakázky'!E49=0,"",IF('Rozpad zakázky'!E49="-","",'Rozpad zakázky'!E49))</f>
        <v>SUOS</v>
      </c>
      <c r="B33" s="708" t="str">
        <f ca="1">IF(A33="","",IF(A33="","",VLOOKUP(A:A,Pomocna_Nakup[],3,0))&amp;" | "&amp;IF(A33="","",VLOOKUP(A:A,Pomocna_Nakup[],4,0)))</f>
        <v>SU | Subdodávky</v>
      </c>
      <c r="C33" s="710" t="str">
        <f ca="1">IF(Tabulka_nakup_Vonka[[#This Row],[Zkratka kalkulační položky]]="","",Tabulka_nakup_Vonka[[#This Row],[Zkratka kalkulační položky]]&amp;" | "&amp;IF(A33="","",VLOOKUP(A:A,Pomocna_Nakup[],2,0)))</f>
        <v>SUOS | Ostatní</v>
      </c>
      <c r="D33" s="710" t="str">
        <f ca="1">IF(A33="","",'Rozpad zakázky'!F49)</f>
        <v>N/A</v>
      </c>
      <c r="E33" s="710" t="str">
        <f ca="1">IF(A33="","",'Rozpad zakázky'!D49&amp;IF('Rozpad zakázky'!G49="",""," ("&amp;'Rozpad zakázky'!G49&amp;")"))</f>
        <v xml:space="preserve">    ELHY BL200 C</v>
      </c>
      <c r="F33" s="709">
        <f ca="1">IF(A33="","",'Rozpad zakázky'!IW49)</f>
        <v>1</v>
      </c>
      <c r="G33" s="711">
        <f ca="1">IF(A33="","",'Rozpad zakázky'!AE49)</f>
        <v>50000</v>
      </c>
      <c r="H33" s="717">
        <f ca="1">IF(A33="","",'Rozpad zakázky'!AJ49)</f>
        <v>1851.851851851852</v>
      </c>
      <c r="I33" s="748">
        <f ca="1">IF(A33="","",'Rozpad zakázky'!Q49)</f>
        <v>1</v>
      </c>
      <c r="J33" s="717">
        <f ca="1">IF(A33="","",ROUNDDOWN('Rozpad zakázky'!L49,1))</f>
        <v>45</v>
      </c>
      <c r="K33" s="745">
        <f ca="1">IF(A33="","",Tabulka_nakup_Vonka[[#This Row],[Počet MJHR v rozpadu]]*Tabulka_nakup_Vonka[[#This Row],[Jedn. hmotnost '[kg/MJHR']]])</f>
        <v>45</v>
      </c>
    </row>
    <row r="34" spans="1:11" x14ac:dyDescent="0.35">
      <c r="A34" s="709" t="str">
        <f ca="1">IF('Rozpad zakázky'!E50=0,"",IF('Rozpad zakázky'!E50="-","",'Rozpad zakázky'!E50))</f>
        <v>ELSP</v>
      </c>
      <c r="B34" s="708" t="str">
        <f ca="1">IF(A34="","",IF(A34="","",VLOOKUP(A:A,Pomocna_Nakup[],3,0))&amp;" | "&amp;IF(A34="","",VLOOKUP(A:A,Pomocna_Nakup[],4,0)))</f>
        <v>EL | Elektro</v>
      </c>
      <c r="C34" s="710" t="str">
        <f ca="1">IF(Tabulka_nakup_Vonka[[#This Row],[Zkratka kalkulační položky]]="","",Tabulka_nakup_Vonka[[#This Row],[Zkratka kalkulační položky]]&amp;" | "&amp;IF(A34="","",VLOOKUP(A:A,Pomocna_Nakup[],2,0)))</f>
        <v>ELSP | Spínače</v>
      </c>
      <c r="D34" s="710" t="str">
        <f ca="1">IF(A34="","",'Rozpad zakázky'!F50)</f>
        <v>N/A</v>
      </c>
      <c r="E34" s="710" t="str">
        <f ca="1">IF(A34="","",'Rozpad zakázky'!D50&amp;IF('Rozpad zakázky'!G50="",""," ("&amp;'Rozpad zakázky'!G50&amp;")"))</f>
        <v xml:space="preserve">    Pogramový spínač</v>
      </c>
      <c r="F34" s="709">
        <f ca="1">IF(A34="","",'Rozpad zakázky'!IW50)</f>
        <v>1</v>
      </c>
      <c r="G34" s="711">
        <f ca="1">IF(A34="","",'Rozpad zakázky'!AE50)</f>
        <v>30000</v>
      </c>
      <c r="H34" s="717">
        <f ca="1">IF(A34="","",'Rozpad zakázky'!AJ50)</f>
        <v>1111.1111111111111</v>
      </c>
      <c r="I34" s="748">
        <f ca="1">IF(A34="","",'Rozpad zakázky'!Q50)</f>
        <v>2</v>
      </c>
      <c r="J34" s="717">
        <f ca="1">IF(A34="","",ROUNDDOWN('Rozpad zakázky'!L50,1))</f>
        <v>28</v>
      </c>
      <c r="K34" s="745">
        <f ca="1">IF(A34="","",Tabulka_nakup_Vonka[[#This Row],[Počet MJHR v rozpadu]]*Tabulka_nakup_Vonka[[#This Row],[Jedn. hmotnost '[kg/MJHR']]])</f>
        <v>56</v>
      </c>
    </row>
    <row r="35" spans="1:11" x14ac:dyDescent="0.35">
      <c r="A35" s="709" t="str">
        <f ca="1">IF('Rozpad zakázky'!E51=0,"",IF('Rozpad zakázky'!E51="-","",'Rozpad zakázky'!E51))</f>
        <v>SUOS</v>
      </c>
      <c r="B35" s="708" t="str">
        <f ca="1">IF(A35="","",IF(A35="","",VLOOKUP(A:A,Pomocna_Nakup[],3,0))&amp;" | "&amp;IF(A35="","",VLOOKUP(A:A,Pomocna_Nakup[],4,0)))</f>
        <v>SU | Subdodávky</v>
      </c>
      <c r="C35" s="710" t="str">
        <f ca="1">IF(Tabulka_nakup_Vonka[[#This Row],[Zkratka kalkulační položky]]="","",Tabulka_nakup_Vonka[[#This Row],[Zkratka kalkulační položky]]&amp;" | "&amp;IF(A35="","",VLOOKUP(A:A,Pomocna_Nakup[],2,0)))</f>
        <v>SUOS | Ostatní</v>
      </c>
      <c r="D35" s="710" t="str">
        <f ca="1">IF(A35="","",'Rozpad zakázky'!F51)</f>
        <v>N/A</v>
      </c>
      <c r="E35" s="710" t="str">
        <f ca="1">IF(A35="","",'Rozpad zakázky'!D51&amp;IF('Rozpad zakázky'!G51="",""," ("&amp;'Rozpad zakázky'!G51&amp;")"))</f>
        <v xml:space="preserve">    Kohout výtokový</v>
      </c>
      <c r="F35" s="709">
        <f ca="1">IF(A35="","",'Rozpad zakázky'!IW51)</f>
        <v>1</v>
      </c>
      <c r="G35" s="711">
        <f ca="1">IF(A35="","",'Rozpad zakázky'!AE51)</f>
        <v>800</v>
      </c>
      <c r="H35" s="717">
        <f ca="1">IF(A35="","",'Rozpad zakázky'!AJ51)</f>
        <v>29.62962962962963</v>
      </c>
      <c r="I35" s="748">
        <f ca="1">IF(A35="","",'Rozpad zakázky'!Q51)</f>
        <v>1</v>
      </c>
      <c r="J35" s="717">
        <f ca="1">IF(A35="","",ROUNDDOWN('Rozpad zakázky'!L51,1))</f>
        <v>1.7</v>
      </c>
      <c r="K35" s="745">
        <f ca="1">IF(A35="","",Tabulka_nakup_Vonka[[#This Row],[Počet MJHR v rozpadu]]*Tabulka_nakup_Vonka[[#This Row],[Jedn. hmotnost '[kg/MJHR']]])</f>
        <v>1.7</v>
      </c>
    </row>
    <row r="36" spans="1:11" x14ac:dyDescent="0.35">
      <c r="A36" s="709" t="str">
        <f ca="1">IF('Rozpad zakázky'!E52=0,"",IF('Rozpad zakázky'!E52="-","",'Rozpad zakázky'!E52))</f>
        <v>SUOS</v>
      </c>
      <c r="B36" s="708" t="str">
        <f ca="1">IF(A36="","",IF(A36="","",VLOOKUP(A:A,Pomocna_Nakup[],3,0))&amp;" | "&amp;IF(A36="","",VLOOKUP(A:A,Pomocna_Nakup[],4,0)))</f>
        <v>SU | Subdodávky</v>
      </c>
      <c r="C36" s="710" t="str">
        <f ca="1">IF(Tabulka_nakup_Vonka[[#This Row],[Zkratka kalkulační položky]]="","",Tabulka_nakup_Vonka[[#This Row],[Zkratka kalkulační položky]]&amp;" | "&amp;IF(A36="","",VLOOKUP(A:A,Pomocna_Nakup[],2,0)))</f>
        <v>SUOS | Ostatní</v>
      </c>
      <c r="D36" s="710" t="str">
        <f ca="1">IF(A36="","",'Rozpad zakázky'!F52)</f>
        <v>N/A</v>
      </c>
      <c r="E36" s="710" t="str">
        <f ca="1">IF(A36="","",'Rozpad zakázky'!D52&amp;IF('Rozpad zakázky'!G52="",""," ("&amp;'Rozpad zakázky'!G52&amp;")"))</f>
        <v xml:space="preserve">    Součásti potrubí</v>
      </c>
      <c r="F36" s="709">
        <f ca="1">IF(A36="","",'Rozpad zakázky'!IW52)</f>
        <v>1</v>
      </c>
      <c r="G36" s="711">
        <f ca="1">IF(A36="","",'Rozpad zakázky'!AE52)</f>
        <v>1000</v>
      </c>
      <c r="H36" s="717">
        <f ca="1">IF(A36="","",'Rozpad zakázky'!AJ52)</f>
        <v>37.037037037037038</v>
      </c>
      <c r="I36" s="748">
        <f ca="1">IF(A36="","",'Rozpad zakázky'!Q52)</f>
        <v>1</v>
      </c>
      <c r="J36" s="717">
        <f ca="1">IF(A36="","",ROUNDDOWN('Rozpad zakázky'!L52,1))</f>
        <v>2.7</v>
      </c>
      <c r="K36" s="745">
        <f ca="1">IF(A36="","",Tabulka_nakup_Vonka[[#This Row],[Počet MJHR v rozpadu]]*Tabulka_nakup_Vonka[[#This Row],[Jedn. hmotnost '[kg/MJHR']]])</f>
        <v>2.7</v>
      </c>
    </row>
    <row r="37" spans="1:11" x14ac:dyDescent="0.35">
      <c r="A37" s="709" t="str">
        <f ca="1">IF('Rozpad zakázky'!E53=0,"",IF('Rozpad zakázky'!E53="-","",'Rozpad zakázky'!E53))</f>
        <v>STNO</v>
      </c>
      <c r="B37" s="708" t="str">
        <f ca="1">IF(A37="","",IF(A37="","",VLOOKUP(A:A,Pomocna_Nakup[],3,0))&amp;" | "&amp;IF(A37="","",VLOOKUP(A:A,Pomocna_Nakup[],4,0)))</f>
        <v>ST | Strojní</v>
      </c>
      <c r="C37" s="710" t="str">
        <f ca="1">IF(Tabulka_nakup_Vonka[[#This Row],[Zkratka kalkulační položky]]="","",Tabulka_nakup_Vonka[[#This Row],[Zkratka kalkulační položky]]&amp;" | "&amp;IF(A37="","",VLOOKUP(A:A,Pomocna_Nakup[],2,0)))</f>
        <v>STNO | Normalizované</v>
      </c>
      <c r="D37" s="710" t="str">
        <f ca="1">IF(A37="","",'Rozpad zakázky'!F53)</f>
        <v>N/A</v>
      </c>
      <c r="E37" s="710" t="str">
        <f ca="1">IF(A37="","",'Rozpad zakázky'!D53&amp;IF('Rozpad zakázky'!G53="",""," ("&amp;'Rozpad zakázky'!G53&amp;")"))</f>
        <v xml:space="preserve">    Normalizované</v>
      </c>
      <c r="F37" s="709">
        <f ca="1">IF(A37="","",'Rozpad zakázky'!IW53)</f>
        <v>1</v>
      </c>
      <c r="G37" s="711">
        <f ca="1">IF(A37="","",'Rozpad zakázky'!AE53)</f>
        <v>3395.92</v>
      </c>
      <c r="H37" s="717">
        <f ca="1">IF(A37="","",'Rozpad zakázky'!AJ53)</f>
        <v>125.77481481481482</v>
      </c>
      <c r="I37" s="748">
        <f ca="1">IF(A37="","",'Rozpad zakázky'!Q53)</f>
        <v>1</v>
      </c>
      <c r="J37" s="717">
        <f ca="1">IF(A37="","",ROUNDDOWN('Rozpad zakázky'!L53,1))</f>
        <v>30.8</v>
      </c>
      <c r="K37" s="745">
        <f ca="1">IF(A37="","",Tabulka_nakup_Vonka[[#This Row],[Počet MJHR v rozpadu]]*Tabulka_nakup_Vonka[[#This Row],[Jedn. hmotnost '[kg/MJHR']]])</f>
        <v>30.8</v>
      </c>
    </row>
    <row r="38" spans="1:11" x14ac:dyDescent="0.35">
      <c r="A38" s="709" t="str">
        <f ca="1">IF('Rozpad zakázky'!E54=0,"",IF('Rozpad zakázky'!E54="-","",'Rozpad zakázky'!E54))</f>
        <v>STSM</v>
      </c>
      <c r="B38" s="708" t="str">
        <f ca="1">IF(A38="","",IF(A38="","",VLOOKUP(A:A,Pomocna_Nakup[],3,0))&amp;" | "&amp;IF(A38="","",VLOOKUP(A:A,Pomocna_Nakup[],4,0)))</f>
        <v>ST | Strojní</v>
      </c>
      <c r="C38" s="710" t="str">
        <f ca="1">IF(Tabulka_nakup_Vonka[[#This Row],[Zkratka kalkulační položky]]="","",Tabulka_nakup_Vonka[[#This Row],[Zkratka kalkulační položky]]&amp;" | "&amp;IF(A38="","",VLOOKUP(A:A,Pomocna_Nakup[],2,0)))</f>
        <v>STSM | Spojovací materiál</v>
      </c>
      <c r="D38" s="710" t="str">
        <f ca="1">IF(A38="","",'Rozpad zakázky'!F54)</f>
        <v>N/A</v>
      </c>
      <c r="E38" s="710" t="str">
        <f ca="1">IF(A38="","",'Rozpad zakázky'!D54&amp;IF('Rozpad zakázky'!G54="",""," ("&amp;'Rozpad zakázky'!G54&amp;")"))</f>
        <v xml:space="preserve">    Spojovací materiál</v>
      </c>
      <c r="F38" s="709">
        <f ca="1">IF(A38="","",'Rozpad zakázky'!IW54)</f>
        <v>1</v>
      </c>
      <c r="G38" s="711">
        <f ca="1">IF(A38="","",'Rozpad zakázky'!AE54)</f>
        <v>22943.800000000003</v>
      </c>
      <c r="H38" s="717">
        <f ca="1">IF(A38="","",'Rozpad zakázky'!AJ54)</f>
        <v>849.77037037037053</v>
      </c>
      <c r="I38" s="748">
        <f ca="1">IF(A38="","",'Rozpad zakázky'!Q54)</f>
        <v>1</v>
      </c>
      <c r="J38" s="717">
        <f ca="1">IF(A38="","",ROUNDDOWN('Rozpad zakázky'!L54,1))</f>
        <v>208.5</v>
      </c>
      <c r="K38" s="745">
        <f ca="1">IF(A38="","",Tabulka_nakup_Vonka[[#This Row],[Počet MJHR v rozpadu]]*Tabulka_nakup_Vonka[[#This Row],[Jedn. hmotnost '[kg/MJHR']]])</f>
        <v>208.5</v>
      </c>
    </row>
    <row r="39" spans="1:11" x14ac:dyDescent="0.35">
      <c r="A39" s="709" t="str">
        <f ca="1">IF('Rozpad zakázky'!E55=0,"",IF('Rozpad zakázky'!E55="-","",'Rozpad zakázky'!E55))</f>
        <v/>
      </c>
      <c r="B39" s="708" t="str">
        <f ca="1">IF(A39="","",IF(A39="","",VLOOKUP(A:A,Pomocna_Nakup[],3,0))&amp;" | "&amp;IF(A39="","",VLOOKUP(A:A,Pomocna_Nakup[],4,0)))</f>
        <v/>
      </c>
      <c r="C39" s="710" t="str">
        <f ca="1">IF(Tabulka_nakup_Vonka[[#This Row],[Zkratka kalkulační položky]]="","",Tabulka_nakup_Vonka[[#This Row],[Zkratka kalkulační položky]]&amp;" | "&amp;IF(A39="","",VLOOKUP(A:A,Pomocna_Nakup[],2,0)))</f>
        <v/>
      </c>
      <c r="D39" s="710" t="str">
        <f ca="1">IF(A39="","",'Rozpad zakázky'!F55)</f>
        <v/>
      </c>
      <c r="E39" s="710" t="str">
        <f ca="1">IF(A39="","",'Rozpad zakázky'!D55&amp;IF('Rozpad zakázky'!G55="",""," ("&amp;'Rozpad zakázky'!G55&amp;")"))</f>
        <v/>
      </c>
      <c r="F39" s="709" t="str">
        <f ca="1">IF(A39="","",'Rozpad zakázky'!IW55)</f>
        <v/>
      </c>
      <c r="G39" s="711" t="str">
        <f ca="1">IF(A39="","",'Rozpad zakázky'!AE55)</f>
        <v/>
      </c>
      <c r="H39" s="717" t="str">
        <f ca="1">IF(A39="","",'Rozpad zakázky'!AJ55)</f>
        <v/>
      </c>
      <c r="I39" s="748" t="str">
        <f ca="1">IF(A39="","",'Rozpad zakázky'!Q55)</f>
        <v/>
      </c>
      <c r="J39" s="717" t="str">
        <f ca="1">IF(A39="","",ROUNDDOWN('Rozpad zakázky'!L55,1))</f>
        <v/>
      </c>
      <c r="K39" s="745" t="str">
        <f ca="1">IF(A39="","",Tabulka_nakup_Vonka[[#This Row],[Počet MJHR v rozpadu]]*Tabulka_nakup_Vonka[[#This Row],[Jedn. hmotnost '[kg/MJHR']]])</f>
        <v/>
      </c>
    </row>
    <row r="40" spans="1:11" x14ac:dyDescent="0.35">
      <c r="A40" s="709" t="str">
        <f ca="1">IF('Rozpad zakázky'!E56=0,"",IF('Rozpad zakázky'!E56="-","",'Rozpad zakázky'!E56))</f>
        <v>OKS1</v>
      </c>
      <c r="B40" s="708" t="str">
        <f ca="1">IF(A40="","",IF(A40="","",VLOOKUP(A:A,Pomocna_Nakup[],3,0))&amp;" | "&amp;IF(A40="","",VLOOKUP(A:A,Pomocna_Nakup[],4,0)))</f>
        <v>OK | Ocelové kosntrukce</v>
      </c>
      <c r="C40" s="710" t="str">
        <f ca="1">IF(Tabulka_nakup_Vonka[[#This Row],[Zkratka kalkulační položky]]="","",Tabulka_nakup_Vonka[[#This Row],[Zkratka kalkulační položky]]&amp;" | "&amp;IF(A40="","",VLOOKUP(A:A,Pomocna_Nakup[],2,0)))</f>
        <v>OKS1 | Svařenec třída 1</v>
      </c>
      <c r="D40" s="710" t="str">
        <f ca="1">IF(A40="","",'Rozpad zakázky'!F56)</f>
        <v>N/A</v>
      </c>
      <c r="E40" s="710" t="str">
        <f ca="1">IF(A40="","",'Rozpad zakázky'!D56&amp;IF('Rozpad zakázky'!G56="",""," ("&amp;'Rozpad zakázky'!G56&amp;")"))</f>
        <v xml:space="preserve">    Kladka</v>
      </c>
      <c r="F40" s="709">
        <f ca="1">IF(A40="","",'Rozpad zakázky'!IW56)</f>
        <v>1</v>
      </c>
      <c r="G40" s="711">
        <f ca="1">IF(A40="","",'Rozpad zakázky'!AE56)</f>
        <v>313600</v>
      </c>
      <c r="H40" s="717">
        <f ca="1">IF(A40="","",'Rozpad zakázky'!AJ56)</f>
        <v>11614.814814814816</v>
      </c>
      <c r="I40" s="748">
        <f ca="1">IF(A40="","",'Rozpad zakázky'!Q56)</f>
        <v>8</v>
      </c>
      <c r="J40" s="717">
        <f ca="1">IF(A40="","",ROUNDDOWN('Rozpad zakázky'!L56,1))</f>
        <v>280</v>
      </c>
      <c r="K40" s="745">
        <f ca="1">IF(A40="","",Tabulka_nakup_Vonka[[#This Row],[Počet MJHR v rozpadu]]*Tabulka_nakup_Vonka[[#This Row],[Jedn. hmotnost '[kg/MJHR']]])</f>
        <v>2240</v>
      </c>
    </row>
    <row r="41" spans="1:11" x14ac:dyDescent="0.35">
      <c r="A41" s="709" t="str">
        <f ca="1">IF('Rozpad zakázky'!E57=0,"",IF('Rozpad zakázky'!E57="-","",'Rozpad zakázky'!E57))</f>
        <v>OKS1</v>
      </c>
      <c r="B41" s="708" t="str">
        <f ca="1">IF(A41="","",IF(A41="","",VLOOKUP(A:A,Pomocna_Nakup[],3,0))&amp;" | "&amp;IF(A41="","",VLOOKUP(A:A,Pomocna_Nakup[],4,0)))</f>
        <v>OK | Ocelové kosntrukce</v>
      </c>
      <c r="C41" s="710" t="str">
        <f ca="1">IF(Tabulka_nakup_Vonka[[#This Row],[Zkratka kalkulační položky]]="","",Tabulka_nakup_Vonka[[#This Row],[Zkratka kalkulační položky]]&amp;" | "&amp;IF(A41="","",VLOOKUP(A:A,Pomocna_Nakup[],2,0)))</f>
        <v>OKS1 | Svařenec třída 1</v>
      </c>
      <c r="D41" s="710" t="str">
        <f ca="1">IF(A41="","",'Rozpad zakázky'!F57)</f>
        <v>N/A</v>
      </c>
      <c r="E41" s="710" t="str">
        <f ca="1">IF(A41="","",'Rozpad zakázky'!D57&amp;IF('Rozpad zakázky'!G57="",""," ("&amp;'Rozpad zakázky'!G57&amp;")"))</f>
        <v xml:space="preserve">    Rám</v>
      </c>
      <c r="F41" s="709">
        <f ca="1">IF(A41="","",'Rozpad zakázky'!IW57)</f>
        <v>1</v>
      </c>
      <c r="G41" s="711">
        <f ca="1">IF(A41="","",'Rozpad zakázky'!AE57)</f>
        <v>1007944</v>
      </c>
      <c r="H41" s="717">
        <f ca="1">IF(A41="","",'Rozpad zakázky'!AJ57)</f>
        <v>37331.259259259263</v>
      </c>
      <c r="I41" s="748">
        <f ca="1">IF(A41="","",'Rozpad zakázky'!Q57)</f>
        <v>2</v>
      </c>
      <c r="J41" s="717">
        <f ca="1">IF(A41="","",ROUNDDOWN('Rozpad zakázky'!L57,1))</f>
        <v>3599.8</v>
      </c>
      <c r="K41" s="745">
        <f ca="1">IF(A41="","",Tabulka_nakup_Vonka[[#This Row],[Počet MJHR v rozpadu]]*Tabulka_nakup_Vonka[[#This Row],[Jedn. hmotnost '[kg/MJHR']]])</f>
        <v>7199.6</v>
      </c>
    </row>
    <row r="42" spans="1:11" x14ac:dyDescent="0.35">
      <c r="A42" s="709" t="str">
        <f ca="1">IF('Rozpad zakázky'!E58=0,"",IF('Rozpad zakázky'!E58="-","",'Rozpad zakázky'!E58))</f>
        <v>OKS1</v>
      </c>
      <c r="B42" s="708" t="str">
        <f ca="1">IF(A42="","",IF(A42="","",VLOOKUP(A:A,Pomocna_Nakup[],3,0))&amp;" | "&amp;IF(A42="","",VLOOKUP(A:A,Pomocna_Nakup[],4,0)))</f>
        <v>OK | Ocelové kosntrukce</v>
      </c>
      <c r="C42" s="710" t="str">
        <f ca="1">IF(Tabulka_nakup_Vonka[[#This Row],[Zkratka kalkulační položky]]="","",Tabulka_nakup_Vonka[[#This Row],[Zkratka kalkulační položky]]&amp;" | "&amp;IF(A42="","",VLOOKUP(A:A,Pomocna_Nakup[],2,0)))</f>
        <v>OKS1 | Svařenec třída 1</v>
      </c>
      <c r="D42" s="710" t="str">
        <f ca="1">IF(A42="","",'Rozpad zakázky'!F58)</f>
        <v>N/A</v>
      </c>
      <c r="E42" s="710" t="str">
        <f ca="1">IF(A42="","",'Rozpad zakázky'!D58&amp;IF('Rozpad zakázky'!G58="",""," ("&amp;'Rozpad zakázky'!G58&amp;")"))</f>
        <v xml:space="preserve">    Nosník</v>
      </c>
      <c r="F42" s="709">
        <f ca="1">IF(A42="","",'Rozpad zakázky'!IW58)</f>
        <v>1</v>
      </c>
      <c r="G42" s="711">
        <f ca="1">IF(A42="","",'Rozpad zakázky'!AE58)</f>
        <v>285600</v>
      </c>
      <c r="H42" s="717">
        <f ca="1">IF(A42="","",'Rozpad zakázky'!AJ58)</f>
        <v>10577.777777777777</v>
      </c>
      <c r="I42" s="748">
        <f ca="1">IF(A42="","",'Rozpad zakázky'!Q58)</f>
        <v>4</v>
      </c>
      <c r="J42" s="717">
        <f ca="1">IF(A42="","",ROUNDDOWN('Rozpad zakázky'!L58,1))</f>
        <v>510</v>
      </c>
      <c r="K42" s="745">
        <f ca="1">IF(A42="","",Tabulka_nakup_Vonka[[#This Row],[Počet MJHR v rozpadu]]*Tabulka_nakup_Vonka[[#This Row],[Jedn. hmotnost '[kg/MJHR']]])</f>
        <v>2040</v>
      </c>
    </row>
    <row r="43" spans="1:11" x14ac:dyDescent="0.35">
      <c r="A43" s="709" t="str">
        <f ca="1">IF('Rozpad zakázky'!E59=0,"",IF('Rozpad zakázky'!E59="-","",'Rozpad zakázky'!E59))</f>
        <v>STO2</v>
      </c>
      <c r="B43" s="708" t="str">
        <f ca="1">IF(A43="","",IF(A43="","",VLOOKUP(A:A,Pomocna_Nakup[],3,0))&amp;" | "&amp;IF(A43="","",VLOOKUP(A:A,Pomocna_Nakup[],4,0)))</f>
        <v>ST | Strojní</v>
      </c>
      <c r="C43" s="710" t="str">
        <f ca="1">IF(Tabulka_nakup_Vonka[[#This Row],[Zkratka kalkulační položky]]="","",Tabulka_nakup_Vonka[[#This Row],[Zkratka kalkulační položky]]&amp;" | "&amp;IF(A43="","",VLOOKUP(A:A,Pomocna_Nakup[],2,0)))</f>
        <v>STO2 | Obrobky třída 2</v>
      </c>
      <c r="D43" s="710" t="str">
        <f ca="1">IF(A43="","",'Rozpad zakázky'!F59)</f>
        <v>N/A</v>
      </c>
      <c r="E43" s="710" t="str">
        <f ca="1">IF(A43="","",'Rozpad zakázky'!D59&amp;IF('Rozpad zakázky'!G59="",""," ("&amp;'Rozpad zakázky'!G59&amp;")"))</f>
        <v xml:space="preserve">    Víko</v>
      </c>
      <c r="F43" s="709">
        <f ca="1">IF(A43="","",'Rozpad zakázky'!IW59)</f>
        <v>1</v>
      </c>
      <c r="G43" s="711">
        <f ca="1">IF(A43="","",'Rozpad zakázky'!AE59)</f>
        <v>6072</v>
      </c>
      <c r="H43" s="717">
        <f ca="1">IF(A43="","",'Rozpad zakázky'!AJ59)</f>
        <v>224.88888888888889</v>
      </c>
      <c r="I43" s="748">
        <f ca="1">IF(A43="","",'Rozpad zakázky'!Q59)</f>
        <v>8</v>
      </c>
      <c r="J43" s="717">
        <f ca="1">IF(A43="","",ROUNDDOWN('Rozpad zakázky'!L59,1))</f>
        <v>6.6</v>
      </c>
      <c r="K43" s="745">
        <f ca="1">IF(A43="","",Tabulka_nakup_Vonka[[#This Row],[Počet MJHR v rozpadu]]*Tabulka_nakup_Vonka[[#This Row],[Jedn. hmotnost '[kg/MJHR']]])</f>
        <v>52.8</v>
      </c>
    </row>
    <row r="44" spans="1:11" x14ac:dyDescent="0.35">
      <c r="A44" s="709" t="str">
        <f ca="1">IF('Rozpad zakázky'!E60=0,"",IF('Rozpad zakázky'!E60="-","",'Rozpad zakázky'!E60))</f>
        <v>STO2</v>
      </c>
      <c r="B44" s="708" t="str">
        <f ca="1">IF(A44="","",IF(A44="","",VLOOKUP(A:A,Pomocna_Nakup[],3,0))&amp;" | "&amp;IF(A44="","",VLOOKUP(A:A,Pomocna_Nakup[],4,0)))</f>
        <v>ST | Strojní</v>
      </c>
      <c r="C44" s="710" t="str">
        <f ca="1">IF(Tabulka_nakup_Vonka[[#This Row],[Zkratka kalkulační položky]]="","",Tabulka_nakup_Vonka[[#This Row],[Zkratka kalkulační položky]]&amp;" | "&amp;IF(A44="","",VLOOKUP(A:A,Pomocna_Nakup[],2,0)))</f>
        <v>STO2 | Obrobky třída 2</v>
      </c>
      <c r="D44" s="710" t="str">
        <f ca="1">IF(A44="","",'Rozpad zakázky'!F60)</f>
        <v>N/A</v>
      </c>
      <c r="E44" s="710" t="str">
        <f ca="1">IF(A44="","",'Rozpad zakázky'!D60&amp;IF('Rozpad zakázky'!G60="",""," ("&amp;'Rozpad zakázky'!G60&amp;")"))</f>
        <v xml:space="preserve">    Víko</v>
      </c>
      <c r="F44" s="709">
        <f ca="1">IF(A44="","",'Rozpad zakázky'!IW60)</f>
        <v>1</v>
      </c>
      <c r="G44" s="711">
        <f ca="1">IF(A44="","",'Rozpad zakázky'!AE60)</f>
        <v>6072</v>
      </c>
      <c r="H44" s="717">
        <f ca="1">IF(A44="","",'Rozpad zakázky'!AJ60)</f>
        <v>224.88888888888889</v>
      </c>
      <c r="I44" s="748">
        <f ca="1">IF(A44="","",'Rozpad zakázky'!Q60)</f>
        <v>8</v>
      </c>
      <c r="J44" s="717">
        <f ca="1">IF(A44="","",ROUNDDOWN('Rozpad zakázky'!L60,1))</f>
        <v>6.6</v>
      </c>
      <c r="K44" s="745">
        <f ca="1">IF(A44="","",Tabulka_nakup_Vonka[[#This Row],[Počet MJHR v rozpadu]]*Tabulka_nakup_Vonka[[#This Row],[Jedn. hmotnost '[kg/MJHR']]])</f>
        <v>52.8</v>
      </c>
    </row>
    <row r="45" spans="1:11" x14ac:dyDescent="0.35">
      <c r="A45" s="709" t="str">
        <f ca="1">IF('Rozpad zakázky'!E61=0,"",IF('Rozpad zakázky'!E61="-","",'Rozpad zakázky'!E61))</f>
        <v>STO2</v>
      </c>
      <c r="B45" s="708" t="str">
        <f ca="1">IF(A45="","",IF(A45="","",VLOOKUP(A:A,Pomocna_Nakup[],3,0))&amp;" | "&amp;IF(A45="","",VLOOKUP(A:A,Pomocna_Nakup[],4,0)))</f>
        <v>ST | Strojní</v>
      </c>
      <c r="C45" s="710" t="str">
        <f ca="1">IF(Tabulka_nakup_Vonka[[#This Row],[Zkratka kalkulační položky]]="","",Tabulka_nakup_Vonka[[#This Row],[Zkratka kalkulační položky]]&amp;" | "&amp;IF(A45="","",VLOOKUP(A:A,Pomocna_Nakup[],2,0)))</f>
        <v>STO2 | Obrobky třída 2</v>
      </c>
      <c r="D45" s="710" t="str">
        <f ca="1">IF(A45="","",'Rozpad zakázky'!F61)</f>
        <v>N/A</v>
      </c>
      <c r="E45" s="710" t="str">
        <f ca="1">IF(A45="","",'Rozpad zakázky'!D61&amp;IF('Rozpad zakázky'!G61="",""," ("&amp;'Rozpad zakázky'!G61&amp;")"))</f>
        <v xml:space="preserve">    Osa - průměr 200 mm</v>
      </c>
      <c r="F45" s="709">
        <f ca="1">IF(A45="","",'Rozpad zakázky'!IW61)</f>
        <v>1</v>
      </c>
      <c r="G45" s="711">
        <f ca="1">IF(A45="","",'Rozpad zakázky'!AE61)</f>
        <v>64400</v>
      </c>
      <c r="H45" s="717">
        <f ca="1">IF(A45="","",'Rozpad zakázky'!AJ61)</f>
        <v>2385.1851851851852</v>
      </c>
      <c r="I45" s="748">
        <f ca="1">IF(A45="","",'Rozpad zakázky'!Q61)</f>
        <v>4</v>
      </c>
      <c r="J45" s="717">
        <f ca="1">IF(A45="","",ROUNDDOWN('Rozpad zakázky'!L61,1))</f>
        <v>140</v>
      </c>
      <c r="K45" s="745">
        <f ca="1">IF(A45="","",Tabulka_nakup_Vonka[[#This Row],[Počet MJHR v rozpadu]]*Tabulka_nakup_Vonka[[#This Row],[Jedn. hmotnost '[kg/MJHR']]])</f>
        <v>560</v>
      </c>
    </row>
    <row r="46" spans="1:11" x14ac:dyDescent="0.35">
      <c r="A46" s="709" t="str">
        <f ca="1">IF('Rozpad zakázky'!E62=0,"",IF('Rozpad zakázky'!E62="-","",'Rozpad zakázky'!E62))</f>
        <v>STO3</v>
      </c>
      <c r="B46" s="708" t="str">
        <f ca="1">IF(A46="","",IF(A46="","",VLOOKUP(A:A,Pomocna_Nakup[],3,0))&amp;" | "&amp;IF(A46="","",VLOOKUP(A:A,Pomocna_Nakup[],4,0)))</f>
        <v>ST | Strojní</v>
      </c>
      <c r="C46" s="710" t="str">
        <f ca="1">IF(Tabulka_nakup_Vonka[[#This Row],[Zkratka kalkulační položky]]="","",Tabulka_nakup_Vonka[[#This Row],[Zkratka kalkulační položky]]&amp;" | "&amp;IF(A46="","",VLOOKUP(A:A,Pomocna_Nakup[],2,0)))</f>
        <v>STO3 | Obrobky třída 3</v>
      </c>
      <c r="D46" s="710" t="str">
        <f ca="1">IF(A46="","",'Rozpad zakázky'!F62)</f>
        <v>N/A</v>
      </c>
      <c r="E46" s="710" t="str">
        <f ca="1">IF(A46="","",'Rozpad zakázky'!D62&amp;IF('Rozpad zakázky'!G62="",""," ("&amp;'Rozpad zakázky'!G62&amp;")"))</f>
        <v xml:space="preserve">    Přídržka</v>
      </c>
      <c r="F46" s="709">
        <f ca="1">IF(A46="","",'Rozpad zakázky'!IW62)</f>
        <v>1</v>
      </c>
      <c r="G46" s="711">
        <f ca="1">IF(A46="","",'Rozpad zakázky'!AE62)</f>
        <v>646</v>
      </c>
      <c r="H46" s="717">
        <f ca="1">IF(A46="","",'Rozpad zakázky'!AJ62)</f>
        <v>23.925925925925927</v>
      </c>
      <c r="I46" s="748">
        <f ca="1">IF(A46="","",'Rozpad zakázky'!Q62)</f>
        <v>4</v>
      </c>
      <c r="J46" s="717">
        <f ca="1">IF(A46="","",ROUNDDOWN('Rozpad zakázky'!L62,1))</f>
        <v>1.9</v>
      </c>
      <c r="K46" s="745">
        <f ca="1">IF(A46="","",Tabulka_nakup_Vonka[[#This Row],[Počet MJHR v rozpadu]]*Tabulka_nakup_Vonka[[#This Row],[Jedn. hmotnost '[kg/MJHR']]])</f>
        <v>7.6</v>
      </c>
    </row>
    <row r="47" spans="1:11" x14ac:dyDescent="0.35">
      <c r="A47" s="709" t="str">
        <f ca="1">IF('Rozpad zakázky'!E63=0,"",IF('Rozpad zakázky'!E63="-","",'Rozpad zakázky'!E63))</f>
        <v>STO3</v>
      </c>
      <c r="B47" s="708" t="str">
        <f ca="1">IF(A47="","",IF(A47="","",VLOOKUP(A:A,Pomocna_Nakup[],3,0))&amp;" | "&amp;IF(A47="","",VLOOKUP(A:A,Pomocna_Nakup[],4,0)))</f>
        <v>ST | Strojní</v>
      </c>
      <c r="C47" s="710" t="str">
        <f ca="1">IF(Tabulka_nakup_Vonka[[#This Row],[Zkratka kalkulační položky]]="","",Tabulka_nakup_Vonka[[#This Row],[Zkratka kalkulační položky]]&amp;" | "&amp;IF(A47="","",VLOOKUP(A:A,Pomocna_Nakup[],2,0)))</f>
        <v>STO3 | Obrobky třída 3</v>
      </c>
      <c r="D47" s="710" t="str">
        <f ca="1">IF(A47="","",'Rozpad zakázky'!F63)</f>
        <v>N/A</v>
      </c>
      <c r="E47" s="710" t="str">
        <f ca="1">IF(A47="","",'Rozpad zakázky'!D63&amp;IF('Rozpad zakázky'!G63="",""," ("&amp;'Rozpad zakázky'!G63&amp;")"))</f>
        <v xml:space="preserve">    Přídržka</v>
      </c>
      <c r="F47" s="709">
        <f ca="1">IF(A47="","",'Rozpad zakázky'!IW63)</f>
        <v>1</v>
      </c>
      <c r="G47" s="711">
        <f ca="1">IF(A47="","",'Rozpad zakázky'!AE63)</f>
        <v>629</v>
      </c>
      <c r="H47" s="717">
        <f ca="1">IF(A47="","",'Rozpad zakázky'!AJ63)</f>
        <v>23.296296296296298</v>
      </c>
      <c r="I47" s="748">
        <f ca="1">IF(A47="","",'Rozpad zakázky'!Q63)</f>
        <v>4</v>
      </c>
      <c r="J47" s="717">
        <f ca="1">IF(A47="","",ROUNDDOWN('Rozpad zakázky'!L63,1))</f>
        <v>1.8</v>
      </c>
      <c r="K47" s="745">
        <f ca="1">IF(A47="","",Tabulka_nakup_Vonka[[#This Row],[Počet MJHR v rozpadu]]*Tabulka_nakup_Vonka[[#This Row],[Jedn. hmotnost '[kg/MJHR']]])</f>
        <v>7.2</v>
      </c>
    </row>
    <row r="48" spans="1:11" x14ac:dyDescent="0.35">
      <c r="A48" s="709" t="str">
        <f ca="1">IF('Rozpad zakázky'!E64=0,"",IF('Rozpad zakázky'!E64="-","",'Rozpad zakázky'!E64))</f>
        <v>STO2</v>
      </c>
      <c r="B48" s="708" t="str">
        <f ca="1">IF(A48="","",IF(A48="","",VLOOKUP(A:A,Pomocna_Nakup[],3,0))&amp;" | "&amp;IF(A48="","",VLOOKUP(A:A,Pomocna_Nakup[],4,0)))</f>
        <v>ST | Strojní</v>
      </c>
      <c r="C48" s="710" t="str">
        <f ca="1">IF(Tabulka_nakup_Vonka[[#This Row],[Zkratka kalkulační položky]]="","",Tabulka_nakup_Vonka[[#This Row],[Zkratka kalkulační položky]]&amp;" | "&amp;IF(A48="","",VLOOKUP(A:A,Pomocna_Nakup[],2,0)))</f>
        <v>STO2 | Obrobky třída 2</v>
      </c>
      <c r="D48" s="710" t="str">
        <f ca="1">IF(A48="","",'Rozpad zakázky'!F64)</f>
        <v>N/A</v>
      </c>
      <c r="E48" s="710" t="str">
        <f ca="1">IF(A48="","",'Rozpad zakázky'!D64&amp;IF('Rozpad zakázky'!G64="",""," ("&amp;'Rozpad zakázky'!G64&amp;")"))</f>
        <v xml:space="preserve">    Čep - průměr 110 mm</v>
      </c>
      <c r="F48" s="709">
        <f ca="1">IF(A48="","",'Rozpad zakázky'!IW64)</f>
        <v>1</v>
      </c>
      <c r="G48" s="711">
        <f ca="1">IF(A48="","",'Rozpad zakázky'!AE64)</f>
        <v>34040</v>
      </c>
      <c r="H48" s="717">
        <f ca="1">IF(A48="","",'Rozpad zakázky'!AJ64)</f>
        <v>1260.7407407407406</v>
      </c>
      <c r="I48" s="748">
        <f ca="1">IF(A48="","",'Rozpad zakázky'!Q64)</f>
        <v>8</v>
      </c>
      <c r="J48" s="717">
        <f ca="1">IF(A48="","",ROUNDDOWN('Rozpad zakázky'!L64,1))</f>
        <v>37</v>
      </c>
      <c r="K48" s="745">
        <f ca="1">IF(A48="","",Tabulka_nakup_Vonka[[#This Row],[Počet MJHR v rozpadu]]*Tabulka_nakup_Vonka[[#This Row],[Jedn. hmotnost '[kg/MJHR']]])</f>
        <v>296</v>
      </c>
    </row>
    <row r="49" spans="1:11" x14ac:dyDescent="0.35">
      <c r="A49" s="709" t="str">
        <f ca="1">IF('Rozpad zakázky'!E65=0,"",IF('Rozpad zakázky'!E65="-","",'Rozpad zakázky'!E65))</f>
        <v>STO2</v>
      </c>
      <c r="B49" s="708" t="str">
        <f ca="1">IF(A49="","",IF(A49="","",VLOOKUP(A:A,Pomocna_Nakup[],3,0))&amp;" | "&amp;IF(A49="","",VLOOKUP(A:A,Pomocna_Nakup[],4,0)))</f>
        <v>ST | Strojní</v>
      </c>
      <c r="C49" s="710" t="str">
        <f ca="1">IF(Tabulka_nakup_Vonka[[#This Row],[Zkratka kalkulační položky]]="","",Tabulka_nakup_Vonka[[#This Row],[Zkratka kalkulační položky]]&amp;" | "&amp;IF(A49="","",VLOOKUP(A:A,Pomocna_Nakup[],2,0)))</f>
        <v>STO2 | Obrobky třída 2</v>
      </c>
      <c r="D49" s="710" t="str">
        <f ca="1">IF(A49="","",'Rozpad zakázky'!F65)</f>
        <v>N/A</v>
      </c>
      <c r="E49" s="710" t="str">
        <f ca="1">IF(A49="","",'Rozpad zakázky'!D65&amp;IF('Rozpad zakázky'!G65="",""," ("&amp;'Rozpad zakázky'!G65&amp;")"))</f>
        <v xml:space="preserve">    Distanční kroužek</v>
      </c>
      <c r="F49" s="709">
        <f ca="1">IF(A49="","",'Rozpad zakázky'!IW65)</f>
        <v>1</v>
      </c>
      <c r="G49" s="711">
        <f ca="1">IF(A49="","",'Rozpad zakázky'!AE65)</f>
        <v>1472</v>
      </c>
      <c r="H49" s="717">
        <f ca="1">IF(A49="","",'Rozpad zakázky'!AJ65)</f>
        <v>54.518518518518519</v>
      </c>
      <c r="I49" s="748">
        <f ca="1">IF(A49="","",'Rozpad zakázky'!Q65)</f>
        <v>8</v>
      </c>
      <c r="J49" s="717">
        <f ca="1">IF(A49="","",ROUNDDOWN('Rozpad zakázky'!L65,1))</f>
        <v>1.6</v>
      </c>
      <c r="K49" s="745">
        <f ca="1">IF(A49="","",Tabulka_nakup_Vonka[[#This Row],[Počet MJHR v rozpadu]]*Tabulka_nakup_Vonka[[#This Row],[Jedn. hmotnost '[kg/MJHR']]])</f>
        <v>12.8</v>
      </c>
    </row>
    <row r="50" spans="1:11" x14ac:dyDescent="0.35">
      <c r="A50" s="709" t="str">
        <f ca="1">IF('Rozpad zakázky'!E66=0,"",IF('Rozpad zakázky'!E66="-","",'Rozpad zakázky'!E66))</f>
        <v>STO2</v>
      </c>
      <c r="B50" s="708" t="str">
        <f ca="1">IF(A50="","",IF(A50="","",VLOOKUP(A:A,Pomocna_Nakup[],3,0))&amp;" | "&amp;IF(A50="","",VLOOKUP(A:A,Pomocna_Nakup[],4,0)))</f>
        <v>ST | Strojní</v>
      </c>
      <c r="C50" s="710" t="str">
        <f ca="1">IF(Tabulka_nakup_Vonka[[#This Row],[Zkratka kalkulační položky]]="","",Tabulka_nakup_Vonka[[#This Row],[Zkratka kalkulační položky]]&amp;" | "&amp;IF(A50="","",VLOOKUP(A:A,Pomocna_Nakup[],2,0)))</f>
        <v>STO2 | Obrobky třída 2</v>
      </c>
      <c r="D50" s="710" t="str">
        <f ca="1">IF(A50="","",'Rozpad zakázky'!F66)</f>
        <v>N/A</v>
      </c>
      <c r="E50" s="710" t="str">
        <f ca="1">IF(A50="","",'Rozpad zakázky'!D66&amp;IF('Rozpad zakázky'!G66="",""," ("&amp;'Rozpad zakázky'!G66&amp;")"))</f>
        <v xml:space="preserve">    Distanční kroužek</v>
      </c>
      <c r="F50" s="709">
        <f ca="1">IF(A50="","",'Rozpad zakázky'!IW66)</f>
        <v>1</v>
      </c>
      <c r="G50" s="711">
        <f ca="1">IF(A50="","",'Rozpad zakázky'!AE66)</f>
        <v>1472</v>
      </c>
      <c r="H50" s="717">
        <f ca="1">IF(A50="","",'Rozpad zakázky'!AJ66)</f>
        <v>54.518518518518519</v>
      </c>
      <c r="I50" s="748">
        <f ca="1">IF(A50="","",'Rozpad zakázky'!Q66)</f>
        <v>16</v>
      </c>
      <c r="J50" s="717">
        <f ca="1">IF(A50="","",ROUNDDOWN('Rozpad zakázky'!L66,1))</f>
        <v>0.8</v>
      </c>
      <c r="K50" s="745">
        <f ca="1">IF(A50="","",Tabulka_nakup_Vonka[[#This Row],[Počet MJHR v rozpadu]]*Tabulka_nakup_Vonka[[#This Row],[Jedn. hmotnost '[kg/MJHR']]])</f>
        <v>12.8</v>
      </c>
    </row>
    <row r="51" spans="1:11" x14ac:dyDescent="0.35">
      <c r="A51" s="709" t="str">
        <f ca="1">IF('Rozpad zakázky'!E67=0,"",IF('Rozpad zakázky'!E67="-","",'Rozpad zakázky'!E67))</f>
        <v>STO2</v>
      </c>
      <c r="B51" s="708" t="str">
        <f ca="1">IF(A51="","",IF(A51="","",VLOOKUP(A:A,Pomocna_Nakup[],3,0))&amp;" | "&amp;IF(A51="","",VLOOKUP(A:A,Pomocna_Nakup[],4,0)))</f>
        <v>ST | Strojní</v>
      </c>
      <c r="C51" s="710" t="str">
        <f ca="1">IF(Tabulka_nakup_Vonka[[#This Row],[Zkratka kalkulační položky]]="","",Tabulka_nakup_Vonka[[#This Row],[Zkratka kalkulační položky]]&amp;" | "&amp;IF(A51="","",VLOOKUP(A:A,Pomocna_Nakup[],2,0)))</f>
        <v>STO2 | Obrobky třída 2</v>
      </c>
      <c r="D51" s="710" t="str">
        <f ca="1">IF(A51="","",'Rozpad zakázky'!F67)</f>
        <v>N/A</v>
      </c>
      <c r="E51" s="710" t="str">
        <f ca="1">IF(A51="","",'Rozpad zakázky'!D67&amp;IF('Rozpad zakázky'!G67="",""," ("&amp;'Rozpad zakázky'!G67&amp;")"))</f>
        <v xml:space="preserve">    Víčko</v>
      </c>
      <c r="F51" s="709">
        <f ca="1">IF(A51="","",'Rozpad zakázky'!IW67)</f>
        <v>1</v>
      </c>
      <c r="G51" s="711">
        <f ca="1">IF(A51="","",'Rozpad zakázky'!AE67)</f>
        <v>11776</v>
      </c>
      <c r="H51" s="717">
        <f ca="1">IF(A51="","",'Rozpad zakázky'!AJ67)</f>
        <v>436.14814814814815</v>
      </c>
      <c r="I51" s="748">
        <f ca="1">IF(A51="","",'Rozpad zakázky'!Q67)</f>
        <v>16</v>
      </c>
      <c r="J51" s="717">
        <f ca="1">IF(A51="","",ROUNDDOWN('Rozpad zakázky'!L67,1))</f>
        <v>6.4</v>
      </c>
      <c r="K51" s="745">
        <f ca="1">IF(A51="","",Tabulka_nakup_Vonka[[#This Row],[Počet MJHR v rozpadu]]*Tabulka_nakup_Vonka[[#This Row],[Jedn. hmotnost '[kg/MJHR']]])</f>
        <v>102.4</v>
      </c>
    </row>
    <row r="52" spans="1:11" x14ac:dyDescent="0.35">
      <c r="A52" s="709" t="str">
        <f ca="1">IF('Rozpad zakázky'!E68=0,"",IF('Rozpad zakázky'!E68="-","",'Rozpad zakázky'!E68))</f>
        <v>SUOS</v>
      </c>
      <c r="B52" s="708" t="str">
        <f ca="1">IF(A52="","",IF(A52="","",VLOOKUP(A:A,Pomocna_Nakup[],3,0))&amp;" | "&amp;IF(A52="","",VLOOKUP(A:A,Pomocna_Nakup[],4,0)))</f>
        <v>SU | Subdodávky</v>
      </c>
      <c r="C52" s="710" t="str">
        <f ca="1">IF(Tabulka_nakup_Vonka[[#This Row],[Zkratka kalkulační položky]]="","",Tabulka_nakup_Vonka[[#This Row],[Zkratka kalkulační položky]]&amp;" | "&amp;IF(A52="","",VLOOKUP(A:A,Pomocna_Nakup[],2,0)))</f>
        <v>SUOS | Ostatní</v>
      </c>
      <c r="D52" s="710" t="str">
        <f ca="1">IF(A52="","",'Rozpad zakázky'!F68)</f>
        <v>N/A</v>
      </c>
      <c r="E52" s="710" t="str">
        <f ca="1">IF(A52="","",'Rozpad zakázky'!D68&amp;IF('Rozpad zakázky'!G68="",""," ("&amp;'Rozpad zakázky'!G68&amp;")"))</f>
        <v xml:space="preserve">    Těsnění</v>
      </c>
      <c r="F52" s="709">
        <f ca="1">IF(A52="","",'Rozpad zakázky'!IW68)</f>
        <v>1</v>
      </c>
      <c r="G52" s="711">
        <f ca="1">IF(A52="","",'Rozpad zakázky'!AE68)</f>
        <v>1600</v>
      </c>
      <c r="H52" s="717">
        <f ca="1">IF(A52="","",'Rozpad zakázky'!AJ68)</f>
        <v>59.25925925925926</v>
      </c>
      <c r="I52" s="748">
        <f ca="1">IF(A52="","",'Rozpad zakázky'!Q68)</f>
        <v>16</v>
      </c>
      <c r="J52" s="717">
        <f ca="1">IF(A52="","",ROUNDDOWN('Rozpad zakázky'!L68,1))</f>
        <v>0</v>
      </c>
      <c r="K52" s="745">
        <f ca="1">IF(A52="","",Tabulka_nakup_Vonka[[#This Row],[Počet MJHR v rozpadu]]*Tabulka_nakup_Vonka[[#This Row],[Jedn. hmotnost '[kg/MJHR']]])</f>
        <v>0</v>
      </c>
    </row>
    <row r="53" spans="1:11" x14ac:dyDescent="0.35">
      <c r="A53" s="709" t="str">
        <f ca="1">IF('Rozpad zakázky'!E69=0,"",IF('Rozpad zakázky'!E69="-","",'Rozpad zakázky'!E69))</f>
        <v>STSM</v>
      </c>
      <c r="B53" s="708" t="str">
        <f ca="1">IF(A53="","",IF(A53="","",VLOOKUP(A:A,Pomocna_Nakup[],3,0))&amp;" | "&amp;IF(A53="","",VLOOKUP(A:A,Pomocna_Nakup[],4,0)))</f>
        <v>ST | Strojní</v>
      </c>
      <c r="C53" s="710" t="str">
        <f ca="1">IF(Tabulka_nakup_Vonka[[#This Row],[Zkratka kalkulační položky]]="","",Tabulka_nakup_Vonka[[#This Row],[Zkratka kalkulační položky]]&amp;" | "&amp;IF(A53="","",VLOOKUP(A:A,Pomocna_Nakup[],2,0)))</f>
        <v>STSM | Spojovací materiál</v>
      </c>
      <c r="D53" s="710" t="str">
        <f ca="1">IF(A53="","",'Rozpad zakázky'!F69)</f>
        <v>N/A</v>
      </c>
      <c r="E53" s="710" t="str">
        <f ca="1">IF(A53="","",'Rozpad zakázky'!D69&amp;IF('Rozpad zakázky'!G69="",""," ("&amp;'Rozpad zakázky'!G69&amp;")"))</f>
        <v xml:space="preserve">    Šroubení</v>
      </c>
      <c r="F53" s="709">
        <f ca="1">IF(A53="","",'Rozpad zakázky'!IW69)</f>
        <v>1</v>
      </c>
      <c r="G53" s="711">
        <f ca="1">IF(A53="","",'Rozpad zakázky'!AE69)</f>
        <v>30.800000000000004</v>
      </c>
      <c r="H53" s="717">
        <f ca="1">IF(A53="","",'Rozpad zakázky'!AJ69)</f>
        <v>1.1407407407407408</v>
      </c>
      <c r="I53" s="748">
        <f ca="1">IF(A53="","",'Rozpad zakázky'!Q69)</f>
        <v>4</v>
      </c>
      <c r="J53" s="717">
        <f ca="1">IF(A53="","",ROUNDDOWN('Rozpad zakázky'!L69,1))</f>
        <v>0</v>
      </c>
      <c r="K53" s="745">
        <f ca="1">IF(A53="","",Tabulka_nakup_Vonka[[#This Row],[Počet MJHR v rozpadu]]*Tabulka_nakup_Vonka[[#This Row],[Jedn. hmotnost '[kg/MJHR']]])</f>
        <v>0</v>
      </c>
    </row>
    <row r="54" spans="1:11" x14ac:dyDescent="0.35">
      <c r="A54" s="709" t="str">
        <f ca="1">IF('Rozpad zakázky'!E70=0,"",IF('Rozpad zakázky'!E70="-","",'Rozpad zakázky'!E70))</f>
        <v>OKS2</v>
      </c>
      <c r="B54" s="708" t="str">
        <f ca="1">IF(A54="","",IF(A54="","",VLOOKUP(A:A,Pomocna_Nakup[],3,0))&amp;" | "&amp;IF(A54="","",VLOOKUP(A:A,Pomocna_Nakup[],4,0)))</f>
        <v>OK | Ocelové kosntrukce</v>
      </c>
      <c r="C54" s="710" t="str">
        <f ca="1">IF(Tabulka_nakup_Vonka[[#This Row],[Zkratka kalkulační položky]]="","",Tabulka_nakup_Vonka[[#This Row],[Zkratka kalkulační položky]]&amp;" | "&amp;IF(A54="","",VLOOKUP(A:A,Pomocna_Nakup[],2,0)))</f>
        <v>OKS2 | Svařenec třída 2</v>
      </c>
      <c r="D54" s="710" t="str">
        <f ca="1">IF(A54="","",'Rozpad zakázky'!F70)</f>
        <v>N/A</v>
      </c>
      <c r="E54" s="710" t="str">
        <f ca="1">IF(A54="","",'Rozpad zakázky'!D70&amp;IF('Rozpad zakázky'!G70="",""," ("&amp;'Rozpad zakázky'!G70&amp;")"))</f>
        <v xml:space="preserve">    Kryt</v>
      </c>
      <c r="F54" s="709">
        <f ca="1">IF(A54="","",'Rozpad zakázky'!IW70)</f>
        <v>1</v>
      </c>
      <c r="G54" s="711">
        <f ca="1">IF(A54="","",'Rozpad zakázky'!AE70)</f>
        <v>33902</v>
      </c>
      <c r="H54" s="717">
        <f ca="1">IF(A54="","",'Rozpad zakázky'!AJ70)</f>
        <v>1255.6296296296296</v>
      </c>
      <c r="I54" s="748">
        <f ca="1">IF(A54="","",'Rozpad zakázky'!Q70)</f>
        <v>2</v>
      </c>
      <c r="J54" s="717">
        <f ca="1">IF(A54="","",ROUNDDOWN('Rozpad zakázky'!L70,1))</f>
        <v>154.1</v>
      </c>
      <c r="K54" s="745">
        <f ca="1">IF(A54="","",Tabulka_nakup_Vonka[[#This Row],[Počet MJHR v rozpadu]]*Tabulka_nakup_Vonka[[#This Row],[Jedn. hmotnost '[kg/MJHR']]])</f>
        <v>308.2</v>
      </c>
    </row>
    <row r="55" spans="1:11" x14ac:dyDescent="0.35">
      <c r="A55" s="709" t="str">
        <f ca="1">IF('Rozpad zakázky'!E71=0,"",IF('Rozpad zakázky'!E71="-","",'Rozpad zakázky'!E71))</f>
        <v>STLO</v>
      </c>
      <c r="B55" s="708" t="str">
        <f ca="1">IF(A55="","",IF(A55="","",VLOOKUP(A:A,Pomocna_Nakup[],3,0))&amp;" | "&amp;IF(A55="","",VLOOKUP(A:A,Pomocna_Nakup[],4,0)))</f>
        <v>ST | Strojní</v>
      </c>
      <c r="C55" s="710" t="str">
        <f ca="1">IF(Tabulka_nakup_Vonka[[#This Row],[Zkratka kalkulační položky]]="","",Tabulka_nakup_Vonka[[#This Row],[Zkratka kalkulační položky]]&amp;" | "&amp;IF(A55="","",VLOOKUP(A:A,Pomocna_Nakup[],2,0)))</f>
        <v>STLO | Ložiska</v>
      </c>
      <c r="D55" s="710" t="str">
        <f ca="1">IF(A55="","",'Rozpad zakázky'!F71)</f>
        <v>N/A</v>
      </c>
      <c r="E55" s="710" t="str">
        <f ca="1">IF(A55="","",'Rozpad zakázky'!D71&amp;IF('Rozpad zakázky'!G71="",""," ("&amp;'Rozpad zakázky'!G71&amp;")"))</f>
        <v xml:space="preserve">    Ložisko 22322</v>
      </c>
      <c r="F55" s="709">
        <f ca="1">IF(A55="","",'Rozpad zakázky'!IW71)</f>
        <v>1</v>
      </c>
      <c r="G55" s="711">
        <f ca="1">IF(A55="","",'Rozpad zakázky'!AE71)</f>
        <v>440000.00000000006</v>
      </c>
      <c r="H55" s="717">
        <f ca="1">IF(A55="","",'Rozpad zakázky'!AJ71)</f>
        <v>16296.296296296299</v>
      </c>
      <c r="I55" s="748">
        <f ca="1">IF(A55="","",'Rozpad zakázky'!Q71)</f>
        <v>16</v>
      </c>
      <c r="J55" s="717">
        <f ca="1">IF(A55="","",ROUNDDOWN('Rozpad zakázky'!L71,1))</f>
        <v>18.2</v>
      </c>
      <c r="K55" s="745">
        <f ca="1">IF(A55="","",Tabulka_nakup_Vonka[[#This Row],[Počet MJHR v rozpadu]]*Tabulka_nakup_Vonka[[#This Row],[Jedn. hmotnost '[kg/MJHR']]])</f>
        <v>291.2</v>
      </c>
    </row>
    <row r="56" spans="1:11" x14ac:dyDescent="0.35">
      <c r="A56" s="709" t="str">
        <f ca="1">IF('Rozpad zakázky'!E72=0,"",IF('Rozpad zakázky'!E72="-","",'Rozpad zakázky'!E72))</f>
        <v>STSM</v>
      </c>
      <c r="B56" s="708" t="str">
        <f ca="1">IF(A56="","",IF(A56="","",VLOOKUP(A:A,Pomocna_Nakup[],3,0))&amp;" | "&amp;IF(A56="","",VLOOKUP(A:A,Pomocna_Nakup[],4,0)))</f>
        <v>ST | Strojní</v>
      </c>
      <c r="C56" s="710" t="str">
        <f ca="1">IF(Tabulka_nakup_Vonka[[#This Row],[Zkratka kalkulační položky]]="","",Tabulka_nakup_Vonka[[#This Row],[Zkratka kalkulační položky]]&amp;" | "&amp;IF(A56="","",VLOOKUP(A:A,Pomocna_Nakup[],2,0)))</f>
        <v>STSM | Spojovací materiál</v>
      </c>
      <c r="D56" s="710" t="str">
        <f ca="1">IF(A56="","",'Rozpad zakázky'!F72)</f>
        <v>N/A</v>
      </c>
      <c r="E56" s="710" t="str">
        <f ca="1">IF(A56="","",'Rozpad zakázky'!D72&amp;IF('Rozpad zakázky'!G72="",""," ("&amp;'Rozpad zakázky'!G72&amp;")"))</f>
        <v xml:space="preserve">    Spojovací materiál</v>
      </c>
      <c r="F56" s="709">
        <f ca="1">IF(A56="","",'Rozpad zakázky'!IW72)</f>
        <v>1</v>
      </c>
      <c r="G56" s="711">
        <f ca="1">IF(A56="","",'Rozpad zakázky'!AE72)</f>
        <v>4552.24</v>
      </c>
      <c r="H56" s="717">
        <f ca="1">IF(A56="","",'Rozpad zakázky'!AJ72)</f>
        <v>168.60148148148147</v>
      </c>
      <c r="I56" s="748">
        <f ca="1">IF(A56="","",'Rozpad zakázky'!Q72)</f>
        <v>2</v>
      </c>
      <c r="J56" s="717">
        <f ca="1">IF(A56="","",ROUNDDOWN('Rozpad zakázky'!L72,1))</f>
        <v>20.6</v>
      </c>
      <c r="K56" s="745">
        <f ca="1">IF(A56="","",Tabulka_nakup_Vonka[[#This Row],[Počet MJHR v rozpadu]]*Tabulka_nakup_Vonka[[#This Row],[Jedn. hmotnost '[kg/MJHR']]])</f>
        <v>41.2</v>
      </c>
    </row>
    <row r="57" spans="1:11" x14ac:dyDescent="0.35">
      <c r="A57" s="709" t="str">
        <f ca="1">IF('Rozpad zakázky'!E73=0,"",IF('Rozpad zakázky'!E73="-","",'Rozpad zakázky'!E73))</f>
        <v/>
      </c>
      <c r="B57" s="708" t="str">
        <f ca="1">IF(A57="","",IF(A57="","",VLOOKUP(A:A,Pomocna_Nakup[],3,0))&amp;" | "&amp;IF(A57="","",VLOOKUP(A:A,Pomocna_Nakup[],4,0)))</f>
        <v/>
      </c>
      <c r="C57" s="710" t="str">
        <f ca="1">IF(Tabulka_nakup_Vonka[[#This Row],[Zkratka kalkulační položky]]="","",Tabulka_nakup_Vonka[[#This Row],[Zkratka kalkulační položky]]&amp;" | "&amp;IF(A57="","",VLOOKUP(A:A,Pomocna_Nakup[],2,0)))</f>
        <v/>
      </c>
      <c r="D57" s="710" t="str">
        <f ca="1">IF(A57="","",'Rozpad zakázky'!F73)</f>
        <v/>
      </c>
      <c r="E57" s="710" t="str">
        <f ca="1">IF(A57="","",'Rozpad zakázky'!D73&amp;IF('Rozpad zakázky'!G73="",""," ("&amp;'Rozpad zakázky'!G73&amp;")"))</f>
        <v/>
      </c>
      <c r="F57" s="709" t="str">
        <f ca="1">IF(A57="","",'Rozpad zakázky'!IW73)</f>
        <v/>
      </c>
      <c r="G57" s="711" t="str">
        <f ca="1">IF(A57="","",'Rozpad zakázky'!AE73)</f>
        <v/>
      </c>
      <c r="H57" s="717" t="str">
        <f ca="1">IF(A57="","",'Rozpad zakázky'!AJ73)</f>
        <v/>
      </c>
      <c r="I57" s="748" t="str">
        <f ca="1">IF(A57="","",'Rozpad zakázky'!Q73)</f>
        <v/>
      </c>
      <c r="J57" s="717" t="str">
        <f ca="1">IF(A57="","",ROUNDDOWN('Rozpad zakázky'!L73,1))</f>
        <v/>
      </c>
      <c r="K57" s="745" t="str">
        <f ca="1">IF(A57="","",Tabulka_nakup_Vonka[[#This Row],[Počet MJHR v rozpadu]]*Tabulka_nakup_Vonka[[#This Row],[Jedn. hmotnost '[kg/MJHR']]])</f>
        <v/>
      </c>
    </row>
    <row r="58" spans="1:11" x14ac:dyDescent="0.35">
      <c r="A58" s="709" t="str">
        <f ca="1">IF('Rozpad zakázky'!E74=0,"",IF('Rozpad zakázky'!E74="-","",'Rozpad zakázky'!E74))</f>
        <v>OKS1</v>
      </c>
      <c r="B58" s="708" t="str">
        <f ca="1">IF(A58="","",IF(A58="","",VLOOKUP(A:A,Pomocna_Nakup[],3,0))&amp;" | "&amp;IF(A58="","",VLOOKUP(A:A,Pomocna_Nakup[],4,0)))</f>
        <v>OK | Ocelové kosntrukce</v>
      </c>
      <c r="C58" s="710" t="str">
        <f ca="1">IF(Tabulka_nakup_Vonka[[#This Row],[Zkratka kalkulační položky]]="","",Tabulka_nakup_Vonka[[#This Row],[Zkratka kalkulační položky]]&amp;" | "&amp;IF(A58="","",VLOOKUP(A:A,Pomocna_Nakup[],2,0)))</f>
        <v>OKS1 | Svařenec třída 1</v>
      </c>
      <c r="D58" s="710" t="str">
        <f ca="1">IF(A58="","",'Rozpad zakázky'!F74)</f>
        <v>N/A</v>
      </c>
      <c r="E58" s="710" t="str">
        <f ca="1">IF(A58="","",'Rozpad zakázky'!D74&amp;IF('Rozpad zakázky'!G74="",""," ("&amp;'Rozpad zakázky'!G74&amp;")"))</f>
        <v xml:space="preserve">    Kladka - průměr 160 mm</v>
      </c>
      <c r="F58" s="709">
        <f ca="1">IF(A58="","",'Rozpad zakázky'!IW74)</f>
        <v>1</v>
      </c>
      <c r="G58" s="711">
        <f ca="1">IF(A58="","",'Rozpad zakázky'!AE74)</f>
        <v>168000</v>
      </c>
      <c r="H58" s="717">
        <f ca="1">IF(A58="","",'Rozpad zakázky'!AJ74)</f>
        <v>6222.2222222222226</v>
      </c>
      <c r="I58" s="748">
        <f ca="1">IF(A58="","",'Rozpad zakázky'!Q74)</f>
        <v>4</v>
      </c>
      <c r="J58" s="717">
        <f ca="1">IF(A58="","",ROUNDDOWN('Rozpad zakázky'!L74,1))</f>
        <v>300</v>
      </c>
      <c r="K58" s="745">
        <f ca="1">IF(A58="","",Tabulka_nakup_Vonka[[#This Row],[Počet MJHR v rozpadu]]*Tabulka_nakup_Vonka[[#This Row],[Jedn. hmotnost '[kg/MJHR']]])</f>
        <v>1200</v>
      </c>
    </row>
    <row r="59" spans="1:11" x14ac:dyDescent="0.35">
      <c r="A59" s="709" t="str">
        <f ca="1">IF('Rozpad zakázky'!E75=0,"",IF('Rozpad zakázky'!E75="-","",'Rozpad zakázky'!E75))</f>
        <v>OKS1</v>
      </c>
      <c r="B59" s="708" t="str">
        <f ca="1">IF(A59="","",IF(A59="","",VLOOKUP(A:A,Pomocna_Nakup[],3,0))&amp;" | "&amp;IF(A59="","",VLOOKUP(A:A,Pomocna_Nakup[],4,0)))</f>
        <v>OK | Ocelové kosntrukce</v>
      </c>
      <c r="C59" s="710" t="str">
        <f ca="1">IF(Tabulka_nakup_Vonka[[#This Row],[Zkratka kalkulační položky]]="","",Tabulka_nakup_Vonka[[#This Row],[Zkratka kalkulační položky]]&amp;" | "&amp;IF(A59="","",VLOOKUP(A:A,Pomocna_Nakup[],2,0)))</f>
        <v>OKS1 | Svařenec třída 1</v>
      </c>
      <c r="D59" s="710" t="str">
        <f ca="1">IF(A59="","",'Rozpad zakázky'!F75)</f>
        <v>N/A</v>
      </c>
      <c r="E59" s="710" t="str">
        <f ca="1">IF(A59="","",'Rozpad zakázky'!D75&amp;IF('Rozpad zakázky'!G75="",""," ("&amp;'Rozpad zakázky'!G75&amp;")"))</f>
        <v xml:space="preserve">    Rám</v>
      </c>
      <c r="F59" s="709">
        <f ca="1">IF(A59="","",'Rozpad zakázky'!IW75)</f>
        <v>1</v>
      </c>
      <c r="G59" s="711">
        <f ca="1">IF(A59="","",'Rozpad zakázky'!AE75)</f>
        <v>503860</v>
      </c>
      <c r="H59" s="717">
        <f ca="1">IF(A59="","",'Rozpad zakázky'!AJ75)</f>
        <v>18661.481481481482</v>
      </c>
      <c r="I59" s="748">
        <f ca="1">IF(A59="","",'Rozpad zakázky'!Q75)</f>
        <v>1</v>
      </c>
      <c r="J59" s="717">
        <f ca="1">IF(A59="","",ROUNDDOWN('Rozpad zakázky'!L75,1))</f>
        <v>3599</v>
      </c>
      <c r="K59" s="745">
        <f ca="1">IF(A59="","",Tabulka_nakup_Vonka[[#This Row],[Počet MJHR v rozpadu]]*Tabulka_nakup_Vonka[[#This Row],[Jedn. hmotnost '[kg/MJHR']]])</f>
        <v>3599</v>
      </c>
    </row>
    <row r="60" spans="1:11" x14ac:dyDescent="0.35">
      <c r="A60" s="709" t="str">
        <f ca="1">IF('Rozpad zakázky'!E76=0,"",IF('Rozpad zakázky'!E76="-","",'Rozpad zakázky'!E76))</f>
        <v>OKS1</v>
      </c>
      <c r="B60" s="708" t="str">
        <f ca="1">IF(A60="","",IF(A60="","",VLOOKUP(A:A,Pomocna_Nakup[],3,0))&amp;" | "&amp;IF(A60="","",VLOOKUP(A:A,Pomocna_Nakup[],4,0)))</f>
        <v>OK | Ocelové kosntrukce</v>
      </c>
      <c r="C60" s="710" t="str">
        <f ca="1">IF(Tabulka_nakup_Vonka[[#This Row],[Zkratka kalkulační položky]]="","",Tabulka_nakup_Vonka[[#This Row],[Zkratka kalkulační položky]]&amp;" | "&amp;IF(A60="","",VLOOKUP(A:A,Pomocna_Nakup[],2,0)))</f>
        <v>OKS1 | Svařenec třída 1</v>
      </c>
      <c r="D60" s="710" t="str">
        <f ca="1">IF(A60="","",'Rozpad zakázky'!F76)</f>
        <v>N/A</v>
      </c>
      <c r="E60" s="710" t="str">
        <f ca="1">IF(A60="","",'Rozpad zakázky'!D76&amp;IF('Rozpad zakázky'!G76="",""," ("&amp;'Rozpad zakázky'!G76&amp;")"))</f>
        <v xml:space="preserve">    Nosník</v>
      </c>
      <c r="F60" s="709">
        <f ca="1">IF(A60="","",'Rozpad zakázky'!IW76)</f>
        <v>1</v>
      </c>
      <c r="G60" s="711">
        <f ca="1">IF(A60="","",'Rozpad zakázky'!AE76)</f>
        <v>142800</v>
      </c>
      <c r="H60" s="717">
        <f ca="1">IF(A60="","",'Rozpad zakázky'!AJ76)</f>
        <v>5288.8888888888887</v>
      </c>
      <c r="I60" s="748">
        <f ca="1">IF(A60="","",'Rozpad zakázky'!Q76)</f>
        <v>2</v>
      </c>
      <c r="J60" s="717">
        <f ca="1">IF(A60="","",ROUNDDOWN('Rozpad zakázky'!L76,1))</f>
        <v>510</v>
      </c>
      <c r="K60" s="745">
        <f ca="1">IF(A60="","",Tabulka_nakup_Vonka[[#This Row],[Počet MJHR v rozpadu]]*Tabulka_nakup_Vonka[[#This Row],[Jedn. hmotnost '[kg/MJHR']]])</f>
        <v>1020</v>
      </c>
    </row>
    <row r="61" spans="1:11" x14ac:dyDescent="0.35">
      <c r="A61" s="709" t="str">
        <f ca="1">IF('Rozpad zakázky'!E77=0,"",IF('Rozpad zakázky'!E77="-","",'Rozpad zakázky'!E77))</f>
        <v>STO2</v>
      </c>
      <c r="B61" s="708" t="str">
        <f ca="1">IF(A61="","",IF(A61="","",VLOOKUP(A:A,Pomocna_Nakup[],3,0))&amp;" | "&amp;IF(A61="","",VLOOKUP(A:A,Pomocna_Nakup[],4,0)))</f>
        <v>ST | Strojní</v>
      </c>
      <c r="C61" s="710" t="str">
        <f ca="1">IF(Tabulka_nakup_Vonka[[#This Row],[Zkratka kalkulační položky]]="","",Tabulka_nakup_Vonka[[#This Row],[Zkratka kalkulační položky]]&amp;" | "&amp;IF(A61="","",VLOOKUP(A:A,Pomocna_Nakup[],2,0)))</f>
        <v>STO2 | Obrobky třída 2</v>
      </c>
      <c r="D61" s="710" t="str">
        <f ca="1">IF(A61="","",'Rozpad zakázky'!F77)</f>
        <v>N/A</v>
      </c>
      <c r="E61" s="710" t="str">
        <f ca="1">IF(A61="","",'Rozpad zakázky'!D77&amp;IF('Rozpad zakázky'!G77="",""," ("&amp;'Rozpad zakázky'!G77&amp;")"))</f>
        <v xml:space="preserve">    Víko</v>
      </c>
      <c r="F61" s="709">
        <f ca="1">IF(A61="","",'Rozpad zakázky'!IW77)</f>
        <v>1</v>
      </c>
      <c r="G61" s="711">
        <f ca="1">IF(A61="","",'Rozpad zakázky'!AE77)</f>
        <v>3036</v>
      </c>
      <c r="H61" s="717">
        <f ca="1">IF(A61="","",'Rozpad zakázky'!AJ77)</f>
        <v>112.44444444444444</v>
      </c>
      <c r="I61" s="748">
        <f ca="1">IF(A61="","",'Rozpad zakázky'!Q77)</f>
        <v>4</v>
      </c>
      <c r="J61" s="717">
        <f ca="1">IF(A61="","",ROUNDDOWN('Rozpad zakázky'!L77,1))</f>
        <v>6.6</v>
      </c>
      <c r="K61" s="745">
        <f ca="1">IF(A61="","",Tabulka_nakup_Vonka[[#This Row],[Počet MJHR v rozpadu]]*Tabulka_nakup_Vonka[[#This Row],[Jedn. hmotnost '[kg/MJHR']]])</f>
        <v>26.4</v>
      </c>
    </row>
    <row r="62" spans="1:11" x14ac:dyDescent="0.35">
      <c r="A62" s="709" t="str">
        <f ca="1">IF('Rozpad zakázky'!E78=0,"",IF('Rozpad zakázky'!E78="-","",'Rozpad zakázky'!E78))</f>
        <v>STO2</v>
      </c>
      <c r="B62" s="708" t="str">
        <f ca="1">IF(A62="","",IF(A62="","",VLOOKUP(A:A,Pomocna_Nakup[],3,0))&amp;" | "&amp;IF(A62="","",VLOOKUP(A:A,Pomocna_Nakup[],4,0)))</f>
        <v>ST | Strojní</v>
      </c>
      <c r="C62" s="710" t="str">
        <f ca="1">IF(Tabulka_nakup_Vonka[[#This Row],[Zkratka kalkulační položky]]="","",Tabulka_nakup_Vonka[[#This Row],[Zkratka kalkulační položky]]&amp;" | "&amp;IF(A62="","",VLOOKUP(A:A,Pomocna_Nakup[],2,0)))</f>
        <v>STO2 | Obrobky třída 2</v>
      </c>
      <c r="D62" s="710" t="str">
        <f ca="1">IF(A62="","",'Rozpad zakázky'!F78)</f>
        <v>N/A</v>
      </c>
      <c r="E62" s="710" t="str">
        <f ca="1">IF(A62="","",'Rozpad zakázky'!D78&amp;IF('Rozpad zakázky'!G78="",""," ("&amp;'Rozpad zakázky'!G78&amp;")"))</f>
        <v xml:space="preserve">    Víko</v>
      </c>
      <c r="F62" s="709">
        <f ca="1">IF(A62="","",'Rozpad zakázky'!IW78)</f>
        <v>1</v>
      </c>
      <c r="G62" s="711">
        <f ca="1">IF(A62="","",'Rozpad zakázky'!AE78)</f>
        <v>3036</v>
      </c>
      <c r="H62" s="717">
        <f ca="1">IF(A62="","",'Rozpad zakázky'!AJ78)</f>
        <v>112.44444444444444</v>
      </c>
      <c r="I62" s="748">
        <f ca="1">IF(A62="","",'Rozpad zakázky'!Q78)</f>
        <v>4</v>
      </c>
      <c r="J62" s="717">
        <f ca="1">IF(A62="","",ROUNDDOWN('Rozpad zakázky'!L78,1))</f>
        <v>6.6</v>
      </c>
      <c r="K62" s="745">
        <f ca="1">IF(A62="","",Tabulka_nakup_Vonka[[#This Row],[Počet MJHR v rozpadu]]*Tabulka_nakup_Vonka[[#This Row],[Jedn. hmotnost '[kg/MJHR']]])</f>
        <v>26.4</v>
      </c>
    </row>
    <row r="63" spans="1:11" x14ac:dyDescent="0.35">
      <c r="A63" s="709" t="str">
        <f ca="1">IF('Rozpad zakázky'!E79=0,"",IF('Rozpad zakázky'!E79="-","",'Rozpad zakázky'!E79))</f>
        <v>STO2</v>
      </c>
      <c r="B63" s="708" t="str">
        <f ca="1">IF(A63="","",IF(A63="","",VLOOKUP(A:A,Pomocna_Nakup[],3,0))&amp;" | "&amp;IF(A63="","",VLOOKUP(A:A,Pomocna_Nakup[],4,0)))</f>
        <v>ST | Strojní</v>
      </c>
      <c r="C63" s="710" t="str">
        <f ca="1">IF(Tabulka_nakup_Vonka[[#This Row],[Zkratka kalkulační položky]]="","",Tabulka_nakup_Vonka[[#This Row],[Zkratka kalkulační položky]]&amp;" | "&amp;IF(A63="","",VLOOKUP(A:A,Pomocna_Nakup[],2,0)))</f>
        <v>STO2 | Obrobky třída 2</v>
      </c>
      <c r="D63" s="710" t="str">
        <f ca="1">IF(A63="","",'Rozpad zakázky'!F79)</f>
        <v>N/A</v>
      </c>
      <c r="E63" s="710" t="str">
        <f ca="1">IF(A63="","",'Rozpad zakázky'!D79&amp;IF('Rozpad zakázky'!G79="",""," ("&amp;'Rozpad zakázky'!G79&amp;")"))</f>
        <v xml:space="preserve">    Osa - průměr 200 mm</v>
      </c>
      <c r="F63" s="709">
        <f ca="1">IF(A63="","",'Rozpad zakázky'!IW79)</f>
        <v>1</v>
      </c>
      <c r="G63" s="711">
        <f ca="1">IF(A63="","",'Rozpad zakázky'!AE79)</f>
        <v>32200</v>
      </c>
      <c r="H63" s="717">
        <f ca="1">IF(A63="","",'Rozpad zakázky'!AJ79)</f>
        <v>1192.5925925925926</v>
      </c>
      <c r="I63" s="748">
        <f ca="1">IF(A63="","",'Rozpad zakázky'!Q79)</f>
        <v>2</v>
      </c>
      <c r="J63" s="717">
        <f ca="1">IF(A63="","",ROUNDDOWN('Rozpad zakázky'!L79,1))</f>
        <v>140</v>
      </c>
      <c r="K63" s="745">
        <f ca="1">IF(A63="","",Tabulka_nakup_Vonka[[#This Row],[Počet MJHR v rozpadu]]*Tabulka_nakup_Vonka[[#This Row],[Jedn. hmotnost '[kg/MJHR']]])</f>
        <v>280</v>
      </c>
    </row>
    <row r="64" spans="1:11" x14ac:dyDescent="0.35">
      <c r="A64" s="709" t="str">
        <f ca="1">IF('Rozpad zakázky'!E80=0,"",IF('Rozpad zakázky'!E80="-","",'Rozpad zakázky'!E80))</f>
        <v>STO3</v>
      </c>
      <c r="B64" s="708" t="str">
        <f ca="1">IF(A64="","",IF(A64="","",VLOOKUP(A:A,Pomocna_Nakup[],3,0))&amp;" | "&amp;IF(A64="","",VLOOKUP(A:A,Pomocna_Nakup[],4,0)))</f>
        <v>ST | Strojní</v>
      </c>
      <c r="C64" s="710" t="str">
        <f ca="1">IF(Tabulka_nakup_Vonka[[#This Row],[Zkratka kalkulační položky]]="","",Tabulka_nakup_Vonka[[#This Row],[Zkratka kalkulační položky]]&amp;" | "&amp;IF(A64="","",VLOOKUP(A:A,Pomocna_Nakup[],2,0)))</f>
        <v>STO3 | Obrobky třída 3</v>
      </c>
      <c r="D64" s="710" t="str">
        <f ca="1">IF(A64="","",'Rozpad zakázky'!F80)</f>
        <v>N/A</v>
      </c>
      <c r="E64" s="710" t="str">
        <f ca="1">IF(A64="","",'Rozpad zakázky'!D80&amp;IF('Rozpad zakázky'!G80="",""," ("&amp;'Rozpad zakázky'!G80&amp;")"))</f>
        <v xml:space="preserve">    Přídržka</v>
      </c>
      <c r="F64" s="709">
        <f ca="1">IF(A64="","",'Rozpad zakázky'!IW80)</f>
        <v>1</v>
      </c>
      <c r="G64" s="711">
        <f ca="1">IF(A64="","",'Rozpad zakázky'!AE80)</f>
        <v>323</v>
      </c>
      <c r="H64" s="717">
        <f ca="1">IF(A64="","",'Rozpad zakázky'!AJ80)</f>
        <v>11.962962962962964</v>
      </c>
      <c r="I64" s="748">
        <f ca="1">IF(A64="","",'Rozpad zakázky'!Q80)</f>
        <v>2</v>
      </c>
      <c r="J64" s="717">
        <f ca="1">IF(A64="","",ROUNDDOWN('Rozpad zakázky'!L80,1))</f>
        <v>1.9</v>
      </c>
      <c r="K64" s="745">
        <f ca="1">IF(A64="","",Tabulka_nakup_Vonka[[#This Row],[Počet MJHR v rozpadu]]*Tabulka_nakup_Vonka[[#This Row],[Jedn. hmotnost '[kg/MJHR']]])</f>
        <v>3.8</v>
      </c>
    </row>
    <row r="65" spans="1:11" x14ac:dyDescent="0.35">
      <c r="A65" s="709" t="str">
        <f ca="1">IF('Rozpad zakázky'!E81=0,"",IF('Rozpad zakázky'!E81="-","",'Rozpad zakázky'!E81))</f>
        <v>STO3</v>
      </c>
      <c r="B65" s="708" t="str">
        <f ca="1">IF(A65="","",IF(A65="","",VLOOKUP(A:A,Pomocna_Nakup[],3,0))&amp;" | "&amp;IF(A65="","",VLOOKUP(A:A,Pomocna_Nakup[],4,0)))</f>
        <v>ST | Strojní</v>
      </c>
      <c r="C65" s="710" t="str">
        <f ca="1">IF(Tabulka_nakup_Vonka[[#This Row],[Zkratka kalkulační položky]]="","",Tabulka_nakup_Vonka[[#This Row],[Zkratka kalkulační položky]]&amp;" | "&amp;IF(A65="","",VLOOKUP(A:A,Pomocna_Nakup[],2,0)))</f>
        <v>STO3 | Obrobky třída 3</v>
      </c>
      <c r="D65" s="710" t="str">
        <f ca="1">IF(A65="","",'Rozpad zakázky'!F81)</f>
        <v>N/A</v>
      </c>
      <c r="E65" s="710" t="str">
        <f ca="1">IF(A65="","",'Rozpad zakázky'!D81&amp;IF('Rozpad zakázky'!G81="",""," ("&amp;'Rozpad zakázky'!G81&amp;")"))</f>
        <v xml:space="preserve">    Přídržka</v>
      </c>
      <c r="F65" s="709">
        <f ca="1">IF(A65="","",'Rozpad zakázky'!IW81)</f>
        <v>1</v>
      </c>
      <c r="G65" s="711">
        <f ca="1">IF(A65="","",'Rozpad zakázky'!AE81)</f>
        <v>314.5</v>
      </c>
      <c r="H65" s="717">
        <f ca="1">IF(A65="","",'Rozpad zakázky'!AJ81)</f>
        <v>11.648148148148149</v>
      </c>
      <c r="I65" s="748">
        <f ca="1">IF(A65="","",'Rozpad zakázky'!Q81)</f>
        <v>2</v>
      </c>
      <c r="J65" s="717">
        <f ca="1">IF(A65="","",ROUNDDOWN('Rozpad zakázky'!L81,1))</f>
        <v>1.8</v>
      </c>
      <c r="K65" s="745">
        <f ca="1">IF(A65="","",Tabulka_nakup_Vonka[[#This Row],[Počet MJHR v rozpadu]]*Tabulka_nakup_Vonka[[#This Row],[Jedn. hmotnost '[kg/MJHR']]])</f>
        <v>3.6</v>
      </c>
    </row>
    <row r="66" spans="1:11" x14ac:dyDescent="0.35">
      <c r="A66" s="709" t="str">
        <f ca="1">IF('Rozpad zakázky'!E82=0,"",IF('Rozpad zakázky'!E82="-","",'Rozpad zakázky'!E82))</f>
        <v>STO2</v>
      </c>
      <c r="B66" s="708" t="str">
        <f ca="1">IF(A66="","",IF(A66="","",VLOOKUP(A:A,Pomocna_Nakup[],3,0))&amp;" | "&amp;IF(A66="","",VLOOKUP(A:A,Pomocna_Nakup[],4,0)))</f>
        <v>ST | Strojní</v>
      </c>
      <c r="C66" s="710" t="str">
        <f ca="1">IF(Tabulka_nakup_Vonka[[#This Row],[Zkratka kalkulační položky]]="","",Tabulka_nakup_Vonka[[#This Row],[Zkratka kalkulační položky]]&amp;" | "&amp;IF(A66="","",VLOOKUP(A:A,Pomocna_Nakup[],2,0)))</f>
        <v>STO2 | Obrobky třída 2</v>
      </c>
      <c r="D66" s="710" t="str">
        <f ca="1">IF(A66="","",'Rozpad zakázky'!F82)</f>
        <v>N/A</v>
      </c>
      <c r="E66" s="710" t="str">
        <f ca="1">IF(A66="","",'Rozpad zakázky'!D82&amp;IF('Rozpad zakázky'!G82="",""," ("&amp;'Rozpad zakázky'!G82&amp;")"))</f>
        <v xml:space="preserve">    Čep - průměr 120 mm</v>
      </c>
      <c r="F66" s="709">
        <f ca="1">IF(A66="","",'Rozpad zakázky'!IW82)</f>
        <v>1</v>
      </c>
      <c r="G66" s="711">
        <f ca="1">IF(A66="","",'Rozpad zakázky'!AE82)</f>
        <v>18538</v>
      </c>
      <c r="H66" s="717">
        <f ca="1">IF(A66="","",'Rozpad zakázky'!AJ82)</f>
        <v>686.59259259259261</v>
      </c>
      <c r="I66" s="748">
        <f ca="1">IF(A66="","",'Rozpad zakázky'!Q82)</f>
        <v>4</v>
      </c>
      <c r="J66" s="717">
        <f ca="1">IF(A66="","",ROUNDDOWN('Rozpad zakázky'!L82,1))</f>
        <v>40.299999999999997</v>
      </c>
      <c r="K66" s="745">
        <f ca="1">IF(A66="","",Tabulka_nakup_Vonka[[#This Row],[Počet MJHR v rozpadu]]*Tabulka_nakup_Vonka[[#This Row],[Jedn. hmotnost '[kg/MJHR']]])</f>
        <v>161.19999999999999</v>
      </c>
    </row>
    <row r="67" spans="1:11" x14ac:dyDescent="0.35">
      <c r="A67" s="709" t="str">
        <f ca="1">IF('Rozpad zakázky'!E83=0,"",IF('Rozpad zakázky'!E83="-","",'Rozpad zakázky'!E83))</f>
        <v>STO2</v>
      </c>
      <c r="B67" s="708" t="str">
        <f ca="1">IF(A67="","",IF(A67="","",VLOOKUP(A:A,Pomocna_Nakup[],3,0))&amp;" | "&amp;IF(A67="","",VLOOKUP(A:A,Pomocna_Nakup[],4,0)))</f>
        <v>ST | Strojní</v>
      </c>
      <c r="C67" s="710" t="str">
        <f ca="1">IF(Tabulka_nakup_Vonka[[#This Row],[Zkratka kalkulační položky]]="","",Tabulka_nakup_Vonka[[#This Row],[Zkratka kalkulační položky]]&amp;" | "&amp;IF(A67="","",VLOOKUP(A:A,Pomocna_Nakup[],2,0)))</f>
        <v>STO2 | Obrobky třída 2</v>
      </c>
      <c r="D67" s="710" t="str">
        <f ca="1">IF(A67="","",'Rozpad zakázky'!F83)</f>
        <v>N/A</v>
      </c>
      <c r="E67" s="710" t="str">
        <f ca="1">IF(A67="","",'Rozpad zakázky'!D83&amp;IF('Rozpad zakázky'!G83="",""," ("&amp;'Rozpad zakázky'!G83&amp;")"))</f>
        <v xml:space="preserve">    Distanční kroužek</v>
      </c>
      <c r="F67" s="709">
        <f ca="1">IF(A67="","",'Rozpad zakázky'!IW83)</f>
        <v>1</v>
      </c>
      <c r="G67" s="711">
        <f ca="1">IF(A67="","",'Rozpad zakázky'!AE83)</f>
        <v>1058</v>
      </c>
      <c r="H67" s="717">
        <f ca="1">IF(A67="","",'Rozpad zakázky'!AJ83)</f>
        <v>39.185185185185183</v>
      </c>
      <c r="I67" s="748">
        <f ca="1">IF(A67="","",'Rozpad zakázky'!Q83)</f>
        <v>4</v>
      </c>
      <c r="J67" s="717">
        <f ca="1">IF(A67="","",ROUNDDOWN('Rozpad zakázky'!L83,1))</f>
        <v>2.2999999999999998</v>
      </c>
      <c r="K67" s="745">
        <f ca="1">IF(A67="","",Tabulka_nakup_Vonka[[#This Row],[Počet MJHR v rozpadu]]*Tabulka_nakup_Vonka[[#This Row],[Jedn. hmotnost '[kg/MJHR']]])</f>
        <v>9.1999999999999993</v>
      </c>
    </row>
    <row r="68" spans="1:11" x14ac:dyDescent="0.35">
      <c r="A68" s="709" t="str">
        <f ca="1">IF('Rozpad zakázky'!E84=0,"",IF('Rozpad zakázky'!E84="-","",'Rozpad zakázky'!E84))</f>
        <v>STO2</v>
      </c>
      <c r="B68" s="708" t="str">
        <f ca="1">IF(A68="","",IF(A68="","",VLOOKUP(A:A,Pomocna_Nakup[],3,0))&amp;" | "&amp;IF(A68="","",VLOOKUP(A:A,Pomocna_Nakup[],4,0)))</f>
        <v>ST | Strojní</v>
      </c>
      <c r="C68" s="710" t="str">
        <f ca="1">IF(Tabulka_nakup_Vonka[[#This Row],[Zkratka kalkulační položky]]="","",Tabulka_nakup_Vonka[[#This Row],[Zkratka kalkulační položky]]&amp;" | "&amp;IF(A68="","",VLOOKUP(A:A,Pomocna_Nakup[],2,0)))</f>
        <v>STO2 | Obrobky třída 2</v>
      </c>
      <c r="D68" s="710" t="str">
        <f ca="1">IF(A68="","",'Rozpad zakázky'!F84)</f>
        <v>N/A</v>
      </c>
      <c r="E68" s="710" t="str">
        <f ca="1">IF(A68="","",'Rozpad zakázky'!D84&amp;IF('Rozpad zakázky'!G84="",""," ("&amp;'Rozpad zakázky'!G84&amp;")"))</f>
        <v xml:space="preserve">    Distanční kroužek</v>
      </c>
      <c r="F68" s="709">
        <f ca="1">IF(A68="","",'Rozpad zakázky'!IW84)</f>
        <v>1</v>
      </c>
      <c r="G68" s="711">
        <f ca="1">IF(A68="","",'Rozpad zakázky'!AE84)</f>
        <v>828</v>
      </c>
      <c r="H68" s="717">
        <f ca="1">IF(A68="","",'Rozpad zakázky'!AJ84)</f>
        <v>30.666666666666668</v>
      </c>
      <c r="I68" s="748">
        <f ca="1">IF(A68="","",'Rozpad zakázky'!Q84)</f>
        <v>8</v>
      </c>
      <c r="J68" s="717">
        <f ca="1">IF(A68="","",ROUNDDOWN('Rozpad zakázky'!L84,1))</f>
        <v>0.9</v>
      </c>
      <c r="K68" s="745">
        <f ca="1">IF(A68="","",Tabulka_nakup_Vonka[[#This Row],[Počet MJHR v rozpadu]]*Tabulka_nakup_Vonka[[#This Row],[Jedn. hmotnost '[kg/MJHR']]])</f>
        <v>7.2</v>
      </c>
    </row>
    <row r="69" spans="1:11" x14ac:dyDescent="0.35">
      <c r="A69" s="709" t="str">
        <f ca="1">IF('Rozpad zakázky'!E85=0,"",IF('Rozpad zakázky'!E85="-","",'Rozpad zakázky'!E85))</f>
        <v>STO2</v>
      </c>
      <c r="B69" s="708" t="str">
        <f ca="1">IF(A69="","",IF(A69="","",VLOOKUP(A:A,Pomocna_Nakup[],3,0))&amp;" | "&amp;IF(A69="","",VLOOKUP(A:A,Pomocna_Nakup[],4,0)))</f>
        <v>ST | Strojní</v>
      </c>
      <c r="C69" s="710" t="str">
        <f ca="1">IF(Tabulka_nakup_Vonka[[#This Row],[Zkratka kalkulační položky]]="","",Tabulka_nakup_Vonka[[#This Row],[Zkratka kalkulační položky]]&amp;" | "&amp;IF(A69="","",VLOOKUP(A:A,Pomocna_Nakup[],2,0)))</f>
        <v>STO2 | Obrobky třída 2</v>
      </c>
      <c r="D69" s="710" t="str">
        <f ca="1">IF(A69="","",'Rozpad zakázky'!F85)</f>
        <v>N/A</v>
      </c>
      <c r="E69" s="710" t="str">
        <f ca="1">IF(A69="","",'Rozpad zakázky'!D85&amp;IF('Rozpad zakázky'!G85="",""," ("&amp;'Rozpad zakázky'!G85&amp;")"))</f>
        <v xml:space="preserve">    Víčko</v>
      </c>
      <c r="F69" s="709">
        <f ca="1">IF(A69="","",'Rozpad zakázky'!IW85)</f>
        <v>1</v>
      </c>
      <c r="G69" s="711">
        <f ca="1">IF(A69="","",'Rozpad zakázky'!AE85)</f>
        <v>6624</v>
      </c>
      <c r="H69" s="717">
        <f ca="1">IF(A69="","",'Rozpad zakázky'!AJ85)</f>
        <v>245.33333333333334</v>
      </c>
      <c r="I69" s="748">
        <f ca="1">IF(A69="","",'Rozpad zakázky'!Q85)</f>
        <v>8</v>
      </c>
      <c r="J69" s="717">
        <f ca="1">IF(A69="","",ROUNDDOWN('Rozpad zakázky'!L85,1))</f>
        <v>7.2</v>
      </c>
      <c r="K69" s="745">
        <f ca="1">IF(A69="","",Tabulka_nakup_Vonka[[#This Row],[Počet MJHR v rozpadu]]*Tabulka_nakup_Vonka[[#This Row],[Jedn. hmotnost '[kg/MJHR']]])</f>
        <v>57.6</v>
      </c>
    </row>
    <row r="70" spans="1:11" x14ac:dyDescent="0.35">
      <c r="A70" s="709" t="str">
        <f ca="1">IF('Rozpad zakázky'!E86=0,"",IF('Rozpad zakázky'!E86="-","",'Rozpad zakázky'!E86))</f>
        <v>SUOS</v>
      </c>
      <c r="B70" s="708" t="str">
        <f ca="1">IF(A70="","",IF(A70="","",VLOOKUP(A:A,Pomocna_Nakup[],3,0))&amp;" | "&amp;IF(A70="","",VLOOKUP(A:A,Pomocna_Nakup[],4,0)))</f>
        <v>SU | Subdodávky</v>
      </c>
      <c r="C70" s="710" t="str">
        <f ca="1">IF(Tabulka_nakup_Vonka[[#This Row],[Zkratka kalkulační položky]]="","",Tabulka_nakup_Vonka[[#This Row],[Zkratka kalkulační položky]]&amp;" | "&amp;IF(A70="","",VLOOKUP(A:A,Pomocna_Nakup[],2,0)))</f>
        <v>SUOS | Ostatní</v>
      </c>
      <c r="D70" s="710" t="str">
        <f ca="1">IF(A70="","",'Rozpad zakázky'!F86)</f>
        <v>N/A</v>
      </c>
      <c r="E70" s="710" t="str">
        <f ca="1">IF(A70="","",'Rozpad zakázky'!D86&amp;IF('Rozpad zakázky'!G86="",""," ("&amp;'Rozpad zakázky'!G86&amp;")"))</f>
        <v xml:space="preserve">    Těsnění</v>
      </c>
      <c r="F70" s="709">
        <f ca="1">IF(A70="","",'Rozpad zakázky'!IW86)</f>
        <v>1</v>
      </c>
      <c r="G70" s="711">
        <f ca="1">IF(A70="","",'Rozpad zakázky'!AE86)</f>
        <v>800</v>
      </c>
      <c r="H70" s="717">
        <f ca="1">IF(A70="","",'Rozpad zakázky'!AJ86)</f>
        <v>29.62962962962963</v>
      </c>
      <c r="I70" s="748">
        <f ca="1">IF(A70="","",'Rozpad zakázky'!Q86)</f>
        <v>8</v>
      </c>
      <c r="J70" s="717">
        <f ca="1">IF(A70="","",ROUNDDOWN('Rozpad zakázky'!L86,1))</f>
        <v>0</v>
      </c>
      <c r="K70" s="745">
        <f ca="1">IF(A70="","",Tabulka_nakup_Vonka[[#This Row],[Počet MJHR v rozpadu]]*Tabulka_nakup_Vonka[[#This Row],[Jedn. hmotnost '[kg/MJHR']]])</f>
        <v>0</v>
      </c>
    </row>
    <row r="71" spans="1:11" x14ac:dyDescent="0.35">
      <c r="A71" s="709" t="str">
        <f ca="1">IF('Rozpad zakázky'!E87=0,"",IF('Rozpad zakázky'!E87="-","",'Rozpad zakázky'!E87))</f>
        <v>STSM</v>
      </c>
      <c r="B71" s="708" t="str">
        <f ca="1">IF(A71="","",IF(A71="","",VLOOKUP(A:A,Pomocna_Nakup[],3,0))&amp;" | "&amp;IF(A71="","",VLOOKUP(A:A,Pomocna_Nakup[],4,0)))</f>
        <v>ST | Strojní</v>
      </c>
      <c r="C71" s="710" t="str">
        <f ca="1">IF(Tabulka_nakup_Vonka[[#This Row],[Zkratka kalkulační položky]]="","",Tabulka_nakup_Vonka[[#This Row],[Zkratka kalkulační položky]]&amp;" | "&amp;IF(A71="","",VLOOKUP(A:A,Pomocna_Nakup[],2,0)))</f>
        <v>STSM | Spojovací materiál</v>
      </c>
      <c r="D71" s="710" t="str">
        <f ca="1">IF(A71="","",'Rozpad zakázky'!F87)</f>
        <v>N/A</v>
      </c>
      <c r="E71" s="710" t="str">
        <f ca="1">IF(A71="","",'Rozpad zakázky'!D87&amp;IF('Rozpad zakázky'!G87="",""," ("&amp;'Rozpad zakázky'!G87&amp;")"))</f>
        <v xml:space="preserve">    Šroubení</v>
      </c>
      <c r="F71" s="709">
        <f ca="1">IF(A71="","",'Rozpad zakázky'!IW87)</f>
        <v>1</v>
      </c>
      <c r="G71" s="711">
        <f ca="1">IF(A71="","",'Rozpad zakázky'!AE87)</f>
        <v>15.400000000000002</v>
      </c>
      <c r="H71" s="717">
        <f ca="1">IF(A71="","",'Rozpad zakázky'!AJ87)</f>
        <v>0.57037037037037042</v>
      </c>
      <c r="I71" s="748">
        <f ca="1">IF(A71="","",'Rozpad zakázky'!Q87)</f>
        <v>2</v>
      </c>
      <c r="J71" s="717">
        <f ca="1">IF(A71="","",ROUNDDOWN('Rozpad zakázky'!L87,1))</f>
        <v>0</v>
      </c>
      <c r="K71" s="745">
        <f ca="1">IF(A71="","",Tabulka_nakup_Vonka[[#This Row],[Počet MJHR v rozpadu]]*Tabulka_nakup_Vonka[[#This Row],[Jedn. hmotnost '[kg/MJHR']]])</f>
        <v>0</v>
      </c>
    </row>
    <row r="72" spans="1:11" x14ac:dyDescent="0.35">
      <c r="A72" s="709" t="str">
        <f ca="1">IF('Rozpad zakázky'!E88=0,"",IF('Rozpad zakázky'!E88="-","",'Rozpad zakázky'!E88))</f>
        <v>OKS2</v>
      </c>
      <c r="B72" s="708" t="str">
        <f ca="1">IF(A72="","",IF(A72="","",VLOOKUP(A:A,Pomocna_Nakup[],3,0))&amp;" | "&amp;IF(A72="","",VLOOKUP(A:A,Pomocna_Nakup[],4,0)))</f>
        <v>OK | Ocelové kosntrukce</v>
      </c>
      <c r="C72" s="710" t="str">
        <f ca="1">IF(Tabulka_nakup_Vonka[[#This Row],[Zkratka kalkulační položky]]="","",Tabulka_nakup_Vonka[[#This Row],[Zkratka kalkulační položky]]&amp;" | "&amp;IF(A72="","",VLOOKUP(A:A,Pomocna_Nakup[],2,0)))</f>
        <v>OKS2 | Svařenec třída 2</v>
      </c>
      <c r="D72" s="710" t="str">
        <f ca="1">IF(A72="","",'Rozpad zakázky'!F88)</f>
        <v>N/A</v>
      </c>
      <c r="E72" s="710" t="str">
        <f ca="1">IF(A72="","",'Rozpad zakázky'!D88&amp;IF('Rozpad zakázky'!G88="",""," ("&amp;'Rozpad zakázky'!G88&amp;")"))</f>
        <v xml:space="preserve">    Kryt</v>
      </c>
      <c r="F72" s="709">
        <f ca="1">IF(A72="","",'Rozpad zakázky'!IW88)</f>
        <v>1</v>
      </c>
      <c r="G72" s="711">
        <f ca="1">IF(A72="","",'Rozpad zakázky'!AE88)</f>
        <v>16951</v>
      </c>
      <c r="H72" s="717">
        <f ca="1">IF(A72="","",'Rozpad zakázky'!AJ88)</f>
        <v>627.81481481481478</v>
      </c>
      <c r="I72" s="748">
        <f ca="1">IF(A72="","",'Rozpad zakázky'!Q88)</f>
        <v>1</v>
      </c>
      <c r="J72" s="717">
        <f ca="1">IF(A72="","",ROUNDDOWN('Rozpad zakázky'!L88,1))</f>
        <v>154.1</v>
      </c>
      <c r="K72" s="745">
        <f ca="1">IF(A72="","",Tabulka_nakup_Vonka[[#This Row],[Počet MJHR v rozpadu]]*Tabulka_nakup_Vonka[[#This Row],[Jedn. hmotnost '[kg/MJHR']]])</f>
        <v>154.1</v>
      </c>
    </row>
    <row r="73" spans="1:11" x14ac:dyDescent="0.35">
      <c r="A73" s="709" t="str">
        <f ca="1">IF('Rozpad zakázky'!E89=0,"",IF('Rozpad zakázky'!E89="-","",'Rozpad zakázky'!E89))</f>
        <v>OKS2</v>
      </c>
      <c r="B73" s="708" t="str">
        <f ca="1">IF(A73="","",IF(A73="","",VLOOKUP(A:A,Pomocna_Nakup[],3,0))&amp;" | "&amp;IF(A73="","",VLOOKUP(A:A,Pomocna_Nakup[],4,0)))</f>
        <v>OK | Ocelové kosntrukce</v>
      </c>
      <c r="C73" s="710" t="str">
        <f ca="1">IF(Tabulka_nakup_Vonka[[#This Row],[Zkratka kalkulační položky]]="","",Tabulka_nakup_Vonka[[#This Row],[Zkratka kalkulační položky]]&amp;" | "&amp;IF(A73="","",VLOOKUP(A:A,Pomocna_Nakup[],2,0)))</f>
        <v>OKS2 | Svařenec třída 2</v>
      </c>
      <c r="D73" s="710" t="str">
        <f ca="1">IF(A73="","",'Rozpad zakázky'!F89)</f>
        <v>N/A</v>
      </c>
      <c r="E73" s="710" t="str">
        <f ca="1">IF(A73="","",'Rozpad zakázky'!D89&amp;IF('Rozpad zakázky'!G89="",""," ("&amp;'Rozpad zakázky'!G89&amp;")"))</f>
        <v xml:space="preserve">    Kryt</v>
      </c>
      <c r="F73" s="709">
        <f ca="1">IF(A73="","",'Rozpad zakázky'!IW89)</f>
        <v>1</v>
      </c>
      <c r="G73" s="711">
        <f ca="1">IF(A73="","",'Rozpad zakázky'!AE89)</f>
        <v>16005</v>
      </c>
      <c r="H73" s="717">
        <f ca="1">IF(A73="","",'Rozpad zakázky'!AJ89)</f>
        <v>592.77777777777783</v>
      </c>
      <c r="I73" s="748">
        <f ca="1">IF(A73="","",'Rozpad zakázky'!Q89)</f>
        <v>1</v>
      </c>
      <c r="J73" s="717">
        <f ca="1">IF(A73="","",ROUNDDOWN('Rozpad zakázky'!L89,1))</f>
        <v>145.5</v>
      </c>
      <c r="K73" s="745">
        <f ca="1">IF(A73="","",Tabulka_nakup_Vonka[[#This Row],[Počet MJHR v rozpadu]]*Tabulka_nakup_Vonka[[#This Row],[Jedn. hmotnost '[kg/MJHR']]])</f>
        <v>145.5</v>
      </c>
    </row>
    <row r="74" spans="1:11" x14ac:dyDescent="0.35">
      <c r="A74" s="709" t="str">
        <f ca="1">IF('Rozpad zakázky'!E90=0,"",IF('Rozpad zakázky'!E90="-","",'Rozpad zakázky'!E90))</f>
        <v>STLO</v>
      </c>
      <c r="B74" s="708" t="str">
        <f ca="1">IF(A74="","",IF(A74="","",VLOOKUP(A:A,Pomocna_Nakup[],3,0))&amp;" | "&amp;IF(A74="","",VLOOKUP(A:A,Pomocna_Nakup[],4,0)))</f>
        <v>ST | Strojní</v>
      </c>
      <c r="C74" s="710" t="str">
        <f ca="1">IF(Tabulka_nakup_Vonka[[#This Row],[Zkratka kalkulační položky]]="","",Tabulka_nakup_Vonka[[#This Row],[Zkratka kalkulační položky]]&amp;" | "&amp;IF(A74="","",VLOOKUP(A:A,Pomocna_Nakup[],2,0)))</f>
        <v>STLO | Ložiska</v>
      </c>
      <c r="D74" s="710" t="str">
        <f ca="1">IF(A74="","",'Rozpad zakázky'!F90)</f>
        <v>N/A</v>
      </c>
      <c r="E74" s="710" t="str">
        <f ca="1">IF(A74="","",'Rozpad zakázky'!D90&amp;IF('Rozpad zakázky'!G90="",""," ("&amp;'Rozpad zakázky'!G90&amp;")"))</f>
        <v xml:space="preserve">    Ložisko 22324</v>
      </c>
      <c r="F74" s="709">
        <f ca="1">IF(A74="","",'Rozpad zakázky'!IW90)</f>
        <v>1</v>
      </c>
      <c r="G74" s="711">
        <f ca="1">IF(A74="","",'Rozpad zakázky'!AE90)</f>
        <v>220000.00000000003</v>
      </c>
      <c r="H74" s="717">
        <f ca="1">IF(A74="","",'Rozpad zakázky'!AJ90)</f>
        <v>8148.1481481481496</v>
      </c>
      <c r="I74" s="748">
        <f ca="1">IF(A74="","",'Rozpad zakázky'!Q90)</f>
        <v>8</v>
      </c>
      <c r="J74" s="717">
        <f ca="1">IF(A74="","",ROUNDDOWN('Rozpad zakázky'!L90,1))</f>
        <v>22.1</v>
      </c>
      <c r="K74" s="745">
        <f ca="1">IF(A74="","",Tabulka_nakup_Vonka[[#This Row],[Počet MJHR v rozpadu]]*Tabulka_nakup_Vonka[[#This Row],[Jedn. hmotnost '[kg/MJHR']]])</f>
        <v>176.8</v>
      </c>
    </row>
    <row r="75" spans="1:11" x14ac:dyDescent="0.35">
      <c r="A75" s="709" t="str">
        <f ca="1">IF('Rozpad zakázky'!E91=0,"",IF('Rozpad zakázky'!E91="-","",'Rozpad zakázky'!E91))</f>
        <v>STSM</v>
      </c>
      <c r="B75" s="708" t="str">
        <f ca="1">IF(A75="","",IF(A75="","",VLOOKUP(A:A,Pomocna_Nakup[],3,0))&amp;" | "&amp;IF(A75="","",VLOOKUP(A:A,Pomocna_Nakup[],4,0)))</f>
        <v>ST | Strojní</v>
      </c>
      <c r="C75" s="710" t="str">
        <f ca="1">IF(Tabulka_nakup_Vonka[[#This Row],[Zkratka kalkulační položky]]="","",Tabulka_nakup_Vonka[[#This Row],[Zkratka kalkulační položky]]&amp;" | "&amp;IF(A75="","",VLOOKUP(A:A,Pomocna_Nakup[],2,0)))</f>
        <v>STSM | Spojovací materiál</v>
      </c>
      <c r="D75" s="710" t="str">
        <f ca="1">IF(A75="","",'Rozpad zakázky'!F91)</f>
        <v>N/A</v>
      </c>
      <c r="E75" s="710" t="str">
        <f ca="1">IF(A75="","",'Rozpad zakázky'!D91&amp;IF('Rozpad zakázky'!G91="",""," ("&amp;'Rozpad zakázky'!G91&amp;")"))</f>
        <v xml:space="preserve">    Spojovací materiál</v>
      </c>
      <c r="F75" s="709">
        <f ca="1">IF(A75="","",'Rozpad zakázky'!IW91)</f>
        <v>1</v>
      </c>
      <c r="G75" s="711">
        <f ca="1">IF(A75="","",'Rozpad zakázky'!AE91)</f>
        <v>2276.12</v>
      </c>
      <c r="H75" s="717">
        <f ca="1">IF(A75="","",'Rozpad zakázky'!AJ91)</f>
        <v>84.300740740740736</v>
      </c>
      <c r="I75" s="748">
        <f ca="1">IF(A75="","",'Rozpad zakázky'!Q91)</f>
        <v>1</v>
      </c>
      <c r="J75" s="717">
        <f ca="1">IF(A75="","",ROUNDDOWN('Rozpad zakázky'!L91,1))</f>
        <v>20.6</v>
      </c>
      <c r="K75" s="745">
        <f ca="1">IF(A75="","",Tabulka_nakup_Vonka[[#This Row],[Počet MJHR v rozpadu]]*Tabulka_nakup_Vonka[[#This Row],[Jedn. hmotnost '[kg/MJHR']]])</f>
        <v>20.6</v>
      </c>
    </row>
    <row r="76" spans="1:11" x14ac:dyDescent="0.35">
      <c r="A76" s="709" t="str">
        <f ca="1">IF('Rozpad zakázky'!E92=0,"",IF('Rozpad zakázky'!E92="-","",'Rozpad zakázky'!E92))</f>
        <v/>
      </c>
      <c r="B76" s="708" t="str">
        <f ca="1">IF(A76="","",IF(A76="","",VLOOKUP(A:A,Pomocna_Nakup[],3,0))&amp;" | "&amp;IF(A76="","",VLOOKUP(A:A,Pomocna_Nakup[],4,0)))</f>
        <v/>
      </c>
      <c r="C76" s="710" t="str">
        <f ca="1">IF(Tabulka_nakup_Vonka[[#This Row],[Zkratka kalkulační položky]]="","",Tabulka_nakup_Vonka[[#This Row],[Zkratka kalkulační položky]]&amp;" | "&amp;IF(A76="","",VLOOKUP(A:A,Pomocna_Nakup[],2,0)))</f>
        <v/>
      </c>
      <c r="D76" s="710" t="str">
        <f ca="1">IF(A76="","",'Rozpad zakázky'!F92)</f>
        <v/>
      </c>
      <c r="E76" s="710" t="str">
        <f ca="1">IF(A76="","",'Rozpad zakázky'!D92&amp;IF('Rozpad zakázky'!G92="",""," ("&amp;'Rozpad zakázky'!G92&amp;")"))</f>
        <v/>
      </c>
      <c r="F76" s="709" t="str">
        <f ca="1">IF(A76="","",'Rozpad zakázky'!IW92)</f>
        <v/>
      </c>
      <c r="G76" s="711" t="str">
        <f ca="1">IF(A76="","",'Rozpad zakázky'!AE92)</f>
        <v/>
      </c>
      <c r="H76" s="717" t="str">
        <f ca="1">IF(A76="","",'Rozpad zakázky'!AJ92)</f>
        <v/>
      </c>
      <c r="I76" s="748" t="str">
        <f ca="1">IF(A76="","",'Rozpad zakázky'!Q92)</f>
        <v/>
      </c>
      <c r="J76" s="717" t="str">
        <f ca="1">IF(A76="","",ROUNDDOWN('Rozpad zakázky'!L92,1))</f>
        <v/>
      </c>
      <c r="K76" s="745" t="str">
        <f ca="1">IF(A76="","",Tabulka_nakup_Vonka[[#This Row],[Počet MJHR v rozpadu]]*Tabulka_nakup_Vonka[[#This Row],[Jedn. hmotnost '[kg/MJHR']]])</f>
        <v/>
      </c>
    </row>
    <row r="77" spans="1:11" x14ac:dyDescent="0.35">
      <c r="A77" s="709" t="str">
        <f ca="1">IF('Rozpad zakázky'!E93=0,"",IF('Rozpad zakázky'!E93="-","",'Rozpad zakázky'!E93))</f>
        <v>OKS1</v>
      </c>
      <c r="B77" s="708" t="str">
        <f ca="1">IF(A77="","",IF(A77="","",VLOOKUP(A:A,Pomocna_Nakup[],3,0))&amp;" | "&amp;IF(A77="","",VLOOKUP(A:A,Pomocna_Nakup[],4,0)))</f>
        <v>OK | Ocelové kosntrukce</v>
      </c>
      <c r="C77" s="710" t="str">
        <f ca="1">IF(Tabulka_nakup_Vonka[[#This Row],[Zkratka kalkulační položky]]="","",Tabulka_nakup_Vonka[[#This Row],[Zkratka kalkulační položky]]&amp;" | "&amp;IF(A77="","",VLOOKUP(A:A,Pomocna_Nakup[],2,0)))</f>
        <v>OKS1 | Svařenec třída 1</v>
      </c>
      <c r="D77" s="710" t="str">
        <f ca="1">IF(A77="","",'Rozpad zakázky'!F93)</f>
        <v>N/A</v>
      </c>
      <c r="E77" s="710" t="str">
        <f ca="1">IF(A77="","",'Rozpad zakázky'!D93&amp;IF('Rozpad zakázky'!G93="",""," ("&amp;'Rozpad zakázky'!G93&amp;")"))</f>
        <v xml:space="preserve">    Díl nákolku</v>
      </c>
      <c r="F77" s="709">
        <f ca="1">IF(A77="","",'Rozpad zakázky'!IW93)</f>
        <v>1</v>
      </c>
      <c r="G77" s="711">
        <f ca="1">IF(A77="","",'Rozpad zakázky'!AE93)</f>
        <v>307440</v>
      </c>
      <c r="H77" s="717">
        <f ca="1">IF(A77="","",'Rozpad zakázky'!AJ93)</f>
        <v>11386.666666666666</v>
      </c>
      <c r="I77" s="748">
        <f ca="1">IF(A77="","",'Rozpad zakázky'!Q93)</f>
        <v>6</v>
      </c>
      <c r="J77" s="717">
        <f ca="1">IF(A77="","",ROUNDDOWN('Rozpad zakázky'!L93,1))</f>
        <v>366</v>
      </c>
      <c r="K77" s="745">
        <f ca="1">IF(A77="","",Tabulka_nakup_Vonka[[#This Row],[Počet MJHR v rozpadu]]*Tabulka_nakup_Vonka[[#This Row],[Jedn. hmotnost '[kg/MJHR']]])</f>
        <v>2196</v>
      </c>
    </row>
    <row r="78" spans="1:11" x14ac:dyDescent="0.35">
      <c r="A78" s="709" t="str">
        <f ca="1">IF('Rozpad zakázky'!E94=0,"",IF('Rozpad zakázky'!E94="-","",'Rozpad zakázky'!E94))</f>
        <v>OKS1</v>
      </c>
      <c r="B78" s="708" t="str">
        <f ca="1">IF(A78="","",IF(A78="","",VLOOKUP(A:A,Pomocna_Nakup[],3,0))&amp;" | "&amp;IF(A78="","",VLOOKUP(A:A,Pomocna_Nakup[],4,0)))</f>
        <v>OK | Ocelové kosntrukce</v>
      </c>
      <c r="C78" s="710" t="str">
        <f ca="1">IF(Tabulka_nakup_Vonka[[#This Row],[Zkratka kalkulační položky]]="","",Tabulka_nakup_Vonka[[#This Row],[Zkratka kalkulační položky]]&amp;" | "&amp;IF(A78="","",VLOOKUP(A:A,Pomocna_Nakup[],2,0)))</f>
        <v>OKS1 | Svařenec třída 1</v>
      </c>
      <c r="D78" s="710" t="str">
        <f ca="1">IF(A78="","",'Rozpad zakázky'!F94)</f>
        <v>N/A</v>
      </c>
      <c r="E78" s="710" t="str">
        <f ca="1">IF(A78="","",'Rozpad zakázky'!D94&amp;IF('Rozpad zakázky'!G94="",""," ("&amp;'Rozpad zakázky'!G94&amp;")"))</f>
        <v xml:space="preserve">    Díl nákolku</v>
      </c>
      <c r="F78" s="709">
        <f ca="1">IF(A78="","",'Rozpad zakázky'!IW94)</f>
        <v>1</v>
      </c>
      <c r="G78" s="711">
        <f ca="1">IF(A78="","",'Rozpad zakázky'!AE94)</f>
        <v>319200</v>
      </c>
      <c r="H78" s="717">
        <f ca="1">IF(A78="","",'Rozpad zakázky'!AJ94)</f>
        <v>11822.222222222223</v>
      </c>
      <c r="I78" s="748">
        <f ca="1">IF(A78="","",'Rozpad zakázky'!Q94)</f>
        <v>6</v>
      </c>
      <c r="J78" s="717">
        <f ca="1">IF(A78="","",ROUNDDOWN('Rozpad zakázky'!L94,1))</f>
        <v>380</v>
      </c>
      <c r="K78" s="745">
        <f ca="1">IF(A78="","",Tabulka_nakup_Vonka[[#This Row],[Počet MJHR v rozpadu]]*Tabulka_nakup_Vonka[[#This Row],[Jedn. hmotnost '[kg/MJHR']]])</f>
        <v>2280</v>
      </c>
    </row>
    <row r="79" spans="1:11" x14ac:dyDescent="0.35">
      <c r="A79" s="709" t="str">
        <f ca="1">IF('Rozpad zakázky'!E95=0,"",IF('Rozpad zakázky'!E95="-","",'Rozpad zakázky'!E95))</f>
        <v>STSM</v>
      </c>
      <c r="B79" s="708" t="str">
        <f ca="1">IF(A79="","",IF(A79="","",VLOOKUP(A:A,Pomocna_Nakup[],3,0))&amp;" | "&amp;IF(A79="","",VLOOKUP(A:A,Pomocna_Nakup[],4,0)))</f>
        <v>ST | Strojní</v>
      </c>
      <c r="C79" s="710" t="str">
        <f ca="1">IF(Tabulka_nakup_Vonka[[#This Row],[Zkratka kalkulační položky]]="","",Tabulka_nakup_Vonka[[#This Row],[Zkratka kalkulační položky]]&amp;" | "&amp;IF(A79="","",VLOOKUP(A:A,Pomocna_Nakup[],2,0)))</f>
        <v>STSM | Spojovací materiál</v>
      </c>
      <c r="D79" s="710" t="str">
        <f ca="1">IF(A79="","",'Rozpad zakázky'!F95)</f>
        <v>N/A</v>
      </c>
      <c r="E79" s="710" t="str">
        <f ca="1">IF(A79="","",'Rozpad zakázky'!D95&amp;IF('Rozpad zakázky'!G95="",""," ("&amp;'Rozpad zakázky'!G95&amp;")"))</f>
        <v xml:space="preserve">    Spojovací materiál</v>
      </c>
      <c r="F79" s="709">
        <f ca="1">IF(A79="","",'Rozpad zakázky'!IW95)</f>
        <v>1</v>
      </c>
      <c r="G79" s="711">
        <f ca="1">IF(A79="","",'Rozpad zakázky'!AE95)</f>
        <v>19219.2</v>
      </c>
      <c r="H79" s="717">
        <f ca="1">IF(A79="","",'Rozpad zakázky'!AJ95)</f>
        <v>711.82222222222219</v>
      </c>
      <c r="I79" s="748">
        <f ca="1">IF(A79="","",'Rozpad zakázky'!Q95)</f>
        <v>3</v>
      </c>
      <c r="J79" s="717">
        <f ca="1">IF(A79="","",ROUNDDOWN('Rozpad zakázky'!L95,1))</f>
        <v>58.2</v>
      </c>
      <c r="K79" s="745">
        <f ca="1">IF(A79="","",Tabulka_nakup_Vonka[[#This Row],[Počet MJHR v rozpadu]]*Tabulka_nakup_Vonka[[#This Row],[Jedn. hmotnost '[kg/MJHR']]])</f>
        <v>174.60000000000002</v>
      </c>
    </row>
    <row r="80" spans="1:11" x14ac:dyDescent="0.35">
      <c r="A80" s="709" t="str">
        <f ca="1">IF('Rozpad zakázky'!E96=0,"",IF('Rozpad zakázky'!E96="-","",'Rozpad zakázky'!E96))</f>
        <v>OKHM</v>
      </c>
      <c r="B80" s="708" t="str">
        <f ca="1">IF(A80="","",IF(A80="","",VLOOKUP(A:A,Pomocna_Nakup[],3,0))&amp;" | "&amp;IF(A80="","",VLOOKUP(A:A,Pomocna_Nakup[],4,0)))</f>
        <v>OK | Ocelové kosntrukce</v>
      </c>
      <c r="C80" s="710" t="str">
        <f ca="1">IF(Tabulka_nakup_Vonka[[#This Row],[Zkratka kalkulační položky]]="","",Tabulka_nakup_Vonka[[#This Row],[Zkratka kalkulační položky]]&amp;" | "&amp;IF(A80="","",VLOOKUP(A:A,Pomocna_Nakup[],2,0)))</f>
        <v>OKHM | Hutní materiál</v>
      </c>
      <c r="D80" s="710" t="str">
        <f ca="1">IF(A80="","",'Rozpad zakázky'!F96)</f>
        <v>N/A</v>
      </c>
      <c r="E80" s="710" t="str">
        <f ca="1">IF(A80="","",'Rozpad zakázky'!D96&amp;IF('Rozpad zakázky'!G96="",""," ("&amp;'Rozpad zakázky'!G96&amp;")"))</f>
        <v xml:space="preserve">    Ocelové profily</v>
      </c>
      <c r="F80" s="709">
        <f ca="1">IF(A80="","",'Rozpad zakázky'!IW96)</f>
        <v>1</v>
      </c>
      <c r="G80" s="711">
        <f ca="1">IF(A80="","",'Rozpad zakázky'!AE96)</f>
        <v>712.8</v>
      </c>
      <c r="H80" s="717">
        <f ca="1">IF(A80="","",'Rozpad zakázky'!AJ96)</f>
        <v>26.4</v>
      </c>
      <c r="I80" s="748">
        <f ca="1">IF(A80="","",'Rozpad zakázky'!Q96)</f>
        <v>3</v>
      </c>
      <c r="J80" s="717">
        <f ca="1">IF(A80="","",ROUNDDOWN('Rozpad zakázky'!L96,1))</f>
        <v>5.9</v>
      </c>
      <c r="K80" s="745">
        <f ca="1">IF(A80="","",Tabulka_nakup_Vonka[[#This Row],[Počet MJHR v rozpadu]]*Tabulka_nakup_Vonka[[#This Row],[Jedn. hmotnost '[kg/MJHR']]])</f>
        <v>17.700000000000003</v>
      </c>
    </row>
    <row r="81" spans="1:11" x14ac:dyDescent="0.35">
      <c r="A81" s="709" t="str">
        <f ca="1">IF('Rozpad zakázky'!E97=0,"",IF('Rozpad zakázky'!E97="-","",'Rozpad zakázky'!E97))</f>
        <v>STO1</v>
      </c>
      <c r="B81" s="708" t="str">
        <f ca="1">IF(A81="","",IF(A81="","",VLOOKUP(A:A,Pomocna_Nakup[],3,0))&amp;" | "&amp;IF(A81="","",VLOOKUP(A:A,Pomocna_Nakup[],4,0)))</f>
        <v>ST | Strojní</v>
      </c>
      <c r="C81" s="710" t="str">
        <f ca="1">IF(Tabulka_nakup_Vonka[[#This Row],[Zkratka kalkulační položky]]="","",Tabulka_nakup_Vonka[[#This Row],[Zkratka kalkulační položky]]&amp;" | "&amp;IF(A81="","",VLOOKUP(A:A,Pomocna_Nakup[],2,0)))</f>
        <v>STO1 | Obrobky třída 1</v>
      </c>
      <c r="D81" s="710" t="str">
        <f ca="1">IF(A81="","",'Rozpad zakázky'!F97)</f>
        <v>N/A</v>
      </c>
      <c r="E81" s="710" t="str">
        <f ca="1">IF(A81="","",'Rozpad zakázky'!D97&amp;IF('Rozpad zakázky'!G97="",""," ("&amp;'Rozpad zakázky'!G97&amp;")"))</f>
        <v xml:space="preserve">  Céva</v>
      </c>
      <c r="F81" s="709">
        <f ca="1">IF(A81="","",'Rozpad zakázky'!IW97)</f>
        <v>1</v>
      </c>
      <c r="G81" s="711">
        <f ca="1">IF(A81="","",'Rozpad zakázky'!AE97)</f>
        <v>156600</v>
      </c>
      <c r="H81" s="717">
        <f ca="1">IF(A81="","",'Rozpad zakázky'!AJ97)</f>
        <v>5800</v>
      </c>
      <c r="I81" s="748">
        <f ca="1">IF(A81="","",'Rozpad zakázky'!Q97)</f>
        <v>200</v>
      </c>
      <c r="J81" s="717">
        <f ca="1">IF(A81="","",ROUNDDOWN('Rozpad zakázky'!L97,1))</f>
        <v>5.4</v>
      </c>
      <c r="K81" s="745">
        <f ca="1">IF(A81="","",Tabulka_nakup_Vonka[[#This Row],[Počet MJHR v rozpadu]]*Tabulka_nakup_Vonka[[#This Row],[Jedn. hmotnost '[kg/MJHR']]])</f>
        <v>1080</v>
      </c>
    </row>
    <row r="82" spans="1:11" x14ac:dyDescent="0.35">
      <c r="A82" s="709" t="str">
        <f ca="1">IF('Rozpad zakázky'!E98=0,"",IF('Rozpad zakázky'!E98="-","",'Rozpad zakázky'!E98))</f>
        <v>OKS3</v>
      </c>
      <c r="B82" s="708" t="str">
        <f ca="1">IF(A82="","",IF(A82="","",VLOOKUP(A:A,Pomocna_Nakup[],3,0))&amp;" | "&amp;IF(A82="","",VLOOKUP(A:A,Pomocna_Nakup[],4,0)))</f>
        <v>OK | Ocelové kosntrukce</v>
      </c>
      <c r="C82" s="710" t="str">
        <f ca="1">IF(Tabulka_nakup_Vonka[[#This Row],[Zkratka kalkulační položky]]="","",Tabulka_nakup_Vonka[[#This Row],[Zkratka kalkulační položky]]&amp;" | "&amp;IF(A82="","",VLOOKUP(A:A,Pomocna_Nakup[],2,0)))</f>
        <v>OKS3 | Svařenec třída 3</v>
      </c>
      <c r="D82" s="710" t="str">
        <f ca="1">IF(A82="","",'Rozpad zakázky'!F98)</f>
        <v>N/A</v>
      </c>
      <c r="E82" s="710" t="str">
        <f ca="1">IF(A82="","",'Rozpad zakázky'!D98&amp;IF('Rozpad zakázky'!G98="",""," ("&amp;'Rozpad zakázky'!G98&amp;")"))</f>
        <v xml:space="preserve">  Příložka</v>
      </c>
      <c r="F82" s="709">
        <f ca="1">IF(A82="","",'Rozpad zakázky'!IW98)</f>
        <v>1</v>
      </c>
      <c r="G82" s="711">
        <f ca="1">IF(A82="","",'Rozpad zakázky'!AE98)</f>
        <v>4800</v>
      </c>
      <c r="H82" s="717">
        <f ca="1">IF(A82="","",'Rozpad zakázky'!AJ98)</f>
        <v>177.77777777777777</v>
      </c>
      <c r="I82" s="748">
        <f ca="1">IF(A82="","",'Rozpad zakázky'!Q98)</f>
        <v>100</v>
      </c>
      <c r="J82" s="717">
        <f ca="1">IF(A82="","",ROUNDDOWN('Rozpad zakázky'!L98,1))</f>
        <v>0.6</v>
      </c>
      <c r="K82" s="745">
        <f ca="1">IF(A82="","",Tabulka_nakup_Vonka[[#This Row],[Počet MJHR v rozpadu]]*Tabulka_nakup_Vonka[[#This Row],[Jedn. hmotnost '[kg/MJHR']]])</f>
        <v>60</v>
      </c>
    </row>
    <row r="83" spans="1:11" x14ac:dyDescent="0.35">
      <c r="A83" s="709" t="str">
        <f ca="1">IF('Rozpad zakázky'!E99=0,"",IF('Rozpad zakázky'!E99="-","",'Rozpad zakázky'!E99))</f>
        <v>OKS1</v>
      </c>
      <c r="B83" s="708" t="str">
        <f ca="1">IF(A83="","",IF(A83="","",VLOOKUP(A:A,Pomocna_Nakup[],3,0))&amp;" | "&amp;IF(A83="","",VLOOKUP(A:A,Pomocna_Nakup[],4,0)))</f>
        <v>OK | Ocelové kosntrukce</v>
      </c>
      <c r="C83" s="710" t="str">
        <f ca="1">IF(Tabulka_nakup_Vonka[[#This Row],[Zkratka kalkulační položky]]="","",Tabulka_nakup_Vonka[[#This Row],[Zkratka kalkulační položky]]&amp;" | "&amp;IF(A83="","",VLOOKUP(A:A,Pomocna_Nakup[],2,0)))</f>
        <v>OKS1 | Svařenec třída 1</v>
      </c>
      <c r="D83" s="710" t="str">
        <f ca="1">IF(A83="","",'Rozpad zakázky'!F99)</f>
        <v>Svařenec</v>
      </c>
      <c r="E83" s="710" t="str">
        <f ca="1">IF(A83="","",'Rozpad zakázky'!D99&amp;IF('Rozpad zakázky'!G99="",""," ("&amp;'Rozpad zakázky'!G99&amp;")"))</f>
        <v xml:space="preserve">  Rám</v>
      </c>
      <c r="F83" s="709">
        <f ca="1">IF(A83="","",'Rozpad zakázky'!IW99)</f>
        <v>1</v>
      </c>
      <c r="G83" s="711">
        <f ca="1">IF(A83="","",'Rozpad zakázky'!AE99)</f>
        <v>381192</v>
      </c>
      <c r="H83" s="717">
        <f ca="1">IF(A83="","",'Rozpad zakázky'!AJ99)</f>
        <v>14118.222222222223</v>
      </c>
      <c r="I83" s="748">
        <f ca="1">IF(A83="","",'Rozpad zakázky'!Q99)</f>
        <v>6</v>
      </c>
      <c r="J83" s="717">
        <f ca="1">IF(A83="","",ROUNDDOWN('Rozpad zakázky'!L99,1))</f>
        <v>453.8</v>
      </c>
      <c r="K83" s="745">
        <f ca="1">IF(A83="","",Tabulka_nakup_Vonka[[#This Row],[Počet MJHR v rozpadu]]*Tabulka_nakup_Vonka[[#This Row],[Jedn. hmotnost '[kg/MJHR']]])</f>
        <v>2722.8</v>
      </c>
    </row>
    <row r="84" spans="1:11" x14ac:dyDescent="0.35">
      <c r="A84" s="709" t="str">
        <f ca="1">IF('Rozpad zakázky'!E100=0,"",IF('Rozpad zakázky'!E100="-","",'Rozpad zakázky'!E100))</f>
        <v/>
      </c>
      <c r="B84" s="708" t="str">
        <f ca="1">IF(A84="","",IF(A84="","",VLOOKUP(A:A,Pomocna_Nakup[],3,0))&amp;" | "&amp;IF(A84="","",VLOOKUP(A:A,Pomocna_Nakup[],4,0)))</f>
        <v/>
      </c>
      <c r="C84" s="710" t="str">
        <f ca="1">IF(Tabulka_nakup_Vonka[[#This Row],[Zkratka kalkulační položky]]="","",Tabulka_nakup_Vonka[[#This Row],[Zkratka kalkulační položky]]&amp;" | "&amp;IF(A84="","",VLOOKUP(A:A,Pomocna_Nakup[],2,0)))</f>
        <v/>
      </c>
      <c r="D84" s="710" t="str">
        <f ca="1">IF(A84="","",'Rozpad zakázky'!F100)</f>
        <v/>
      </c>
      <c r="E84" s="710" t="str">
        <f ca="1">IF(A84="","",'Rozpad zakázky'!D100&amp;IF('Rozpad zakázky'!G100="",""," ("&amp;'Rozpad zakázky'!G100&amp;")"))</f>
        <v/>
      </c>
      <c r="F84" s="709" t="str">
        <f ca="1">IF(A84="","",'Rozpad zakázky'!IW100)</f>
        <v/>
      </c>
      <c r="G84" s="711" t="str">
        <f ca="1">IF(A84="","",'Rozpad zakázky'!AE100)</f>
        <v/>
      </c>
      <c r="H84" s="717" t="str">
        <f ca="1">IF(A84="","",'Rozpad zakázky'!AJ100)</f>
        <v/>
      </c>
      <c r="I84" s="748" t="str">
        <f ca="1">IF(A84="","",'Rozpad zakázky'!Q100)</f>
        <v/>
      </c>
      <c r="J84" s="717" t="str">
        <f ca="1">IF(A84="","",ROUNDDOWN('Rozpad zakázky'!L100,1))</f>
        <v/>
      </c>
      <c r="K84" s="745" t="str">
        <f ca="1">IF(A84="","",Tabulka_nakup_Vonka[[#This Row],[Počet MJHR v rozpadu]]*Tabulka_nakup_Vonka[[#This Row],[Jedn. hmotnost '[kg/MJHR']]])</f>
        <v/>
      </c>
    </row>
    <row r="85" spans="1:11" x14ac:dyDescent="0.35">
      <c r="A85" s="709" t="str">
        <f ca="1">IF('Rozpad zakázky'!E101=0,"",IF('Rozpad zakázky'!E101="-","",'Rozpad zakázky'!E101))</f>
        <v>OKS1</v>
      </c>
      <c r="B85" s="708" t="str">
        <f ca="1">IF(A85="","",IF(A85="","",VLOOKUP(A:A,Pomocna_Nakup[],3,0))&amp;" | "&amp;IF(A85="","",VLOOKUP(A:A,Pomocna_Nakup[],4,0)))</f>
        <v>OK | Ocelové kosntrukce</v>
      </c>
      <c r="C85" s="710" t="str">
        <f ca="1">IF(Tabulka_nakup_Vonka[[#This Row],[Zkratka kalkulační položky]]="","",Tabulka_nakup_Vonka[[#This Row],[Zkratka kalkulační položky]]&amp;" | "&amp;IF(A85="","",VLOOKUP(A:A,Pomocna_Nakup[],2,0)))</f>
        <v>OKS1 | Svařenec třída 1</v>
      </c>
      <c r="D85" s="710" t="str">
        <f ca="1">IF(A85="","",'Rozpad zakázky'!F101)</f>
        <v>N/A</v>
      </c>
      <c r="E85" s="710" t="str">
        <f ca="1">IF(A85="","",'Rozpad zakázky'!D101&amp;IF('Rozpad zakázky'!G101="",""," ("&amp;'Rozpad zakázky'!G101&amp;")"))</f>
        <v xml:space="preserve">    Boční opěra pravá</v>
      </c>
      <c r="F85" s="709">
        <f ca="1">IF(A85="","",'Rozpad zakázky'!IW101)</f>
        <v>1</v>
      </c>
      <c r="G85" s="711">
        <f ca="1">IF(A85="","",'Rozpad zakázky'!AE101)</f>
        <v>618450</v>
      </c>
      <c r="H85" s="717">
        <f ca="1">IF(A85="","",'Rozpad zakázky'!AJ101)</f>
        <v>22905.555555555555</v>
      </c>
      <c r="I85" s="748">
        <f ca="1">IF(A85="","",'Rozpad zakázky'!Q101)</f>
        <v>1</v>
      </c>
      <c r="J85" s="717">
        <f ca="1">IF(A85="","",ROUNDDOWN('Rozpad zakázky'!L101,1))</f>
        <v>4417.5</v>
      </c>
      <c r="K85" s="745">
        <f ca="1">IF(A85="","",Tabulka_nakup_Vonka[[#This Row],[Počet MJHR v rozpadu]]*Tabulka_nakup_Vonka[[#This Row],[Jedn. hmotnost '[kg/MJHR']]])</f>
        <v>4417.5</v>
      </c>
    </row>
    <row r="86" spans="1:11" x14ac:dyDescent="0.35">
      <c r="A86" s="709" t="str">
        <f ca="1">IF('Rozpad zakázky'!E102=0,"",IF('Rozpad zakázky'!E102="-","",'Rozpad zakázky'!E102))</f>
        <v>OKS1</v>
      </c>
      <c r="B86" s="708" t="str">
        <f ca="1">IF(A86="","",IF(A86="","",VLOOKUP(A:A,Pomocna_Nakup[],3,0))&amp;" | "&amp;IF(A86="","",VLOOKUP(A:A,Pomocna_Nakup[],4,0)))</f>
        <v>OK | Ocelové kosntrukce</v>
      </c>
      <c r="C86" s="710" t="str">
        <f ca="1">IF(Tabulka_nakup_Vonka[[#This Row],[Zkratka kalkulační položky]]="","",Tabulka_nakup_Vonka[[#This Row],[Zkratka kalkulační položky]]&amp;" | "&amp;IF(A86="","",VLOOKUP(A:A,Pomocna_Nakup[],2,0)))</f>
        <v>OKS1 | Svařenec třída 1</v>
      </c>
      <c r="D86" s="710" t="str">
        <f ca="1">IF(A86="","",'Rozpad zakázky'!F102)</f>
        <v>N/A</v>
      </c>
      <c r="E86" s="710" t="str">
        <f ca="1">IF(A86="","",'Rozpad zakázky'!D102&amp;IF('Rozpad zakázky'!G102="",""," ("&amp;'Rozpad zakázky'!G102&amp;")"))</f>
        <v xml:space="preserve">    Boční opěra levá</v>
      </c>
      <c r="F86" s="709">
        <f ca="1">IF(A86="","",'Rozpad zakázky'!IW102)</f>
        <v>1</v>
      </c>
      <c r="G86" s="711">
        <f ca="1">IF(A86="","",'Rozpad zakázky'!AE102)</f>
        <v>620088</v>
      </c>
      <c r="H86" s="717">
        <f ca="1">IF(A86="","",'Rozpad zakázky'!AJ102)</f>
        <v>22966.222222222223</v>
      </c>
      <c r="I86" s="748">
        <f ca="1">IF(A86="","",'Rozpad zakázky'!Q102)</f>
        <v>1</v>
      </c>
      <c r="J86" s="717">
        <f ca="1">IF(A86="","",ROUNDDOWN('Rozpad zakázky'!L102,1))</f>
        <v>4429.2</v>
      </c>
      <c r="K86" s="745">
        <f ca="1">IF(A86="","",Tabulka_nakup_Vonka[[#This Row],[Počet MJHR v rozpadu]]*Tabulka_nakup_Vonka[[#This Row],[Jedn. hmotnost '[kg/MJHR']]])</f>
        <v>4429.2</v>
      </c>
    </row>
    <row r="87" spans="1:11" x14ac:dyDescent="0.35">
      <c r="A87" s="709" t="str">
        <f ca="1">IF('Rozpad zakázky'!E103=0,"",IF('Rozpad zakázky'!E103="-","",'Rozpad zakázky'!E103))</f>
        <v>OKS1</v>
      </c>
      <c r="B87" s="708" t="str">
        <f ca="1">IF(A87="","",IF(A87="","",VLOOKUP(A:A,Pomocna_Nakup[],3,0))&amp;" | "&amp;IF(A87="","",VLOOKUP(A:A,Pomocna_Nakup[],4,0)))</f>
        <v>OK | Ocelové kosntrukce</v>
      </c>
      <c r="C87" s="710" t="str">
        <f ca="1">IF(Tabulka_nakup_Vonka[[#This Row],[Zkratka kalkulační položky]]="","",Tabulka_nakup_Vonka[[#This Row],[Zkratka kalkulační položky]]&amp;" | "&amp;IF(A87="","",VLOOKUP(A:A,Pomocna_Nakup[],2,0)))</f>
        <v>OKS1 | Svařenec třída 1</v>
      </c>
      <c r="D87" s="710" t="str">
        <f ca="1">IF(A87="","",'Rozpad zakázky'!F103)</f>
        <v>N/A</v>
      </c>
      <c r="E87" s="710" t="str">
        <f ca="1">IF(A87="","",'Rozpad zakázky'!D103&amp;IF('Rozpad zakázky'!G103="",""," ("&amp;'Rozpad zakázky'!G103&amp;")"))</f>
        <v xml:space="preserve">    Táhlo</v>
      </c>
      <c r="F87" s="709">
        <f ca="1">IF(A87="","",'Rozpad zakázky'!IW103)</f>
        <v>1</v>
      </c>
      <c r="G87" s="711">
        <f ca="1">IF(A87="","",'Rozpad zakázky'!AE103)</f>
        <v>143192</v>
      </c>
      <c r="H87" s="717">
        <f ca="1">IF(A87="","",'Rozpad zakázky'!AJ103)</f>
        <v>5303.4074074074078</v>
      </c>
      <c r="I87" s="748">
        <f ca="1">IF(A87="","",'Rozpad zakázky'!Q103)</f>
        <v>4</v>
      </c>
      <c r="J87" s="717">
        <f ca="1">IF(A87="","",ROUNDDOWN('Rozpad zakázky'!L103,1))</f>
        <v>255.7</v>
      </c>
      <c r="K87" s="745">
        <f ca="1">IF(A87="","",Tabulka_nakup_Vonka[[#This Row],[Počet MJHR v rozpadu]]*Tabulka_nakup_Vonka[[#This Row],[Jedn. hmotnost '[kg/MJHR']]])</f>
        <v>1022.8</v>
      </c>
    </row>
    <row r="88" spans="1:11" x14ac:dyDescent="0.35">
      <c r="A88" s="709" t="str">
        <f ca="1">IF('Rozpad zakázky'!E104=0,"",IF('Rozpad zakázky'!E104="-","",'Rozpad zakázky'!E104))</f>
        <v>STO2</v>
      </c>
      <c r="B88" s="708" t="str">
        <f ca="1">IF(A88="","",IF(A88="","",VLOOKUP(A:A,Pomocna_Nakup[],3,0))&amp;" | "&amp;IF(A88="","",VLOOKUP(A:A,Pomocna_Nakup[],4,0)))</f>
        <v>ST | Strojní</v>
      </c>
      <c r="C88" s="710" t="str">
        <f ca="1">IF(Tabulka_nakup_Vonka[[#This Row],[Zkratka kalkulační položky]]="","",Tabulka_nakup_Vonka[[#This Row],[Zkratka kalkulační položky]]&amp;" | "&amp;IF(A88="","",VLOOKUP(A:A,Pomocna_Nakup[],2,0)))</f>
        <v>STO2 | Obrobky třída 2</v>
      </c>
      <c r="D88" s="710" t="str">
        <f ca="1">IF(A88="","",'Rozpad zakázky'!F104)</f>
        <v>N/A</v>
      </c>
      <c r="E88" s="710" t="str">
        <f ca="1">IF(A88="","",'Rozpad zakázky'!D104&amp;IF('Rozpad zakázky'!G104="",""," ("&amp;'Rozpad zakázky'!G104&amp;")"))</f>
        <v xml:space="preserve">    Sestavení páky</v>
      </c>
      <c r="F88" s="709">
        <f ca="1">IF(A88="","",'Rozpad zakázky'!IW104)</f>
        <v>1</v>
      </c>
      <c r="G88" s="711">
        <f ca="1">IF(A88="","",'Rozpad zakázky'!AE104)</f>
        <v>416484</v>
      </c>
      <c r="H88" s="717">
        <f ca="1">IF(A88="","",'Rozpad zakázky'!AJ104)</f>
        <v>15425.333333333334</v>
      </c>
      <c r="I88" s="748">
        <f ca="1">IF(A88="","",'Rozpad zakázky'!Q104)</f>
        <v>8</v>
      </c>
      <c r="J88" s="717">
        <f ca="1">IF(A88="","",ROUNDDOWN('Rozpad zakázky'!L104,1))</f>
        <v>452.7</v>
      </c>
      <c r="K88" s="745">
        <f ca="1">IF(A88="","",Tabulka_nakup_Vonka[[#This Row],[Počet MJHR v rozpadu]]*Tabulka_nakup_Vonka[[#This Row],[Jedn. hmotnost '[kg/MJHR']]])</f>
        <v>3621.6</v>
      </c>
    </row>
    <row r="89" spans="1:11" x14ac:dyDescent="0.35">
      <c r="A89" s="709" t="str">
        <f ca="1">IF('Rozpad zakázky'!E105=0,"",IF('Rozpad zakázky'!E105="-","",'Rozpad zakázky'!E105))</f>
        <v>STO3</v>
      </c>
      <c r="B89" s="708" t="str">
        <f ca="1">IF(A89="","",IF(A89="","",VLOOKUP(A:A,Pomocna_Nakup[],3,0))&amp;" | "&amp;IF(A89="","",VLOOKUP(A:A,Pomocna_Nakup[],4,0)))</f>
        <v>ST | Strojní</v>
      </c>
      <c r="C89" s="710" t="str">
        <f ca="1">IF(Tabulka_nakup_Vonka[[#This Row],[Zkratka kalkulační položky]]="","",Tabulka_nakup_Vonka[[#This Row],[Zkratka kalkulační položky]]&amp;" | "&amp;IF(A89="","",VLOOKUP(A:A,Pomocna_Nakup[],2,0)))</f>
        <v>STO3 | Obrobky třída 3</v>
      </c>
      <c r="D89" s="710" t="str">
        <f ca="1">IF(A89="","",'Rozpad zakázky'!F105)</f>
        <v>N/A</v>
      </c>
      <c r="E89" s="710" t="str">
        <f ca="1">IF(A89="","",'Rozpad zakázky'!D105&amp;IF('Rozpad zakázky'!G105="",""," ("&amp;'Rozpad zakázky'!G105&amp;")"))</f>
        <v xml:space="preserve">    Nárazník</v>
      </c>
      <c r="F89" s="709">
        <f ca="1">IF(A89="","",'Rozpad zakázky'!IW105)</f>
        <v>1</v>
      </c>
      <c r="G89" s="711">
        <f ca="1">IF(A89="","",'Rozpad zakázky'!AE105)</f>
        <v>22983.999999999996</v>
      </c>
      <c r="H89" s="717">
        <f ca="1">IF(A89="","",'Rozpad zakázky'!AJ105)</f>
        <v>851.25925925925912</v>
      </c>
      <c r="I89" s="748">
        <f ca="1">IF(A89="","",'Rozpad zakázky'!Q105)</f>
        <v>8</v>
      </c>
      <c r="J89" s="717">
        <f ca="1">IF(A89="","",ROUNDDOWN('Rozpad zakázky'!L105,1))</f>
        <v>33.799999999999997</v>
      </c>
      <c r="K89" s="745">
        <f ca="1">IF(A89="","",Tabulka_nakup_Vonka[[#This Row],[Počet MJHR v rozpadu]]*Tabulka_nakup_Vonka[[#This Row],[Jedn. hmotnost '[kg/MJHR']]])</f>
        <v>270.39999999999998</v>
      </c>
    </row>
    <row r="90" spans="1:11" x14ac:dyDescent="0.35">
      <c r="A90" s="709" t="str">
        <f ca="1">IF('Rozpad zakázky'!E106=0,"",IF('Rozpad zakázky'!E106="-","",'Rozpad zakázky'!E106))</f>
        <v>OKS2</v>
      </c>
      <c r="B90" s="708" t="str">
        <f ca="1">IF(A90="","",IF(A90="","",VLOOKUP(A:A,Pomocna_Nakup[],3,0))&amp;" | "&amp;IF(A90="","",VLOOKUP(A:A,Pomocna_Nakup[],4,0)))</f>
        <v>OK | Ocelové kosntrukce</v>
      </c>
      <c r="C90" s="710" t="str">
        <f ca="1">IF(Tabulka_nakup_Vonka[[#This Row],[Zkratka kalkulační položky]]="","",Tabulka_nakup_Vonka[[#This Row],[Zkratka kalkulační položky]]&amp;" | "&amp;IF(A90="","",VLOOKUP(A:A,Pomocna_Nakup[],2,0)))</f>
        <v>OKS2 | Svařenec třída 2</v>
      </c>
      <c r="D90" s="710" t="str">
        <f ca="1">IF(A90="","",'Rozpad zakázky'!F106)</f>
        <v>N/A</v>
      </c>
      <c r="E90" s="710" t="str">
        <f ca="1">IF(A90="","",'Rozpad zakázky'!D106&amp;IF('Rozpad zakázky'!G106="",""," ("&amp;'Rozpad zakázky'!G106&amp;")"))</f>
        <v xml:space="preserve">    Opěra boční</v>
      </c>
      <c r="F90" s="709">
        <f ca="1">IF(A90="","",'Rozpad zakázky'!IW106)</f>
        <v>1</v>
      </c>
      <c r="G90" s="711">
        <f ca="1">IF(A90="","",'Rozpad zakázky'!AE106)</f>
        <v>9583.2000000000007</v>
      </c>
      <c r="H90" s="717">
        <f ca="1">IF(A90="","",'Rozpad zakázky'!AJ106)</f>
        <v>354.93333333333334</v>
      </c>
      <c r="I90" s="748">
        <f ca="1">IF(A90="","",'Rozpad zakázky'!Q106)</f>
        <v>2</v>
      </c>
      <c r="J90" s="717">
        <f ca="1">IF(A90="","",ROUNDDOWN('Rozpad zakázky'!L106,1))</f>
        <v>43.5</v>
      </c>
      <c r="K90" s="745">
        <f ca="1">IF(A90="","",Tabulka_nakup_Vonka[[#This Row],[Počet MJHR v rozpadu]]*Tabulka_nakup_Vonka[[#This Row],[Jedn. hmotnost '[kg/MJHR']]])</f>
        <v>87</v>
      </c>
    </row>
    <row r="91" spans="1:11" x14ac:dyDescent="0.35">
      <c r="A91" s="709" t="str">
        <f ca="1">IF('Rozpad zakázky'!E107=0,"",IF('Rozpad zakázky'!E107="-","",'Rozpad zakázky'!E107))</f>
        <v>STO2</v>
      </c>
      <c r="B91" s="708" t="str">
        <f ca="1">IF(A91="","",IF(A91="","",VLOOKUP(A:A,Pomocna_Nakup[],3,0))&amp;" | "&amp;IF(A91="","",VLOOKUP(A:A,Pomocna_Nakup[],4,0)))</f>
        <v>ST | Strojní</v>
      </c>
      <c r="C91" s="710" t="str">
        <f ca="1">IF(Tabulka_nakup_Vonka[[#This Row],[Zkratka kalkulační položky]]="","",Tabulka_nakup_Vonka[[#This Row],[Zkratka kalkulační položky]]&amp;" | "&amp;IF(A91="","",VLOOKUP(A:A,Pomocna_Nakup[],2,0)))</f>
        <v>STO2 | Obrobky třída 2</v>
      </c>
      <c r="D91" s="710" t="str">
        <f ca="1">IF(A91="","",'Rozpad zakázky'!F107)</f>
        <v>N/A</v>
      </c>
      <c r="E91" s="710" t="str">
        <f ca="1">IF(A91="","",'Rozpad zakázky'!D107&amp;IF('Rozpad zakázky'!G107="",""," ("&amp;'Rozpad zakázky'!G107&amp;")"))</f>
        <v xml:space="preserve">    Pružinový tlumič</v>
      </c>
      <c r="F91" s="709">
        <f ca="1">IF(A91="","",'Rozpad zakázky'!IW107)</f>
        <v>1</v>
      </c>
      <c r="G91" s="711">
        <f ca="1">IF(A91="","",'Rozpad zakázky'!AE107)</f>
        <v>39560</v>
      </c>
      <c r="H91" s="717">
        <f ca="1">IF(A91="","",'Rozpad zakázky'!AJ107)</f>
        <v>1465.1851851851852</v>
      </c>
      <c r="I91" s="748">
        <f ca="1">IF(A91="","",'Rozpad zakázky'!Q107)</f>
        <v>4</v>
      </c>
      <c r="J91" s="717">
        <f ca="1">IF(A91="","",ROUNDDOWN('Rozpad zakázky'!L107,1))</f>
        <v>86</v>
      </c>
      <c r="K91" s="745">
        <f ca="1">IF(A91="","",Tabulka_nakup_Vonka[[#This Row],[Počet MJHR v rozpadu]]*Tabulka_nakup_Vonka[[#This Row],[Jedn. hmotnost '[kg/MJHR']]])</f>
        <v>344</v>
      </c>
    </row>
    <row r="92" spans="1:11" x14ac:dyDescent="0.35">
      <c r="A92" s="709" t="str">
        <f ca="1">IF('Rozpad zakázky'!E108=0,"",IF('Rozpad zakázky'!E108="-","",'Rozpad zakázky'!E108))</f>
        <v>STBR</v>
      </c>
      <c r="B92" s="708" t="str">
        <f ca="1">IF(A92="","",IF(A92="","",VLOOKUP(A:A,Pomocna_Nakup[],3,0))&amp;" | "&amp;IF(A92="","",VLOOKUP(A:A,Pomocna_Nakup[],4,0)))</f>
        <v>ST | Strojní</v>
      </c>
      <c r="C92" s="710" t="str">
        <f ca="1">IF(Tabulka_nakup_Vonka[[#This Row],[Zkratka kalkulační položky]]="","",Tabulka_nakup_Vonka[[#This Row],[Zkratka kalkulační položky]]&amp;" | "&amp;IF(A92="","",VLOOKUP(A:A,Pomocna_Nakup[],2,0)))</f>
        <v>STBR | Brzdy</v>
      </c>
      <c r="D92" s="710" t="str">
        <f ca="1">IF(A92="","",'Rozpad zakázky'!F108)</f>
        <v>N/A</v>
      </c>
      <c r="E92" s="710" t="str">
        <f ca="1">IF(A92="","",'Rozpad zakázky'!D108&amp;IF('Rozpad zakázky'!G108="",""," ("&amp;'Rozpad zakázky'!G108&amp;")"))</f>
        <v xml:space="preserve">    Brzda posuvu mostu</v>
      </c>
      <c r="F92" s="709">
        <f ca="1">IF(A92="","",'Rozpad zakázky'!IW108)</f>
        <v>1</v>
      </c>
      <c r="G92" s="711">
        <f ca="1">IF(A92="","",'Rozpad zakázky'!AE108)</f>
        <v>110000</v>
      </c>
      <c r="H92" s="717">
        <f ca="1">IF(A92="","",'Rozpad zakázky'!AJ108)</f>
        <v>4074.0740740740739</v>
      </c>
      <c r="I92" s="748">
        <f ca="1">IF(A92="","",'Rozpad zakázky'!Q108)</f>
        <v>2</v>
      </c>
      <c r="J92" s="717">
        <f ca="1">IF(A92="","",ROUNDDOWN('Rozpad zakázky'!L108,1))</f>
        <v>157.1</v>
      </c>
      <c r="K92" s="745">
        <f ca="1">IF(A92="","",Tabulka_nakup_Vonka[[#This Row],[Počet MJHR v rozpadu]]*Tabulka_nakup_Vonka[[#This Row],[Jedn. hmotnost '[kg/MJHR']]])</f>
        <v>314.2</v>
      </c>
    </row>
    <row r="93" spans="1:11" x14ac:dyDescent="0.35">
      <c r="A93" s="709" t="str">
        <f ca="1">IF('Rozpad zakázky'!E109=0,"",IF('Rozpad zakázky'!E109="-","",'Rozpad zakázky'!E109))</f>
        <v>STBR</v>
      </c>
      <c r="B93" s="708" t="str">
        <f ca="1">IF(A93="","",IF(A93="","",VLOOKUP(A:A,Pomocna_Nakup[],3,0))&amp;" | "&amp;IF(A93="","",VLOOKUP(A:A,Pomocna_Nakup[],4,0)))</f>
        <v>ST | Strojní</v>
      </c>
      <c r="C93" s="710" t="str">
        <f ca="1">IF(Tabulka_nakup_Vonka[[#This Row],[Zkratka kalkulační položky]]="","",Tabulka_nakup_Vonka[[#This Row],[Zkratka kalkulační položky]]&amp;" | "&amp;IF(A93="","",VLOOKUP(A:A,Pomocna_Nakup[],2,0)))</f>
        <v>STBR | Brzdy</v>
      </c>
      <c r="D93" s="710" t="str">
        <f ca="1">IF(A93="","",'Rozpad zakázky'!F109)</f>
        <v>N/A</v>
      </c>
      <c r="E93" s="710" t="str">
        <f ca="1">IF(A93="","",'Rozpad zakázky'!D109&amp;IF('Rozpad zakázky'!G109="",""," ("&amp;'Rozpad zakázky'!G109&amp;")"))</f>
        <v xml:space="preserve">    Brzda posuvu mostu</v>
      </c>
      <c r="F93" s="709">
        <f ca="1">IF(A93="","",'Rozpad zakázky'!IW109)</f>
        <v>1</v>
      </c>
      <c r="G93" s="711">
        <f ca="1">IF(A93="","",'Rozpad zakázky'!AE109)</f>
        <v>110000</v>
      </c>
      <c r="H93" s="717">
        <f ca="1">IF(A93="","",'Rozpad zakázky'!AJ109)</f>
        <v>4074.0740740740739</v>
      </c>
      <c r="I93" s="748">
        <f ca="1">IF(A93="","",'Rozpad zakázky'!Q109)</f>
        <v>2</v>
      </c>
      <c r="J93" s="717">
        <f ca="1">IF(A93="","",ROUNDDOWN('Rozpad zakázky'!L109,1))</f>
        <v>157.1</v>
      </c>
      <c r="K93" s="745">
        <f ca="1">IF(A93="","",Tabulka_nakup_Vonka[[#This Row],[Počet MJHR v rozpadu]]*Tabulka_nakup_Vonka[[#This Row],[Jedn. hmotnost '[kg/MJHR']]])</f>
        <v>314.2</v>
      </c>
    </row>
    <row r="94" spans="1:11" x14ac:dyDescent="0.35">
      <c r="A94" s="709" t="str">
        <f ca="1">IF('Rozpad zakázky'!E110=0,"",IF('Rozpad zakázky'!E110="-","",'Rozpad zakázky'!E110))</f>
        <v>STO2</v>
      </c>
      <c r="B94" s="708" t="str">
        <f ca="1">IF(A94="","",IF(A94="","",VLOOKUP(A:A,Pomocna_Nakup[],3,0))&amp;" | "&amp;IF(A94="","",VLOOKUP(A:A,Pomocna_Nakup[],4,0)))</f>
        <v>ST | Strojní</v>
      </c>
      <c r="C94" s="710" t="str">
        <f ca="1">IF(Tabulka_nakup_Vonka[[#This Row],[Zkratka kalkulační položky]]="","",Tabulka_nakup_Vonka[[#This Row],[Zkratka kalkulační položky]]&amp;" | "&amp;IF(A94="","",VLOOKUP(A:A,Pomocna_Nakup[],2,0)))</f>
        <v>STO2 | Obrobky třída 2</v>
      </c>
      <c r="D94" s="710" t="str">
        <f ca="1">IF(A94="","",'Rozpad zakázky'!F110)</f>
        <v>N/A</v>
      </c>
      <c r="E94" s="710" t="str">
        <f ca="1">IF(A94="","",'Rozpad zakázky'!D110&amp;IF('Rozpad zakázky'!G110="",""," ("&amp;'Rozpad zakázky'!G110&amp;")"))</f>
        <v xml:space="preserve">    Čep 70</v>
      </c>
      <c r="F94" s="709">
        <f ca="1">IF(A94="","",'Rozpad zakázky'!IW110)</f>
        <v>1</v>
      </c>
      <c r="G94" s="711">
        <f ca="1">IF(A94="","",'Rozpad zakázky'!AE110)</f>
        <v>2346</v>
      </c>
      <c r="H94" s="717">
        <f ca="1">IF(A94="","",'Rozpad zakázky'!AJ110)</f>
        <v>86.888888888888886</v>
      </c>
      <c r="I94" s="748">
        <f ca="1">IF(A94="","",'Rozpad zakázky'!Q110)</f>
        <v>4</v>
      </c>
      <c r="J94" s="717">
        <f ca="1">IF(A94="","",ROUNDDOWN('Rozpad zakázky'!L110,1))</f>
        <v>5.0999999999999996</v>
      </c>
      <c r="K94" s="745">
        <f ca="1">IF(A94="","",Tabulka_nakup_Vonka[[#This Row],[Počet MJHR v rozpadu]]*Tabulka_nakup_Vonka[[#This Row],[Jedn. hmotnost '[kg/MJHR']]])</f>
        <v>20.399999999999999</v>
      </c>
    </row>
    <row r="95" spans="1:11" x14ac:dyDescent="0.35">
      <c r="A95" s="709" t="str">
        <f ca="1">IF('Rozpad zakázky'!E111=0,"",IF('Rozpad zakázky'!E111="-","",'Rozpad zakázky'!E111))</f>
        <v>STO2</v>
      </c>
      <c r="B95" s="708" t="str">
        <f ca="1">IF(A95="","",IF(A95="","",VLOOKUP(A:A,Pomocna_Nakup[],3,0))&amp;" | "&amp;IF(A95="","",VLOOKUP(A:A,Pomocna_Nakup[],4,0)))</f>
        <v>ST | Strojní</v>
      </c>
      <c r="C95" s="710" t="str">
        <f ca="1">IF(Tabulka_nakup_Vonka[[#This Row],[Zkratka kalkulační položky]]="","",Tabulka_nakup_Vonka[[#This Row],[Zkratka kalkulační položky]]&amp;" | "&amp;IF(A95="","",VLOOKUP(A:A,Pomocna_Nakup[],2,0)))</f>
        <v>STO2 | Obrobky třída 2</v>
      </c>
      <c r="D95" s="710" t="str">
        <f ca="1">IF(A95="","",'Rozpad zakázky'!F111)</f>
        <v>N/A</v>
      </c>
      <c r="E95" s="710" t="str">
        <f ca="1">IF(A95="","",'Rozpad zakázky'!D111&amp;IF('Rozpad zakázky'!G111="",""," ("&amp;'Rozpad zakázky'!G111&amp;")"))</f>
        <v xml:space="preserve">    Čep 100</v>
      </c>
      <c r="F95" s="709">
        <f ca="1">IF(A95="","",'Rozpad zakázky'!IW111)</f>
        <v>1</v>
      </c>
      <c r="G95" s="711">
        <f ca="1">IF(A95="","",'Rozpad zakázky'!AE111)</f>
        <v>8280</v>
      </c>
      <c r="H95" s="717">
        <f ca="1">IF(A95="","",'Rozpad zakázky'!AJ111)</f>
        <v>306.66666666666669</v>
      </c>
      <c r="I95" s="748">
        <f ca="1">IF(A95="","",'Rozpad zakázky'!Q111)</f>
        <v>4</v>
      </c>
      <c r="J95" s="717">
        <f ca="1">IF(A95="","",ROUNDDOWN('Rozpad zakázky'!L111,1))</f>
        <v>18</v>
      </c>
      <c r="K95" s="745">
        <f ca="1">IF(A95="","",Tabulka_nakup_Vonka[[#This Row],[Počet MJHR v rozpadu]]*Tabulka_nakup_Vonka[[#This Row],[Jedn. hmotnost '[kg/MJHR']]])</f>
        <v>72</v>
      </c>
    </row>
    <row r="96" spans="1:11" x14ac:dyDescent="0.35">
      <c r="A96" s="709" t="str">
        <f ca="1">IF('Rozpad zakázky'!E112=0,"",IF('Rozpad zakázky'!E112="-","",'Rozpad zakázky'!E112))</f>
        <v>STSM</v>
      </c>
      <c r="B96" s="708" t="str">
        <f ca="1">IF(A96="","",IF(A96="","",VLOOKUP(A:A,Pomocna_Nakup[],3,0))&amp;" | "&amp;IF(A96="","",VLOOKUP(A:A,Pomocna_Nakup[],4,0)))</f>
        <v>ST | Strojní</v>
      </c>
      <c r="C96" s="710" t="str">
        <f ca="1">IF(Tabulka_nakup_Vonka[[#This Row],[Zkratka kalkulační položky]]="","",Tabulka_nakup_Vonka[[#This Row],[Zkratka kalkulační položky]]&amp;" | "&amp;IF(A96="","",VLOOKUP(A:A,Pomocna_Nakup[],2,0)))</f>
        <v>STSM | Spojovací materiál</v>
      </c>
      <c r="D96" s="710" t="str">
        <f ca="1">IF(A96="","",'Rozpad zakázky'!F112)</f>
        <v>N/A</v>
      </c>
      <c r="E96" s="710" t="str">
        <f ca="1">IF(A96="","",'Rozpad zakázky'!D112&amp;IF('Rozpad zakázky'!G112="",""," ("&amp;'Rozpad zakázky'!G112&amp;")"))</f>
        <v xml:space="preserve">    Spojovací materiál</v>
      </c>
      <c r="F96" s="709">
        <f ca="1">IF(A96="","",'Rozpad zakázky'!IW112)</f>
        <v>1</v>
      </c>
      <c r="G96" s="711">
        <f ca="1">IF(A96="","",'Rozpad zakázky'!AE112)</f>
        <v>1228.7</v>
      </c>
      <c r="H96" s="717">
        <f ca="1">IF(A96="","",'Rozpad zakázky'!AJ112)</f>
        <v>45.507407407407406</v>
      </c>
      <c r="I96" s="748">
        <f ca="1">IF(A96="","",'Rozpad zakázky'!Q112)</f>
        <v>1</v>
      </c>
      <c r="J96" s="717">
        <f ca="1">IF(A96="","",ROUNDDOWN('Rozpad zakázky'!L112,1))</f>
        <v>11.1</v>
      </c>
      <c r="K96" s="745">
        <f ca="1">IF(A96="","",Tabulka_nakup_Vonka[[#This Row],[Počet MJHR v rozpadu]]*Tabulka_nakup_Vonka[[#This Row],[Jedn. hmotnost '[kg/MJHR']]])</f>
        <v>11.1</v>
      </c>
    </row>
    <row r="97" spans="1:11" x14ac:dyDescent="0.35">
      <c r="A97" s="709" t="str">
        <f ca="1">IF('Rozpad zakázky'!E113=0,"",IF('Rozpad zakázky'!E113="-","",'Rozpad zakázky'!E113))</f>
        <v/>
      </c>
      <c r="B97" s="708" t="str">
        <f ca="1">IF(A97="","",IF(A97="","",VLOOKUP(A:A,Pomocna_Nakup[],3,0))&amp;" | "&amp;IF(A97="","",VLOOKUP(A:A,Pomocna_Nakup[],4,0)))</f>
        <v/>
      </c>
      <c r="C97" s="710" t="str">
        <f ca="1">IF(Tabulka_nakup_Vonka[[#This Row],[Zkratka kalkulační položky]]="","",Tabulka_nakup_Vonka[[#This Row],[Zkratka kalkulační položky]]&amp;" | "&amp;IF(A97="","",VLOOKUP(A:A,Pomocna_Nakup[],2,0)))</f>
        <v/>
      </c>
      <c r="D97" s="710" t="str">
        <f ca="1">IF(A97="","",'Rozpad zakázky'!F113)</f>
        <v/>
      </c>
      <c r="E97" s="710" t="str">
        <f ca="1">IF(A97="","",'Rozpad zakázky'!D113&amp;IF('Rozpad zakázky'!G113="",""," ("&amp;'Rozpad zakázky'!G113&amp;")"))</f>
        <v/>
      </c>
      <c r="F97" s="709" t="str">
        <f ca="1">IF(A97="","",'Rozpad zakázky'!IW113)</f>
        <v/>
      </c>
      <c r="G97" s="711" t="str">
        <f ca="1">IF(A97="","",'Rozpad zakázky'!AE113)</f>
        <v/>
      </c>
      <c r="H97" s="717" t="str">
        <f ca="1">IF(A97="","",'Rozpad zakázky'!AJ113)</f>
        <v/>
      </c>
      <c r="I97" s="748" t="str">
        <f ca="1">IF(A97="","",'Rozpad zakázky'!Q113)</f>
        <v/>
      </c>
      <c r="J97" s="717" t="str">
        <f ca="1">IF(A97="","",ROUNDDOWN('Rozpad zakázky'!L113,1))</f>
        <v/>
      </c>
      <c r="K97" s="745" t="str">
        <f ca="1">IF(A97="","",Tabulka_nakup_Vonka[[#This Row],[Počet MJHR v rozpadu]]*Tabulka_nakup_Vonka[[#This Row],[Jedn. hmotnost '[kg/MJHR']]])</f>
        <v/>
      </c>
    </row>
    <row r="98" spans="1:11" x14ac:dyDescent="0.35">
      <c r="A98" s="709" t="str">
        <f ca="1">IF('Rozpad zakázky'!E114=0,"",IF('Rozpad zakázky'!E114="-","",'Rozpad zakázky'!E114))</f>
        <v>OKS2</v>
      </c>
      <c r="B98" s="708" t="str">
        <f ca="1">IF(A98="","",IF(A98="","",VLOOKUP(A:A,Pomocna_Nakup[],3,0))&amp;" | "&amp;IF(A98="","",VLOOKUP(A:A,Pomocna_Nakup[],4,0)))</f>
        <v>OK | Ocelové kosntrukce</v>
      </c>
      <c r="C98" s="710" t="str">
        <f ca="1">IF(Tabulka_nakup_Vonka[[#This Row],[Zkratka kalkulační položky]]="","",Tabulka_nakup_Vonka[[#This Row],[Zkratka kalkulační položky]]&amp;" | "&amp;IF(A98="","",VLOOKUP(A:A,Pomocna_Nakup[],2,0)))</f>
        <v>OKS2 | Svařenec třída 2</v>
      </c>
      <c r="D98" s="710" t="str">
        <f ca="1">IF(A98="","",'Rozpad zakázky'!F114)</f>
        <v>N/A</v>
      </c>
      <c r="E98" s="710" t="str">
        <f ca="1">IF(A98="","",'Rozpad zakázky'!D114&amp;IF('Rozpad zakázky'!G114="",""," ("&amp;'Rozpad zakázky'!G114&amp;")"))</f>
        <v xml:space="preserve">    Konzola</v>
      </c>
      <c r="F98" s="709">
        <f ca="1">IF(A98="","",'Rozpad zakázky'!IW114)</f>
        <v>1</v>
      </c>
      <c r="G98" s="711">
        <f ca="1">IF(A98="","",'Rozpad zakázky'!AE114)</f>
        <v>2983.2000000000003</v>
      </c>
      <c r="H98" s="717">
        <f ca="1">IF(A98="","",'Rozpad zakázky'!AJ114)</f>
        <v>110.48888888888889</v>
      </c>
      <c r="I98" s="748">
        <f ca="1">IF(A98="","",'Rozpad zakázky'!Q114)</f>
        <v>2</v>
      </c>
      <c r="J98" s="717">
        <f ca="1">IF(A98="","",ROUNDDOWN('Rozpad zakázky'!L114,1))</f>
        <v>13.5</v>
      </c>
      <c r="K98" s="745">
        <f ca="1">IF(A98="","",Tabulka_nakup_Vonka[[#This Row],[Počet MJHR v rozpadu]]*Tabulka_nakup_Vonka[[#This Row],[Jedn. hmotnost '[kg/MJHR']]])</f>
        <v>27</v>
      </c>
    </row>
    <row r="99" spans="1:11" x14ac:dyDescent="0.35">
      <c r="A99" s="709" t="str">
        <f ca="1">IF('Rozpad zakázky'!E115=0,"",IF('Rozpad zakázky'!E115="-","",'Rozpad zakázky'!E115))</f>
        <v>STO2</v>
      </c>
      <c r="B99" s="708" t="str">
        <f ca="1">IF(A99="","",IF(A99="","",VLOOKUP(A:A,Pomocna_Nakup[],3,0))&amp;" | "&amp;IF(A99="","",VLOOKUP(A:A,Pomocna_Nakup[],4,0)))</f>
        <v>ST | Strojní</v>
      </c>
      <c r="C99" s="710" t="str">
        <f ca="1">IF(Tabulka_nakup_Vonka[[#This Row],[Zkratka kalkulační položky]]="","",Tabulka_nakup_Vonka[[#This Row],[Zkratka kalkulační položky]]&amp;" | "&amp;IF(A99="","",VLOOKUP(A:A,Pomocna_Nakup[],2,0)))</f>
        <v>STO2 | Obrobky třída 2</v>
      </c>
      <c r="D99" s="710" t="str">
        <f ca="1">IF(A99="","",'Rozpad zakázky'!F115)</f>
        <v>N/A</v>
      </c>
      <c r="E99" s="710" t="str">
        <f ca="1">IF(A99="","",'Rozpad zakázky'!D115&amp;IF('Rozpad zakázky'!G115="",""," ("&amp;'Rozpad zakázky'!G115&amp;")"))</f>
        <v xml:space="preserve">    Kladka - průměr 160 mm</v>
      </c>
      <c r="F99" s="709">
        <f ca="1">IF(A99="","",'Rozpad zakázky'!IW115)</f>
        <v>1</v>
      </c>
      <c r="G99" s="711">
        <f ca="1">IF(A99="","",'Rozpad zakázky'!AE115)</f>
        <v>2362.1</v>
      </c>
      <c r="H99" s="717">
        <f ca="1">IF(A99="","",'Rozpad zakázky'!AJ115)</f>
        <v>87.485185185185188</v>
      </c>
      <c r="I99" s="748">
        <f ca="1">IF(A99="","",'Rozpad zakázky'!Q115)</f>
        <v>2</v>
      </c>
      <c r="J99" s="717">
        <f ca="1">IF(A99="","",ROUNDDOWN('Rozpad zakázky'!L115,1))</f>
        <v>10.199999999999999</v>
      </c>
      <c r="K99" s="745">
        <f ca="1">IF(A99="","",Tabulka_nakup_Vonka[[#This Row],[Počet MJHR v rozpadu]]*Tabulka_nakup_Vonka[[#This Row],[Jedn. hmotnost '[kg/MJHR']]])</f>
        <v>20.399999999999999</v>
      </c>
    </row>
    <row r="100" spans="1:11" x14ac:dyDescent="0.35">
      <c r="A100" s="709" t="str">
        <f ca="1">IF('Rozpad zakázky'!E116=0,"",IF('Rozpad zakázky'!E116="-","",'Rozpad zakázky'!E116))</f>
        <v>STO2</v>
      </c>
      <c r="B100" s="708" t="str">
        <f ca="1">IF(A100="","",IF(A100="","",VLOOKUP(A:A,Pomocna_Nakup[],3,0))&amp;" | "&amp;IF(A100="","",VLOOKUP(A:A,Pomocna_Nakup[],4,0)))</f>
        <v>ST | Strojní</v>
      </c>
      <c r="C100" s="710" t="str">
        <f ca="1">IF(Tabulka_nakup_Vonka[[#This Row],[Zkratka kalkulační položky]]="","",Tabulka_nakup_Vonka[[#This Row],[Zkratka kalkulační položky]]&amp;" | "&amp;IF(A100="","",VLOOKUP(A:A,Pomocna_Nakup[],2,0)))</f>
        <v>STO2 | Obrobky třída 2</v>
      </c>
      <c r="D100" s="710" t="str">
        <f ca="1">IF(A100="","",'Rozpad zakázky'!F116)</f>
        <v>N/A</v>
      </c>
      <c r="E100" s="710" t="str">
        <f ca="1">IF(A100="","",'Rozpad zakázky'!D116&amp;IF('Rozpad zakázky'!G116="",""," ("&amp;'Rozpad zakázky'!G116&amp;")"))</f>
        <v xml:space="preserve">    Čep - průměr 63 x 135 mm</v>
      </c>
      <c r="F100" s="709">
        <f ca="1">IF(A100="","",'Rozpad zakázky'!IW116)</f>
        <v>1</v>
      </c>
      <c r="G100" s="711">
        <f ca="1">IF(A100="","",'Rozpad zakázky'!AE116)</f>
        <v>690</v>
      </c>
      <c r="H100" s="717">
        <f ca="1">IF(A100="","",'Rozpad zakázky'!AJ116)</f>
        <v>25.555555555555557</v>
      </c>
      <c r="I100" s="748">
        <f ca="1">IF(A100="","",'Rozpad zakázky'!Q116)</f>
        <v>2</v>
      </c>
      <c r="J100" s="717">
        <f ca="1">IF(A100="","",ROUNDDOWN('Rozpad zakázky'!L116,1))</f>
        <v>3</v>
      </c>
      <c r="K100" s="745">
        <f ca="1">IF(A100="","",Tabulka_nakup_Vonka[[#This Row],[Počet MJHR v rozpadu]]*Tabulka_nakup_Vonka[[#This Row],[Jedn. hmotnost '[kg/MJHR']]])</f>
        <v>6</v>
      </c>
    </row>
    <row r="101" spans="1:11" x14ac:dyDescent="0.35">
      <c r="A101" s="709" t="str">
        <f ca="1">IF('Rozpad zakázky'!E117=0,"",IF('Rozpad zakázky'!E117="-","",'Rozpad zakázky'!E117))</f>
        <v>STSM</v>
      </c>
      <c r="B101" s="708" t="str">
        <f ca="1">IF(A101="","",IF(A101="","",VLOOKUP(A:A,Pomocna_Nakup[],3,0))&amp;" | "&amp;IF(A101="","",VLOOKUP(A:A,Pomocna_Nakup[],4,0)))</f>
        <v>ST | Strojní</v>
      </c>
      <c r="C101" s="710" t="str">
        <f ca="1">IF(Tabulka_nakup_Vonka[[#This Row],[Zkratka kalkulační položky]]="","",Tabulka_nakup_Vonka[[#This Row],[Zkratka kalkulační položky]]&amp;" | "&amp;IF(A101="","",VLOOKUP(A:A,Pomocna_Nakup[],2,0)))</f>
        <v>STSM | Spojovací materiál</v>
      </c>
      <c r="D101" s="710" t="str">
        <f ca="1">IF(A101="","",'Rozpad zakázky'!F117)</f>
        <v>N/A</v>
      </c>
      <c r="E101" s="710" t="str">
        <f ca="1">IF(A101="","",'Rozpad zakázky'!D117&amp;IF('Rozpad zakázky'!G117="",""," ("&amp;'Rozpad zakázky'!G117&amp;")"))</f>
        <v xml:space="preserve">    Spojovací materiál</v>
      </c>
      <c r="F101" s="709">
        <f ca="1">IF(A101="","",'Rozpad zakázky'!IW117)</f>
        <v>1</v>
      </c>
      <c r="G101" s="711">
        <f ca="1">IF(A101="","",'Rozpad zakázky'!AE117)</f>
        <v>606.31999999999994</v>
      </c>
      <c r="H101" s="717">
        <f ca="1">IF(A101="","",'Rozpad zakázky'!AJ117)</f>
        <v>22.456296296296294</v>
      </c>
      <c r="I101" s="748">
        <f ca="1">IF(A101="","",'Rozpad zakázky'!Q117)</f>
        <v>2</v>
      </c>
      <c r="J101" s="717">
        <f ca="1">IF(A101="","",ROUNDDOWN('Rozpad zakázky'!L117,1))</f>
        <v>2.7</v>
      </c>
      <c r="K101" s="745">
        <f ca="1">IF(A101="","",Tabulka_nakup_Vonka[[#This Row],[Počet MJHR v rozpadu]]*Tabulka_nakup_Vonka[[#This Row],[Jedn. hmotnost '[kg/MJHR']]])</f>
        <v>5.4</v>
      </c>
    </row>
    <row r="102" spans="1:11" x14ac:dyDescent="0.35">
      <c r="A102" s="709" t="str">
        <f ca="1">IF('Rozpad zakázky'!E118=0,"",IF('Rozpad zakázky'!E118="-","",'Rozpad zakázky'!E118))</f>
        <v/>
      </c>
      <c r="B102" s="708" t="str">
        <f ca="1">IF(A102="","",IF(A102="","",VLOOKUP(A:A,Pomocna_Nakup[],3,0))&amp;" | "&amp;IF(A102="","",VLOOKUP(A:A,Pomocna_Nakup[],4,0)))</f>
        <v/>
      </c>
      <c r="C102" s="710" t="str">
        <f ca="1">IF(Tabulka_nakup_Vonka[[#This Row],[Zkratka kalkulační položky]]="","",Tabulka_nakup_Vonka[[#This Row],[Zkratka kalkulační položky]]&amp;" | "&amp;IF(A102="","",VLOOKUP(A:A,Pomocna_Nakup[],2,0)))</f>
        <v/>
      </c>
      <c r="D102" s="710" t="str">
        <f ca="1">IF(A102="","",'Rozpad zakázky'!F118)</f>
        <v/>
      </c>
      <c r="E102" s="710" t="str">
        <f ca="1">IF(A102="","",'Rozpad zakázky'!D118&amp;IF('Rozpad zakázky'!G118="",""," ("&amp;'Rozpad zakázky'!G118&amp;")"))</f>
        <v/>
      </c>
      <c r="F102" s="709" t="str">
        <f ca="1">IF(A102="","",'Rozpad zakázky'!IW118)</f>
        <v/>
      </c>
      <c r="G102" s="711" t="str">
        <f ca="1">IF(A102="","",'Rozpad zakázky'!AE118)</f>
        <v/>
      </c>
      <c r="H102" s="717" t="str">
        <f ca="1">IF(A102="","",'Rozpad zakázky'!AJ118)</f>
        <v/>
      </c>
      <c r="I102" s="748" t="str">
        <f ca="1">IF(A102="","",'Rozpad zakázky'!Q118)</f>
        <v/>
      </c>
      <c r="J102" s="717" t="str">
        <f ca="1">IF(A102="","",ROUNDDOWN('Rozpad zakázky'!L118,1))</f>
        <v/>
      </c>
      <c r="K102" s="745" t="str">
        <f ca="1">IF(A102="","",Tabulka_nakup_Vonka[[#This Row],[Počet MJHR v rozpadu]]*Tabulka_nakup_Vonka[[#This Row],[Jedn. hmotnost '[kg/MJHR']]])</f>
        <v/>
      </c>
    </row>
    <row r="103" spans="1:11" x14ac:dyDescent="0.35">
      <c r="A103" s="709" t="str">
        <f ca="1">IF('Rozpad zakázky'!E119=0,"",IF('Rozpad zakázky'!E119="-","",'Rozpad zakázky'!E119))</f>
        <v>OKS2</v>
      </c>
      <c r="B103" s="708" t="str">
        <f ca="1">IF(A103="","",IF(A103="","",VLOOKUP(A:A,Pomocna_Nakup[],3,0))&amp;" | "&amp;IF(A103="","",VLOOKUP(A:A,Pomocna_Nakup[],4,0)))</f>
        <v>OK | Ocelové kosntrukce</v>
      </c>
      <c r="C103" s="710" t="str">
        <f ca="1">IF(Tabulka_nakup_Vonka[[#This Row],[Zkratka kalkulační položky]]="","",Tabulka_nakup_Vonka[[#This Row],[Zkratka kalkulační položky]]&amp;" | "&amp;IF(A103="","",VLOOKUP(A:A,Pomocna_Nakup[],2,0)))</f>
        <v>OKS2 | Svařenec třída 2</v>
      </c>
      <c r="D103" s="710" t="str">
        <f ca="1">IF(A103="","",'Rozpad zakázky'!F119)</f>
        <v>N/A</v>
      </c>
      <c r="E103" s="710" t="str">
        <f ca="1">IF(A103="","",'Rozpad zakázky'!D119&amp;IF('Rozpad zakázky'!G119="",""," ("&amp;'Rozpad zakázky'!G119&amp;")"))</f>
        <v xml:space="preserve">    Trubkový oblouk (Zkroužená trubka)</v>
      </c>
      <c r="F103" s="709">
        <f ca="1">IF(A103="","",'Rozpad zakázky'!IW119)</f>
        <v>1</v>
      </c>
      <c r="G103" s="711">
        <f ca="1">IF(A103="","",'Rozpad zakázky'!AE119)</f>
        <v>12144</v>
      </c>
      <c r="H103" s="717">
        <f ca="1">IF(A103="","",'Rozpad zakázky'!AJ119)</f>
        <v>449.77777777777777</v>
      </c>
      <c r="I103" s="748">
        <f ca="1">IF(A103="","",'Rozpad zakázky'!Q119)</f>
        <v>8</v>
      </c>
      <c r="J103" s="717">
        <f ca="1">IF(A103="","",ROUNDDOWN('Rozpad zakázky'!L119,1))</f>
        <v>13.8</v>
      </c>
      <c r="K103" s="745">
        <f ca="1">IF(A103="","",Tabulka_nakup_Vonka[[#This Row],[Počet MJHR v rozpadu]]*Tabulka_nakup_Vonka[[#This Row],[Jedn. hmotnost '[kg/MJHR']]])</f>
        <v>110.4</v>
      </c>
    </row>
    <row r="104" spans="1:11" x14ac:dyDescent="0.35">
      <c r="A104" s="709" t="str">
        <f ca="1">IF('Rozpad zakázky'!E120=0,"",IF('Rozpad zakázky'!E120="-","",'Rozpad zakázky'!E120))</f>
        <v>OKS3</v>
      </c>
      <c r="B104" s="708" t="str">
        <f ca="1">IF(A104="","",IF(A104="","",VLOOKUP(A:A,Pomocna_Nakup[],3,0))&amp;" | "&amp;IF(A104="","",VLOOKUP(A:A,Pomocna_Nakup[],4,0)))</f>
        <v>OK | Ocelové kosntrukce</v>
      </c>
      <c r="C104" s="710" t="str">
        <f ca="1">IF(Tabulka_nakup_Vonka[[#This Row],[Zkratka kalkulační položky]]="","",Tabulka_nakup_Vonka[[#This Row],[Zkratka kalkulační položky]]&amp;" | "&amp;IF(A104="","",VLOOKUP(A:A,Pomocna_Nakup[],2,0)))</f>
        <v>OKS3 | Svařenec třída 3</v>
      </c>
      <c r="D104" s="710" t="str">
        <f ca="1">IF(A104="","",'Rozpad zakázky'!F120)</f>
        <v>N/A</v>
      </c>
      <c r="E104" s="710" t="str">
        <f ca="1">IF(A104="","",'Rozpad zakázky'!D120&amp;IF('Rozpad zakázky'!G120="",""," ("&amp;'Rozpad zakázky'!G120&amp;")"))</f>
        <v xml:space="preserve">    Příčka (Ohnutý plech)</v>
      </c>
      <c r="F104" s="709">
        <f ca="1">IF(A104="","",'Rozpad zakázky'!IW120)</f>
        <v>1</v>
      </c>
      <c r="G104" s="711">
        <f ca="1">IF(A104="","",'Rozpad zakázky'!AE120)</f>
        <v>169.28</v>
      </c>
      <c r="H104" s="717">
        <f ca="1">IF(A104="","",'Rozpad zakázky'!AJ120)</f>
        <v>6.2696296296296294</v>
      </c>
      <c r="I104" s="748">
        <f ca="1">IF(A104="","",'Rozpad zakázky'!Q120)</f>
        <v>92</v>
      </c>
      <c r="J104" s="717">
        <f ca="1">IF(A104="","",ROUNDDOWN('Rozpad zakázky'!L120,1))</f>
        <v>0</v>
      </c>
      <c r="K104" s="745">
        <f ca="1">IF(A104="","",Tabulka_nakup_Vonka[[#This Row],[Počet MJHR v rozpadu]]*Tabulka_nakup_Vonka[[#This Row],[Jedn. hmotnost '[kg/MJHR']]])</f>
        <v>0</v>
      </c>
    </row>
    <row r="105" spans="1:11" x14ac:dyDescent="0.35">
      <c r="A105" s="709" t="str">
        <f ca="1">IF('Rozpad zakázky'!E121=0,"",IF('Rozpad zakázky'!E121="-","",'Rozpad zakázky'!E121))</f>
        <v>OKHM</v>
      </c>
      <c r="B105" s="708" t="str">
        <f ca="1">IF(A105="","",IF(A105="","",VLOOKUP(A:A,Pomocna_Nakup[],3,0))&amp;" | "&amp;IF(A105="","",VLOOKUP(A:A,Pomocna_Nakup[],4,0)))</f>
        <v>OK | Ocelové kosntrukce</v>
      </c>
      <c r="C105" s="710" t="str">
        <f ca="1">IF(Tabulka_nakup_Vonka[[#This Row],[Zkratka kalkulační položky]]="","",Tabulka_nakup_Vonka[[#This Row],[Zkratka kalkulační položky]]&amp;" | "&amp;IF(A105="","",VLOOKUP(A:A,Pomocna_Nakup[],2,0)))</f>
        <v>OKHM | Hutní materiál</v>
      </c>
      <c r="D105" s="710" t="str">
        <f ca="1">IF(A105="","",'Rozpad zakázky'!F121)</f>
        <v>N/A</v>
      </c>
      <c r="E105" s="710" t="str">
        <f ca="1">IF(A105="","",'Rozpad zakázky'!D121&amp;IF('Rozpad zakázky'!G121="",""," ("&amp;'Rozpad zakázky'!G121&amp;")"))</f>
        <v xml:space="preserve">    Ocelové profily</v>
      </c>
      <c r="F105" s="709">
        <f ca="1">IF(A105="","",'Rozpad zakázky'!IW121)</f>
        <v>1</v>
      </c>
      <c r="G105" s="711">
        <f ca="1">IF(A105="","",'Rozpad zakázky'!AE121)</f>
        <v>600</v>
      </c>
      <c r="H105" s="717">
        <f ca="1">IF(A105="","",'Rozpad zakázky'!AJ121)</f>
        <v>22.222222222222221</v>
      </c>
      <c r="I105" s="748">
        <f ca="1">IF(A105="","",'Rozpad zakázky'!Q121)</f>
        <v>2</v>
      </c>
      <c r="J105" s="717">
        <f ca="1">IF(A105="","",ROUNDDOWN('Rozpad zakázky'!L121,1))</f>
        <v>7.5</v>
      </c>
      <c r="K105" s="745">
        <f ca="1">IF(A105="","",Tabulka_nakup_Vonka[[#This Row],[Počet MJHR v rozpadu]]*Tabulka_nakup_Vonka[[#This Row],[Jedn. hmotnost '[kg/MJHR']]])</f>
        <v>15</v>
      </c>
    </row>
    <row r="106" spans="1:11" x14ac:dyDescent="0.35">
      <c r="A106" s="709" t="str">
        <f ca="1">IF('Rozpad zakázky'!E122=0,"",IF('Rozpad zakázky'!E122="-","",'Rozpad zakázky'!E122))</f>
        <v>STSM</v>
      </c>
      <c r="B106" s="708" t="str">
        <f ca="1">IF(A106="","",IF(A106="","",VLOOKUP(A:A,Pomocna_Nakup[],3,0))&amp;" | "&amp;IF(A106="","",VLOOKUP(A:A,Pomocna_Nakup[],4,0)))</f>
        <v>ST | Strojní</v>
      </c>
      <c r="C106" s="710" t="str">
        <f ca="1">IF(Tabulka_nakup_Vonka[[#This Row],[Zkratka kalkulační položky]]="","",Tabulka_nakup_Vonka[[#This Row],[Zkratka kalkulační položky]]&amp;" | "&amp;IF(A106="","",VLOOKUP(A:A,Pomocna_Nakup[],2,0)))</f>
        <v>STSM | Spojovací materiál</v>
      </c>
      <c r="D106" s="710" t="str">
        <f ca="1">IF(A106="","",'Rozpad zakázky'!F122)</f>
        <v>N/A</v>
      </c>
      <c r="E106" s="710" t="str">
        <f ca="1">IF(A106="","",'Rozpad zakázky'!D122&amp;IF('Rozpad zakázky'!G122="",""," ("&amp;'Rozpad zakázky'!G122&amp;")"))</f>
        <v xml:space="preserve">    Spojovací materiál</v>
      </c>
      <c r="F106" s="709">
        <f ca="1">IF(A106="","",'Rozpad zakázky'!IW122)</f>
        <v>1</v>
      </c>
      <c r="G106" s="711">
        <f ca="1">IF(A106="","",'Rozpad zakázky'!AE122)</f>
        <v>169.84</v>
      </c>
      <c r="H106" s="717">
        <f ca="1">IF(A106="","",'Rozpad zakázky'!AJ122)</f>
        <v>6.2903703703703702</v>
      </c>
      <c r="I106" s="748">
        <f ca="1">IF(A106="","",'Rozpad zakázky'!Q122)</f>
        <v>2</v>
      </c>
      <c r="J106" s="717">
        <f ca="1">IF(A106="","",ROUNDDOWN('Rozpad zakázky'!L122,1))</f>
        <v>0.7</v>
      </c>
      <c r="K106" s="745">
        <f ca="1">IF(A106="","",Tabulka_nakup_Vonka[[#This Row],[Počet MJHR v rozpadu]]*Tabulka_nakup_Vonka[[#This Row],[Jedn. hmotnost '[kg/MJHR']]])</f>
        <v>1.4</v>
      </c>
    </row>
    <row r="107" spans="1:11" x14ac:dyDescent="0.35">
      <c r="A107" s="709" t="str">
        <f ca="1">IF('Rozpad zakázky'!E123=0,"",IF('Rozpad zakázky'!E123="-","",'Rozpad zakázky'!E123))</f>
        <v/>
      </c>
      <c r="B107" s="708" t="str">
        <f ca="1">IF(A107="","",IF(A107="","",VLOOKUP(A:A,Pomocna_Nakup[],3,0))&amp;" | "&amp;IF(A107="","",VLOOKUP(A:A,Pomocna_Nakup[],4,0)))</f>
        <v/>
      </c>
      <c r="C107" s="710" t="str">
        <f ca="1">IF(Tabulka_nakup_Vonka[[#This Row],[Zkratka kalkulační položky]]="","",Tabulka_nakup_Vonka[[#This Row],[Zkratka kalkulační položky]]&amp;" | "&amp;IF(A107="","",VLOOKUP(A:A,Pomocna_Nakup[],2,0)))</f>
        <v/>
      </c>
      <c r="D107" s="710" t="str">
        <f ca="1">IF(A107="","",'Rozpad zakázky'!F123)</f>
        <v/>
      </c>
      <c r="E107" s="710" t="str">
        <f ca="1">IF(A107="","",'Rozpad zakázky'!D123&amp;IF('Rozpad zakázky'!G123="",""," ("&amp;'Rozpad zakázky'!G123&amp;")"))</f>
        <v/>
      </c>
      <c r="F107" s="709" t="str">
        <f ca="1">IF(A107="","",'Rozpad zakázky'!IW123)</f>
        <v/>
      </c>
      <c r="G107" s="711" t="str">
        <f ca="1">IF(A107="","",'Rozpad zakázky'!AE123)</f>
        <v/>
      </c>
      <c r="H107" s="717" t="str">
        <f ca="1">IF(A107="","",'Rozpad zakázky'!AJ123)</f>
        <v/>
      </c>
      <c r="I107" s="748" t="str">
        <f ca="1">IF(A107="","",'Rozpad zakázky'!Q123)</f>
        <v/>
      </c>
      <c r="J107" s="717" t="str">
        <f ca="1">IF(A107="","",ROUNDDOWN('Rozpad zakázky'!L123,1))</f>
        <v/>
      </c>
      <c r="K107" s="745" t="str">
        <f ca="1">IF(A107="","",Tabulka_nakup_Vonka[[#This Row],[Počet MJHR v rozpadu]]*Tabulka_nakup_Vonka[[#This Row],[Jedn. hmotnost '[kg/MJHR']]])</f>
        <v/>
      </c>
    </row>
    <row r="108" spans="1:11" x14ac:dyDescent="0.35">
      <c r="A108" s="709" t="str">
        <f ca="1">IF('Rozpad zakázky'!E124=0,"",IF('Rozpad zakázky'!E124="-","",'Rozpad zakázky'!E124))</f>
        <v>STO2</v>
      </c>
      <c r="B108" s="708" t="str">
        <f ca="1">IF(A108="","",IF(A108="","",VLOOKUP(A:A,Pomocna_Nakup[],3,0))&amp;" | "&amp;IF(A108="","",VLOOKUP(A:A,Pomocna_Nakup[],4,0)))</f>
        <v>ST | Strojní</v>
      </c>
      <c r="C108" s="710" t="str">
        <f ca="1">IF(Tabulka_nakup_Vonka[[#This Row],[Zkratka kalkulační položky]]="","",Tabulka_nakup_Vonka[[#This Row],[Zkratka kalkulační položky]]&amp;" | "&amp;IF(A108="","",VLOOKUP(A:A,Pomocna_Nakup[],2,0)))</f>
        <v>STO2 | Obrobky třída 2</v>
      </c>
      <c r="D108" s="710" t="str">
        <f ca="1">IF(A108="","",'Rozpad zakázky'!F124)</f>
        <v>N/A</v>
      </c>
      <c r="E108" s="710" t="str">
        <f ca="1">IF(A108="","",'Rozpad zakázky'!D124&amp;IF('Rozpad zakázky'!G124="",""," ("&amp;'Rozpad zakázky'!G124&amp;")"))</f>
        <v xml:space="preserve">    Nárazník</v>
      </c>
      <c r="F108" s="709">
        <f ca="1">IF(A108="","",'Rozpad zakázky'!IW124)</f>
        <v>1</v>
      </c>
      <c r="G108" s="711">
        <f ca="1">IF(A108="","",'Rozpad zakázky'!AE124)</f>
        <v>7475</v>
      </c>
      <c r="H108" s="717">
        <f ca="1">IF(A108="","",'Rozpad zakázky'!AJ124)</f>
        <v>276.85185185185185</v>
      </c>
      <c r="I108" s="748">
        <f ca="1">IF(A108="","",'Rozpad zakázky'!Q124)</f>
        <v>2</v>
      </c>
      <c r="J108" s="717">
        <f ca="1">IF(A108="","",ROUNDDOWN('Rozpad zakázky'!L124,1))</f>
        <v>32.5</v>
      </c>
      <c r="K108" s="745">
        <f ca="1">IF(A108="","",Tabulka_nakup_Vonka[[#This Row],[Počet MJHR v rozpadu]]*Tabulka_nakup_Vonka[[#This Row],[Jedn. hmotnost '[kg/MJHR']]])</f>
        <v>65</v>
      </c>
    </row>
    <row r="109" spans="1:11" x14ac:dyDescent="0.35">
      <c r="A109" s="709" t="str">
        <f ca="1">IF('Rozpad zakázky'!E125=0,"",IF('Rozpad zakázky'!E125="-","",'Rozpad zakázky'!E125))</f>
        <v>STO3</v>
      </c>
      <c r="B109" s="708" t="str">
        <f ca="1">IF(A109="","",IF(A109="","",VLOOKUP(A:A,Pomocna_Nakup[],3,0))&amp;" | "&amp;IF(A109="","",VLOOKUP(A:A,Pomocna_Nakup[],4,0)))</f>
        <v>ST | Strojní</v>
      </c>
      <c r="C109" s="710" t="str">
        <f ca="1">IF(Tabulka_nakup_Vonka[[#This Row],[Zkratka kalkulační položky]]="","",Tabulka_nakup_Vonka[[#This Row],[Zkratka kalkulační položky]]&amp;" | "&amp;IF(A109="","",VLOOKUP(A:A,Pomocna_Nakup[],2,0)))</f>
        <v>STO3 | Obrobky třída 3</v>
      </c>
      <c r="D109" s="710" t="str">
        <f ca="1">IF(A109="","",'Rozpad zakázky'!F125)</f>
        <v>N/A</v>
      </c>
      <c r="E109" s="710" t="str">
        <f ca="1">IF(A109="","",'Rozpad zakázky'!D125&amp;IF('Rozpad zakázky'!G125="",""," ("&amp;'Rozpad zakázky'!G125&amp;")"))</f>
        <v xml:space="preserve">    Lišta</v>
      </c>
      <c r="F109" s="709">
        <f ca="1">IF(A109="","",'Rozpad zakázky'!IW125)</f>
        <v>1</v>
      </c>
      <c r="G109" s="711">
        <f ca="1">IF(A109="","",'Rozpad zakázky'!AE125)</f>
        <v>1122</v>
      </c>
      <c r="H109" s="717">
        <f ca="1">IF(A109="","",'Rozpad zakázky'!AJ125)</f>
        <v>41.555555555555557</v>
      </c>
      <c r="I109" s="748">
        <f ca="1">IF(A109="","",'Rozpad zakázky'!Q125)</f>
        <v>4</v>
      </c>
      <c r="J109" s="717">
        <f ca="1">IF(A109="","",ROUNDDOWN('Rozpad zakázky'!L125,1))</f>
        <v>3.3</v>
      </c>
      <c r="K109" s="745">
        <f ca="1">IF(A109="","",Tabulka_nakup_Vonka[[#This Row],[Počet MJHR v rozpadu]]*Tabulka_nakup_Vonka[[#This Row],[Jedn. hmotnost '[kg/MJHR']]])</f>
        <v>13.2</v>
      </c>
    </row>
    <row r="110" spans="1:11" x14ac:dyDescent="0.35">
      <c r="A110" s="709" t="str">
        <f ca="1">IF('Rozpad zakázky'!E126=0,"",IF('Rozpad zakázky'!E126="-","",'Rozpad zakázky'!E126))</f>
        <v>STO2</v>
      </c>
      <c r="B110" s="708" t="str">
        <f ca="1">IF(A110="","",IF(A110="","",VLOOKUP(A:A,Pomocna_Nakup[],3,0))&amp;" | "&amp;IF(A110="","",VLOOKUP(A:A,Pomocna_Nakup[],4,0)))</f>
        <v>ST | Strojní</v>
      </c>
      <c r="C110" s="710" t="str">
        <f ca="1">IF(Tabulka_nakup_Vonka[[#This Row],[Zkratka kalkulační položky]]="","",Tabulka_nakup_Vonka[[#This Row],[Zkratka kalkulační položky]]&amp;" | "&amp;IF(A110="","",VLOOKUP(A:A,Pomocna_Nakup[],2,0)))</f>
        <v>STO2 | Obrobky třída 2</v>
      </c>
      <c r="D110" s="710" t="str">
        <f ca="1">IF(A110="","",'Rozpad zakázky'!F126)</f>
        <v>N/A</v>
      </c>
      <c r="E110" s="710" t="str">
        <f ca="1">IF(A110="","",'Rozpad zakázky'!D126&amp;IF('Rozpad zakázky'!G126="",""," ("&amp;'Rozpad zakázky'!G126&amp;")"))</f>
        <v xml:space="preserve">    Opěrný plech</v>
      </c>
      <c r="F110" s="709">
        <f ca="1">IF(A110="","",'Rozpad zakázky'!IW126)</f>
        <v>1</v>
      </c>
      <c r="G110" s="711">
        <f ca="1">IF(A110="","",'Rozpad zakázky'!AE126)</f>
        <v>3771.9999999999995</v>
      </c>
      <c r="H110" s="717">
        <f ca="1">IF(A110="","",'Rozpad zakázky'!AJ126)</f>
        <v>139.7037037037037</v>
      </c>
      <c r="I110" s="748">
        <f ca="1">IF(A110="","",'Rozpad zakázky'!Q126)</f>
        <v>2</v>
      </c>
      <c r="J110" s="717">
        <f ca="1">IF(A110="","",ROUNDDOWN('Rozpad zakázky'!L126,1))</f>
        <v>16.399999999999999</v>
      </c>
      <c r="K110" s="745">
        <f ca="1">IF(A110="","",Tabulka_nakup_Vonka[[#This Row],[Počet MJHR v rozpadu]]*Tabulka_nakup_Vonka[[#This Row],[Jedn. hmotnost '[kg/MJHR']]])</f>
        <v>32.799999999999997</v>
      </c>
    </row>
    <row r="111" spans="1:11" x14ac:dyDescent="0.35">
      <c r="A111" s="709" t="str">
        <f ca="1">IF('Rozpad zakázky'!E127=0,"",IF('Rozpad zakázky'!E127="-","",'Rozpad zakázky'!E127))</f>
        <v>STO2</v>
      </c>
      <c r="B111" s="708" t="str">
        <f ca="1">IF(A111="","",IF(A111="","",VLOOKUP(A:A,Pomocna_Nakup[],3,0))&amp;" | "&amp;IF(A111="","",VLOOKUP(A:A,Pomocna_Nakup[],4,0)))</f>
        <v>ST | Strojní</v>
      </c>
      <c r="C111" s="710" t="str">
        <f ca="1">IF(Tabulka_nakup_Vonka[[#This Row],[Zkratka kalkulační položky]]="","",Tabulka_nakup_Vonka[[#This Row],[Zkratka kalkulační položky]]&amp;" | "&amp;IF(A111="","",VLOOKUP(A:A,Pomocna_Nakup[],2,0)))</f>
        <v>STO2 | Obrobky třída 2</v>
      </c>
      <c r="D111" s="710" t="str">
        <f ca="1">IF(A111="","",'Rozpad zakázky'!F127)</f>
        <v>N/A</v>
      </c>
      <c r="E111" s="710" t="str">
        <f ca="1">IF(A111="","",'Rozpad zakázky'!D127&amp;IF('Rozpad zakázky'!G127="",""," ("&amp;'Rozpad zakázky'!G127&amp;")"))</f>
        <v xml:space="preserve">    Kotvení šroubu</v>
      </c>
      <c r="F111" s="709">
        <f ca="1">IF(A111="","",'Rozpad zakázky'!IW127)</f>
        <v>1</v>
      </c>
      <c r="G111" s="711">
        <f ca="1">IF(A111="","",'Rozpad zakázky'!AE127)</f>
        <v>979.8</v>
      </c>
      <c r="H111" s="717">
        <f ca="1">IF(A111="","",'Rozpad zakázky'!AJ127)</f>
        <v>36.288888888888884</v>
      </c>
      <c r="I111" s="748">
        <f ca="1">IF(A111="","",'Rozpad zakázky'!Q127)</f>
        <v>4</v>
      </c>
      <c r="J111" s="717">
        <f ca="1">IF(A111="","",ROUNDDOWN('Rozpad zakázky'!L127,1))</f>
        <v>2.1</v>
      </c>
      <c r="K111" s="745">
        <f ca="1">IF(A111="","",Tabulka_nakup_Vonka[[#This Row],[Počet MJHR v rozpadu]]*Tabulka_nakup_Vonka[[#This Row],[Jedn. hmotnost '[kg/MJHR']]])</f>
        <v>8.4</v>
      </c>
    </row>
    <row r="112" spans="1:11" x14ac:dyDescent="0.35">
      <c r="A112" s="709" t="str">
        <f ca="1">IF('Rozpad zakázky'!E128=0,"",IF('Rozpad zakázky'!E128="-","",'Rozpad zakázky'!E128))</f>
        <v>STSM</v>
      </c>
      <c r="B112" s="708" t="str">
        <f ca="1">IF(A112="","",IF(A112="","",VLOOKUP(A:A,Pomocna_Nakup[],3,0))&amp;" | "&amp;IF(A112="","",VLOOKUP(A:A,Pomocna_Nakup[],4,0)))</f>
        <v>ST | Strojní</v>
      </c>
      <c r="C112" s="710" t="str">
        <f ca="1">IF(Tabulka_nakup_Vonka[[#This Row],[Zkratka kalkulační položky]]="","",Tabulka_nakup_Vonka[[#This Row],[Zkratka kalkulační položky]]&amp;" | "&amp;IF(A112="","",VLOOKUP(A:A,Pomocna_Nakup[],2,0)))</f>
        <v>STSM | Spojovací materiál</v>
      </c>
      <c r="D112" s="710" t="str">
        <f ca="1">IF(A112="","",'Rozpad zakázky'!F128)</f>
        <v>N/A</v>
      </c>
      <c r="E112" s="710" t="str">
        <f ca="1">IF(A112="","",'Rozpad zakázky'!D128&amp;IF('Rozpad zakázky'!G128="",""," ("&amp;'Rozpad zakázky'!G128&amp;")"))</f>
        <v xml:space="preserve">    Spojovací materiál</v>
      </c>
      <c r="F112" s="709">
        <f ca="1">IF(A112="","",'Rozpad zakázky'!IW128)</f>
        <v>1</v>
      </c>
      <c r="G112" s="711">
        <f ca="1">IF(A112="","",'Rozpad zakázky'!AE128)</f>
        <v>399.52000000000004</v>
      </c>
      <c r="H112" s="717">
        <f ca="1">IF(A112="","",'Rozpad zakázky'!AJ128)</f>
        <v>14.797037037037038</v>
      </c>
      <c r="I112" s="748">
        <f ca="1">IF(A112="","",'Rozpad zakázky'!Q128)</f>
        <v>2</v>
      </c>
      <c r="J112" s="717">
        <f ca="1">IF(A112="","",ROUNDDOWN('Rozpad zakázky'!L128,1))</f>
        <v>1.8</v>
      </c>
      <c r="K112" s="745">
        <f ca="1">IF(A112="","",Tabulka_nakup_Vonka[[#This Row],[Počet MJHR v rozpadu]]*Tabulka_nakup_Vonka[[#This Row],[Jedn. hmotnost '[kg/MJHR']]])</f>
        <v>3.6</v>
      </c>
    </row>
    <row r="113" spans="1:11" x14ac:dyDescent="0.35">
      <c r="A113" s="709" t="str">
        <f ca="1">IF('Rozpad zakázky'!E129=0,"",IF('Rozpad zakázky'!E129="-","",'Rozpad zakázky'!E129))</f>
        <v>STO2</v>
      </c>
      <c r="B113" s="708" t="str">
        <f ca="1">IF(A113="","",IF(A113="","",VLOOKUP(A:A,Pomocna_Nakup[],3,0))&amp;" | "&amp;IF(A113="","",VLOOKUP(A:A,Pomocna_Nakup[],4,0)))</f>
        <v>ST | Strojní</v>
      </c>
      <c r="C113" s="710" t="str">
        <f ca="1">IF(Tabulka_nakup_Vonka[[#This Row],[Zkratka kalkulační položky]]="","",Tabulka_nakup_Vonka[[#This Row],[Zkratka kalkulační položky]]&amp;" | "&amp;IF(A113="","",VLOOKUP(A:A,Pomocna_Nakup[],2,0)))</f>
        <v>STO2 | Obrobky třída 2</v>
      </c>
      <c r="D113" s="710" t="str">
        <f ca="1">IF(A113="","",'Rozpad zakázky'!F129)</f>
        <v>N/A</v>
      </c>
      <c r="E113" s="710" t="str">
        <f ca="1">IF(A113="","",'Rozpad zakázky'!D129&amp;IF('Rozpad zakázky'!G129="",""," ("&amp;'Rozpad zakázky'!G129&amp;")"))</f>
        <v xml:space="preserve">  Koncové vypínání</v>
      </c>
      <c r="F113" s="709">
        <f ca="1">IF(A113="","",'Rozpad zakázky'!IW129)</f>
        <v>1</v>
      </c>
      <c r="G113" s="711">
        <f ca="1">IF(A113="","",'Rozpad zakázky'!AE129)</f>
        <v>2461</v>
      </c>
      <c r="H113" s="717">
        <f ca="1">IF(A113="","",'Rozpad zakázky'!AJ129)</f>
        <v>91.148148148148152</v>
      </c>
      <c r="I113" s="748">
        <f ca="1">IF(A113="","",'Rozpad zakázky'!Q129)</f>
        <v>1</v>
      </c>
      <c r="J113" s="717">
        <f ca="1">IF(A113="","",ROUNDDOWN('Rozpad zakázky'!L129,1))</f>
        <v>21.4</v>
      </c>
      <c r="K113" s="745">
        <f ca="1">IF(A113="","",Tabulka_nakup_Vonka[[#This Row],[Počet MJHR v rozpadu]]*Tabulka_nakup_Vonka[[#This Row],[Jedn. hmotnost '[kg/MJHR']]])</f>
        <v>21.4</v>
      </c>
    </row>
    <row r="114" spans="1:11" x14ac:dyDescent="0.35">
      <c r="A114" s="709" t="str">
        <f ca="1">IF('Rozpad zakázky'!E130=0,"",IF('Rozpad zakázky'!E130="-","",'Rozpad zakázky'!E130))</f>
        <v>OSTS</v>
      </c>
      <c r="B114" s="708" t="str">
        <f ca="1">IF(A114="","",IF(A114="","",VLOOKUP(A:A,Pomocna_Nakup[],3,0))&amp;" | "&amp;IF(A114="","",VLOOKUP(A:A,Pomocna_Nakup[],4,0)))</f>
        <v>OS | Ostatní</v>
      </c>
      <c r="C114" s="710" t="str">
        <f ca="1">IF(Tabulka_nakup_Vonka[[#This Row],[Zkratka kalkulační položky]]="","",Tabulka_nakup_Vonka[[#This Row],[Zkratka kalkulační položky]]&amp;" | "&amp;IF(A114="","",VLOOKUP(A:A,Pomocna_Nakup[],2,0)))</f>
        <v>OSTS | Tabulky a štítky</v>
      </c>
      <c r="D114" s="710" t="str">
        <f ca="1">IF(A114="","",'Rozpad zakázky'!F130)</f>
        <v>N/A</v>
      </c>
      <c r="E114" s="710" t="str">
        <f ca="1">IF(A114="","",'Rozpad zakázky'!D130&amp;IF('Rozpad zakázky'!G130="",""," ("&amp;'Rozpad zakázky'!G130&amp;")"))</f>
        <v xml:space="preserve">  Tabulky pro ustavení vagonů</v>
      </c>
      <c r="F114" s="709">
        <f ca="1">IF(A114="","",'Rozpad zakázky'!IW130)</f>
        <v>1</v>
      </c>
      <c r="G114" s="711">
        <f ca="1">IF(A114="","",'Rozpad zakázky'!AE130)</f>
        <v>10000</v>
      </c>
      <c r="H114" s="717">
        <f ca="1">IF(A114="","",'Rozpad zakázky'!AJ130)</f>
        <v>370.37037037037038</v>
      </c>
      <c r="I114" s="748">
        <f ca="1">IF(A114="","",'Rozpad zakázky'!Q130)</f>
        <v>1</v>
      </c>
      <c r="J114" s="717">
        <f ca="1">IF(A114="","",ROUNDDOWN('Rozpad zakázky'!L130,1))</f>
        <v>49.4</v>
      </c>
      <c r="K114" s="745">
        <f ca="1">IF(A114="","",Tabulka_nakup_Vonka[[#This Row],[Počet MJHR v rozpadu]]*Tabulka_nakup_Vonka[[#This Row],[Jedn. hmotnost '[kg/MJHR']]])</f>
        <v>49.4</v>
      </c>
    </row>
    <row r="115" spans="1:11" x14ac:dyDescent="0.35">
      <c r="A115" s="709" t="str">
        <f ca="1">IF('Rozpad zakázky'!E131=0,"",IF('Rozpad zakázky'!E131="-","",'Rozpad zakázky'!E131))</f>
        <v>OSTS</v>
      </c>
      <c r="B115" s="708" t="str">
        <f ca="1">IF(A115="","",IF(A115="","",VLOOKUP(A:A,Pomocna_Nakup[],3,0))&amp;" | "&amp;IF(A115="","",VLOOKUP(A:A,Pomocna_Nakup[],4,0)))</f>
        <v>OS | Ostatní</v>
      </c>
      <c r="C115" s="710" t="str">
        <f ca="1">IF(Tabulka_nakup_Vonka[[#This Row],[Zkratka kalkulační položky]]="","",Tabulka_nakup_Vonka[[#This Row],[Zkratka kalkulační položky]]&amp;" | "&amp;IF(A115="","",VLOOKUP(A:A,Pomocna_Nakup[],2,0)))</f>
        <v>OSTS | Tabulky a štítky</v>
      </c>
      <c r="D115" s="710" t="str">
        <f ca="1">IF(A115="","",'Rozpad zakázky'!F131)</f>
        <v>N/A</v>
      </c>
      <c r="E115" s="710" t="str">
        <f ca="1">IF(A115="","",'Rozpad zakázky'!D131&amp;IF('Rozpad zakázky'!G131="",""," ("&amp;'Rozpad zakázky'!G131&amp;")"))</f>
        <v xml:space="preserve">  Bezpečnostní tabulky</v>
      </c>
      <c r="F115" s="709">
        <f ca="1">IF(A115="","",'Rozpad zakázky'!IW131)</f>
        <v>1</v>
      </c>
      <c r="G115" s="711">
        <f ca="1">IF(A115="","",'Rozpad zakázky'!AE131)</f>
        <v>10000</v>
      </c>
      <c r="H115" s="717">
        <f ca="1">IF(A115="","",'Rozpad zakázky'!AJ131)</f>
        <v>370.37037037037038</v>
      </c>
      <c r="I115" s="748">
        <f ca="1">IF(A115="","",'Rozpad zakázky'!Q131)</f>
        <v>1</v>
      </c>
      <c r="J115" s="717">
        <f ca="1">IF(A115="","",ROUNDDOWN('Rozpad zakázky'!L131,1))</f>
        <v>77</v>
      </c>
      <c r="K115" s="745">
        <f ca="1">IF(A115="","",Tabulka_nakup_Vonka[[#This Row],[Počet MJHR v rozpadu]]*Tabulka_nakup_Vonka[[#This Row],[Jedn. hmotnost '[kg/MJHR']]])</f>
        <v>77</v>
      </c>
    </row>
    <row r="116" spans="1:11" x14ac:dyDescent="0.35">
      <c r="A116" s="709" t="str">
        <f ca="1">IF('Rozpad zakázky'!E132=0,"",IF('Rozpad zakázky'!E132="-","",'Rozpad zakázky'!E132))</f>
        <v>OSZO</v>
      </c>
      <c r="B116" s="708" t="str">
        <f ca="1">IF(A116="","",IF(A116="","",VLOOKUP(A:A,Pomocna_Nakup[],3,0))&amp;" | "&amp;IF(A116="","",VLOOKUP(A:A,Pomocna_Nakup[],4,0)))</f>
        <v>OS | Ostatní</v>
      </c>
      <c r="C116" s="710" t="str">
        <f ca="1">IF(Tabulka_nakup_Vonka[[#This Row],[Zkratka kalkulační položky]]="","",Tabulka_nakup_Vonka[[#This Row],[Zkratka kalkulační položky]]&amp;" | "&amp;IF(A116="","",VLOOKUP(A:A,Pomocna_Nakup[],2,0)))</f>
        <v>OSZO | Závaží - Ocel</v>
      </c>
      <c r="D116" s="710" t="str">
        <f ca="1">IF(A116="","",'Rozpad zakázky'!F132)</f>
        <v>N/A</v>
      </c>
      <c r="E116" s="710" t="str">
        <f ca="1">IF(A116="","",'Rozpad zakázky'!D132&amp;IF('Rozpad zakázky'!G132="",""," ("&amp;'Rozpad zakázky'!G132&amp;")"))</f>
        <v xml:space="preserve">  Protizávaží</v>
      </c>
      <c r="F116" s="709">
        <f ca="1">IF(A116="","",'Rozpad zakázky'!IW132)</f>
        <v>1</v>
      </c>
      <c r="G116" s="711">
        <f ca="1">IF(A116="","",'Rozpad zakázky'!AE132)</f>
        <v>0.05</v>
      </c>
      <c r="H116" s="717">
        <f ca="1">IF(A116="","",'Rozpad zakázky'!AJ132)</f>
        <v>1.8518518518518519E-3</v>
      </c>
      <c r="I116" s="748">
        <f ca="1">IF(A116="","",'Rozpad zakázky'!Q132)</f>
        <v>1</v>
      </c>
      <c r="J116" s="717">
        <f ca="1">IF(A116="","",ROUNDDOWN('Rozpad zakázky'!L132,1))</f>
        <v>0</v>
      </c>
      <c r="K116" s="745">
        <f ca="1">IF(A116="","",Tabulka_nakup_Vonka[[#This Row],[Počet MJHR v rozpadu]]*Tabulka_nakup_Vonka[[#This Row],[Jedn. hmotnost '[kg/MJHR']]])</f>
        <v>0</v>
      </c>
    </row>
    <row r="117" spans="1:11" x14ac:dyDescent="0.35">
      <c r="A117" s="709" t="str">
        <f ca="1">IF('Rozpad zakázky'!E133=0,"",IF('Rozpad zakázky'!E133="-","",'Rozpad zakázky'!E133))</f>
        <v>STO2</v>
      </c>
      <c r="B117" s="708" t="str">
        <f ca="1">IF(A117="","",IF(A117="","",VLOOKUP(A:A,Pomocna_Nakup[],3,0))&amp;" | "&amp;IF(A117="","",VLOOKUP(A:A,Pomocna_Nakup[],4,0)))</f>
        <v>ST | Strojní</v>
      </c>
      <c r="C117" s="710" t="str">
        <f ca="1">IF(Tabulka_nakup_Vonka[[#This Row],[Zkratka kalkulační položky]]="","",Tabulka_nakup_Vonka[[#This Row],[Zkratka kalkulační položky]]&amp;" | "&amp;IF(A117="","",VLOOKUP(A:A,Pomocna_Nakup[],2,0)))</f>
        <v>STO2 | Obrobky třída 2</v>
      </c>
      <c r="D117" s="710" t="str">
        <f ca="1">IF(A117="","",'Rozpad zakázky'!F133)</f>
        <v>N/A</v>
      </c>
      <c r="E117" s="710" t="str">
        <f ca="1">IF(A117="","",'Rozpad zakázky'!D133&amp;IF('Rozpad zakázky'!G133="",""," ("&amp;'Rozpad zakázky'!G133&amp;")"))</f>
        <v xml:space="preserve">  Kabelový přívod</v>
      </c>
      <c r="F117" s="709">
        <f ca="1">IF(A117="","",'Rozpad zakázky'!IW133)</f>
        <v>1</v>
      </c>
      <c r="G117" s="711">
        <f ca="1">IF(A117="","",'Rozpad zakázky'!AE133)</f>
        <v>45678</v>
      </c>
      <c r="H117" s="717">
        <f ca="1">IF(A117="","",'Rozpad zakázky'!AJ133)</f>
        <v>1691.7777777777778</v>
      </c>
      <c r="I117" s="748">
        <f ca="1">IF(A117="","",'Rozpad zakázky'!Q133)</f>
        <v>2</v>
      </c>
      <c r="J117" s="717">
        <f ca="1">IF(A117="","",ROUNDDOWN('Rozpad zakázky'!L133,1))</f>
        <v>198.6</v>
      </c>
      <c r="K117" s="745">
        <f ca="1">IF(A117="","",Tabulka_nakup_Vonka[[#This Row],[Počet MJHR v rozpadu]]*Tabulka_nakup_Vonka[[#This Row],[Jedn. hmotnost '[kg/MJHR']]])</f>
        <v>397.2</v>
      </c>
    </row>
    <row r="118" spans="1:11" x14ac:dyDescent="0.35">
      <c r="A118" s="709" t="str">
        <f ca="1">IF('Rozpad zakázky'!E134=0,"",IF('Rozpad zakázky'!E134="-","",'Rozpad zakázky'!E134))</f>
        <v>STO2</v>
      </c>
      <c r="B118" s="708" t="str">
        <f ca="1">IF(A118="","",IF(A118="","",VLOOKUP(A:A,Pomocna_Nakup[],3,0))&amp;" | "&amp;IF(A118="","",VLOOKUP(A:A,Pomocna_Nakup[],4,0)))</f>
        <v>ST | Strojní</v>
      </c>
      <c r="C118" s="710" t="str">
        <f ca="1">IF(Tabulka_nakup_Vonka[[#This Row],[Zkratka kalkulační položky]]="","",Tabulka_nakup_Vonka[[#This Row],[Zkratka kalkulační položky]]&amp;" | "&amp;IF(A118="","",VLOOKUP(A:A,Pomocna_Nakup[],2,0)))</f>
        <v>STO2 | Obrobky třída 2</v>
      </c>
      <c r="D118" s="710" t="str">
        <f ca="1">IF(A118="","",'Rozpad zakázky'!F134)</f>
        <v>N/A</v>
      </c>
      <c r="E118" s="710" t="str">
        <f ca="1">IF(A118="","",'Rozpad zakázky'!D134&amp;IF('Rozpad zakázky'!G134="",""," ("&amp;'Rozpad zakázky'!G134&amp;")"))</f>
        <v xml:space="preserve">  Podložka</v>
      </c>
      <c r="F118" s="709">
        <f ca="1">IF(A118="","",'Rozpad zakázky'!IW134)</f>
        <v>1</v>
      </c>
      <c r="G118" s="711">
        <f ca="1">IF(A118="","",'Rozpad zakázky'!AE134)</f>
        <v>9660</v>
      </c>
      <c r="H118" s="717">
        <f ca="1">IF(A118="","",'Rozpad zakázky'!AJ134)</f>
        <v>357.77777777777777</v>
      </c>
      <c r="I118" s="748">
        <f ca="1">IF(A118="","",'Rozpad zakázky'!Q134)</f>
        <v>24</v>
      </c>
      <c r="J118" s="717">
        <f ca="1">IF(A118="","",ROUNDDOWN('Rozpad zakázky'!L134,1))</f>
        <v>3.5</v>
      </c>
      <c r="K118" s="745">
        <f ca="1">IF(A118="","",Tabulka_nakup_Vonka[[#This Row],[Počet MJHR v rozpadu]]*Tabulka_nakup_Vonka[[#This Row],[Jedn. hmotnost '[kg/MJHR']]])</f>
        <v>84</v>
      </c>
    </row>
    <row r="119" spans="1:11" x14ac:dyDescent="0.35">
      <c r="A119" s="709" t="str">
        <f ca="1">IF('Rozpad zakázky'!E135=0,"",IF('Rozpad zakázky'!E135="-","",'Rozpad zakázky'!E135))</f>
        <v>STO3</v>
      </c>
      <c r="B119" s="708" t="str">
        <f ca="1">IF(A119="","",IF(A119="","",VLOOKUP(A:A,Pomocna_Nakup[],3,0))&amp;" | "&amp;IF(A119="","",VLOOKUP(A:A,Pomocna_Nakup[],4,0)))</f>
        <v>ST | Strojní</v>
      </c>
      <c r="C119" s="710" t="str">
        <f ca="1">IF(Tabulka_nakup_Vonka[[#This Row],[Zkratka kalkulační položky]]="","",Tabulka_nakup_Vonka[[#This Row],[Zkratka kalkulační položky]]&amp;" | "&amp;IF(A119="","",VLOOKUP(A:A,Pomocna_Nakup[],2,0)))</f>
        <v>STO3 | Obrobky třída 3</v>
      </c>
      <c r="D119" s="710" t="str">
        <f ca="1">IF(A119="","",'Rozpad zakázky'!F135)</f>
        <v>N/A</v>
      </c>
      <c r="E119" s="710" t="str">
        <f ca="1">IF(A119="","",'Rozpad zakázky'!D135&amp;IF('Rozpad zakázky'!G135="",""," ("&amp;'Rozpad zakázky'!G135&amp;")"))</f>
        <v xml:space="preserve">  Šroub M30 x 800</v>
      </c>
      <c r="F119" s="709">
        <f ca="1">IF(A119="","",'Rozpad zakázky'!IW135)</f>
        <v>1</v>
      </c>
      <c r="G119" s="711">
        <f ca="1">IF(A119="","",'Rozpad zakázky'!AE135)</f>
        <v>10424.400000000001</v>
      </c>
      <c r="H119" s="717">
        <f ca="1">IF(A119="","",'Rozpad zakázky'!AJ135)</f>
        <v>386.08888888888896</v>
      </c>
      <c r="I119" s="748">
        <f ca="1">IF(A119="","",'Rozpad zakázky'!Q135)</f>
        <v>24</v>
      </c>
      <c r="J119" s="717">
        <f ca="1">IF(A119="","",ROUNDDOWN('Rozpad zakázky'!L135,1))</f>
        <v>5.0999999999999996</v>
      </c>
      <c r="K119" s="745">
        <f ca="1">IF(A119="","",Tabulka_nakup_Vonka[[#This Row],[Počet MJHR v rozpadu]]*Tabulka_nakup_Vonka[[#This Row],[Jedn. hmotnost '[kg/MJHR']]])</f>
        <v>122.39999999999999</v>
      </c>
    </row>
    <row r="120" spans="1:11" x14ac:dyDescent="0.35">
      <c r="A120" s="709" t="str">
        <f ca="1">IF('Rozpad zakázky'!E136=0,"",IF('Rozpad zakázky'!E136="-","",'Rozpad zakázky'!E136))</f>
        <v>STO3</v>
      </c>
      <c r="B120" s="708" t="str">
        <f ca="1">IF(A120="","",IF(A120="","",VLOOKUP(A:A,Pomocna_Nakup[],3,0))&amp;" | "&amp;IF(A120="","",VLOOKUP(A:A,Pomocna_Nakup[],4,0)))</f>
        <v>ST | Strojní</v>
      </c>
      <c r="C120" s="710" t="str">
        <f ca="1">IF(Tabulka_nakup_Vonka[[#This Row],[Zkratka kalkulační položky]]="","",Tabulka_nakup_Vonka[[#This Row],[Zkratka kalkulační položky]]&amp;" | "&amp;IF(A120="","",VLOOKUP(A:A,Pomocna_Nakup[],2,0)))</f>
        <v>STO3 | Obrobky třída 3</v>
      </c>
      <c r="D120" s="710" t="str">
        <f ca="1">IF(A120="","",'Rozpad zakázky'!F136)</f>
        <v>N/A</v>
      </c>
      <c r="E120" s="710" t="str">
        <f ca="1">IF(A120="","",'Rozpad zakázky'!D136&amp;IF('Rozpad zakázky'!G136="",""," ("&amp;'Rozpad zakázky'!G136&amp;")"))</f>
        <v xml:space="preserve">  Šroub M42 x 3 x 200</v>
      </c>
      <c r="F120" s="709">
        <f ca="1">IF(A120="","",'Rozpad zakázky'!IW136)</f>
        <v>1</v>
      </c>
      <c r="G120" s="711">
        <f ca="1">IF(A120="","",'Rozpad zakázky'!AE136)</f>
        <v>2855.9999999999995</v>
      </c>
      <c r="H120" s="717">
        <f ca="1">IF(A120="","",'Rozpad zakázky'!AJ136)</f>
        <v>105.77777777777776</v>
      </c>
      <c r="I120" s="748">
        <f ca="1">IF(A120="","",'Rozpad zakázky'!Q136)</f>
        <v>12</v>
      </c>
      <c r="J120" s="717">
        <f ca="1">IF(A120="","",ROUNDDOWN('Rozpad zakázky'!L136,1))</f>
        <v>2.8</v>
      </c>
      <c r="K120" s="745">
        <f ca="1">IF(A120="","",Tabulka_nakup_Vonka[[#This Row],[Počet MJHR v rozpadu]]*Tabulka_nakup_Vonka[[#This Row],[Jedn. hmotnost '[kg/MJHR']]])</f>
        <v>33.599999999999994</v>
      </c>
    </row>
    <row r="121" spans="1:11" x14ac:dyDescent="0.35">
      <c r="A121" s="709" t="str">
        <f ca="1">IF('Rozpad zakázky'!E137=0,"",IF('Rozpad zakázky'!E137="-","",'Rozpad zakázky'!E137))</f>
        <v>STO3</v>
      </c>
      <c r="B121" s="708" t="str">
        <f ca="1">IF(A121="","",IF(A121="","",VLOOKUP(A:A,Pomocna_Nakup[],3,0))&amp;" | "&amp;IF(A121="","",VLOOKUP(A:A,Pomocna_Nakup[],4,0)))</f>
        <v>ST | Strojní</v>
      </c>
      <c r="C121" s="710" t="str">
        <f ca="1">IF(Tabulka_nakup_Vonka[[#This Row],[Zkratka kalkulační položky]]="","",Tabulka_nakup_Vonka[[#This Row],[Zkratka kalkulační položky]]&amp;" | "&amp;IF(A121="","",VLOOKUP(A:A,Pomocna_Nakup[],2,0)))</f>
        <v>STO3 | Obrobky třída 3</v>
      </c>
      <c r="D121" s="710" t="str">
        <f ca="1">IF(A121="","",'Rozpad zakázky'!F137)</f>
        <v>N/A</v>
      </c>
      <c r="E121" s="710" t="str">
        <f ca="1">IF(A121="","",'Rozpad zakázky'!D137&amp;IF('Rozpad zakázky'!G137="",""," ("&amp;'Rozpad zakázky'!G137&amp;")"))</f>
        <v xml:space="preserve">  Podložka</v>
      </c>
      <c r="F121" s="709">
        <f ca="1">IF(A121="","",'Rozpad zakázky'!IW137)</f>
        <v>1</v>
      </c>
      <c r="G121" s="711">
        <f ca="1">IF(A121="","",'Rozpad zakázky'!AE137)</f>
        <v>13430</v>
      </c>
      <c r="H121" s="717">
        <f ca="1">IF(A121="","",'Rozpad zakázky'!AJ137)</f>
        <v>497.40740740740739</v>
      </c>
      <c r="I121" s="748">
        <f ca="1">IF(A121="","",'Rozpad zakázky'!Q137)</f>
        <v>2</v>
      </c>
      <c r="J121" s="717">
        <f ca="1">IF(A121="","",ROUNDDOWN('Rozpad zakázky'!L137,1))</f>
        <v>79</v>
      </c>
      <c r="K121" s="745">
        <f ca="1">IF(A121="","",Tabulka_nakup_Vonka[[#This Row],[Počet MJHR v rozpadu]]*Tabulka_nakup_Vonka[[#This Row],[Jedn. hmotnost '[kg/MJHR']]])</f>
        <v>158</v>
      </c>
    </row>
    <row r="122" spans="1:11" x14ac:dyDescent="0.35">
      <c r="A122" s="709" t="str">
        <f ca="1">IF('Rozpad zakázky'!E138=0,"",IF('Rozpad zakázky'!E138="-","",'Rozpad zakázky'!E138))</f>
        <v>STO3</v>
      </c>
      <c r="B122" s="708" t="str">
        <f ca="1">IF(A122="","",IF(A122="","",VLOOKUP(A:A,Pomocna_Nakup[],3,0))&amp;" | "&amp;IF(A122="","",VLOOKUP(A:A,Pomocna_Nakup[],4,0)))</f>
        <v>ST | Strojní</v>
      </c>
      <c r="C122" s="710" t="str">
        <f ca="1">IF(Tabulka_nakup_Vonka[[#This Row],[Zkratka kalkulační položky]]="","",Tabulka_nakup_Vonka[[#This Row],[Zkratka kalkulační položky]]&amp;" | "&amp;IF(A122="","",VLOOKUP(A:A,Pomocna_Nakup[],2,0)))</f>
        <v>STO3 | Obrobky třída 3</v>
      </c>
      <c r="D122" s="710" t="str">
        <f ca="1">IF(A122="","",'Rozpad zakázky'!F138)</f>
        <v>N/A</v>
      </c>
      <c r="E122" s="710" t="str">
        <f ca="1">IF(A122="","",'Rozpad zakázky'!D138&amp;IF('Rozpad zakázky'!G138="",""," ("&amp;'Rozpad zakázky'!G138&amp;")"))</f>
        <v xml:space="preserve">  Podložka</v>
      </c>
      <c r="F122" s="709">
        <f ca="1">IF(A122="","",'Rozpad zakázky'!IW138)</f>
        <v>1</v>
      </c>
      <c r="G122" s="711">
        <f ca="1">IF(A122="","",'Rozpad zakázky'!AE138)</f>
        <v>2091</v>
      </c>
      <c r="H122" s="717">
        <f ca="1">IF(A122="","",'Rozpad zakázky'!AJ138)</f>
        <v>77.444444444444443</v>
      </c>
      <c r="I122" s="748">
        <f ca="1">IF(A122="","",'Rozpad zakázky'!Q138)</f>
        <v>6</v>
      </c>
      <c r="J122" s="717">
        <f ca="1">IF(A122="","",ROUNDDOWN('Rozpad zakázky'!L138,1))</f>
        <v>4.0999999999999996</v>
      </c>
      <c r="K122" s="745">
        <f ca="1">IF(A122="","",Tabulka_nakup_Vonka[[#This Row],[Počet MJHR v rozpadu]]*Tabulka_nakup_Vonka[[#This Row],[Jedn. hmotnost '[kg/MJHR']]])</f>
        <v>24.599999999999998</v>
      </c>
    </row>
    <row r="123" spans="1:11" x14ac:dyDescent="0.35">
      <c r="A123" s="709" t="str">
        <f ca="1">IF('Rozpad zakázky'!E139=0,"",IF('Rozpad zakázky'!E139="-","",'Rozpad zakázky'!E139))</f>
        <v>STO3</v>
      </c>
      <c r="B123" s="708" t="str">
        <f ca="1">IF(A123="","",IF(A123="","",VLOOKUP(A:A,Pomocna_Nakup[],3,0))&amp;" | "&amp;IF(A123="","",VLOOKUP(A:A,Pomocna_Nakup[],4,0)))</f>
        <v>ST | Strojní</v>
      </c>
      <c r="C123" s="710" t="str">
        <f ca="1">IF(Tabulka_nakup_Vonka[[#This Row],[Zkratka kalkulační položky]]="","",Tabulka_nakup_Vonka[[#This Row],[Zkratka kalkulační položky]]&amp;" | "&amp;IF(A123="","",VLOOKUP(A:A,Pomocna_Nakup[],2,0)))</f>
        <v>STO3 | Obrobky třída 3</v>
      </c>
      <c r="D123" s="710" t="str">
        <f ca="1">IF(A123="","",'Rozpad zakázky'!F139)</f>
        <v>N/A</v>
      </c>
      <c r="E123" s="710" t="str">
        <f ca="1">IF(A123="","",'Rozpad zakázky'!D139&amp;IF('Rozpad zakázky'!G139="",""," ("&amp;'Rozpad zakázky'!G139&amp;")"))</f>
        <v xml:space="preserve">  Šroub M24</v>
      </c>
      <c r="F123" s="709">
        <f ca="1">IF(A123="","",'Rozpad zakázky'!IW139)</f>
        <v>1</v>
      </c>
      <c r="G123" s="711">
        <f ca="1">IF(A123="","",'Rozpad zakázky'!AE139)</f>
        <v>2167.5</v>
      </c>
      <c r="H123" s="717">
        <f ca="1">IF(A123="","",'Rozpad zakázky'!AJ139)</f>
        <v>80.277777777777771</v>
      </c>
      <c r="I123" s="748">
        <f ca="1">IF(A123="","",'Rozpad zakázky'!Q139)</f>
        <v>6</v>
      </c>
      <c r="J123" s="717">
        <f ca="1">IF(A123="","",ROUNDDOWN('Rozpad zakázky'!L139,1))</f>
        <v>4.2</v>
      </c>
      <c r="K123" s="745">
        <f ca="1">IF(A123="","",Tabulka_nakup_Vonka[[#This Row],[Počet MJHR v rozpadu]]*Tabulka_nakup_Vonka[[#This Row],[Jedn. hmotnost '[kg/MJHR']]])</f>
        <v>25.200000000000003</v>
      </c>
    </row>
    <row r="124" spans="1:11" x14ac:dyDescent="0.35">
      <c r="A124" s="709" t="str">
        <f ca="1">IF('Rozpad zakázky'!E140=0,"",IF('Rozpad zakázky'!E140="-","",'Rozpad zakázky'!E140))</f>
        <v>STO3</v>
      </c>
      <c r="B124" s="708" t="str">
        <f ca="1">IF(A124="","",IF(A124="","",VLOOKUP(A:A,Pomocna_Nakup[],3,0))&amp;" | "&amp;IF(A124="","",VLOOKUP(A:A,Pomocna_Nakup[],4,0)))</f>
        <v>ST | Strojní</v>
      </c>
      <c r="C124" s="710" t="str">
        <f ca="1">IF(Tabulka_nakup_Vonka[[#This Row],[Zkratka kalkulační položky]]="","",Tabulka_nakup_Vonka[[#This Row],[Zkratka kalkulační položky]]&amp;" | "&amp;IF(A124="","",VLOOKUP(A:A,Pomocna_Nakup[],2,0)))</f>
        <v>STO3 | Obrobky třída 3</v>
      </c>
      <c r="D124" s="710" t="str">
        <f ca="1">IF(A124="","",'Rozpad zakázky'!F140)</f>
        <v>N/A</v>
      </c>
      <c r="E124" s="710" t="str">
        <f ca="1">IF(A124="","",'Rozpad zakázky'!D140&amp;IF('Rozpad zakázky'!G140="",""," ("&amp;'Rozpad zakázky'!G140&amp;")"))</f>
        <v xml:space="preserve">  Úpinka M12 x 100</v>
      </c>
      <c r="F124" s="709">
        <f ca="1">IF(A124="","",'Rozpad zakázky'!IW140)</f>
        <v>1</v>
      </c>
      <c r="G124" s="711">
        <f ca="1">IF(A124="","",'Rozpad zakázky'!AE140)</f>
        <v>1020</v>
      </c>
      <c r="H124" s="717">
        <f ca="1">IF(A124="","",'Rozpad zakázky'!AJ140)</f>
        <v>37.777777777777779</v>
      </c>
      <c r="I124" s="748">
        <f ca="1">IF(A124="","",'Rozpad zakázky'!Q140)</f>
        <v>30</v>
      </c>
      <c r="J124" s="717">
        <f ca="1">IF(A124="","",ROUNDDOWN('Rozpad zakázky'!L140,1))</f>
        <v>0.4</v>
      </c>
      <c r="K124" s="745">
        <f ca="1">IF(A124="","",Tabulka_nakup_Vonka[[#This Row],[Počet MJHR v rozpadu]]*Tabulka_nakup_Vonka[[#This Row],[Jedn. hmotnost '[kg/MJHR']]])</f>
        <v>12</v>
      </c>
    </row>
    <row r="125" spans="1:11" x14ac:dyDescent="0.35">
      <c r="A125" s="709" t="str">
        <f ca="1">IF('Rozpad zakázky'!E141=0,"",IF('Rozpad zakázky'!E141="-","",'Rozpad zakázky'!E141))</f>
        <v>STSM</v>
      </c>
      <c r="B125" s="708" t="str">
        <f ca="1">IF(A125="","",IF(A125="","",VLOOKUP(A:A,Pomocna_Nakup[],3,0))&amp;" | "&amp;IF(A125="","",VLOOKUP(A:A,Pomocna_Nakup[],4,0)))</f>
        <v>ST | Strojní</v>
      </c>
      <c r="C125" s="710" t="str">
        <f ca="1">IF(Tabulka_nakup_Vonka[[#This Row],[Zkratka kalkulační položky]]="","",Tabulka_nakup_Vonka[[#This Row],[Zkratka kalkulační položky]]&amp;" | "&amp;IF(A125="","",VLOOKUP(A:A,Pomocna_Nakup[],2,0)))</f>
        <v>STSM | Spojovací materiál</v>
      </c>
      <c r="D125" s="710" t="str">
        <f ca="1">IF(A125="","",'Rozpad zakázky'!F141)</f>
        <v>N/A</v>
      </c>
      <c r="E125" s="710" t="str">
        <f ca="1">IF(A125="","",'Rozpad zakázky'!D141&amp;IF('Rozpad zakázky'!G141="",""," ("&amp;'Rozpad zakázky'!G141&amp;")"))</f>
        <v xml:space="preserve">  Spojovací materiál</v>
      </c>
      <c r="F125" s="709">
        <f ca="1">IF(A125="","",'Rozpad zakázky'!IW141)</f>
        <v>1</v>
      </c>
      <c r="G125" s="711">
        <f ca="1">IF(A125="","",'Rozpad zakázky'!AE141)</f>
        <v>68382.05</v>
      </c>
      <c r="H125" s="717">
        <f ca="1">IF(A125="","",'Rozpad zakázky'!AJ141)</f>
        <v>2532.6685185185188</v>
      </c>
      <c r="I125" s="748">
        <f ca="1">IF(A125="","",'Rozpad zakázky'!Q141)</f>
        <v>1</v>
      </c>
      <c r="J125" s="717">
        <f ca="1">IF(A125="","",ROUNDDOWN('Rozpad zakázky'!L141,1))</f>
        <v>621.6</v>
      </c>
      <c r="K125" s="745">
        <f ca="1">IF(A125="","",Tabulka_nakup_Vonka[[#This Row],[Počet MJHR v rozpadu]]*Tabulka_nakup_Vonka[[#This Row],[Jedn. hmotnost '[kg/MJHR']]])</f>
        <v>621.6</v>
      </c>
    </row>
    <row r="126" spans="1:11" x14ac:dyDescent="0.35">
      <c r="A126" s="709" t="str">
        <f ca="1">IF('Rozpad zakázky'!E142=0,"",IF('Rozpad zakázky'!E142="-","",'Rozpad zakázky'!E142))</f>
        <v>OKHM</v>
      </c>
      <c r="B126" s="708" t="str">
        <f ca="1">IF(A126="","",IF(A126="","",VLOOKUP(A:A,Pomocna_Nakup[],3,0))&amp;" | "&amp;IF(A126="","",VLOOKUP(A:A,Pomocna_Nakup[],4,0)))</f>
        <v>OK | Ocelové kosntrukce</v>
      </c>
      <c r="C126" s="710" t="str">
        <f ca="1">IF(Tabulka_nakup_Vonka[[#This Row],[Zkratka kalkulační položky]]="","",Tabulka_nakup_Vonka[[#This Row],[Zkratka kalkulační položky]]&amp;" | "&amp;IF(A126="","",VLOOKUP(A:A,Pomocna_Nakup[],2,0)))</f>
        <v>OKHM | Hutní materiál</v>
      </c>
      <c r="D126" s="710" t="str">
        <f ca="1">IF(A126="","",'Rozpad zakázky'!F142)</f>
        <v>N/A</v>
      </c>
      <c r="E126" s="710" t="str">
        <f ca="1">IF(A126="","",'Rozpad zakázky'!D142&amp;IF('Rozpad zakázky'!G142="",""," ("&amp;'Rozpad zakázky'!G142&amp;")"))</f>
        <v xml:space="preserve">  Ocelové profily</v>
      </c>
      <c r="F126" s="709">
        <f ca="1">IF(A126="","",'Rozpad zakázky'!IW142)</f>
        <v>1</v>
      </c>
      <c r="G126" s="711">
        <f ca="1">IF(A126="","",'Rozpad zakázky'!AE142)</f>
        <v>23700</v>
      </c>
      <c r="H126" s="717">
        <f ca="1">IF(A126="","",'Rozpad zakázky'!AJ142)</f>
        <v>877.77777777777783</v>
      </c>
      <c r="I126" s="748">
        <f ca="1">IF(A126="","",'Rozpad zakázky'!Q142)</f>
        <v>1</v>
      </c>
      <c r="J126" s="717">
        <f ca="1">IF(A126="","",ROUNDDOWN('Rozpad zakázky'!L142,1))</f>
        <v>592.5</v>
      </c>
      <c r="K126" s="745">
        <f ca="1">IF(A126="","",Tabulka_nakup_Vonka[[#This Row],[Počet MJHR v rozpadu]]*Tabulka_nakup_Vonka[[#This Row],[Jedn. hmotnost '[kg/MJHR']]])</f>
        <v>592.5</v>
      </c>
    </row>
    <row r="127" spans="1:11" x14ac:dyDescent="0.35">
      <c r="A127" s="709" t="str">
        <f ca="1">IF('Rozpad zakázky'!E143=0,"",IF('Rozpad zakázky'!E143="-","",'Rozpad zakázky'!E143))</f>
        <v>N/A</v>
      </c>
      <c r="B127" s="708" t="str">
        <f ca="1">IF(A127="","",IF(A127="","",VLOOKUP(A:A,Pomocna_Nakup[],3,0))&amp;" | "&amp;IF(A127="","",VLOOKUP(A:A,Pomocna_Nakup[],4,0)))</f>
        <v>N/A | Bez kalkulační položky</v>
      </c>
      <c r="C127" s="710" t="str">
        <f ca="1">IF(Tabulka_nakup_Vonka[[#This Row],[Zkratka kalkulační položky]]="","",Tabulka_nakup_Vonka[[#This Row],[Zkratka kalkulační položky]]&amp;" | "&amp;IF(A127="","",VLOOKUP(A:A,Pomocna_Nakup[],2,0)))</f>
        <v>N/A | Bez kalkulační položky</v>
      </c>
      <c r="D127" s="710" t="str">
        <f ca="1">IF(A127="","",'Rozpad zakázky'!F143)</f>
        <v>N/A</v>
      </c>
      <c r="E127" s="710" t="str">
        <f ca="1">IF(A127="","",'Rozpad zakázky'!D143&amp;IF('Rozpad zakázky'!G143="",""," ("&amp;'Rozpad zakázky'!G143&amp;")"))</f>
        <v xml:space="preserve">  Elektro</v>
      </c>
      <c r="F127" s="709">
        <f ca="1">IF(A127="","",'Rozpad zakázky'!IW143)</f>
        <v>1</v>
      </c>
      <c r="G127" s="711">
        <f ca="1">IF(A127="","",'Rozpad zakázky'!AE143)</f>
        <v>1115006.7</v>
      </c>
      <c r="H127" s="717">
        <f ca="1">IF(A127="","",'Rozpad zakázky'!AJ143)</f>
        <v>41296.544444444444</v>
      </c>
      <c r="I127" s="748">
        <f ca="1">IF(A127="","",'Rozpad zakázky'!Q143)</f>
        <v>1</v>
      </c>
      <c r="J127" s="717">
        <f ca="1">IF(A127="","",ROUNDDOWN('Rozpad zakázky'!L143,1))</f>
        <v>0</v>
      </c>
      <c r="K127" s="745">
        <f ca="1">IF(A127="","",Tabulka_nakup_Vonka[[#This Row],[Počet MJHR v rozpadu]]*Tabulka_nakup_Vonka[[#This Row],[Jedn. hmotnost '[kg/MJHR']]])</f>
        <v>0</v>
      </c>
    </row>
    <row r="128" spans="1:11" x14ac:dyDescent="0.35">
      <c r="A128" s="709" t="str">
        <f ca="1">IF('Rozpad zakázky'!E144=0,"",IF('Rozpad zakázky'!E144="-","",'Rozpad zakázky'!E144))</f>
        <v>ELRS</v>
      </c>
      <c r="B128" s="708" t="str">
        <f ca="1">IF(A128="","",IF(A128="","",VLOOKUP(A:A,Pomocna_Nakup[],3,0))&amp;" | "&amp;IF(A128="","",VLOOKUP(A:A,Pomocna_Nakup[],4,0)))</f>
        <v>EL | Elektro</v>
      </c>
      <c r="C128" s="710" t="str">
        <f ca="1">IF(Tabulka_nakup_Vonka[[#This Row],[Zkratka kalkulační položky]]="","",Tabulka_nakup_Vonka[[#This Row],[Zkratka kalkulační položky]]&amp;" | "&amp;IF(A128="","",VLOOKUP(A:A,Pomocna_Nakup[],2,0)))</f>
        <v>ELRS | Řídící systém</v>
      </c>
      <c r="D128" s="710" t="str">
        <f ca="1">IF(A128="","",'Rozpad zakázky'!F144)</f>
        <v>N/A</v>
      </c>
      <c r="E128" s="710" t="str">
        <f ca="1">IF(A128="","",'Rozpad zakázky'!D144&amp;IF('Rozpad zakázky'!G144="",""," ("&amp;'Rozpad zakázky'!G144&amp;")"))</f>
        <v xml:space="preserve">  Řídicí systém</v>
      </c>
      <c r="F128" s="709">
        <f ca="1">IF(A128="","",'Rozpad zakázky'!IW144)</f>
        <v>1</v>
      </c>
      <c r="G128" s="711">
        <f ca="1">IF(A128="","",'Rozpad zakázky'!AE144)</f>
        <v>1500000</v>
      </c>
      <c r="H128" s="717">
        <f ca="1">IF(A128="","",'Rozpad zakázky'!AJ144)</f>
        <v>55555.555555555555</v>
      </c>
      <c r="I128" s="748">
        <f ca="1">IF(A128="","",'Rozpad zakázky'!Q144)</f>
        <v>1</v>
      </c>
      <c r="J128" s="717">
        <f ca="1">IF(A128="","",ROUNDDOWN('Rozpad zakázky'!L144,1))</f>
        <v>0</v>
      </c>
      <c r="K128" s="745">
        <f ca="1">IF(A128="","",Tabulka_nakup_Vonka[[#This Row],[Počet MJHR v rozpadu]]*Tabulka_nakup_Vonka[[#This Row],[Jedn. hmotnost '[kg/MJHR']]])</f>
        <v>0</v>
      </c>
    </row>
    <row r="129" spans="1:11" x14ac:dyDescent="0.35">
      <c r="A129" s="709" t="str">
        <f ca="1">IF('Rozpad zakázky'!E145=0,"",IF('Rozpad zakázky'!E145="-","",'Rozpad zakázky'!E145))</f>
        <v>SUSM</v>
      </c>
      <c r="B129" s="708" t="str">
        <f ca="1">IF(A129="","",IF(A129="","",VLOOKUP(A:A,Pomocna_Nakup[],3,0))&amp;" | "&amp;IF(A129="","",VLOOKUP(A:A,Pomocna_Nakup[],4,0)))</f>
        <v>SU | Subdodávky</v>
      </c>
      <c r="C129" s="710" t="str">
        <f ca="1">IF(Tabulka_nakup_Vonka[[#This Row],[Zkratka kalkulační položky]]="","",Tabulka_nakup_Vonka[[#This Row],[Zkratka kalkulační položky]]&amp;" | "&amp;IF(A129="","",VLOOKUP(A:A,Pomocna_Nakup[],2,0)))</f>
        <v>SUSM | CMS</v>
      </c>
      <c r="D129" s="710" t="str">
        <f ca="1">IF(A129="","",'Rozpad zakázky'!F145)</f>
        <v>N/A</v>
      </c>
      <c r="E129" s="710" t="str">
        <f ca="1">IF(A129="","",'Rozpad zakázky'!D145&amp;IF('Rozpad zakázky'!G145="",""," ("&amp;'Rozpad zakázky'!G145&amp;")"))</f>
        <v xml:space="preserve">  CMS</v>
      </c>
      <c r="F129" s="709">
        <f ca="1">IF(A129="","",'Rozpad zakázky'!IW145)</f>
        <v>1</v>
      </c>
      <c r="G129" s="711">
        <f ca="1">IF(A129="","",'Rozpad zakázky'!AE145)</f>
        <v>1000000</v>
      </c>
      <c r="H129" s="717">
        <f ca="1">IF(A129="","",'Rozpad zakázky'!AJ145)</f>
        <v>37037.037037037036</v>
      </c>
      <c r="I129" s="748">
        <f ca="1">IF(A129="","",'Rozpad zakázky'!Q145)</f>
        <v>1</v>
      </c>
      <c r="J129" s="717">
        <f ca="1">IF(A129="","",ROUNDDOWN('Rozpad zakázky'!L145,1))</f>
        <v>0</v>
      </c>
      <c r="K129" s="745">
        <f ca="1">IF(A129="","",Tabulka_nakup_Vonka[[#This Row],[Počet MJHR v rozpadu]]*Tabulka_nakup_Vonka[[#This Row],[Jedn. hmotnost '[kg/MJHR']]])</f>
        <v>0</v>
      </c>
    </row>
    <row r="130" spans="1:11" x14ac:dyDescent="0.35">
      <c r="A130" s="709" t="str">
        <f ca="1">IF('Rozpad zakázky'!E146=0,"",IF('Rozpad zakázky'!E146="-","",'Rozpad zakázky'!E146))</f>
        <v>SUKA</v>
      </c>
      <c r="B130" s="708" t="str">
        <f ca="1">IF(A130="","",IF(A130="","",VLOOKUP(A:A,Pomocna_Nakup[],3,0))&amp;" | "&amp;IF(A130="","",VLOOKUP(A:A,Pomocna_Nakup[],4,0)))</f>
        <v>SU | Subdodávky</v>
      </c>
      <c r="C130" s="710" t="str">
        <f ca="1">IF(Tabulka_nakup_Vonka[[#This Row],[Zkratka kalkulační položky]]="","",Tabulka_nakup_Vonka[[#This Row],[Zkratka kalkulační položky]]&amp;" | "&amp;IF(A130="","",VLOOKUP(A:A,Pomocna_Nakup[],2,0)))</f>
        <v>SUKA | Kabina</v>
      </c>
      <c r="D130" s="710" t="str">
        <f ca="1">IF(A130="","",'Rozpad zakázky'!F146)</f>
        <v>N/A</v>
      </c>
      <c r="E130" s="710" t="str">
        <f ca="1">IF(A130="","",'Rozpad zakázky'!D146&amp;IF('Rozpad zakázky'!G146="",""," ("&amp;'Rozpad zakázky'!G146&amp;")"))</f>
        <v xml:space="preserve">  Kabina</v>
      </c>
      <c r="F130" s="709">
        <f ca="1">IF(A130="","",'Rozpad zakázky'!IW146)</f>
        <v>1</v>
      </c>
      <c r="G130" s="711">
        <f ca="1">IF(A130="","",'Rozpad zakázky'!AE146)</f>
        <v>800000</v>
      </c>
      <c r="H130" s="717">
        <f ca="1">IF(A130="","",'Rozpad zakázky'!AJ146)</f>
        <v>29629.629629629631</v>
      </c>
      <c r="I130" s="748">
        <f ca="1">IF(A130="","",'Rozpad zakázky'!Q146)</f>
        <v>1</v>
      </c>
      <c r="J130" s="717">
        <f ca="1">IF(A130="","",ROUNDDOWN('Rozpad zakázky'!L146,1))</f>
        <v>0</v>
      </c>
      <c r="K130" s="745">
        <f ca="1">IF(A130="","",Tabulka_nakup_Vonka[[#This Row],[Počet MJHR v rozpadu]]*Tabulka_nakup_Vonka[[#This Row],[Jedn. hmotnost '[kg/MJHR']]])</f>
        <v>0</v>
      </c>
    </row>
    <row r="131" spans="1:11" x14ac:dyDescent="0.35">
      <c r="A131" s="709" t="str">
        <f ca="1">IF('Rozpad zakázky'!E147=0,"",IF('Rozpad zakázky'!E147="-","",'Rozpad zakázky'!E147))</f>
        <v>OKS1</v>
      </c>
      <c r="B131" s="708" t="str">
        <f ca="1">IF(A131="","",IF(A131="","",VLOOKUP(A:A,Pomocna_Nakup[],3,0))&amp;" | "&amp;IF(A131="","",VLOOKUP(A:A,Pomocna_Nakup[],4,0)))</f>
        <v>OK | Ocelové kosntrukce</v>
      </c>
      <c r="C131" s="710" t="str">
        <f ca="1">IF(Tabulka_nakup_Vonka[[#This Row],[Zkratka kalkulační položky]]="","",Tabulka_nakup_Vonka[[#This Row],[Zkratka kalkulační položky]]&amp;" | "&amp;IF(A131="","",VLOOKUP(A:A,Pomocna_Nakup[],2,0)))</f>
        <v>OKS1 | Svařenec třída 1</v>
      </c>
      <c r="D131" s="710" t="str">
        <f ca="1">IF(A131="","",'Rozpad zakázky'!F147)</f>
        <v>N/A</v>
      </c>
      <c r="E131" s="710" t="str">
        <f ca="1">IF(A131="","",'Rozpad zakázky'!D147&amp;IF('Rozpad zakázky'!G147="",""," ("&amp;'Rozpad zakázky'!G147&amp;")"))</f>
        <v xml:space="preserve">  Ocelová konstrukce</v>
      </c>
      <c r="F131" s="709">
        <f ca="1">IF(A131="","",'Rozpad zakázky'!IW147)</f>
        <v>1</v>
      </c>
      <c r="G131" s="711">
        <f ca="1">IF(A131="","",'Rozpad zakázky'!AE147)</f>
        <v>11200000</v>
      </c>
      <c r="H131" s="717">
        <f ca="1">IF(A131="","",'Rozpad zakázky'!AJ147)</f>
        <v>414814.81481481483</v>
      </c>
      <c r="I131" s="748">
        <f ca="1">IF(A131="","",'Rozpad zakázky'!Q147)</f>
        <v>1</v>
      </c>
      <c r="J131" s="717">
        <f ca="1">IF(A131="","",ROUNDDOWN('Rozpad zakázky'!L147,1))</f>
        <v>80000</v>
      </c>
      <c r="K131" s="745">
        <f ca="1">IF(A131="","",Tabulka_nakup_Vonka[[#This Row],[Počet MJHR v rozpadu]]*Tabulka_nakup_Vonka[[#This Row],[Jedn. hmotnost '[kg/MJHR']]])</f>
        <v>80000</v>
      </c>
    </row>
    <row r="132" spans="1:11" x14ac:dyDescent="0.35">
      <c r="A132" s="709" t="str">
        <f ca="1">IF('Rozpad zakázky'!E148=0,"",IF('Rozpad zakázky'!E148="-","",'Rozpad zakázky'!E148))</f>
        <v>PRMZ</v>
      </c>
      <c r="B132" s="708" t="str">
        <f ca="1">IF(A132="","",IF(A132="","",VLOOKUP(A:A,Pomocna_Nakup[],3,0))&amp;" | "&amp;IF(A132="","",VLOOKUP(A:A,Pomocna_Nakup[],4,0)))</f>
        <v>PR | Profese a služby</v>
      </c>
      <c r="C132" s="710" t="str">
        <f ca="1">IF(Tabulka_nakup_Vonka[[#This Row],[Zkratka kalkulační položky]]="","",Tabulka_nakup_Vonka[[#This Row],[Zkratka kalkulační položky]]&amp;" | "&amp;IF(A132="","",VLOOKUP(A:A,Pomocna_Nakup[],2,0)))</f>
        <v>PRMZ | Montáž</v>
      </c>
      <c r="D132" s="710" t="str">
        <f ca="1">IF(A132="","",'Rozpad zakázky'!F148)</f>
        <v>N/A</v>
      </c>
      <c r="E132" s="710" t="str">
        <f ca="1">IF(A132="","",'Rozpad zakázky'!D148&amp;IF('Rozpad zakázky'!G148="",""," ("&amp;'Rozpad zakázky'!G148&amp;")"))</f>
        <v xml:space="preserve">  Montáž</v>
      </c>
      <c r="F132" s="709">
        <f ca="1">IF(A132="","",'Rozpad zakázky'!IW148)</f>
        <v>1</v>
      </c>
      <c r="G132" s="711">
        <f ca="1">IF(A132="","",'Rozpad zakázky'!AE148)</f>
        <v>3596775</v>
      </c>
      <c r="H132" s="717">
        <f ca="1">IF(A132="","",'Rozpad zakázky'!AJ148)</f>
        <v>133213.88888888888</v>
      </c>
      <c r="I132" s="748">
        <f ca="1">IF(A132="","",'Rozpad zakázky'!Q148)</f>
        <v>1</v>
      </c>
      <c r="J132" s="717">
        <f ca="1">IF(A132="","",ROUNDDOWN('Rozpad zakázky'!L148,1))</f>
        <v>1</v>
      </c>
      <c r="K132" s="745">
        <f ca="1">IF(A132="","",Tabulka_nakup_Vonka[[#This Row],[Počet MJHR v rozpadu]]*Tabulka_nakup_Vonka[[#This Row],[Jedn. hmotnost '[kg/MJHR']]])</f>
        <v>1</v>
      </c>
    </row>
    <row r="133" spans="1:11" x14ac:dyDescent="0.35">
      <c r="A133" s="709" t="str">
        <f ca="1">IF('Rozpad zakázky'!E149=0,"",IF('Rozpad zakázky'!E149="-","",'Rozpad zakázky'!E149))</f>
        <v>PRMZ</v>
      </c>
      <c r="B133" s="708" t="str">
        <f ca="1">IF(A133="","",IF(A133="","",VLOOKUP(A:A,Pomocna_Nakup[],3,0))&amp;" | "&amp;IF(A133="","",VLOOKUP(A:A,Pomocna_Nakup[],4,0)))</f>
        <v>PR | Profese a služby</v>
      </c>
      <c r="C133" s="710" t="str">
        <f ca="1">IF(Tabulka_nakup_Vonka[[#This Row],[Zkratka kalkulační položky]]="","",Tabulka_nakup_Vonka[[#This Row],[Zkratka kalkulační položky]]&amp;" | "&amp;IF(A133="","",VLOOKUP(A:A,Pomocna_Nakup[],2,0)))</f>
        <v>PRMZ | Montáž</v>
      </c>
      <c r="D133" s="710" t="str">
        <f ca="1">IF(A133="","",'Rozpad zakázky'!F149)</f>
        <v>N/A</v>
      </c>
      <c r="E133" s="710" t="str">
        <f ca="1">IF(A133="","",'Rozpad zakázky'!D149&amp;IF('Rozpad zakázky'!G149="",""," ("&amp;'Rozpad zakázky'!G149&amp;")"))</f>
        <v xml:space="preserve">  Demontáž</v>
      </c>
      <c r="F133" s="709">
        <f ca="1">IF(A133="","",'Rozpad zakázky'!IW149)</f>
        <v>1</v>
      </c>
      <c r="G133" s="711">
        <f ca="1">IF(A133="","",'Rozpad zakázky'!AE149)</f>
        <v>2158065</v>
      </c>
      <c r="H133" s="717">
        <f ca="1">IF(A133="","",'Rozpad zakázky'!AJ149)</f>
        <v>79928.333333333328</v>
      </c>
      <c r="I133" s="748">
        <f ca="1">IF(A133="","",'Rozpad zakázky'!Q149)</f>
        <v>1</v>
      </c>
      <c r="J133" s="717">
        <f ca="1">IF(A133="","",ROUNDDOWN('Rozpad zakázky'!L149,1))</f>
        <v>1</v>
      </c>
      <c r="K133" s="745">
        <f ca="1">IF(A133="","",Tabulka_nakup_Vonka[[#This Row],[Počet MJHR v rozpadu]]*Tabulka_nakup_Vonka[[#This Row],[Jedn. hmotnost '[kg/MJHR']]])</f>
        <v>1</v>
      </c>
    </row>
    <row r="134" spans="1:11" x14ac:dyDescent="0.35">
      <c r="A134" s="709" t="str">
        <f ca="1">IF('Rozpad zakázky'!E150=0,"",IF('Rozpad zakázky'!E150="-","",'Rozpad zakázky'!E150))</f>
        <v>PRDP</v>
      </c>
      <c r="B134" s="708" t="str">
        <f ca="1">IF(A134="","",IF(A134="","",VLOOKUP(A:A,Pomocna_Nakup[],3,0))&amp;" | "&amp;IF(A134="","",VLOOKUP(A:A,Pomocna_Nakup[],4,0)))</f>
        <v>PR | Profese a služby</v>
      </c>
      <c r="C134" s="710" t="str">
        <f ca="1">IF(Tabulka_nakup_Vonka[[#This Row],[Zkratka kalkulační položky]]="","",Tabulka_nakup_Vonka[[#This Row],[Zkratka kalkulační položky]]&amp;" | "&amp;IF(A134="","",VLOOKUP(A:A,Pomocna_Nakup[],2,0)))</f>
        <v>PRDP | Doprava</v>
      </c>
      <c r="D134" s="710" t="str">
        <f ca="1">IF(A134="","",'Rozpad zakázky'!F150)</f>
        <v>N/A</v>
      </c>
      <c r="E134" s="710" t="str">
        <f ca="1">IF(A134="","",'Rozpad zakázky'!D150&amp;IF('Rozpad zakázky'!G150="",""," ("&amp;'Rozpad zakázky'!G150&amp;")"))</f>
        <v xml:space="preserve">  Doprava</v>
      </c>
      <c r="F134" s="709">
        <f ca="1">IF(A134="","",'Rozpad zakázky'!IW150)</f>
        <v>1</v>
      </c>
      <c r="G134" s="711">
        <f ca="1">IF(A134="","",'Rozpad zakázky'!AE150)</f>
        <v>300000</v>
      </c>
      <c r="H134" s="717">
        <f ca="1">IF(A134="","",'Rozpad zakázky'!AJ150)</f>
        <v>11111.111111111111</v>
      </c>
      <c r="I134" s="748">
        <f ca="1">IF(A134="","",'Rozpad zakázky'!Q150)</f>
        <v>1</v>
      </c>
      <c r="J134" s="717">
        <f ca="1">IF(A134="","",ROUNDDOWN('Rozpad zakázky'!L150,1))</f>
        <v>1</v>
      </c>
      <c r="K134" s="745">
        <f ca="1">IF(A134="","",Tabulka_nakup_Vonka[[#This Row],[Počet MJHR v rozpadu]]*Tabulka_nakup_Vonka[[#This Row],[Jedn. hmotnost '[kg/MJHR']]])</f>
        <v>1</v>
      </c>
    </row>
    <row r="135" spans="1:11" x14ac:dyDescent="0.35">
      <c r="A135" s="709" t="str">
        <f>IF('Rozpad zakázky'!E151=0,"",IF('Rozpad zakázky'!E151="-","",'Rozpad zakázky'!E151))</f>
        <v/>
      </c>
      <c r="B135" s="708" t="str">
        <f>IF(A135="","",IF(A135="","",VLOOKUP(A:A,Pomocna_Nakup[],3,0))&amp;" | "&amp;IF(A135="","",VLOOKUP(A:A,Pomocna_Nakup[],4,0)))</f>
        <v/>
      </c>
      <c r="C135" s="710" t="str">
        <f>IF(Tabulka_nakup_Vonka[[#This Row],[Zkratka kalkulační položky]]="","",Tabulka_nakup_Vonka[[#This Row],[Zkratka kalkulační položky]]&amp;" | "&amp;IF(A135="","",VLOOKUP(A:A,Pomocna_Nakup[],2,0)))</f>
        <v/>
      </c>
      <c r="D135" s="710" t="str">
        <f>IF(A135="","",'Rozpad zakázky'!F151)</f>
        <v/>
      </c>
      <c r="E135" s="710" t="str">
        <f>IF(A135="","",'Rozpad zakázky'!D151&amp;IF('Rozpad zakázky'!G151="",""," ("&amp;'Rozpad zakázky'!G151&amp;")"))</f>
        <v/>
      </c>
      <c r="F135" s="709" t="str">
        <f>IF(A135="","",'Rozpad zakázky'!IW151)</f>
        <v/>
      </c>
      <c r="G135" s="711" t="str">
        <f>IF(A135="","",'Rozpad zakázky'!AE151)</f>
        <v/>
      </c>
      <c r="H135" s="717" t="str">
        <f>IF(A135="","",'Rozpad zakázky'!AJ151)</f>
        <v/>
      </c>
      <c r="I135" s="748" t="str">
        <f>IF(A135="","",'Rozpad zakázky'!Q151)</f>
        <v/>
      </c>
      <c r="J135" s="717" t="str">
        <f>IF(A135="","",ROUNDDOWN('Rozpad zakázky'!L151,1))</f>
        <v/>
      </c>
      <c r="K135" s="745" t="str">
        <f>IF(A135="","",Tabulka_nakup_Vonka[[#This Row],[Počet MJHR v rozpadu]]*Tabulka_nakup_Vonka[[#This Row],[Jedn. hmotnost '[kg/MJHR']]])</f>
        <v/>
      </c>
    </row>
    <row r="136" spans="1:11" x14ac:dyDescent="0.35">
      <c r="A136" s="709" t="str">
        <f>IF('Rozpad zakázky'!E152=0,"",IF('Rozpad zakázky'!E152="-","",'Rozpad zakázky'!E152))</f>
        <v/>
      </c>
      <c r="B136" s="708" t="str">
        <f>IF(A136="","",IF(A136="","",VLOOKUP(A:A,Pomocna_Nakup[],3,0))&amp;" | "&amp;IF(A136="","",VLOOKUP(A:A,Pomocna_Nakup[],4,0)))</f>
        <v/>
      </c>
      <c r="C136" s="710" t="str">
        <f>IF(Tabulka_nakup_Vonka[[#This Row],[Zkratka kalkulační položky]]="","",Tabulka_nakup_Vonka[[#This Row],[Zkratka kalkulační položky]]&amp;" | "&amp;IF(A136="","",VLOOKUP(A:A,Pomocna_Nakup[],2,0)))</f>
        <v/>
      </c>
      <c r="D136" s="710" t="str">
        <f>IF(A136="","",'Rozpad zakázky'!F152)</f>
        <v/>
      </c>
      <c r="E136" s="710" t="str">
        <f>IF(A136="","",'Rozpad zakázky'!D152&amp;IF('Rozpad zakázky'!G152="",""," ("&amp;'Rozpad zakázky'!G152&amp;")"))</f>
        <v/>
      </c>
      <c r="F136" s="709" t="str">
        <f>IF(A136="","",'Rozpad zakázky'!IW152)</f>
        <v/>
      </c>
      <c r="G136" s="711" t="str">
        <f>IF(A136="","",'Rozpad zakázky'!AE152)</f>
        <v/>
      </c>
      <c r="H136" s="717" t="str">
        <f>IF(A136="","",'Rozpad zakázky'!AJ152)</f>
        <v/>
      </c>
      <c r="I136" s="748" t="str">
        <f>IF(A136="","",'Rozpad zakázky'!Q152)</f>
        <v/>
      </c>
      <c r="J136" s="717" t="str">
        <f>IF(A136="","",ROUNDDOWN('Rozpad zakázky'!L152,1))</f>
        <v/>
      </c>
      <c r="K136" s="745" t="str">
        <f>IF(A136="","",Tabulka_nakup_Vonka[[#This Row],[Počet MJHR v rozpadu]]*Tabulka_nakup_Vonka[[#This Row],[Jedn. hmotnost '[kg/MJHR']]])</f>
        <v/>
      </c>
    </row>
    <row r="137" spans="1:11" x14ac:dyDescent="0.35">
      <c r="A137" s="709" t="str">
        <f>IF('Rozpad zakázky'!E153=0,"",IF('Rozpad zakázky'!E153="-","",'Rozpad zakázky'!E153))</f>
        <v/>
      </c>
      <c r="B137" s="708" t="str">
        <f>IF(A137="","",IF(A137="","",VLOOKUP(A:A,Pomocna_Nakup[],3,0))&amp;" | "&amp;IF(A137="","",VLOOKUP(A:A,Pomocna_Nakup[],4,0)))</f>
        <v/>
      </c>
      <c r="C137" s="710" t="str">
        <f>IF(Tabulka_nakup_Vonka[[#This Row],[Zkratka kalkulační položky]]="","",Tabulka_nakup_Vonka[[#This Row],[Zkratka kalkulační položky]]&amp;" | "&amp;IF(A137="","",VLOOKUP(A:A,Pomocna_Nakup[],2,0)))</f>
        <v/>
      </c>
      <c r="D137" s="710" t="str">
        <f>IF(A137="","",'Rozpad zakázky'!F153)</f>
        <v/>
      </c>
      <c r="E137" s="710" t="str">
        <f>IF(A137="","",'Rozpad zakázky'!D153&amp;IF('Rozpad zakázky'!G153="",""," ("&amp;'Rozpad zakázky'!G153&amp;")"))</f>
        <v/>
      </c>
      <c r="F137" s="709" t="str">
        <f>IF(A137="","",'Rozpad zakázky'!IW153)</f>
        <v/>
      </c>
      <c r="G137" s="711" t="str">
        <f>IF(A137="","",'Rozpad zakázky'!AE153)</f>
        <v/>
      </c>
      <c r="H137" s="717" t="str">
        <f>IF(A137="","",'Rozpad zakázky'!AJ153)</f>
        <v/>
      </c>
      <c r="I137" s="748" t="str">
        <f>IF(A137="","",'Rozpad zakázky'!Q153)</f>
        <v/>
      </c>
      <c r="J137" s="717" t="str">
        <f>IF(A137="","",ROUNDDOWN('Rozpad zakázky'!L153,1))</f>
        <v/>
      </c>
      <c r="K137" s="745" t="str">
        <f>IF(A137="","",Tabulka_nakup_Vonka[[#This Row],[Počet MJHR v rozpadu]]*Tabulka_nakup_Vonka[[#This Row],[Jedn. hmotnost '[kg/MJHR']]])</f>
        <v/>
      </c>
    </row>
    <row r="138" spans="1:11" x14ac:dyDescent="0.35">
      <c r="A138" s="709" t="str">
        <f>IF('Rozpad zakázky'!E154=0,"",IF('Rozpad zakázky'!E154="-","",'Rozpad zakázky'!E154))</f>
        <v/>
      </c>
      <c r="B138" s="708" t="str">
        <f>IF(A138="","",IF(A138="","",VLOOKUP(A:A,Pomocna_Nakup[],3,0))&amp;" | "&amp;IF(A138="","",VLOOKUP(A:A,Pomocna_Nakup[],4,0)))</f>
        <v/>
      </c>
      <c r="C138" s="710" t="str">
        <f>IF(Tabulka_nakup_Vonka[[#This Row],[Zkratka kalkulační položky]]="","",Tabulka_nakup_Vonka[[#This Row],[Zkratka kalkulační položky]]&amp;" | "&amp;IF(A138="","",VLOOKUP(A:A,Pomocna_Nakup[],2,0)))</f>
        <v/>
      </c>
      <c r="D138" s="710" t="str">
        <f>IF(A138="","",'Rozpad zakázky'!F154)</f>
        <v/>
      </c>
      <c r="E138" s="710" t="str">
        <f>IF(A138="","",'Rozpad zakázky'!D154&amp;IF('Rozpad zakázky'!G154="",""," ("&amp;'Rozpad zakázky'!G154&amp;")"))</f>
        <v/>
      </c>
      <c r="F138" s="709" t="str">
        <f>IF(A138="","",'Rozpad zakázky'!IW154)</f>
        <v/>
      </c>
      <c r="G138" s="711" t="str">
        <f>IF(A138="","",'Rozpad zakázky'!AE154)</f>
        <v/>
      </c>
      <c r="H138" s="717" t="str">
        <f>IF(A138="","",'Rozpad zakázky'!AJ154)</f>
        <v/>
      </c>
      <c r="I138" s="748" t="str">
        <f>IF(A138="","",'Rozpad zakázky'!Q154)</f>
        <v/>
      </c>
      <c r="J138" s="717" t="str">
        <f>IF(A138="","",ROUNDDOWN('Rozpad zakázky'!L154,1))</f>
        <v/>
      </c>
      <c r="K138" s="745" t="str">
        <f>IF(A138="","",Tabulka_nakup_Vonka[[#This Row],[Počet MJHR v rozpadu]]*Tabulka_nakup_Vonka[[#This Row],[Jedn. hmotnost '[kg/MJHR']]])</f>
        <v/>
      </c>
    </row>
    <row r="139" spans="1:11" x14ac:dyDescent="0.35">
      <c r="A139" s="709" t="str">
        <f>IF('Rozpad zakázky'!E155=0,"",IF('Rozpad zakázky'!E155="-","",'Rozpad zakázky'!E155))</f>
        <v/>
      </c>
      <c r="B139" s="708" t="str">
        <f>IF(A139="","",IF(A139="","",VLOOKUP(A:A,Pomocna_Nakup[],3,0))&amp;" | "&amp;IF(A139="","",VLOOKUP(A:A,Pomocna_Nakup[],4,0)))</f>
        <v/>
      </c>
      <c r="C139" s="710" t="str">
        <f>IF(Tabulka_nakup_Vonka[[#This Row],[Zkratka kalkulační položky]]="","",Tabulka_nakup_Vonka[[#This Row],[Zkratka kalkulační položky]]&amp;" | "&amp;IF(A139="","",VLOOKUP(A:A,Pomocna_Nakup[],2,0)))</f>
        <v/>
      </c>
      <c r="D139" s="710" t="str">
        <f>IF(A139="","",'Rozpad zakázky'!F155)</f>
        <v/>
      </c>
      <c r="E139" s="710" t="str">
        <f>IF(A139="","",'Rozpad zakázky'!D155&amp;IF('Rozpad zakázky'!G155="",""," ("&amp;'Rozpad zakázky'!G155&amp;")"))</f>
        <v/>
      </c>
      <c r="F139" s="709" t="str">
        <f>IF(A139="","",'Rozpad zakázky'!IW155)</f>
        <v/>
      </c>
      <c r="G139" s="711" t="str">
        <f>IF(A139="","",'Rozpad zakázky'!AE155)</f>
        <v/>
      </c>
      <c r="H139" s="717" t="str">
        <f>IF(A139="","",'Rozpad zakázky'!AJ155)</f>
        <v/>
      </c>
      <c r="I139" s="748" t="str">
        <f>IF(A139="","",'Rozpad zakázky'!Q155)</f>
        <v/>
      </c>
      <c r="J139" s="717" t="str">
        <f>IF(A139="","",ROUNDDOWN('Rozpad zakázky'!L155,1))</f>
        <v/>
      </c>
      <c r="K139" s="745" t="str">
        <f>IF(A139="","",Tabulka_nakup_Vonka[[#This Row],[Počet MJHR v rozpadu]]*Tabulka_nakup_Vonka[[#This Row],[Jedn. hmotnost '[kg/MJHR']]])</f>
        <v/>
      </c>
    </row>
    <row r="140" spans="1:11" x14ac:dyDescent="0.35">
      <c r="A140" s="709" t="str">
        <f>IF('Rozpad zakázky'!E156=0,"",IF('Rozpad zakázky'!E156="-","",'Rozpad zakázky'!E156))</f>
        <v/>
      </c>
      <c r="B140" s="708" t="str">
        <f>IF(A140="","",IF(A140="","",VLOOKUP(A:A,Pomocna_Nakup[],3,0))&amp;" | "&amp;IF(A140="","",VLOOKUP(A:A,Pomocna_Nakup[],4,0)))</f>
        <v/>
      </c>
      <c r="C140" s="710" t="str">
        <f>IF(Tabulka_nakup_Vonka[[#This Row],[Zkratka kalkulační položky]]="","",Tabulka_nakup_Vonka[[#This Row],[Zkratka kalkulační položky]]&amp;" | "&amp;IF(A140="","",VLOOKUP(A:A,Pomocna_Nakup[],2,0)))</f>
        <v/>
      </c>
      <c r="D140" s="710" t="str">
        <f>IF(A140="","",'Rozpad zakázky'!F156)</f>
        <v/>
      </c>
      <c r="E140" s="710" t="str">
        <f>IF(A140="","",'Rozpad zakázky'!D156&amp;IF('Rozpad zakázky'!G156="",""," ("&amp;'Rozpad zakázky'!G156&amp;")"))</f>
        <v/>
      </c>
      <c r="F140" s="709" t="str">
        <f>IF(A140="","",'Rozpad zakázky'!IW156)</f>
        <v/>
      </c>
      <c r="G140" s="711" t="str">
        <f>IF(A140="","",'Rozpad zakázky'!AE156)</f>
        <v/>
      </c>
      <c r="H140" s="717" t="str">
        <f>IF(A140="","",'Rozpad zakázky'!AJ156)</f>
        <v/>
      </c>
      <c r="I140" s="748" t="str">
        <f>IF(A140="","",'Rozpad zakázky'!Q156)</f>
        <v/>
      </c>
      <c r="J140" s="717" t="str">
        <f>IF(A140="","",ROUNDDOWN('Rozpad zakázky'!L156,1))</f>
        <v/>
      </c>
      <c r="K140" s="745" t="str">
        <f>IF(A140="","",Tabulka_nakup_Vonka[[#This Row],[Počet MJHR v rozpadu]]*Tabulka_nakup_Vonka[[#This Row],[Jedn. hmotnost '[kg/MJHR']]])</f>
        <v/>
      </c>
    </row>
    <row r="141" spans="1:11" x14ac:dyDescent="0.35">
      <c r="A141" s="709" t="str">
        <f>IF('Rozpad zakázky'!E157=0,"",IF('Rozpad zakázky'!E157="-","",'Rozpad zakázky'!E157))</f>
        <v/>
      </c>
      <c r="B141" s="708" t="str">
        <f>IF(A141="","",IF(A141="","",VLOOKUP(A:A,Pomocna_Nakup[],3,0))&amp;" | "&amp;IF(A141="","",VLOOKUP(A:A,Pomocna_Nakup[],4,0)))</f>
        <v/>
      </c>
      <c r="C141" s="710" t="str">
        <f>IF(Tabulka_nakup_Vonka[[#This Row],[Zkratka kalkulační položky]]="","",Tabulka_nakup_Vonka[[#This Row],[Zkratka kalkulační položky]]&amp;" | "&amp;IF(A141="","",VLOOKUP(A:A,Pomocna_Nakup[],2,0)))</f>
        <v/>
      </c>
      <c r="D141" s="710" t="str">
        <f>IF(A141="","",'Rozpad zakázky'!F157)</f>
        <v/>
      </c>
      <c r="E141" s="710" t="str">
        <f>IF(A141="","",'Rozpad zakázky'!D157&amp;IF('Rozpad zakázky'!G157="",""," ("&amp;'Rozpad zakázky'!G157&amp;")"))</f>
        <v/>
      </c>
      <c r="F141" s="709" t="str">
        <f>IF(A141="","",'Rozpad zakázky'!IW157)</f>
        <v/>
      </c>
      <c r="G141" s="711" t="str">
        <f>IF(A141="","",'Rozpad zakázky'!AE157)</f>
        <v/>
      </c>
      <c r="H141" s="717" t="str">
        <f>IF(A141="","",'Rozpad zakázky'!AJ157)</f>
        <v/>
      </c>
      <c r="I141" s="748" t="str">
        <f>IF(A141="","",'Rozpad zakázky'!Q157)</f>
        <v/>
      </c>
      <c r="J141" s="717" t="str">
        <f>IF(A141="","",ROUNDDOWN('Rozpad zakázky'!L157,1))</f>
        <v/>
      </c>
      <c r="K141" s="745" t="str">
        <f>IF(A141="","",Tabulka_nakup_Vonka[[#This Row],[Počet MJHR v rozpadu]]*Tabulka_nakup_Vonka[[#This Row],[Jedn. hmotnost '[kg/MJHR']]])</f>
        <v/>
      </c>
    </row>
    <row r="142" spans="1:11" x14ac:dyDescent="0.35">
      <c r="A142" s="709" t="str">
        <f>IF('Rozpad zakázky'!E158=0,"",IF('Rozpad zakázky'!E158="-","",'Rozpad zakázky'!E158))</f>
        <v/>
      </c>
      <c r="B142" s="708" t="str">
        <f>IF(A142="","",IF(A142="","",VLOOKUP(A:A,Pomocna_Nakup[],3,0))&amp;" | "&amp;IF(A142="","",VLOOKUP(A:A,Pomocna_Nakup[],4,0)))</f>
        <v/>
      </c>
      <c r="C142" s="710" t="str">
        <f>IF(Tabulka_nakup_Vonka[[#This Row],[Zkratka kalkulační položky]]="","",Tabulka_nakup_Vonka[[#This Row],[Zkratka kalkulační položky]]&amp;" | "&amp;IF(A142="","",VLOOKUP(A:A,Pomocna_Nakup[],2,0)))</f>
        <v/>
      </c>
      <c r="D142" s="710" t="str">
        <f>IF(A142="","",'Rozpad zakázky'!F158)</f>
        <v/>
      </c>
      <c r="E142" s="710" t="str">
        <f>IF(A142="","",'Rozpad zakázky'!D158&amp;IF('Rozpad zakázky'!G158="",""," ("&amp;'Rozpad zakázky'!G158&amp;")"))</f>
        <v/>
      </c>
      <c r="F142" s="709" t="str">
        <f>IF(A142="","",'Rozpad zakázky'!IW158)</f>
        <v/>
      </c>
      <c r="G142" s="711" t="str">
        <f>IF(A142="","",'Rozpad zakázky'!AE158)</f>
        <v/>
      </c>
      <c r="H142" s="717" t="str">
        <f>IF(A142="","",'Rozpad zakázky'!AJ158)</f>
        <v/>
      </c>
      <c r="I142" s="748" t="str">
        <f>IF(A142="","",'Rozpad zakázky'!Q158)</f>
        <v/>
      </c>
      <c r="J142" s="717" t="str">
        <f>IF(A142="","",ROUNDDOWN('Rozpad zakázky'!L158,1))</f>
        <v/>
      </c>
      <c r="K142" s="745" t="str">
        <f>IF(A142="","",Tabulka_nakup_Vonka[[#This Row],[Počet MJHR v rozpadu]]*Tabulka_nakup_Vonka[[#This Row],[Jedn. hmotnost '[kg/MJHR']]])</f>
        <v/>
      </c>
    </row>
    <row r="143" spans="1:11" x14ac:dyDescent="0.35">
      <c r="A143" s="709" t="str">
        <f>IF('Rozpad zakázky'!E159=0,"",IF('Rozpad zakázky'!E159="-","",'Rozpad zakázky'!E159))</f>
        <v/>
      </c>
      <c r="B143" s="708" t="str">
        <f>IF(A143="","",IF(A143="","",VLOOKUP(A:A,Pomocna_Nakup[],3,0))&amp;" | "&amp;IF(A143="","",VLOOKUP(A:A,Pomocna_Nakup[],4,0)))</f>
        <v/>
      </c>
      <c r="C143" s="710" t="str">
        <f>IF(Tabulka_nakup_Vonka[[#This Row],[Zkratka kalkulační položky]]="","",Tabulka_nakup_Vonka[[#This Row],[Zkratka kalkulační položky]]&amp;" | "&amp;IF(A143="","",VLOOKUP(A:A,Pomocna_Nakup[],2,0)))</f>
        <v/>
      </c>
      <c r="D143" s="710" t="str">
        <f>IF(A143="","",'Rozpad zakázky'!F159)</f>
        <v/>
      </c>
      <c r="E143" s="710" t="str">
        <f>IF(A143="","",'Rozpad zakázky'!D159&amp;IF('Rozpad zakázky'!G159="",""," ("&amp;'Rozpad zakázky'!G159&amp;")"))</f>
        <v/>
      </c>
      <c r="F143" s="709" t="str">
        <f>IF(A143="","",'Rozpad zakázky'!IW159)</f>
        <v/>
      </c>
      <c r="G143" s="711" t="str">
        <f>IF(A143="","",'Rozpad zakázky'!AE159)</f>
        <v/>
      </c>
      <c r="H143" s="717" t="str">
        <f>IF(A143="","",'Rozpad zakázky'!AJ159)</f>
        <v/>
      </c>
      <c r="I143" s="748" t="str">
        <f>IF(A143="","",'Rozpad zakázky'!Q159)</f>
        <v/>
      </c>
      <c r="J143" s="717" t="str">
        <f>IF(A143="","",ROUNDDOWN('Rozpad zakázky'!L159,1))</f>
        <v/>
      </c>
      <c r="K143" s="745" t="str">
        <f>IF(A143="","",Tabulka_nakup_Vonka[[#This Row],[Počet MJHR v rozpadu]]*Tabulka_nakup_Vonka[[#This Row],[Jedn. hmotnost '[kg/MJHR']]])</f>
        <v/>
      </c>
    </row>
    <row r="144" spans="1:11" x14ac:dyDescent="0.35">
      <c r="A144" s="709" t="str">
        <f>IF('Rozpad zakázky'!E160=0,"",IF('Rozpad zakázky'!E160="-","",'Rozpad zakázky'!E160))</f>
        <v/>
      </c>
      <c r="B144" s="708" t="str">
        <f>IF(A144="","",IF(A144="","",VLOOKUP(A:A,Pomocna_Nakup[],3,0))&amp;" | "&amp;IF(A144="","",VLOOKUP(A:A,Pomocna_Nakup[],4,0)))</f>
        <v/>
      </c>
      <c r="C144" s="710" t="str">
        <f>IF(Tabulka_nakup_Vonka[[#This Row],[Zkratka kalkulační položky]]="","",Tabulka_nakup_Vonka[[#This Row],[Zkratka kalkulační položky]]&amp;" | "&amp;IF(A144="","",VLOOKUP(A:A,Pomocna_Nakup[],2,0)))</f>
        <v/>
      </c>
      <c r="D144" s="710" t="str">
        <f>IF(A144="","",'Rozpad zakázky'!F160)</f>
        <v/>
      </c>
      <c r="E144" s="710" t="str">
        <f>IF(A144="","",'Rozpad zakázky'!D160&amp;IF('Rozpad zakázky'!G160="",""," ("&amp;'Rozpad zakázky'!G160&amp;")"))</f>
        <v/>
      </c>
      <c r="F144" s="709" t="str">
        <f>IF(A144="","",'Rozpad zakázky'!IW160)</f>
        <v/>
      </c>
      <c r="G144" s="711" t="str">
        <f>IF(A144="","",'Rozpad zakázky'!AE160)</f>
        <v/>
      </c>
      <c r="H144" s="717" t="str">
        <f>IF(A144="","",'Rozpad zakázky'!AJ160)</f>
        <v/>
      </c>
      <c r="I144" s="748" t="str">
        <f>IF(A144="","",'Rozpad zakázky'!Q160)</f>
        <v/>
      </c>
      <c r="J144" s="717" t="str">
        <f>IF(A144="","",ROUNDDOWN('Rozpad zakázky'!L160,1))</f>
        <v/>
      </c>
      <c r="K144" s="745" t="str">
        <f>IF(A144="","",Tabulka_nakup_Vonka[[#This Row],[Počet MJHR v rozpadu]]*Tabulka_nakup_Vonka[[#This Row],[Jedn. hmotnost '[kg/MJHR']]])</f>
        <v/>
      </c>
    </row>
    <row r="145" spans="1:11" x14ac:dyDescent="0.35">
      <c r="A145" s="709" t="str">
        <f>IF('Rozpad zakázky'!E161=0,"",IF('Rozpad zakázky'!E161="-","",'Rozpad zakázky'!E161))</f>
        <v/>
      </c>
      <c r="B145" s="708" t="str">
        <f>IF(A145="","",IF(A145="","",VLOOKUP(A:A,Pomocna_Nakup[],3,0))&amp;" | "&amp;IF(A145="","",VLOOKUP(A:A,Pomocna_Nakup[],4,0)))</f>
        <v/>
      </c>
      <c r="C145" s="710" t="str">
        <f>IF(Tabulka_nakup_Vonka[[#This Row],[Zkratka kalkulační položky]]="","",Tabulka_nakup_Vonka[[#This Row],[Zkratka kalkulační položky]]&amp;" | "&amp;IF(A145="","",VLOOKUP(A:A,Pomocna_Nakup[],2,0)))</f>
        <v/>
      </c>
      <c r="D145" s="710" t="str">
        <f>IF(A145="","",'Rozpad zakázky'!F161)</f>
        <v/>
      </c>
      <c r="E145" s="710" t="str">
        <f>IF(A145="","",'Rozpad zakázky'!D161&amp;IF('Rozpad zakázky'!G161="",""," ("&amp;'Rozpad zakázky'!G161&amp;")"))</f>
        <v/>
      </c>
      <c r="F145" s="709" t="str">
        <f>IF(A145="","",'Rozpad zakázky'!IW161)</f>
        <v/>
      </c>
      <c r="G145" s="711" t="str">
        <f>IF(A145="","",'Rozpad zakázky'!AE161)</f>
        <v/>
      </c>
      <c r="H145" s="717" t="str">
        <f>IF(A145="","",'Rozpad zakázky'!AJ161)</f>
        <v/>
      </c>
      <c r="I145" s="748" t="str">
        <f>IF(A145="","",'Rozpad zakázky'!Q161)</f>
        <v/>
      </c>
      <c r="J145" s="717" t="str">
        <f>IF(A145="","",ROUNDDOWN('Rozpad zakázky'!L161,1))</f>
        <v/>
      </c>
      <c r="K145" s="745" t="str">
        <f>IF(A145="","",Tabulka_nakup_Vonka[[#This Row],[Počet MJHR v rozpadu]]*Tabulka_nakup_Vonka[[#This Row],[Jedn. hmotnost '[kg/MJHR']]])</f>
        <v/>
      </c>
    </row>
    <row r="146" spans="1:11" x14ac:dyDescent="0.35">
      <c r="A146" s="709" t="str">
        <f>IF('Rozpad zakázky'!E162=0,"",IF('Rozpad zakázky'!E162="-","",'Rozpad zakázky'!E162))</f>
        <v/>
      </c>
      <c r="B146" s="708" t="str">
        <f>IF(A146="","",IF(A146="","",VLOOKUP(A:A,Pomocna_Nakup[],3,0))&amp;" | "&amp;IF(A146="","",VLOOKUP(A:A,Pomocna_Nakup[],4,0)))</f>
        <v/>
      </c>
      <c r="C146" s="710" t="str">
        <f>IF(Tabulka_nakup_Vonka[[#This Row],[Zkratka kalkulační položky]]="","",Tabulka_nakup_Vonka[[#This Row],[Zkratka kalkulační položky]]&amp;" | "&amp;IF(A146="","",VLOOKUP(A:A,Pomocna_Nakup[],2,0)))</f>
        <v/>
      </c>
      <c r="D146" s="710" t="str">
        <f>IF(A146="","",'Rozpad zakázky'!F162)</f>
        <v/>
      </c>
      <c r="E146" s="710" t="str">
        <f>IF(A146="","",'Rozpad zakázky'!D162&amp;IF('Rozpad zakázky'!G162="",""," ("&amp;'Rozpad zakázky'!G162&amp;")"))</f>
        <v/>
      </c>
      <c r="F146" s="709" t="str">
        <f>IF(A146="","",'Rozpad zakázky'!IW162)</f>
        <v/>
      </c>
      <c r="G146" s="711" t="str">
        <f>IF(A146="","",'Rozpad zakázky'!AE162)</f>
        <v/>
      </c>
      <c r="H146" s="717" t="str">
        <f>IF(A146="","",'Rozpad zakázky'!AJ162)</f>
        <v/>
      </c>
      <c r="I146" s="748" t="str">
        <f>IF(A146="","",'Rozpad zakázky'!Q162)</f>
        <v/>
      </c>
      <c r="J146" s="717" t="str">
        <f>IF(A146="","",ROUNDDOWN('Rozpad zakázky'!L162,1))</f>
        <v/>
      </c>
      <c r="K146" s="745" t="str">
        <f>IF(A146="","",Tabulka_nakup_Vonka[[#This Row],[Počet MJHR v rozpadu]]*Tabulka_nakup_Vonka[[#This Row],[Jedn. hmotnost '[kg/MJHR']]])</f>
        <v/>
      </c>
    </row>
    <row r="147" spans="1:11" x14ac:dyDescent="0.35">
      <c r="A147" s="709" t="str">
        <f>IF('Rozpad zakázky'!E163=0,"",IF('Rozpad zakázky'!E163="-","",'Rozpad zakázky'!E163))</f>
        <v/>
      </c>
      <c r="B147" s="708" t="str">
        <f>IF(A147="","",IF(A147="","",VLOOKUP(A:A,Pomocna_Nakup[],3,0))&amp;" | "&amp;IF(A147="","",VLOOKUP(A:A,Pomocna_Nakup[],4,0)))</f>
        <v/>
      </c>
      <c r="C147" s="710" t="str">
        <f>IF(Tabulka_nakup_Vonka[[#This Row],[Zkratka kalkulační položky]]="","",Tabulka_nakup_Vonka[[#This Row],[Zkratka kalkulační položky]]&amp;" | "&amp;IF(A147="","",VLOOKUP(A:A,Pomocna_Nakup[],2,0)))</f>
        <v/>
      </c>
      <c r="D147" s="710" t="str">
        <f>IF(A147="","",'Rozpad zakázky'!F163)</f>
        <v/>
      </c>
      <c r="E147" s="710" t="str">
        <f>IF(A147="","",'Rozpad zakázky'!D163&amp;IF('Rozpad zakázky'!G163="",""," ("&amp;'Rozpad zakázky'!G163&amp;")"))</f>
        <v/>
      </c>
      <c r="F147" s="709" t="str">
        <f>IF(A147="","",'Rozpad zakázky'!IW163)</f>
        <v/>
      </c>
      <c r="G147" s="711" t="str">
        <f>IF(A147="","",'Rozpad zakázky'!AE163)</f>
        <v/>
      </c>
      <c r="H147" s="717" t="str">
        <f>IF(A147="","",'Rozpad zakázky'!AJ163)</f>
        <v/>
      </c>
      <c r="I147" s="748" t="str">
        <f>IF(A147="","",'Rozpad zakázky'!Q163)</f>
        <v/>
      </c>
      <c r="J147" s="717" t="str">
        <f>IF(A147="","",ROUNDDOWN('Rozpad zakázky'!L163,1))</f>
        <v/>
      </c>
      <c r="K147" s="745" t="str">
        <f>IF(A147="","",Tabulka_nakup_Vonka[[#This Row],[Počet MJHR v rozpadu]]*Tabulka_nakup_Vonka[[#This Row],[Jedn. hmotnost '[kg/MJHR']]])</f>
        <v/>
      </c>
    </row>
    <row r="148" spans="1:11" x14ac:dyDescent="0.35">
      <c r="A148" s="709" t="str">
        <f>IF('Rozpad zakázky'!E164=0,"",IF('Rozpad zakázky'!E164="-","",'Rozpad zakázky'!E164))</f>
        <v/>
      </c>
      <c r="B148" s="708" t="str">
        <f>IF(A148="","",IF(A148="","",VLOOKUP(A:A,Pomocna_Nakup[],3,0))&amp;" | "&amp;IF(A148="","",VLOOKUP(A:A,Pomocna_Nakup[],4,0)))</f>
        <v/>
      </c>
      <c r="C148" s="710" t="str">
        <f>IF(Tabulka_nakup_Vonka[[#This Row],[Zkratka kalkulační položky]]="","",Tabulka_nakup_Vonka[[#This Row],[Zkratka kalkulační položky]]&amp;" | "&amp;IF(A148="","",VLOOKUP(A:A,Pomocna_Nakup[],2,0)))</f>
        <v/>
      </c>
      <c r="D148" s="710" t="str">
        <f>IF(A148="","",'Rozpad zakázky'!F164)</f>
        <v/>
      </c>
      <c r="E148" s="710" t="str">
        <f>IF(A148="","",'Rozpad zakázky'!D164&amp;IF('Rozpad zakázky'!G164="",""," ("&amp;'Rozpad zakázky'!G164&amp;")"))</f>
        <v/>
      </c>
      <c r="F148" s="709" t="str">
        <f>IF(A148="","",'Rozpad zakázky'!IW164)</f>
        <v/>
      </c>
      <c r="G148" s="711" t="str">
        <f>IF(A148="","",'Rozpad zakázky'!AE164)</f>
        <v/>
      </c>
      <c r="H148" s="717" t="str">
        <f>IF(A148="","",'Rozpad zakázky'!AJ164)</f>
        <v/>
      </c>
      <c r="I148" s="748" t="str">
        <f>IF(A148="","",'Rozpad zakázky'!Q164)</f>
        <v/>
      </c>
      <c r="J148" s="717" t="str">
        <f>IF(A148="","",ROUNDDOWN('Rozpad zakázky'!L164,1))</f>
        <v/>
      </c>
      <c r="K148" s="745" t="str">
        <f>IF(A148="","",Tabulka_nakup_Vonka[[#This Row],[Počet MJHR v rozpadu]]*Tabulka_nakup_Vonka[[#This Row],[Jedn. hmotnost '[kg/MJHR']]])</f>
        <v/>
      </c>
    </row>
    <row r="149" spans="1:11" x14ac:dyDescent="0.35">
      <c r="A149" s="709" t="str">
        <f>IF('Rozpad zakázky'!E165=0,"",IF('Rozpad zakázky'!E165="-","",'Rozpad zakázky'!E165))</f>
        <v/>
      </c>
      <c r="B149" s="708" t="str">
        <f>IF(A149="","",IF(A149="","",VLOOKUP(A:A,Pomocna_Nakup[],3,0))&amp;" | "&amp;IF(A149="","",VLOOKUP(A:A,Pomocna_Nakup[],4,0)))</f>
        <v/>
      </c>
      <c r="C149" s="710" t="str">
        <f>IF(Tabulka_nakup_Vonka[[#This Row],[Zkratka kalkulační položky]]="","",Tabulka_nakup_Vonka[[#This Row],[Zkratka kalkulační položky]]&amp;" | "&amp;IF(A149="","",VLOOKUP(A:A,Pomocna_Nakup[],2,0)))</f>
        <v/>
      </c>
      <c r="D149" s="710" t="str">
        <f>IF(A149="","",'Rozpad zakázky'!F165)</f>
        <v/>
      </c>
      <c r="E149" s="710" t="str">
        <f>IF(A149="","",'Rozpad zakázky'!D165&amp;IF('Rozpad zakázky'!G165="",""," ("&amp;'Rozpad zakázky'!G165&amp;")"))</f>
        <v/>
      </c>
      <c r="F149" s="709" t="str">
        <f>IF(A149="","",'Rozpad zakázky'!IW165)</f>
        <v/>
      </c>
      <c r="G149" s="711" t="str">
        <f>IF(A149="","",'Rozpad zakázky'!AE165)</f>
        <v/>
      </c>
      <c r="H149" s="717" t="str">
        <f>IF(A149="","",'Rozpad zakázky'!AJ165)</f>
        <v/>
      </c>
      <c r="I149" s="748" t="str">
        <f>IF(A149="","",'Rozpad zakázky'!Q165)</f>
        <v/>
      </c>
      <c r="J149" s="717" t="str">
        <f>IF(A149="","",ROUNDDOWN('Rozpad zakázky'!L165,1))</f>
        <v/>
      </c>
      <c r="K149" s="745" t="str">
        <f>IF(A149="","",Tabulka_nakup_Vonka[[#This Row],[Počet MJHR v rozpadu]]*Tabulka_nakup_Vonka[[#This Row],[Jedn. hmotnost '[kg/MJHR']]])</f>
        <v/>
      </c>
    </row>
    <row r="150" spans="1:11" x14ac:dyDescent="0.35">
      <c r="A150" s="709" t="str">
        <f>IF('Rozpad zakázky'!E166=0,"",IF('Rozpad zakázky'!E166="-","",'Rozpad zakázky'!E166))</f>
        <v/>
      </c>
      <c r="B150" s="708" t="str">
        <f>IF(A150="","",IF(A150="","",VLOOKUP(A:A,Pomocna_Nakup[],3,0))&amp;" | "&amp;IF(A150="","",VLOOKUP(A:A,Pomocna_Nakup[],4,0)))</f>
        <v/>
      </c>
      <c r="C150" s="710" t="str">
        <f>IF(Tabulka_nakup_Vonka[[#This Row],[Zkratka kalkulační položky]]="","",Tabulka_nakup_Vonka[[#This Row],[Zkratka kalkulační položky]]&amp;" | "&amp;IF(A150="","",VLOOKUP(A:A,Pomocna_Nakup[],2,0)))</f>
        <v/>
      </c>
      <c r="D150" s="710" t="str">
        <f>IF(A150="","",'Rozpad zakázky'!F166)</f>
        <v/>
      </c>
      <c r="E150" s="710" t="str">
        <f>IF(A150="","",'Rozpad zakázky'!D166&amp;IF('Rozpad zakázky'!G166="",""," ("&amp;'Rozpad zakázky'!G166&amp;")"))</f>
        <v/>
      </c>
      <c r="F150" s="709" t="str">
        <f>IF(A150="","",'Rozpad zakázky'!IW166)</f>
        <v/>
      </c>
      <c r="G150" s="711" t="str">
        <f>IF(A150="","",'Rozpad zakázky'!AE166)</f>
        <v/>
      </c>
      <c r="H150" s="717" t="str">
        <f>IF(A150="","",'Rozpad zakázky'!AJ166)</f>
        <v/>
      </c>
      <c r="I150" s="748" t="str">
        <f>IF(A150="","",'Rozpad zakázky'!Q166)</f>
        <v/>
      </c>
      <c r="J150" s="717" t="str">
        <f>IF(A150="","",ROUNDDOWN('Rozpad zakázky'!L166,1))</f>
        <v/>
      </c>
      <c r="K150" s="745" t="str">
        <f>IF(A150="","",Tabulka_nakup_Vonka[[#This Row],[Počet MJHR v rozpadu]]*Tabulka_nakup_Vonka[[#This Row],[Jedn. hmotnost '[kg/MJHR']]])</f>
        <v/>
      </c>
    </row>
    <row r="151" spans="1:11" x14ac:dyDescent="0.35">
      <c r="A151" s="709" t="str">
        <f>IF('Rozpad zakázky'!E167=0,"",IF('Rozpad zakázky'!E167="-","",'Rozpad zakázky'!E167))</f>
        <v/>
      </c>
      <c r="B151" s="708" t="str">
        <f>IF(A151="","",IF(A151="","",VLOOKUP(A:A,Pomocna_Nakup[],3,0))&amp;" | "&amp;IF(A151="","",VLOOKUP(A:A,Pomocna_Nakup[],4,0)))</f>
        <v/>
      </c>
      <c r="C151" s="710" t="str">
        <f>IF(Tabulka_nakup_Vonka[[#This Row],[Zkratka kalkulační položky]]="","",Tabulka_nakup_Vonka[[#This Row],[Zkratka kalkulační položky]]&amp;" | "&amp;IF(A151="","",VLOOKUP(A:A,Pomocna_Nakup[],2,0)))</f>
        <v/>
      </c>
      <c r="D151" s="710" t="str">
        <f>IF(A151="","",'Rozpad zakázky'!F167)</f>
        <v/>
      </c>
      <c r="E151" s="710" t="str">
        <f>IF(A151="","",'Rozpad zakázky'!D167&amp;IF('Rozpad zakázky'!G167="",""," ("&amp;'Rozpad zakázky'!G167&amp;")"))</f>
        <v/>
      </c>
      <c r="F151" s="709" t="str">
        <f>IF(A151="","",'Rozpad zakázky'!IW167)</f>
        <v/>
      </c>
      <c r="G151" s="711" t="str">
        <f>IF(A151="","",'Rozpad zakázky'!AE167)</f>
        <v/>
      </c>
      <c r="H151" s="717" t="str">
        <f>IF(A151="","",'Rozpad zakázky'!AJ167)</f>
        <v/>
      </c>
      <c r="I151" s="748" t="str">
        <f>IF(A151="","",'Rozpad zakázky'!Q167)</f>
        <v/>
      </c>
      <c r="J151" s="717" t="str">
        <f>IF(A151="","",ROUNDDOWN('Rozpad zakázky'!L167,1))</f>
        <v/>
      </c>
      <c r="K151" s="745" t="str">
        <f>IF(A151="","",Tabulka_nakup_Vonka[[#This Row],[Počet MJHR v rozpadu]]*Tabulka_nakup_Vonka[[#This Row],[Jedn. hmotnost '[kg/MJHR']]])</f>
        <v/>
      </c>
    </row>
    <row r="152" spans="1:11" x14ac:dyDescent="0.35">
      <c r="A152" s="709" t="str">
        <f>IF('Rozpad zakázky'!E168=0,"",IF('Rozpad zakázky'!E168="-","",'Rozpad zakázky'!E168))</f>
        <v/>
      </c>
      <c r="B152" s="708" t="str">
        <f>IF(A152="","",IF(A152="","",VLOOKUP(A:A,Pomocna_Nakup[],3,0))&amp;" | "&amp;IF(A152="","",VLOOKUP(A:A,Pomocna_Nakup[],4,0)))</f>
        <v/>
      </c>
      <c r="C152" s="710" t="str">
        <f>IF(Tabulka_nakup_Vonka[[#This Row],[Zkratka kalkulační položky]]="","",Tabulka_nakup_Vonka[[#This Row],[Zkratka kalkulační položky]]&amp;" | "&amp;IF(A152="","",VLOOKUP(A:A,Pomocna_Nakup[],2,0)))</f>
        <v/>
      </c>
      <c r="D152" s="710" t="str">
        <f>IF(A152="","",'Rozpad zakázky'!F168)</f>
        <v/>
      </c>
      <c r="E152" s="710" t="str">
        <f>IF(A152="","",'Rozpad zakázky'!D168&amp;IF('Rozpad zakázky'!G168="",""," ("&amp;'Rozpad zakázky'!G168&amp;")"))</f>
        <v/>
      </c>
      <c r="F152" s="709" t="str">
        <f>IF(A152="","",'Rozpad zakázky'!IW168)</f>
        <v/>
      </c>
      <c r="G152" s="711" t="str">
        <f>IF(A152="","",'Rozpad zakázky'!AE168)</f>
        <v/>
      </c>
      <c r="H152" s="717" t="str">
        <f>IF(A152="","",'Rozpad zakázky'!AJ168)</f>
        <v/>
      </c>
      <c r="I152" s="748" t="str">
        <f>IF(A152="","",'Rozpad zakázky'!Q168)</f>
        <v/>
      </c>
      <c r="J152" s="717" t="str">
        <f>IF(A152="","",ROUNDDOWN('Rozpad zakázky'!L168,1))</f>
        <v/>
      </c>
      <c r="K152" s="745" t="str">
        <f>IF(A152="","",Tabulka_nakup_Vonka[[#This Row],[Počet MJHR v rozpadu]]*Tabulka_nakup_Vonka[[#This Row],[Jedn. hmotnost '[kg/MJHR']]])</f>
        <v/>
      </c>
    </row>
    <row r="153" spans="1:11" x14ac:dyDescent="0.35">
      <c r="A153" s="709" t="str">
        <f>IF('Rozpad zakázky'!E169=0,"",IF('Rozpad zakázky'!E169="-","",'Rozpad zakázky'!E169))</f>
        <v/>
      </c>
      <c r="B153" s="708" t="str">
        <f>IF(A153="","",IF(A153="","",VLOOKUP(A:A,Pomocna_Nakup[],3,0))&amp;" | "&amp;IF(A153="","",VLOOKUP(A:A,Pomocna_Nakup[],4,0)))</f>
        <v/>
      </c>
      <c r="C153" s="710" t="str">
        <f>IF(Tabulka_nakup_Vonka[[#This Row],[Zkratka kalkulační položky]]="","",Tabulka_nakup_Vonka[[#This Row],[Zkratka kalkulační položky]]&amp;" | "&amp;IF(A153="","",VLOOKUP(A:A,Pomocna_Nakup[],2,0)))</f>
        <v/>
      </c>
      <c r="D153" s="710" t="str">
        <f>IF(A153="","",'Rozpad zakázky'!F169)</f>
        <v/>
      </c>
      <c r="E153" s="710" t="str">
        <f>IF(A153="","",'Rozpad zakázky'!D169&amp;IF('Rozpad zakázky'!G169="",""," ("&amp;'Rozpad zakázky'!G169&amp;")"))</f>
        <v/>
      </c>
      <c r="F153" s="709" t="str">
        <f>IF(A153="","",'Rozpad zakázky'!IW169)</f>
        <v/>
      </c>
      <c r="G153" s="711" t="str">
        <f>IF(A153="","",'Rozpad zakázky'!AE169)</f>
        <v/>
      </c>
      <c r="H153" s="717" t="str">
        <f>IF(A153="","",'Rozpad zakázky'!AJ169)</f>
        <v/>
      </c>
      <c r="I153" s="748" t="str">
        <f>IF(A153="","",'Rozpad zakázky'!Q169)</f>
        <v/>
      </c>
      <c r="J153" s="717" t="str">
        <f>IF(A153="","",ROUNDDOWN('Rozpad zakázky'!L169,1))</f>
        <v/>
      </c>
      <c r="K153" s="745" t="str">
        <f>IF(A153="","",Tabulka_nakup_Vonka[[#This Row],[Počet MJHR v rozpadu]]*Tabulka_nakup_Vonka[[#This Row],[Jedn. hmotnost '[kg/MJHR']]])</f>
        <v/>
      </c>
    </row>
    <row r="154" spans="1:11" x14ac:dyDescent="0.35">
      <c r="A154" s="709" t="str">
        <f>IF('Rozpad zakázky'!E170=0,"",IF('Rozpad zakázky'!E170="-","",'Rozpad zakázky'!E170))</f>
        <v/>
      </c>
      <c r="B154" s="708" t="str">
        <f>IF(A154="","",IF(A154="","",VLOOKUP(A:A,Pomocna_Nakup[],3,0))&amp;" | "&amp;IF(A154="","",VLOOKUP(A:A,Pomocna_Nakup[],4,0)))</f>
        <v/>
      </c>
      <c r="C154" s="710" t="str">
        <f>IF(Tabulka_nakup_Vonka[[#This Row],[Zkratka kalkulační položky]]="","",Tabulka_nakup_Vonka[[#This Row],[Zkratka kalkulační položky]]&amp;" | "&amp;IF(A154="","",VLOOKUP(A:A,Pomocna_Nakup[],2,0)))</f>
        <v/>
      </c>
      <c r="D154" s="710" t="str">
        <f>IF(A154="","",'Rozpad zakázky'!F170)</f>
        <v/>
      </c>
      <c r="E154" s="710" t="str">
        <f>IF(A154="","",'Rozpad zakázky'!D170&amp;IF('Rozpad zakázky'!G170="",""," ("&amp;'Rozpad zakázky'!G170&amp;")"))</f>
        <v/>
      </c>
      <c r="F154" s="709" t="str">
        <f>IF(A154="","",'Rozpad zakázky'!IW170)</f>
        <v/>
      </c>
      <c r="G154" s="711" t="str">
        <f>IF(A154="","",'Rozpad zakázky'!AE170)</f>
        <v/>
      </c>
      <c r="H154" s="717" t="str">
        <f>IF(A154="","",'Rozpad zakázky'!AJ170)</f>
        <v/>
      </c>
      <c r="I154" s="748" t="str">
        <f>IF(A154="","",'Rozpad zakázky'!Q170)</f>
        <v/>
      </c>
      <c r="J154" s="717" t="str">
        <f>IF(A154="","",ROUNDDOWN('Rozpad zakázky'!L170,1))</f>
        <v/>
      </c>
      <c r="K154" s="745" t="str">
        <f>IF(A154="","",Tabulka_nakup_Vonka[[#This Row],[Počet MJHR v rozpadu]]*Tabulka_nakup_Vonka[[#This Row],[Jedn. hmotnost '[kg/MJHR']]])</f>
        <v/>
      </c>
    </row>
    <row r="155" spans="1:11" x14ac:dyDescent="0.35">
      <c r="A155" s="709" t="str">
        <f>IF('Rozpad zakázky'!E171=0,"",IF('Rozpad zakázky'!E171="-","",'Rozpad zakázky'!E171))</f>
        <v/>
      </c>
      <c r="B155" s="708" t="str">
        <f>IF(A155="","",IF(A155="","",VLOOKUP(A:A,Pomocna_Nakup[],3,0))&amp;" | "&amp;IF(A155="","",VLOOKUP(A:A,Pomocna_Nakup[],4,0)))</f>
        <v/>
      </c>
      <c r="C155" s="710" t="str">
        <f>IF(Tabulka_nakup_Vonka[[#This Row],[Zkratka kalkulační položky]]="","",Tabulka_nakup_Vonka[[#This Row],[Zkratka kalkulační položky]]&amp;" | "&amp;IF(A155="","",VLOOKUP(A:A,Pomocna_Nakup[],2,0)))</f>
        <v/>
      </c>
      <c r="D155" s="710" t="str">
        <f>IF(A155="","",'Rozpad zakázky'!F171)</f>
        <v/>
      </c>
      <c r="E155" s="710" t="str">
        <f>IF(A155="","",'Rozpad zakázky'!D171&amp;IF('Rozpad zakázky'!G171="",""," ("&amp;'Rozpad zakázky'!G171&amp;")"))</f>
        <v/>
      </c>
      <c r="F155" s="709" t="str">
        <f>IF(A155="","",'Rozpad zakázky'!IW171)</f>
        <v/>
      </c>
      <c r="G155" s="711" t="str">
        <f>IF(A155="","",'Rozpad zakázky'!AE171)</f>
        <v/>
      </c>
      <c r="H155" s="717" t="str">
        <f>IF(A155="","",'Rozpad zakázky'!AJ171)</f>
        <v/>
      </c>
      <c r="I155" s="748" t="str">
        <f>IF(A155="","",'Rozpad zakázky'!Q171)</f>
        <v/>
      </c>
      <c r="J155" s="717" t="str">
        <f>IF(A155="","",ROUNDDOWN('Rozpad zakázky'!L171,1))</f>
        <v/>
      </c>
      <c r="K155" s="745" t="str">
        <f>IF(A155="","",Tabulka_nakup_Vonka[[#This Row],[Počet MJHR v rozpadu]]*Tabulka_nakup_Vonka[[#This Row],[Jedn. hmotnost '[kg/MJHR']]])</f>
        <v/>
      </c>
    </row>
    <row r="156" spans="1:11" x14ac:dyDescent="0.35">
      <c r="A156" s="709" t="str">
        <f>IF('Rozpad zakázky'!E172=0,"",IF('Rozpad zakázky'!E172="-","",'Rozpad zakázky'!E172))</f>
        <v/>
      </c>
      <c r="B156" s="708" t="str">
        <f>IF(A156="","",IF(A156="","",VLOOKUP(A:A,Pomocna_Nakup[],3,0))&amp;" | "&amp;IF(A156="","",VLOOKUP(A:A,Pomocna_Nakup[],4,0)))</f>
        <v/>
      </c>
      <c r="C156" s="710" t="str">
        <f>IF(Tabulka_nakup_Vonka[[#This Row],[Zkratka kalkulační položky]]="","",Tabulka_nakup_Vonka[[#This Row],[Zkratka kalkulační položky]]&amp;" | "&amp;IF(A156="","",VLOOKUP(A:A,Pomocna_Nakup[],2,0)))</f>
        <v/>
      </c>
      <c r="D156" s="710" t="str">
        <f>IF(A156="","",'Rozpad zakázky'!F172)</f>
        <v/>
      </c>
      <c r="E156" s="710" t="str">
        <f>IF(A156="","",'Rozpad zakázky'!D172&amp;IF('Rozpad zakázky'!G172="",""," ("&amp;'Rozpad zakázky'!G172&amp;")"))</f>
        <v/>
      </c>
      <c r="F156" s="709" t="str">
        <f>IF(A156="","",'Rozpad zakázky'!IW172)</f>
        <v/>
      </c>
      <c r="G156" s="711" t="str">
        <f>IF(A156="","",'Rozpad zakázky'!AE172)</f>
        <v/>
      </c>
      <c r="H156" s="717" t="str">
        <f>IF(A156="","",'Rozpad zakázky'!AJ172)</f>
        <v/>
      </c>
      <c r="I156" s="748" t="str">
        <f>IF(A156="","",'Rozpad zakázky'!Q172)</f>
        <v/>
      </c>
      <c r="J156" s="717" t="str">
        <f>IF(A156="","",ROUNDDOWN('Rozpad zakázky'!L172,1))</f>
        <v/>
      </c>
      <c r="K156" s="745" t="str">
        <f>IF(A156="","",Tabulka_nakup_Vonka[[#This Row],[Počet MJHR v rozpadu]]*Tabulka_nakup_Vonka[[#This Row],[Jedn. hmotnost '[kg/MJHR']]])</f>
        <v/>
      </c>
    </row>
    <row r="157" spans="1:11" x14ac:dyDescent="0.35">
      <c r="A157" s="709" t="str">
        <f>IF('Rozpad zakázky'!E173=0,"",IF('Rozpad zakázky'!E173="-","",'Rozpad zakázky'!E173))</f>
        <v/>
      </c>
      <c r="B157" s="708" t="str">
        <f>IF(A157="","",IF(A157="","",VLOOKUP(A:A,Pomocna_Nakup[],3,0))&amp;" | "&amp;IF(A157="","",VLOOKUP(A:A,Pomocna_Nakup[],4,0)))</f>
        <v/>
      </c>
      <c r="C157" s="710" t="str">
        <f>IF(Tabulka_nakup_Vonka[[#This Row],[Zkratka kalkulační položky]]="","",Tabulka_nakup_Vonka[[#This Row],[Zkratka kalkulační položky]]&amp;" | "&amp;IF(A157="","",VLOOKUP(A:A,Pomocna_Nakup[],2,0)))</f>
        <v/>
      </c>
      <c r="D157" s="710" t="str">
        <f>IF(A157="","",'Rozpad zakázky'!F173)</f>
        <v/>
      </c>
      <c r="E157" s="710" t="str">
        <f>IF(A157="","",'Rozpad zakázky'!D173&amp;IF('Rozpad zakázky'!G173="",""," ("&amp;'Rozpad zakázky'!G173&amp;")"))</f>
        <v/>
      </c>
      <c r="F157" s="709" t="str">
        <f>IF(A157="","",'Rozpad zakázky'!IW173)</f>
        <v/>
      </c>
      <c r="G157" s="711" t="str">
        <f>IF(A157="","",'Rozpad zakázky'!AE173)</f>
        <v/>
      </c>
      <c r="H157" s="717" t="str">
        <f>IF(A157="","",'Rozpad zakázky'!AJ173)</f>
        <v/>
      </c>
      <c r="I157" s="748" t="str">
        <f>IF(A157="","",'Rozpad zakázky'!Q173)</f>
        <v/>
      </c>
      <c r="J157" s="717" t="str">
        <f>IF(A157="","",ROUNDDOWN('Rozpad zakázky'!L173,1))</f>
        <v/>
      </c>
      <c r="K157" s="745" t="str">
        <f>IF(A157="","",Tabulka_nakup_Vonka[[#This Row],[Počet MJHR v rozpadu]]*Tabulka_nakup_Vonka[[#This Row],[Jedn. hmotnost '[kg/MJHR']]])</f>
        <v/>
      </c>
    </row>
    <row r="158" spans="1:11" x14ac:dyDescent="0.35">
      <c r="A158" s="709" t="str">
        <f>IF('Rozpad zakázky'!E174=0,"",IF('Rozpad zakázky'!E174="-","",'Rozpad zakázky'!E174))</f>
        <v/>
      </c>
      <c r="B158" s="708" t="str">
        <f>IF(A158="","",IF(A158="","",VLOOKUP(A:A,Pomocna_Nakup[],3,0))&amp;" | "&amp;IF(A158="","",VLOOKUP(A:A,Pomocna_Nakup[],4,0)))</f>
        <v/>
      </c>
      <c r="C158" s="710" t="str">
        <f>IF(Tabulka_nakup_Vonka[[#This Row],[Zkratka kalkulační položky]]="","",Tabulka_nakup_Vonka[[#This Row],[Zkratka kalkulační položky]]&amp;" | "&amp;IF(A158="","",VLOOKUP(A:A,Pomocna_Nakup[],2,0)))</f>
        <v/>
      </c>
      <c r="D158" s="710" t="str">
        <f>IF(A158="","",'Rozpad zakázky'!F174)</f>
        <v/>
      </c>
      <c r="E158" s="710" t="str">
        <f>IF(A158="","",'Rozpad zakázky'!D174&amp;IF('Rozpad zakázky'!G174="",""," ("&amp;'Rozpad zakázky'!G174&amp;")"))</f>
        <v/>
      </c>
      <c r="F158" s="709" t="str">
        <f>IF(A158="","",'Rozpad zakázky'!IW174)</f>
        <v/>
      </c>
      <c r="G158" s="711" t="str">
        <f>IF(A158="","",'Rozpad zakázky'!AE174)</f>
        <v/>
      </c>
      <c r="H158" s="717" t="str">
        <f>IF(A158="","",'Rozpad zakázky'!AJ174)</f>
        <v/>
      </c>
      <c r="I158" s="748" t="str">
        <f>IF(A158="","",'Rozpad zakázky'!Q174)</f>
        <v/>
      </c>
      <c r="J158" s="717" t="str">
        <f>IF(A158="","",ROUNDDOWN('Rozpad zakázky'!L174,1))</f>
        <v/>
      </c>
      <c r="K158" s="745" t="str">
        <f>IF(A158="","",Tabulka_nakup_Vonka[[#This Row],[Počet MJHR v rozpadu]]*Tabulka_nakup_Vonka[[#This Row],[Jedn. hmotnost '[kg/MJHR']]])</f>
        <v/>
      </c>
    </row>
    <row r="159" spans="1:11" x14ac:dyDescent="0.35">
      <c r="A159" s="709" t="str">
        <f>IF('Rozpad zakázky'!E175=0,"",IF('Rozpad zakázky'!E175="-","",'Rozpad zakázky'!E175))</f>
        <v/>
      </c>
      <c r="B159" s="708" t="str">
        <f>IF(A159="","",IF(A159="","",VLOOKUP(A:A,Pomocna_Nakup[],3,0))&amp;" | "&amp;IF(A159="","",VLOOKUP(A:A,Pomocna_Nakup[],4,0)))</f>
        <v/>
      </c>
      <c r="C159" s="710" t="str">
        <f>IF(Tabulka_nakup_Vonka[[#This Row],[Zkratka kalkulační položky]]="","",Tabulka_nakup_Vonka[[#This Row],[Zkratka kalkulační položky]]&amp;" | "&amp;IF(A159="","",VLOOKUP(A:A,Pomocna_Nakup[],2,0)))</f>
        <v/>
      </c>
      <c r="D159" s="710" t="str">
        <f>IF(A159="","",'Rozpad zakázky'!F175)</f>
        <v/>
      </c>
      <c r="E159" s="710" t="str">
        <f>IF(A159="","",'Rozpad zakázky'!D175&amp;IF('Rozpad zakázky'!G175="",""," ("&amp;'Rozpad zakázky'!G175&amp;")"))</f>
        <v/>
      </c>
      <c r="F159" s="709" t="str">
        <f>IF(A159="","",'Rozpad zakázky'!IW175)</f>
        <v/>
      </c>
      <c r="G159" s="711" t="str">
        <f>IF(A159="","",'Rozpad zakázky'!AE175)</f>
        <v/>
      </c>
      <c r="H159" s="717" t="str">
        <f>IF(A159="","",'Rozpad zakázky'!AJ175)</f>
        <v/>
      </c>
      <c r="I159" s="748" t="str">
        <f>IF(A159="","",'Rozpad zakázky'!Q175)</f>
        <v/>
      </c>
      <c r="J159" s="717" t="str">
        <f>IF(A159="","",ROUNDDOWN('Rozpad zakázky'!L175,1))</f>
        <v/>
      </c>
      <c r="K159" s="745" t="str">
        <f>IF(A159="","",Tabulka_nakup_Vonka[[#This Row],[Počet MJHR v rozpadu]]*Tabulka_nakup_Vonka[[#This Row],[Jedn. hmotnost '[kg/MJHR']]])</f>
        <v/>
      </c>
    </row>
    <row r="160" spans="1:11" x14ac:dyDescent="0.35">
      <c r="A160" s="709" t="str">
        <f>IF('Rozpad zakázky'!E176=0,"",IF('Rozpad zakázky'!E176="-","",'Rozpad zakázky'!E176))</f>
        <v/>
      </c>
      <c r="B160" s="708" t="str">
        <f>IF(A160="","",IF(A160="","",VLOOKUP(A:A,Pomocna_Nakup[],3,0))&amp;" | "&amp;IF(A160="","",VLOOKUP(A:A,Pomocna_Nakup[],4,0)))</f>
        <v/>
      </c>
      <c r="C160" s="710" t="str">
        <f>IF(Tabulka_nakup_Vonka[[#This Row],[Zkratka kalkulační položky]]="","",Tabulka_nakup_Vonka[[#This Row],[Zkratka kalkulační položky]]&amp;" | "&amp;IF(A160="","",VLOOKUP(A:A,Pomocna_Nakup[],2,0)))</f>
        <v/>
      </c>
      <c r="D160" s="710" t="str">
        <f>IF(A160="","",'Rozpad zakázky'!F176)</f>
        <v/>
      </c>
      <c r="E160" s="710" t="str">
        <f>IF(A160="","",'Rozpad zakázky'!D176&amp;IF('Rozpad zakázky'!G176="",""," ("&amp;'Rozpad zakázky'!G176&amp;")"))</f>
        <v/>
      </c>
      <c r="F160" s="709" t="str">
        <f>IF(A160="","",'Rozpad zakázky'!IW176)</f>
        <v/>
      </c>
      <c r="G160" s="711" t="str">
        <f>IF(A160="","",'Rozpad zakázky'!AE176)</f>
        <v/>
      </c>
      <c r="H160" s="717" t="str">
        <f>IF(A160="","",'Rozpad zakázky'!AJ176)</f>
        <v/>
      </c>
      <c r="I160" s="748" t="str">
        <f>IF(A160="","",'Rozpad zakázky'!Q176)</f>
        <v/>
      </c>
      <c r="J160" s="717" t="str">
        <f>IF(A160="","",ROUNDDOWN('Rozpad zakázky'!L176,1))</f>
        <v/>
      </c>
      <c r="K160" s="745" t="str">
        <f>IF(A160="","",Tabulka_nakup_Vonka[[#This Row],[Počet MJHR v rozpadu]]*Tabulka_nakup_Vonka[[#This Row],[Jedn. hmotnost '[kg/MJHR']]])</f>
        <v/>
      </c>
    </row>
    <row r="161" spans="1:11" x14ac:dyDescent="0.35">
      <c r="A161" s="709" t="str">
        <f>IF('Rozpad zakázky'!E177=0,"",IF('Rozpad zakázky'!E177="-","",'Rozpad zakázky'!E177))</f>
        <v/>
      </c>
      <c r="B161" s="708" t="str">
        <f>IF(A161="","",IF(A161="","",VLOOKUP(A:A,Pomocna_Nakup[],3,0))&amp;" | "&amp;IF(A161="","",VLOOKUP(A:A,Pomocna_Nakup[],4,0)))</f>
        <v/>
      </c>
      <c r="C161" s="710" t="str">
        <f>IF(Tabulka_nakup_Vonka[[#This Row],[Zkratka kalkulační položky]]="","",Tabulka_nakup_Vonka[[#This Row],[Zkratka kalkulační položky]]&amp;" | "&amp;IF(A161="","",VLOOKUP(A:A,Pomocna_Nakup[],2,0)))</f>
        <v/>
      </c>
      <c r="D161" s="710" t="str">
        <f>IF(A161="","",'Rozpad zakázky'!F177)</f>
        <v/>
      </c>
      <c r="E161" s="710" t="str">
        <f>IF(A161="","",'Rozpad zakázky'!D177&amp;IF('Rozpad zakázky'!G177="",""," ("&amp;'Rozpad zakázky'!G177&amp;")"))</f>
        <v/>
      </c>
      <c r="F161" s="709" t="str">
        <f>IF(A161="","",'Rozpad zakázky'!IW177)</f>
        <v/>
      </c>
      <c r="G161" s="711" t="str">
        <f>IF(A161="","",'Rozpad zakázky'!AE177)</f>
        <v/>
      </c>
      <c r="H161" s="717" t="str">
        <f>IF(A161="","",'Rozpad zakázky'!AJ177)</f>
        <v/>
      </c>
      <c r="I161" s="748" t="str">
        <f>IF(A161="","",'Rozpad zakázky'!Q177)</f>
        <v/>
      </c>
      <c r="J161" s="717" t="str">
        <f>IF(A161="","",ROUNDDOWN('Rozpad zakázky'!L177,1))</f>
        <v/>
      </c>
      <c r="K161" s="745" t="str">
        <f>IF(A161="","",Tabulka_nakup_Vonka[[#This Row],[Počet MJHR v rozpadu]]*Tabulka_nakup_Vonka[[#This Row],[Jedn. hmotnost '[kg/MJHR']]])</f>
        <v/>
      </c>
    </row>
    <row r="162" spans="1:11" x14ac:dyDescent="0.35">
      <c r="A162" s="709" t="str">
        <f>IF('Rozpad zakázky'!E178=0,"",IF('Rozpad zakázky'!E178="-","",'Rozpad zakázky'!E178))</f>
        <v/>
      </c>
      <c r="B162" s="708" t="str">
        <f>IF(A162="","",IF(A162="","",VLOOKUP(A:A,Pomocna_Nakup[],3,0))&amp;" | "&amp;IF(A162="","",VLOOKUP(A:A,Pomocna_Nakup[],4,0)))</f>
        <v/>
      </c>
      <c r="C162" s="710" t="str">
        <f>IF(Tabulka_nakup_Vonka[[#This Row],[Zkratka kalkulační položky]]="","",Tabulka_nakup_Vonka[[#This Row],[Zkratka kalkulační položky]]&amp;" | "&amp;IF(A162="","",VLOOKUP(A:A,Pomocna_Nakup[],2,0)))</f>
        <v/>
      </c>
      <c r="D162" s="710" t="str">
        <f>IF(A162="","",'Rozpad zakázky'!F178)</f>
        <v/>
      </c>
      <c r="E162" s="710" t="str">
        <f>IF(A162="","",'Rozpad zakázky'!D178&amp;IF('Rozpad zakázky'!G178="",""," ("&amp;'Rozpad zakázky'!G178&amp;")"))</f>
        <v/>
      </c>
      <c r="F162" s="709" t="str">
        <f>IF(A162="","",'Rozpad zakázky'!IW178)</f>
        <v/>
      </c>
      <c r="G162" s="711" t="str">
        <f>IF(A162="","",'Rozpad zakázky'!AE178)</f>
        <v/>
      </c>
      <c r="H162" s="717" t="str">
        <f>IF(A162="","",'Rozpad zakázky'!AJ178)</f>
        <v/>
      </c>
      <c r="I162" s="748" t="str">
        <f>IF(A162="","",'Rozpad zakázky'!Q178)</f>
        <v/>
      </c>
      <c r="J162" s="717" t="str">
        <f>IF(A162="","",ROUNDDOWN('Rozpad zakázky'!L178,1))</f>
        <v/>
      </c>
      <c r="K162" s="745" t="str">
        <f>IF(A162="","",Tabulka_nakup_Vonka[[#This Row],[Počet MJHR v rozpadu]]*Tabulka_nakup_Vonka[[#This Row],[Jedn. hmotnost '[kg/MJHR']]])</f>
        <v/>
      </c>
    </row>
    <row r="163" spans="1:11" x14ac:dyDescent="0.35">
      <c r="A163" s="709" t="str">
        <f>IF('Rozpad zakázky'!E179=0,"",IF('Rozpad zakázky'!E179="-","",'Rozpad zakázky'!E179))</f>
        <v/>
      </c>
      <c r="B163" s="708" t="str">
        <f>IF(A163="","",IF(A163="","",VLOOKUP(A:A,Pomocna_Nakup[],3,0))&amp;" | "&amp;IF(A163="","",VLOOKUP(A:A,Pomocna_Nakup[],4,0)))</f>
        <v/>
      </c>
      <c r="C163" s="710" t="str">
        <f>IF(Tabulka_nakup_Vonka[[#This Row],[Zkratka kalkulační položky]]="","",Tabulka_nakup_Vonka[[#This Row],[Zkratka kalkulační položky]]&amp;" | "&amp;IF(A163="","",VLOOKUP(A:A,Pomocna_Nakup[],2,0)))</f>
        <v/>
      </c>
      <c r="D163" s="710" t="str">
        <f>IF(A163="","",'Rozpad zakázky'!F179)</f>
        <v/>
      </c>
      <c r="E163" s="710" t="str">
        <f>IF(A163="","",'Rozpad zakázky'!D179&amp;IF('Rozpad zakázky'!G179="",""," ("&amp;'Rozpad zakázky'!G179&amp;")"))</f>
        <v/>
      </c>
      <c r="F163" s="709" t="str">
        <f>IF(A163="","",'Rozpad zakázky'!IW179)</f>
        <v/>
      </c>
      <c r="G163" s="711" t="str">
        <f>IF(A163="","",'Rozpad zakázky'!AE179)</f>
        <v/>
      </c>
      <c r="H163" s="717" t="str">
        <f>IF(A163="","",'Rozpad zakázky'!AJ179)</f>
        <v/>
      </c>
      <c r="I163" s="748" t="str">
        <f>IF(A163="","",'Rozpad zakázky'!Q179)</f>
        <v/>
      </c>
      <c r="J163" s="717" t="str">
        <f>IF(A163="","",ROUNDDOWN('Rozpad zakázky'!L179,1))</f>
        <v/>
      </c>
      <c r="K163" s="745" t="str">
        <f>IF(A163="","",Tabulka_nakup_Vonka[[#This Row],[Počet MJHR v rozpadu]]*Tabulka_nakup_Vonka[[#This Row],[Jedn. hmotnost '[kg/MJHR']]])</f>
        <v/>
      </c>
    </row>
    <row r="164" spans="1:11" x14ac:dyDescent="0.35">
      <c r="A164" s="709" t="str">
        <f>IF('Rozpad zakázky'!E180=0,"",IF('Rozpad zakázky'!E180="-","",'Rozpad zakázky'!E180))</f>
        <v/>
      </c>
      <c r="B164" s="708" t="str">
        <f>IF(A164="","",IF(A164="","",VLOOKUP(A:A,Pomocna_Nakup[],3,0))&amp;" | "&amp;IF(A164="","",VLOOKUP(A:A,Pomocna_Nakup[],4,0)))</f>
        <v/>
      </c>
      <c r="C164" s="710" t="str">
        <f>IF(Tabulka_nakup_Vonka[[#This Row],[Zkratka kalkulační položky]]="","",Tabulka_nakup_Vonka[[#This Row],[Zkratka kalkulační položky]]&amp;" | "&amp;IF(A164="","",VLOOKUP(A:A,Pomocna_Nakup[],2,0)))</f>
        <v/>
      </c>
      <c r="D164" s="710" t="str">
        <f>IF(A164="","",'Rozpad zakázky'!F180)</f>
        <v/>
      </c>
      <c r="E164" s="710" t="str">
        <f>IF(A164="","",'Rozpad zakázky'!D180&amp;IF('Rozpad zakázky'!G180="",""," ("&amp;'Rozpad zakázky'!G180&amp;")"))</f>
        <v/>
      </c>
      <c r="F164" s="709" t="str">
        <f>IF(A164="","",'Rozpad zakázky'!IW180)</f>
        <v/>
      </c>
      <c r="G164" s="711" t="str">
        <f>IF(A164="","",'Rozpad zakázky'!AE180)</f>
        <v/>
      </c>
      <c r="H164" s="717" t="str">
        <f>IF(A164="","",'Rozpad zakázky'!AJ180)</f>
        <v/>
      </c>
      <c r="I164" s="748" t="str">
        <f>IF(A164="","",'Rozpad zakázky'!Q180)</f>
        <v/>
      </c>
      <c r="J164" s="717" t="str">
        <f>IF(A164="","",ROUNDDOWN('Rozpad zakázky'!L180,1))</f>
        <v/>
      </c>
      <c r="K164" s="745" t="str">
        <f>IF(A164="","",Tabulka_nakup_Vonka[[#This Row],[Počet MJHR v rozpadu]]*Tabulka_nakup_Vonka[[#This Row],[Jedn. hmotnost '[kg/MJHR']]])</f>
        <v/>
      </c>
    </row>
    <row r="165" spans="1:11" x14ac:dyDescent="0.35">
      <c r="A165" s="709" t="str">
        <f>IF('Rozpad zakázky'!E181=0,"",IF('Rozpad zakázky'!E181="-","",'Rozpad zakázky'!E181))</f>
        <v/>
      </c>
      <c r="B165" s="708" t="str">
        <f>IF(A165="","",IF(A165="","",VLOOKUP(A:A,Pomocna_Nakup[],3,0))&amp;" | "&amp;IF(A165="","",VLOOKUP(A:A,Pomocna_Nakup[],4,0)))</f>
        <v/>
      </c>
      <c r="C165" s="710" t="str">
        <f>IF(Tabulka_nakup_Vonka[[#This Row],[Zkratka kalkulační položky]]="","",Tabulka_nakup_Vonka[[#This Row],[Zkratka kalkulační položky]]&amp;" | "&amp;IF(A165="","",VLOOKUP(A:A,Pomocna_Nakup[],2,0)))</f>
        <v/>
      </c>
      <c r="D165" s="710" t="str">
        <f>IF(A165="","",'Rozpad zakázky'!F181)</f>
        <v/>
      </c>
      <c r="E165" s="710" t="str">
        <f>IF(A165="","",'Rozpad zakázky'!D181&amp;IF('Rozpad zakázky'!G181="",""," ("&amp;'Rozpad zakázky'!G181&amp;")"))</f>
        <v/>
      </c>
      <c r="F165" s="709" t="str">
        <f>IF(A165="","",'Rozpad zakázky'!IW181)</f>
        <v/>
      </c>
      <c r="G165" s="711" t="str">
        <f>IF(A165="","",'Rozpad zakázky'!AE181)</f>
        <v/>
      </c>
      <c r="H165" s="717" t="str">
        <f>IF(A165="","",'Rozpad zakázky'!AJ181)</f>
        <v/>
      </c>
      <c r="I165" s="748" t="str">
        <f>IF(A165="","",'Rozpad zakázky'!Q181)</f>
        <v/>
      </c>
      <c r="J165" s="717" t="str">
        <f>IF(A165="","",ROUNDDOWN('Rozpad zakázky'!L181,1))</f>
        <v/>
      </c>
      <c r="K165" s="745" t="str">
        <f>IF(A165="","",Tabulka_nakup_Vonka[[#This Row],[Počet MJHR v rozpadu]]*Tabulka_nakup_Vonka[[#This Row],[Jedn. hmotnost '[kg/MJHR']]])</f>
        <v/>
      </c>
    </row>
    <row r="166" spans="1:11" x14ac:dyDescent="0.35">
      <c r="A166" s="709" t="str">
        <f>IF('Rozpad zakázky'!E182=0,"",IF('Rozpad zakázky'!E182="-","",'Rozpad zakázky'!E182))</f>
        <v/>
      </c>
      <c r="B166" s="708" t="str">
        <f>IF(A166="","",IF(A166="","",VLOOKUP(A:A,Pomocna_Nakup[],3,0))&amp;" | "&amp;IF(A166="","",VLOOKUP(A:A,Pomocna_Nakup[],4,0)))</f>
        <v/>
      </c>
      <c r="C166" s="710" t="str">
        <f>IF(Tabulka_nakup_Vonka[[#This Row],[Zkratka kalkulační položky]]="","",Tabulka_nakup_Vonka[[#This Row],[Zkratka kalkulační položky]]&amp;" | "&amp;IF(A166="","",VLOOKUP(A:A,Pomocna_Nakup[],2,0)))</f>
        <v/>
      </c>
      <c r="D166" s="710" t="str">
        <f>IF(A166="","",'Rozpad zakázky'!F182)</f>
        <v/>
      </c>
      <c r="E166" s="710" t="str">
        <f>IF(A166="","",'Rozpad zakázky'!D182&amp;IF('Rozpad zakázky'!G182="",""," ("&amp;'Rozpad zakázky'!G182&amp;")"))</f>
        <v/>
      </c>
      <c r="F166" s="709" t="str">
        <f>IF(A166="","",'Rozpad zakázky'!IW182)</f>
        <v/>
      </c>
      <c r="G166" s="711" t="str">
        <f>IF(A166="","",'Rozpad zakázky'!AE182)</f>
        <v/>
      </c>
      <c r="H166" s="717" t="str">
        <f>IF(A166="","",'Rozpad zakázky'!AJ182)</f>
        <v/>
      </c>
      <c r="I166" s="748" t="str">
        <f>IF(A166="","",'Rozpad zakázky'!Q182)</f>
        <v/>
      </c>
      <c r="J166" s="717" t="str">
        <f>IF(A166="","",ROUNDDOWN('Rozpad zakázky'!L182,1))</f>
        <v/>
      </c>
      <c r="K166" s="745" t="str">
        <f>IF(A166="","",Tabulka_nakup_Vonka[[#This Row],[Počet MJHR v rozpadu]]*Tabulka_nakup_Vonka[[#This Row],[Jedn. hmotnost '[kg/MJHR']]])</f>
        <v/>
      </c>
    </row>
    <row r="167" spans="1:11" x14ac:dyDescent="0.35">
      <c r="A167" s="709" t="str">
        <f>IF('Rozpad zakázky'!E183=0,"",IF('Rozpad zakázky'!E183="-","",'Rozpad zakázky'!E183))</f>
        <v/>
      </c>
      <c r="B167" s="708" t="str">
        <f>IF(A167="","",IF(A167="","",VLOOKUP(A:A,Pomocna_Nakup[],3,0))&amp;" | "&amp;IF(A167="","",VLOOKUP(A:A,Pomocna_Nakup[],4,0)))</f>
        <v/>
      </c>
      <c r="C167" s="710" t="str">
        <f>IF(Tabulka_nakup_Vonka[[#This Row],[Zkratka kalkulační položky]]="","",Tabulka_nakup_Vonka[[#This Row],[Zkratka kalkulační položky]]&amp;" | "&amp;IF(A167="","",VLOOKUP(A:A,Pomocna_Nakup[],2,0)))</f>
        <v/>
      </c>
      <c r="D167" s="710" t="str">
        <f>IF(A167="","",'Rozpad zakázky'!F183)</f>
        <v/>
      </c>
      <c r="E167" s="710" t="str">
        <f>IF(A167="","",'Rozpad zakázky'!D183&amp;IF('Rozpad zakázky'!G183="",""," ("&amp;'Rozpad zakázky'!G183&amp;")"))</f>
        <v/>
      </c>
      <c r="F167" s="709" t="str">
        <f>IF(A167="","",'Rozpad zakázky'!IW183)</f>
        <v/>
      </c>
      <c r="G167" s="711" t="str">
        <f>IF(A167="","",'Rozpad zakázky'!AE183)</f>
        <v/>
      </c>
      <c r="H167" s="717" t="str">
        <f>IF(A167="","",'Rozpad zakázky'!AJ183)</f>
        <v/>
      </c>
      <c r="I167" s="748" t="str">
        <f>IF(A167="","",'Rozpad zakázky'!Q183)</f>
        <v/>
      </c>
      <c r="J167" s="717" t="str">
        <f>IF(A167="","",ROUNDDOWN('Rozpad zakázky'!L183,1))</f>
        <v/>
      </c>
      <c r="K167" s="745" t="str">
        <f>IF(A167="","",Tabulka_nakup_Vonka[[#This Row],[Počet MJHR v rozpadu]]*Tabulka_nakup_Vonka[[#This Row],[Jedn. hmotnost '[kg/MJHR']]])</f>
        <v/>
      </c>
    </row>
    <row r="168" spans="1:11" x14ac:dyDescent="0.35">
      <c r="A168" s="709" t="str">
        <f>IF('Rozpad zakázky'!E184=0,"",IF('Rozpad zakázky'!E184="-","",'Rozpad zakázky'!E184))</f>
        <v/>
      </c>
      <c r="B168" s="708" t="str">
        <f>IF(A168="","",IF(A168="","",VLOOKUP(A:A,Pomocna_Nakup[],3,0))&amp;" | "&amp;IF(A168="","",VLOOKUP(A:A,Pomocna_Nakup[],4,0)))</f>
        <v/>
      </c>
      <c r="C168" s="710" t="str">
        <f>IF(Tabulka_nakup_Vonka[[#This Row],[Zkratka kalkulační položky]]="","",Tabulka_nakup_Vonka[[#This Row],[Zkratka kalkulační položky]]&amp;" | "&amp;IF(A168="","",VLOOKUP(A:A,Pomocna_Nakup[],2,0)))</f>
        <v/>
      </c>
      <c r="D168" s="710" t="str">
        <f>IF(A168="","",'Rozpad zakázky'!F184)</f>
        <v/>
      </c>
      <c r="E168" s="710" t="str">
        <f>IF(A168="","",'Rozpad zakázky'!D184&amp;IF('Rozpad zakázky'!G184="",""," ("&amp;'Rozpad zakázky'!G184&amp;")"))</f>
        <v/>
      </c>
      <c r="F168" s="709" t="str">
        <f>IF(A168="","",'Rozpad zakázky'!IW184)</f>
        <v/>
      </c>
      <c r="G168" s="711" t="str">
        <f>IF(A168="","",'Rozpad zakázky'!AE184)</f>
        <v/>
      </c>
      <c r="H168" s="717" t="str">
        <f>IF(A168="","",'Rozpad zakázky'!AJ184)</f>
        <v/>
      </c>
      <c r="I168" s="748" t="str">
        <f>IF(A168="","",'Rozpad zakázky'!Q184)</f>
        <v/>
      </c>
      <c r="J168" s="717" t="str">
        <f>IF(A168="","",ROUNDDOWN('Rozpad zakázky'!L184,1))</f>
        <v/>
      </c>
      <c r="K168" s="745" t="str">
        <f>IF(A168="","",Tabulka_nakup_Vonka[[#This Row],[Počet MJHR v rozpadu]]*Tabulka_nakup_Vonka[[#This Row],[Jedn. hmotnost '[kg/MJHR']]])</f>
        <v/>
      </c>
    </row>
    <row r="169" spans="1:11" x14ac:dyDescent="0.35">
      <c r="A169" s="709" t="str">
        <f>IF('Rozpad zakázky'!E185=0,"",IF('Rozpad zakázky'!E185="-","",'Rozpad zakázky'!E185))</f>
        <v/>
      </c>
      <c r="B169" s="708" t="str">
        <f>IF(A169="","",IF(A169="","",VLOOKUP(A:A,Pomocna_Nakup[],3,0))&amp;" | "&amp;IF(A169="","",VLOOKUP(A:A,Pomocna_Nakup[],4,0)))</f>
        <v/>
      </c>
      <c r="C169" s="710" t="str">
        <f>IF(Tabulka_nakup_Vonka[[#This Row],[Zkratka kalkulační položky]]="","",Tabulka_nakup_Vonka[[#This Row],[Zkratka kalkulační položky]]&amp;" | "&amp;IF(A169="","",VLOOKUP(A:A,Pomocna_Nakup[],2,0)))</f>
        <v/>
      </c>
      <c r="D169" s="710" t="str">
        <f>IF(A169="","",'Rozpad zakázky'!F185)</f>
        <v/>
      </c>
      <c r="E169" s="710" t="str">
        <f>IF(A169="","",'Rozpad zakázky'!D185&amp;IF('Rozpad zakázky'!G185="",""," ("&amp;'Rozpad zakázky'!G185&amp;")"))</f>
        <v/>
      </c>
      <c r="F169" s="709" t="str">
        <f>IF(A169="","",'Rozpad zakázky'!IW185)</f>
        <v/>
      </c>
      <c r="G169" s="711" t="str">
        <f>IF(A169="","",'Rozpad zakázky'!AE185)</f>
        <v/>
      </c>
      <c r="H169" s="717" t="str">
        <f>IF(A169="","",'Rozpad zakázky'!AJ185)</f>
        <v/>
      </c>
      <c r="I169" s="748" t="str">
        <f>IF(A169="","",'Rozpad zakázky'!Q185)</f>
        <v/>
      </c>
      <c r="J169" s="717" t="str">
        <f>IF(A169="","",ROUNDDOWN('Rozpad zakázky'!L185,1))</f>
        <v/>
      </c>
      <c r="K169" s="745" t="str">
        <f>IF(A169="","",Tabulka_nakup_Vonka[[#This Row],[Počet MJHR v rozpadu]]*Tabulka_nakup_Vonka[[#This Row],[Jedn. hmotnost '[kg/MJHR']]])</f>
        <v/>
      </c>
    </row>
    <row r="170" spans="1:11" x14ac:dyDescent="0.35">
      <c r="A170" s="709" t="str">
        <f>IF('Rozpad zakázky'!E186=0,"",IF('Rozpad zakázky'!E186="-","",'Rozpad zakázky'!E186))</f>
        <v/>
      </c>
      <c r="B170" s="708" t="str">
        <f>IF(A170="","",IF(A170="","",VLOOKUP(A:A,Pomocna_Nakup[],3,0))&amp;" | "&amp;IF(A170="","",VLOOKUP(A:A,Pomocna_Nakup[],4,0)))</f>
        <v/>
      </c>
      <c r="C170" s="710" t="str">
        <f>IF(Tabulka_nakup_Vonka[[#This Row],[Zkratka kalkulační položky]]="","",Tabulka_nakup_Vonka[[#This Row],[Zkratka kalkulační položky]]&amp;" | "&amp;IF(A170="","",VLOOKUP(A:A,Pomocna_Nakup[],2,0)))</f>
        <v/>
      </c>
      <c r="D170" s="710" t="str">
        <f>IF(A170="","",'Rozpad zakázky'!F186)</f>
        <v/>
      </c>
      <c r="E170" s="710" t="str">
        <f>IF(A170="","",'Rozpad zakázky'!D186&amp;IF('Rozpad zakázky'!G186="",""," ("&amp;'Rozpad zakázky'!G186&amp;")"))</f>
        <v/>
      </c>
      <c r="F170" s="709" t="str">
        <f>IF(A170="","",'Rozpad zakázky'!IW186)</f>
        <v/>
      </c>
      <c r="G170" s="711" t="str">
        <f>IF(A170="","",'Rozpad zakázky'!AE186)</f>
        <v/>
      </c>
      <c r="H170" s="717" t="str">
        <f>IF(A170="","",'Rozpad zakázky'!AJ186)</f>
        <v/>
      </c>
      <c r="I170" s="748" t="str">
        <f>IF(A170="","",'Rozpad zakázky'!Q186)</f>
        <v/>
      </c>
      <c r="J170" s="717" t="str">
        <f>IF(A170="","",ROUNDDOWN('Rozpad zakázky'!L186,1))</f>
        <v/>
      </c>
      <c r="K170" s="745" t="str">
        <f>IF(A170="","",Tabulka_nakup_Vonka[[#This Row],[Počet MJHR v rozpadu]]*Tabulka_nakup_Vonka[[#This Row],[Jedn. hmotnost '[kg/MJHR']]])</f>
        <v/>
      </c>
    </row>
    <row r="171" spans="1:11" x14ac:dyDescent="0.35">
      <c r="A171" s="709" t="str">
        <f>IF('Rozpad zakázky'!E187=0,"",IF('Rozpad zakázky'!E187="-","",'Rozpad zakázky'!E187))</f>
        <v/>
      </c>
      <c r="B171" s="708" t="str">
        <f>IF(A171="","",IF(A171="","",VLOOKUP(A:A,Pomocna_Nakup[],3,0))&amp;" | "&amp;IF(A171="","",VLOOKUP(A:A,Pomocna_Nakup[],4,0)))</f>
        <v/>
      </c>
      <c r="C171" s="710" t="str">
        <f>IF(Tabulka_nakup_Vonka[[#This Row],[Zkratka kalkulační položky]]="","",Tabulka_nakup_Vonka[[#This Row],[Zkratka kalkulační položky]]&amp;" | "&amp;IF(A171="","",VLOOKUP(A:A,Pomocna_Nakup[],2,0)))</f>
        <v/>
      </c>
      <c r="D171" s="710" t="str">
        <f>IF(A171="","",'Rozpad zakázky'!F187)</f>
        <v/>
      </c>
      <c r="E171" s="710" t="str">
        <f>IF(A171="","",'Rozpad zakázky'!D187&amp;IF('Rozpad zakázky'!G187="",""," ("&amp;'Rozpad zakázky'!G187&amp;")"))</f>
        <v/>
      </c>
      <c r="F171" s="709" t="str">
        <f>IF(A171="","",'Rozpad zakázky'!IW187)</f>
        <v/>
      </c>
      <c r="G171" s="711" t="str">
        <f>IF(A171="","",'Rozpad zakázky'!AE187)</f>
        <v/>
      </c>
      <c r="H171" s="717" t="str">
        <f>IF(A171="","",'Rozpad zakázky'!AJ187)</f>
        <v/>
      </c>
      <c r="I171" s="748" t="str">
        <f>IF(A171="","",'Rozpad zakázky'!Q187)</f>
        <v/>
      </c>
      <c r="J171" s="717" t="str">
        <f>IF(A171="","",ROUNDDOWN('Rozpad zakázky'!L187,1))</f>
        <v/>
      </c>
      <c r="K171" s="745" t="str">
        <f>IF(A171="","",Tabulka_nakup_Vonka[[#This Row],[Počet MJHR v rozpadu]]*Tabulka_nakup_Vonka[[#This Row],[Jedn. hmotnost '[kg/MJHR']]])</f>
        <v/>
      </c>
    </row>
    <row r="172" spans="1:11" x14ac:dyDescent="0.35">
      <c r="A172" s="709" t="str">
        <f>IF('Rozpad zakázky'!E188=0,"",IF('Rozpad zakázky'!E188="-","",'Rozpad zakázky'!E188))</f>
        <v/>
      </c>
      <c r="B172" s="708" t="str">
        <f>IF(A172="","",IF(A172="","",VLOOKUP(A:A,Pomocna_Nakup[],3,0))&amp;" | "&amp;IF(A172="","",VLOOKUP(A:A,Pomocna_Nakup[],4,0)))</f>
        <v/>
      </c>
      <c r="C172" s="710" t="str">
        <f>IF(Tabulka_nakup_Vonka[[#This Row],[Zkratka kalkulační položky]]="","",Tabulka_nakup_Vonka[[#This Row],[Zkratka kalkulační položky]]&amp;" | "&amp;IF(A172="","",VLOOKUP(A:A,Pomocna_Nakup[],2,0)))</f>
        <v/>
      </c>
      <c r="D172" s="710" t="str">
        <f>IF(A172="","",'Rozpad zakázky'!F188)</f>
        <v/>
      </c>
      <c r="E172" s="710" t="str">
        <f>IF(A172="","",'Rozpad zakázky'!D188&amp;IF('Rozpad zakázky'!G188="",""," ("&amp;'Rozpad zakázky'!G188&amp;")"))</f>
        <v/>
      </c>
      <c r="F172" s="709" t="str">
        <f>IF(A172="","",'Rozpad zakázky'!IW188)</f>
        <v/>
      </c>
      <c r="G172" s="711" t="str">
        <f>IF(A172="","",'Rozpad zakázky'!AE188)</f>
        <v/>
      </c>
      <c r="H172" s="717" t="str">
        <f>IF(A172="","",'Rozpad zakázky'!AJ188)</f>
        <v/>
      </c>
      <c r="I172" s="748" t="str">
        <f>IF(A172="","",'Rozpad zakázky'!Q188)</f>
        <v/>
      </c>
      <c r="J172" s="717" t="str">
        <f>IF(A172="","",ROUNDDOWN('Rozpad zakázky'!L188,1))</f>
        <v/>
      </c>
      <c r="K172" s="745" t="str">
        <f>IF(A172="","",Tabulka_nakup_Vonka[[#This Row],[Počet MJHR v rozpadu]]*Tabulka_nakup_Vonka[[#This Row],[Jedn. hmotnost '[kg/MJHR']]])</f>
        <v/>
      </c>
    </row>
    <row r="173" spans="1:11" x14ac:dyDescent="0.35">
      <c r="A173" s="709" t="str">
        <f>IF('Rozpad zakázky'!E189=0,"",IF('Rozpad zakázky'!E189="-","",'Rozpad zakázky'!E189))</f>
        <v/>
      </c>
      <c r="B173" s="708" t="str">
        <f>IF(A173="","",IF(A173="","",VLOOKUP(A:A,Pomocna_Nakup[],3,0))&amp;" | "&amp;IF(A173="","",VLOOKUP(A:A,Pomocna_Nakup[],4,0)))</f>
        <v/>
      </c>
      <c r="C173" s="710" t="str">
        <f>IF(Tabulka_nakup_Vonka[[#This Row],[Zkratka kalkulační položky]]="","",Tabulka_nakup_Vonka[[#This Row],[Zkratka kalkulační položky]]&amp;" | "&amp;IF(A173="","",VLOOKUP(A:A,Pomocna_Nakup[],2,0)))</f>
        <v/>
      </c>
      <c r="D173" s="710" t="str">
        <f>IF(A173="","",'Rozpad zakázky'!F189)</f>
        <v/>
      </c>
      <c r="E173" s="710" t="str">
        <f>IF(A173="","",'Rozpad zakázky'!D189&amp;IF('Rozpad zakázky'!G189="",""," ("&amp;'Rozpad zakázky'!G189&amp;")"))</f>
        <v/>
      </c>
      <c r="F173" s="709" t="str">
        <f>IF(A173="","",'Rozpad zakázky'!IW189)</f>
        <v/>
      </c>
      <c r="G173" s="711" t="str">
        <f>IF(A173="","",'Rozpad zakázky'!AE189)</f>
        <v/>
      </c>
      <c r="H173" s="717" t="str">
        <f>IF(A173="","",'Rozpad zakázky'!AJ189)</f>
        <v/>
      </c>
      <c r="I173" s="748" t="str">
        <f>IF(A173="","",'Rozpad zakázky'!Q189)</f>
        <v/>
      </c>
      <c r="J173" s="717" t="str">
        <f>IF(A173="","",ROUNDDOWN('Rozpad zakázky'!L189,1))</f>
        <v/>
      </c>
      <c r="K173" s="745" t="str">
        <f>IF(A173="","",Tabulka_nakup_Vonka[[#This Row],[Počet MJHR v rozpadu]]*Tabulka_nakup_Vonka[[#This Row],[Jedn. hmotnost '[kg/MJHR']]])</f>
        <v/>
      </c>
    </row>
    <row r="174" spans="1:11" x14ac:dyDescent="0.35">
      <c r="A174" s="709" t="str">
        <f>IF('Rozpad zakázky'!E190=0,"",IF('Rozpad zakázky'!E190="-","",'Rozpad zakázky'!E190))</f>
        <v/>
      </c>
      <c r="B174" s="708" t="str">
        <f>IF(A174="","",IF(A174="","",VLOOKUP(A:A,Pomocna_Nakup[],3,0))&amp;" | "&amp;IF(A174="","",VLOOKUP(A:A,Pomocna_Nakup[],4,0)))</f>
        <v/>
      </c>
      <c r="C174" s="710" t="str">
        <f>IF(Tabulka_nakup_Vonka[[#This Row],[Zkratka kalkulační položky]]="","",Tabulka_nakup_Vonka[[#This Row],[Zkratka kalkulační položky]]&amp;" | "&amp;IF(A174="","",VLOOKUP(A:A,Pomocna_Nakup[],2,0)))</f>
        <v/>
      </c>
      <c r="D174" s="710" t="str">
        <f>IF(A174="","",'Rozpad zakázky'!F190)</f>
        <v/>
      </c>
      <c r="E174" s="710" t="str">
        <f>IF(A174="","",'Rozpad zakázky'!D190&amp;IF('Rozpad zakázky'!G190="",""," ("&amp;'Rozpad zakázky'!G190&amp;")"))</f>
        <v/>
      </c>
      <c r="F174" s="709" t="str">
        <f>IF(A174="","",'Rozpad zakázky'!IW190)</f>
        <v/>
      </c>
      <c r="G174" s="711" t="str">
        <f>IF(A174="","",'Rozpad zakázky'!AE190)</f>
        <v/>
      </c>
      <c r="H174" s="717" t="str">
        <f>IF(A174="","",'Rozpad zakázky'!AJ190)</f>
        <v/>
      </c>
      <c r="I174" s="748" t="str">
        <f>IF(A174="","",'Rozpad zakázky'!Q190)</f>
        <v/>
      </c>
      <c r="J174" s="717" t="str">
        <f>IF(A174="","",ROUNDDOWN('Rozpad zakázky'!L190,1))</f>
        <v/>
      </c>
      <c r="K174" s="745" t="str">
        <f>IF(A174="","",Tabulka_nakup_Vonka[[#This Row],[Počet MJHR v rozpadu]]*Tabulka_nakup_Vonka[[#This Row],[Jedn. hmotnost '[kg/MJHR']]])</f>
        <v/>
      </c>
    </row>
    <row r="175" spans="1:11" x14ac:dyDescent="0.35">
      <c r="A175" s="709" t="str">
        <f>IF('Rozpad zakázky'!E191=0,"",IF('Rozpad zakázky'!E191="-","",'Rozpad zakázky'!E191))</f>
        <v/>
      </c>
      <c r="B175" s="708" t="str">
        <f>IF(A175="","",IF(A175="","",VLOOKUP(A:A,Pomocna_Nakup[],3,0))&amp;" | "&amp;IF(A175="","",VLOOKUP(A:A,Pomocna_Nakup[],4,0)))</f>
        <v/>
      </c>
      <c r="C175" s="710" t="str">
        <f>IF(Tabulka_nakup_Vonka[[#This Row],[Zkratka kalkulační položky]]="","",Tabulka_nakup_Vonka[[#This Row],[Zkratka kalkulační položky]]&amp;" | "&amp;IF(A175="","",VLOOKUP(A:A,Pomocna_Nakup[],2,0)))</f>
        <v/>
      </c>
      <c r="D175" s="710" t="str">
        <f>IF(A175="","",'Rozpad zakázky'!F191)</f>
        <v/>
      </c>
      <c r="E175" s="710" t="str">
        <f>IF(A175="","",'Rozpad zakázky'!D191&amp;IF('Rozpad zakázky'!G191="",""," ("&amp;'Rozpad zakázky'!G191&amp;")"))</f>
        <v/>
      </c>
      <c r="F175" s="709" t="str">
        <f>IF(A175="","",'Rozpad zakázky'!IW191)</f>
        <v/>
      </c>
      <c r="G175" s="711" t="str">
        <f>IF(A175="","",'Rozpad zakázky'!AE191)</f>
        <v/>
      </c>
      <c r="H175" s="717" t="str">
        <f>IF(A175="","",'Rozpad zakázky'!AJ191)</f>
        <v/>
      </c>
      <c r="I175" s="748" t="str">
        <f>IF(A175="","",'Rozpad zakázky'!Q191)</f>
        <v/>
      </c>
      <c r="J175" s="717" t="str">
        <f>IF(A175="","",ROUNDDOWN('Rozpad zakázky'!L191,1))</f>
        <v/>
      </c>
      <c r="K175" s="745" t="str">
        <f>IF(A175="","",Tabulka_nakup_Vonka[[#This Row],[Počet MJHR v rozpadu]]*Tabulka_nakup_Vonka[[#This Row],[Jedn. hmotnost '[kg/MJHR']]])</f>
        <v/>
      </c>
    </row>
    <row r="176" spans="1:11" x14ac:dyDescent="0.35">
      <c r="A176" s="709" t="str">
        <f>IF('Rozpad zakázky'!E192=0,"",IF('Rozpad zakázky'!E192="-","",'Rozpad zakázky'!E192))</f>
        <v/>
      </c>
      <c r="B176" s="708" t="str">
        <f>IF(A176="","",IF(A176="","",VLOOKUP(A:A,Pomocna_Nakup[],3,0))&amp;" | "&amp;IF(A176="","",VLOOKUP(A:A,Pomocna_Nakup[],4,0)))</f>
        <v/>
      </c>
      <c r="C176" s="710" t="str">
        <f>IF(Tabulka_nakup_Vonka[[#This Row],[Zkratka kalkulační položky]]="","",Tabulka_nakup_Vonka[[#This Row],[Zkratka kalkulační položky]]&amp;" | "&amp;IF(A176="","",VLOOKUP(A:A,Pomocna_Nakup[],2,0)))</f>
        <v/>
      </c>
      <c r="D176" s="710" t="str">
        <f>IF(A176="","",'Rozpad zakázky'!F192)</f>
        <v/>
      </c>
      <c r="E176" s="710" t="str">
        <f>IF(A176="","",'Rozpad zakázky'!D192&amp;IF('Rozpad zakázky'!G192="",""," ("&amp;'Rozpad zakázky'!G192&amp;")"))</f>
        <v/>
      </c>
      <c r="F176" s="709" t="str">
        <f>IF(A176="","",'Rozpad zakázky'!IW192)</f>
        <v/>
      </c>
      <c r="G176" s="711" t="str">
        <f>IF(A176="","",'Rozpad zakázky'!AE192)</f>
        <v/>
      </c>
      <c r="H176" s="717" t="str">
        <f>IF(A176="","",'Rozpad zakázky'!AJ192)</f>
        <v/>
      </c>
      <c r="I176" s="748" t="str">
        <f>IF(A176="","",'Rozpad zakázky'!Q192)</f>
        <v/>
      </c>
      <c r="J176" s="717" t="str">
        <f>IF(A176="","",ROUNDDOWN('Rozpad zakázky'!L192,1))</f>
        <v/>
      </c>
      <c r="K176" s="745" t="str">
        <f>IF(A176="","",Tabulka_nakup_Vonka[[#This Row],[Počet MJHR v rozpadu]]*Tabulka_nakup_Vonka[[#This Row],[Jedn. hmotnost '[kg/MJHR']]])</f>
        <v/>
      </c>
    </row>
    <row r="177" spans="1:11" x14ac:dyDescent="0.35">
      <c r="A177" s="709" t="str">
        <f>IF('Rozpad zakázky'!E193=0,"",IF('Rozpad zakázky'!E193="-","",'Rozpad zakázky'!E193))</f>
        <v/>
      </c>
      <c r="B177" s="708" t="str">
        <f>IF(A177="","",IF(A177="","",VLOOKUP(A:A,Pomocna_Nakup[],3,0))&amp;" | "&amp;IF(A177="","",VLOOKUP(A:A,Pomocna_Nakup[],4,0)))</f>
        <v/>
      </c>
      <c r="C177" s="710" t="str">
        <f>IF(Tabulka_nakup_Vonka[[#This Row],[Zkratka kalkulační položky]]="","",Tabulka_nakup_Vonka[[#This Row],[Zkratka kalkulační položky]]&amp;" | "&amp;IF(A177="","",VLOOKUP(A:A,Pomocna_Nakup[],2,0)))</f>
        <v/>
      </c>
      <c r="D177" s="710" t="str">
        <f>IF(A177="","",'Rozpad zakázky'!F193)</f>
        <v/>
      </c>
      <c r="E177" s="710" t="str">
        <f>IF(A177="","",'Rozpad zakázky'!D193&amp;IF('Rozpad zakázky'!G193="",""," ("&amp;'Rozpad zakázky'!G193&amp;")"))</f>
        <v/>
      </c>
      <c r="F177" s="709" t="str">
        <f>IF(A177="","",'Rozpad zakázky'!IW193)</f>
        <v/>
      </c>
      <c r="G177" s="711" t="str">
        <f>IF(A177="","",'Rozpad zakázky'!AE193)</f>
        <v/>
      </c>
      <c r="H177" s="717" t="str">
        <f>IF(A177="","",'Rozpad zakázky'!AJ193)</f>
        <v/>
      </c>
      <c r="I177" s="748" t="str">
        <f>IF(A177="","",'Rozpad zakázky'!Q193)</f>
        <v/>
      </c>
      <c r="J177" s="717" t="str">
        <f>IF(A177="","",ROUNDDOWN('Rozpad zakázky'!L193,1))</f>
        <v/>
      </c>
      <c r="K177" s="745" t="str">
        <f>IF(A177="","",Tabulka_nakup_Vonka[[#This Row],[Počet MJHR v rozpadu]]*Tabulka_nakup_Vonka[[#This Row],[Jedn. hmotnost '[kg/MJHR']]])</f>
        <v/>
      </c>
    </row>
    <row r="178" spans="1:11" x14ac:dyDescent="0.35">
      <c r="A178" s="709" t="str">
        <f>IF('Rozpad zakázky'!E194=0,"",IF('Rozpad zakázky'!E194="-","",'Rozpad zakázky'!E194))</f>
        <v/>
      </c>
      <c r="B178" s="708" t="str">
        <f>IF(A178="","",IF(A178="","",VLOOKUP(A:A,Pomocna_Nakup[],3,0))&amp;" | "&amp;IF(A178="","",VLOOKUP(A:A,Pomocna_Nakup[],4,0)))</f>
        <v/>
      </c>
      <c r="C178" s="710" t="str">
        <f>IF(Tabulka_nakup_Vonka[[#This Row],[Zkratka kalkulační položky]]="","",Tabulka_nakup_Vonka[[#This Row],[Zkratka kalkulační položky]]&amp;" | "&amp;IF(A178="","",VLOOKUP(A:A,Pomocna_Nakup[],2,0)))</f>
        <v/>
      </c>
      <c r="D178" s="710" t="str">
        <f>IF(A178="","",'Rozpad zakázky'!F194)</f>
        <v/>
      </c>
      <c r="E178" s="710" t="str">
        <f>IF(A178="","",'Rozpad zakázky'!D194&amp;IF('Rozpad zakázky'!G194="",""," ("&amp;'Rozpad zakázky'!G194&amp;")"))</f>
        <v/>
      </c>
      <c r="F178" s="709" t="str">
        <f>IF(A178="","",'Rozpad zakázky'!IW194)</f>
        <v/>
      </c>
      <c r="G178" s="711" t="str">
        <f>IF(A178="","",'Rozpad zakázky'!AE194)</f>
        <v/>
      </c>
      <c r="H178" s="717" t="str">
        <f>IF(A178="","",'Rozpad zakázky'!AJ194)</f>
        <v/>
      </c>
      <c r="I178" s="748" t="str">
        <f>IF(A178="","",'Rozpad zakázky'!Q194)</f>
        <v/>
      </c>
      <c r="J178" s="717" t="str">
        <f>IF(A178="","",ROUNDDOWN('Rozpad zakázky'!L194,1))</f>
        <v/>
      </c>
      <c r="K178" s="745" t="str">
        <f>IF(A178="","",Tabulka_nakup_Vonka[[#This Row],[Počet MJHR v rozpadu]]*Tabulka_nakup_Vonka[[#This Row],[Jedn. hmotnost '[kg/MJHR']]])</f>
        <v/>
      </c>
    </row>
    <row r="179" spans="1:11" x14ac:dyDescent="0.35">
      <c r="A179" s="709" t="str">
        <f>IF('Rozpad zakázky'!E195=0,"",IF('Rozpad zakázky'!E195="-","",'Rozpad zakázky'!E195))</f>
        <v/>
      </c>
      <c r="B179" s="708" t="str">
        <f>IF(A179="","",IF(A179="","",VLOOKUP(A:A,Pomocna_Nakup[],3,0))&amp;" | "&amp;IF(A179="","",VLOOKUP(A:A,Pomocna_Nakup[],4,0)))</f>
        <v/>
      </c>
      <c r="C179" s="710" t="str">
        <f>IF(Tabulka_nakup_Vonka[[#This Row],[Zkratka kalkulační položky]]="","",Tabulka_nakup_Vonka[[#This Row],[Zkratka kalkulační položky]]&amp;" | "&amp;IF(A179="","",VLOOKUP(A:A,Pomocna_Nakup[],2,0)))</f>
        <v/>
      </c>
      <c r="D179" s="710" t="str">
        <f>IF(A179="","",'Rozpad zakázky'!F195)</f>
        <v/>
      </c>
      <c r="E179" s="710" t="str">
        <f>IF(A179="","",'Rozpad zakázky'!D195&amp;IF('Rozpad zakázky'!G195="",""," ("&amp;'Rozpad zakázky'!G195&amp;")"))</f>
        <v/>
      </c>
      <c r="F179" s="709" t="str">
        <f>IF(A179="","",'Rozpad zakázky'!IW195)</f>
        <v/>
      </c>
      <c r="G179" s="711" t="str">
        <f>IF(A179="","",'Rozpad zakázky'!AE195)</f>
        <v/>
      </c>
      <c r="H179" s="717" t="str">
        <f>IF(A179="","",'Rozpad zakázky'!AJ195)</f>
        <v/>
      </c>
      <c r="I179" s="748" t="str">
        <f>IF(A179="","",'Rozpad zakázky'!Q195)</f>
        <v/>
      </c>
      <c r="J179" s="717" t="str">
        <f>IF(A179="","",ROUNDDOWN('Rozpad zakázky'!L195,1))</f>
        <v/>
      </c>
      <c r="K179" s="745" t="str">
        <f>IF(A179="","",Tabulka_nakup_Vonka[[#This Row],[Počet MJHR v rozpadu]]*Tabulka_nakup_Vonka[[#This Row],[Jedn. hmotnost '[kg/MJHR']]])</f>
        <v/>
      </c>
    </row>
    <row r="180" spans="1:11" x14ac:dyDescent="0.35">
      <c r="A180" s="709" t="str">
        <f>IF('Rozpad zakázky'!E196=0,"",IF('Rozpad zakázky'!E196="-","",'Rozpad zakázky'!E196))</f>
        <v/>
      </c>
      <c r="B180" s="708" t="str">
        <f>IF(A180="","",IF(A180="","",VLOOKUP(A:A,Pomocna_Nakup[],3,0))&amp;" | "&amp;IF(A180="","",VLOOKUP(A:A,Pomocna_Nakup[],4,0)))</f>
        <v/>
      </c>
      <c r="C180" s="710" t="str">
        <f>IF(Tabulka_nakup_Vonka[[#This Row],[Zkratka kalkulační položky]]="","",Tabulka_nakup_Vonka[[#This Row],[Zkratka kalkulační položky]]&amp;" | "&amp;IF(A180="","",VLOOKUP(A:A,Pomocna_Nakup[],2,0)))</f>
        <v/>
      </c>
      <c r="D180" s="710" t="str">
        <f>IF(A180="","",'Rozpad zakázky'!F196)</f>
        <v/>
      </c>
      <c r="E180" s="710" t="str">
        <f>IF(A180="","",'Rozpad zakázky'!D196&amp;IF('Rozpad zakázky'!G196="",""," ("&amp;'Rozpad zakázky'!G196&amp;")"))</f>
        <v/>
      </c>
      <c r="F180" s="709" t="str">
        <f>IF(A180="","",'Rozpad zakázky'!IW196)</f>
        <v/>
      </c>
      <c r="G180" s="711" t="str">
        <f>IF(A180="","",'Rozpad zakázky'!AE196)</f>
        <v/>
      </c>
      <c r="H180" s="717" t="str">
        <f>IF(A180="","",'Rozpad zakázky'!AJ196)</f>
        <v/>
      </c>
      <c r="I180" s="748" t="str">
        <f>IF(A180="","",'Rozpad zakázky'!Q196)</f>
        <v/>
      </c>
      <c r="J180" s="717" t="str">
        <f>IF(A180="","",ROUNDDOWN('Rozpad zakázky'!L196,1))</f>
        <v/>
      </c>
      <c r="K180" s="745" t="str">
        <f>IF(A180="","",Tabulka_nakup_Vonka[[#This Row],[Počet MJHR v rozpadu]]*Tabulka_nakup_Vonka[[#This Row],[Jedn. hmotnost '[kg/MJHR']]])</f>
        <v/>
      </c>
    </row>
    <row r="181" spans="1:11" x14ac:dyDescent="0.35">
      <c r="A181" s="709" t="str">
        <f>IF('Rozpad zakázky'!E197=0,"",IF('Rozpad zakázky'!E197="-","",'Rozpad zakázky'!E197))</f>
        <v/>
      </c>
      <c r="B181" s="708" t="str">
        <f>IF(A181="","",IF(A181="","",VLOOKUP(A:A,Pomocna_Nakup[],3,0))&amp;" | "&amp;IF(A181="","",VLOOKUP(A:A,Pomocna_Nakup[],4,0)))</f>
        <v/>
      </c>
      <c r="C181" s="710" t="str">
        <f>IF(Tabulka_nakup_Vonka[[#This Row],[Zkratka kalkulační položky]]="","",Tabulka_nakup_Vonka[[#This Row],[Zkratka kalkulační položky]]&amp;" | "&amp;IF(A181="","",VLOOKUP(A:A,Pomocna_Nakup[],2,0)))</f>
        <v/>
      </c>
      <c r="D181" s="710" t="str">
        <f>IF(A181="","",'Rozpad zakázky'!F197)</f>
        <v/>
      </c>
      <c r="E181" s="710" t="str">
        <f>IF(A181="","",'Rozpad zakázky'!D197&amp;IF('Rozpad zakázky'!G197="",""," ("&amp;'Rozpad zakázky'!G197&amp;")"))</f>
        <v/>
      </c>
      <c r="F181" s="709" t="str">
        <f>IF(A181="","",'Rozpad zakázky'!IW197)</f>
        <v/>
      </c>
      <c r="G181" s="711" t="str">
        <f>IF(A181="","",'Rozpad zakázky'!AE197)</f>
        <v/>
      </c>
      <c r="H181" s="717" t="str">
        <f>IF(A181="","",'Rozpad zakázky'!AJ197)</f>
        <v/>
      </c>
      <c r="I181" s="748" t="str">
        <f>IF(A181="","",'Rozpad zakázky'!Q197)</f>
        <v/>
      </c>
      <c r="J181" s="717" t="str">
        <f>IF(A181="","",ROUNDDOWN('Rozpad zakázky'!L197,1))</f>
        <v/>
      </c>
      <c r="K181" s="745" t="str">
        <f>IF(A181="","",Tabulka_nakup_Vonka[[#This Row],[Počet MJHR v rozpadu]]*Tabulka_nakup_Vonka[[#This Row],[Jedn. hmotnost '[kg/MJHR']]])</f>
        <v/>
      </c>
    </row>
    <row r="182" spans="1:11" x14ac:dyDescent="0.35">
      <c r="A182" s="709" t="str">
        <f>IF('Rozpad zakázky'!E198=0,"",IF('Rozpad zakázky'!E198="-","",'Rozpad zakázky'!E198))</f>
        <v/>
      </c>
      <c r="B182" s="708" t="str">
        <f>IF(A182="","",IF(A182="","",VLOOKUP(A:A,Pomocna_Nakup[],3,0))&amp;" | "&amp;IF(A182="","",VLOOKUP(A:A,Pomocna_Nakup[],4,0)))</f>
        <v/>
      </c>
      <c r="C182" s="710" t="str">
        <f>IF(Tabulka_nakup_Vonka[[#This Row],[Zkratka kalkulační položky]]="","",Tabulka_nakup_Vonka[[#This Row],[Zkratka kalkulační položky]]&amp;" | "&amp;IF(A182="","",VLOOKUP(A:A,Pomocna_Nakup[],2,0)))</f>
        <v/>
      </c>
      <c r="D182" s="710" t="str">
        <f>IF(A182="","",'Rozpad zakázky'!F198)</f>
        <v/>
      </c>
      <c r="E182" s="710" t="str">
        <f>IF(A182="","",'Rozpad zakázky'!D198&amp;IF('Rozpad zakázky'!G198="",""," ("&amp;'Rozpad zakázky'!G198&amp;")"))</f>
        <v/>
      </c>
      <c r="F182" s="709" t="str">
        <f>IF(A182="","",'Rozpad zakázky'!IW198)</f>
        <v/>
      </c>
      <c r="G182" s="711" t="str">
        <f>IF(A182="","",'Rozpad zakázky'!AE198)</f>
        <v/>
      </c>
      <c r="H182" s="717" t="str">
        <f>IF(A182="","",'Rozpad zakázky'!AJ198)</f>
        <v/>
      </c>
      <c r="I182" s="748" t="str">
        <f>IF(A182="","",'Rozpad zakázky'!Q198)</f>
        <v/>
      </c>
      <c r="J182" s="717" t="str">
        <f>IF(A182="","",ROUNDDOWN('Rozpad zakázky'!L198,1))</f>
        <v/>
      </c>
      <c r="K182" s="745" t="str">
        <f>IF(A182="","",Tabulka_nakup_Vonka[[#This Row],[Počet MJHR v rozpadu]]*Tabulka_nakup_Vonka[[#This Row],[Jedn. hmotnost '[kg/MJHR']]])</f>
        <v/>
      </c>
    </row>
    <row r="183" spans="1:11" x14ac:dyDescent="0.35">
      <c r="A183" s="709" t="str">
        <f>IF('Rozpad zakázky'!E199=0,"",IF('Rozpad zakázky'!E199="-","",'Rozpad zakázky'!E199))</f>
        <v/>
      </c>
      <c r="B183" s="708" t="str">
        <f>IF(A183="","",IF(A183="","",VLOOKUP(A:A,Pomocna_Nakup[],3,0))&amp;" | "&amp;IF(A183="","",VLOOKUP(A:A,Pomocna_Nakup[],4,0)))</f>
        <v/>
      </c>
      <c r="C183" s="710" t="str">
        <f>IF(Tabulka_nakup_Vonka[[#This Row],[Zkratka kalkulační položky]]="","",Tabulka_nakup_Vonka[[#This Row],[Zkratka kalkulační položky]]&amp;" | "&amp;IF(A183="","",VLOOKUP(A:A,Pomocna_Nakup[],2,0)))</f>
        <v/>
      </c>
      <c r="D183" s="710" t="str">
        <f>IF(A183="","",'Rozpad zakázky'!F199)</f>
        <v/>
      </c>
      <c r="E183" s="710" t="str">
        <f>IF(A183="","",'Rozpad zakázky'!D199&amp;IF('Rozpad zakázky'!G199="",""," ("&amp;'Rozpad zakázky'!G199&amp;")"))</f>
        <v/>
      </c>
      <c r="F183" s="709" t="str">
        <f>IF(A183="","",'Rozpad zakázky'!IW199)</f>
        <v/>
      </c>
      <c r="G183" s="711" t="str">
        <f>IF(A183="","",'Rozpad zakázky'!AE199)</f>
        <v/>
      </c>
      <c r="H183" s="717" t="str">
        <f>IF(A183="","",'Rozpad zakázky'!AJ199)</f>
        <v/>
      </c>
      <c r="I183" s="748" t="str">
        <f>IF(A183="","",'Rozpad zakázky'!Q199)</f>
        <v/>
      </c>
      <c r="J183" s="717" t="str">
        <f>IF(A183="","",ROUNDDOWN('Rozpad zakázky'!L199,1))</f>
        <v/>
      </c>
      <c r="K183" s="745" t="str">
        <f>IF(A183="","",Tabulka_nakup_Vonka[[#This Row],[Počet MJHR v rozpadu]]*Tabulka_nakup_Vonka[[#This Row],[Jedn. hmotnost '[kg/MJHR']]])</f>
        <v/>
      </c>
    </row>
    <row r="184" spans="1:11" x14ac:dyDescent="0.35">
      <c r="A184" s="709" t="str">
        <f>IF('Rozpad zakázky'!E200=0,"",IF('Rozpad zakázky'!E200="-","",'Rozpad zakázky'!E200))</f>
        <v/>
      </c>
      <c r="B184" s="708" t="str">
        <f>IF(A184="","",IF(A184="","",VLOOKUP(A:A,Pomocna_Nakup[],3,0))&amp;" | "&amp;IF(A184="","",VLOOKUP(A:A,Pomocna_Nakup[],4,0)))</f>
        <v/>
      </c>
      <c r="C184" s="710" t="str">
        <f>IF(Tabulka_nakup_Vonka[[#This Row],[Zkratka kalkulační položky]]="","",Tabulka_nakup_Vonka[[#This Row],[Zkratka kalkulační položky]]&amp;" | "&amp;IF(A184="","",VLOOKUP(A:A,Pomocna_Nakup[],2,0)))</f>
        <v/>
      </c>
      <c r="D184" s="710" t="str">
        <f>IF(A184="","",'Rozpad zakázky'!F200)</f>
        <v/>
      </c>
      <c r="E184" s="710" t="str">
        <f>IF(A184="","",'Rozpad zakázky'!D200&amp;IF('Rozpad zakázky'!G200="",""," ("&amp;'Rozpad zakázky'!G200&amp;")"))</f>
        <v/>
      </c>
      <c r="F184" s="709" t="str">
        <f>IF(A184="","",'Rozpad zakázky'!IW200)</f>
        <v/>
      </c>
      <c r="G184" s="711" t="str">
        <f>IF(A184="","",'Rozpad zakázky'!AE200)</f>
        <v/>
      </c>
      <c r="H184" s="717" t="str">
        <f>IF(A184="","",'Rozpad zakázky'!AJ200)</f>
        <v/>
      </c>
      <c r="I184" s="748" t="str">
        <f>IF(A184="","",'Rozpad zakázky'!Q200)</f>
        <v/>
      </c>
      <c r="J184" s="717" t="str">
        <f>IF(A184="","",ROUNDDOWN('Rozpad zakázky'!L200,1))</f>
        <v/>
      </c>
      <c r="K184" s="745" t="str">
        <f>IF(A184="","",Tabulka_nakup_Vonka[[#This Row],[Počet MJHR v rozpadu]]*Tabulka_nakup_Vonka[[#This Row],[Jedn. hmotnost '[kg/MJHR']]])</f>
        <v/>
      </c>
    </row>
    <row r="185" spans="1:11" x14ac:dyDescent="0.35">
      <c r="A185" s="709" t="str">
        <f>IF('Rozpad zakázky'!E201=0,"",IF('Rozpad zakázky'!E201="-","",'Rozpad zakázky'!E201))</f>
        <v/>
      </c>
      <c r="B185" s="708" t="str">
        <f>IF(A185="","",IF(A185="","",VLOOKUP(A:A,Pomocna_Nakup[],3,0))&amp;" | "&amp;IF(A185="","",VLOOKUP(A:A,Pomocna_Nakup[],4,0)))</f>
        <v/>
      </c>
      <c r="C185" s="710" t="str">
        <f>IF(Tabulka_nakup_Vonka[[#This Row],[Zkratka kalkulační položky]]="","",Tabulka_nakup_Vonka[[#This Row],[Zkratka kalkulační položky]]&amp;" | "&amp;IF(A185="","",VLOOKUP(A:A,Pomocna_Nakup[],2,0)))</f>
        <v/>
      </c>
      <c r="D185" s="710" t="str">
        <f>IF(A185="","",'Rozpad zakázky'!F201)</f>
        <v/>
      </c>
      <c r="E185" s="710" t="str">
        <f>IF(A185="","",'Rozpad zakázky'!D201&amp;IF('Rozpad zakázky'!G201="",""," ("&amp;'Rozpad zakázky'!G201&amp;")"))</f>
        <v/>
      </c>
      <c r="F185" s="709" t="str">
        <f>IF(A185="","",'Rozpad zakázky'!IW201)</f>
        <v/>
      </c>
      <c r="G185" s="711" t="str">
        <f>IF(A185="","",'Rozpad zakázky'!AE201)</f>
        <v/>
      </c>
      <c r="H185" s="717" t="str">
        <f>IF(A185="","",'Rozpad zakázky'!AJ201)</f>
        <v/>
      </c>
      <c r="I185" s="748" t="str">
        <f>IF(A185="","",'Rozpad zakázky'!Q201)</f>
        <v/>
      </c>
      <c r="J185" s="717" t="str">
        <f>IF(A185="","",ROUNDDOWN('Rozpad zakázky'!L201,1))</f>
        <v/>
      </c>
      <c r="K185" s="745" t="str">
        <f>IF(A185="","",Tabulka_nakup_Vonka[[#This Row],[Počet MJHR v rozpadu]]*Tabulka_nakup_Vonka[[#This Row],[Jedn. hmotnost '[kg/MJHR']]])</f>
        <v/>
      </c>
    </row>
    <row r="186" spans="1:11" x14ac:dyDescent="0.35">
      <c r="A186" s="709" t="str">
        <f>IF('Rozpad zakázky'!E202=0,"",IF('Rozpad zakázky'!E202="-","",'Rozpad zakázky'!E202))</f>
        <v/>
      </c>
      <c r="B186" s="708" t="str">
        <f>IF(A186="","",IF(A186="","",VLOOKUP(A:A,Pomocna_Nakup[],3,0))&amp;" | "&amp;IF(A186="","",VLOOKUP(A:A,Pomocna_Nakup[],4,0)))</f>
        <v/>
      </c>
      <c r="C186" s="710" t="str">
        <f>IF(Tabulka_nakup_Vonka[[#This Row],[Zkratka kalkulační položky]]="","",Tabulka_nakup_Vonka[[#This Row],[Zkratka kalkulační položky]]&amp;" | "&amp;IF(A186="","",VLOOKUP(A:A,Pomocna_Nakup[],2,0)))</f>
        <v/>
      </c>
      <c r="D186" s="710" t="str">
        <f>IF(A186="","",'Rozpad zakázky'!F202)</f>
        <v/>
      </c>
      <c r="E186" s="710" t="str">
        <f>IF(A186="","",'Rozpad zakázky'!D202&amp;IF('Rozpad zakázky'!G202="",""," ("&amp;'Rozpad zakázky'!G202&amp;")"))</f>
        <v/>
      </c>
      <c r="F186" s="709" t="str">
        <f>IF(A186="","",'Rozpad zakázky'!IW202)</f>
        <v/>
      </c>
      <c r="G186" s="711" t="str">
        <f>IF(A186="","",'Rozpad zakázky'!AE202)</f>
        <v/>
      </c>
      <c r="H186" s="717" t="str">
        <f>IF(A186="","",'Rozpad zakázky'!AJ202)</f>
        <v/>
      </c>
      <c r="I186" s="748" t="str">
        <f>IF(A186="","",'Rozpad zakázky'!Q202)</f>
        <v/>
      </c>
      <c r="J186" s="717" t="str">
        <f>IF(A186="","",ROUNDDOWN('Rozpad zakázky'!L202,1))</f>
        <v/>
      </c>
      <c r="K186" s="745" t="str">
        <f>IF(A186="","",Tabulka_nakup_Vonka[[#This Row],[Počet MJHR v rozpadu]]*Tabulka_nakup_Vonka[[#This Row],[Jedn. hmotnost '[kg/MJHR']]])</f>
        <v/>
      </c>
    </row>
    <row r="187" spans="1:11" x14ac:dyDescent="0.35">
      <c r="A187" s="709" t="str">
        <f>IF('Rozpad zakázky'!E203=0,"",IF('Rozpad zakázky'!E203="-","",'Rozpad zakázky'!E203))</f>
        <v/>
      </c>
      <c r="B187" s="708" t="str">
        <f>IF(A187="","",IF(A187="","",VLOOKUP(A:A,Pomocna_Nakup[],3,0))&amp;" | "&amp;IF(A187="","",VLOOKUP(A:A,Pomocna_Nakup[],4,0)))</f>
        <v/>
      </c>
      <c r="C187" s="710" t="str">
        <f>IF(Tabulka_nakup_Vonka[[#This Row],[Zkratka kalkulační položky]]="","",Tabulka_nakup_Vonka[[#This Row],[Zkratka kalkulační položky]]&amp;" | "&amp;IF(A187="","",VLOOKUP(A:A,Pomocna_Nakup[],2,0)))</f>
        <v/>
      </c>
      <c r="D187" s="710" t="str">
        <f>IF(A187="","",'Rozpad zakázky'!F203)</f>
        <v/>
      </c>
      <c r="E187" s="710" t="str">
        <f>IF(A187="","",'Rozpad zakázky'!D203&amp;IF('Rozpad zakázky'!G203="",""," ("&amp;'Rozpad zakázky'!G203&amp;")"))</f>
        <v/>
      </c>
      <c r="F187" s="709" t="str">
        <f>IF(A187="","",'Rozpad zakázky'!IW203)</f>
        <v/>
      </c>
      <c r="G187" s="711" t="str">
        <f>IF(A187="","",'Rozpad zakázky'!AE203)</f>
        <v/>
      </c>
      <c r="H187" s="717" t="str">
        <f>IF(A187="","",'Rozpad zakázky'!AJ203)</f>
        <v/>
      </c>
      <c r="I187" s="748" t="str">
        <f>IF(A187="","",'Rozpad zakázky'!Q203)</f>
        <v/>
      </c>
      <c r="J187" s="717" t="str">
        <f>IF(A187="","",ROUNDDOWN('Rozpad zakázky'!L203,1))</f>
        <v/>
      </c>
      <c r="K187" s="745" t="str">
        <f>IF(A187="","",Tabulka_nakup_Vonka[[#This Row],[Počet MJHR v rozpadu]]*Tabulka_nakup_Vonka[[#This Row],[Jedn. hmotnost '[kg/MJHR']]])</f>
        <v/>
      </c>
    </row>
    <row r="188" spans="1:11" x14ac:dyDescent="0.35">
      <c r="A188" s="709" t="str">
        <f>IF('Rozpad zakázky'!E204=0,"",IF('Rozpad zakázky'!E204="-","",'Rozpad zakázky'!E204))</f>
        <v/>
      </c>
      <c r="B188" s="708" t="str">
        <f>IF(A188="","",IF(A188="","",VLOOKUP(A:A,Pomocna_Nakup[],3,0))&amp;" | "&amp;IF(A188="","",VLOOKUP(A:A,Pomocna_Nakup[],4,0)))</f>
        <v/>
      </c>
      <c r="C188" s="710" t="str">
        <f>IF(Tabulka_nakup_Vonka[[#This Row],[Zkratka kalkulační položky]]="","",Tabulka_nakup_Vonka[[#This Row],[Zkratka kalkulační položky]]&amp;" | "&amp;IF(A188="","",VLOOKUP(A:A,Pomocna_Nakup[],2,0)))</f>
        <v/>
      </c>
      <c r="D188" s="710" t="str">
        <f>IF(A188="","",'Rozpad zakázky'!F204)</f>
        <v/>
      </c>
      <c r="E188" s="710" t="str">
        <f>IF(A188="","",'Rozpad zakázky'!D204&amp;IF('Rozpad zakázky'!G204="",""," ("&amp;'Rozpad zakázky'!G204&amp;")"))</f>
        <v/>
      </c>
      <c r="F188" s="709" t="str">
        <f>IF(A188="","",'Rozpad zakázky'!IW204)</f>
        <v/>
      </c>
      <c r="G188" s="711" t="str">
        <f>IF(A188="","",'Rozpad zakázky'!AE204)</f>
        <v/>
      </c>
      <c r="H188" s="717" t="str">
        <f>IF(A188="","",'Rozpad zakázky'!AJ204)</f>
        <v/>
      </c>
      <c r="I188" s="748" t="str">
        <f>IF(A188="","",'Rozpad zakázky'!Q204)</f>
        <v/>
      </c>
      <c r="J188" s="717" t="str">
        <f>IF(A188="","",ROUNDDOWN('Rozpad zakázky'!L204,1))</f>
        <v/>
      </c>
      <c r="K188" s="745" t="str">
        <f>IF(A188="","",Tabulka_nakup_Vonka[[#This Row],[Počet MJHR v rozpadu]]*Tabulka_nakup_Vonka[[#This Row],[Jedn. hmotnost '[kg/MJHR']]])</f>
        <v/>
      </c>
    </row>
    <row r="189" spans="1:11" x14ac:dyDescent="0.35">
      <c r="A189" s="709" t="str">
        <f>IF('Rozpad zakázky'!E205=0,"",IF('Rozpad zakázky'!E205="-","",'Rozpad zakázky'!E205))</f>
        <v/>
      </c>
      <c r="B189" s="708" t="str">
        <f>IF(A189="","",IF(A189="","",VLOOKUP(A:A,Pomocna_Nakup[],3,0))&amp;" | "&amp;IF(A189="","",VLOOKUP(A:A,Pomocna_Nakup[],4,0)))</f>
        <v/>
      </c>
      <c r="C189" s="710" t="str">
        <f>IF(Tabulka_nakup_Vonka[[#This Row],[Zkratka kalkulační položky]]="","",Tabulka_nakup_Vonka[[#This Row],[Zkratka kalkulační položky]]&amp;" | "&amp;IF(A189="","",VLOOKUP(A:A,Pomocna_Nakup[],2,0)))</f>
        <v/>
      </c>
      <c r="D189" s="710" t="str">
        <f>IF(A189="","",'Rozpad zakázky'!F205)</f>
        <v/>
      </c>
      <c r="E189" s="710" t="str">
        <f>IF(A189="","",'Rozpad zakázky'!D205&amp;IF('Rozpad zakázky'!G205="",""," ("&amp;'Rozpad zakázky'!G205&amp;")"))</f>
        <v/>
      </c>
      <c r="F189" s="709" t="str">
        <f>IF(A189="","",'Rozpad zakázky'!IW205)</f>
        <v/>
      </c>
      <c r="G189" s="711" t="str">
        <f>IF(A189="","",'Rozpad zakázky'!AE205)</f>
        <v/>
      </c>
      <c r="H189" s="717" t="str">
        <f>IF(A189="","",'Rozpad zakázky'!AJ205)</f>
        <v/>
      </c>
      <c r="I189" s="748" t="str">
        <f>IF(A189="","",'Rozpad zakázky'!Q205)</f>
        <v/>
      </c>
      <c r="J189" s="717" t="str">
        <f>IF(A189="","",ROUNDDOWN('Rozpad zakázky'!L205,1))</f>
        <v/>
      </c>
      <c r="K189" s="745" t="str">
        <f>IF(A189="","",Tabulka_nakup_Vonka[[#This Row],[Počet MJHR v rozpadu]]*Tabulka_nakup_Vonka[[#This Row],[Jedn. hmotnost '[kg/MJHR']]])</f>
        <v/>
      </c>
    </row>
    <row r="190" spans="1:11" x14ac:dyDescent="0.35">
      <c r="A190" s="709" t="str">
        <f>IF('Rozpad zakázky'!E206=0,"",IF('Rozpad zakázky'!E206="-","",'Rozpad zakázky'!E206))</f>
        <v/>
      </c>
      <c r="B190" s="708" t="str">
        <f>IF(A190="","",IF(A190="","",VLOOKUP(A:A,Pomocna_Nakup[],3,0))&amp;" | "&amp;IF(A190="","",VLOOKUP(A:A,Pomocna_Nakup[],4,0)))</f>
        <v/>
      </c>
      <c r="C190" s="710" t="str">
        <f>IF(Tabulka_nakup_Vonka[[#This Row],[Zkratka kalkulační položky]]="","",Tabulka_nakup_Vonka[[#This Row],[Zkratka kalkulační položky]]&amp;" | "&amp;IF(A190="","",VLOOKUP(A:A,Pomocna_Nakup[],2,0)))</f>
        <v/>
      </c>
      <c r="D190" s="710" t="str">
        <f>IF(A190="","",'Rozpad zakázky'!F206)</f>
        <v/>
      </c>
      <c r="E190" s="710" t="str">
        <f>IF(A190="","",'Rozpad zakázky'!D206&amp;IF('Rozpad zakázky'!G206="",""," ("&amp;'Rozpad zakázky'!G206&amp;")"))</f>
        <v/>
      </c>
      <c r="F190" s="709" t="str">
        <f>IF(A190="","",'Rozpad zakázky'!IW206)</f>
        <v/>
      </c>
      <c r="G190" s="711" t="str">
        <f>IF(A190="","",'Rozpad zakázky'!AE206)</f>
        <v/>
      </c>
      <c r="H190" s="717" t="str">
        <f>IF(A190="","",'Rozpad zakázky'!AJ206)</f>
        <v/>
      </c>
      <c r="I190" s="748" t="str">
        <f>IF(A190="","",'Rozpad zakázky'!Q206)</f>
        <v/>
      </c>
      <c r="J190" s="717" t="str">
        <f>IF(A190="","",ROUNDDOWN('Rozpad zakázky'!L206,1))</f>
        <v/>
      </c>
      <c r="K190" s="745" t="str">
        <f>IF(A190="","",Tabulka_nakup_Vonka[[#This Row],[Počet MJHR v rozpadu]]*Tabulka_nakup_Vonka[[#This Row],[Jedn. hmotnost '[kg/MJHR']]])</f>
        <v/>
      </c>
    </row>
    <row r="191" spans="1:11" x14ac:dyDescent="0.35">
      <c r="A191" s="709" t="str">
        <f>IF('Rozpad zakázky'!E207=0,"",IF('Rozpad zakázky'!E207="-","",'Rozpad zakázky'!E207))</f>
        <v/>
      </c>
      <c r="B191" s="708" t="str">
        <f>IF(A191="","",IF(A191="","",VLOOKUP(A:A,Pomocna_Nakup[],3,0))&amp;" | "&amp;IF(A191="","",VLOOKUP(A:A,Pomocna_Nakup[],4,0)))</f>
        <v/>
      </c>
      <c r="C191" s="710" t="str">
        <f>IF(Tabulka_nakup_Vonka[[#This Row],[Zkratka kalkulační položky]]="","",Tabulka_nakup_Vonka[[#This Row],[Zkratka kalkulační položky]]&amp;" | "&amp;IF(A191="","",VLOOKUP(A:A,Pomocna_Nakup[],2,0)))</f>
        <v/>
      </c>
      <c r="D191" s="710" t="str">
        <f>IF(A191="","",'Rozpad zakázky'!F207)</f>
        <v/>
      </c>
      <c r="E191" s="710" t="str">
        <f>IF(A191="","",'Rozpad zakázky'!D207&amp;IF('Rozpad zakázky'!G207="",""," ("&amp;'Rozpad zakázky'!G207&amp;")"))</f>
        <v/>
      </c>
      <c r="F191" s="709" t="str">
        <f>IF(A191="","",'Rozpad zakázky'!IW207)</f>
        <v/>
      </c>
      <c r="G191" s="711" t="str">
        <f>IF(A191="","",'Rozpad zakázky'!AE207)</f>
        <v/>
      </c>
      <c r="H191" s="717" t="str">
        <f>IF(A191="","",'Rozpad zakázky'!AJ207)</f>
        <v/>
      </c>
      <c r="I191" s="748" t="str">
        <f>IF(A191="","",'Rozpad zakázky'!Q207)</f>
        <v/>
      </c>
      <c r="J191" s="717" t="str">
        <f>IF(A191="","",ROUNDDOWN('Rozpad zakázky'!L207,1))</f>
        <v/>
      </c>
      <c r="K191" s="745" t="str">
        <f>IF(A191="","",Tabulka_nakup_Vonka[[#This Row],[Počet MJHR v rozpadu]]*Tabulka_nakup_Vonka[[#This Row],[Jedn. hmotnost '[kg/MJHR']]])</f>
        <v/>
      </c>
    </row>
    <row r="192" spans="1:11" x14ac:dyDescent="0.35">
      <c r="A192" s="709" t="str">
        <f>IF('Rozpad zakázky'!E208=0,"",IF('Rozpad zakázky'!E208="-","",'Rozpad zakázky'!E208))</f>
        <v/>
      </c>
      <c r="B192" s="708" t="str">
        <f>IF(A192="","",IF(A192="","",VLOOKUP(A:A,Pomocna_Nakup[],3,0))&amp;" | "&amp;IF(A192="","",VLOOKUP(A:A,Pomocna_Nakup[],4,0)))</f>
        <v/>
      </c>
      <c r="C192" s="710" t="str">
        <f>IF(Tabulka_nakup_Vonka[[#This Row],[Zkratka kalkulační položky]]="","",Tabulka_nakup_Vonka[[#This Row],[Zkratka kalkulační položky]]&amp;" | "&amp;IF(A192="","",VLOOKUP(A:A,Pomocna_Nakup[],2,0)))</f>
        <v/>
      </c>
      <c r="D192" s="710" t="str">
        <f>IF(A192="","",'Rozpad zakázky'!F208)</f>
        <v/>
      </c>
      <c r="E192" s="710" t="str">
        <f>IF(A192="","",'Rozpad zakázky'!D208&amp;IF('Rozpad zakázky'!G208="",""," ("&amp;'Rozpad zakázky'!G208&amp;")"))</f>
        <v/>
      </c>
      <c r="F192" s="709" t="str">
        <f>IF(A192="","",'Rozpad zakázky'!IW208)</f>
        <v/>
      </c>
      <c r="G192" s="711" t="str">
        <f>IF(A192="","",'Rozpad zakázky'!AE208)</f>
        <v/>
      </c>
      <c r="H192" s="717" t="str">
        <f>IF(A192="","",'Rozpad zakázky'!AJ208)</f>
        <v/>
      </c>
      <c r="I192" s="748" t="str">
        <f>IF(A192="","",'Rozpad zakázky'!Q208)</f>
        <v/>
      </c>
      <c r="J192" s="717" t="str">
        <f>IF(A192="","",ROUNDDOWN('Rozpad zakázky'!L208,1))</f>
        <v/>
      </c>
      <c r="K192" s="745" t="str">
        <f>IF(A192="","",Tabulka_nakup_Vonka[[#This Row],[Počet MJHR v rozpadu]]*Tabulka_nakup_Vonka[[#This Row],[Jedn. hmotnost '[kg/MJHR']]])</f>
        <v/>
      </c>
    </row>
    <row r="193" spans="1:11" x14ac:dyDescent="0.35">
      <c r="A193" s="709" t="str">
        <f>IF('Rozpad zakázky'!E209=0,"",IF('Rozpad zakázky'!E209="-","",'Rozpad zakázky'!E209))</f>
        <v/>
      </c>
      <c r="B193" s="708" t="str">
        <f>IF(A193="","",IF(A193="","",VLOOKUP(A:A,Pomocna_Nakup[],3,0))&amp;" | "&amp;IF(A193="","",VLOOKUP(A:A,Pomocna_Nakup[],4,0)))</f>
        <v/>
      </c>
      <c r="C193" s="710" t="str">
        <f>IF(Tabulka_nakup_Vonka[[#This Row],[Zkratka kalkulační položky]]="","",Tabulka_nakup_Vonka[[#This Row],[Zkratka kalkulační položky]]&amp;" | "&amp;IF(A193="","",VLOOKUP(A:A,Pomocna_Nakup[],2,0)))</f>
        <v/>
      </c>
      <c r="D193" s="710" t="str">
        <f>IF(A193="","",'Rozpad zakázky'!F209)</f>
        <v/>
      </c>
      <c r="E193" s="710" t="str">
        <f>IF(A193="","",'Rozpad zakázky'!D209&amp;IF('Rozpad zakázky'!G209="",""," ("&amp;'Rozpad zakázky'!G209&amp;")"))</f>
        <v/>
      </c>
      <c r="F193" s="709" t="str">
        <f>IF(A193="","",'Rozpad zakázky'!IW209)</f>
        <v/>
      </c>
      <c r="G193" s="711" t="str">
        <f>IF(A193="","",'Rozpad zakázky'!AE209)</f>
        <v/>
      </c>
      <c r="H193" s="717" t="str">
        <f>IF(A193="","",'Rozpad zakázky'!AJ209)</f>
        <v/>
      </c>
      <c r="I193" s="748" t="str">
        <f>IF(A193="","",'Rozpad zakázky'!Q209)</f>
        <v/>
      </c>
      <c r="J193" s="717" t="str">
        <f>IF(A193="","",ROUNDDOWN('Rozpad zakázky'!L209,1))</f>
        <v/>
      </c>
      <c r="K193" s="745" t="str">
        <f>IF(A193="","",Tabulka_nakup_Vonka[[#This Row],[Počet MJHR v rozpadu]]*Tabulka_nakup_Vonka[[#This Row],[Jedn. hmotnost '[kg/MJHR']]])</f>
        <v/>
      </c>
    </row>
    <row r="194" spans="1:11" x14ac:dyDescent="0.35">
      <c r="A194" s="709" t="str">
        <f>IF('Rozpad zakázky'!E210=0,"",IF('Rozpad zakázky'!E210="-","",'Rozpad zakázky'!E210))</f>
        <v/>
      </c>
      <c r="B194" s="708" t="str">
        <f>IF(A194="","",IF(A194="","",VLOOKUP(A:A,Pomocna_Nakup[],3,0))&amp;" | "&amp;IF(A194="","",VLOOKUP(A:A,Pomocna_Nakup[],4,0)))</f>
        <v/>
      </c>
      <c r="C194" s="710" t="str">
        <f>IF(Tabulka_nakup_Vonka[[#This Row],[Zkratka kalkulační položky]]="","",Tabulka_nakup_Vonka[[#This Row],[Zkratka kalkulační položky]]&amp;" | "&amp;IF(A194="","",VLOOKUP(A:A,Pomocna_Nakup[],2,0)))</f>
        <v/>
      </c>
      <c r="D194" s="710" t="str">
        <f>IF(A194="","",'Rozpad zakázky'!F210)</f>
        <v/>
      </c>
      <c r="E194" s="710" t="str">
        <f>IF(A194="","",'Rozpad zakázky'!D210&amp;IF('Rozpad zakázky'!G210="",""," ("&amp;'Rozpad zakázky'!G210&amp;")"))</f>
        <v/>
      </c>
      <c r="F194" s="709" t="str">
        <f>IF(A194="","",'Rozpad zakázky'!IW210)</f>
        <v/>
      </c>
      <c r="G194" s="711" t="str">
        <f>IF(A194="","",'Rozpad zakázky'!AE210)</f>
        <v/>
      </c>
      <c r="H194" s="717" t="str">
        <f>IF(A194="","",'Rozpad zakázky'!AJ210)</f>
        <v/>
      </c>
      <c r="I194" s="748" t="str">
        <f>IF(A194="","",'Rozpad zakázky'!Q210)</f>
        <v/>
      </c>
      <c r="J194" s="717" t="str">
        <f>IF(A194="","",ROUNDDOWN('Rozpad zakázky'!L210,1))</f>
        <v/>
      </c>
      <c r="K194" s="745" t="str">
        <f>IF(A194="","",Tabulka_nakup_Vonka[[#This Row],[Počet MJHR v rozpadu]]*Tabulka_nakup_Vonka[[#This Row],[Jedn. hmotnost '[kg/MJHR']]])</f>
        <v/>
      </c>
    </row>
    <row r="195" spans="1:11" x14ac:dyDescent="0.35">
      <c r="A195" s="709" t="str">
        <f>IF('Rozpad zakázky'!E211=0,"",IF('Rozpad zakázky'!E211="-","",'Rozpad zakázky'!E211))</f>
        <v/>
      </c>
      <c r="B195" s="708" t="str">
        <f>IF(A195="","",IF(A195="","",VLOOKUP(A:A,Pomocna_Nakup[],3,0))&amp;" | "&amp;IF(A195="","",VLOOKUP(A:A,Pomocna_Nakup[],4,0)))</f>
        <v/>
      </c>
      <c r="C195" s="710" t="str">
        <f>IF(Tabulka_nakup_Vonka[[#This Row],[Zkratka kalkulační položky]]="","",Tabulka_nakup_Vonka[[#This Row],[Zkratka kalkulační položky]]&amp;" | "&amp;IF(A195="","",VLOOKUP(A:A,Pomocna_Nakup[],2,0)))</f>
        <v/>
      </c>
      <c r="D195" s="710" t="str">
        <f>IF(A195="","",'Rozpad zakázky'!F211)</f>
        <v/>
      </c>
      <c r="E195" s="710" t="str">
        <f>IF(A195="","",'Rozpad zakázky'!D211&amp;IF('Rozpad zakázky'!G211="",""," ("&amp;'Rozpad zakázky'!G211&amp;")"))</f>
        <v/>
      </c>
      <c r="F195" s="709" t="str">
        <f>IF(A195="","",'Rozpad zakázky'!IW211)</f>
        <v/>
      </c>
      <c r="G195" s="711" t="str">
        <f>IF(A195="","",'Rozpad zakázky'!AE211)</f>
        <v/>
      </c>
      <c r="H195" s="717" t="str">
        <f>IF(A195="","",'Rozpad zakázky'!AJ211)</f>
        <v/>
      </c>
      <c r="I195" s="748" t="str">
        <f>IF(A195="","",'Rozpad zakázky'!Q211)</f>
        <v/>
      </c>
      <c r="J195" s="717" t="str">
        <f>IF(A195="","",ROUNDDOWN('Rozpad zakázky'!L211,1))</f>
        <v/>
      </c>
      <c r="K195" s="745" t="str">
        <f>IF(A195="","",Tabulka_nakup_Vonka[[#This Row],[Počet MJHR v rozpadu]]*Tabulka_nakup_Vonka[[#This Row],[Jedn. hmotnost '[kg/MJHR']]])</f>
        <v/>
      </c>
    </row>
    <row r="196" spans="1:11" x14ac:dyDescent="0.35">
      <c r="A196" s="709" t="str">
        <f>IF('Rozpad zakázky'!E212=0,"",IF('Rozpad zakázky'!E212="-","",'Rozpad zakázky'!E212))</f>
        <v/>
      </c>
      <c r="B196" s="708" t="str">
        <f>IF(A196="","",IF(A196="","",VLOOKUP(A:A,Pomocna_Nakup[],3,0))&amp;" | "&amp;IF(A196="","",VLOOKUP(A:A,Pomocna_Nakup[],4,0)))</f>
        <v/>
      </c>
      <c r="C196" s="710" t="str">
        <f>IF(Tabulka_nakup_Vonka[[#This Row],[Zkratka kalkulační položky]]="","",Tabulka_nakup_Vonka[[#This Row],[Zkratka kalkulační položky]]&amp;" | "&amp;IF(A196="","",VLOOKUP(A:A,Pomocna_Nakup[],2,0)))</f>
        <v/>
      </c>
      <c r="D196" s="710" t="str">
        <f>IF(A196="","",'Rozpad zakázky'!F212)</f>
        <v/>
      </c>
      <c r="E196" s="710" t="str">
        <f>IF(A196="","",'Rozpad zakázky'!D212&amp;IF('Rozpad zakázky'!G212="",""," ("&amp;'Rozpad zakázky'!G212&amp;")"))</f>
        <v/>
      </c>
      <c r="F196" s="709" t="str">
        <f>IF(A196="","",'Rozpad zakázky'!IW212)</f>
        <v/>
      </c>
      <c r="G196" s="711" t="str">
        <f>IF(A196="","",'Rozpad zakázky'!AE212)</f>
        <v/>
      </c>
      <c r="H196" s="717" t="str">
        <f>IF(A196="","",'Rozpad zakázky'!AJ212)</f>
        <v/>
      </c>
      <c r="I196" s="748" t="str">
        <f>IF(A196="","",'Rozpad zakázky'!Q212)</f>
        <v/>
      </c>
      <c r="J196" s="717" t="str">
        <f>IF(A196="","",ROUNDDOWN('Rozpad zakázky'!L212,1))</f>
        <v/>
      </c>
      <c r="K196" s="745" t="str">
        <f>IF(A196="","",Tabulka_nakup_Vonka[[#This Row],[Počet MJHR v rozpadu]]*Tabulka_nakup_Vonka[[#This Row],[Jedn. hmotnost '[kg/MJHR']]])</f>
        <v/>
      </c>
    </row>
    <row r="197" spans="1:11" x14ac:dyDescent="0.35">
      <c r="A197" s="709" t="str">
        <f>IF('Rozpad zakázky'!E213=0,"",IF('Rozpad zakázky'!E213="-","",'Rozpad zakázky'!E213))</f>
        <v/>
      </c>
      <c r="B197" s="708" t="str">
        <f>IF(A197="","",IF(A197="","",VLOOKUP(A:A,Pomocna_Nakup[],3,0))&amp;" | "&amp;IF(A197="","",VLOOKUP(A:A,Pomocna_Nakup[],4,0)))</f>
        <v/>
      </c>
      <c r="C197" s="710" t="str">
        <f>IF(Tabulka_nakup_Vonka[[#This Row],[Zkratka kalkulační položky]]="","",Tabulka_nakup_Vonka[[#This Row],[Zkratka kalkulační položky]]&amp;" | "&amp;IF(A197="","",VLOOKUP(A:A,Pomocna_Nakup[],2,0)))</f>
        <v/>
      </c>
      <c r="D197" s="710" t="str">
        <f>IF(A197="","",'Rozpad zakázky'!F213)</f>
        <v/>
      </c>
      <c r="E197" s="710" t="str">
        <f>IF(A197="","",'Rozpad zakázky'!D213&amp;IF('Rozpad zakázky'!G213="",""," ("&amp;'Rozpad zakázky'!G213&amp;")"))</f>
        <v/>
      </c>
      <c r="F197" s="709" t="str">
        <f>IF(A197="","",'Rozpad zakázky'!IW213)</f>
        <v/>
      </c>
      <c r="G197" s="711" t="str">
        <f>IF(A197="","",'Rozpad zakázky'!AE213)</f>
        <v/>
      </c>
      <c r="H197" s="717" t="str">
        <f>IF(A197="","",'Rozpad zakázky'!AJ213)</f>
        <v/>
      </c>
      <c r="I197" s="748" t="str">
        <f>IF(A197="","",'Rozpad zakázky'!Q213)</f>
        <v/>
      </c>
      <c r="J197" s="717" t="str">
        <f>IF(A197="","",ROUNDDOWN('Rozpad zakázky'!L213,1))</f>
        <v/>
      </c>
      <c r="K197" s="745" t="str">
        <f>IF(A197="","",Tabulka_nakup_Vonka[[#This Row],[Počet MJHR v rozpadu]]*Tabulka_nakup_Vonka[[#This Row],[Jedn. hmotnost '[kg/MJHR']]])</f>
        <v/>
      </c>
    </row>
    <row r="198" spans="1:11" x14ac:dyDescent="0.35">
      <c r="A198" s="709" t="str">
        <f>IF('Rozpad zakázky'!E214=0,"",IF('Rozpad zakázky'!E214="-","",'Rozpad zakázky'!E214))</f>
        <v/>
      </c>
      <c r="B198" s="708" t="str">
        <f>IF(A198="","",IF(A198="","",VLOOKUP(A:A,Pomocna_Nakup[],3,0))&amp;" | "&amp;IF(A198="","",VLOOKUP(A:A,Pomocna_Nakup[],4,0)))</f>
        <v/>
      </c>
      <c r="C198" s="710" t="str">
        <f>IF(Tabulka_nakup_Vonka[[#This Row],[Zkratka kalkulační položky]]="","",Tabulka_nakup_Vonka[[#This Row],[Zkratka kalkulační položky]]&amp;" | "&amp;IF(A198="","",VLOOKUP(A:A,Pomocna_Nakup[],2,0)))</f>
        <v/>
      </c>
      <c r="D198" s="710" t="str">
        <f>IF(A198="","",'Rozpad zakázky'!F214)</f>
        <v/>
      </c>
      <c r="E198" s="710" t="str">
        <f>IF(A198="","",'Rozpad zakázky'!D214&amp;IF('Rozpad zakázky'!G214="",""," ("&amp;'Rozpad zakázky'!G214&amp;")"))</f>
        <v/>
      </c>
      <c r="F198" s="709" t="str">
        <f>IF(A198="","",'Rozpad zakázky'!IW214)</f>
        <v/>
      </c>
      <c r="G198" s="711" t="str">
        <f>IF(A198="","",'Rozpad zakázky'!AE214)</f>
        <v/>
      </c>
      <c r="H198" s="717" t="str">
        <f>IF(A198="","",'Rozpad zakázky'!AJ214)</f>
        <v/>
      </c>
      <c r="I198" s="748" t="str">
        <f>IF(A198="","",'Rozpad zakázky'!Q214)</f>
        <v/>
      </c>
      <c r="J198" s="717" t="str">
        <f>IF(A198="","",ROUNDDOWN('Rozpad zakázky'!L214,1))</f>
        <v/>
      </c>
      <c r="K198" s="745" t="str">
        <f>IF(A198="","",Tabulka_nakup_Vonka[[#This Row],[Počet MJHR v rozpadu]]*Tabulka_nakup_Vonka[[#This Row],[Jedn. hmotnost '[kg/MJHR']]])</f>
        <v/>
      </c>
    </row>
    <row r="199" spans="1:11" x14ac:dyDescent="0.35">
      <c r="A199" s="709" t="str">
        <f>IF('Rozpad zakázky'!E215=0,"",IF('Rozpad zakázky'!E215="-","",'Rozpad zakázky'!E215))</f>
        <v/>
      </c>
      <c r="B199" s="708" t="str">
        <f>IF(A199="","",IF(A199="","",VLOOKUP(A:A,Pomocna_Nakup[],3,0))&amp;" | "&amp;IF(A199="","",VLOOKUP(A:A,Pomocna_Nakup[],4,0)))</f>
        <v/>
      </c>
      <c r="C199" s="710" t="str">
        <f>IF(Tabulka_nakup_Vonka[[#This Row],[Zkratka kalkulační položky]]="","",Tabulka_nakup_Vonka[[#This Row],[Zkratka kalkulační položky]]&amp;" | "&amp;IF(A199="","",VLOOKUP(A:A,Pomocna_Nakup[],2,0)))</f>
        <v/>
      </c>
      <c r="D199" s="710" t="str">
        <f>IF(A199="","",'Rozpad zakázky'!F215)</f>
        <v/>
      </c>
      <c r="E199" s="710" t="str">
        <f>IF(A199="","",'Rozpad zakázky'!D215&amp;IF('Rozpad zakázky'!G215="",""," ("&amp;'Rozpad zakázky'!G215&amp;")"))</f>
        <v/>
      </c>
      <c r="F199" s="709" t="str">
        <f>IF(A199="","",'Rozpad zakázky'!IW215)</f>
        <v/>
      </c>
      <c r="G199" s="711" t="str">
        <f>IF(A199="","",'Rozpad zakázky'!AE215)</f>
        <v/>
      </c>
      <c r="H199" s="717" t="str">
        <f>IF(A199="","",'Rozpad zakázky'!AJ215)</f>
        <v/>
      </c>
      <c r="I199" s="748" t="str">
        <f>IF(A199="","",'Rozpad zakázky'!Q215)</f>
        <v/>
      </c>
      <c r="J199" s="717" t="str">
        <f>IF(A199="","",ROUNDDOWN('Rozpad zakázky'!L215,1))</f>
        <v/>
      </c>
      <c r="K199" s="745" t="str">
        <f>IF(A199="","",Tabulka_nakup_Vonka[[#This Row],[Počet MJHR v rozpadu]]*Tabulka_nakup_Vonka[[#This Row],[Jedn. hmotnost '[kg/MJHR']]])</f>
        <v/>
      </c>
    </row>
    <row r="200" spans="1:11" x14ac:dyDescent="0.35">
      <c r="A200" s="709" t="str">
        <f>IF('Rozpad zakázky'!E216=0,"",IF('Rozpad zakázky'!E216="-","",'Rozpad zakázky'!E216))</f>
        <v/>
      </c>
      <c r="B200" s="708" t="str">
        <f>IF(A200="","",IF(A200="","",VLOOKUP(A:A,Pomocna_Nakup[],3,0))&amp;" | "&amp;IF(A200="","",VLOOKUP(A:A,Pomocna_Nakup[],4,0)))</f>
        <v/>
      </c>
      <c r="C200" s="710" t="str">
        <f>IF(Tabulka_nakup_Vonka[[#This Row],[Zkratka kalkulační položky]]="","",Tabulka_nakup_Vonka[[#This Row],[Zkratka kalkulační položky]]&amp;" | "&amp;IF(A200="","",VLOOKUP(A:A,Pomocna_Nakup[],2,0)))</f>
        <v/>
      </c>
      <c r="D200" s="710" t="str">
        <f>IF(A200="","",'Rozpad zakázky'!F216)</f>
        <v/>
      </c>
      <c r="E200" s="710" t="str">
        <f>IF(A200="","",'Rozpad zakázky'!D216&amp;IF('Rozpad zakázky'!G216="",""," ("&amp;'Rozpad zakázky'!G216&amp;")"))</f>
        <v/>
      </c>
      <c r="F200" s="709" t="str">
        <f>IF(A200="","",'Rozpad zakázky'!IW216)</f>
        <v/>
      </c>
      <c r="G200" s="711" t="str">
        <f>IF(A200="","",'Rozpad zakázky'!AE216)</f>
        <v/>
      </c>
      <c r="H200" s="717" t="str">
        <f>IF(A200="","",'Rozpad zakázky'!AJ216)</f>
        <v/>
      </c>
      <c r="I200" s="748" t="str">
        <f>IF(A200="","",'Rozpad zakázky'!Q216)</f>
        <v/>
      </c>
      <c r="J200" s="717" t="str">
        <f>IF(A200="","",ROUNDDOWN('Rozpad zakázky'!L216,1))</f>
        <v/>
      </c>
      <c r="K200" s="745" t="str">
        <f>IF(A200="","",Tabulka_nakup_Vonka[[#This Row],[Počet MJHR v rozpadu]]*Tabulka_nakup_Vonka[[#This Row],[Jedn. hmotnost '[kg/MJHR']]])</f>
        <v/>
      </c>
    </row>
    <row r="201" spans="1:11" x14ac:dyDescent="0.35">
      <c r="A201" s="709" t="str">
        <f>IF('Rozpad zakázky'!E217=0,"",IF('Rozpad zakázky'!E217="-","",'Rozpad zakázky'!E217))</f>
        <v/>
      </c>
      <c r="B201" s="708" t="str">
        <f>IF(A201="","",IF(A201="","",VLOOKUP(A:A,Pomocna_Nakup[],3,0))&amp;" | "&amp;IF(A201="","",VLOOKUP(A:A,Pomocna_Nakup[],4,0)))</f>
        <v/>
      </c>
      <c r="C201" s="710" t="str">
        <f>IF(Tabulka_nakup_Vonka[[#This Row],[Zkratka kalkulační položky]]="","",Tabulka_nakup_Vonka[[#This Row],[Zkratka kalkulační položky]]&amp;" | "&amp;IF(A201="","",VLOOKUP(A:A,Pomocna_Nakup[],2,0)))</f>
        <v/>
      </c>
      <c r="D201" s="710" t="str">
        <f>IF(A201="","",'Rozpad zakázky'!F217)</f>
        <v/>
      </c>
      <c r="E201" s="710" t="str">
        <f>IF(A201="","",'Rozpad zakázky'!D217&amp;IF('Rozpad zakázky'!G217="",""," ("&amp;'Rozpad zakázky'!G217&amp;")"))</f>
        <v/>
      </c>
      <c r="F201" s="709" t="str">
        <f>IF(A201="","",'Rozpad zakázky'!IW217)</f>
        <v/>
      </c>
      <c r="G201" s="711" t="str">
        <f>IF(A201="","",'Rozpad zakázky'!AE217)</f>
        <v/>
      </c>
      <c r="H201" s="717" t="str">
        <f>IF(A201="","",'Rozpad zakázky'!AJ217)</f>
        <v/>
      </c>
      <c r="I201" s="748" t="str">
        <f>IF(A201="","",'Rozpad zakázky'!Q217)</f>
        <v/>
      </c>
      <c r="J201" s="717" t="str">
        <f>IF(A201="","",ROUNDDOWN('Rozpad zakázky'!L217,1))</f>
        <v/>
      </c>
      <c r="K201" s="745" t="str">
        <f>IF(A201="","",Tabulka_nakup_Vonka[[#This Row],[Počet MJHR v rozpadu]]*Tabulka_nakup_Vonka[[#This Row],[Jedn. hmotnost '[kg/MJHR']]])</f>
        <v/>
      </c>
    </row>
    <row r="202" spans="1:11" x14ac:dyDescent="0.35">
      <c r="A202" s="709" t="str">
        <f>IF('Rozpad zakázky'!E218=0,"",IF('Rozpad zakázky'!E218="-","",'Rozpad zakázky'!E218))</f>
        <v/>
      </c>
      <c r="B202" s="708" t="str">
        <f>IF(A202="","",IF(A202="","",VLOOKUP(A:A,Pomocna_Nakup[],3,0))&amp;" | "&amp;IF(A202="","",VLOOKUP(A:A,Pomocna_Nakup[],4,0)))</f>
        <v/>
      </c>
      <c r="C202" s="710" t="str">
        <f>IF(Tabulka_nakup_Vonka[[#This Row],[Zkratka kalkulační položky]]="","",Tabulka_nakup_Vonka[[#This Row],[Zkratka kalkulační položky]]&amp;" | "&amp;IF(A202="","",VLOOKUP(A:A,Pomocna_Nakup[],2,0)))</f>
        <v/>
      </c>
      <c r="D202" s="710" t="str">
        <f>IF(A202="","",'Rozpad zakázky'!F218)</f>
        <v/>
      </c>
      <c r="E202" s="710" t="str">
        <f>IF(A202="","",'Rozpad zakázky'!D218&amp;IF('Rozpad zakázky'!G218="",""," ("&amp;'Rozpad zakázky'!G218&amp;")"))</f>
        <v/>
      </c>
      <c r="F202" s="709" t="str">
        <f>IF(A202="","",'Rozpad zakázky'!IW218)</f>
        <v/>
      </c>
      <c r="G202" s="711" t="str">
        <f>IF(A202="","",'Rozpad zakázky'!AE218)</f>
        <v/>
      </c>
      <c r="H202" s="717" t="str">
        <f>IF(A202="","",'Rozpad zakázky'!AJ218)</f>
        <v/>
      </c>
      <c r="I202" s="748" t="str">
        <f>IF(A202="","",'Rozpad zakázky'!Q218)</f>
        <v/>
      </c>
      <c r="J202" s="717" t="str">
        <f>IF(A202="","",ROUNDDOWN('Rozpad zakázky'!L218,1))</f>
        <v/>
      </c>
      <c r="K202" s="745" t="str">
        <f>IF(A202="","",Tabulka_nakup_Vonka[[#This Row],[Počet MJHR v rozpadu]]*Tabulka_nakup_Vonka[[#This Row],[Jedn. hmotnost '[kg/MJHR']]])</f>
        <v/>
      </c>
    </row>
    <row r="203" spans="1:11" x14ac:dyDescent="0.35">
      <c r="A203" s="709" t="str">
        <f>IF('Rozpad zakázky'!E219=0,"",IF('Rozpad zakázky'!E219="-","",'Rozpad zakázky'!E219))</f>
        <v/>
      </c>
      <c r="B203" s="708" t="str">
        <f>IF(A203="","",IF(A203="","",VLOOKUP(A:A,Pomocna_Nakup[],3,0))&amp;" | "&amp;IF(A203="","",VLOOKUP(A:A,Pomocna_Nakup[],4,0)))</f>
        <v/>
      </c>
      <c r="C203" s="710" t="str">
        <f>IF(Tabulka_nakup_Vonka[[#This Row],[Zkratka kalkulační položky]]="","",Tabulka_nakup_Vonka[[#This Row],[Zkratka kalkulační položky]]&amp;" | "&amp;IF(A203="","",VLOOKUP(A:A,Pomocna_Nakup[],2,0)))</f>
        <v/>
      </c>
      <c r="D203" s="710" t="str">
        <f>IF(A203="","",'Rozpad zakázky'!F219)</f>
        <v/>
      </c>
      <c r="E203" s="710" t="str">
        <f>IF(A203="","",'Rozpad zakázky'!D219&amp;IF('Rozpad zakázky'!G219="",""," ("&amp;'Rozpad zakázky'!G219&amp;")"))</f>
        <v/>
      </c>
      <c r="F203" s="709" t="str">
        <f>IF(A203="","",'Rozpad zakázky'!IW219)</f>
        <v/>
      </c>
      <c r="G203" s="711" t="str">
        <f>IF(A203="","",'Rozpad zakázky'!AE219)</f>
        <v/>
      </c>
      <c r="H203" s="717" t="str">
        <f>IF(A203="","",'Rozpad zakázky'!AJ219)</f>
        <v/>
      </c>
      <c r="I203" s="748" t="str">
        <f>IF(A203="","",'Rozpad zakázky'!Q219)</f>
        <v/>
      </c>
      <c r="J203" s="717" t="str">
        <f>IF(A203="","",ROUNDDOWN('Rozpad zakázky'!L219,1))</f>
        <v/>
      </c>
      <c r="K203" s="745" t="str">
        <f>IF(A203="","",Tabulka_nakup_Vonka[[#This Row],[Počet MJHR v rozpadu]]*Tabulka_nakup_Vonka[[#This Row],[Jedn. hmotnost '[kg/MJHR']]])</f>
        <v/>
      </c>
    </row>
    <row r="204" spans="1:11" x14ac:dyDescent="0.35">
      <c r="A204" s="709" t="str">
        <f>IF('Rozpad zakázky'!E220=0,"",IF('Rozpad zakázky'!E220="-","",'Rozpad zakázky'!E220))</f>
        <v/>
      </c>
      <c r="B204" s="708" t="str">
        <f>IF(A204="","",IF(A204="","",VLOOKUP(A:A,Pomocna_Nakup[],3,0))&amp;" | "&amp;IF(A204="","",VLOOKUP(A:A,Pomocna_Nakup[],4,0)))</f>
        <v/>
      </c>
      <c r="C204" s="710" t="str">
        <f>IF(Tabulka_nakup_Vonka[[#This Row],[Zkratka kalkulační položky]]="","",Tabulka_nakup_Vonka[[#This Row],[Zkratka kalkulační položky]]&amp;" | "&amp;IF(A204="","",VLOOKUP(A:A,Pomocna_Nakup[],2,0)))</f>
        <v/>
      </c>
      <c r="D204" s="710" t="str">
        <f>IF(A204="","",'Rozpad zakázky'!F220)</f>
        <v/>
      </c>
      <c r="E204" s="710" t="str">
        <f>IF(A204="","",'Rozpad zakázky'!D220&amp;IF('Rozpad zakázky'!G220="",""," ("&amp;'Rozpad zakázky'!G220&amp;")"))</f>
        <v/>
      </c>
      <c r="F204" s="709" t="str">
        <f>IF(A204="","",'Rozpad zakázky'!IW220)</f>
        <v/>
      </c>
      <c r="G204" s="711" t="str">
        <f>IF(A204="","",'Rozpad zakázky'!AE220)</f>
        <v/>
      </c>
      <c r="H204" s="717" t="str">
        <f>IF(A204="","",'Rozpad zakázky'!AJ220)</f>
        <v/>
      </c>
      <c r="I204" s="748" t="str">
        <f>IF(A204="","",'Rozpad zakázky'!Q220)</f>
        <v/>
      </c>
      <c r="J204" s="717" t="str">
        <f>IF(A204="","",ROUNDDOWN('Rozpad zakázky'!L220,1))</f>
        <v/>
      </c>
      <c r="K204" s="745" t="str">
        <f>IF(A204="","",Tabulka_nakup_Vonka[[#This Row],[Počet MJHR v rozpadu]]*Tabulka_nakup_Vonka[[#This Row],[Jedn. hmotnost '[kg/MJHR']]])</f>
        <v/>
      </c>
    </row>
    <row r="205" spans="1:11" x14ac:dyDescent="0.35">
      <c r="A205" s="709" t="str">
        <f>IF('Rozpad zakázky'!E221=0,"",IF('Rozpad zakázky'!E221="-","",'Rozpad zakázky'!E221))</f>
        <v/>
      </c>
      <c r="B205" s="708" t="str">
        <f>IF(A205="","",IF(A205="","",VLOOKUP(A:A,Pomocna_Nakup[],3,0))&amp;" | "&amp;IF(A205="","",VLOOKUP(A:A,Pomocna_Nakup[],4,0)))</f>
        <v/>
      </c>
      <c r="C205" s="710" t="str">
        <f>IF(Tabulka_nakup_Vonka[[#This Row],[Zkratka kalkulační položky]]="","",Tabulka_nakup_Vonka[[#This Row],[Zkratka kalkulační položky]]&amp;" | "&amp;IF(A205="","",VLOOKUP(A:A,Pomocna_Nakup[],2,0)))</f>
        <v/>
      </c>
      <c r="D205" s="710" t="str">
        <f>IF(A205="","",'Rozpad zakázky'!F221)</f>
        <v/>
      </c>
      <c r="E205" s="710" t="str">
        <f>IF(A205="","",'Rozpad zakázky'!D221&amp;IF('Rozpad zakázky'!G221="",""," ("&amp;'Rozpad zakázky'!G221&amp;")"))</f>
        <v/>
      </c>
      <c r="F205" s="709" t="str">
        <f>IF(A205="","",'Rozpad zakázky'!IW221)</f>
        <v/>
      </c>
      <c r="G205" s="711" t="str">
        <f>IF(A205="","",'Rozpad zakázky'!AE221)</f>
        <v/>
      </c>
      <c r="H205" s="717" t="str">
        <f>IF(A205="","",'Rozpad zakázky'!AJ221)</f>
        <v/>
      </c>
      <c r="I205" s="748" t="str">
        <f>IF(A205="","",'Rozpad zakázky'!Q221)</f>
        <v/>
      </c>
      <c r="J205" s="717" t="str">
        <f>IF(A205="","",ROUNDDOWN('Rozpad zakázky'!L221,1))</f>
        <v/>
      </c>
      <c r="K205" s="745" t="str">
        <f>IF(A205="","",Tabulka_nakup_Vonka[[#This Row],[Počet MJHR v rozpadu]]*Tabulka_nakup_Vonka[[#This Row],[Jedn. hmotnost '[kg/MJHR']]])</f>
        <v/>
      </c>
    </row>
    <row r="206" spans="1:11" x14ac:dyDescent="0.35">
      <c r="A206" s="709" t="str">
        <f>IF('Rozpad zakázky'!E222=0,"",IF('Rozpad zakázky'!E222="-","",'Rozpad zakázky'!E222))</f>
        <v/>
      </c>
      <c r="B206" s="708" t="str">
        <f>IF(A206="","",IF(A206="","",VLOOKUP(A:A,Pomocna_Nakup[],3,0))&amp;" | "&amp;IF(A206="","",VLOOKUP(A:A,Pomocna_Nakup[],4,0)))</f>
        <v/>
      </c>
      <c r="C206" s="710" t="str">
        <f>IF(Tabulka_nakup_Vonka[[#This Row],[Zkratka kalkulační položky]]="","",Tabulka_nakup_Vonka[[#This Row],[Zkratka kalkulační položky]]&amp;" | "&amp;IF(A206="","",VLOOKUP(A:A,Pomocna_Nakup[],2,0)))</f>
        <v/>
      </c>
      <c r="D206" s="710" t="str">
        <f>IF(A206="","",'Rozpad zakázky'!F222)</f>
        <v/>
      </c>
      <c r="E206" s="710" t="str">
        <f>IF(A206="","",'Rozpad zakázky'!D222&amp;IF('Rozpad zakázky'!G222="",""," ("&amp;'Rozpad zakázky'!G222&amp;")"))</f>
        <v/>
      </c>
      <c r="F206" s="709" t="str">
        <f>IF(A206="","",'Rozpad zakázky'!IW222)</f>
        <v/>
      </c>
      <c r="G206" s="711" t="str">
        <f>IF(A206="","",'Rozpad zakázky'!AE222)</f>
        <v/>
      </c>
      <c r="H206" s="717" t="str">
        <f>IF(A206="","",'Rozpad zakázky'!AJ222)</f>
        <v/>
      </c>
      <c r="I206" s="748" t="str">
        <f>IF(A206="","",'Rozpad zakázky'!Q222)</f>
        <v/>
      </c>
      <c r="J206" s="717" t="str">
        <f>IF(A206="","",ROUNDDOWN('Rozpad zakázky'!L222,1))</f>
        <v/>
      </c>
      <c r="K206" s="745" t="str">
        <f>IF(A206="","",Tabulka_nakup_Vonka[[#This Row],[Počet MJHR v rozpadu]]*Tabulka_nakup_Vonka[[#This Row],[Jedn. hmotnost '[kg/MJHR']]])</f>
        <v/>
      </c>
    </row>
    <row r="207" spans="1:11" x14ac:dyDescent="0.35">
      <c r="A207" s="709" t="str">
        <f>IF('Rozpad zakázky'!E223=0,"",IF('Rozpad zakázky'!E223="-","",'Rozpad zakázky'!E223))</f>
        <v/>
      </c>
      <c r="B207" s="708" t="str">
        <f>IF(A207="","",IF(A207="","",VLOOKUP(A:A,Pomocna_Nakup[],3,0))&amp;" | "&amp;IF(A207="","",VLOOKUP(A:A,Pomocna_Nakup[],4,0)))</f>
        <v/>
      </c>
      <c r="C207" s="710" t="str">
        <f>IF(Tabulka_nakup_Vonka[[#This Row],[Zkratka kalkulační položky]]="","",Tabulka_nakup_Vonka[[#This Row],[Zkratka kalkulační položky]]&amp;" | "&amp;IF(A207="","",VLOOKUP(A:A,Pomocna_Nakup[],2,0)))</f>
        <v/>
      </c>
      <c r="D207" s="710" t="str">
        <f>IF(A207="","",'Rozpad zakázky'!F223)</f>
        <v/>
      </c>
      <c r="E207" s="710" t="str">
        <f>IF(A207="","",'Rozpad zakázky'!D223&amp;IF('Rozpad zakázky'!G223="",""," ("&amp;'Rozpad zakázky'!G223&amp;")"))</f>
        <v/>
      </c>
      <c r="F207" s="709" t="str">
        <f>IF(A207="","",'Rozpad zakázky'!IW223)</f>
        <v/>
      </c>
      <c r="G207" s="711" t="str">
        <f>IF(A207="","",'Rozpad zakázky'!AE223)</f>
        <v/>
      </c>
      <c r="H207" s="717" t="str">
        <f>IF(A207="","",'Rozpad zakázky'!AJ223)</f>
        <v/>
      </c>
      <c r="I207" s="748" t="str">
        <f>IF(A207="","",'Rozpad zakázky'!Q223)</f>
        <v/>
      </c>
      <c r="J207" s="717" t="str">
        <f>IF(A207="","",ROUNDDOWN('Rozpad zakázky'!L223,1))</f>
        <v/>
      </c>
      <c r="K207" s="745" t="str">
        <f>IF(A207="","",Tabulka_nakup_Vonka[[#This Row],[Počet MJHR v rozpadu]]*Tabulka_nakup_Vonka[[#This Row],[Jedn. hmotnost '[kg/MJHR']]])</f>
        <v/>
      </c>
    </row>
    <row r="208" spans="1:11" x14ac:dyDescent="0.35">
      <c r="A208" s="709" t="str">
        <f>IF('Rozpad zakázky'!E224=0,"",IF('Rozpad zakázky'!E224="-","",'Rozpad zakázky'!E224))</f>
        <v/>
      </c>
      <c r="B208" s="708" t="str">
        <f>IF(A208="","",IF(A208="","",VLOOKUP(A:A,Pomocna_Nakup[],3,0))&amp;" | "&amp;IF(A208="","",VLOOKUP(A:A,Pomocna_Nakup[],4,0)))</f>
        <v/>
      </c>
      <c r="C208" s="710" t="str">
        <f>IF(Tabulka_nakup_Vonka[[#This Row],[Zkratka kalkulační položky]]="","",Tabulka_nakup_Vonka[[#This Row],[Zkratka kalkulační položky]]&amp;" | "&amp;IF(A208="","",VLOOKUP(A:A,Pomocna_Nakup[],2,0)))</f>
        <v/>
      </c>
      <c r="D208" s="710" t="str">
        <f>IF(A208="","",'Rozpad zakázky'!F224)</f>
        <v/>
      </c>
      <c r="E208" s="710" t="str">
        <f>IF(A208="","",'Rozpad zakázky'!D224&amp;IF('Rozpad zakázky'!G224="",""," ("&amp;'Rozpad zakázky'!G224&amp;")"))</f>
        <v/>
      </c>
      <c r="F208" s="709" t="str">
        <f>IF(A208="","",'Rozpad zakázky'!IW224)</f>
        <v/>
      </c>
      <c r="G208" s="711" t="str">
        <f>IF(A208="","",'Rozpad zakázky'!AE224)</f>
        <v/>
      </c>
      <c r="H208" s="717" t="str">
        <f>IF(A208="","",'Rozpad zakázky'!AJ224)</f>
        <v/>
      </c>
      <c r="I208" s="748" t="str">
        <f>IF(A208="","",'Rozpad zakázky'!Q224)</f>
        <v/>
      </c>
      <c r="J208" s="717" t="str">
        <f>IF(A208="","",ROUNDDOWN('Rozpad zakázky'!L224,1))</f>
        <v/>
      </c>
      <c r="K208" s="745" t="str">
        <f>IF(A208="","",Tabulka_nakup_Vonka[[#This Row],[Počet MJHR v rozpadu]]*Tabulka_nakup_Vonka[[#This Row],[Jedn. hmotnost '[kg/MJHR']]])</f>
        <v/>
      </c>
    </row>
    <row r="209" spans="1:11" x14ac:dyDescent="0.35">
      <c r="A209" s="709" t="str">
        <f>IF('Rozpad zakázky'!E225=0,"",IF('Rozpad zakázky'!E225="-","",'Rozpad zakázky'!E225))</f>
        <v/>
      </c>
      <c r="B209" s="708" t="str">
        <f>IF(A209="","",IF(A209="","",VLOOKUP(A:A,Pomocna_Nakup[],3,0))&amp;" | "&amp;IF(A209="","",VLOOKUP(A:A,Pomocna_Nakup[],4,0)))</f>
        <v/>
      </c>
      <c r="C209" s="710" t="str">
        <f>IF(Tabulka_nakup_Vonka[[#This Row],[Zkratka kalkulační položky]]="","",Tabulka_nakup_Vonka[[#This Row],[Zkratka kalkulační položky]]&amp;" | "&amp;IF(A209="","",VLOOKUP(A:A,Pomocna_Nakup[],2,0)))</f>
        <v/>
      </c>
      <c r="D209" s="710" t="str">
        <f>IF(A209="","",'Rozpad zakázky'!F225)</f>
        <v/>
      </c>
      <c r="E209" s="710" t="str">
        <f>IF(A209="","",'Rozpad zakázky'!D225&amp;IF('Rozpad zakázky'!G225="",""," ("&amp;'Rozpad zakázky'!G225&amp;")"))</f>
        <v/>
      </c>
      <c r="F209" s="709" t="str">
        <f>IF(A209="","",'Rozpad zakázky'!IW225)</f>
        <v/>
      </c>
      <c r="G209" s="711" t="str">
        <f>IF(A209="","",'Rozpad zakázky'!AE225)</f>
        <v/>
      </c>
      <c r="H209" s="717" t="str">
        <f>IF(A209="","",'Rozpad zakázky'!AJ225)</f>
        <v/>
      </c>
      <c r="I209" s="748" t="str">
        <f>IF(A209="","",'Rozpad zakázky'!Q225)</f>
        <v/>
      </c>
      <c r="J209" s="717" t="str">
        <f>IF(A209="","",ROUNDDOWN('Rozpad zakázky'!L225,1))</f>
        <v/>
      </c>
      <c r="K209" s="745" t="str">
        <f>IF(A209="","",Tabulka_nakup_Vonka[[#This Row],[Počet MJHR v rozpadu]]*Tabulka_nakup_Vonka[[#This Row],[Jedn. hmotnost '[kg/MJHR']]])</f>
        <v/>
      </c>
    </row>
    <row r="210" spans="1:11" x14ac:dyDescent="0.35">
      <c r="A210" s="709" t="str">
        <f>IF('Rozpad zakázky'!E226=0,"",IF('Rozpad zakázky'!E226="-","",'Rozpad zakázky'!E226))</f>
        <v/>
      </c>
      <c r="B210" s="708" t="str">
        <f>IF(A210="","",IF(A210="","",VLOOKUP(A:A,Pomocna_Nakup[],3,0))&amp;" | "&amp;IF(A210="","",VLOOKUP(A:A,Pomocna_Nakup[],4,0)))</f>
        <v/>
      </c>
      <c r="C210" s="710" t="str">
        <f>IF(Tabulka_nakup_Vonka[[#This Row],[Zkratka kalkulační položky]]="","",Tabulka_nakup_Vonka[[#This Row],[Zkratka kalkulační položky]]&amp;" | "&amp;IF(A210="","",VLOOKUP(A:A,Pomocna_Nakup[],2,0)))</f>
        <v/>
      </c>
      <c r="D210" s="710" t="str">
        <f>IF(A210="","",'Rozpad zakázky'!F226)</f>
        <v/>
      </c>
      <c r="E210" s="710" t="str">
        <f>IF(A210="","",'Rozpad zakázky'!D226&amp;IF('Rozpad zakázky'!G226="",""," ("&amp;'Rozpad zakázky'!G226&amp;")"))</f>
        <v/>
      </c>
      <c r="F210" s="709" t="str">
        <f>IF(A210="","",'Rozpad zakázky'!IW226)</f>
        <v/>
      </c>
      <c r="G210" s="711" t="str">
        <f>IF(A210="","",'Rozpad zakázky'!AE226)</f>
        <v/>
      </c>
      <c r="H210" s="717" t="str">
        <f>IF(A210="","",'Rozpad zakázky'!AJ226)</f>
        <v/>
      </c>
      <c r="I210" s="748" t="str">
        <f>IF(A210="","",'Rozpad zakázky'!Q226)</f>
        <v/>
      </c>
      <c r="J210" s="717" t="str">
        <f>IF(A210="","",ROUNDDOWN('Rozpad zakázky'!L226,1))</f>
        <v/>
      </c>
      <c r="K210" s="745" t="str">
        <f>IF(A210="","",Tabulka_nakup_Vonka[[#This Row],[Počet MJHR v rozpadu]]*Tabulka_nakup_Vonka[[#This Row],[Jedn. hmotnost '[kg/MJHR']]])</f>
        <v/>
      </c>
    </row>
    <row r="211" spans="1:11" x14ac:dyDescent="0.35">
      <c r="A211" s="709" t="str">
        <f>IF('Rozpad zakázky'!E227=0,"",IF('Rozpad zakázky'!E227="-","",'Rozpad zakázky'!E227))</f>
        <v/>
      </c>
      <c r="B211" s="708" t="str">
        <f>IF(A211="","",IF(A211="","",VLOOKUP(A:A,Pomocna_Nakup[],3,0))&amp;" | "&amp;IF(A211="","",VLOOKUP(A:A,Pomocna_Nakup[],4,0)))</f>
        <v/>
      </c>
      <c r="C211" s="710" t="str">
        <f>IF(Tabulka_nakup_Vonka[[#This Row],[Zkratka kalkulační položky]]="","",Tabulka_nakup_Vonka[[#This Row],[Zkratka kalkulační položky]]&amp;" | "&amp;IF(A211="","",VLOOKUP(A:A,Pomocna_Nakup[],2,0)))</f>
        <v/>
      </c>
      <c r="D211" s="710" t="str">
        <f>IF(A211="","",'Rozpad zakázky'!F227)</f>
        <v/>
      </c>
      <c r="E211" s="710" t="str">
        <f>IF(A211="","",'Rozpad zakázky'!D227&amp;IF('Rozpad zakázky'!G227="",""," ("&amp;'Rozpad zakázky'!G227&amp;")"))</f>
        <v/>
      </c>
      <c r="F211" s="709" t="str">
        <f>IF(A211="","",'Rozpad zakázky'!IW227)</f>
        <v/>
      </c>
      <c r="G211" s="711" t="str">
        <f>IF(A211="","",'Rozpad zakázky'!AE227)</f>
        <v/>
      </c>
      <c r="H211" s="717" t="str">
        <f>IF(A211="","",'Rozpad zakázky'!AJ227)</f>
        <v/>
      </c>
      <c r="I211" s="748" t="str">
        <f>IF(A211="","",'Rozpad zakázky'!Q227)</f>
        <v/>
      </c>
      <c r="J211" s="717" t="str">
        <f>IF(A211="","",ROUNDDOWN('Rozpad zakázky'!L227,1))</f>
        <v/>
      </c>
      <c r="K211" s="745" t="str">
        <f>IF(A211="","",Tabulka_nakup_Vonka[[#This Row],[Počet MJHR v rozpadu]]*Tabulka_nakup_Vonka[[#This Row],[Jedn. hmotnost '[kg/MJHR']]])</f>
        <v/>
      </c>
    </row>
    <row r="212" spans="1:11" x14ac:dyDescent="0.35">
      <c r="A212" s="709" t="str">
        <f>IF('Rozpad zakázky'!E228=0,"",IF('Rozpad zakázky'!E228="-","",'Rozpad zakázky'!E228))</f>
        <v/>
      </c>
      <c r="B212" s="708" t="str">
        <f>IF(A212="","",IF(A212="","",VLOOKUP(A:A,Pomocna_Nakup[],3,0))&amp;" | "&amp;IF(A212="","",VLOOKUP(A:A,Pomocna_Nakup[],4,0)))</f>
        <v/>
      </c>
      <c r="C212" s="710" t="str">
        <f>IF(Tabulka_nakup_Vonka[[#This Row],[Zkratka kalkulační položky]]="","",Tabulka_nakup_Vonka[[#This Row],[Zkratka kalkulační položky]]&amp;" | "&amp;IF(A212="","",VLOOKUP(A:A,Pomocna_Nakup[],2,0)))</f>
        <v/>
      </c>
      <c r="D212" s="710" t="str">
        <f>IF(A212="","",'Rozpad zakázky'!F228)</f>
        <v/>
      </c>
      <c r="E212" s="710" t="str">
        <f>IF(A212="","",'Rozpad zakázky'!D228&amp;IF('Rozpad zakázky'!G228="",""," ("&amp;'Rozpad zakázky'!G228&amp;")"))</f>
        <v/>
      </c>
      <c r="F212" s="709" t="str">
        <f>IF(A212="","",'Rozpad zakázky'!IW228)</f>
        <v/>
      </c>
      <c r="G212" s="711" t="str">
        <f>IF(A212="","",'Rozpad zakázky'!AE228)</f>
        <v/>
      </c>
      <c r="H212" s="717" t="str">
        <f>IF(A212="","",'Rozpad zakázky'!AJ228)</f>
        <v/>
      </c>
      <c r="I212" s="748" t="str">
        <f>IF(A212="","",'Rozpad zakázky'!Q228)</f>
        <v/>
      </c>
      <c r="J212" s="717" t="str">
        <f>IF(A212="","",ROUNDDOWN('Rozpad zakázky'!L228,1))</f>
        <v/>
      </c>
      <c r="K212" s="745" t="str">
        <f>IF(A212="","",Tabulka_nakup_Vonka[[#This Row],[Počet MJHR v rozpadu]]*Tabulka_nakup_Vonka[[#This Row],[Jedn. hmotnost '[kg/MJHR']]])</f>
        <v/>
      </c>
    </row>
    <row r="213" spans="1:11" x14ac:dyDescent="0.35">
      <c r="A213" s="709" t="str">
        <f>IF('Rozpad zakázky'!E229=0,"",IF('Rozpad zakázky'!E229="-","",'Rozpad zakázky'!E229))</f>
        <v/>
      </c>
      <c r="B213" s="708" t="str">
        <f>IF(A213="","",IF(A213="","",VLOOKUP(A:A,Pomocna_Nakup[],3,0))&amp;" | "&amp;IF(A213="","",VLOOKUP(A:A,Pomocna_Nakup[],4,0)))</f>
        <v/>
      </c>
      <c r="C213" s="710" t="str">
        <f>IF(Tabulka_nakup_Vonka[[#This Row],[Zkratka kalkulační položky]]="","",Tabulka_nakup_Vonka[[#This Row],[Zkratka kalkulační položky]]&amp;" | "&amp;IF(A213="","",VLOOKUP(A:A,Pomocna_Nakup[],2,0)))</f>
        <v/>
      </c>
      <c r="D213" s="710" t="str">
        <f>IF(A213="","",'Rozpad zakázky'!F229)</f>
        <v/>
      </c>
      <c r="E213" s="710" t="str">
        <f>IF(A213="","",'Rozpad zakázky'!D229&amp;IF('Rozpad zakázky'!G229="",""," ("&amp;'Rozpad zakázky'!G229&amp;")"))</f>
        <v/>
      </c>
      <c r="F213" s="709" t="str">
        <f>IF(A213="","",'Rozpad zakázky'!IW229)</f>
        <v/>
      </c>
      <c r="G213" s="711" t="str">
        <f>IF(A213="","",'Rozpad zakázky'!AE229)</f>
        <v/>
      </c>
      <c r="H213" s="717" t="str">
        <f>IF(A213="","",'Rozpad zakázky'!AJ229)</f>
        <v/>
      </c>
      <c r="I213" s="748" t="str">
        <f>IF(A213="","",'Rozpad zakázky'!Q229)</f>
        <v/>
      </c>
      <c r="J213" s="717" t="str">
        <f>IF(A213="","",ROUNDDOWN('Rozpad zakázky'!L229,1))</f>
        <v/>
      </c>
      <c r="K213" s="745" t="str">
        <f>IF(A213="","",Tabulka_nakup_Vonka[[#This Row],[Počet MJHR v rozpadu]]*Tabulka_nakup_Vonka[[#This Row],[Jedn. hmotnost '[kg/MJHR']]])</f>
        <v/>
      </c>
    </row>
    <row r="214" spans="1:11" x14ac:dyDescent="0.35">
      <c r="A214" s="709" t="str">
        <f>IF('Rozpad zakázky'!E230=0,"",IF('Rozpad zakázky'!E230="-","",'Rozpad zakázky'!E230))</f>
        <v/>
      </c>
      <c r="B214" s="708" t="str">
        <f>IF(A214="","",IF(A214="","",VLOOKUP(A:A,Pomocna_Nakup[],3,0))&amp;" | "&amp;IF(A214="","",VLOOKUP(A:A,Pomocna_Nakup[],4,0)))</f>
        <v/>
      </c>
      <c r="C214" s="710" t="str">
        <f>IF(Tabulka_nakup_Vonka[[#This Row],[Zkratka kalkulační položky]]="","",Tabulka_nakup_Vonka[[#This Row],[Zkratka kalkulační položky]]&amp;" | "&amp;IF(A214="","",VLOOKUP(A:A,Pomocna_Nakup[],2,0)))</f>
        <v/>
      </c>
      <c r="D214" s="710" t="str">
        <f>IF(A214="","",'Rozpad zakázky'!F230)</f>
        <v/>
      </c>
      <c r="E214" s="710" t="str">
        <f>IF(A214="","",'Rozpad zakázky'!D230&amp;IF('Rozpad zakázky'!G230="",""," ("&amp;'Rozpad zakázky'!G230&amp;")"))</f>
        <v/>
      </c>
      <c r="F214" s="709" t="str">
        <f>IF(A214="","",'Rozpad zakázky'!IW230)</f>
        <v/>
      </c>
      <c r="G214" s="711" t="str">
        <f>IF(A214="","",'Rozpad zakázky'!AE230)</f>
        <v/>
      </c>
      <c r="H214" s="717" t="str">
        <f>IF(A214="","",'Rozpad zakázky'!AJ230)</f>
        <v/>
      </c>
      <c r="I214" s="748" t="str">
        <f>IF(A214="","",'Rozpad zakázky'!Q230)</f>
        <v/>
      </c>
      <c r="J214" s="717" t="str">
        <f>IF(A214="","",ROUNDDOWN('Rozpad zakázky'!L230,1))</f>
        <v/>
      </c>
      <c r="K214" s="745" t="str">
        <f>IF(A214="","",Tabulka_nakup_Vonka[[#This Row],[Počet MJHR v rozpadu]]*Tabulka_nakup_Vonka[[#This Row],[Jedn. hmotnost '[kg/MJHR']]])</f>
        <v/>
      </c>
    </row>
    <row r="215" spans="1:11" x14ac:dyDescent="0.35">
      <c r="A215" s="709" t="str">
        <f>IF('Rozpad zakázky'!E231=0,"",IF('Rozpad zakázky'!E231="-","",'Rozpad zakázky'!E231))</f>
        <v/>
      </c>
      <c r="B215" s="708" t="str">
        <f>IF(A215="","",IF(A215="","",VLOOKUP(A:A,Pomocna_Nakup[],3,0))&amp;" | "&amp;IF(A215="","",VLOOKUP(A:A,Pomocna_Nakup[],4,0)))</f>
        <v/>
      </c>
      <c r="C215" s="710" t="str">
        <f>IF(Tabulka_nakup_Vonka[[#This Row],[Zkratka kalkulační položky]]="","",Tabulka_nakup_Vonka[[#This Row],[Zkratka kalkulační položky]]&amp;" | "&amp;IF(A215="","",VLOOKUP(A:A,Pomocna_Nakup[],2,0)))</f>
        <v/>
      </c>
      <c r="D215" s="710" t="str">
        <f>IF(A215="","",'Rozpad zakázky'!F231)</f>
        <v/>
      </c>
      <c r="E215" s="710" t="str">
        <f>IF(A215="","",'Rozpad zakázky'!D231&amp;IF('Rozpad zakázky'!G231="",""," ("&amp;'Rozpad zakázky'!G231&amp;")"))</f>
        <v/>
      </c>
      <c r="F215" s="709" t="str">
        <f>IF(A215="","",'Rozpad zakázky'!IW231)</f>
        <v/>
      </c>
      <c r="G215" s="711" t="str">
        <f>IF(A215="","",'Rozpad zakázky'!AE231)</f>
        <v/>
      </c>
      <c r="H215" s="717" t="str">
        <f>IF(A215="","",'Rozpad zakázky'!AJ231)</f>
        <v/>
      </c>
      <c r="I215" s="748" t="str">
        <f>IF(A215="","",'Rozpad zakázky'!Q231)</f>
        <v/>
      </c>
      <c r="J215" s="717" t="str">
        <f>IF(A215="","",ROUNDDOWN('Rozpad zakázky'!L231,1))</f>
        <v/>
      </c>
      <c r="K215" s="745" t="str">
        <f>IF(A215="","",Tabulka_nakup_Vonka[[#This Row],[Počet MJHR v rozpadu]]*Tabulka_nakup_Vonka[[#This Row],[Jedn. hmotnost '[kg/MJHR']]])</f>
        <v/>
      </c>
    </row>
    <row r="216" spans="1:11" x14ac:dyDescent="0.35">
      <c r="A216" s="709" t="str">
        <f>IF('Rozpad zakázky'!E232=0,"",IF('Rozpad zakázky'!E232="-","",'Rozpad zakázky'!E232))</f>
        <v/>
      </c>
      <c r="B216" s="708" t="str">
        <f>IF(A216="","",IF(A216="","",VLOOKUP(A:A,Pomocna_Nakup[],3,0))&amp;" | "&amp;IF(A216="","",VLOOKUP(A:A,Pomocna_Nakup[],4,0)))</f>
        <v/>
      </c>
      <c r="C216" s="710" t="str">
        <f>IF(Tabulka_nakup_Vonka[[#This Row],[Zkratka kalkulační položky]]="","",Tabulka_nakup_Vonka[[#This Row],[Zkratka kalkulační položky]]&amp;" | "&amp;IF(A216="","",VLOOKUP(A:A,Pomocna_Nakup[],2,0)))</f>
        <v/>
      </c>
      <c r="D216" s="710" t="str">
        <f>IF(A216="","",'Rozpad zakázky'!F232)</f>
        <v/>
      </c>
      <c r="E216" s="710" t="str">
        <f>IF(A216="","",'Rozpad zakázky'!D232&amp;IF('Rozpad zakázky'!G232="",""," ("&amp;'Rozpad zakázky'!G232&amp;")"))</f>
        <v/>
      </c>
      <c r="F216" s="709" t="str">
        <f>IF(A216="","",'Rozpad zakázky'!IW232)</f>
        <v/>
      </c>
      <c r="G216" s="711" t="str">
        <f>IF(A216="","",'Rozpad zakázky'!AE232)</f>
        <v/>
      </c>
      <c r="H216" s="717" t="str">
        <f>IF(A216="","",'Rozpad zakázky'!AJ232)</f>
        <v/>
      </c>
      <c r="I216" s="748" t="str">
        <f>IF(A216="","",'Rozpad zakázky'!Q232)</f>
        <v/>
      </c>
      <c r="J216" s="717" t="str">
        <f>IF(A216="","",ROUNDDOWN('Rozpad zakázky'!L232,1))</f>
        <v/>
      </c>
      <c r="K216" s="745" t="str">
        <f>IF(A216="","",Tabulka_nakup_Vonka[[#This Row],[Počet MJHR v rozpadu]]*Tabulka_nakup_Vonka[[#This Row],[Jedn. hmotnost '[kg/MJHR']]])</f>
        <v/>
      </c>
    </row>
    <row r="217" spans="1:11" x14ac:dyDescent="0.35">
      <c r="A217" s="709" t="str">
        <f>IF('Rozpad zakázky'!E233=0,"",IF('Rozpad zakázky'!E233="-","",'Rozpad zakázky'!E233))</f>
        <v/>
      </c>
      <c r="B217" s="708" t="str">
        <f>IF(A217="","",IF(A217="","",VLOOKUP(A:A,Pomocna_Nakup[],3,0))&amp;" | "&amp;IF(A217="","",VLOOKUP(A:A,Pomocna_Nakup[],4,0)))</f>
        <v/>
      </c>
      <c r="C217" s="710" t="str">
        <f>IF(Tabulka_nakup_Vonka[[#This Row],[Zkratka kalkulační položky]]="","",Tabulka_nakup_Vonka[[#This Row],[Zkratka kalkulační položky]]&amp;" | "&amp;IF(A217="","",VLOOKUP(A:A,Pomocna_Nakup[],2,0)))</f>
        <v/>
      </c>
      <c r="D217" s="710" t="str">
        <f>IF(A217="","",'Rozpad zakázky'!F233)</f>
        <v/>
      </c>
      <c r="E217" s="710" t="str">
        <f>IF(A217="","",'Rozpad zakázky'!D233&amp;IF('Rozpad zakázky'!G233="",""," ("&amp;'Rozpad zakázky'!G233&amp;")"))</f>
        <v/>
      </c>
      <c r="F217" s="709" t="str">
        <f>IF(A217="","",'Rozpad zakázky'!IW233)</f>
        <v/>
      </c>
      <c r="G217" s="711" t="str">
        <f>IF(A217="","",'Rozpad zakázky'!AE233)</f>
        <v/>
      </c>
      <c r="H217" s="717" t="str">
        <f>IF(A217="","",'Rozpad zakázky'!AJ233)</f>
        <v/>
      </c>
      <c r="I217" s="748" t="str">
        <f>IF(A217="","",'Rozpad zakázky'!Q233)</f>
        <v/>
      </c>
      <c r="J217" s="717" t="str">
        <f>IF(A217="","",ROUNDDOWN('Rozpad zakázky'!L233,1))</f>
        <v/>
      </c>
      <c r="K217" s="745" t="str">
        <f>IF(A217="","",Tabulka_nakup_Vonka[[#This Row],[Počet MJHR v rozpadu]]*Tabulka_nakup_Vonka[[#This Row],[Jedn. hmotnost '[kg/MJHR']]])</f>
        <v/>
      </c>
    </row>
    <row r="218" spans="1:11" x14ac:dyDescent="0.35">
      <c r="A218" s="709" t="str">
        <f>IF('Rozpad zakázky'!E234=0,"",IF('Rozpad zakázky'!E234="-","",'Rozpad zakázky'!E234))</f>
        <v/>
      </c>
      <c r="B218" s="708" t="str">
        <f>IF(A218="","",IF(A218="","",VLOOKUP(A:A,Pomocna_Nakup[],3,0))&amp;" | "&amp;IF(A218="","",VLOOKUP(A:A,Pomocna_Nakup[],4,0)))</f>
        <v/>
      </c>
      <c r="C218" s="710" t="str">
        <f>IF(Tabulka_nakup_Vonka[[#This Row],[Zkratka kalkulační položky]]="","",Tabulka_nakup_Vonka[[#This Row],[Zkratka kalkulační položky]]&amp;" | "&amp;IF(A218="","",VLOOKUP(A:A,Pomocna_Nakup[],2,0)))</f>
        <v/>
      </c>
      <c r="D218" s="710" t="str">
        <f>IF(A218="","",'Rozpad zakázky'!F234)</f>
        <v/>
      </c>
      <c r="E218" s="710" t="str">
        <f>IF(A218="","",'Rozpad zakázky'!D234&amp;IF('Rozpad zakázky'!G234="",""," ("&amp;'Rozpad zakázky'!G234&amp;")"))</f>
        <v/>
      </c>
      <c r="F218" s="709" t="str">
        <f>IF(A218="","",'Rozpad zakázky'!IW234)</f>
        <v/>
      </c>
      <c r="G218" s="711" t="str">
        <f>IF(A218="","",'Rozpad zakázky'!AE234)</f>
        <v/>
      </c>
      <c r="H218" s="717" t="str">
        <f>IF(A218="","",'Rozpad zakázky'!AJ234)</f>
        <v/>
      </c>
      <c r="I218" s="748" t="str">
        <f>IF(A218="","",'Rozpad zakázky'!Q234)</f>
        <v/>
      </c>
      <c r="J218" s="717" t="str">
        <f>IF(A218="","",ROUNDDOWN('Rozpad zakázky'!L234,1))</f>
        <v/>
      </c>
      <c r="K218" s="745" t="str">
        <f>IF(A218="","",Tabulka_nakup_Vonka[[#This Row],[Počet MJHR v rozpadu]]*Tabulka_nakup_Vonka[[#This Row],[Jedn. hmotnost '[kg/MJHR']]])</f>
        <v/>
      </c>
    </row>
    <row r="219" spans="1:11" x14ac:dyDescent="0.35">
      <c r="A219" s="709" t="str">
        <f>IF('Rozpad zakázky'!E235=0,"",IF('Rozpad zakázky'!E235="-","",'Rozpad zakázky'!E235))</f>
        <v/>
      </c>
      <c r="B219" s="708" t="str">
        <f>IF(A219="","",IF(A219="","",VLOOKUP(A:A,Pomocna_Nakup[],3,0))&amp;" | "&amp;IF(A219="","",VLOOKUP(A:A,Pomocna_Nakup[],4,0)))</f>
        <v/>
      </c>
      <c r="C219" s="710" t="str">
        <f>IF(Tabulka_nakup_Vonka[[#This Row],[Zkratka kalkulační položky]]="","",Tabulka_nakup_Vonka[[#This Row],[Zkratka kalkulační položky]]&amp;" | "&amp;IF(A219="","",VLOOKUP(A:A,Pomocna_Nakup[],2,0)))</f>
        <v/>
      </c>
      <c r="D219" s="710" t="str">
        <f>IF(A219="","",'Rozpad zakázky'!F235)</f>
        <v/>
      </c>
      <c r="E219" s="710" t="str">
        <f>IF(A219="","",'Rozpad zakázky'!D235&amp;IF('Rozpad zakázky'!G235="",""," ("&amp;'Rozpad zakázky'!G235&amp;")"))</f>
        <v/>
      </c>
      <c r="F219" s="709" t="str">
        <f>IF(A219="","",'Rozpad zakázky'!IW235)</f>
        <v/>
      </c>
      <c r="G219" s="711" t="str">
        <f>IF(A219="","",'Rozpad zakázky'!AE235)</f>
        <v/>
      </c>
      <c r="H219" s="717" t="str">
        <f>IF(A219="","",'Rozpad zakázky'!AJ235)</f>
        <v/>
      </c>
      <c r="I219" s="748" t="str">
        <f>IF(A219="","",'Rozpad zakázky'!Q235)</f>
        <v/>
      </c>
      <c r="J219" s="717" t="str">
        <f>IF(A219="","",ROUNDDOWN('Rozpad zakázky'!L235,1))</f>
        <v/>
      </c>
      <c r="K219" s="745" t="str">
        <f>IF(A219="","",Tabulka_nakup_Vonka[[#This Row],[Počet MJHR v rozpadu]]*Tabulka_nakup_Vonka[[#This Row],[Jedn. hmotnost '[kg/MJHR']]])</f>
        <v/>
      </c>
    </row>
    <row r="220" spans="1:11" x14ac:dyDescent="0.35">
      <c r="A220" s="709" t="str">
        <f>IF('Rozpad zakázky'!E236=0,"",IF('Rozpad zakázky'!E236="-","",'Rozpad zakázky'!E236))</f>
        <v/>
      </c>
      <c r="B220" s="708" t="str">
        <f>IF(A220="","",IF(A220="","",VLOOKUP(A:A,Pomocna_Nakup[],3,0))&amp;" | "&amp;IF(A220="","",VLOOKUP(A:A,Pomocna_Nakup[],4,0)))</f>
        <v/>
      </c>
      <c r="C220" s="710" t="str">
        <f>IF(Tabulka_nakup_Vonka[[#This Row],[Zkratka kalkulační položky]]="","",Tabulka_nakup_Vonka[[#This Row],[Zkratka kalkulační položky]]&amp;" | "&amp;IF(A220="","",VLOOKUP(A:A,Pomocna_Nakup[],2,0)))</f>
        <v/>
      </c>
      <c r="D220" s="710" t="str">
        <f>IF(A220="","",'Rozpad zakázky'!F236)</f>
        <v/>
      </c>
      <c r="E220" s="710" t="str">
        <f>IF(A220="","",'Rozpad zakázky'!D236&amp;IF('Rozpad zakázky'!G236="",""," ("&amp;'Rozpad zakázky'!G236&amp;")"))</f>
        <v/>
      </c>
      <c r="F220" s="709" t="str">
        <f>IF(A220="","",'Rozpad zakázky'!IW236)</f>
        <v/>
      </c>
      <c r="G220" s="711" t="str">
        <f>IF(A220="","",'Rozpad zakázky'!AE236)</f>
        <v/>
      </c>
      <c r="H220" s="717" t="str">
        <f>IF(A220="","",'Rozpad zakázky'!AJ236)</f>
        <v/>
      </c>
      <c r="I220" s="748" t="str">
        <f>IF(A220="","",'Rozpad zakázky'!Q236)</f>
        <v/>
      </c>
      <c r="J220" s="717" t="str">
        <f>IF(A220="","",ROUNDDOWN('Rozpad zakázky'!L236,1))</f>
        <v/>
      </c>
      <c r="K220" s="745" t="str">
        <f>IF(A220="","",Tabulka_nakup_Vonka[[#This Row],[Počet MJHR v rozpadu]]*Tabulka_nakup_Vonka[[#This Row],[Jedn. hmotnost '[kg/MJHR']]])</f>
        <v/>
      </c>
    </row>
    <row r="221" spans="1:11" x14ac:dyDescent="0.35">
      <c r="A221" s="709" t="str">
        <f>IF('Rozpad zakázky'!E237=0,"",IF('Rozpad zakázky'!E237="-","",'Rozpad zakázky'!E237))</f>
        <v/>
      </c>
      <c r="B221" s="708" t="str">
        <f>IF(A221="","",IF(A221="","",VLOOKUP(A:A,Pomocna_Nakup[],3,0))&amp;" | "&amp;IF(A221="","",VLOOKUP(A:A,Pomocna_Nakup[],4,0)))</f>
        <v/>
      </c>
      <c r="C221" s="710" t="str">
        <f>IF(Tabulka_nakup_Vonka[[#This Row],[Zkratka kalkulační položky]]="","",Tabulka_nakup_Vonka[[#This Row],[Zkratka kalkulační položky]]&amp;" | "&amp;IF(A221="","",VLOOKUP(A:A,Pomocna_Nakup[],2,0)))</f>
        <v/>
      </c>
      <c r="D221" s="710" t="str">
        <f>IF(A221="","",'Rozpad zakázky'!F237)</f>
        <v/>
      </c>
      <c r="E221" s="710" t="str">
        <f>IF(A221="","",'Rozpad zakázky'!D237&amp;IF('Rozpad zakázky'!G237="",""," ("&amp;'Rozpad zakázky'!G237&amp;")"))</f>
        <v/>
      </c>
      <c r="F221" s="709" t="str">
        <f>IF(A221="","",'Rozpad zakázky'!IW237)</f>
        <v/>
      </c>
      <c r="G221" s="711" t="str">
        <f>IF(A221="","",'Rozpad zakázky'!AE237)</f>
        <v/>
      </c>
      <c r="H221" s="717" t="str">
        <f>IF(A221="","",'Rozpad zakázky'!AJ237)</f>
        <v/>
      </c>
      <c r="I221" s="748" t="str">
        <f>IF(A221="","",'Rozpad zakázky'!Q237)</f>
        <v/>
      </c>
      <c r="J221" s="717" t="str">
        <f>IF(A221="","",ROUNDDOWN('Rozpad zakázky'!L237,1))</f>
        <v/>
      </c>
      <c r="K221" s="745" t="str">
        <f>IF(A221="","",Tabulka_nakup_Vonka[[#This Row],[Počet MJHR v rozpadu]]*Tabulka_nakup_Vonka[[#This Row],[Jedn. hmotnost '[kg/MJHR']]])</f>
        <v/>
      </c>
    </row>
    <row r="222" spans="1:11" x14ac:dyDescent="0.35">
      <c r="A222" s="709" t="str">
        <f>IF('Rozpad zakázky'!E238=0,"",IF('Rozpad zakázky'!E238="-","",'Rozpad zakázky'!E238))</f>
        <v/>
      </c>
      <c r="B222" s="708" t="str">
        <f>IF(A222="","",IF(A222="","",VLOOKUP(A:A,Pomocna_Nakup[],3,0))&amp;" | "&amp;IF(A222="","",VLOOKUP(A:A,Pomocna_Nakup[],4,0)))</f>
        <v/>
      </c>
      <c r="C222" s="710" t="str">
        <f>IF(Tabulka_nakup_Vonka[[#This Row],[Zkratka kalkulační položky]]="","",Tabulka_nakup_Vonka[[#This Row],[Zkratka kalkulační položky]]&amp;" | "&amp;IF(A222="","",VLOOKUP(A:A,Pomocna_Nakup[],2,0)))</f>
        <v/>
      </c>
      <c r="D222" s="710" t="str">
        <f>IF(A222="","",'Rozpad zakázky'!F238)</f>
        <v/>
      </c>
      <c r="E222" s="710" t="str">
        <f>IF(A222="","",'Rozpad zakázky'!D238&amp;IF('Rozpad zakázky'!G238="",""," ("&amp;'Rozpad zakázky'!G238&amp;")"))</f>
        <v/>
      </c>
      <c r="F222" s="709" t="str">
        <f>IF(A222="","",'Rozpad zakázky'!IW238)</f>
        <v/>
      </c>
      <c r="G222" s="711" t="str">
        <f>IF(A222="","",'Rozpad zakázky'!AE238)</f>
        <v/>
      </c>
      <c r="H222" s="717" t="str">
        <f>IF(A222="","",'Rozpad zakázky'!AJ238)</f>
        <v/>
      </c>
      <c r="I222" s="748" t="str">
        <f>IF(A222="","",'Rozpad zakázky'!Q238)</f>
        <v/>
      </c>
      <c r="J222" s="717" t="str">
        <f>IF(A222="","",ROUNDDOWN('Rozpad zakázky'!L238,1))</f>
        <v/>
      </c>
      <c r="K222" s="745" t="str">
        <f>IF(A222="","",Tabulka_nakup_Vonka[[#This Row],[Počet MJHR v rozpadu]]*Tabulka_nakup_Vonka[[#This Row],[Jedn. hmotnost '[kg/MJHR']]])</f>
        <v/>
      </c>
    </row>
    <row r="223" spans="1:11" x14ac:dyDescent="0.35">
      <c r="A223" s="709" t="str">
        <f>IF('Rozpad zakázky'!E239=0,"",IF('Rozpad zakázky'!E239="-","",'Rozpad zakázky'!E239))</f>
        <v/>
      </c>
      <c r="B223" s="708" t="str">
        <f>IF(A223="","",IF(A223="","",VLOOKUP(A:A,Pomocna_Nakup[],3,0))&amp;" | "&amp;IF(A223="","",VLOOKUP(A:A,Pomocna_Nakup[],4,0)))</f>
        <v/>
      </c>
      <c r="C223" s="710" t="str">
        <f>IF(Tabulka_nakup_Vonka[[#This Row],[Zkratka kalkulační položky]]="","",Tabulka_nakup_Vonka[[#This Row],[Zkratka kalkulační položky]]&amp;" | "&amp;IF(A223="","",VLOOKUP(A:A,Pomocna_Nakup[],2,0)))</f>
        <v/>
      </c>
      <c r="D223" s="710" t="str">
        <f>IF(A223="","",'Rozpad zakázky'!F239)</f>
        <v/>
      </c>
      <c r="E223" s="710" t="str">
        <f>IF(A223="","",'Rozpad zakázky'!D239&amp;IF('Rozpad zakázky'!G239="",""," ("&amp;'Rozpad zakázky'!G239&amp;")"))</f>
        <v/>
      </c>
      <c r="F223" s="709" t="str">
        <f>IF(A223="","",'Rozpad zakázky'!IW239)</f>
        <v/>
      </c>
      <c r="G223" s="711" t="str">
        <f>IF(A223="","",'Rozpad zakázky'!AE239)</f>
        <v/>
      </c>
      <c r="H223" s="717" t="str">
        <f>IF(A223="","",'Rozpad zakázky'!AJ239)</f>
        <v/>
      </c>
      <c r="I223" s="748" t="str">
        <f>IF(A223="","",'Rozpad zakázky'!Q239)</f>
        <v/>
      </c>
      <c r="J223" s="717" t="str">
        <f>IF(A223="","",ROUNDDOWN('Rozpad zakázky'!L239,1))</f>
        <v/>
      </c>
      <c r="K223" s="745" t="str">
        <f>IF(A223="","",Tabulka_nakup_Vonka[[#This Row],[Počet MJHR v rozpadu]]*Tabulka_nakup_Vonka[[#This Row],[Jedn. hmotnost '[kg/MJHR']]])</f>
        <v/>
      </c>
    </row>
    <row r="224" spans="1:11" x14ac:dyDescent="0.35">
      <c r="A224" s="709" t="str">
        <f>IF('Rozpad zakázky'!E240=0,"",IF('Rozpad zakázky'!E240="-","",'Rozpad zakázky'!E240))</f>
        <v/>
      </c>
      <c r="B224" s="708" t="str">
        <f>IF(A224="","",IF(A224="","",VLOOKUP(A:A,Pomocna_Nakup[],3,0))&amp;" | "&amp;IF(A224="","",VLOOKUP(A:A,Pomocna_Nakup[],4,0)))</f>
        <v/>
      </c>
      <c r="C224" s="710" t="str">
        <f>IF(Tabulka_nakup_Vonka[[#This Row],[Zkratka kalkulační položky]]="","",Tabulka_nakup_Vonka[[#This Row],[Zkratka kalkulační položky]]&amp;" | "&amp;IF(A224="","",VLOOKUP(A:A,Pomocna_Nakup[],2,0)))</f>
        <v/>
      </c>
      <c r="D224" s="710" t="str">
        <f>IF(A224="","",'Rozpad zakázky'!F240)</f>
        <v/>
      </c>
      <c r="E224" s="710" t="str">
        <f>IF(A224="","",'Rozpad zakázky'!D240&amp;IF('Rozpad zakázky'!G240="",""," ("&amp;'Rozpad zakázky'!G240&amp;")"))</f>
        <v/>
      </c>
      <c r="F224" s="709" t="str">
        <f>IF(A224="","",'Rozpad zakázky'!IW240)</f>
        <v/>
      </c>
      <c r="G224" s="711" t="str">
        <f>IF(A224="","",'Rozpad zakázky'!AE240)</f>
        <v/>
      </c>
      <c r="H224" s="717" t="str">
        <f>IF(A224="","",'Rozpad zakázky'!AJ240)</f>
        <v/>
      </c>
      <c r="I224" s="748" t="str">
        <f>IF(A224="","",'Rozpad zakázky'!Q240)</f>
        <v/>
      </c>
      <c r="J224" s="717" t="str">
        <f>IF(A224="","",ROUNDDOWN('Rozpad zakázky'!L240,1))</f>
        <v/>
      </c>
      <c r="K224" s="745" t="str">
        <f>IF(A224="","",Tabulka_nakup_Vonka[[#This Row],[Počet MJHR v rozpadu]]*Tabulka_nakup_Vonka[[#This Row],[Jedn. hmotnost '[kg/MJHR']]])</f>
        <v/>
      </c>
    </row>
    <row r="225" spans="1:11" x14ac:dyDescent="0.35">
      <c r="A225" s="709" t="str">
        <f>IF('Rozpad zakázky'!E241=0,"",IF('Rozpad zakázky'!E241="-","",'Rozpad zakázky'!E241))</f>
        <v/>
      </c>
      <c r="B225" s="708" t="str">
        <f>IF(A225="","",IF(A225="","",VLOOKUP(A:A,Pomocna_Nakup[],3,0))&amp;" | "&amp;IF(A225="","",VLOOKUP(A:A,Pomocna_Nakup[],4,0)))</f>
        <v/>
      </c>
      <c r="C225" s="710" t="str">
        <f>IF(Tabulka_nakup_Vonka[[#This Row],[Zkratka kalkulační položky]]="","",Tabulka_nakup_Vonka[[#This Row],[Zkratka kalkulační položky]]&amp;" | "&amp;IF(A225="","",VLOOKUP(A:A,Pomocna_Nakup[],2,0)))</f>
        <v/>
      </c>
      <c r="D225" s="710" t="str">
        <f>IF(A225="","",'Rozpad zakázky'!F241)</f>
        <v/>
      </c>
      <c r="E225" s="710" t="str">
        <f>IF(A225="","",'Rozpad zakázky'!D241&amp;IF('Rozpad zakázky'!G241="",""," ("&amp;'Rozpad zakázky'!G241&amp;")"))</f>
        <v/>
      </c>
      <c r="F225" s="709" t="str">
        <f>IF(A225="","",'Rozpad zakázky'!IW241)</f>
        <v/>
      </c>
      <c r="G225" s="711" t="str">
        <f>IF(A225="","",'Rozpad zakázky'!AE241)</f>
        <v/>
      </c>
      <c r="H225" s="717" t="str">
        <f>IF(A225="","",'Rozpad zakázky'!AJ241)</f>
        <v/>
      </c>
      <c r="I225" s="748" t="str">
        <f>IF(A225="","",'Rozpad zakázky'!Q241)</f>
        <v/>
      </c>
      <c r="J225" s="717" t="str">
        <f>IF(A225="","",ROUNDDOWN('Rozpad zakázky'!L241,1))</f>
        <v/>
      </c>
      <c r="K225" s="745" t="str">
        <f>IF(A225="","",Tabulka_nakup_Vonka[[#This Row],[Počet MJHR v rozpadu]]*Tabulka_nakup_Vonka[[#This Row],[Jedn. hmotnost '[kg/MJHR']]])</f>
        <v/>
      </c>
    </row>
    <row r="226" spans="1:11" x14ac:dyDescent="0.35">
      <c r="A226" s="709" t="str">
        <f>IF('Rozpad zakázky'!E242=0,"",IF('Rozpad zakázky'!E242="-","",'Rozpad zakázky'!E242))</f>
        <v/>
      </c>
      <c r="B226" s="708" t="str">
        <f>IF(A226="","",IF(A226="","",VLOOKUP(A:A,Pomocna_Nakup[],3,0))&amp;" | "&amp;IF(A226="","",VLOOKUP(A:A,Pomocna_Nakup[],4,0)))</f>
        <v/>
      </c>
      <c r="C226" s="710" t="str">
        <f>IF(Tabulka_nakup_Vonka[[#This Row],[Zkratka kalkulační položky]]="","",Tabulka_nakup_Vonka[[#This Row],[Zkratka kalkulační položky]]&amp;" | "&amp;IF(A226="","",VLOOKUP(A:A,Pomocna_Nakup[],2,0)))</f>
        <v/>
      </c>
      <c r="D226" s="710" t="str">
        <f>IF(A226="","",'Rozpad zakázky'!F242)</f>
        <v/>
      </c>
      <c r="E226" s="710" t="str">
        <f>IF(A226="","",'Rozpad zakázky'!D242&amp;IF('Rozpad zakázky'!G242="",""," ("&amp;'Rozpad zakázky'!G242&amp;")"))</f>
        <v/>
      </c>
      <c r="F226" s="709" t="str">
        <f>IF(A226="","",'Rozpad zakázky'!IW242)</f>
        <v/>
      </c>
      <c r="G226" s="711" t="str">
        <f>IF(A226="","",'Rozpad zakázky'!AE242)</f>
        <v/>
      </c>
      <c r="H226" s="717" t="str">
        <f>IF(A226="","",'Rozpad zakázky'!AJ242)</f>
        <v/>
      </c>
      <c r="I226" s="748" t="str">
        <f>IF(A226="","",'Rozpad zakázky'!Q242)</f>
        <v/>
      </c>
      <c r="J226" s="717" t="str">
        <f>IF(A226="","",ROUNDDOWN('Rozpad zakázky'!L242,1))</f>
        <v/>
      </c>
      <c r="K226" s="745" t="str">
        <f>IF(A226="","",Tabulka_nakup_Vonka[[#This Row],[Počet MJHR v rozpadu]]*Tabulka_nakup_Vonka[[#This Row],[Jedn. hmotnost '[kg/MJHR']]])</f>
        <v/>
      </c>
    </row>
    <row r="227" spans="1:11" x14ac:dyDescent="0.35">
      <c r="A227" s="709" t="str">
        <f>IF('Rozpad zakázky'!E243=0,"",IF('Rozpad zakázky'!E243="-","",'Rozpad zakázky'!E243))</f>
        <v/>
      </c>
      <c r="B227" s="708" t="str">
        <f>IF(A227="","",IF(A227="","",VLOOKUP(A:A,Pomocna_Nakup[],3,0))&amp;" | "&amp;IF(A227="","",VLOOKUP(A:A,Pomocna_Nakup[],4,0)))</f>
        <v/>
      </c>
      <c r="C227" s="710" t="str">
        <f>IF(Tabulka_nakup_Vonka[[#This Row],[Zkratka kalkulační položky]]="","",Tabulka_nakup_Vonka[[#This Row],[Zkratka kalkulační položky]]&amp;" | "&amp;IF(A227="","",VLOOKUP(A:A,Pomocna_Nakup[],2,0)))</f>
        <v/>
      </c>
      <c r="D227" s="710" t="str">
        <f>IF(A227="","",'Rozpad zakázky'!F243)</f>
        <v/>
      </c>
      <c r="E227" s="710" t="str">
        <f>IF(A227="","",'Rozpad zakázky'!D243&amp;IF('Rozpad zakázky'!G243="",""," ("&amp;'Rozpad zakázky'!G243&amp;")"))</f>
        <v/>
      </c>
      <c r="F227" s="709" t="str">
        <f>IF(A227="","",'Rozpad zakázky'!IW243)</f>
        <v/>
      </c>
      <c r="G227" s="711" t="str">
        <f>IF(A227="","",'Rozpad zakázky'!AE243)</f>
        <v/>
      </c>
      <c r="H227" s="717" t="str">
        <f>IF(A227="","",'Rozpad zakázky'!AJ243)</f>
        <v/>
      </c>
      <c r="I227" s="748" t="str">
        <f>IF(A227="","",'Rozpad zakázky'!Q243)</f>
        <v/>
      </c>
      <c r="J227" s="717" t="str">
        <f>IF(A227="","",ROUNDDOWN('Rozpad zakázky'!L243,1))</f>
        <v/>
      </c>
      <c r="K227" s="745" t="str">
        <f>IF(A227="","",Tabulka_nakup_Vonka[[#This Row],[Počet MJHR v rozpadu]]*Tabulka_nakup_Vonka[[#This Row],[Jedn. hmotnost '[kg/MJHR']]])</f>
        <v/>
      </c>
    </row>
    <row r="228" spans="1:11" x14ac:dyDescent="0.35">
      <c r="A228" s="709" t="str">
        <f>IF('Rozpad zakázky'!E244=0,"",IF('Rozpad zakázky'!E244="-","",'Rozpad zakázky'!E244))</f>
        <v/>
      </c>
      <c r="B228" s="708" t="str">
        <f>IF(A228="","",IF(A228="","",VLOOKUP(A:A,Pomocna_Nakup[],3,0))&amp;" | "&amp;IF(A228="","",VLOOKUP(A:A,Pomocna_Nakup[],4,0)))</f>
        <v/>
      </c>
      <c r="C228" s="710" t="str">
        <f>IF(Tabulka_nakup_Vonka[[#This Row],[Zkratka kalkulační položky]]="","",Tabulka_nakup_Vonka[[#This Row],[Zkratka kalkulační položky]]&amp;" | "&amp;IF(A228="","",VLOOKUP(A:A,Pomocna_Nakup[],2,0)))</f>
        <v/>
      </c>
      <c r="D228" s="710" t="str">
        <f>IF(A228="","",'Rozpad zakázky'!F244)</f>
        <v/>
      </c>
      <c r="E228" s="710" t="str">
        <f>IF(A228="","",'Rozpad zakázky'!D244&amp;IF('Rozpad zakázky'!G244="",""," ("&amp;'Rozpad zakázky'!G244&amp;")"))</f>
        <v/>
      </c>
      <c r="F228" s="709" t="str">
        <f>IF(A228="","",'Rozpad zakázky'!IW244)</f>
        <v/>
      </c>
      <c r="G228" s="711" t="str">
        <f>IF(A228="","",'Rozpad zakázky'!AE244)</f>
        <v/>
      </c>
      <c r="H228" s="717" t="str">
        <f>IF(A228="","",'Rozpad zakázky'!AJ244)</f>
        <v/>
      </c>
      <c r="I228" s="748" t="str">
        <f>IF(A228="","",'Rozpad zakázky'!Q244)</f>
        <v/>
      </c>
      <c r="J228" s="717" t="str">
        <f>IF(A228="","",ROUNDDOWN('Rozpad zakázky'!L244,1))</f>
        <v/>
      </c>
      <c r="K228" s="745" t="str">
        <f>IF(A228="","",Tabulka_nakup_Vonka[[#This Row],[Počet MJHR v rozpadu]]*Tabulka_nakup_Vonka[[#This Row],[Jedn. hmotnost '[kg/MJHR']]])</f>
        <v/>
      </c>
    </row>
    <row r="229" spans="1:11" x14ac:dyDescent="0.35">
      <c r="A229" s="709" t="str">
        <f>IF('Rozpad zakázky'!E245=0,"",IF('Rozpad zakázky'!E245="-","",'Rozpad zakázky'!E245))</f>
        <v/>
      </c>
      <c r="B229" s="708" t="str">
        <f>IF(A229="","",IF(A229="","",VLOOKUP(A:A,Pomocna_Nakup[],3,0))&amp;" | "&amp;IF(A229="","",VLOOKUP(A:A,Pomocna_Nakup[],4,0)))</f>
        <v/>
      </c>
      <c r="C229" s="710" t="str">
        <f>IF(Tabulka_nakup_Vonka[[#This Row],[Zkratka kalkulační položky]]="","",Tabulka_nakup_Vonka[[#This Row],[Zkratka kalkulační položky]]&amp;" | "&amp;IF(A229="","",VLOOKUP(A:A,Pomocna_Nakup[],2,0)))</f>
        <v/>
      </c>
      <c r="D229" s="710" t="str">
        <f>IF(A229="","",'Rozpad zakázky'!F245)</f>
        <v/>
      </c>
      <c r="E229" s="710" t="str">
        <f>IF(A229="","",'Rozpad zakázky'!D245&amp;IF('Rozpad zakázky'!G245="",""," ("&amp;'Rozpad zakázky'!G245&amp;")"))</f>
        <v/>
      </c>
      <c r="F229" s="709" t="str">
        <f>IF(A229="","",'Rozpad zakázky'!IW245)</f>
        <v/>
      </c>
      <c r="G229" s="711" t="str">
        <f>IF(A229="","",'Rozpad zakázky'!AE245)</f>
        <v/>
      </c>
      <c r="H229" s="717" t="str">
        <f>IF(A229="","",'Rozpad zakázky'!AJ245)</f>
        <v/>
      </c>
      <c r="I229" s="748" t="str">
        <f>IF(A229="","",'Rozpad zakázky'!Q245)</f>
        <v/>
      </c>
      <c r="J229" s="717" t="str">
        <f>IF(A229="","",ROUNDDOWN('Rozpad zakázky'!L245,1))</f>
        <v/>
      </c>
      <c r="K229" s="745" t="str">
        <f>IF(A229="","",Tabulka_nakup_Vonka[[#This Row],[Počet MJHR v rozpadu]]*Tabulka_nakup_Vonka[[#This Row],[Jedn. hmotnost '[kg/MJHR']]])</f>
        <v/>
      </c>
    </row>
    <row r="230" spans="1:11" x14ac:dyDescent="0.35">
      <c r="A230" s="709" t="str">
        <f>IF('Rozpad zakázky'!E246=0,"",IF('Rozpad zakázky'!E246="-","",'Rozpad zakázky'!E246))</f>
        <v/>
      </c>
      <c r="B230" s="708" t="str">
        <f>IF(A230="","",IF(A230="","",VLOOKUP(A:A,Pomocna_Nakup[],3,0))&amp;" | "&amp;IF(A230="","",VLOOKUP(A:A,Pomocna_Nakup[],4,0)))</f>
        <v/>
      </c>
      <c r="C230" s="710" t="str">
        <f>IF(Tabulka_nakup_Vonka[[#This Row],[Zkratka kalkulační položky]]="","",Tabulka_nakup_Vonka[[#This Row],[Zkratka kalkulační položky]]&amp;" | "&amp;IF(A230="","",VLOOKUP(A:A,Pomocna_Nakup[],2,0)))</f>
        <v/>
      </c>
      <c r="D230" s="710" t="str">
        <f>IF(A230="","",'Rozpad zakázky'!F246)</f>
        <v/>
      </c>
      <c r="E230" s="710" t="str">
        <f>IF(A230="","",'Rozpad zakázky'!D246&amp;IF('Rozpad zakázky'!G246="",""," ("&amp;'Rozpad zakázky'!G246&amp;")"))</f>
        <v/>
      </c>
      <c r="F230" s="709" t="str">
        <f>IF(A230="","",'Rozpad zakázky'!IW246)</f>
        <v/>
      </c>
      <c r="G230" s="711" t="str">
        <f>IF(A230="","",'Rozpad zakázky'!AE246)</f>
        <v/>
      </c>
      <c r="H230" s="717" t="str">
        <f>IF(A230="","",'Rozpad zakázky'!AJ246)</f>
        <v/>
      </c>
      <c r="I230" s="748" t="str">
        <f>IF(A230="","",'Rozpad zakázky'!Q246)</f>
        <v/>
      </c>
      <c r="J230" s="717" t="str">
        <f>IF(A230="","",ROUNDDOWN('Rozpad zakázky'!L246,1))</f>
        <v/>
      </c>
      <c r="K230" s="745" t="str">
        <f>IF(A230="","",Tabulka_nakup_Vonka[[#This Row],[Počet MJHR v rozpadu]]*Tabulka_nakup_Vonka[[#This Row],[Jedn. hmotnost '[kg/MJHR']]])</f>
        <v/>
      </c>
    </row>
    <row r="231" spans="1:11" x14ac:dyDescent="0.35">
      <c r="A231" s="709" t="str">
        <f>IF('Rozpad zakázky'!E247=0,"",IF('Rozpad zakázky'!E247="-","",'Rozpad zakázky'!E247))</f>
        <v/>
      </c>
      <c r="B231" s="708" t="str">
        <f>IF(A231="","",IF(A231="","",VLOOKUP(A:A,Pomocna_Nakup[],3,0))&amp;" | "&amp;IF(A231="","",VLOOKUP(A:A,Pomocna_Nakup[],4,0)))</f>
        <v/>
      </c>
      <c r="C231" s="710" t="str">
        <f>IF(Tabulka_nakup_Vonka[[#This Row],[Zkratka kalkulační položky]]="","",Tabulka_nakup_Vonka[[#This Row],[Zkratka kalkulační položky]]&amp;" | "&amp;IF(A231="","",VLOOKUP(A:A,Pomocna_Nakup[],2,0)))</f>
        <v/>
      </c>
      <c r="D231" s="710" t="str">
        <f>IF(A231="","",'Rozpad zakázky'!F247)</f>
        <v/>
      </c>
      <c r="E231" s="710" t="str">
        <f>IF(A231="","",'Rozpad zakázky'!D247&amp;IF('Rozpad zakázky'!G247="",""," ("&amp;'Rozpad zakázky'!G247&amp;")"))</f>
        <v/>
      </c>
      <c r="F231" s="709" t="str">
        <f>IF(A231="","",'Rozpad zakázky'!IW247)</f>
        <v/>
      </c>
      <c r="G231" s="711" t="str">
        <f>IF(A231="","",'Rozpad zakázky'!AE247)</f>
        <v/>
      </c>
      <c r="H231" s="717" t="str">
        <f>IF(A231="","",'Rozpad zakázky'!AJ247)</f>
        <v/>
      </c>
      <c r="I231" s="748" t="str">
        <f>IF(A231="","",'Rozpad zakázky'!Q247)</f>
        <v/>
      </c>
      <c r="J231" s="717" t="str">
        <f>IF(A231="","",ROUNDDOWN('Rozpad zakázky'!L247,1))</f>
        <v/>
      </c>
      <c r="K231" s="745" t="str">
        <f>IF(A231="","",Tabulka_nakup_Vonka[[#This Row],[Počet MJHR v rozpadu]]*Tabulka_nakup_Vonka[[#This Row],[Jedn. hmotnost '[kg/MJHR']]])</f>
        <v/>
      </c>
    </row>
    <row r="232" spans="1:11" x14ac:dyDescent="0.35">
      <c r="A232" s="709" t="str">
        <f>IF('Rozpad zakázky'!E248=0,"",IF('Rozpad zakázky'!E248="-","",'Rozpad zakázky'!E248))</f>
        <v/>
      </c>
      <c r="B232" s="708" t="str">
        <f>IF(A232="","",IF(A232="","",VLOOKUP(A:A,Pomocna_Nakup[],3,0))&amp;" | "&amp;IF(A232="","",VLOOKUP(A:A,Pomocna_Nakup[],4,0)))</f>
        <v/>
      </c>
      <c r="C232" s="710" t="str">
        <f>IF(Tabulka_nakup_Vonka[[#This Row],[Zkratka kalkulační položky]]="","",Tabulka_nakup_Vonka[[#This Row],[Zkratka kalkulační položky]]&amp;" | "&amp;IF(A232="","",VLOOKUP(A:A,Pomocna_Nakup[],2,0)))</f>
        <v/>
      </c>
      <c r="D232" s="710" t="str">
        <f>IF(A232="","",'Rozpad zakázky'!F248)</f>
        <v/>
      </c>
      <c r="E232" s="710" t="str">
        <f>IF(A232="","",'Rozpad zakázky'!D248&amp;IF('Rozpad zakázky'!G248="",""," ("&amp;'Rozpad zakázky'!G248&amp;")"))</f>
        <v/>
      </c>
      <c r="F232" s="709" t="str">
        <f>IF(A232="","",'Rozpad zakázky'!IW248)</f>
        <v/>
      </c>
      <c r="G232" s="711" t="str">
        <f>IF(A232="","",'Rozpad zakázky'!AE248)</f>
        <v/>
      </c>
      <c r="H232" s="717" t="str">
        <f>IF(A232="","",'Rozpad zakázky'!AJ248)</f>
        <v/>
      </c>
      <c r="I232" s="748" t="str">
        <f>IF(A232="","",'Rozpad zakázky'!Q248)</f>
        <v/>
      </c>
      <c r="J232" s="717" t="str">
        <f>IF(A232="","",ROUNDDOWN('Rozpad zakázky'!L248,1))</f>
        <v/>
      </c>
      <c r="K232" s="745" t="str">
        <f>IF(A232="","",Tabulka_nakup_Vonka[[#This Row],[Počet MJHR v rozpadu]]*Tabulka_nakup_Vonka[[#This Row],[Jedn. hmotnost '[kg/MJHR']]])</f>
        <v/>
      </c>
    </row>
    <row r="233" spans="1:11" x14ac:dyDescent="0.35">
      <c r="A233" s="709" t="str">
        <f>IF('Rozpad zakázky'!E249=0,"",IF('Rozpad zakázky'!E249="-","",'Rozpad zakázky'!E249))</f>
        <v/>
      </c>
      <c r="B233" s="708" t="str">
        <f>IF(A233="","",IF(A233="","",VLOOKUP(A:A,Pomocna_Nakup[],3,0))&amp;" | "&amp;IF(A233="","",VLOOKUP(A:A,Pomocna_Nakup[],4,0)))</f>
        <v/>
      </c>
      <c r="C233" s="710" t="str">
        <f>IF(Tabulka_nakup_Vonka[[#This Row],[Zkratka kalkulační položky]]="","",Tabulka_nakup_Vonka[[#This Row],[Zkratka kalkulační položky]]&amp;" | "&amp;IF(A233="","",VLOOKUP(A:A,Pomocna_Nakup[],2,0)))</f>
        <v/>
      </c>
      <c r="D233" s="710" t="str">
        <f>IF(A233="","",'Rozpad zakázky'!F249)</f>
        <v/>
      </c>
      <c r="E233" s="710" t="str">
        <f>IF(A233="","",'Rozpad zakázky'!D249&amp;IF('Rozpad zakázky'!G249="",""," ("&amp;'Rozpad zakázky'!G249&amp;")"))</f>
        <v/>
      </c>
      <c r="F233" s="709" t="str">
        <f>IF(A233="","",'Rozpad zakázky'!IW249)</f>
        <v/>
      </c>
      <c r="G233" s="711" t="str">
        <f>IF(A233="","",'Rozpad zakázky'!AE249)</f>
        <v/>
      </c>
      <c r="H233" s="717" t="str">
        <f>IF(A233="","",'Rozpad zakázky'!AJ249)</f>
        <v/>
      </c>
      <c r="I233" s="748" t="str">
        <f>IF(A233="","",'Rozpad zakázky'!Q249)</f>
        <v/>
      </c>
      <c r="J233" s="717" t="str">
        <f>IF(A233="","",ROUNDDOWN('Rozpad zakázky'!L249,1))</f>
        <v/>
      </c>
      <c r="K233" s="745" t="str">
        <f>IF(A233="","",Tabulka_nakup_Vonka[[#This Row],[Počet MJHR v rozpadu]]*Tabulka_nakup_Vonka[[#This Row],[Jedn. hmotnost '[kg/MJHR']]])</f>
        <v/>
      </c>
    </row>
    <row r="234" spans="1:11" x14ac:dyDescent="0.35">
      <c r="A234" s="709" t="str">
        <f>IF('Rozpad zakázky'!E250=0,"",IF('Rozpad zakázky'!E250="-","",'Rozpad zakázky'!E250))</f>
        <v/>
      </c>
      <c r="B234" s="708" t="str">
        <f>IF(A234="","",IF(A234="","",VLOOKUP(A:A,Pomocna_Nakup[],3,0))&amp;" | "&amp;IF(A234="","",VLOOKUP(A:A,Pomocna_Nakup[],4,0)))</f>
        <v/>
      </c>
      <c r="C234" s="710" t="str">
        <f>IF(Tabulka_nakup_Vonka[[#This Row],[Zkratka kalkulační položky]]="","",Tabulka_nakup_Vonka[[#This Row],[Zkratka kalkulační položky]]&amp;" | "&amp;IF(A234="","",VLOOKUP(A:A,Pomocna_Nakup[],2,0)))</f>
        <v/>
      </c>
      <c r="D234" s="710" t="str">
        <f>IF(A234="","",'Rozpad zakázky'!F250)</f>
        <v/>
      </c>
      <c r="E234" s="710" t="str">
        <f>IF(A234="","",'Rozpad zakázky'!D250&amp;IF('Rozpad zakázky'!G250="",""," ("&amp;'Rozpad zakázky'!G250&amp;")"))</f>
        <v/>
      </c>
      <c r="F234" s="709" t="str">
        <f>IF(A234="","",'Rozpad zakázky'!IW250)</f>
        <v/>
      </c>
      <c r="G234" s="711" t="str">
        <f>IF(A234="","",'Rozpad zakázky'!AE250)</f>
        <v/>
      </c>
      <c r="H234" s="717" t="str">
        <f>IF(A234="","",'Rozpad zakázky'!AJ250)</f>
        <v/>
      </c>
      <c r="I234" s="748" t="str">
        <f>IF(A234="","",'Rozpad zakázky'!Q250)</f>
        <v/>
      </c>
      <c r="J234" s="717" t="str">
        <f>IF(A234="","",ROUNDDOWN('Rozpad zakázky'!L250,1))</f>
        <v/>
      </c>
      <c r="K234" s="745" t="str">
        <f>IF(A234="","",Tabulka_nakup_Vonka[[#This Row],[Počet MJHR v rozpadu]]*Tabulka_nakup_Vonka[[#This Row],[Jedn. hmotnost '[kg/MJHR']]])</f>
        <v/>
      </c>
    </row>
    <row r="235" spans="1:11" x14ac:dyDescent="0.35">
      <c r="A235" s="709" t="str">
        <f>IF('Rozpad zakázky'!E251=0,"",IF('Rozpad zakázky'!E251="-","",'Rozpad zakázky'!E251))</f>
        <v/>
      </c>
      <c r="B235" s="708" t="str">
        <f>IF(A235="","",IF(A235="","",VLOOKUP(A:A,Pomocna_Nakup[],3,0))&amp;" | "&amp;IF(A235="","",VLOOKUP(A:A,Pomocna_Nakup[],4,0)))</f>
        <v/>
      </c>
      <c r="C235" s="710" t="str">
        <f>IF(Tabulka_nakup_Vonka[[#This Row],[Zkratka kalkulační položky]]="","",Tabulka_nakup_Vonka[[#This Row],[Zkratka kalkulační položky]]&amp;" | "&amp;IF(A235="","",VLOOKUP(A:A,Pomocna_Nakup[],2,0)))</f>
        <v/>
      </c>
      <c r="D235" s="710" t="str">
        <f>IF(A235="","",'Rozpad zakázky'!F251)</f>
        <v/>
      </c>
      <c r="E235" s="710" t="str">
        <f>IF(A235="","",'Rozpad zakázky'!D251&amp;IF('Rozpad zakázky'!G251="",""," ("&amp;'Rozpad zakázky'!G251&amp;")"))</f>
        <v/>
      </c>
      <c r="F235" s="709" t="str">
        <f>IF(A235="","",'Rozpad zakázky'!IW251)</f>
        <v/>
      </c>
      <c r="G235" s="711" t="str">
        <f>IF(A235="","",'Rozpad zakázky'!AE251)</f>
        <v/>
      </c>
      <c r="H235" s="717" t="str">
        <f>IF(A235="","",'Rozpad zakázky'!AJ251)</f>
        <v/>
      </c>
      <c r="I235" s="748" t="str">
        <f>IF(A235="","",'Rozpad zakázky'!Q251)</f>
        <v/>
      </c>
      <c r="J235" s="717" t="str">
        <f>IF(A235="","",ROUNDDOWN('Rozpad zakázky'!L251,1))</f>
        <v/>
      </c>
      <c r="K235" s="745" t="str">
        <f>IF(A235="","",Tabulka_nakup_Vonka[[#This Row],[Počet MJHR v rozpadu]]*Tabulka_nakup_Vonka[[#This Row],[Jedn. hmotnost '[kg/MJHR']]])</f>
        <v/>
      </c>
    </row>
    <row r="236" spans="1:11" x14ac:dyDescent="0.35">
      <c r="A236" s="709" t="str">
        <f>IF('Rozpad zakázky'!E252=0,"",IF('Rozpad zakázky'!E252="-","",'Rozpad zakázky'!E252))</f>
        <v/>
      </c>
      <c r="B236" s="708" t="str">
        <f>IF(A236="","",IF(A236="","",VLOOKUP(A:A,Pomocna_Nakup[],3,0))&amp;" | "&amp;IF(A236="","",VLOOKUP(A:A,Pomocna_Nakup[],4,0)))</f>
        <v/>
      </c>
      <c r="C236" s="710" t="str">
        <f>IF(Tabulka_nakup_Vonka[[#This Row],[Zkratka kalkulační položky]]="","",Tabulka_nakup_Vonka[[#This Row],[Zkratka kalkulační položky]]&amp;" | "&amp;IF(A236="","",VLOOKUP(A:A,Pomocna_Nakup[],2,0)))</f>
        <v/>
      </c>
      <c r="D236" s="710" t="str">
        <f>IF(A236="","",'Rozpad zakázky'!F252)</f>
        <v/>
      </c>
      <c r="E236" s="710" t="str">
        <f>IF(A236="","",'Rozpad zakázky'!D252&amp;IF('Rozpad zakázky'!G252="",""," ("&amp;'Rozpad zakázky'!G252&amp;")"))</f>
        <v/>
      </c>
      <c r="F236" s="709" t="str">
        <f>IF(A236="","",'Rozpad zakázky'!IW252)</f>
        <v/>
      </c>
      <c r="G236" s="711" t="str">
        <f>IF(A236="","",'Rozpad zakázky'!AE252)</f>
        <v/>
      </c>
      <c r="H236" s="717" t="str">
        <f>IF(A236="","",'Rozpad zakázky'!AJ252)</f>
        <v/>
      </c>
      <c r="I236" s="748" t="str">
        <f>IF(A236="","",'Rozpad zakázky'!Q252)</f>
        <v/>
      </c>
      <c r="J236" s="717" t="str">
        <f>IF(A236="","",ROUNDDOWN('Rozpad zakázky'!L252,1))</f>
        <v/>
      </c>
      <c r="K236" s="745" t="str">
        <f>IF(A236="","",Tabulka_nakup_Vonka[[#This Row],[Počet MJHR v rozpadu]]*Tabulka_nakup_Vonka[[#This Row],[Jedn. hmotnost '[kg/MJHR']]])</f>
        <v/>
      </c>
    </row>
    <row r="237" spans="1:11" x14ac:dyDescent="0.35">
      <c r="A237" s="709" t="str">
        <f>IF('Rozpad zakázky'!E253=0,"",IF('Rozpad zakázky'!E253="-","",'Rozpad zakázky'!E253))</f>
        <v/>
      </c>
      <c r="B237" s="708" t="str">
        <f>IF(A237="","",IF(A237="","",VLOOKUP(A:A,Pomocna_Nakup[],3,0))&amp;" | "&amp;IF(A237="","",VLOOKUP(A:A,Pomocna_Nakup[],4,0)))</f>
        <v/>
      </c>
      <c r="C237" s="710" t="str">
        <f>IF(Tabulka_nakup_Vonka[[#This Row],[Zkratka kalkulační položky]]="","",Tabulka_nakup_Vonka[[#This Row],[Zkratka kalkulační položky]]&amp;" | "&amp;IF(A237="","",VLOOKUP(A:A,Pomocna_Nakup[],2,0)))</f>
        <v/>
      </c>
      <c r="D237" s="710" t="str">
        <f>IF(A237="","",'Rozpad zakázky'!F253)</f>
        <v/>
      </c>
      <c r="E237" s="710" t="str">
        <f>IF(A237="","",'Rozpad zakázky'!D253&amp;IF('Rozpad zakázky'!G253="",""," ("&amp;'Rozpad zakázky'!G253&amp;")"))</f>
        <v/>
      </c>
      <c r="F237" s="709" t="str">
        <f>IF(A237="","",'Rozpad zakázky'!IW253)</f>
        <v/>
      </c>
      <c r="G237" s="711" t="str">
        <f>IF(A237="","",'Rozpad zakázky'!AE253)</f>
        <v/>
      </c>
      <c r="H237" s="717" t="str">
        <f>IF(A237="","",'Rozpad zakázky'!AJ253)</f>
        <v/>
      </c>
      <c r="I237" s="748" t="str">
        <f>IF(A237="","",'Rozpad zakázky'!Q253)</f>
        <v/>
      </c>
      <c r="J237" s="717" t="str">
        <f>IF(A237="","",ROUNDDOWN('Rozpad zakázky'!L253,1))</f>
        <v/>
      </c>
      <c r="K237" s="745" t="str">
        <f>IF(A237="","",Tabulka_nakup_Vonka[[#This Row],[Počet MJHR v rozpadu]]*Tabulka_nakup_Vonka[[#This Row],[Jedn. hmotnost '[kg/MJHR']]])</f>
        <v/>
      </c>
    </row>
    <row r="238" spans="1:11" x14ac:dyDescent="0.35">
      <c r="A238" s="709" t="str">
        <f>IF('Rozpad zakázky'!E254=0,"",IF('Rozpad zakázky'!E254="-","",'Rozpad zakázky'!E254))</f>
        <v/>
      </c>
      <c r="B238" s="708" t="str">
        <f>IF(A238="","",IF(A238="","",VLOOKUP(A:A,Pomocna_Nakup[],3,0))&amp;" | "&amp;IF(A238="","",VLOOKUP(A:A,Pomocna_Nakup[],4,0)))</f>
        <v/>
      </c>
      <c r="C238" s="710" t="str">
        <f>IF(Tabulka_nakup_Vonka[[#This Row],[Zkratka kalkulační položky]]="","",Tabulka_nakup_Vonka[[#This Row],[Zkratka kalkulační položky]]&amp;" | "&amp;IF(A238="","",VLOOKUP(A:A,Pomocna_Nakup[],2,0)))</f>
        <v/>
      </c>
      <c r="D238" s="710" t="str">
        <f>IF(A238="","",'Rozpad zakázky'!F254)</f>
        <v/>
      </c>
      <c r="E238" s="710" t="str">
        <f>IF(A238="","",'Rozpad zakázky'!D254&amp;IF('Rozpad zakázky'!G254="",""," ("&amp;'Rozpad zakázky'!G254&amp;")"))</f>
        <v/>
      </c>
      <c r="F238" s="709" t="str">
        <f>IF(A238="","",'Rozpad zakázky'!IW254)</f>
        <v/>
      </c>
      <c r="G238" s="711" t="str">
        <f>IF(A238="","",'Rozpad zakázky'!AE254)</f>
        <v/>
      </c>
      <c r="H238" s="717" t="str">
        <f>IF(A238="","",'Rozpad zakázky'!AJ254)</f>
        <v/>
      </c>
      <c r="I238" s="748" t="str">
        <f>IF(A238="","",'Rozpad zakázky'!Q254)</f>
        <v/>
      </c>
      <c r="J238" s="717" t="str">
        <f>IF(A238="","",ROUNDDOWN('Rozpad zakázky'!L254,1))</f>
        <v/>
      </c>
      <c r="K238" s="745" t="str">
        <f>IF(A238="","",Tabulka_nakup_Vonka[[#This Row],[Počet MJHR v rozpadu]]*Tabulka_nakup_Vonka[[#This Row],[Jedn. hmotnost '[kg/MJHR']]])</f>
        <v/>
      </c>
    </row>
    <row r="239" spans="1:11" x14ac:dyDescent="0.35">
      <c r="A239" s="709" t="str">
        <f>IF('Rozpad zakázky'!E255=0,"",IF('Rozpad zakázky'!E255="-","",'Rozpad zakázky'!E255))</f>
        <v/>
      </c>
      <c r="B239" s="708" t="str">
        <f>IF(A239="","",IF(A239="","",VLOOKUP(A:A,Pomocna_Nakup[],3,0))&amp;" | "&amp;IF(A239="","",VLOOKUP(A:A,Pomocna_Nakup[],4,0)))</f>
        <v/>
      </c>
      <c r="C239" s="710" t="str">
        <f>IF(Tabulka_nakup_Vonka[[#This Row],[Zkratka kalkulační položky]]="","",Tabulka_nakup_Vonka[[#This Row],[Zkratka kalkulační položky]]&amp;" | "&amp;IF(A239="","",VLOOKUP(A:A,Pomocna_Nakup[],2,0)))</f>
        <v/>
      </c>
      <c r="D239" s="710" t="str">
        <f>IF(A239="","",'Rozpad zakázky'!F255)</f>
        <v/>
      </c>
      <c r="E239" s="710" t="str">
        <f>IF(A239="","",'Rozpad zakázky'!D255&amp;IF('Rozpad zakázky'!G255="",""," ("&amp;'Rozpad zakázky'!G255&amp;")"))</f>
        <v/>
      </c>
      <c r="F239" s="709" t="str">
        <f>IF(A239="","",'Rozpad zakázky'!IW255)</f>
        <v/>
      </c>
      <c r="G239" s="711" t="str">
        <f>IF(A239="","",'Rozpad zakázky'!AE255)</f>
        <v/>
      </c>
      <c r="H239" s="717" t="str">
        <f>IF(A239="","",'Rozpad zakázky'!AJ255)</f>
        <v/>
      </c>
      <c r="I239" s="748" t="str">
        <f>IF(A239="","",'Rozpad zakázky'!Q255)</f>
        <v/>
      </c>
      <c r="J239" s="717" t="str">
        <f>IF(A239="","",ROUNDDOWN('Rozpad zakázky'!L255,1))</f>
        <v/>
      </c>
      <c r="K239" s="745" t="str">
        <f>IF(A239="","",Tabulka_nakup_Vonka[[#This Row],[Počet MJHR v rozpadu]]*Tabulka_nakup_Vonka[[#This Row],[Jedn. hmotnost '[kg/MJHR']]])</f>
        <v/>
      </c>
    </row>
    <row r="240" spans="1:11" x14ac:dyDescent="0.35">
      <c r="A240" s="709" t="str">
        <f>IF('Rozpad zakázky'!E256=0,"",IF('Rozpad zakázky'!E256="-","",'Rozpad zakázky'!E256))</f>
        <v/>
      </c>
      <c r="B240" s="708" t="str">
        <f>IF(A240="","",IF(A240="","",VLOOKUP(A:A,Pomocna_Nakup[],3,0))&amp;" | "&amp;IF(A240="","",VLOOKUP(A:A,Pomocna_Nakup[],4,0)))</f>
        <v/>
      </c>
      <c r="C240" s="710" t="str">
        <f>IF(Tabulka_nakup_Vonka[[#This Row],[Zkratka kalkulační položky]]="","",Tabulka_nakup_Vonka[[#This Row],[Zkratka kalkulační položky]]&amp;" | "&amp;IF(A240="","",VLOOKUP(A:A,Pomocna_Nakup[],2,0)))</f>
        <v/>
      </c>
      <c r="D240" s="710" t="str">
        <f>IF(A240="","",'Rozpad zakázky'!F256)</f>
        <v/>
      </c>
      <c r="E240" s="710" t="str">
        <f>IF(A240="","",'Rozpad zakázky'!D256&amp;IF('Rozpad zakázky'!G256="",""," ("&amp;'Rozpad zakázky'!G256&amp;")"))</f>
        <v/>
      </c>
      <c r="F240" s="709" t="str">
        <f>IF(A240="","",'Rozpad zakázky'!IW256)</f>
        <v/>
      </c>
      <c r="G240" s="711" t="str">
        <f>IF(A240="","",'Rozpad zakázky'!AE256)</f>
        <v/>
      </c>
      <c r="H240" s="717" t="str">
        <f>IF(A240="","",'Rozpad zakázky'!AJ256)</f>
        <v/>
      </c>
      <c r="I240" s="748" t="str">
        <f>IF(A240="","",'Rozpad zakázky'!Q256)</f>
        <v/>
      </c>
      <c r="J240" s="717" t="str">
        <f>IF(A240="","",ROUNDDOWN('Rozpad zakázky'!L256,1))</f>
        <v/>
      </c>
      <c r="K240" s="745" t="str">
        <f>IF(A240="","",Tabulka_nakup_Vonka[[#This Row],[Počet MJHR v rozpadu]]*Tabulka_nakup_Vonka[[#This Row],[Jedn. hmotnost '[kg/MJHR']]])</f>
        <v/>
      </c>
    </row>
    <row r="241" spans="1:11" x14ac:dyDescent="0.35">
      <c r="A241" s="709" t="str">
        <f>IF('Rozpad zakázky'!E257=0,"",IF('Rozpad zakázky'!E257="-","",'Rozpad zakázky'!E257))</f>
        <v/>
      </c>
      <c r="B241" s="708" t="str">
        <f>IF(A241="","",IF(A241="","",VLOOKUP(A:A,Pomocna_Nakup[],3,0))&amp;" | "&amp;IF(A241="","",VLOOKUP(A:A,Pomocna_Nakup[],4,0)))</f>
        <v/>
      </c>
      <c r="C241" s="710" t="str">
        <f>IF(Tabulka_nakup_Vonka[[#This Row],[Zkratka kalkulační položky]]="","",Tabulka_nakup_Vonka[[#This Row],[Zkratka kalkulační položky]]&amp;" | "&amp;IF(A241="","",VLOOKUP(A:A,Pomocna_Nakup[],2,0)))</f>
        <v/>
      </c>
      <c r="D241" s="710" t="str">
        <f>IF(A241="","",'Rozpad zakázky'!F257)</f>
        <v/>
      </c>
      <c r="E241" s="710" t="str">
        <f>IF(A241="","",'Rozpad zakázky'!D257&amp;IF('Rozpad zakázky'!G257="",""," ("&amp;'Rozpad zakázky'!G257&amp;")"))</f>
        <v/>
      </c>
      <c r="F241" s="709" t="str">
        <f>IF(A241="","",'Rozpad zakázky'!IW257)</f>
        <v/>
      </c>
      <c r="G241" s="711" t="str">
        <f>IF(A241="","",'Rozpad zakázky'!AE257)</f>
        <v/>
      </c>
      <c r="H241" s="717" t="str">
        <f>IF(A241="","",'Rozpad zakázky'!AJ257)</f>
        <v/>
      </c>
      <c r="I241" s="748" t="str">
        <f>IF(A241="","",'Rozpad zakázky'!Q257)</f>
        <v/>
      </c>
      <c r="J241" s="717" t="str">
        <f>IF(A241="","",ROUNDDOWN('Rozpad zakázky'!L257,1))</f>
        <v/>
      </c>
      <c r="K241" s="745" t="str">
        <f>IF(A241="","",Tabulka_nakup_Vonka[[#This Row],[Počet MJHR v rozpadu]]*Tabulka_nakup_Vonka[[#This Row],[Jedn. hmotnost '[kg/MJHR']]])</f>
        <v/>
      </c>
    </row>
    <row r="242" spans="1:11" x14ac:dyDescent="0.35">
      <c r="A242" s="709" t="str">
        <f>IF('Rozpad zakázky'!E258=0,"",IF('Rozpad zakázky'!E258="-","",'Rozpad zakázky'!E258))</f>
        <v/>
      </c>
      <c r="B242" s="708" t="str">
        <f>IF(A242="","",IF(A242="","",VLOOKUP(A:A,Pomocna_Nakup[],3,0))&amp;" | "&amp;IF(A242="","",VLOOKUP(A:A,Pomocna_Nakup[],4,0)))</f>
        <v/>
      </c>
      <c r="C242" s="710" t="str">
        <f>IF(Tabulka_nakup_Vonka[[#This Row],[Zkratka kalkulační položky]]="","",Tabulka_nakup_Vonka[[#This Row],[Zkratka kalkulační položky]]&amp;" | "&amp;IF(A242="","",VLOOKUP(A:A,Pomocna_Nakup[],2,0)))</f>
        <v/>
      </c>
      <c r="D242" s="710" t="str">
        <f>IF(A242="","",'Rozpad zakázky'!F258)</f>
        <v/>
      </c>
      <c r="E242" s="710" t="str">
        <f>IF(A242="","",'Rozpad zakázky'!D258&amp;IF('Rozpad zakázky'!G258="",""," ("&amp;'Rozpad zakázky'!G258&amp;")"))</f>
        <v/>
      </c>
      <c r="F242" s="709" t="str">
        <f>IF(A242="","",'Rozpad zakázky'!IW258)</f>
        <v/>
      </c>
      <c r="G242" s="711" t="str">
        <f>IF(A242="","",'Rozpad zakázky'!AE258)</f>
        <v/>
      </c>
      <c r="H242" s="717" t="str">
        <f>IF(A242="","",'Rozpad zakázky'!AJ258)</f>
        <v/>
      </c>
      <c r="I242" s="748" t="str">
        <f>IF(A242="","",'Rozpad zakázky'!Q258)</f>
        <v/>
      </c>
      <c r="J242" s="717" t="str">
        <f>IF(A242="","",ROUNDDOWN('Rozpad zakázky'!L258,1))</f>
        <v/>
      </c>
      <c r="K242" s="745" t="str">
        <f>IF(A242="","",Tabulka_nakup_Vonka[[#This Row],[Počet MJHR v rozpadu]]*Tabulka_nakup_Vonka[[#This Row],[Jedn. hmotnost '[kg/MJHR']]])</f>
        <v/>
      </c>
    </row>
    <row r="243" spans="1:11" x14ac:dyDescent="0.35">
      <c r="A243" s="709" t="str">
        <f>IF('Rozpad zakázky'!E259=0,"",IF('Rozpad zakázky'!E259="-","",'Rozpad zakázky'!E259))</f>
        <v/>
      </c>
      <c r="B243" s="708" t="str">
        <f>IF(A243="","",IF(A243="","",VLOOKUP(A:A,Pomocna_Nakup[],3,0))&amp;" | "&amp;IF(A243="","",VLOOKUP(A:A,Pomocna_Nakup[],4,0)))</f>
        <v/>
      </c>
      <c r="C243" s="710" t="str">
        <f>IF(Tabulka_nakup_Vonka[[#This Row],[Zkratka kalkulační položky]]="","",Tabulka_nakup_Vonka[[#This Row],[Zkratka kalkulační položky]]&amp;" | "&amp;IF(A243="","",VLOOKUP(A:A,Pomocna_Nakup[],2,0)))</f>
        <v/>
      </c>
      <c r="D243" s="710" t="str">
        <f>IF(A243="","",'Rozpad zakázky'!F259)</f>
        <v/>
      </c>
      <c r="E243" s="710" t="str">
        <f>IF(A243="","",'Rozpad zakázky'!D259&amp;IF('Rozpad zakázky'!G259="",""," ("&amp;'Rozpad zakázky'!G259&amp;")"))</f>
        <v/>
      </c>
      <c r="F243" s="709" t="str">
        <f>IF(A243="","",'Rozpad zakázky'!IW259)</f>
        <v/>
      </c>
      <c r="G243" s="711" t="str">
        <f>IF(A243="","",'Rozpad zakázky'!AE259)</f>
        <v/>
      </c>
      <c r="H243" s="717" t="str">
        <f>IF(A243="","",'Rozpad zakázky'!AJ259)</f>
        <v/>
      </c>
      <c r="I243" s="748" t="str">
        <f>IF(A243="","",'Rozpad zakázky'!Q259)</f>
        <v/>
      </c>
      <c r="J243" s="717" t="str">
        <f>IF(A243="","",ROUNDDOWN('Rozpad zakázky'!L259,1))</f>
        <v/>
      </c>
      <c r="K243" s="745" t="str">
        <f>IF(A243="","",Tabulka_nakup_Vonka[[#This Row],[Počet MJHR v rozpadu]]*Tabulka_nakup_Vonka[[#This Row],[Jedn. hmotnost '[kg/MJHR']]])</f>
        <v/>
      </c>
    </row>
    <row r="244" spans="1:11" x14ac:dyDescent="0.35">
      <c r="A244" s="709" t="str">
        <f>IF('Rozpad zakázky'!E260=0,"",IF('Rozpad zakázky'!E260="-","",'Rozpad zakázky'!E260))</f>
        <v/>
      </c>
      <c r="B244" s="708" t="str">
        <f>IF(A244="","",IF(A244="","",VLOOKUP(A:A,Pomocna_Nakup[],3,0))&amp;" | "&amp;IF(A244="","",VLOOKUP(A:A,Pomocna_Nakup[],4,0)))</f>
        <v/>
      </c>
      <c r="C244" s="710" t="str">
        <f>IF(Tabulka_nakup_Vonka[[#This Row],[Zkratka kalkulační položky]]="","",Tabulka_nakup_Vonka[[#This Row],[Zkratka kalkulační položky]]&amp;" | "&amp;IF(A244="","",VLOOKUP(A:A,Pomocna_Nakup[],2,0)))</f>
        <v/>
      </c>
      <c r="D244" s="710" t="str">
        <f>IF(A244="","",'Rozpad zakázky'!F260)</f>
        <v/>
      </c>
      <c r="E244" s="710" t="str">
        <f>IF(A244="","",'Rozpad zakázky'!D260&amp;IF('Rozpad zakázky'!G260="",""," ("&amp;'Rozpad zakázky'!G260&amp;")"))</f>
        <v/>
      </c>
      <c r="F244" s="709" t="str">
        <f>IF(A244="","",'Rozpad zakázky'!IW260)</f>
        <v/>
      </c>
      <c r="G244" s="711" t="str">
        <f>IF(A244="","",'Rozpad zakázky'!AE260)</f>
        <v/>
      </c>
      <c r="H244" s="717" t="str">
        <f>IF(A244="","",'Rozpad zakázky'!AJ260)</f>
        <v/>
      </c>
      <c r="I244" s="748" t="str">
        <f>IF(A244="","",'Rozpad zakázky'!Q260)</f>
        <v/>
      </c>
      <c r="J244" s="717" t="str">
        <f>IF(A244="","",ROUNDDOWN('Rozpad zakázky'!L260,1))</f>
        <v/>
      </c>
      <c r="K244" s="745" t="str">
        <f>IF(A244="","",Tabulka_nakup_Vonka[[#This Row],[Počet MJHR v rozpadu]]*Tabulka_nakup_Vonka[[#This Row],[Jedn. hmotnost '[kg/MJHR']]])</f>
        <v/>
      </c>
    </row>
    <row r="245" spans="1:11" x14ac:dyDescent="0.35">
      <c r="A245" s="709" t="str">
        <f>IF('Rozpad zakázky'!E261=0,"",IF('Rozpad zakázky'!E261="-","",'Rozpad zakázky'!E261))</f>
        <v/>
      </c>
      <c r="B245" s="708" t="str">
        <f>IF(A245="","",IF(A245="","",VLOOKUP(A:A,Pomocna_Nakup[],3,0))&amp;" | "&amp;IF(A245="","",VLOOKUP(A:A,Pomocna_Nakup[],4,0)))</f>
        <v/>
      </c>
      <c r="C245" s="710" t="str">
        <f>IF(Tabulka_nakup_Vonka[[#This Row],[Zkratka kalkulační položky]]="","",Tabulka_nakup_Vonka[[#This Row],[Zkratka kalkulační položky]]&amp;" | "&amp;IF(A245="","",VLOOKUP(A:A,Pomocna_Nakup[],2,0)))</f>
        <v/>
      </c>
      <c r="D245" s="710" t="str">
        <f>IF(A245="","",'Rozpad zakázky'!F261)</f>
        <v/>
      </c>
      <c r="E245" s="710" t="str">
        <f>IF(A245="","",'Rozpad zakázky'!D261&amp;IF('Rozpad zakázky'!G261="",""," ("&amp;'Rozpad zakázky'!G261&amp;")"))</f>
        <v/>
      </c>
      <c r="F245" s="709" t="str">
        <f>IF(A245="","",'Rozpad zakázky'!IW261)</f>
        <v/>
      </c>
      <c r="G245" s="711" t="str">
        <f>IF(A245="","",'Rozpad zakázky'!AE261)</f>
        <v/>
      </c>
      <c r="H245" s="717" t="str">
        <f>IF(A245="","",'Rozpad zakázky'!AJ261)</f>
        <v/>
      </c>
      <c r="I245" s="748" t="str">
        <f>IF(A245="","",'Rozpad zakázky'!Q261)</f>
        <v/>
      </c>
      <c r="J245" s="717" t="str">
        <f>IF(A245="","",ROUNDDOWN('Rozpad zakázky'!L261,1))</f>
        <v/>
      </c>
      <c r="K245" s="745" t="str">
        <f>IF(A245="","",Tabulka_nakup_Vonka[[#This Row],[Počet MJHR v rozpadu]]*Tabulka_nakup_Vonka[[#This Row],[Jedn. hmotnost '[kg/MJHR']]])</f>
        <v/>
      </c>
    </row>
    <row r="246" spans="1:11" x14ac:dyDescent="0.35">
      <c r="A246" s="709" t="str">
        <f>IF('Rozpad zakázky'!E262=0,"",IF('Rozpad zakázky'!E262="-","",'Rozpad zakázky'!E262))</f>
        <v/>
      </c>
      <c r="B246" s="708" t="str">
        <f>IF(A246="","",IF(A246="","",VLOOKUP(A:A,Pomocna_Nakup[],3,0))&amp;" | "&amp;IF(A246="","",VLOOKUP(A:A,Pomocna_Nakup[],4,0)))</f>
        <v/>
      </c>
      <c r="C246" s="710" t="str">
        <f>IF(Tabulka_nakup_Vonka[[#This Row],[Zkratka kalkulační položky]]="","",Tabulka_nakup_Vonka[[#This Row],[Zkratka kalkulační položky]]&amp;" | "&amp;IF(A246="","",VLOOKUP(A:A,Pomocna_Nakup[],2,0)))</f>
        <v/>
      </c>
      <c r="D246" s="710" t="str">
        <f>IF(A246="","",'Rozpad zakázky'!F262)</f>
        <v/>
      </c>
      <c r="E246" s="710" t="str">
        <f>IF(A246="","",'Rozpad zakázky'!D262&amp;IF('Rozpad zakázky'!G262="",""," ("&amp;'Rozpad zakázky'!G262&amp;")"))</f>
        <v/>
      </c>
      <c r="F246" s="709" t="str">
        <f>IF(A246="","",'Rozpad zakázky'!IW262)</f>
        <v/>
      </c>
      <c r="G246" s="711" t="str">
        <f>IF(A246="","",'Rozpad zakázky'!AE262)</f>
        <v/>
      </c>
      <c r="H246" s="717" t="str">
        <f>IF(A246="","",'Rozpad zakázky'!AJ262)</f>
        <v/>
      </c>
      <c r="I246" s="748" t="str">
        <f>IF(A246="","",'Rozpad zakázky'!Q262)</f>
        <v/>
      </c>
      <c r="J246" s="717" t="str">
        <f>IF(A246="","",ROUNDDOWN('Rozpad zakázky'!L262,1))</f>
        <v/>
      </c>
      <c r="K246" s="745" t="str">
        <f>IF(A246="","",Tabulka_nakup_Vonka[[#This Row],[Počet MJHR v rozpadu]]*Tabulka_nakup_Vonka[[#This Row],[Jedn. hmotnost '[kg/MJHR']]])</f>
        <v/>
      </c>
    </row>
    <row r="247" spans="1:11" x14ac:dyDescent="0.35">
      <c r="A247" s="709" t="str">
        <f>IF('Rozpad zakázky'!E263=0,"",IF('Rozpad zakázky'!E263="-","",'Rozpad zakázky'!E263))</f>
        <v/>
      </c>
      <c r="B247" s="708" t="str">
        <f>IF(A247="","",IF(A247="","",VLOOKUP(A:A,Pomocna_Nakup[],3,0))&amp;" | "&amp;IF(A247="","",VLOOKUP(A:A,Pomocna_Nakup[],4,0)))</f>
        <v/>
      </c>
      <c r="C247" s="710" t="str">
        <f>IF(Tabulka_nakup_Vonka[[#This Row],[Zkratka kalkulační položky]]="","",Tabulka_nakup_Vonka[[#This Row],[Zkratka kalkulační položky]]&amp;" | "&amp;IF(A247="","",VLOOKUP(A:A,Pomocna_Nakup[],2,0)))</f>
        <v/>
      </c>
      <c r="D247" s="710" t="str">
        <f>IF(A247="","",'Rozpad zakázky'!F263)</f>
        <v/>
      </c>
      <c r="E247" s="710" t="str">
        <f>IF(A247="","",'Rozpad zakázky'!D263&amp;IF('Rozpad zakázky'!G263="",""," ("&amp;'Rozpad zakázky'!G263&amp;")"))</f>
        <v/>
      </c>
      <c r="F247" s="709" t="str">
        <f>IF(A247="","",'Rozpad zakázky'!IW263)</f>
        <v/>
      </c>
      <c r="G247" s="711" t="str">
        <f>IF(A247="","",'Rozpad zakázky'!AE263)</f>
        <v/>
      </c>
      <c r="H247" s="717" t="str">
        <f>IF(A247="","",'Rozpad zakázky'!AJ263)</f>
        <v/>
      </c>
      <c r="I247" s="748" t="str">
        <f>IF(A247="","",'Rozpad zakázky'!Q263)</f>
        <v/>
      </c>
      <c r="J247" s="717" t="str">
        <f>IF(A247="","",ROUNDDOWN('Rozpad zakázky'!L263,1))</f>
        <v/>
      </c>
      <c r="K247" s="745" t="str">
        <f>IF(A247="","",Tabulka_nakup_Vonka[[#This Row],[Počet MJHR v rozpadu]]*Tabulka_nakup_Vonka[[#This Row],[Jedn. hmotnost '[kg/MJHR']]])</f>
        <v/>
      </c>
    </row>
    <row r="248" spans="1:11" x14ac:dyDescent="0.35">
      <c r="A248" s="709" t="str">
        <f>IF('Rozpad zakázky'!E264=0,"",IF('Rozpad zakázky'!E264="-","",'Rozpad zakázky'!E264))</f>
        <v/>
      </c>
      <c r="B248" s="708" t="str">
        <f>IF(A248="","",IF(A248="","",VLOOKUP(A:A,Pomocna_Nakup[],3,0))&amp;" | "&amp;IF(A248="","",VLOOKUP(A:A,Pomocna_Nakup[],4,0)))</f>
        <v/>
      </c>
      <c r="C248" s="710" t="str">
        <f>IF(Tabulka_nakup_Vonka[[#This Row],[Zkratka kalkulační položky]]="","",Tabulka_nakup_Vonka[[#This Row],[Zkratka kalkulační položky]]&amp;" | "&amp;IF(A248="","",VLOOKUP(A:A,Pomocna_Nakup[],2,0)))</f>
        <v/>
      </c>
      <c r="D248" s="710" t="str">
        <f>IF(A248="","",'Rozpad zakázky'!F264)</f>
        <v/>
      </c>
      <c r="E248" s="710" t="str">
        <f>IF(A248="","",'Rozpad zakázky'!D264&amp;IF('Rozpad zakázky'!G264="",""," ("&amp;'Rozpad zakázky'!G264&amp;")"))</f>
        <v/>
      </c>
      <c r="F248" s="709" t="str">
        <f>IF(A248="","",'Rozpad zakázky'!IW264)</f>
        <v/>
      </c>
      <c r="G248" s="711" t="str">
        <f>IF(A248="","",'Rozpad zakázky'!AE264)</f>
        <v/>
      </c>
      <c r="H248" s="717" t="str">
        <f>IF(A248="","",'Rozpad zakázky'!AJ264)</f>
        <v/>
      </c>
      <c r="I248" s="748" t="str">
        <f>IF(A248="","",'Rozpad zakázky'!Q264)</f>
        <v/>
      </c>
      <c r="J248" s="717" t="str">
        <f>IF(A248="","",ROUNDDOWN('Rozpad zakázky'!L264,1))</f>
        <v/>
      </c>
      <c r="K248" s="745" t="str">
        <f>IF(A248="","",Tabulka_nakup_Vonka[[#This Row],[Počet MJHR v rozpadu]]*Tabulka_nakup_Vonka[[#This Row],[Jedn. hmotnost '[kg/MJHR']]])</f>
        <v/>
      </c>
    </row>
    <row r="249" spans="1:11" x14ac:dyDescent="0.35">
      <c r="A249" s="709" t="str">
        <f>IF('Rozpad zakázky'!E265=0,"",IF('Rozpad zakázky'!E265="-","",'Rozpad zakázky'!E265))</f>
        <v/>
      </c>
      <c r="B249" s="708" t="str">
        <f>IF(A249="","",IF(A249="","",VLOOKUP(A:A,Pomocna_Nakup[],3,0))&amp;" | "&amp;IF(A249="","",VLOOKUP(A:A,Pomocna_Nakup[],4,0)))</f>
        <v/>
      </c>
      <c r="C249" s="710" t="str">
        <f>IF(Tabulka_nakup_Vonka[[#This Row],[Zkratka kalkulační položky]]="","",Tabulka_nakup_Vonka[[#This Row],[Zkratka kalkulační položky]]&amp;" | "&amp;IF(A249="","",VLOOKUP(A:A,Pomocna_Nakup[],2,0)))</f>
        <v/>
      </c>
      <c r="D249" s="710" t="str">
        <f>IF(A249="","",'Rozpad zakázky'!F265)</f>
        <v/>
      </c>
      <c r="E249" s="710" t="str">
        <f>IF(A249="","",'Rozpad zakázky'!D265&amp;IF('Rozpad zakázky'!G265="",""," ("&amp;'Rozpad zakázky'!G265&amp;")"))</f>
        <v/>
      </c>
      <c r="F249" s="709" t="str">
        <f>IF(A249="","",'Rozpad zakázky'!IW265)</f>
        <v/>
      </c>
      <c r="G249" s="711" t="str">
        <f>IF(A249="","",'Rozpad zakázky'!AE265)</f>
        <v/>
      </c>
      <c r="H249" s="717" t="str">
        <f>IF(A249="","",'Rozpad zakázky'!AJ265)</f>
        <v/>
      </c>
      <c r="I249" s="748" t="str">
        <f>IF(A249="","",'Rozpad zakázky'!Q265)</f>
        <v/>
      </c>
      <c r="J249" s="717" t="str">
        <f>IF(A249="","",ROUNDDOWN('Rozpad zakázky'!L265,1))</f>
        <v/>
      </c>
      <c r="K249" s="745" t="str">
        <f>IF(A249="","",Tabulka_nakup_Vonka[[#This Row],[Počet MJHR v rozpadu]]*Tabulka_nakup_Vonka[[#This Row],[Jedn. hmotnost '[kg/MJHR']]])</f>
        <v/>
      </c>
    </row>
    <row r="250" spans="1:11" x14ac:dyDescent="0.35">
      <c r="A250" s="709" t="str">
        <f>IF('Rozpad zakázky'!E266=0,"",IF('Rozpad zakázky'!E266="-","",'Rozpad zakázky'!E266))</f>
        <v/>
      </c>
      <c r="B250" s="708" t="str">
        <f>IF(A250="","",IF(A250="","",VLOOKUP(A:A,Pomocna_Nakup[],3,0))&amp;" | "&amp;IF(A250="","",VLOOKUP(A:A,Pomocna_Nakup[],4,0)))</f>
        <v/>
      </c>
      <c r="C250" s="710" t="str">
        <f>IF(Tabulka_nakup_Vonka[[#This Row],[Zkratka kalkulační položky]]="","",Tabulka_nakup_Vonka[[#This Row],[Zkratka kalkulační položky]]&amp;" | "&amp;IF(A250="","",VLOOKUP(A:A,Pomocna_Nakup[],2,0)))</f>
        <v/>
      </c>
      <c r="D250" s="710" t="str">
        <f>IF(A250="","",'Rozpad zakázky'!F266)</f>
        <v/>
      </c>
      <c r="E250" s="710" t="str">
        <f>IF(A250="","",'Rozpad zakázky'!D266&amp;IF('Rozpad zakázky'!G266="",""," ("&amp;'Rozpad zakázky'!G266&amp;")"))</f>
        <v/>
      </c>
      <c r="F250" s="709" t="str">
        <f>IF(A250="","",'Rozpad zakázky'!IW266)</f>
        <v/>
      </c>
      <c r="G250" s="711" t="str">
        <f>IF(A250="","",'Rozpad zakázky'!AE266)</f>
        <v/>
      </c>
      <c r="H250" s="717" t="str">
        <f>IF(A250="","",'Rozpad zakázky'!AJ266)</f>
        <v/>
      </c>
      <c r="I250" s="748" t="str">
        <f>IF(A250="","",'Rozpad zakázky'!Q266)</f>
        <v/>
      </c>
      <c r="J250" s="717" t="str">
        <f>IF(A250="","",ROUNDDOWN('Rozpad zakázky'!L266,1))</f>
        <v/>
      </c>
      <c r="K250" s="745" t="str">
        <f>IF(A250="","",Tabulka_nakup_Vonka[[#This Row],[Počet MJHR v rozpadu]]*Tabulka_nakup_Vonka[[#This Row],[Jedn. hmotnost '[kg/MJHR']]])</f>
        <v/>
      </c>
    </row>
    <row r="251" spans="1:11" x14ac:dyDescent="0.35">
      <c r="A251" s="709" t="str">
        <f>IF('Rozpad zakázky'!E267=0,"",IF('Rozpad zakázky'!E267="-","",'Rozpad zakázky'!E267))</f>
        <v/>
      </c>
      <c r="B251" s="708" t="str">
        <f>IF(A251="","",IF(A251="","",VLOOKUP(A:A,Pomocna_Nakup[],3,0))&amp;" | "&amp;IF(A251="","",VLOOKUP(A:A,Pomocna_Nakup[],4,0)))</f>
        <v/>
      </c>
      <c r="C251" s="710" t="str">
        <f>IF(Tabulka_nakup_Vonka[[#This Row],[Zkratka kalkulační položky]]="","",Tabulka_nakup_Vonka[[#This Row],[Zkratka kalkulační položky]]&amp;" | "&amp;IF(A251="","",VLOOKUP(A:A,Pomocna_Nakup[],2,0)))</f>
        <v/>
      </c>
      <c r="D251" s="710" t="str">
        <f>IF(A251="","",'Rozpad zakázky'!F267)</f>
        <v/>
      </c>
      <c r="E251" s="710" t="str">
        <f>IF(A251="","",'Rozpad zakázky'!D267&amp;IF('Rozpad zakázky'!G267="",""," ("&amp;'Rozpad zakázky'!G267&amp;")"))</f>
        <v/>
      </c>
      <c r="F251" s="709" t="str">
        <f>IF(A251="","",'Rozpad zakázky'!IW267)</f>
        <v/>
      </c>
      <c r="G251" s="711" t="str">
        <f>IF(A251="","",'Rozpad zakázky'!AE267)</f>
        <v/>
      </c>
      <c r="H251" s="717" t="str">
        <f>IF(A251="","",'Rozpad zakázky'!AJ267)</f>
        <v/>
      </c>
      <c r="I251" s="748" t="str">
        <f>IF(A251="","",'Rozpad zakázky'!Q267)</f>
        <v/>
      </c>
      <c r="J251" s="717" t="str">
        <f>IF(A251="","",ROUNDDOWN('Rozpad zakázky'!L267,1))</f>
        <v/>
      </c>
      <c r="K251" s="745" t="str">
        <f>IF(A251="","",Tabulka_nakup_Vonka[[#This Row],[Počet MJHR v rozpadu]]*Tabulka_nakup_Vonka[[#This Row],[Jedn. hmotnost '[kg/MJHR']]])</f>
        <v/>
      </c>
    </row>
    <row r="252" spans="1:11" x14ac:dyDescent="0.35">
      <c r="A252" s="709" t="str">
        <f>IF('Rozpad zakázky'!E268=0,"",IF('Rozpad zakázky'!E268="-","",'Rozpad zakázky'!E268))</f>
        <v/>
      </c>
      <c r="B252" s="708" t="str">
        <f>IF(A252="","",IF(A252="","",VLOOKUP(A:A,Pomocna_Nakup[],3,0))&amp;" | "&amp;IF(A252="","",VLOOKUP(A:A,Pomocna_Nakup[],4,0)))</f>
        <v/>
      </c>
      <c r="C252" s="710" t="str">
        <f>IF(Tabulka_nakup_Vonka[[#This Row],[Zkratka kalkulační položky]]="","",Tabulka_nakup_Vonka[[#This Row],[Zkratka kalkulační položky]]&amp;" | "&amp;IF(A252="","",VLOOKUP(A:A,Pomocna_Nakup[],2,0)))</f>
        <v/>
      </c>
      <c r="D252" s="710" t="str">
        <f>IF(A252="","",'Rozpad zakázky'!F268)</f>
        <v/>
      </c>
      <c r="E252" s="710" t="str">
        <f>IF(A252="","",'Rozpad zakázky'!D268&amp;IF('Rozpad zakázky'!G268="",""," ("&amp;'Rozpad zakázky'!G268&amp;")"))</f>
        <v/>
      </c>
      <c r="F252" s="709" t="str">
        <f>IF(A252="","",'Rozpad zakázky'!IW268)</f>
        <v/>
      </c>
      <c r="G252" s="711" t="str">
        <f>IF(A252="","",'Rozpad zakázky'!AE268)</f>
        <v/>
      </c>
      <c r="H252" s="717" t="str">
        <f>IF(A252="","",'Rozpad zakázky'!AJ268)</f>
        <v/>
      </c>
      <c r="I252" s="748" t="str">
        <f>IF(A252="","",'Rozpad zakázky'!Q268)</f>
        <v/>
      </c>
      <c r="J252" s="717" t="str">
        <f>IF(A252="","",ROUNDDOWN('Rozpad zakázky'!L268,1))</f>
        <v/>
      </c>
      <c r="K252" s="745" t="str">
        <f>IF(A252="","",Tabulka_nakup_Vonka[[#This Row],[Počet MJHR v rozpadu]]*Tabulka_nakup_Vonka[[#This Row],[Jedn. hmotnost '[kg/MJHR']]])</f>
        <v/>
      </c>
    </row>
    <row r="253" spans="1:11" x14ac:dyDescent="0.35">
      <c r="A253" s="709" t="str">
        <f>IF('Rozpad zakázky'!E269=0,"",IF('Rozpad zakázky'!E269="-","",'Rozpad zakázky'!E269))</f>
        <v/>
      </c>
      <c r="B253" s="708" t="str">
        <f>IF(A253="","",IF(A253="","",VLOOKUP(A:A,Pomocna_Nakup[],3,0))&amp;" | "&amp;IF(A253="","",VLOOKUP(A:A,Pomocna_Nakup[],4,0)))</f>
        <v/>
      </c>
      <c r="C253" s="710" t="str">
        <f>IF(Tabulka_nakup_Vonka[[#This Row],[Zkratka kalkulační položky]]="","",Tabulka_nakup_Vonka[[#This Row],[Zkratka kalkulační položky]]&amp;" | "&amp;IF(A253="","",VLOOKUP(A:A,Pomocna_Nakup[],2,0)))</f>
        <v/>
      </c>
      <c r="D253" s="710" t="str">
        <f>IF(A253="","",'Rozpad zakázky'!F269)</f>
        <v/>
      </c>
      <c r="E253" s="710" t="str">
        <f>IF(A253="","",'Rozpad zakázky'!D269&amp;IF('Rozpad zakázky'!G269="",""," ("&amp;'Rozpad zakázky'!G269&amp;")"))</f>
        <v/>
      </c>
      <c r="F253" s="709" t="str">
        <f>IF(A253="","",'Rozpad zakázky'!IW269)</f>
        <v/>
      </c>
      <c r="G253" s="711" t="str">
        <f>IF(A253="","",'Rozpad zakázky'!AE269)</f>
        <v/>
      </c>
      <c r="H253" s="717" t="str">
        <f>IF(A253="","",'Rozpad zakázky'!AJ269)</f>
        <v/>
      </c>
      <c r="I253" s="748" t="str">
        <f>IF(A253="","",'Rozpad zakázky'!Q269)</f>
        <v/>
      </c>
      <c r="J253" s="717" t="str">
        <f>IF(A253="","",ROUNDDOWN('Rozpad zakázky'!L269,1))</f>
        <v/>
      </c>
      <c r="K253" s="745" t="str">
        <f>IF(A253="","",Tabulka_nakup_Vonka[[#This Row],[Počet MJHR v rozpadu]]*Tabulka_nakup_Vonka[[#This Row],[Jedn. hmotnost '[kg/MJHR']]])</f>
        <v/>
      </c>
    </row>
    <row r="254" spans="1:11" x14ac:dyDescent="0.35">
      <c r="A254" s="709" t="str">
        <f>IF('Rozpad zakázky'!E270=0,"",IF('Rozpad zakázky'!E270="-","",'Rozpad zakázky'!E270))</f>
        <v/>
      </c>
      <c r="B254" s="708" t="str">
        <f>IF(A254="","",IF(A254="","",VLOOKUP(A:A,Pomocna_Nakup[],3,0))&amp;" | "&amp;IF(A254="","",VLOOKUP(A:A,Pomocna_Nakup[],4,0)))</f>
        <v/>
      </c>
      <c r="C254" s="710" t="str">
        <f>IF(Tabulka_nakup_Vonka[[#This Row],[Zkratka kalkulační položky]]="","",Tabulka_nakup_Vonka[[#This Row],[Zkratka kalkulační položky]]&amp;" | "&amp;IF(A254="","",VLOOKUP(A:A,Pomocna_Nakup[],2,0)))</f>
        <v/>
      </c>
      <c r="D254" s="710" t="str">
        <f>IF(A254="","",'Rozpad zakázky'!F270)</f>
        <v/>
      </c>
      <c r="E254" s="710" t="str">
        <f>IF(A254="","",'Rozpad zakázky'!D270&amp;IF('Rozpad zakázky'!G270="",""," ("&amp;'Rozpad zakázky'!G270&amp;")"))</f>
        <v/>
      </c>
      <c r="F254" s="709" t="str">
        <f>IF(A254="","",'Rozpad zakázky'!IW270)</f>
        <v/>
      </c>
      <c r="G254" s="711" t="str">
        <f>IF(A254="","",'Rozpad zakázky'!AE270)</f>
        <v/>
      </c>
      <c r="H254" s="717" t="str">
        <f>IF(A254="","",'Rozpad zakázky'!AJ270)</f>
        <v/>
      </c>
      <c r="I254" s="748" t="str">
        <f>IF(A254="","",'Rozpad zakázky'!Q270)</f>
        <v/>
      </c>
      <c r="J254" s="717" t="str">
        <f>IF(A254="","",ROUNDDOWN('Rozpad zakázky'!L270,1))</f>
        <v/>
      </c>
      <c r="K254" s="745" t="str">
        <f>IF(A254="","",Tabulka_nakup_Vonka[[#This Row],[Počet MJHR v rozpadu]]*Tabulka_nakup_Vonka[[#This Row],[Jedn. hmotnost '[kg/MJHR']]])</f>
        <v/>
      </c>
    </row>
    <row r="255" spans="1:11" x14ac:dyDescent="0.35">
      <c r="A255" s="709" t="str">
        <f>IF('Rozpad zakázky'!E271=0,"",IF('Rozpad zakázky'!E271="-","",'Rozpad zakázky'!E271))</f>
        <v/>
      </c>
      <c r="B255" s="708" t="str">
        <f>IF(A255="","",IF(A255="","",VLOOKUP(A:A,Pomocna_Nakup[],3,0))&amp;" | "&amp;IF(A255="","",VLOOKUP(A:A,Pomocna_Nakup[],4,0)))</f>
        <v/>
      </c>
      <c r="C255" s="710" t="str">
        <f>IF(Tabulka_nakup_Vonka[[#This Row],[Zkratka kalkulační položky]]="","",Tabulka_nakup_Vonka[[#This Row],[Zkratka kalkulační položky]]&amp;" | "&amp;IF(A255="","",VLOOKUP(A:A,Pomocna_Nakup[],2,0)))</f>
        <v/>
      </c>
      <c r="D255" s="710" t="str">
        <f>IF(A255="","",'Rozpad zakázky'!F271)</f>
        <v/>
      </c>
      <c r="E255" s="710" t="str">
        <f>IF(A255="","",'Rozpad zakázky'!D271&amp;IF('Rozpad zakázky'!G271="",""," ("&amp;'Rozpad zakázky'!G271&amp;")"))</f>
        <v/>
      </c>
      <c r="F255" s="709" t="str">
        <f>IF(A255="","",'Rozpad zakázky'!IW271)</f>
        <v/>
      </c>
      <c r="G255" s="711" t="str">
        <f>IF(A255="","",'Rozpad zakázky'!AE271)</f>
        <v/>
      </c>
      <c r="H255" s="717" t="str">
        <f>IF(A255="","",'Rozpad zakázky'!AJ271)</f>
        <v/>
      </c>
      <c r="I255" s="748" t="str">
        <f>IF(A255="","",'Rozpad zakázky'!Q271)</f>
        <v/>
      </c>
      <c r="J255" s="717" t="str">
        <f>IF(A255="","",ROUNDDOWN('Rozpad zakázky'!L271,1))</f>
        <v/>
      </c>
      <c r="K255" s="745" t="str">
        <f>IF(A255="","",Tabulka_nakup_Vonka[[#This Row],[Počet MJHR v rozpadu]]*Tabulka_nakup_Vonka[[#This Row],[Jedn. hmotnost '[kg/MJHR']]])</f>
        <v/>
      </c>
    </row>
    <row r="256" spans="1:11" x14ac:dyDescent="0.35">
      <c r="A256" s="709" t="str">
        <f>IF('Rozpad zakázky'!E272=0,"",IF('Rozpad zakázky'!E272="-","",'Rozpad zakázky'!E272))</f>
        <v/>
      </c>
      <c r="B256" s="708" t="str">
        <f>IF(A256="","",IF(A256="","",VLOOKUP(A:A,Pomocna_Nakup[],3,0))&amp;" | "&amp;IF(A256="","",VLOOKUP(A:A,Pomocna_Nakup[],4,0)))</f>
        <v/>
      </c>
      <c r="C256" s="710" t="str">
        <f>IF(Tabulka_nakup_Vonka[[#This Row],[Zkratka kalkulační položky]]="","",Tabulka_nakup_Vonka[[#This Row],[Zkratka kalkulační položky]]&amp;" | "&amp;IF(A256="","",VLOOKUP(A:A,Pomocna_Nakup[],2,0)))</f>
        <v/>
      </c>
      <c r="D256" s="710" t="str">
        <f>IF(A256="","",'Rozpad zakázky'!F272)</f>
        <v/>
      </c>
      <c r="E256" s="710" t="str">
        <f>IF(A256="","",'Rozpad zakázky'!D272&amp;IF('Rozpad zakázky'!G272="",""," ("&amp;'Rozpad zakázky'!G272&amp;")"))</f>
        <v/>
      </c>
      <c r="F256" s="709" t="str">
        <f>IF(A256="","",'Rozpad zakázky'!IW272)</f>
        <v/>
      </c>
      <c r="G256" s="711" t="str">
        <f>IF(A256="","",'Rozpad zakázky'!AE272)</f>
        <v/>
      </c>
      <c r="H256" s="717" t="str">
        <f>IF(A256="","",'Rozpad zakázky'!AJ272)</f>
        <v/>
      </c>
      <c r="I256" s="748" t="str">
        <f>IF(A256="","",'Rozpad zakázky'!Q272)</f>
        <v/>
      </c>
      <c r="J256" s="717" t="str">
        <f>IF(A256="","",ROUNDDOWN('Rozpad zakázky'!L272,1))</f>
        <v/>
      </c>
      <c r="K256" s="745" t="str">
        <f>IF(A256="","",Tabulka_nakup_Vonka[[#This Row],[Počet MJHR v rozpadu]]*Tabulka_nakup_Vonka[[#This Row],[Jedn. hmotnost '[kg/MJHR']]])</f>
        <v/>
      </c>
    </row>
    <row r="257" spans="1:11" x14ac:dyDescent="0.35">
      <c r="A257" s="709" t="str">
        <f>IF('Rozpad zakázky'!E273=0,"",IF('Rozpad zakázky'!E273="-","",'Rozpad zakázky'!E273))</f>
        <v/>
      </c>
      <c r="B257" s="708" t="str">
        <f>IF(A257="","",IF(A257="","",VLOOKUP(A:A,Pomocna_Nakup[],3,0))&amp;" | "&amp;IF(A257="","",VLOOKUP(A:A,Pomocna_Nakup[],4,0)))</f>
        <v/>
      </c>
      <c r="C257" s="710" t="str">
        <f>IF(Tabulka_nakup_Vonka[[#This Row],[Zkratka kalkulační položky]]="","",Tabulka_nakup_Vonka[[#This Row],[Zkratka kalkulační položky]]&amp;" | "&amp;IF(A257="","",VLOOKUP(A:A,Pomocna_Nakup[],2,0)))</f>
        <v/>
      </c>
      <c r="D257" s="710" t="str">
        <f>IF(A257="","",'Rozpad zakázky'!F273)</f>
        <v/>
      </c>
      <c r="E257" s="710" t="str">
        <f>IF(A257="","",'Rozpad zakázky'!D273&amp;IF('Rozpad zakázky'!G273="",""," ("&amp;'Rozpad zakázky'!G273&amp;")"))</f>
        <v/>
      </c>
      <c r="F257" s="709" t="str">
        <f>IF(A257="","",'Rozpad zakázky'!IW273)</f>
        <v/>
      </c>
      <c r="G257" s="711" t="str">
        <f>IF(A257="","",'Rozpad zakázky'!AE273)</f>
        <v/>
      </c>
      <c r="H257" s="717" t="str">
        <f>IF(A257="","",'Rozpad zakázky'!AJ273)</f>
        <v/>
      </c>
      <c r="I257" s="748" t="str">
        <f>IF(A257="","",'Rozpad zakázky'!Q273)</f>
        <v/>
      </c>
      <c r="J257" s="717" t="str">
        <f>IF(A257="","",ROUNDDOWN('Rozpad zakázky'!L273,1))</f>
        <v/>
      </c>
      <c r="K257" s="745" t="str">
        <f>IF(A257="","",Tabulka_nakup_Vonka[[#This Row],[Počet MJHR v rozpadu]]*Tabulka_nakup_Vonka[[#This Row],[Jedn. hmotnost '[kg/MJHR']]])</f>
        <v/>
      </c>
    </row>
    <row r="258" spans="1:11" x14ac:dyDescent="0.35">
      <c r="A258" s="709" t="str">
        <f>IF('Rozpad zakázky'!E274=0,"",IF('Rozpad zakázky'!E274="-","",'Rozpad zakázky'!E274))</f>
        <v/>
      </c>
      <c r="B258" s="708" t="str">
        <f>IF(A258="","",IF(A258="","",VLOOKUP(A:A,Pomocna_Nakup[],3,0))&amp;" | "&amp;IF(A258="","",VLOOKUP(A:A,Pomocna_Nakup[],4,0)))</f>
        <v/>
      </c>
      <c r="C258" s="710" t="str">
        <f>IF(Tabulka_nakup_Vonka[[#This Row],[Zkratka kalkulační položky]]="","",Tabulka_nakup_Vonka[[#This Row],[Zkratka kalkulační položky]]&amp;" | "&amp;IF(A258="","",VLOOKUP(A:A,Pomocna_Nakup[],2,0)))</f>
        <v/>
      </c>
      <c r="D258" s="710" t="str">
        <f>IF(A258="","",'Rozpad zakázky'!F274)</f>
        <v/>
      </c>
      <c r="E258" s="710" t="str">
        <f>IF(A258="","",'Rozpad zakázky'!D274&amp;IF('Rozpad zakázky'!G274="",""," ("&amp;'Rozpad zakázky'!G274&amp;")"))</f>
        <v/>
      </c>
      <c r="F258" s="709" t="str">
        <f>IF(A258="","",'Rozpad zakázky'!IW274)</f>
        <v/>
      </c>
      <c r="G258" s="711" t="str">
        <f>IF(A258="","",'Rozpad zakázky'!AE274)</f>
        <v/>
      </c>
      <c r="H258" s="717" t="str">
        <f>IF(A258="","",'Rozpad zakázky'!AJ274)</f>
        <v/>
      </c>
      <c r="I258" s="748" t="str">
        <f>IF(A258="","",'Rozpad zakázky'!Q274)</f>
        <v/>
      </c>
      <c r="J258" s="717" t="str">
        <f>IF(A258="","",ROUNDDOWN('Rozpad zakázky'!L274,1))</f>
        <v/>
      </c>
      <c r="K258" s="745" t="str">
        <f>IF(A258="","",Tabulka_nakup_Vonka[[#This Row],[Počet MJHR v rozpadu]]*Tabulka_nakup_Vonka[[#This Row],[Jedn. hmotnost '[kg/MJHR']]])</f>
        <v/>
      </c>
    </row>
    <row r="259" spans="1:11" x14ac:dyDescent="0.35">
      <c r="A259" s="709" t="str">
        <f>IF('Rozpad zakázky'!E275=0,"",IF('Rozpad zakázky'!E275="-","",'Rozpad zakázky'!E275))</f>
        <v/>
      </c>
      <c r="B259" s="708" t="str">
        <f>IF(A259="","",IF(A259="","",VLOOKUP(A:A,Pomocna_Nakup[],3,0))&amp;" | "&amp;IF(A259="","",VLOOKUP(A:A,Pomocna_Nakup[],4,0)))</f>
        <v/>
      </c>
      <c r="C259" s="710" t="str">
        <f>IF(Tabulka_nakup_Vonka[[#This Row],[Zkratka kalkulační položky]]="","",Tabulka_nakup_Vonka[[#This Row],[Zkratka kalkulační položky]]&amp;" | "&amp;IF(A259="","",VLOOKUP(A:A,Pomocna_Nakup[],2,0)))</f>
        <v/>
      </c>
      <c r="D259" s="710" t="str">
        <f>IF(A259="","",'Rozpad zakázky'!F275)</f>
        <v/>
      </c>
      <c r="E259" s="710" t="str">
        <f>IF(A259="","",'Rozpad zakázky'!D275&amp;IF('Rozpad zakázky'!G275="",""," ("&amp;'Rozpad zakázky'!G275&amp;")"))</f>
        <v/>
      </c>
      <c r="F259" s="709" t="str">
        <f>IF(A259="","",'Rozpad zakázky'!IW275)</f>
        <v/>
      </c>
      <c r="G259" s="711" t="str">
        <f>IF(A259="","",'Rozpad zakázky'!AE275)</f>
        <v/>
      </c>
      <c r="H259" s="717" t="str">
        <f>IF(A259="","",'Rozpad zakázky'!AJ275)</f>
        <v/>
      </c>
      <c r="I259" s="748" t="str">
        <f>IF(A259="","",'Rozpad zakázky'!Q275)</f>
        <v/>
      </c>
      <c r="J259" s="717" t="str">
        <f>IF(A259="","",ROUNDDOWN('Rozpad zakázky'!L275,1))</f>
        <v/>
      </c>
      <c r="K259" s="745" t="str">
        <f>IF(A259="","",Tabulka_nakup_Vonka[[#This Row],[Počet MJHR v rozpadu]]*Tabulka_nakup_Vonka[[#This Row],[Jedn. hmotnost '[kg/MJHR']]])</f>
        <v/>
      </c>
    </row>
    <row r="260" spans="1:11" x14ac:dyDescent="0.35">
      <c r="A260" s="709" t="str">
        <f>IF('Rozpad zakázky'!E276=0,"",IF('Rozpad zakázky'!E276="-","",'Rozpad zakázky'!E276))</f>
        <v/>
      </c>
      <c r="B260" s="708" t="str">
        <f>IF(A260="","",IF(A260="","",VLOOKUP(A:A,Pomocna_Nakup[],3,0))&amp;" | "&amp;IF(A260="","",VLOOKUP(A:A,Pomocna_Nakup[],4,0)))</f>
        <v/>
      </c>
      <c r="C260" s="710" t="str">
        <f>IF(Tabulka_nakup_Vonka[[#This Row],[Zkratka kalkulační položky]]="","",Tabulka_nakup_Vonka[[#This Row],[Zkratka kalkulační položky]]&amp;" | "&amp;IF(A260="","",VLOOKUP(A:A,Pomocna_Nakup[],2,0)))</f>
        <v/>
      </c>
      <c r="D260" s="710" t="str">
        <f>IF(A260="","",'Rozpad zakázky'!F276)</f>
        <v/>
      </c>
      <c r="E260" s="710" t="str">
        <f>IF(A260="","",'Rozpad zakázky'!D276&amp;IF('Rozpad zakázky'!G276="",""," ("&amp;'Rozpad zakázky'!G276&amp;")"))</f>
        <v/>
      </c>
      <c r="F260" s="709" t="str">
        <f>IF(A260="","",'Rozpad zakázky'!IW276)</f>
        <v/>
      </c>
      <c r="G260" s="711" t="str">
        <f>IF(A260="","",'Rozpad zakázky'!AE276)</f>
        <v/>
      </c>
      <c r="H260" s="717" t="str">
        <f>IF(A260="","",'Rozpad zakázky'!AJ276)</f>
        <v/>
      </c>
      <c r="I260" s="748" t="str">
        <f>IF(A260="","",'Rozpad zakázky'!Q276)</f>
        <v/>
      </c>
      <c r="J260" s="717" t="str">
        <f>IF(A260="","",ROUNDDOWN('Rozpad zakázky'!L276,1))</f>
        <v/>
      </c>
      <c r="K260" s="745" t="str">
        <f>IF(A260="","",Tabulka_nakup_Vonka[[#This Row],[Počet MJHR v rozpadu]]*Tabulka_nakup_Vonka[[#This Row],[Jedn. hmotnost '[kg/MJHR']]])</f>
        <v/>
      </c>
    </row>
    <row r="261" spans="1:11" x14ac:dyDescent="0.35">
      <c r="A261" s="709" t="str">
        <f>IF('Rozpad zakázky'!E277=0,"",IF('Rozpad zakázky'!E277="-","",'Rozpad zakázky'!E277))</f>
        <v/>
      </c>
      <c r="B261" s="708" t="str">
        <f>IF(A261="","",IF(A261="","",VLOOKUP(A:A,Pomocna_Nakup[],3,0))&amp;" | "&amp;IF(A261="","",VLOOKUP(A:A,Pomocna_Nakup[],4,0)))</f>
        <v/>
      </c>
      <c r="C261" s="710" t="str">
        <f>IF(Tabulka_nakup_Vonka[[#This Row],[Zkratka kalkulační položky]]="","",Tabulka_nakup_Vonka[[#This Row],[Zkratka kalkulační položky]]&amp;" | "&amp;IF(A261="","",VLOOKUP(A:A,Pomocna_Nakup[],2,0)))</f>
        <v/>
      </c>
      <c r="D261" s="710" t="str">
        <f>IF(A261="","",'Rozpad zakázky'!F277)</f>
        <v/>
      </c>
      <c r="E261" s="710" t="str">
        <f>IF(A261="","",'Rozpad zakázky'!D277&amp;IF('Rozpad zakázky'!G277="",""," ("&amp;'Rozpad zakázky'!G277&amp;")"))</f>
        <v/>
      </c>
      <c r="F261" s="709" t="str">
        <f>IF(A261="","",'Rozpad zakázky'!IW277)</f>
        <v/>
      </c>
      <c r="G261" s="711" t="str">
        <f>IF(A261="","",'Rozpad zakázky'!AE277)</f>
        <v/>
      </c>
      <c r="H261" s="717" t="str">
        <f>IF(A261="","",'Rozpad zakázky'!AJ277)</f>
        <v/>
      </c>
      <c r="I261" s="748" t="str">
        <f>IF(A261="","",'Rozpad zakázky'!Q277)</f>
        <v/>
      </c>
      <c r="J261" s="717" t="str">
        <f>IF(A261="","",ROUNDDOWN('Rozpad zakázky'!L277,1))</f>
        <v/>
      </c>
      <c r="K261" s="745" t="str">
        <f>IF(A261="","",Tabulka_nakup_Vonka[[#This Row],[Počet MJHR v rozpadu]]*Tabulka_nakup_Vonka[[#This Row],[Jedn. hmotnost '[kg/MJHR']]])</f>
        <v/>
      </c>
    </row>
    <row r="262" spans="1:11" x14ac:dyDescent="0.35">
      <c r="A262" s="709" t="str">
        <f>IF('Rozpad zakázky'!E278=0,"",IF('Rozpad zakázky'!E278="-","",'Rozpad zakázky'!E278))</f>
        <v/>
      </c>
      <c r="B262" s="708" t="str">
        <f>IF(A262="","",IF(A262="","",VLOOKUP(A:A,Pomocna_Nakup[],3,0))&amp;" | "&amp;IF(A262="","",VLOOKUP(A:A,Pomocna_Nakup[],4,0)))</f>
        <v/>
      </c>
      <c r="C262" s="710" t="str">
        <f>IF(Tabulka_nakup_Vonka[[#This Row],[Zkratka kalkulační položky]]="","",Tabulka_nakup_Vonka[[#This Row],[Zkratka kalkulační položky]]&amp;" | "&amp;IF(A262="","",VLOOKUP(A:A,Pomocna_Nakup[],2,0)))</f>
        <v/>
      </c>
      <c r="D262" s="710" t="str">
        <f>IF(A262="","",'Rozpad zakázky'!F278)</f>
        <v/>
      </c>
      <c r="E262" s="710" t="str">
        <f>IF(A262="","",'Rozpad zakázky'!D278&amp;IF('Rozpad zakázky'!G278="",""," ("&amp;'Rozpad zakázky'!G278&amp;")"))</f>
        <v/>
      </c>
      <c r="F262" s="709" t="str">
        <f>IF(A262="","",'Rozpad zakázky'!IW278)</f>
        <v/>
      </c>
      <c r="G262" s="711" t="str">
        <f>IF(A262="","",'Rozpad zakázky'!AE278)</f>
        <v/>
      </c>
      <c r="H262" s="717" t="str">
        <f>IF(A262="","",'Rozpad zakázky'!AJ278)</f>
        <v/>
      </c>
      <c r="I262" s="748" t="str">
        <f>IF(A262="","",'Rozpad zakázky'!Q278)</f>
        <v/>
      </c>
      <c r="J262" s="717" t="str">
        <f>IF(A262="","",ROUNDDOWN('Rozpad zakázky'!L278,1))</f>
        <v/>
      </c>
      <c r="K262" s="745" t="str">
        <f>IF(A262="","",Tabulka_nakup_Vonka[[#This Row],[Počet MJHR v rozpadu]]*Tabulka_nakup_Vonka[[#This Row],[Jedn. hmotnost '[kg/MJHR']]])</f>
        <v/>
      </c>
    </row>
    <row r="263" spans="1:11" x14ac:dyDescent="0.35">
      <c r="A263" s="709" t="str">
        <f>IF('Rozpad zakázky'!E279=0,"",IF('Rozpad zakázky'!E279="-","",'Rozpad zakázky'!E279))</f>
        <v/>
      </c>
      <c r="B263" s="708" t="str">
        <f>IF(A263="","",IF(A263="","",VLOOKUP(A:A,Pomocna_Nakup[],3,0))&amp;" | "&amp;IF(A263="","",VLOOKUP(A:A,Pomocna_Nakup[],4,0)))</f>
        <v/>
      </c>
      <c r="C263" s="710" t="str">
        <f>IF(Tabulka_nakup_Vonka[[#This Row],[Zkratka kalkulační položky]]="","",Tabulka_nakup_Vonka[[#This Row],[Zkratka kalkulační položky]]&amp;" | "&amp;IF(A263="","",VLOOKUP(A:A,Pomocna_Nakup[],2,0)))</f>
        <v/>
      </c>
      <c r="D263" s="710" t="str">
        <f>IF(A263="","",'Rozpad zakázky'!F279)</f>
        <v/>
      </c>
      <c r="E263" s="710" t="str">
        <f>IF(A263="","",'Rozpad zakázky'!D279&amp;IF('Rozpad zakázky'!G279="",""," ("&amp;'Rozpad zakázky'!G279&amp;")"))</f>
        <v/>
      </c>
      <c r="F263" s="709" t="str">
        <f>IF(A263="","",'Rozpad zakázky'!IW279)</f>
        <v/>
      </c>
      <c r="G263" s="711" t="str">
        <f>IF(A263="","",'Rozpad zakázky'!AE279)</f>
        <v/>
      </c>
      <c r="H263" s="717" t="str">
        <f>IF(A263="","",'Rozpad zakázky'!AJ279)</f>
        <v/>
      </c>
      <c r="I263" s="748" t="str">
        <f>IF(A263="","",'Rozpad zakázky'!Q279)</f>
        <v/>
      </c>
      <c r="J263" s="717" t="str">
        <f>IF(A263="","",ROUNDDOWN('Rozpad zakázky'!L279,1))</f>
        <v/>
      </c>
      <c r="K263" s="745" t="str">
        <f>IF(A263="","",Tabulka_nakup_Vonka[[#This Row],[Počet MJHR v rozpadu]]*Tabulka_nakup_Vonka[[#This Row],[Jedn. hmotnost '[kg/MJHR']]])</f>
        <v/>
      </c>
    </row>
    <row r="264" spans="1:11" x14ac:dyDescent="0.35">
      <c r="A264" s="709" t="str">
        <f>IF('Rozpad zakázky'!E280=0,"",IF('Rozpad zakázky'!E280="-","",'Rozpad zakázky'!E280))</f>
        <v/>
      </c>
      <c r="B264" s="708" t="str">
        <f>IF(A264="","",IF(A264="","",VLOOKUP(A:A,Pomocna_Nakup[],3,0))&amp;" | "&amp;IF(A264="","",VLOOKUP(A:A,Pomocna_Nakup[],4,0)))</f>
        <v/>
      </c>
      <c r="C264" s="710" t="str">
        <f>IF(Tabulka_nakup_Vonka[[#This Row],[Zkratka kalkulační položky]]="","",Tabulka_nakup_Vonka[[#This Row],[Zkratka kalkulační položky]]&amp;" | "&amp;IF(A264="","",VLOOKUP(A:A,Pomocna_Nakup[],2,0)))</f>
        <v/>
      </c>
      <c r="D264" s="710" t="str">
        <f>IF(A264="","",'Rozpad zakázky'!F280)</f>
        <v/>
      </c>
      <c r="E264" s="710" t="str">
        <f>IF(A264="","",'Rozpad zakázky'!D280&amp;IF('Rozpad zakázky'!G280="",""," ("&amp;'Rozpad zakázky'!G280&amp;")"))</f>
        <v/>
      </c>
      <c r="F264" s="709" t="str">
        <f>IF(A264="","",'Rozpad zakázky'!IW280)</f>
        <v/>
      </c>
      <c r="G264" s="711" t="str">
        <f>IF(A264="","",'Rozpad zakázky'!AE280)</f>
        <v/>
      </c>
      <c r="H264" s="717" t="str">
        <f>IF(A264="","",'Rozpad zakázky'!AJ280)</f>
        <v/>
      </c>
      <c r="I264" s="748" t="str">
        <f>IF(A264="","",'Rozpad zakázky'!Q280)</f>
        <v/>
      </c>
      <c r="J264" s="717" t="str">
        <f>IF(A264="","",ROUNDDOWN('Rozpad zakázky'!L280,1))</f>
        <v/>
      </c>
      <c r="K264" s="745" t="str">
        <f>IF(A264="","",Tabulka_nakup_Vonka[[#This Row],[Počet MJHR v rozpadu]]*Tabulka_nakup_Vonka[[#This Row],[Jedn. hmotnost '[kg/MJHR']]])</f>
        <v/>
      </c>
    </row>
    <row r="265" spans="1:11" x14ac:dyDescent="0.35">
      <c r="A265" s="709" t="str">
        <f>IF('Rozpad zakázky'!E281=0,"",IF('Rozpad zakázky'!E281="-","",'Rozpad zakázky'!E281))</f>
        <v/>
      </c>
      <c r="B265" s="708" t="str">
        <f>IF(A265="","",IF(A265="","",VLOOKUP(A:A,Pomocna_Nakup[],3,0))&amp;" | "&amp;IF(A265="","",VLOOKUP(A:A,Pomocna_Nakup[],4,0)))</f>
        <v/>
      </c>
      <c r="C265" s="710" t="str">
        <f>IF(Tabulka_nakup_Vonka[[#This Row],[Zkratka kalkulační položky]]="","",Tabulka_nakup_Vonka[[#This Row],[Zkratka kalkulační položky]]&amp;" | "&amp;IF(A265="","",VLOOKUP(A:A,Pomocna_Nakup[],2,0)))</f>
        <v/>
      </c>
      <c r="D265" s="710" t="str">
        <f>IF(A265="","",'Rozpad zakázky'!F281)</f>
        <v/>
      </c>
      <c r="E265" s="710" t="str">
        <f>IF(A265="","",'Rozpad zakázky'!D281&amp;IF('Rozpad zakázky'!G281="",""," ("&amp;'Rozpad zakázky'!G281&amp;")"))</f>
        <v/>
      </c>
      <c r="F265" s="709" t="str">
        <f>IF(A265="","",'Rozpad zakázky'!IW281)</f>
        <v/>
      </c>
      <c r="G265" s="711" t="str">
        <f>IF(A265="","",'Rozpad zakázky'!AE281)</f>
        <v/>
      </c>
      <c r="H265" s="717" t="str">
        <f>IF(A265="","",'Rozpad zakázky'!AJ281)</f>
        <v/>
      </c>
      <c r="I265" s="748" t="str">
        <f>IF(A265="","",'Rozpad zakázky'!Q281)</f>
        <v/>
      </c>
      <c r="J265" s="717" t="str">
        <f>IF(A265="","",ROUNDDOWN('Rozpad zakázky'!L281,1))</f>
        <v/>
      </c>
      <c r="K265" s="745" t="str">
        <f>IF(A265="","",Tabulka_nakup_Vonka[[#This Row],[Počet MJHR v rozpadu]]*Tabulka_nakup_Vonka[[#This Row],[Jedn. hmotnost '[kg/MJHR']]])</f>
        <v/>
      </c>
    </row>
    <row r="266" spans="1:11" x14ac:dyDescent="0.35">
      <c r="A266" s="709" t="str">
        <f>IF('Rozpad zakázky'!E282=0,"",IF('Rozpad zakázky'!E282="-","",'Rozpad zakázky'!E282))</f>
        <v/>
      </c>
      <c r="B266" s="708" t="str">
        <f>IF(A266="","",IF(A266="","",VLOOKUP(A:A,Pomocna_Nakup[],3,0))&amp;" | "&amp;IF(A266="","",VLOOKUP(A:A,Pomocna_Nakup[],4,0)))</f>
        <v/>
      </c>
      <c r="C266" s="710" t="str">
        <f>IF(Tabulka_nakup_Vonka[[#This Row],[Zkratka kalkulační položky]]="","",Tabulka_nakup_Vonka[[#This Row],[Zkratka kalkulační položky]]&amp;" | "&amp;IF(A266="","",VLOOKUP(A:A,Pomocna_Nakup[],2,0)))</f>
        <v/>
      </c>
      <c r="D266" s="710" t="str">
        <f>IF(A266="","",'Rozpad zakázky'!F282)</f>
        <v/>
      </c>
      <c r="E266" s="710" t="str">
        <f>IF(A266="","",'Rozpad zakázky'!D282&amp;IF('Rozpad zakázky'!G282="",""," ("&amp;'Rozpad zakázky'!G282&amp;")"))</f>
        <v/>
      </c>
      <c r="F266" s="709" t="str">
        <f>IF(A266="","",'Rozpad zakázky'!IW282)</f>
        <v/>
      </c>
      <c r="G266" s="711" t="str">
        <f>IF(A266="","",'Rozpad zakázky'!AE282)</f>
        <v/>
      </c>
      <c r="H266" s="717" t="str">
        <f>IF(A266="","",'Rozpad zakázky'!AJ282)</f>
        <v/>
      </c>
      <c r="I266" s="748" t="str">
        <f>IF(A266="","",'Rozpad zakázky'!Q282)</f>
        <v/>
      </c>
      <c r="J266" s="717" t="str">
        <f>IF(A266="","",ROUNDDOWN('Rozpad zakázky'!L282,1))</f>
        <v/>
      </c>
      <c r="K266" s="745" t="str">
        <f>IF(A266="","",Tabulka_nakup_Vonka[[#This Row],[Počet MJHR v rozpadu]]*Tabulka_nakup_Vonka[[#This Row],[Jedn. hmotnost '[kg/MJHR']]])</f>
        <v/>
      </c>
    </row>
    <row r="267" spans="1:11" x14ac:dyDescent="0.35">
      <c r="A267" s="709" t="str">
        <f>IF('Rozpad zakázky'!E283=0,"",IF('Rozpad zakázky'!E283="-","",'Rozpad zakázky'!E283))</f>
        <v/>
      </c>
      <c r="B267" s="708" t="str">
        <f>IF(A267="","",IF(A267="","",VLOOKUP(A:A,Pomocna_Nakup[],3,0))&amp;" | "&amp;IF(A267="","",VLOOKUP(A:A,Pomocna_Nakup[],4,0)))</f>
        <v/>
      </c>
      <c r="C267" s="710" t="str">
        <f>IF(Tabulka_nakup_Vonka[[#This Row],[Zkratka kalkulační položky]]="","",Tabulka_nakup_Vonka[[#This Row],[Zkratka kalkulační položky]]&amp;" | "&amp;IF(A267="","",VLOOKUP(A:A,Pomocna_Nakup[],2,0)))</f>
        <v/>
      </c>
      <c r="D267" s="710" t="str">
        <f>IF(A267="","",'Rozpad zakázky'!F283)</f>
        <v/>
      </c>
      <c r="E267" s="710" t="str">
        <f>IF(A267="","",'Rozpad zakázky'!D283&amp;IF('Rozpad zakázky'!G283="",""," ("&amp;'Rozpad zakázky'!G283&amp;")"))</f>
        <v/>
      </c>
      <c r="F267" s="709" t="str">
        <f>IF(A267="","",'Rozpad zakázky'!IW283)</f>
        <v/>
      </c>
      <c r="G267" s="711" t="str">
        <f>IF(A267="","",'Rozpad zakázky'!AE283)</f>
        <v/>
      </c>
      <c r="H267" s="717" t="str">
        <f>IF(A267="","",'Rozpad zakázky'!AJ283)</f>
        <v/>
      </c>
      <c r="I267" s="748" t="str">
        <f>IF(A267="","",'Rozpad zakázky'!Q283)</f>
        <v/>
      </c>
      <c r="J267" s="717" t="str">
        <f>IF(A267="","",ROUNDDOWN('Rozpad zakázky'!L283,1))</f>
        <v/>
      </c>
      <c r="K267" s="745" t="str">
        <f>IF(A267="","",Tabulka_nakup_Vonka[[#This Row],[Počet MJHR v rozpadu]]*Tabulka_nakup_Vonka[[#This Row],[Jedn. hmotnost '[kg/MJHR']]])</f>
        <v/>
      </c>
    </row>
    <row r="268" spans="1:11" x14ac:dyDescent="0.35">
      <c r="A268" s="709" t="str">
        <f>IF('Rozpad zakázky'!E284=0,"",IF('Rozpad zakázky'!E284="-","",'Rozpad zakázky'!E284))</f>
        <v/>
      </c>
      <c r="B268" s="708" t="str">
        <f>IF(A268="","",IF(A268="","",VLOOKUP(A:A,Pomocna_Nakup[],3,0))&amp;" | "&amp;IF(A268="","",VLOOKUP(A:A,Pomocna_Nakup[],4,0)))</f>
        <v/>
      </c>
      <c r="C268" s="710" t="str">
        <f>IF(Tabulka_nakup_Vonka[[#This Row],[Zkratka kalkulační položky]]="","",Tabulka_nakup_Vonka[[#This Row],[Zkratka kalkulační položky]]&amp;" | "&amp;IF(A268="","",VLOOKUP(A:A,Pomocna_Nakup[],2,0)))</f>
        <v/>
      </c>
      <c r="D268" s="710" t="str">
        <f>IF(A268="","",'Rozpad zakázky'!F284)</f>
        <v/>
      </c>
      <c r="E268" s="710" t="str">
        <f>IF(A268="","",'Rozpad zakázky'!D284&amp;IF('Rozpad zakázky'!G284="",""," ("&amp;'Rozpad zakázky'!G284&amp;")"))</f>
        <v/>
      </c>
      <c r="F268" s="709" t="str">
        <f>IF(A268="","",'Rozpad zakázky'!IW284)</f>
        <v/>
      </c>
      <c r="G268" s="711" t="str">
        <f>IF(A268="","",'Rozpad zakázky'!AE284)</f>
        <v/>
      </c>
      <c r="H268" s="717" t="str">
        <f>IF(A268="","",'Rozpad zakázky'!AJ284)</f>
        <v/>
      </c>
      <c r="I268" s="748" t="str">
        <f>IF(A268="","",'Rozpad zakázky'!Q284)</f>
        <v/>
      </c>
      <c r="J268" s="717" t="str">
        <f>IF(A268="","",ROUNDDOWN('Rozpad zakázky'!L284,1))</f>
        <v/>
      </c>
      <c r="K268" s="745" t="str">
        <f>IF(A268="","",Tabulka_nakup_Vonka[[#This Row],[Počet MJHR v rozpadu]]*Tabulka_nakup_Vonka[[#This Row],[Jedn. hmotnost '[kg/MJHR']]])</f>
        <v/>
      </c>
    </row>
    <row r="269" spans="1:11" x14ac:dyDescent="0.35">
      <c r="A269" s="709" t="str">
        <f>IF('Rozpad zakázky'!E285=0,"",IF('Rozpad zakázky'!E285="-","",'Rozpad zakázky'!E285))</f>
        <v/>
      </c>
      <c r="B269" s="708" t="str">
        <f>IF(A269="","",IF(A269="","",VLOOKUP(A:A,Pomocna_Nakup[],3,0))&amp;" | "&amp;IF(A269="","",VLOOKUP(A:A,Pomocna_Nakup[],4,0)))</f>
        <v/>
      </c>
      <c r="C269" s="710" t="str">
        <f>IF(Tabulka_nakup_Vonka[[#This Row],[Zkratka kalkulační položky]]="","",Tabulka_nakup_Vonka[[#This Row],[Zkratka kalkulační položky]]&amp;" | "&amp;IF(A269="","",VLOOKUP(A:A,Pomocna_Nakup[],2,0)))</f>
        <v/>
      </c>
      <c r="D269" s="710" t="str">
        <f>IF(A269="","",'Rozpad zakázky'!F285)</f>
        <v/>
      </c>
      <c r="E269" s="710" t="str">
        <f>IF(A269="","",'Rozpad zakázky'!D285&amp;IF('Rozpad zakázky'!G285="",""," ("&amp;'Rozpad zakázky'!G285&amp;")"))</f>
        <v/>
      </c>
      <c r="F269" s="709" t="str">
        <f>IF(A269="","",'Rozpad zakázky'!IW285)</f>
        <v/>
      </c>
      <c r="G269" s="711" t="str">
        <f>IF(A269="","",'Rozpad zakázky'!AE285)</f>
        <v/>
      </c>
      <c r="H269" s="717" t="str">
        <f>IF(A269="","",'Rozpad zakázky'!AJ285)</f>
        <v/>
      </c>
      <c r="I269" s="748" t="str">
        <f>IF(A269="","",'Rozpad zakázky'!Q285)</f>
        <v/>
      </c>
      <c r="J269" s="717" t="str">
        <f>IF(A269="","",ROUNDDOWN('Rozpad zakázky'!L285,1))</f>
        <v/>
      </c>
      <c r="K269" s="745" t="str">
        <f>IF(A269="","",Tabulka_nakup_Vonka[[#This Row],[Počet MJHR v rozpadu]]*Tabulka_nakup_Vonka[[#This Row],[Jedn. hmotnost '[kg/MJHR']]])</f>
        <v/>
      </c>
    </row>
    <row r="270" spans="1:11" x14ac:dyDescent="0.35">
      <c r="A270" s="709" t="str">
        <f>IF('Rozpad zakázky'!E286=0,"",IF('Rozpad zakázky'!E286="-","",'Rozpad zakázky'!E286))</f>
        <v/>
      </c>
      <c r="B270" s="708" t="str">
        <f>IF(A270="","",IF(A270="","",VLOOKUP(A:A,Pomocna_Nakup[],3,0))&amp;" | "&amp;IF(A270="","",VLOOKUP(A:A,Pomocna_Nakup[],4,0)))</f>
        <v/>
      </c>
      <c r="C270" s="710" t="str">
        <f>IF(Tabulka_nakup_Vonka[[#This Row],[Zkratka kalkulační položky]]="","",Tabulka_nakup_Vonka[[#This Row],[Zkratka kalkulační položky]]&amp;" | "&amp;IF(A270="","",VLOOKUP(A:A,Pomocna_Nakup[],2,0)))</f>
        <v/>
      </c>
      <c r="D270" s="710" t="str">
        <f>IF(A270="","",'Rozpad zakázky'!F286)</f>
        <v/>
      </c>
      <c r="E270" s="710" t="str">
        <f>IF(A270="","",'Rozpad zakázky'!D286&amp;IF('Rozpad zakázky'!G286="",""," ("&amp;'Rozpad zakázky'!G286&amp;")"))</f>
        <v/>
      </c>
      <c r="F270" s="709" t="str">
        <f>IF(A270="","",'Rozpad zakázky'!IW286)</f>
        <v/>
      </c>
      <c r="G270" s="711" t="str">
        <f>IF(A270="","",'Rozpad zakázky'!AE286)</f>
        <v/>
      </c>
      <c r="H270" s="717" t="str">
        <f>IF(A270="","",'Rozpad zakázky'!AJ286)</f>
        <v/>
      </c>
      <c r="I270" s="748" t="str">
        <f>IF(A270="","",'Rozpad zakázky'!Q286)</f>
        <v/>
      </c>
      <c r="J270" s="717" t="str">
        <f>IF(A270="","",ROUNDDOWN('Rozpad zakázky'!L286,1))</f>
        <v/>
      </c>
      <c r="K270" s="745" t="str">
        <f>IF(A270="","",Tabulka_nakup_Vonka[[#This Row],[Počet MJHR v rozpadu]]*Tabulka_nakup_Vonka[[#This Row],[Jedn. hmotnost '[kg/MJHR']]])</f>
        <v/>
      </c>
    </row>
    <row r="271" spans="1:11" x14ac:dyDescent="0.35">
      <c r="A271" s="709" t="str">
        <f>IF('Rozpad zakázky'!E287=0,"",IF('Rozpad zakázky'!E287="-","",'Rozpad zakázky'!E287))</f>
        <v/>
      </c>
      <c r="B271" s="708" t="str">
        <f>IF(A271="","",IF(A271="","",VLOOKUP(A:A,Pomocna_Nakup[],3,0))&amp;" | "&amp;IF(A271="","",VLOOKUP(A:A,Pomocna_Nakup[],4,0)))</f>
        <v/>
      </c>
      <c r="C271" s="710" t="str">
        <f>IF(Tabulka_nakup_Vonka[[#This Row],[Zkratka kalkulační položky]]="","",Tabulka_nakup_Vonka[[#This Row],[Zkratka kalkulační položky]]&amp;" | "&amp;IF(A271="","",VLOOKUP(A:A,Pomocna_Nakup[],2,0)))</f>
        <v/>
      </c>
      <c r="D271" s="710" t="str">
        <f>IF(A271="","",'Rozpad zakázky'!F287)</f>
        <v/>
      </c>
      <c r="E271" s="710" t="str">
        <f>IF(A271="","",'Rozpad zakázky'!D287&amp;IF('Rozpad zakázky'!G287="",""," ("&amp;'Rozpad zakázky'!G287&amp;")"))</f>
        <v/>
      </c>
      <c r="F271" s="709" t="str">
        <f>IF(A271="","",'Rozpad zakázky'!IW287)</f>
        <v/>
      </c>
      <c r="G271" s="711" t="str">
        <f>IF(A271="","",'Rozpad zakázky'!AE287)</f>
        <v/>
      </c>
      <c r="H271" s="717" t="str">
        <f>IF(A271="","",'Rozpad zakázky'!AJ287)</f>
        <v/>
      </c>
      <c r="I271" s="748" t="str">
        <f>IF(A271="","",'Rozpad zakázky'!Q287)</f>
        <v/>
      </c>
      <c r="J271" s="717" t="str">
        <f>IF(A271="","",ROUNDDOWN('Rozpad zakázky'!L287,1))</f>
        <v/>
      </c>
      <c r="K271" s="745" t="str">
        <f>IF(A271="","",Tabulka_nakup_Vonka[[#This Row],[Počet MJHR v rozpadu]]*Tabulka_nakup_Vonka[[#This Row],[Jedn. hmotnost '[kg/MJHR']]])</f>
        <v/>
      </c>
    </row>
    <row r="272" spans="1:11" x14ac:dyDescent="0.35">
      <c r="A272" s="709" t="str">
        <f>IF('Rozpad zakázky'!E288=0,"",IF('Rozpad zakázky'!E288="-","",'Rozpad zakázky'!E288))</f>
        <v/>
      </c>
      <c r="B272" s="708" t="str">
        <f>IF(A272="","",IF(A272="","",VLOOKUP(A:A,Pomocna_Nakup[],3,0))&amp;" | "&amp;IF(A272="","",VLOOKUP(A:A,Pomocna_Nakup[],4,0)))</f>
        <v/>
      </c>
      <c r="C272" s="710" t="str">
        <f>IF(Tabulka_nakup_Vonka[[#This Row],[Zkratka kalkulační položky]]="","",Tabulka_nakup_Vonka[[#This Row],[Zkratka kalkulační položky]]&amp;" | "&amp;IF(A272="","",VLOOKUP(A:A,Pomocna_Nakup[],2,0)))</f>
        <v/>
      </c>
      <c r="D272" s="710" t="str">
        <f>IF(A272="","",'Rozpad zakázky'!F288)</f>
        <v/>
      </c>
      <c r="E272" s="710" t="str">
        <f>IF(A272="","",'Rozpad zakázky'!D288&amp;IF('Rozpad zakázky'!G288="",""," ("&amp;'Rozpad zakázky'!G288&amp;")"))</f>
        <v/>
      </c>
      <c r="F272" s="709" t="str">
        <f>IF(A272="","",'Rozpad zakázky'!IW288)</f>
        <v/>
      </c>
      <c r="G272" s="711" t="str">
        <f>IF(A272="","",'Rozpad zakázky'!AE288)</f>
        <v/>
      </c>
      <c r="H272" s="717" t="str">
        <f>IF(A272="","",'Rozpad zakázky'!AJ288)</f>
        <v/>
      </c>
      <c r="I272" s="748" t="str">
        <f>IF(A272="","",'Rozpad zakázky'!Q288)</f>
        <v/>
      </c>
      <c r="J272" s="717" t="str">
        <f>IF(A272="","",ROUNDDOWN('Rozpad zakázky'!L288,1))</f>
        <v/>
      </c>
      <c r="K272" s="745" t="str">
        <f>IF(A272="","",Tabulka_nakup_Vonka[[#This Row],[Počet MJHR v rozpadu]]*Tabulka_nakup_Vonka[[#This Row],[Jedn. hmotnost '[kg/MJHR']]])</f>
        <v/>
      </c>
    </row>
    <row r="273" spans="1:11" x14ac:dyDescent="0.35">
      <c r="A273" s="709" t="str">
        <f>IF('Rozpad zakázky'!E289=0,"",IF('Rozpad zakázky'!E289="-","",'Rozpad zakázky'!E289))</f>
        <v/>
      </c>
      <c r="B273" s="708" t="str">
        <f>IF(A273="","",IF(A273="","",VLOOKUP(A:A,Pomocna_Nakup[],3,0))&amp;" | "&amp;IF(A273="","",VLOOKUP(A:A,Pomocna_Nakup[],4,0)))</f>
        <v/>
      </c>
      <c r="C273" s="710" t="str">
        <f>IF(Tabulka_nakup_Vonka[[#This Row],[Zkratka kalkulační položky]]="","",Tabulka_nakup_Vonka[[#This Row],[Zkratka kalkulační položky]]&amp;" | "&amp;IF(A273="","",VLOOKUP(A:A,Pomocna_Nakup[],2,0)))</f>
        <v/>
      </c>
      <c r="D273" s="710" t="str">
        <f>IF(A273="","",'Rozpad zakázky'!F289)</f>
        <v/>
      </c>
      <c r="E273" s="710" t="str">
        <f>IF(A273="","",'Rozpad zakázky'!D289&amp;IF('Rozpad zakázky'!G289="",""," ("&amp;'Rozpad zakázky'!G289&amp;")"))</f>
        <v/>
      </c>
      <c r="F273" s="709" t="str">
        <f>IF(A273="","",'Rozpad zakázky'!IW289)</f>
        <v/>
      </c>
      <c r="G273" s="711" t="str">
        <f>IF(A273="","",'Rozpad zakázky'!AE289)</f>
        <v/>
      </c>
      <c r="H273" s="717" t="str">
        <f>IF(A273="","",'Rozpad zakázky'!AJ289)</f>
        <v/>
      </c>
      <c r="I273" s="748" t="str">
        <f>IF(A273="","",'Rozpad zakázky'!Q289)</f>
        <v/>
      </c>
      <c r="J273" s="717" t="str">
        <f>IF(A273="","",ROUNDDOWN('Rozpad zakázky'!L289,1))</f>
        <v/>
      </c>
      <c r="K273" s="745" t="str">
        <f>IF(A273="","",Tabulka_nakup_Vonka[[#This Row],[Počet MJHR v rozpadu]]*Tabulka_nakup_Vonka[[#This Row],[Jedn. hmotnost '[kg/MJHR']]])</f>
        <v/>
      </c>
    </row>
    <row r="274" spans="1:11" x14ac:dyDescent="0.35">
      <c r="A274" s="709" t="str">
        <f>IF('Rozpad zakázky'!E290=0,"",IF('Rozpad zakázky'!E290="-","",'Rozpad zakázky'!E290))</f>
        <v/>
      </c>
      <c r="B274" s="708" t="str">
        <f>IF(A274="","",IF(A274="","",VLOOKUP(A:A,Pomocna_Nakup[],3,0))&amp;" | "&amp;IF(A274="","",VLOOKUP(A:A,Pomocna_Nakup[],4,0)))</f>
        <v/>
      </c>
      <c r="C274" s="710" t="str">
        <f>IF(Tabulka_nakup_Vonka[[#This Row],[Zkratka kalkulační položky]]="","",Tabulka_nakup_Vonka[[#This Row],[Zkratka kalkulační položky]]&amp;" | "&amp;IF(A274="","",VLOOKUP(A:A,Pomocna_Nakup[],2,0)))</f>
        <v/>
      </c>
      <c r="D274" s="710" t="str">
        <f>IF(A274="","",'Rozpad zakázky'!F290)</f>
        <v/>
      </c>
      <c r="E274" s="710" t="str">
        <f>IF(A274="","",'Rozpad zakázky'!D290&amp;IF('Rozpad zakázky'!G290="",""," ("&amp;'Rozpad zakázky'!G290&amp;")"))</f>
        <v/>
      </c>
      <c r="F274" s="709" t="str">
        <f>IF(A274="","",'Rozpad zakázky'!IW290)</f>
        <v/>
      </c>
      <c r="G274" s="711" t="str">
        <f>IF(A274="","",'Rozpad zakázky'!AE290)</f>
        <v/>
      </c>
      <c r="H274" s="717" t="str">
        <f>IF(A274="","",'Rozpad zakázky'!AJ290)</f>
        <v/>
      </c>
      <c r="I274" s="748" t="str">
        <f>IF(A274="","",'Rozpad zakázky'!Q290)</f>
        <v/>
      </c>
      <c r="J274" s="717" t="str">
        <f>IF(A274="","",ROUNDDOWN('Rozpad zakázky'!L290,1))</f>
        <v/>
      </c>
      <c r="K274" s="745" t="str">
        <f>IF(A274="","",Tabulka_nakup_Vonka[[#This Row],[Počet MJHR v rozpadu]]*Tabulka_nakup_Vonka[[#This Row],[Jedn. hmotnost '[kg/MJHR']]])</f>
        <v/>
      </c>
    </row>
    <row r="275" spans="1:11" x14ac:dyDescent="0.35">
      <c r="A275" s="709" t="str">
        <f>IF('Rozpad zakázky'!E291=0,"",IF('Rozpad zakázky'!E291="-","",'Rozpad zakázky'!E291))</f>
        <v/>
      </c>
      <c r="B275" s="708" t="str">
        <f>IF(A275="","",IF(A275="","",VLOOKUP(A:A,Pomocna_Nakup[],3,0))&amp;" | "&amp;IF(A275="","",VLOOKUP(A:A,Pomocna_Nakup[],4,0)))</f>
        <v/>
      </c>
      <c r="C275" s="710" t="str">
        <f>IF(Tabulka_nakup_Vonka[[#This Row],[Zkratka kalkulační položky]]="","",Tabulka_nakup_Vonka[[#This Row],[Zkratka kalkulační položky]]&amp;" | "&amp;IF(A275="","",VLOOKUP(A:A,Pomocna_Nakup[],2,0)))</f>
        <v/>
      </c>
      <c r="D275" s="710" t="str">
        <f>IF(A275="","",'Rozpad zakázky'!F291)</f>
        <v/>
      </c>
      <c r="E275" s="710" t="str">
        <f>IF(A275="","",'Rozpad zakázky'!D291&amp;IF('Rozpad zakázky'!G291="",""," ("&amp;'Rozpad zakázky'!G291&amp;")"))</f>
        <v/>
      </c>
      <c r="F275" s="709" t="str">
        <f>IF(A275="","",'Rozpad zakázky'!IW291)</f>
        <v/>
      </c>
      <c r="G275" s="711" t="str">
        <f>IF(A275="","",'Rozpad zakázky'!AE291)</f>
        <v/>
      </c>
      <c r="H275" s="717" t="str">
        <f>IF(A275="","",'Rozpad zakázky'!AJ291)</f>
        <v/>
      </c>
      <c r="I275" s="748" t="str">
        <f>IF(A275="","",'Rozpad zakázky'!Q291)</f>
        <v/>
      </c>
      <c r="J275" s="717" t="str">
        <f>IF(A275="","",ROUNDDOWN('Rozpad zakázky'!L291,1))</f>
        <v/>
      </c>
      <c r="K275" s="745" t="str">
        <f>IF(A275="","",Tabulka_nakup_Vonka[[#This Row],[Počet MJHR v rozpadu]]*Tabulka_nakup_Vonka[[#This Row],[Jedn. hmotnost '[kg/MJHR']]])</f>
        <v/>
      </c>
    </row>
    <row r="276" spans="1:11" x14ac:dyDescent="0.35">
      <c r="A276" s="709" t="str">
        <f>IF('Rozpad zakázky'!E292=0,"",IF('Rozpad zakázky'!E292="-","",'Rozpad zakázky'!E292))</f>
        <v/>
      </c>
      <c r="B276" s="708" t="str">
        <f>IF(A276="","",IF(A276="","",VLOOKUP(A:A,Pomocna_Nakup[],3,0))&amp;" | "&amp;IF(A276="","",VLOOKUP(A:A,Pomocna_Nakup[],4,0)))</f>
        <v/>
      </c>
      <c r="C276" s="710" t="str">
        <f>IF(Tabulka_nakup_Vonka[[#This Row],[Zkratka kalkulační položky]]="","",Tabulka_nakup_Vonka[[#This Row],[Zkratka kalkulační položky]]&amp;" | "&amp;IF(A276="","",VLOOKUP(A:A,Pomocna_Nakup[],2,0)))</f>
        <v/>
      </c>
      <c r="D276" s="710" t="str">
        <f>IF(A276="","",'Rozpad zakázky'!F292)</f>
        <v/>
      </c>
      <c r="E276" s="710" t="str">
        <f>IF(A276="","",'Rozpad zakázky'!D292&amp;IF('Rozpad zakázky'!G292="",""," ("&amp;'Rozpad zakázky'!G292&amp;")"))</f>
        <v/>
      </c>
      <c r="F276" s="709" t="str">
        <f>IF(A276="","",'Rozpad zakázky'!IW292)</f>
        <v/>
      </c>
      <c r="G276" s="711" t="str">
        <f>IF(A276="","",'Rozpad zakázky'!AE292)</f>
        <v/>
      </c>
      <c r="H276" s="717" t="str">
        <f>IF(A276="","",'Rozpad zakázky'!AJ292)</f>
        <v/>
      </c>
      <c r="I276" s="748" t="str">
        <f>IF(A276="","",'Rozpad zakázky'!Q292)</f>
        <v/>
      </c>
      <c r="J276" s="717" t="str">
        <f>IF(A276="","",ROUNDDOWN('Rozpad zakázky'!L292,1))</f>
        <v/>
      </c>
      <c r="K276" s="745" t="str">
        <f>IF(A276="","",Tabulka_nakup_Vonka[[#This Row],[Počet MJHR v rozpadu]]*Tabulka_nakup_Vonka[[#This Row],[Jedn. hmotnost '[kg/MJHR']]])</f>
        <v/>
      </c>
    </row>
    <row r="277" spans="1:11" x14ac:dyDescent="0.35">
      <c r="A277" s="709" t="str">
        <f>IF('Rozpad zakázky'!E293=0,"",IF('Rozpad zakázky'!E293="-","",'Rozpad zakázky'!E293))</f>
        <v/>
      </c>
      <c r="B277" s="708" t="str">
        <f>IF(A277="","",IF(A277="","",VLOOKUP(A:A,Pomocna_Nakup[],3,0))&amp;" | "&amp;IF(A277="","",VLOOKUP(A:A,Pomocna_Nakup[],4,0)))</f>
        <v/>
      </c>
      <c r="C277" s="710" t="str">
        <f>IF(Tabulka_nakup_Vonka[[#This Row],[Zkratka kalkulační položky]]="","",Tabulka_nakup_Vonka[[#This Row],[Zkratka kalkulační položky]]&amp;" | "&amp;IF(A277="","",VLOOKUP(A:A,Pomocna_Nakup[],2,0)))</f>
        <v/>
      </c>
      <c r="D277" s="710" t="str">
        <f>IF(A277="","",'Rozpad zakázky'!F293)</f>
        <v/>
      </c>
      <c r="E277" s="710" t="str">
        <f>IF(A277="","",'Rozpad zakázky'!D293&amp;IF('Rozpad zakázky'!G293="",""," ("&amp;'Rozpad zakázky'!G293&amp;")"))</f>
        <v/>
      </c>
      <c r="F277" s="709" t="str">
        <f>IF(A277="","",'Rozpad zakázky'!IW293)</f>
        <v/>
      </c>
      <c r="G277" s="711" t="str">
        <f>IF(A277="","",'Rozpad zakázky'!AE293)</f>
        <v/>
      </c>
      <c r="H277" s="717" t="str">
        <f>IF(A277="","",'Rozpad zakázky'!AJ293)</f>
        <v/>
      </c>
      <c r="I277" s="748" t="str">
        <f>IF(A277="","",'Rozpad zakázky'!Q293)</f>
        <v/>
      </c>
      <c r="J277" s="717" t="str">
        <f>IF(A277="","",ROUNDDOWN('Rozpad zakázky'!L293,1))</f>
        <v/>
      </c>
      <c r="K277" s="745" t="str">
        <f>IF(A277="","",Tabulka_nakup_Vonka[[#This Row],[Počet MJHR v rozpadu]]*Tabulka_nakup_Vonka[[#This Row],[Jedn. hmotnost '[kg/MJHR']]])</f>
        <v/>
      </c>
    </row>
    <row r="278" spans="1:11" x14ac:dyDescent="0.35">
      <c r="A278" s="709" t="str">
        <f>IF('Rozpad zakázky'!E294=0,"",IF('Rozpad zakázky'!E294="-","",'Rozpad zakázky'!E294))</f>
        <v/>
      </c>
      <c r="B278" s="708" t="str">
        <f>IF(A278="","",IF(A278="","",VLOOKUP(A:A,Pomocna_Nakup[],3,0))&amp;" | "&amp;IF(A278="","",VLOOKUP(A:A,Pomocna_Nakup[],4,0)))</f>
        <v/>
      </c>
      <c r="C278" s="710" t="str">
        <f>IF(Tabulka_nakup_Vonka[[#This Row],[Zkratka kalkulační položky]]="","",Tabulka_nakup_Vonka[[#This Row],[Zkratka kalkulační položky]]&amp;" | "&amp;IF(A278="","",VLOOKUP(A:A,Pomocna_Nakup[],2,0)))</f>
        <v/>
      </c>
      <c r="D278" s="710" t="str">
        <f>IF(A278="","",'Rozpad zakázky'!F294)</f>
        <v/>
      </c>
      <c r="E278" s="710" t="str">
        <f>IF(A278="","",'Rozpad zakázky'!D294&amp;IF('Rozpad zakázky'!G294="",""," ("&amp;'Rozpad zakázky'!G294&amp;")"))</f>
        <v/>
      </c>
      <c r="F278" s="709" t="str">
        <f>IF(A278="","",'Rozpad zakázky'!IW294)</f>
        <v/>
      </c>
      <c r="G278" s="711" t="str">
        <f>IF(A278="","",'Rozpad zakázky'!AE294)</f>
        <v/>
      </c>
      <c r="H278" s="717" t="str">
        <f>IF(A278="","",'Rozpad zakázky'!AJ294)</f>
        <v/>
      </c>
      <c r="I278" s="748" t="str">
        <f>IF(A278="","",'Rozpad zakázky'!Q294)</f>
        <v/>
      </c>
      <c r="J278" s="717" t="str">
        <f>IF(A278="","",ROUNDDOWN('Rozpad zakázky'!L294,1))</f>
        <v/>
      </c>
      <c r="K278" s="745" t="str">
        <f>IF(A278="","",Tabulka_nakup_Vonka[[#This Row],[Počet MJHR v rozpadu]]*Tabulka_nakup_Vonka[[#This Row],[Jedn. hmotnost '[kg/MJHR']]])</f>
        <v/>
      </c>
    </row>
    <row r="279" spans="1:11" x14ac:dyDescent="0.35">
      <c r="A279" s="709" t="str">
        <f>IF('Rozpad zakázky'!E295=0,"",IF('Rozpad zakázky'!E295="-","",'Rozpad zakázky'!E295))</f>
        <v/>
      </c>
      <c r="B279" s="708" t="str">
        <f>IF(A279="","",IF(A279="","",VLOOKUP(A:A,Pomocna_Nakup[],3,0))&amp;" | "&amp;IF(A279="","",VLOOKUP(A:A,Pomocna_Nakup[],4,0)))</f>
        <v/>
      </c>
      <c r="C279" s="710" t="str">
        <f>IF(Tabulka_nakup_Vonka[[#This Row],[Zkratka kalkulační položky]]="","",Tabulka_nakup_Vonka[[#This Row],[Zkratka kalkulační položky]]&amp;" | "&amp;IF(A279="","",VLOOKUP(A:A,Pomocna_Nakup[],2,0)))</f>
        <v/>
      </c>
      <c r="D279" s="710" t="str">
        <f>IF(A279="","",'Rozpad zakázky'!F295)</f>
        <v/>
      </c>
      <c r="E279" s="710" t="str">
        <f>IF(A279="","",'Rozpad zakázky'!D295&amp;IF('Rozpad zakázky'!G295="",""," ("&amp;'Rozpad zakázky'!G295&amp;")"))</f>
        <v/>
      </c>
      <c r="F279" s="709" t="str">
        <f>IF(A279="","",'Rozpad zakázky'!IW295)</f>
        <v/>
      </c>
      <c r="G279" s="711" t="str">
        <f>IF(A279="","",'Rozpad zakázky'!AE295)</f>
        <v/>
      </c>
      <c r="H279" s="717" t="str">
        <f>IF(A279="","",'Rozpad zakázky'!AJ295)</f>
        <v/>
      </c>
      <c r="I279" s="748" t="str">
        <f>IF(A279="","",'Rozpad zakázky'!Q295)</f>
        <v/>
      </c>
      <c r="J279" s="717" t="str">
        <f>IF(A279="","",ROUNDDOWN('Rozpad zakázky'!L295,1))</f>
        <v/>
      </c>
      <c r="K279" s="745" t="str">
        <f>IF(A279="","",Tabulka_nakup_Vonka[[#This Row],[Počet MJHR v rozpadu]]*Tabulka_nakup_Vonka[[#This Row],[Jedn. hmotnost '[kg/MJHR']]])</f>
        <v/>
      </c>
    </row>
    <row r="280" spans="1:11" x14ac:dyDescent="0.35">
      <c r="A280" s="709" t="str">
        <f>IF('Rozpad zakázky'!E296=0,"",IF('Rozpad zakázky'!E296="-","",'Rozpad zakázky'!E296))</f>
        <v/>
      </c>
      <c r="B280" s="708" t="str">
        <f>IF(A280="","",IF(A280="","",VLOOKUP(A:A,Pomocna_Nakup[],3,0))&amp;" | "&amp;IF(A280="","",VLOOKUP(A:A,Pomocna_Nakup[],4,0)))</f>
        <v/>
      </c>
      <c r="C280" s="710" t="str">
        <f>IF(Tabulka_nakup_Vonka[[#This Row],[Zkratka kalkulační položky]]="","",Tabulka_nakup_Vonka[[#This Row],[Zkratka kalkulační položky]]&amp;" | "&amp;IF(A280="","",VLOOKUP(A:A,Pomocna_Nakup[],2,0)))</f>
        <v/>
      </c>
      <c r="D280" s="710" t="str">
        <f>IF(A280="","",'Rozpad zakázky'!F296)</f>
        <v/>
      </c>
      <c r="E280" s="710" t="str">
        <f>IF(A280="","",'Rozpad zakázky'!D296&amp;IF('Rozpad zakázky'!G296="",""," ("&amp;'Rozpad zakázky'!G296&amp;")"))</f>
        <v/>
      </c>
      <c r="F280" s="709" t="str">
        <f>IF(A280="","",'Rozpad zakázky'!IW296)</f>
        <v/>
      </c>
      <c r="G280" s="711" t="str">
        <f>IF(A280="","",'Rozpad zakázky'!AE296)</f>
        <v/>
      </c>
      <c r="H280" s="717" t="str">
        <f>IF(A280="","",'Rozpad zakázky'!AJ296)</f>
        <v/>
      </c>
      <c r="I280" s="748" t="str">
        <f>IF(A280="","",'Rozpad zakázky'!Q296)</f>
        <v/>
      </c>
      <c r="J280" s="717" t="str">
        <f>IF(A280="","",ROUNDDOWN('Rozpad zakázky'!L296,1))</f>
        <v/>
      </c>
      <c r="K280" s="745" t="str">
        <f>IF(A280="","",Tabulka_nakup_Vonka[[#This Row],[Počet MJHR v rozpadu]]*Tabulka_nakup_Vonka[[#This Row],[Jedn. hmotnost '[kg/MJHR']]])</f>
        <v/>
      </c>
    </row>
    <row r="281" spans="1:11" x14ac:dyDescent="0.35">
      <c r="A281" s="709" t="str">
        <f>IF('Rozpad zakázky'!E297=0,"",IF('Rozpad zakázky'!E297="-","",'Rozpad zakázky'!E297))</f>
        <v/>
      </c>
      <c r="B281" s="708" t="str">
        <f>IF(A281="","",IF(A281="","",VLOOKUP(A:A,Pomocna_Nakup[],3,0))&amp;" | "&amp;IF(A281="","",VLOOKUP(A:A,Pomocna_Nakup[],4,0)))</f>
        <v/>
      </c>
      <c r="C281" s="710" t="str">
        <f>IF(Tabulka_nakup_Vonka[[#This Row],[Zkratka kalkulační položky]]="","",Tabulka_nakup_Vonka[[#This Row],[Zkratka kalkulační položky]]&amp;" | "&amp;IF(A281="","",VLOOKUP(A:A,Pomocna_Nakup[],2,0)))</f>
        <v/>
      </c>
      <c r="D281" s="710" t="str">
        <f>IF(A281="","",'Rozpad zakázky'!F297)</f>
        <v/>
      </c>
      <c r="E281" s="710" t="str">
        <f>IF(A281="","",'Rozpad zakázky'!D297&amp;IF('Rozpad zakázky'!G297="",""," ("&amp;'Rozpad zakázky'!G297&amp;")"))</f>
        <v/>
      </c>
      <c r="F281" s="709" t="str">
        <f>IF(A281="","",'Rozpad zakázky'!IW297)</f>
        <v/>
      </c>
      <c r="G281" s="711" t="str">
        <f>IF(A281="","",'Rozpad zakázky'!AE297)</f>
        <v/>
      </c>
      <c r="H281" s="717" t="str">
        <f>IF(A281="","",'Rozpad zakázky'!AJ297)</f>
        <v/>
      </c>
      <c r="I281" s="748" t="str">
        <f>IF(A281="","",'Rozpad zakázky'!Q297)</f>
        <v/>
      </c>
      <c r="J281" s="717" t="str">
        <f>IF(A281="","",ROUNDDOWN('Rozpad zakázky'!L297,1))</f>
        <v/>
      </c>
      <c r="K281" s="745" t="str">
        <f>IF(A281="","",Tabulka_nakup_Vonka[[#This Row],[Počet MJHR v rozpadu]]*Tabulka_nakup_Vonka[[#This Row],[Jedn. hmotnost '[kg/MJHR']]])</f>
        <v/>
      </c>
    </row>
    <row r="282" spans="1:11" x14ac:dyDescent="0.35">
      <c r="A282" s="709" t="str">
        <f>IF('Rozpad zakázky'!E298=0,"",IF('Rozpad zakázky'!E298="-","",'Rozpad zakázky'!E298))</f>
        <v/>
      </c>
      <c r="B282" s="708" t="str">
        <f>IF(A282="","",IF(A282="","",VLOOKUP(A:A,Pomocna_Nakup[],3,0))&amp;" | "&amp;IF(A282="","",VLOOKUP(A:A,Pomocna_Nakup[],4,0)))</f>
        <v/>
      </c>
      <c r="C282" s="710" t="str">
        <f>IF(Tabulka_nakup_Vonka[[#This Row],[Zkratka kalkulační položky]]="","",Tabulka_nakup_Vonka[[#This Row],[Zkratka kalkulační položky]]&amp;" | "&amp;IF(A282="","",VLOOKUP(A:A,Pomocna_Nakup[],2,0)))</f>
        <v/>
      </c>
      <c r="D282" s="710" t="str">
        <f>IF(A282="","",'Rozpad zakázky'!F298)</f>
        <v/>
      </c>
      <c r="E282" s="710" t="str">
        <f>IF(A282="","",'Rozpad zakázky'!D298&amp;IF('Rozpad zakázky'!G298="",""," ("&amp;'Rozpad zakázky'!G298&amp;")"))</f>
        <v/>
      </c>
      <c r="F282" s="709" t="str">
        <f>IF(A282="","",'Rozpad zakázky'!IW298)</f>
        <v/>
      </c>
      <c r="G282" s="711" t="str">
        <f>IF(A282="","",'Rozpad zakázky'!AE298)</f>
        <v/>
      </c>
      <c r="H282" s="717" t="str">
        <f>IF(A282="","",'Rozpad zakázky'!AJ298)</f>
        <v/>
      </c>
      <c r="I282" s="748" t="str">
        <f>IF(A282="","",'Rozpad zakázky'!Q298)</f>
        <v/>
      </c>
      <c r="J282" s="717" t="str">
        <f>IF(A282="","",ROUNDDOWN('Rozpad zakázky'!L298,1))</f>
        <v/>
      </c>
      <c r="K282" s="745" t="str">
        <f>IF(A282="","",Tabulka_nakup_Vonka[[#This Row],[Počet MJHR v rozpadu]]*Tabulka_nakup_Vonka[[#This Row],[Jedn. hmotnost '[kg/MJHR']]])</f>
        <v/>
      </c>
    </row>
    <row r="283" spans="1:11" x14ac:dyDescent="0.35">
      <c r="A283" s="709" t="str">
        <f>IF('Rozpad zakázky'!E299=0,"",IF('Rozpad zakázky'!E299="-","",'Rozpad zakázky'!E299))</f>
        <v/>
      </c>
      <c r="B283" s="708" t="str">
        <f>IF(A283="","",IF(A283="","",VLOOKUP(A:A,Pomocna_Nakup[],3,0))&amp;" | "&amp;IF(A283="","",VLOOKUP(A:A,Pomocna_Nakup[],4,0)))</f>
        <v/>
      </c>
      <c r="C283" s="710" t="str">
        <f>IF(Tabulka_nakup_Vonka[[#This Row],[Zkratka kalkulační položky]]="","",Tabulka_nakup_Vonka[[#This Row],[Zkratka kalkulační položky]]&amp;" | "&amp;IF(A283="","",VLOOKUP(A:A,Pomocna_Nakup[],2,0)))</f>
        <v/>
      </c>
      <c r="D283" s="710" t="str">
        <f>IF(A283="","",'Rozpad zakázky'!F299)</f>
        <v/>
      </c>
      <c r="E283" s="710" t="str">
        <f>IF(A283="","",'Rozpad zakázky'!D299&amp;IF('Rozpad zakázky'!G299="",""," ("&amp;'Rozpad zakázky'!G299&amp;")"))</f>
        <v/>
      </c>
      <c r="F283" s="709" t="str">
        <f>IF(A283="","",'Rozpad zakázky'!IW299)</f>
        <v/>
      </c>
      <c r="G283" s="711" t="str">
        <f>IF(A283="","",'Rozpad zakázky'!AE299)</f>
        <v/>
      </c>
      <c r="H283" s="717" t="str">
        <f>IF(A283="","",'Rozpad zakázky'!AJ299)</f>
        <v/>
      </c>
      <c r="I283" s="748" t="str">
        <f>IF(A283="","",'Rozpad zakázky'!Q299)</f>
        <v/>
      </c>
      <c r="J283" s="717" t="str">
        <f>IF(A283="","",ROUNDDOWN('Rozpad zakázky'!L299,1))</f>
        <v/>
      </c>
      <c r="K283" s="745" t="str">
        <f>IF(A283="","",Tabulka_nakup_Vonka[[#This Row],[Počet MJHR v rozpadu]]*Tabulka_nakup_Vonka[[#This Row],[Jedn. hmotnost '[kg/MJHR']]])</f>
        <v/>
      </c>
    </row>
    <row r="284" spans="1:11" x14ac:dyDescent="0.35">
      <c r="A284" s="709" t="str">
        <f>IF('Rozpad zakázky'!E300=0,"",IF('Rozpad zakázky'!E300="-","",'Rozpad zakázky'!E300))</f>
        <v/>
      </c>
      <c r="B284" s="708" t="str">
        <f>IF(A284="","",IF(A284="","",VLOOKUP(A:A,Pomocna_Nakup[],3,0))&amp;" | "&amp;IF(A284="","",VLOOKUP(A:A,Pomocna_Nakup[],4,0)))</f>
        <v/>
      </c>
      <c r="C284" s="710" t="str">
        <f>IF(Tabulka_nakup_Vonka[[#This Row],[Zkratka kalkulační položky]]="","",Tabulka_nakup_Vonka[[#This Row],[Zkratka kalkulační položky]]&amp;" | "&amp;IF(A284="","",VLOOKUP(A:A,Pomocna_Nakup[],2,0)))</f>
        <v/>
      </c>
      <c r="D284" s="710" t="str">
        <f>IF(A284="","",'Rozpad zakázky'!F300)</f>
        <v/>
      </c>
      <c r="E284" s="710" t="str">
        <f>IF(A284="","",'Rozpad zakázky'!D300&amp;IF('Rozpad zakázky'!G300="",""," ("&amp;'Rozpad zakázky'!G300&amp;")"))</f>
        <v/>
      </c>
      <c r="F284" s="709" t="str">
        <f>IF(A284="","",'Rozpad zakázky'!IW300)</f>
        <v/>
      </c>
      <c r="G284" s="711" t="str">
        <f>IF(A284="","",'Rozpad zakázky'!AE300)</f>
        <v/>
      </c>
      <c r="H284" s="717" t="str">
        <f>IF(A284="","",'Rozpad zakázky'!AJ300)</f>
        <v/>
      </c>
      <c r="I284" s="748" t="str">
        <f>IF(A284="","",'Rozpad zakázky'!Q300)</f>
        <v/>
      </c>
      <c r="J284" s="717" t="str">
        <f>IF(A284="","",ROUNDDOWN('Rozpad zakázky'!L300,1))</f>
        <v/>
      </c>
      <c r="K284" s="745" t="str">
        <f>IF(A284="","",Tabulka_nakup_Vonka[[#This Row],[Počet MJHR v rozpadu]]*Tabulka_nakup_Vonka[[#This Row],[Jedn. hmotnost '[kg/MJHR']]])</f>
        <v/>
      </c>
    </row>
    <row r="285" spans="1:11" x14ac:dyDescent="0.35">
      <c r="A285" s="709" t="str">
        <f>IF('Rozpad zakázky'!E301=0,"",IF('Rozpad zakázky'!E301="-","",'Rozpad zakázky'!E301))</f>
        <v/>
      </c>
      <c r="B285" s="708" t="str">
        <f>IF(A285="","",IF(A285="","",VLOOKUP(A:A,Pomocna_Nakup[],3,0))&amp;" | "&amp;IF(A285="","",VLOOKUP(A:A,Pomocna_Nakup[],4,0)))</f>
        <v/>
      </c>
      <c r="C285" s="710" t="str">
        <f>IF(Tabulka_nakup_Vonka[[#This Row],[Zkratka kalkulační položky]]="","",Tabulka_nakup_Vonka[[#This Row],[Zkratka kalkulační položky]]&amp;" | "&amp;IF(A285="","",VLOOKUP(A:A,Pomocna_Nakup[],2,0)))</f>
        <v/>
      </c>
      <c r="D285" s="710" t="str">
        <f>IF(A285="","",'Rozpad zakázky'!F301)</f>
        <v/>
      </c>
      <c r="E285" s="710" t="str">
        <f>IF(A285="","",'Rozpad zakázky'!D301&amp;IF('Rozpad zakázky'!G301="",""," ("&amp;'Rozpad zakázky'!G301&amp;")"))</f>
        <v/>
      </c>
      <c r="F285" s="709" t="str">
        <f>IF(A285="","",'Rozpad zakázky'!IW301)</f>
        <v/>
      </c>
      <c r="G285" s="711" t="str">
        <f>IF(A285="","",'Rozpad zakázky'!AE301)</f>
        <v/>
      </c>
      <c r="H285" s="717" t="str">
        <f>IF(A285="","",'Rozpad zakázky'!AJ301)</f>
        <v/>
      </c>
      <c r="I285" s="748" t="str">
        <f>IF(A285="","",'Rozpad zakázky'!Q301)</f>
        <v/>
      </c>
      <c r="J285" s="717" t="str">
        <f>IF(A285="","",ROUNDDOWN('Rozpad zakázky'!L301,1))</f>
        <v/>
      </c>
      <c r="K285" s="745" t="str">
        <f>IF(A285="","",Tabulka_nakup_Vonka[[#This Row],[Počet MJHR v rozpadu]]*Tabulka_nakup_Vonka[[#This Row],[Jedn. hmotnost '[kg/MJHR']]])</f>
        <v/>
      </c>
    </row>
    <row r="286" spans="1:11" x14ac:dyDescent="0.35">
      <c r="A286" s="709" t="str">
        <f>IF('Rozpad zakázky'!E302=0,"",IF('Rozpad zakázky'!E302="-","",'Rozpad zakázky'!E302))</f>
        <v/>
      </c>
      <c r="B286" s="708" t="str">
        <f>IF(A286="","",IF(A286="","",VLOOKUP(A:A,Pomocna_Nakup[],3,0))&amp;" | "&amp;IF(A286="","",VLOOKUP(A:A,Pomocna_Nakup[],4,0)))</f>
        <v/>
      </c>
      <c r="C286" s="710" t="str">
        <f>IF(Tabulka_nakup_Vonka[[#This Row],[Zkratka kalkulační položky]]="","",Tabulka_nakup_Vonka[[#This Row],[Zkratka kalkulační položky]]&amp;" | "&amp;IF(A286="","",VLOOKUP(A:A,Pomocna_Nakup[],2,0)))</f>
        <v/>
      </c>
      <c r="D286" s="710" t="str">
        <f>IF(A286="","",'Rozpad zakázky'!F302)</f>
        <v/>
      </c>
      <c r="E286" s="710" t="str">
        <f>IF(A286="","",'Rozpad zakázky'!D302&amp;IF('Rozpad zakázky'!G302="",""," ("&amp;'Rozpad zakázky'!G302&amp;")"))</f>
        <v/>
      </c>
      <c r="F286" s="709" t="str">
        <f>IF(A286="","",'Rozpad zakázky'!IW302)</f>
        <v/>
      </c>
      <c r="G286" s="711" t="str">
        <f>IF(A286="","",'Rozpad zakázky'!AE302)</f>
        <v/>
      </c>
      <c r="H286" s="717" t="str">
        <f>IF(A286="","",'Rozpad zakázky'!AJ302)</f>
        <v/>
      </c>
      <c r="I286" s="748" t="str">
        <f>IF(A286="","",'Rozpad zakázky'!Q302)</f>
        <v/>
      </c>
      <c r="J286" s="717" t="str">
        <f>IF(A286="","",ROUNDDOWN('Rozpad zakázky'!L302,1))</f>
        <v/>
      </c>
      <c r="K286" s="745" t="str">
        <f>IF(A286="","",Tabulka_nakup_Vonka[[#This Row],[Počet MJHR v rozpadu]]*Tabulka_nakup_Vonka[[#This Row],[Jedn. hmotnost '[kg/MJHR']]])</f>
        <v/>
      </c>
    </row>
    <row r="287" spans="1:11" x14ac:dyDescent="0.35">
      <c r="A287" s="709" t="str">
        <f>IF('Rozpad zakázky'!E303=0,"",IF('Rozpad zakázky'!E303="-","",'Rozpad zakázky'!E303))</f>
        <v/>
      </c>
      <c r="B287" s="708" t="str">
        <f>IF(A287="","",IF(A287="","",VLOOKUP(A:A,Pomocna_Nakup[],3,0))&amp;" | "&amp;IF(A287="","",VLOOKUP(A:A,Pomocna_Nakup[],4,0)))</f>
        <v/>
      </c>
      <c r="C287" s="710" t="str">
        <f>IF(Tabulka_nakup_Vonka[[#This Row],[Zkratka kalkulační položky]]="","",Tabulka_nakup_Vonka[[#This Row],[Zkratka kalkulační položky]]&amp;" | "&amp;IF(A287="","",VLOOKUP(A:A,Pomocna_Nakup[],2,0)))</f>
        <v/>
      </c>
      <c r="D287" s="710" t="str">
        <f>IF(A287="","",'Rozpad zakázky'!F303)</f>
        <v/>
      </c>
      <c r="E287" s="710" t="str">
        <f>IF(A287="","",'Rozpad zakázky'!D303&amp;IF('Rozpad zakázky'!G303="",""," ("&amp;'Rozpad zakázky'!G303&amp;")"))</f>
        <v/>
      </c>
      <c r="F287" s="709" t="str">
        <f>IF(A287="","",'Rozpad zakázky'!IW303)</f>
        <v/>
      </c>
      <c r="G287" s="711" t="str">
        <f>IF(A287="","",'Rozpad zakázky'!AE303)</f>
        <v/>
      </c>
      <c r="H287" s="717" t="str">
        <f>IF(A287="","",'Rozpad zakázky'!AJ303)</f>
        <v/>
      </c>
      <c r="I287" s="748" t="str">
        <f>IF(A287="","",'Rozpad zakázky'!Q303)</f>
        <v/>
      </c>
      <c r="J287" s="717" t="str">
        <f>IF(A287="","",ROUNDDOWN('Rozpad zakázky'!L303,1))</f>
        <v/>
      </c>
      <c r="K287" s="745" t="str">
        <f>IF(A287="","",Tabulka_nakup_Vonka[[#This Row],[Počet MJHR v rozpadu]]*Tabulka_nakup_Vonka[[#This Row],[Jedn. hmotnost '[kg/MJHR']]])</f>
        <v/>
      </c>
    </row>
    <row r="288" spans="1:11" x14ac:dyDescent="0.35">
      <c r="A288" s="709" t="str">
        <f>IF('Rozpad zakázky'!E304=0,"",IF('Rozpad zakázky'!E304="-","",'Rozpad zakázky'!E304))</f>
        <v/>
      </c>
      <c r="B288" s="708" t="str">
        <f>IF(A288="","",IF(A288="","",VLOOKUP(A:A,Pomocna_Nakup[],3,0))&amp;" | "&amp;IF(A288="","",VLOOKUP(A:A,Pomocna_Nakup[],4,0)))</f>
        <v/>
      </c>
      <c r="C288" s="710" t="str">
        <f>IF(Tabulka_nakup_Vonka[[#This Row],[Zkratka kalkulační položky]]="","",Tabulka_nakup_Vonka[[#This Row],[Zkratka kalkulační položky]]&amp;" | "&amp;IF(A288="","",VLOOKUP(A:A,Pomocna_Nakup[],2,0)))</f>
        <v/>
      </c>
      <c r="D288" s="710" t="str">
        <f>IF(A288="","",'Rozpad zakázky'!F304)</f>
        <v/>
      </c>
      <c r="E288" s="710" t="str">
        <f>IF(A288="","",'Rozpad zakázky'!D304&amp;IF('Rozpad zakázky'!G304="",""," ("&amp;'Rozpad zakázky'!G304&amp;")"))</f>
        <v/>
      </c>
      <c r="F288" s="709" t="str">
        <f>IF(A288="","",'Rozpad zakázky'!IW304)</f>
        <v/>
      </c>
      <c r="G288" s="711" t="str">
        <f>IF(A288="","",'Rozpad zakázky'!AE304)</f>
        <v/>
      </c>
      <c r="H288" s="717" t="str">
        <f>IF(A288="","",'Rozpad zakázky'!AJ304)</f>
        <v/>
      </c>
      <c r="I288" s="748" t="str">
        <f>IF(A288="","",'Rozpad zakázky'!Q304)</f>
        <v/>
      </c>
      <c r="J288" s="717" t="str">
        <f>IF(A288="","",ROUNDDOWN('Rozpad zakázky'!L304,1))</f>
        <v/>
      </c>
      <c r="K288" s="745" t="str">
        <f>IF(A288="","",Tabulka_nakup_Vonka[[#This Row],[Počet MJHR v rozpadu]]*Tabulka_nakup_Vonka[[#This Row],[Jedn. hmotnost '[kg/MJHR']]])</f>
        <v/>
      </c>
    </row>
    <row r="289" spans="1:11" x14ac:dyDescent="0.35">
      <c r="A289" s="709" t="str">
        <f>IF('Rozpad zakázky'!E305=0,"",IF('Rozpad zakázky'!E305="-","",'Rozpad zakázky'!E305))</f>
        <v/>
      </c>
      <c r="B289" s="708" t="str">
        <f>IF(A289="","",IF(A289="","",VLOOKUP(A:A,Pomocna_Nakup[],3,0))&amp;" | "&amp;IF(A289="","",VLOOKUP(A:A,Pomocna_Nakup[],4,0)))</f>
        <v/>
      </c>
      <c r="C289" s="710" t="str">
        <f>IF(Tabulka_nakup_Vonka[[#This Row],[Zkratka kalkulační položky]]="","",Tabulka_nakup_Vonka[[#This Row],[Zkratka kalkulační položky]]&amp;" | "&amp;IF(A289="","",VLOOKUP(A:A,Pomocna_Nakup[],2,0)))</f>
        <v/>
      </c>
      <c r="D289" s="710" t="str">
        <f>IF(A289="","",'Rozpad zakázky'!F305)</f>
        <v/>
      </c>
      <c r="E289" s="710" t="str">
        <f>IF(A289="","",'Rozpad zakázky'!D305&amp;IF('Rozpad zakázky'!G305="",""," ("&amp;'Rozpad zakázky'!G305&amp;")"))</f>
        <v/>
      </c>
      <c r="F289" s="709" t="str">
        <f>IF(A289="","",'Rozpad zakázky'!IW305)</f>
        <v/>
      </c>
      <c r="G289" s="711" t="str">
        <f>IF(A289="","",'Rozpad zakázky'!AE305)</f>
        <v/>
      </c>
      <c r="H289" s="717" t="str">
        <f>IF(A289="","",'Rozpad zakázky'!AJ305)</f>
        <v/>
      </c>
      <c r="I289" s="748" t="str">
        <f>IF(A289="","",'Rozpad zakázky'!Q305)</f>
        <v/>
      </c>
      <c r="J289" s="717" t="str">
        <f>IF(A289="","",ROUNDDOWN('Rozpad zakázky'!L305,1))</f>
        <v/>
      </c>
      <c r="K289" s="745" t="str">
        <f>IF(A289="","",Tabulka_nakup_Vonka[[#This Row],[Počet MJHR v rozpadu]]*Tabulka_nakup_Vonka[[#This Row],[Jedn. hmotnost '[kg/MJHR']]])</f>
        <v/>
      </c>
    </row>
    <row r="290" spans="1:11" x14ac:dyDescent="0.35">
      <c r="A290" s="709" t="str">
        <f>IF('Rozpad zakázky'!E306=0,"",IF('Rozpad zakázky'!E306="-","",'Rozpad zakázky'!E306))</f>
        <v/>
      </c>
      <c r="B290" s="708" t="str">
        <f>IF(A290="","",IF(A290="","",VLOOKUP(A:A,Pomocna_Nakup[],3,0))&amp;" | "&amp;IF(A290="","",VLOOKUP(A:A,Pomocna_Nakup[],4,0)))</f>
        <v/>
      </c>
      <c r="C290" s="710" t="str">
        <f>IF(Tabulka_nakup_Vonka[[#This Row],[Zkratka kalkulační položky]]="","",Tabulka_nakup_Vonka[[#This Row],[Zkratka kalkulační položky]]&amp;" | "&amp;IF(A290="","",VLOOKUP(A:A,Pomocna_Nakup[],2,0)))</f>
        <v/>
      </c>
      <c r="D290" s="710" t="str">
        <f>IF(A290="","",'Rozpad zakázky'!F306)</f>
        <v/>
      </c>
      <c r="E290" s="710" t="str">
        <f>IF(A290="","",'Rozpad zakázky'!D306&amp;IF('Rozpad zakázky'!G306="",""," ("&amp;'Rozpad zakázky'!G306&amp;")"))</f>
        <v/>
      </c>
      <c r="F290" s="709" t="str">
        <f>IF(A290="","",'Rozpad zakázky'!IW306)</f>
        <v/>
      </c>
      <c r="G290" s="711" t="str">
        <f>IF(A290="","",'Rozpad zakázky'!AE306)</f>
        <v/>
      </c>
      <c r="H290" s="717" t="str">
        <f>IF(A290="","",'Rozpad zakázky'!AJ306)</f>
        <v/>
      </c>
      <c r="I290" s="748" t="str">
        <f>IF(A290="","",'Rozpad zakázky'!Q306)</f>
        <v/>
      </c>
      <c r="J290" s="717" t="str">
        <f>IF(A290="","",ROUNDDOWN('Rozpad zakázky'!L306,1))</f>
        <v/>
      </c>
      <c r="K290" s="745" t="str">
        <f>IF(A290="","",Tabulka_nakup_Vonka[[#This Row],[Počet MJHR v rozpadu]]*Tabulka_nakup_Vonka[[#This Row],[Jedn. hmotnost '[kg/MJHR']]])</f>
        <v/>
      </c>
    </row>
    <row r="291" spans="1:11" x14ac:dyDescent="0.35">
      <c r="A291" s="709" t="str">
        <f>IF('Rozpad zakázky'!E307=0,"",IF('Rozpad zakázky'!E307="-","",'Rozpad zakázky'!E307))</f>
        <v/>
      </c>
      <c r="B291" s="708" t="str">
        <f>IF(A291="","",IF(A291="","",VLOOKUP(A:A,Pomocna_Nakup[],3,0))&amp;" | "&amp;IF(A291="","",VLOOKUP(A:A,Pomocna_Nakup[],4,0)))</f>
        <v/>
      </c>
      <c r="C291" s="710" t="str">
        <f>IF(Tabulka_nakup_Vonka[[#This Row],[Zkratka kalkulační položky]]="","",Tabulka_nakup_Vonka[[#This Row],[Zkratka kalkulační položky]]&amp;" | "&amp;IF(A291="","",VLOOKUP(A:A,Pomocna_Nakup[],2,0)))</f>
        <v/>
      </c>
      <c r="D291" s="710" t="str">
        <f>IF(A291="","",'Rozpad zakázky'!F307)</f>
        <v/>
      </c>
      <c r="E291" s="710" t="str">
        <f>IF(A291="","",'Rozpad zakázky'!D307&amp;IF('Rozpad zakázky'!G307="",""," ("&amp;'Rozpad zakázky'!G307&amp;")"))</f>
        <v/>
      </c>
      <c r="F291" s="709" t="str">
        <f>IF(A291="","",'Rozpad zakázky'!IW307)</f>
        <v/>
      </c>
      <c r="G291" s="711" t="str">
        <f>IF(A291="","",'Rozpad zakázky'!AE307)</f>
        <v/>
      </c>
      <c r="H291" s="717" t="str">
        <f>IF(A291="","",'Rozpad zakázky'!AJ307)</f>
        <v/>
      </c>
      <c r="I291" s="748" t="str">
        <f>IF(A291="","",'Rozpad zakázky'!Q307)</f>
        <v/>
      </c>
      <c r="J291" s="717" t="str">
        <f>IF(A291="","",ROUNDDOWN('Rozpad zakázky'!L307,1))</f>
        <v/>
      </c>
      <c r="K291" s="745" t="str">
        <f>IF(A291="","",Tabulka_nakup_Vonka[[#This Row],[Počet MJHR v rozpadu]]*Tabulka_nakup_Vonka[[#This Row],[Jedn. hmotnost '[kg/MJHR']]])</f>
        <v/>
      </c>
    </row>
    <row r="292" spans="1:11" x14ac:dyDescent="0.35">
      <c r="A292" s="709" t="str">
        <f>IF('Rozpad zakázky'!E308=0,"",IF('Rozpad zakázky'!E308="-","",'Rozpad zakázky'!E308))</f>
        <v/>
      </c>
      <c r="B292" s="708" t="str">
        <f>IF(A292="","",IF(A292="","",VLOOKUP(A:A,Pomocna_Nakup[],3,0))&amp;" | "&amp;IF(A292="","",VLOOKUP(A:A,Pomocna_Nakup[],4,0)))</f>
        <v/>
      </c>
      <c r="C292" s="710" t="str">
        <f>IF(Tabulka_nakup_Vonka[[#This Row],[Zkratka kalkulační položky]]="","",Tabulka_nakup_Vonka[[#This Row],[Zkratka kalkulační položky]]&amp;" | "&amp;IF(A292="","",VLOOKUP(A:A,Pomocna_Nakup[],2,0)))</f>
        <v/>
      </c>
      <c r="D292" s="710" t="str">
        <f>IF(A292="","",'Rozpad zakázky'!F308)</f>
        <v/>
      </c>
      <c r="E292" s="710" t="str">
        <f>IF(A292="","",'Rozpad zakázky'!D308&amp;IF('Rozpad zakázky'!G308="",""," ("&amp;'Rozpad zakázky'!G308&amp;")"))</f>
        <v/>
      </c>
      <c r="F292" s="709" t="str">
        <f>IF(A292="","",'Rozpad zakázky'!IW308)</f>
        <v/>
      </c>
      <c r="G292" s="711" t="str">
        <f>IF(A292="","",'Rozpad zakázky'!AE308)</f>
        <v/>
      </c>
      <c r="H292" s="717" t="str">
        <f>IF(A292="","",'Rozpad zakázky'!AJ308)</f>
        <v/>
      </c>
      <c r="I292" s="748" t="str">
        <f>IF(A292="","",'Rozpad zakázky'!Q308)</f>
        <v/>
      </c>
      <c r="J292" s="717" t="str">
        <f>IF(A292="","",ROUNDDOWN('Rozpad zakázky'!L308,1))</f>
        <v/>
      </c>
      <c r="K292" s="745" t="str">
        <f>IF(A292="","",Tabulka_nakup_Vonka[[#This Row],[Počet MJHR v rozpadu]]*Tabulka_nakup_Vonka[[#This Row],[Jedn. hmotnost '[kg/MJHR']]])</f>
        <v/>
      </c>
    </row>
    <row r="293" spans="1:11" x14ac:dyDescent="0.35">
      <c r="A293" s="709" t="str">
        <f>IF('Rozpad zakázky'!E309=0,"",IF('Rozpad zakázky'!E309="-","",'Rozpad zakázky'!E309))</f>
        <v/>
      </c>
      <c r="B293" s="708" t="str">
        <f>IF(A293="","",IF(A293="","",VLOOKUP(A:A,Pomocna_Nakup[],3,0))&amp;" | "&amp;IF(A293="","",VLOOKUP(A:A,Pomocna_Nakup[],4,0)))</f>
        <v/>
      </c>
      <c r="C293" s="710" t="str">
        <f>IF(Tabulka_nakup_Vonka[[#This Row],[Zkratka kalkulační položky]]="","",Tabulka_nakup_Vonka[[#This Row],[Zkratka kalkulační položky]]&amp;" | "&amp;IF(A293="","",VLOOKUP(A:A,Pomocna_Nakup[],2,0)))</f>
        <v/>
      </c>
      <c r="D293" s="710" t="str">
        <f>IF(A293="","",'Rozpad zakázky'!F309)</f>
        <v/>
      </c>
      <c r="E293" s="710" t="str">
        <f>IF(A293="","",'Rozpad zakázky'!D309&amp;IF('Rozpad zakázky'!G309="",""," ("&amp;'Rozpad zakázky'!G309&amp;")"))</f>
        <v/>
      </c>
      <c r="F293" s="709" t="str">
        <f>IF(A293="","",'Rozpad zakázky'!IW309)</f>
        <v/>
      </c>
      <c r="G293" s="711" t="str">
        <f>IF(A293="","",'Rozpad zakázky'!AE309)</f>
        <v/>
      </c>
      <c r="H293" s="717" t="str">
        <f>IF(A293="","",'Rozpad zakázky'!AJ309)</f>
        <v/>
      </c>
      <c r="I293" s="748" t="str">
        <f>IF(A293="","",'Rozpad zakázky'!Q309)</f>
        <v/>
      </c>
      <c r="J293" s="717" t="str">
        <f>IF(A293="","",ROUNDDOWN('Rozpad zakázky'!L309,1))</f>
        <v/>
      </c>
      <c r="K293" s="745" t="str">
        <f>IF(A293="","",Tabulka_nakup_Vonka[[#This Row],[Počet MJHR v rozpadu]]*Tabulka_nakup_Vonka[[#This Row],[Jedn. hmotnost '[kg/MJHR']]])</f>
        <v/>
      </c>
    </row>
    <row r="294" spans="1:11" x14ac:dyDescent="0.35">
      <c r="A294" s="709" t="str">
        <f>IF('Rozpad zakázky'!E310=0,"",IF('Rozpad zakázky'!E310="-","",'Rozpad zakázky'!E310))</f>
        <v/>
      </c>
      <c r="B294" s="708" t="str">
        <f>IF(A294="","",IF(A294="","",VLOOKUP(A:A,Pomocna_Nakup[],3,0))&amp;" | "&amp;IF(A294="","",VLOOKUP(A:A,Pomocna_Nakup[],4,0)))</f>
        <v/>
      </c>
      <c r="C294" s="710" t="str">
        <f>IF(Tabulka_nakup_Vonka[[#This Row],[Zkratka kalkulační položky]]="","",Tabulka_nakup_Vonka[[#This Row],[Zkratka kalkulační položky]]&amp;" | "&amp;IF(A294="","",VLOOKUP(A:A,Pomocna_Nakup[],2,0)))</f>
        <v/>
      </c>
      <c r="D294" s="710" t="str">
        <f>IF(A294="","",'Rozpad zakázky'!F310)</f>
        <v/>
      </c>
      <c r="E294" s="710" t="str">
        <f>IF(A294="","",'Rozpad zakázky'!D310&amp;IF('Rozpad zakázky'!G310="",""," ("&amp;'Rozpad zakázky'!G310&amp;")"))</f>
        <v/>
      </c>
      <c r="F294" s="709" t="str">
        <f>IF(A294="","",'Rozpad zakázky'!IW310)</f>
        <v/>
      </c>
      <c r="G294" s="711" t="str">
        <f>IF(A294="","",'Rozpad zakázky'!AE310)</f>
        <v/>
      </c>
      <c r="H294" s="717" t="str">
        <f>IF(A294="","",'Rozpad zakázky'!AJ310)</f>
        <v/>
      </c>
      <c r="I294" s="748" t="str">
        <f>IF(A294="","",'Rozpad zakázky'!Q310)</f>
        <v/>
      </c>
      <c r="J294" s="717" t="str">
        <f>IF(A294="","",ROUNDDOWN('Rozpad zakázky'!L310,1))</f>
        <v/>
      </c>
      <c r="K294" s="745" t="str">
        <f>IF(A294="","",Tabulka_nakup_Vonka[[#This Row],[Počet MJHR v rozpadu]]*Tabulka_nakup_Vonka[[#This Row],[Jedn. hmotnost '[kg/MJHR']]])</f>
        <v/>
      </c>
    </row>
    <row r="295" spans="1:11" x14ac:dyDescent="0.35">
      <c r="A295" s="709" t="str">
        <f>IF('Rozpad zakázky'!E311=0,"",IF('Rozpad zakázky'!E311="-","",'Rozpad zakázky'!E311))</f>
        <v/>
      </c>
      <c r="B295" s="708" t="str">
        <f>IF(A295="","",IF(A295="","",VLOOKUP(A:A,Pomocna_Nakup[],3,0))&amp;" | "&amp;IF(A295="","",VLOOKUP(A:A,Pomocna_Nakup[],4,0)))</f>
        <v/>
      </c>
      <c r="C295" s="710" t="str">
        <f>IF(Tabulka_nakup_Vonka[[#This Row],[Zkratka kalkulační položky]]="","",Tabulka_nakup_Vonka[[#This Row],[Zkratka kalkulační položky]]&amp;" | "&amp;IF(A295="","",VLOOKUP(A:A,Pomocna_Nakup[],2,0)))</f>
        <v/>
      </c>
      <c r="D295" s="710" t="str">
        <f>IF(A295="","",'Rozpad zakázky'!F311)</f>
        <v/>
      </c>
      <c r="E295" s="710" t="str">
        <f>IF(A295="","",'Rozpad zakázky'!D311&amp;IF('Rozpad zakázky'!G311="",""," ("&amp;'Rozpad zakázky'!G311&amp;")"))</f>
        <v/>
      </c>
      <c r="F295" s="709" t="str">
        <f>IF(A295="","",'Rozpad zakázky'!IW311)</f>
        <v/>
      </c>
      <c r="G295" s="711" t="str">
        <f>IF(A295="","",'Rozpad zakázky'!AE311)</f>
        <v/>
      </c>
      <c r="H295" s="717" t="str">
        <f>IF(A295="","",'Rozpad zakázky'!AJ311)</f>
        <v/>
      </c>
      <c r="I295" s="748" t="str">
        <f>IF(A295="","",'Rozpad zakázky'!Q311)</f>
        <v/>
      </c>
      <c r="J295" s="717" t="str">
        <f>IF(A295="","",ROUNDDOWN('Rozpad zakázky'!L311,1))</f>
        <v/>
      </c>
      <c r="K295" s="745" t="str">
        <f>IF(A295="","",Tabulka_nakup_Vonka[[#This Row],[Počet MJHR v rozpadu]]*Tabulka_nakup_Vonka[[#This Row],[Jedn. hmotnost '[kg/MJHR']]])</f>
        <v/>
      </c>
    </row>
    <row r="296" spans="1:11" x14ac:dyDescent="0.35">
      <c r="A296" s="709" t="str">
        <f>IF('Rozpad zakázky'!E312=0,"",IF('Rozpad zakázky'!E312="-","",'Rozpad zakázky'!E312))</f>
        <v/>
      </c>
      <c r="B296" s="708" t="str">
        <f>IF(A296="","",IF(A296="","",VLOOKUP(A:A,Pomocna_Nakup[],3,0))&amp;" | "&amp;IF(A296="","",VLOOKUP(A:A,Pomocna_Nakup[],4,0)))</f>
        <v/>
      </c>
      <c r="C296" s="710" t="str">
        <f>IF(Tabulka_nakup_Vonka[[#This Row],[Zkratka kalkulační položky]]="","",Tabulka_nakup_Vonka[[#This Row],[Zkratka kalkulační položky]]&amp;" | "&amp;IF(A296="","",VLOOKUP(A:A,Pomocna_Nakup[],2,0)))</f>
        <v/>
      </c>
      <c r="D296" s="710" t="str">
        <f>IF(A296="","",'Rozpad zakázky'!F312)</f>
        <v/>
      </c>
      <c r="E296" s="710" t="str">
        <f>IF(A296="","",'Rozpad zakázky'!D312&amp;IF('Rozpad zakázky'!G312="",""," ("&amp;'Rozpad zakázky'!G312&amp;")"))</f>
        <v/>
      </c>
      <c r="F296" s="709" t="str">
        <f>IF(A296="","",'Rozpad zakázky'!IW312)</f>
        <v/>
      </c>
      <c r="G296" s="711" t="str">
        <f>IF(A296="","",'Rozpad zakázky'!AE312)</f>
        <v/>
      </c>
      <c r="H296" s="717" t="str">
        <f>IF(A296="","",'Rozpad zakázky'!AJ312)</f>
        <v/>
      </c>
      <c r="I296" s="748" t="str">
        <f>IF(A296="","",'Rozpad zakázky'!Q312)</f>
        <v/>
      </c>
      <c r="J296" s="717" t="str">
        <f>IF(A296="","",ROUNDDOWN('Rozpad zakázky'!L312,1))</f>
        <v/>
      </c>
      <c r="K296" s="745" t="str">
        <f>IF(A296="","",Tabulka_nakup_Vonka[[#This Row],[Počet MJHR v rozpadu]]*Tabulka_nakup_Vonka[[#This Row],[Jedn. hmotnost '[kg/MJHR']]])</f>
        <v/>
      </c>
    </row>
    <row r="297" spans="1:11" x14ac:dyDescent="0.35">
      <c r="A297" s="709" t="str">
        <f>IF('Rozpad zakázky'!E313=0,"",IF('Rozpad zakázky'!E313="-","",'Rozpad zakázky'!E313))</f>
        <v/>
      </c>
      <c r="B297" s="708" t="str">
        <f>IF(A297="","",IF(A297="","",VLOOKUP(A:A,Pomocna_Nakup[],3,0))&amp;" | "&amp;IF(A297="","",VLOOKUP(A:A,Pomocna_Nakup[],4,0)))</f>
        <v/>
      </c>
      <c r="C297" s="710" t="str">
        <f>IF(Tabulka_nakup_Vonka[[#This Row],[Zkratka kalkulační položky]]="","",Tabulka_nakup_Vonka[[#This Row],[Zkratka kalkulační položky]]&amp;" | "&amp;IF(A297="","",VLOOKUP(A:A,Pomocna_Nakup[],2,0)))</f>
        <v/>
      </c>
      <c r="D297" s="710" t="str">
        <f>IF(A297="","",'Rozpad zakázky'!F313)</f>
        <v/>
      </c>
      <c r="E297" s="710" t="str">
        <f>IF(A297="","",'Rozpad zakázky'!D313&amp;IF('Rozpad zakázky'!G313="",""," ("&amp;'Rozpad zakázky'!G313&amp;")"))</f>
        <v/>
      </c>
      <c r="F297" s="709" t="str">
        <f>IF(A297="","",'Rozpad zakázky'!IW313)</f>
        <v/>
      </c>
      <c r="G297" s="711" t="str">
        <f>IF(A297="","",'Rozpad zakázky'!AE313)</f>
        <v/>
      </c>
      <c r="H297" s="717" t="str">
        <f>IF(A297="","",'Rozpad zakázky'!AJ313)</f>
        <v/>
      </c>
      <c r="I297" s="748" t="str">
        <f>IF(A297="","",'Rozpad zakázky'!Q313)</f>
        <v/>
      </c>
      <c r="J297" s="717" t="str">
        <f>IF(A297="","",ROUNDDOWN('Rozpad zakázky'!L313,1))</f>
        <v/>
      </c>
      <c r="K297" s="745" t="str">
        <f>IF(A297="","",Tabulka_nakup_Vonka[[#This Row],[Počet MJHR v rozpadu]]*Tabulka_nakup_Vonka[[#This Row],[Jedn. hmotnost '[kg/MJHR']]])</f>
        <v/>
      </c>
    </row>
    <row r="298" spans="1:11" x14ac:dyDescent="0.35">
      <c r="A298" s="709" t="str">
        <f>IF('Rozpad zakázky'!E314=0,"",IF('Rozpad zakázky'!E314="-","",'Rozpad zakázky'!E314))</f>
        <v/>
      </c>
      <c r="B298" s="708" t="str">
        <f>IF(A298="","",IF(A298="","",VLOOKUP(A:A,Pomocna_Nakup[],3,0))&amp;" | "&amp;IF(A298="","",VLOOKUP(A:A,Pomocna_Nakup[],4,0)))</f>
        <v/>
      </c>
      <c r="C298" s="710" t="str">
        <f>IF(Tabulka_nakup_Vonka[[#This Row],[Zkratka kalkulační položky]]="","",Tabulka_nakup_Vonka[[#This Row],[Zkratka kalkulační položky]]&amp;" | "&amp;IF(A298="","",VLOOKUP(A:A,Pomocna_Nakup[],2,0)))</f>
        <v/>
      </c>
      <c r="D298" s="710" t="str">
        <f>IF(A298="","",'Rozpad zakázky'!F314)</f>
        <v/>
      </c>
      <c r="E298" s="710" t="str">
        <f>IF(A298="","",'Rozpad zakázky'!D314&amp;IF('Rozpad zakázky'!G314="",""," ("&amp;'Rozpad zakázky'!G314&amp;")"))</f>
        <v/>
      </c>
      <c r="F298" s="709" t="str">
        <f>IF(A298="","",'Rozpad zakázky'!IW314)</f>
        <v/>
      </c>
      <c r="G298" s="711" t="str">
        <f>IF(A298="","",'Rozpad zakázky'!AE314)</f>
        <v/>
      </c>
      <c r="H298" s="717" t="str">
        <f>IF(A298="","",'Rozpad zakázky'!AJ314)</f>
        <v/>
      </c>
      <c r="I298" s="748" t="str">
        <f>IF(A298="","",'Rozpad zakázky'!Q314)</f>
        <v/>
      </c>
      <c r="J298" s="717" t="str">
        <f>IF(A298="","",ROUNDDOWN('Rozpad zakázky'!L314,1))</f>
        <v/>
      </c>
      <c r="K298" s="745" t="str">
        <f>IF(A298="","",Tabulka_nakup_Vonka[[#This Row],[Počet MJHR v rozpadu]]*Tabulka_nakup_Vonka[[#This Row],[Jedn. hmotnost '[kg/MJHR']]])</f>
        <v/>
      </c>
    </row>
    <row r="299" spans="1:11" x14ac:dyDescent="0.35">
      <c r="A299" s="709" t="str">
        <f>IF('Rozpad zakázky'!E315=0,"",IF('Rozpad zakázky'!E315="-","",'Rozpad zakázky'!E315))</f>
        <v/>
      </c>
      <c r="B299" s="708" t="str">
        <f>IF(A299="","",IF(A299="","",VLOOKUP(A:A,Pomocna_Nakup[],3,0))&amp;" | "&amp;IF(A299="","",VLOOKUP(A:A,Pomocna_Nakup[],4,0)))</f>
        <v/>
      </c>
      <c r="C299" s="710" t="str">
        <f>IF(Tabulka_nakup_Vonka[[#This Row],[Zkratka kalkulační položky]]="","",Tabulka_nakup_Vonka[[#This Row],[Zkratka kalkulační položky]]&amp;" | "&amp;IF(A299="","",VLOOKUP(A:A,Pomocna_Nakup[],2,0)))</f>
        <v/>
      </c>
      <c r="D299" s="710" t="str">
        <f>IF(A299="","",'Rozpad zakázky'!F315)</f>
        <v/>
      </c>
      <c r="E299" s="710" t="str">
        <f>IF(A299="","",'Rozpad zakázky'!D315&amp;IF('Rozpad zakázky'!G315="",""," ("&amp;'Rozpad zakázky'!G315&amp;")"))</f>
        <v/>
      </c>
      <c r="F299" s="709" t="str">
        <f>IF(A299="","",'Rozpad zakázky'!IW315)</f>
        <v/>
      </c>
      <c r="G299" s="711" t="str">
        <f>IF(A299="","",'Rozpad zakázky'!AE315)</f>
        <v/>
      </c>
      <c r="H299" s="717" t="str">
        <f>IF(A299="","",'Rozpad zakázky'!AJ315)</f>
        <v/>
      </c>
      <c r="I299" s="748" t="str">
        <f>IF(A299="","",'Rozpad zakázky'!Q315)</f>
        <v/>
      </c>
      <c r="J299" s="717" t="str">
        <f>IF(A299="","",ROUNDDOWN('Rozpad zakázky'!L315,1))</f>
        <v/>
      </c>
      <c r="K299" s="745" t="str">
        <f>IF(A299="","",Tabulka_nakup_Vonka[[#This Row],[Počet MJHR v rozpadu]]*Tabulka_nakup_Vonka[[#This Row],[Jedn. hmotnost '[kg/MJHR']]])</f>
        <v/>
      </c>
    </row>
    <row r="300" spans="1:11" x14ac:dyDescent="0.35">
      <c r="A300" s="709" t="str">
        <f>IF('Rozpad zakázky'!E316=0,"",IF('Rozpad zakázky'!E316="-","",'Rozpad zakázky'!E316))</f>
        <v/>
      </c>
      <c r="B300" s="708" t="str">
        <f>IF(A300="","",IF(A300="","",VLOOKUP(A:A,Pomocna_Nakup[],3,0))&amp;" | "&amp;IF(A300="","",VLOOKUP(A:A,Pomocna_Nakup[],4,0)))</f>
        <v/>
      </c>
      <c r="C300" s="710" t="str">
        <f>IF(Tabulka_nakup_Vonka[[#This Row],[Zkratka kalkulační položky]]="","",Tabulka_nakup_Vonka[[#This Row],[Zkratka kalkulační položky]]&amp;" | "&amp;IF(A300="","",VLOOKUP(A:A,Pomocna_Nakup[],2,0)))</f>
        <v/>
      </c>
      <c r="D300" s="710" t="str">
        <f>IF(A300="","",'Rozpad zakázky'!F316)</f>
        <v/>
      </c>
      <c r="E300" s="710" t="str">
        <f>IF(A300="","",'Rozpad zakázky'!D316&amp;IF('Rozpad zakázky'!G316="",""," ("&amp;'Rozpad zakázky'!G316&amp;")"))</f>
        <v/>
      </c>
      <c r="F300" s="709" t="str">
        <f>IF(A300="","",'Rozpad zakázky'!IW316)</f>
        <v/>
      </c>
      <c r="G300" s="711" t="str">
        <f>IF(A300="","",'Rozpad zakázky'!AE316)</f>
        <v/>
      </c>
      <c r="H300" s="717" t="str">
        <f>IF(A300="","",'Rozpad zakázky'!AJ316)</f>
        <v/>
      </c>
      <c r="I300" s="748" t="str">
        <f>IF(A300="","",'Rozpad zakázky'!Q316)</f>
        <v/>
      </c>
      <c r="J300" s="717" t="str">
        <f>IF(A300="","",ROUNDDOWN('Rozpad zakázky'!L316,1))</f>
        <v/>
      </c>
      <c r="K300" s="745" t="str">
        <f>IF(A300="","",Tabulka_nakup_Vonka[[#This Row],[Počet MJHR v rozpadu]]*Tabulka_nakup_Vonka[[#This Row],[Jedn. hmotnost '[kg/MJHR']]])</f>
        <v/>
      </c>
    </row>
    <row r="301" spans="1:11" x14ac:dyDescent="0.35">
      <c r="A301" s="709" t="str">
        <f>IF('Rozpad zakázky'!E317=0,"",IF('Rozpad zakázky'!E317="-","",'Rozpad zakázky'!E317))</f>
        <v/>
      </c>
      <c r="B301" s="708" t="str">
        <f>IF(A301="","",IF(A301="","",VLOOKUP(A:A,Pomocna_Nakup[],3,0))&amp;" | "&amp;IF(A301="","",VLOOKUP(A:A,Pomocna_Nakup[],4,0)))</f>
        <v/>
      </c>
      <c r="C301" s="710" t="str">
        <f>IF(Tabulka_nakup_Vonka[[#This Row],[Zkratka kalkulační položky]]="","",Tabulka_nakup_Vonka[[#This Row],[Zkratka kalkulační položky]]&amp;" | "&amp;IF(A301="","",VLOOKUP(A:A,Pomocna_Nakup[],2,0)))</f>
        <v/>
      </c>
      <c r="D301" s="710" t="str">
        <f>IF(A301="","",'Rozpad zakázky'!F317)</f>
        <v/>
      </c>
      <c r="E301" s="710" t="str">
        <f>IF(A301="","",'Rozpad zakázky'!D317&amp;IF('Rozpad zakázky'!G317="",""," ("&amp;'Rozpad zakázky'!G317&amp;")"))</f>
        <v/>
      </c>
      <c r="F301" s="709" t="str">
        <f>IF(A301="","",'Rozpad zakázky'!IW317)</f>
        <v/>
      </c>
      <c r="G301" s="711" t="str">
        <f>IF(A301="","",'Rozpad zakázky'!AE317)</f>
        <v/>
      </c>
      <c r="H301" s="717" t="str">
        <f>IF(A301="","",'Rozpad zakázky'!AJ317)</f>
        <v/>
      </c>
      <c r="I301" s="748" t="str">
        <f>IF(A301="","",'Rozpad zakázky'!Q317)</f>
        <v/>
      </c>
      <c r="J301" s="717" t="str">
        <f>IF(A301="","",ROUNDDOWN('Rozpad zakázky'!L317,1))</f>
        <v/>
      </c>
      <c r="K301" s="745" t="str">
        <f>IF(A301="","",Tabulka_nakup_Vonka[[#This Row],[Počet MJHR v rozpadu]]*Tabulka_nakup_Vonka[[#This Row],[Jedn. hmotnost '[kg/MJHR']]])</f>
        <v/>
      </c>
    </row>
    <row r="302" spans="1:11" x14ac:dyDescent="0.35">
      <c r="A302" s="709" t="str">
        <f>IF('Rozpad zakázky'!E318=0,"",IF('Rozpad zakázky'!E318="-","",'Rozpad zakázky'!E318))</f>
        <v/>
      </c>
      <c r="B302" s="708" t="str">
        <f>IF(A302="","",IF(A302="","",VLOOKUP(A:A,Pomocna_Nakup[],3,0))&amp;" | "&amp;IF(A302="","",VLOOKUP(A:A,Pomocna_Nakup[],4,0)))</f>
        <v/>
      </c>
      <c r="C302" s="710" t="str">
        <f>IF(Tabulka_nakup_Vonka[[#This Row],[Zkratka kalkulační položky]]="","",Tabulka_nakup_Vonka[[#This Row],[Zkratka kalkulační položky]]&amp;" | "&amp;IF(A302="","",VLOOKUP(A:A,Pomocna_Nakup[],2,0)))</f>
        <v/>
      </c>
      <c r="D302" s="710" t="str">
        <f>IF(A302="","",'Rozpad zakázky'!F318)</f>
        <v/>
      </c>
      <c r="E302" s="710" t="str">
        <f>IF(A302="","",'Rozpad zakázky'!D318&amp;IF('Rozpad zakázky'!G318="",""," ("&amp;'Rozpad zakázky'!G318&amp;")"))</f>
        <v/>
      </c>
      <c r="F302" s="709" t="str">
        <f>IF(A302="","",'Rozpad zakázky'!IW318)</f>
        <v/>
      </c>
      <c r="G302" s="711" t="str">
        <f>IF(A302="","",'Rozpad zakázky'!AE318)</f>
        <v/>
      </c>
      <c r="H302" s="717" t="str">
        <f>IF(A302="","",'Rozpad zakázky'!AJ318)</f>
        <v/>
      </c>
      <c r="I302" s="748" t="str">
        <f>IF(A302="","",'Rozpad zakázky'!Q318)</f>
        <v/>
      </c>
      <c r="J302" s="717" t="str">
        <f>IF(A302="","",ROUNDDOWN('Rozpad zakázky'!L318,1))</f>
        <v/>
      </c>
      <c r="K302" s="745" t="str">
        <f>IF(A302="","",Tabulka_nakup_Vonka[[#This Row],[Počet MJHR v rozpadu]]*Tabulka_nakup_Vonka[[#This Row],[Jedn. hmotnost '[kg/MJHR']]])</f>
        <v/>
      </c>
    </row>
    <row r="303" spans="1:11" x14ac:dyDescent="0.35">
      <c r="A303" s="709" t="str">
        <f>IF('Rozpad zakázky'!E319=0,"",IF('Rozpad zakázky'!E319="-","",'Rozpad zakázky'!E319))</f>
        <v/>
      </c>
      <c r="B303" s="708" t="str">
        <f>IF(A303="","",IF(A303="","",VLOOKUP(A:A,Pomocna_Nakup[],3,0))&amp;" | "&amp;IF(A303="","",VLOOKUP(A:A,Pomocna_Nakup[],4,0)))</f>
        <v/>
      </c>
      <c r="C303" s="710" t="str">
        <f>IF(Tabulka_nakup_Vonka[[#This Row],[Zkratka kalkulační položky]]="","",Tabulka_nakup_Vonka[[#This Row],[Zkratka kalkulační položky]]&amp;" | "&amp;IF(A303="","",VLOOKUP(A:A,Pomocna_Nakup[],2,0)))</f>
        <v/>
      </c>
      <c r="D303" s="710" t="str">
        <f>IF(A303="","",'Rozpad zakázky'!F319)</f>
        <v/>
      </c>
      <c r="E303" s="710" t="str">
        <f>IF(A303="","",'Rozpad zakázky'!D319&amp;IF('Rozpad zakázky'!G319="",""," ("&amp;'Rozpad zakázky'!G319&amp;")"))</f>
        <v/>
      </c>
      <c r="F303" s="709" t="str">
        <f>IF(A303="","",'Rozpad zakázky'!IW319)</f>
        <v/>
      </c>
      <c r="G303" s="711" t="str">
        <f>IF(A303="","",'Rozpad zakázky'!AE319)</f>
        <v/>
      </c>
      <c r="H303" s="717" t="str">
        <f>IF(A303="","",'Rozpad zakázky'!AJ319)</f>
        <v/>
      </c>
      <c r="I303" s="748" t="str">
        <f>IF(A303="","",'Rozpad zakázky'!Q319)</f>
        <v/>
      </c>
      <c r="J303" s="717" t="str">
        <f>IF(A303="","",ROUNDDOWN('Rozpad zakázky'!L319,1))</f>
        <v/>
      </c>
      <c r="K303" s="745" t="str">
        <f>IF(A303="","",Tabulka_nakup_Vonka[[#This Row],[Počet MJHR v rozpadu]]*Tabulka_nakup_Vonka[[#This Row],[Jedn. hmotnost '[kg/MJHR']]])</f>
        <v/>
      </c>
    </row>
    <row r="304" spans="1:11" x14ac:dyDescent="0.35">
      <c r="A304" s="709" t="str">
        <f>IF('Rozpad zakázky'!E320=0,"",IF('Rozpad zakázky'!E320="-","",'Rozpad zakázky'!E320))</f>
        <v/>
      </c>
      <c r="B304" s="708" t="str">
        <f>IF(A304="","",IF(A304="","",VLOOKUP(A:A,Pomocna_Nakup[],3,0))&amp;" | "&amp;IF(A304="","",VLOOKUP(A:A,Pomocna_Nakup[],4,0)))</f>
        <v/>
      </c>
      <c r="C304" s="710" t="str">
        <f>IF(Tabulka_nakup_Vonka[[#This Row],[Zkratka kalkulační položky]]="","",Tabulka_nakup_Vonka[[#This Row],[Zkratka kalkulační položky]]&amp;" | "&amp;IF(A304="","",VLOOKUP(A:A,Pomocna_Nakup[],2,0)))</f>
        <v/>
      </c>
      <c r="D304" s="710" t="str">
        <f>IF(A304="","",'Rozpad zakázky'!F320)</f>
        <v/>
      </c>
      <c r="E304" s="710" t="str">
        <f>IF(A304="","",'Rozpad zakázky'!D320&amp;IF('Rozpad zakázky'!G320="",""," ("&amp;'Rozpad zakázky'!G320&amp;")"))</f>
        <v/>
      </c>
      <c r="F304" s="709" t="str">
        <f>IF(A304="","",'Rozpad zakázky'!IW320)</f>
        <v/>
      </c>
      <c r="G304" s="711" t="str">
        <f>IF(A304="","",'Rozpad zakázky'!AE320)</f>
        <v/>
      </c>
      <c r="H304" s="717" t="str">
        <f>IF(A304="","",'Rozpad zakázky'!AJ320)</f>
        <v/>
      </c>
      <c r="I304" s="748" t="str">
        <f>IF(A304="","",'Rozpad zakázky'!Q320)</f>
        <v/>
      </c>
      <c r="J304" s="717" t="str">
        <f>IF(A304="","",ROUNDDOWN('Rozpad zakázky'!L320,1))</f>
        <v/>
      </c>
      <c r="K304" s="745" t="str">
        <f>IF(A304="","",Tabulka_nakup_Vonka[[#This Row],[Počet MJHR v rozpadu]]*Tabulka_nakup_Vonka[[#This Row],[Jedn. hmotnost '[kg/MJHR']]])</f>
        <v/>
      </c>
    </row>
    <row r="305" spans="1:11" x14ac:dyDescent="0.35">
      <c r="A305" s="709" t="str">
        <f>IF('Rozpad zakázky'!E321=0,"",IF('Rozpad zakázky'!E321="-","",'Rozpad zakázky'!E321))</f>
        <v/>
      </c>
      <c r="B305" s="708" t="str">
        <f>IF(A305="","",IF(A305="","",VLOOKUP(A:A,Pomocna_Nakup[],3,0))&amp;" | "&amp;IF(A305="","",VLOOKUP(A:A,Pomocna_Nakup[],4,0)))</f>
        <v/>
      </c>
      <c r="C305" s="710" t="str">
        <f>IF(Tabulka_nakup_Vonka[[#This Row],[Zkratka kalkulační položky]]="","",Tabulka_nakup_Vonka[[#This Row],[Zkratka kalkulační položky]]&amp;" | "&amp;IF(A305="","",VLOOKUP(A:A,Pomocna_Nakup[],2,0)))</f>
        <v/>
      </c>
      <c r="D305" s="710" t="str">
        <f>IF(A305="","",'Rozpad zakázky'!F321)</f>
        <v/>
      </c>
      <c r="E305" s="710" t="str">
        <f>IF(A305="","",'Rozpad zakázky'!D321&amp;IF('Rozpad zakázky'!G321="",""," ("&amp;'Rozpad zakázky'!G321&amp;")"))</f>
        <v/>
      </c>
      <c r="F305" s="709" t="str">
        <f>IF(A305="","",'Rozpad zakázky'!IW321)</f>
        <v/>
      </c>
      <c r="G305" s="711" t="str">
        <f>IF(A305="","",'Rozpad zakázky'!AE321)</f>
        <v/>
      </c>
      <c r="H305" s="717" t="str">
        <f>IF(A305="","",'Rozpad zakázky'!AJ321)</f>
        <v/>
      </c>
      <c r="I305" s="748" t="str">
        <f>IF(A305="","",'Rozpad zakázky'!Q321)</f>
        <v/>
      </c>
      <c r="J305" s="717" t="str">
        <f>IF(A305="","",ROUNDDOWN('Rozpad zakázky'!L321,1))</f>
        <v/>
      </c>
      <c r="K305" s="745" t="str">
        <f>IF(A305="","",Tabulka_nakup_Vonka[[#This Row],[Počet MJHR v rozpadu]]*Tabulka_nakup_Vonka[[#This Row],[Jedn. hmotnost '[kg/MJHR']]])</f>
        <v/>
      </c>
    </row>
    <row r="306" spans="1:11" x14ac:dyDescent="0.35">
      <c r="A306" s="709" t="str">
        <f>IF('Rozpad zakázky'!E322=0,"",IF('Rozpad zakázky'!E322="-","",'Rozpad zakázky'!E322))</f>
        <v/>
      </c>
      <c r="B306" s="708" t="str">
        <f>IF(A306="","",IF(A306="","",VLOOKUP(A:A,Pomocna_Nakup[],3,0))&amp;" | "&amp;IF(A306="","",VLOOKUP(A:A,Pomocna_Nakup[],4,0)))</f>
        <v/>
      </c>
      <c r="C306" s="710" t="str">
        <f>IF(Tabulka_nakup_Vonka[[#This Row],[Zkratka kalkulační položky]]="","",Tabulka_nakup_Vonka[[#This Row],[Zkratka kalkulační položky]]&amp;" | "&amp;IF(A306="","",VLOOKUP(A:A,Pomocna_Nakup[],2,0)))</f>
        <v/>
      </c>
      <c r="D306" s="710" t="str">
        <f>IF(A306="","",'Rozpad zakázky'!F322)</f>
        <v/>
      </c>
      <c r="E306" s="710" t="str">
        <f>IF(A306="","",'Rozpad zakázky'!D322&amp;IF('Rozpad zakázky'!G322="",""," ("&amp;'Rozpad zakázky'!G322&amp;")"))</f>
        <v/>
      </c>
      <c r="F306" s="709" t="str">
        <f>IF(A306="","",'Rozpad zakázky'!IW322)</f>
        <v/>
      </c>
      <c r="G306" s="711" t="str">
        <f>IF(A306="","",'Rozpad zakázky'!AE322)</f>
        <v/>
      </c>
      <c r="H306" s="717" t="str">
        <f>IF(A306="","",'Rozpad zakázky'!AJ322)</f>
        <v/>
      </c>
      <c r="I306" s="748" t="str">
        <f>IF(A306="","",'Rozpad zakázky'!Q322)</f>
        <v/>
      </c>
      <c r="J306" s="717" t="str">
        <f>IF(A306="","",ROUNDDOWN('Rozpad zakázky'!L322,1))</f>
        <v/>
      </c>
      <c r="K306" s="745" t="str">
        <f>IF(A306="","",Tabulka_nakup_Vonka[[#This Row],[Počet MJHR v rozpadu]]*Tabulka_nakup_Vonka[[#This Row],[Jedn. hmotnost '[kg/MJHR']]])</f>
        <v/>
      </c>
    </row>
    <row r="307" spans="1:11" x14ac:dyDescent="0.35">
      <c r="A307" s="709" t="str">
        <f>IF('Rozpad zakázky'!E323=0,"",IF('Rozpad zakázky'!E323="-","",'Rozpad zakázky'!E323))</f>
        <v/>
      </c>
      <c r="B307" s="708" t="str">
        <f>IF(A307="","",IF(A307="","",VLOOKUP(A:A,Pomocna_Nakup[],3,0))&amp;" | "&amp;IF(A307="","",VLOOKUP(A:A,Pomocna_Nakup[],4,0)))</f>
        <v/>
      </c>
      <c r="C307" s="710" t="str">
        <f>IF(Tabulka_nakup_Vonka[[#This Row],[Zkratka kalkulační položky]]="","",Tabulka_nakup_Vonka[[#This Row],[Zkratka kalkulační položky]]&amp;" | "&amp;IF(A307="","",VLOOKUP(A:A,Pomocna_Nakup[],2,0)))</f>
        <v/>
      </c>
      <c r="D307" s="710" t="str">
        <f>IF(A307="","",'Rozpad zakázky'!F323)</f>
        <v/>
      </c>
      <c r="E307" s="710" t="str">
        <f>IF(A307="","",'Rozpad zakázky'!D323&amp;IF('Rozpad zakázky'!G323="",""," ("&amp;'Rozpad zakázky'!G323&amp;")"))</f>
        <v/>
      </c>
      <c r="F307" s="709" t="str">
        <f>IF(A307="","",'Rozpad zakázky'!IW323)</f>
        <v/>
      </c>
      <c r="G307" s="711" t="str">
        <f>IF(A307="","",'Rozpad zakázky'!AE323)</f>
        <v/>
      </c>
      <c r="H307" s="717" t="str">
        <f>IF(A307="","",'Rozpad zakázky'!AJ323)</f>
        <v/>
      </c>
      <c r="I307" s="748" t="str">
        <f>IF(A307="","",'Rozpad zakázky'!Q323)</f>
        <v/>
      </c>
      <c r="J307" s="717" t="str">
        <f>IF(A307="","",ROUNDDOWN('Rozpad zakázky'!L323,1))</f>
        <v/>
      </c>
      <c r="K307" s="745" t="str">
        <f>IF(A307="","",Tabulka_nakup_Vonka[[#This Row],[Počet MJHR v rozpadu]]*Tabulka_nakup_Vonka[[#This Row],[Jedn. hmotnost '[kg/MJHR']]])</f>
        <v/>
      </c>
    </row>
    <row r="308" spans="1:11" x14ac:dyDescent="0.35">
      <c r="A308" s="709" t="str">
        <f>IF('Rozpad zakázky'!E324=0,"",IF('Rozpad zakázky'!E324="-","",'Rozpad zakázky'!E324))</f>
        <v/>
      </c>
      <c r="B308" s="708" t="str">
        <f>IF(A308="","",IF(A308="","",VLOOKUP(A:A,Pomocna_Nakup[],3,0))&amp;" | "&amp;IF(A308="","",VLOOKUP(A:A,Pomocna_Nakup[],4,0)))</f>
        <v/>
      </c>
      <c r="C308" s="710" t="str">
        <f>IF(Tabulka_nakup_Vonka[[#This Row],[Zkratka kalkulační položky]]="","",Tabulka_nakup_Vonka[[#This Row],[Zkratka kalkulační položky]]&amp;" | "&amp;IF(A308="","",VLOOKUP(A:A,Pomocna_Nakup[],2,0)))</f>
        <v/>
      </c>
      <c r="D308" s="710" t="str">
        <f>IF(A308="","",'Rozpad zakázky'!F324)</f>
        <v/>
      </c>
      <c r="E308" s="710" t="str">
        <f>IF(A308="","",'Rozpad zakázky'!D324&amp;IF('Rozpad zakázky'!G324="",""," ("&amp;'Rozpad zakázky'!G324&amp;")"))</f>
        <v/>
      </c>
      <c r="F308" s="709" t="str">
        <f>IF(A308="","",'Rozpad zakázky'!IW324)</f>
        <v/>
      </c>
      <c r="G308" s="711" t="str">
        <f>IF(A308="","",'Rozpad zakázky'!AE324)</f>
        <v/>
      </c>
      <c r="H308" s="717" t="str">
        <f>IF(A308="","",'Rozpad zakázky'!AJ324)</f>
        <v/>
      </c>
      <c r="I308" s="748" t="str">
        <f>IF(A308="","",'Rozpad zakázky'!Q324)</f>
        <v/>
      </c>
      <c r="J308" s="717" t="str">
        <f>IF(A308="","",ROUNDDOWN('Rozpad zakázky'!L324,1))</f>
        <v/>
      </c>
      <c r="K308" s="745" t="str">
        <f>IF(A308="","",Tabulka_nakup_Vonka[[#This Row],[Počet MJHR v rozpadu]]*Tabulka_nakup_Vonka[[#This Row],[Jedn. hmotnost '[kg/MJHR']]])</f>
        <v/>
      </c>
    </row>
    <row r="309" spans="1:11" x14ac:dyDescent="0.35">
      <c r="A309" s="709" t="str">
        <f>IF('Rozpad zakázky'!E325=0,"",IF('Rozpad zakázky'!E325="-","",'Rozpad zakázky'!E325))</f>
        <v/>
      </c>
      <c r="B309" s="708" t="str">
        <f>IF(A309="","",IF(A309="","",VLOOKUP(A:A,Pomocna_Nakup[],3,0))&amp;" | "&amp;IF(A309="","",VLOOKUP(A:A,Pomocna_Nakup[],4,0)))</f>
        <v/>
      </c>
      <c r="C309" s="710" t="str">
        <f>IF(Tabulka_nakup_Vonka[[#This Row],[Zkratka kalkulační položky]]="","",Tabulka_nakup_Vonka[[#This Row],[Zkratka kalkulační položky]]&amp;" | "&amp;IF(A309="","",VLOOKUP(A:A,Pomocna_Nakup[],2,0)))</f>
        <v/>
      </c>
      <c r="D309" s="710" t="str">
        <f>IF(A309="","",'Rozpad zakázky'!F325)</f>
        <v/>
      </c>
      <c r="E309" s="710" t="str">
        <f>IF(A309="","",'Rozpad zakázky'!D325&amp;IF('Rozpad zakázky'!G325="",""," ("&amp;'Rozpad zakázky'!G325&amp;")"))</f>
        <v/>
      </c>
      <c r="F309" s="709" t="str">
        <f>IF(A309="","",'Rozpad zakázky'!IW325)</f>
        <v/>
      </c>
      <c r="G309" s="711" t="str">
        <f>IF(A309="","",'Rozpad zakázky'!AE325)</f>
        <v/>
      </c>
      <c r="H309" s="717" t="str">
        <f>IF(A309="","",'Rozpad zakázky'!AJ325)</f>
        <v/>
      </c>
      <c r="I309" s="748" t="str">
        <f>IF(A309="","",'Rozpad zakázky'!Q325)</f>
        <v/>
      </c>
      <c r="J309" s="717" t="str">
        <f>IF(A309="","",ROUNDDOWN('Rozpad zakázky'!L325,1))</f>
        <v/>
      </c>
      <c r="K309" s="745" t="str">
        <f>IF(A309="","",Tabulka_nakup_Vonka[[#This Row],[Počet MJHR v rozpadu]]*Tabulka_nakup_Vonka[[#This Row],[Jedn. hmotnost '[kg/MJHR']]])</f>
        <v/>
      </c>
    </row>
    <row r="310" spans="1:11" x14ac:dyDescent="0.35">
      <c r="A310" s="709" t="str">
        <f>IF('Rozpad zakázky'!E326=0,"",IF('Rozpad zakázky'!E326="-","",'Rozpad zakázky'!E326))</f>
        <v/>
      </c>
      <c r="B310" s="708" t="str">
        <f>IF(A310="","",IF(A310="","",VLOOKUP(A:A,Pomocna_Nakup[],3,0))&amp;" | "&amp;IF(A310="","",VLOOKUP(A:A,Pomocna_Nakup[],4,0)))</f>
        <v/>
      </c>
      <c r="C310" s="710" t="str">
        <f>IF(Tabulka_nakup_Vonka[[#This Row],[Zkratka kalkulační položky]]="","",Tabulka_nakup_Vonka[[#This Row],[Zkratka kalkulační položky]]&amp;" | "&amp;IF(A310="","",VLOOKUP(A:A,Pomocna_Nakup[],2,0)))</f>
        <v/>
      </c>
      <c r="D310" s="710" t="str">
        <f>IF(A310="","",'Rozpad zakázky'!F326)</f>
        <v/>
      </c>
      <c r="E310" s="710" t="str">
        <f>IF(A310="","",'Rozpad zakázky'!D326&amp;IF('Rozpad zakázky'!G326="",""," ("&amp;'Rozpad zakázky'!G326&amp;")"))</f>
        <v/>
      </c>
      <c r="F310" s="709" t="str">
        <f>IF(A310="","",'Rozpad zakázky'!IW326)</f>
        <v/>
      </c>
      <c r="G310" s="711" t="str">
        <f>IF(A310="","",'Rozpad zakázky'!AE326)</f>
        <v/>
      </c>
      <c r="H310" s="717" t="str">
        <f>IF(A310="","",'Rozpad zakázky'!AJ326)</f>
        <v/>
      </c>
      <c r="I310" s="748" t="str">
        <f>IF(A310="","",'Rozpad zakázky'!Q326)</f>
        <v/>
      </c>
      <c r="J310" s="717" t="str">
        <f>IF(A310="","",ROUNDDOWN('Rozpad zakázky'!L326,1))</f>
        <v/>
      </c>
      <c r="K310" s="745" t="str">
        <f>IF(A310="","",Tabulka_nakup_Vonka[[#This Row],[Počet MJHR v rozpadu]]*Tabulka_nakup_Vonka[[#This Row],[Jedn. hmotnost '[kg/MJHR']]])</f>
        <v/>
      </c>
    </row>
    <row r="311" spans="1:11" x14ac:dyDescent="0.35">
      <c r="A311" s="709" t="str">
        <f>IF('Rozpad zakázky'!E327=0,"",IF('Rozpad zakázky'!E327="-","",'Rozpad zakázky'!E327))</f>
        <v/>
      </c>
      <c r="B311" s="708" t="str">
        <f>IF(A311="","",IF(A311="","",VLOOKUP(A:A,Pomocna_Nakup[],3,0))&amp;" | "&amp;IF(A311="","",VLOOKUP(A:A,Pomocna_Nakup[],4,0)))</f>
        <v/>
      </c>
      <c r="C311" s="710" t="str">
        <f>IF(Tabulka_nakup_Vonka[[#This Row],[Zkratka kalkulační položky]]="","",Tabulka_nakup_Vonka[[#This Row],[Zkratka kalkulační položky]]&amp;" | "&amp;IF(A311="","",VLOOKUP(A:A,Pomocna_Nakup[],2,0)))</f>
        <v/>
      </c>
      <c r="D311" s="710" t="str">
        <f>IF(A311="","",'Rozpad zakázky'!F327)</f>
        <v/>
      </c>
      <c r="E311" s="710" t="str">
        <f>IF(A311="","",'Rozpad zakázky'!D327&amp;IF('Rozpad zakázky'!G327="",""," ("&amp;'Rozpad zakázky'!G327&amp;")"))</f>
        <v/>
      </c>
      <c r="F311" s="709" t="str">
        <f>IF(A311="","",'Rozpad zakázky'!IW327)</f>
        <v/>
      </c>
      <c r="G311" s="711" t="str">
        <f>IF(A311="","",'Rozpad zakázky'!AE327)</f>
        <v/>
      </c>
      <c r="H311" s="717" t="str">
        <f>IF(A311="","",'Rozpad zakázky'!AJ327)</f>
        <v/>
      </c>
      <c r="I311" s="748" t="str">
        <f>IF(A311="","",'Rozpad zakázky'!Q327)</f>
        <v/>
      </c>
      <c r="J311" s="717" t="str">
        <f>IF(A311="","",ROUNDDOWN('Rozpad zakázky'!L327,1))</f>
        <v/>
      </c>
      <c r="K311" s="745" t="str">
        <f>IF(A311="","",Tabulka_nakup_Vonka[[#This Row],[Počet MJHR v rozpadu]]*Tabulka_nakup_Vonka[[#This Row],[Jedn. hmotnost '[kg/MJHR']]])</f>
        <v/>
      </c>
    </row>
    <row r="312" spans="1:11" x14ac:dyDescent="0.35">
      <c r="A312" s="709" t="str">
        <f>IF('Rozpad zakázky'!E328=0,"",IF('Rozpad zakázky'!E328="-","",'Rozpad zakázky'!E328))</f>
        <v/>
      </c>
      <c r="B312" s="708" t="str">
        <f>IF(A312="","",IF(A312="","",VLOOKUP(A:A,Pomocna_Nakup[],3,0))&amp;" | "&amp;IF(A312="","",VLOOKUP(A:A,Pomocna_Nakup[],4,0)))</f>
        <v/>
      </c>
      <c r="C312" s="710" t="str">
        <f>IF(Tabulka_nakup_Vonka[[#This Row],[Zkratka kalkulační položky]]="","",Tabulka_nakup_Vonka[[#This Row],[Zkratka kalkulační položky]]&amp;" | "&amp;IF(A312="","",VLOOKUP(A:A,Pomocna_Nakup[],2,0)))</f>
        <v/>
      </c>
      <c r="D312" s="710" t="str">
        <f>IF(A312="","",'Rozpad zakázky'!F328)</f>
        <v/>
      </c>
      <c r="E312" s="710" t="str">
        <f>IF(A312="","",'Rozpad zakázky'!D328&amp;IF('Rozpad zakázky'!G328="",""," ("&amp;'Rozpad zakázky'!G328&amp;")"))</f>
        <v/>
      </c>
      <c r="F312" s="709" t="str">
        <f>IF(A312="","",'Rozpad zakázky'!IW328)</f>
        <v/>
      </c>
      <c r="G312" s="711" t="str">
        <f>IF(A312="","",'Rozpad zakázky'!AE328)</f>
        <v/>
      </c>
      <c r="H312" s="717" t="str">
        <f>IF(A312="","",'Rozpad zakázky'!AJ328)</f>
        <v/>
      </c>
      <c r="I312" s="748" t="str">
        <f>IF(A312="","",'Rozpad zakázky'!Q328)</f>
        <v/>
      </c>
      <c r="J312" s="717" t="str">
        <f>IF(A312="","",ROUNDDOWN('Rozpad zakázky'!L328,1))</f>
        <v/>
      </c>
      <c r="K312" s="745" t="str">
        <f>IF(A312="","",Tabulka_nakup_Vonka[[#This Row],[Počet MJHR v rozpadu]]*Tabulka_nakup_Vonka[[#This Row],[Jedn. hmotnost '[kg/MJHR']]])</f>
        <v/>
      </c>
    </row>
    <row r="313" spans="1:11" x14ac:dyDescent="0.35">
      <c r="A313" s="709" t="str">
        <f>IF('Rozpad zakázky'!E329=0,"",IF('Rozpad zakázky'!E329="-","",'Rozpad zakázky'!E329))</f>
        <v/>
      </c>
      <c r="B313" s="708" t="str">
        <f>IF(A313="","",IF(A313="","",VLOOKUP(A:A,Pomocna_Nakup[],3,0))&amp;" | "&amp;IF(A313="","",VLOOKUP(A:A,Pomocna_Nakup[],4,0)))</f>
        <v/>
      </c>
      <c r="C313" s="710" t="str">
        <f>IF(Tabulka_nakup_Vonka[[#This Row],[Zkratka kalkulační položky]]="","",Tabulka_nakup_Vonka[[#This Row],[Zkratka kalkulační položky]]&amp;" | "&amp;IF(A313="","",VLOOKUP(A:A,Pomocna_Nakup[],2,0)))</f>
        <v/>
      </c>
      <c r="D313" s="710" t="str">
        <f>IF(A313="","",'Rozpad zakázky'!F329)</f>
        <v/>
      </c>
      <c r="E313" s="710" t="str">
        <f>IF(A313="","",'Rozpad zakázky'!D329&amp;IF('Rozpad zakázky'!G329="",""," ("&amp;'Rozpad zakázky'!G329&amp;")"))</f>
        <v/>
      </c>
      <c r="F313" s="709" t="str">
        <f>IF(A313="","",'Rozpad zakázky'!IW329)</f>
        <v/>
      </c>
      <c r="G313" s="711" t="str">
        <f>IF(A313="","",'Rozpad zakázky'!AE329)</f>
        <v/>
      </c>
      <c r="H313" s="717" t="str">
        <f>IF(A313="","",'Rozpad zakázky'!AJ329)</f>
        <v/>
      </c>
      <c r="I313" s="748" t="str">
        <f>IF(A313="","",'Rozpad zakázky'!Q329)</f>
        <v/>
      </c>
      <c r="J313" s="717" t="str">
        <f>IF(A313="","",ROUNDDOWN('Rozpad zakázky'!L329,1))</f>
        <v/>
      </c>
      <c r="K313" s="745" t="str">
        <f>IF(A313="","",Tabulka_nakup_Vonka[[#This Row],[Počet MJHR v rozpadu]]*Tabulka_nakup_Vonka[[#This Row],[Jedn. hmotnost '[kg/MJHR']]])</f>
        <v/>
      </c>
    </row>
    <row r="314" spans="1:11" x14ac:dyDescent="0.35">
      <c r="A314" s="709" t="str">
        <f>IF('Rozpad zakázky'!E330=0,"",IF('Rozpad zakázky'!E330="-","",'Rozpad zakázky'!E330))</f>
        <v/>
      </c>
      <c r="B314" s="708" t="str">
        <f>IF(A314="","",IF(A314="","",VLOOKUP(A:A,Pomocna_Nakup[],3,0))&amp;" | "&amp;IF(A314="","",VLOOKUP(A:A,Pomocna_Nakup[],4,0)))</f>
        <v/>
      </c>
      <c r="C314" s="710" t="str">
        <f>IF(Tabulka_nakup_Vonka[[#This Row],[Zkratka kalkulační položky]]="","",Tabulka_nakup_Vonka[[#This Row],[Zkratka kalkulační položky]]&amp;" | "&amp;IF(A314="","",VLOOKUP(A:A,Pomocna_Nakup[],2,0)))</f>
        <v/>
      </c>
      <c r="D314" s="710" t="str">
        <f>IF(A314="","",'Rozpad zakázky'!F330)</f>
        <v/>
      </c>
      <c r="E314" s="710" t="str">
        <f>IF(A314="","",'Rozpad zakázky'!D330&amp;IF('Rozpad zakázky'!G330="",""," ("&amp;'Rozpad zakázky'!G330&amp;")"))</f>
        <v/>
      </c>
      <c r="F314" s="709" t="str">
        <f>IF(A314="","",'Rozpad zakázky'!IW330)</f>
        <v/>
      </c>
      <c r="G314" s="711" t="str">
        <f>IF(A314="","",'Rozpad zakázky'!AE330)</f>
        <v/>
      </c>
      <c r="H314" s="717" t="str">
        <f>IF(A314="","",'Rozpad zakázky'!AJ330)</f>
        <v/>
      </c>
      <c r="I314" s="748" t="str">
        <f>IF(A314="","",'Rozpad zakázky'!Q330)</f>
        <v/>
      </c>
      <c r="J314" s="717" t="str">
        <f>IF(A314="","",ROUNDDOWN('Rozpad zakázky'!L330,1))</f>
        <v/>
      </c>
      <c r="K314" s="745" t="str">
        <f>IF(A314="","",Tabulka_nakup_Vonka[[#This Row],[Počet MJHR v rozpadu]]*Tabulka_nakup_Vonka[[#This Row],[Jedn. hmotnost '[kg/MJHR']]])</f>
        <v/>
      </c>
    </row>
    <row r="315" spans="1:11" x14ac:dyDescent="0.35">
      <c r="A315" s="709" t="str">
        <f>IF('Rozpad zakázky'!E331=0,"",IF('Rozpad zakázky'!E331="-","",'Rozpad zakázky'!E331))</f>
        <v/>
      </c>
      <c r="B315" s="708" t="str">
        <f>IF(A315="","",IF(A315="","",VLOOKUP(A:A,Pomocna_Nakup[],3,0))&amp;" | "&amp;IF(A315="","",VLOOKUP(A:A,Pomocna_Nakup[],4,0)))</f>
        <v/>
      </c>
      <c r="C315" s="710" t="str">
        <f>IF(Tabulka_nakup_Vonka[[#This Row],[Zkratka kalkulační položky]]="","",Tabulka_nakup_Vonka[[#This Row],[Zkratka kalkulační položky]]&amp;" | "&amp;IF(A315="","",VLOOKUP(A:A,Pomocna_Nakup[],2,0)))</f>
        <v/>
      </c>
      <c r="D315" s="710" t="str">
        <f>IF(A315="","",'Rozpad zakázky'!F331)</f>
        <v/>
      </c>
      <c r="E315" s="710" t="str">
        <f>IF(A315="","",'Rozpad zakázky'!D331&amp;IF('Rozpad zakázky'!G331="",""," ("&amp;'Rozpad zakázky'!G331&amp;")"))</f>
        <v/>
      </c>
      <c r="F315" s="709" t="str">
        <f>IF(A315="","",'Rozpad zakázky'!IW331)</f>
        <v/>
      </c>
      <c r="G315" s="711" t="str">
        <f>IF(A315="","",'Rozpad zakázky'!AE331)</f>
        <v/>
      </c>
      <c r="H315" s="717" t="str">
        <f>IF(A315="","",'Rozpad zakázky'!AJ331)</f>
        <v/>
      </c>
      <c r="I315" s="748" t="str">
        <f>IF(A315="","",'Rozpad zakázky'!Q331)</f>
        <v/>
      </c>
      <c r="J315" s="717" t="str">
        <f>IF(A315="","",ROUNDDOWN('Rozpad zakázky'!L331,1))</f>
        <v/>
      </c>
      <c r="K315" s="745" t="str">
        <f>IF(A315="","",Tabulka_nakup_Vonka[[#This Row],[Počet MJHR v rozpadu]]*Tabulka_nakup_Vonka[[#This Row],[Jedn. hmotnost '[kg/MJHR']]])</f>
        <v/>
      </c>
    </row>
    <row r="316" spans="1:11" x14ac:dyDescent="0.35">
      <c r="A316" s="709" t="str">
        <f>IF('Rozpad zakázky'!E332=0,"",IF('Rozpad zakázky'!E332="-","",'Rozpad zakázky'!E332))</f>
        <v/>
      </c>
      <c r="B316" s="708" t="str">
        <f>IF(A316="","",IF(A316="","",VLOOKUP(A:A,Pomocna_Nakup[],3,0))&amp;" | "&amp;IF(A316="","",VLOOKUP(A:A,Pomocna_Nakup[],4,0)))</f>
        <v/>
      </c>
      <c r="C316" s="710" t="str">
        <f>IF(Tabulka_nakup_Vonka[[#This Row],[Zkratka kalkulační položky]]="","",Tabulka_nakup_Vonka[[#This Row],[Zkratka kalkulační položky]]&amp;" | "&amp;IF(A316="","",VLOOKUP(A:A,Pomocna_Nakup[],2,0)))</f>
        <v/>
      </c>
      <c r="D316" s="710" t="str">
        <f>IF(A316="","",'Rozpad zakázky'!F332)</f>
        <v/>
      </c>
      <c r="E316" s="710" t="str">
        <f>IF(A316="","",'Rozpad zakázky'!D332&amp;IF('Rozpad zakázky'!G332="",""," ("&amp;'Rozpad zakázky'!G332&amp;")"))</f>
        <v/>
      </c>
      <c r="F316" s="709" t="str">
        <f>IF(A316="","",'Rozpad zakázky'!IW332)</f>
        <v/>
      </c>
      <c r="G316" s="711" t="str">
        <f>IF(A316="","",'Rozpad zakázky'!AE332)</f>
        <v/>
      </c>
      <c r="H316" s="717" t="str">
        <f>IF(A316="","",'Rozpad zakázky'!AJ332)</f>
        <v/>
      </c>
      <c r="I316" s="748" t="str">
        <f>IF(A316="","",'Rozpad zakázky'!Q332)</f>
        <v/>
      </c>
      <c r="J316" s="717" t="str">
        <f>IF(A316="","",ROUNDDOWN('Rozpad zakázky'!L332,1))</f>
        <v/>
      </c>
      <c r="K316" s="745" t="str">
        <f>IF(A316="","",Tabulka_nakup_Vonka[[#This Row],[Počet MJHR v rozpadu]]*Tabulka_nakup_Vonka[[#This Row],[Jedn. hmotnost '[kg/MJHR']]])</f>
        <v/>
      </c>
    </row>
    <row r="317" spans="1:11" x14ac:dyDescent="0.35">
      <c r="A317" s="709" t="str">
        <f>IF('Rozpad zakázky'!E333=0,"",IF('Rozpad zakázky'!E333="-","",'Rozpad zakázky'!E333))</f>
        <v/>
      </c>
      <c r="B317" s="708" t="str">
        <f>IF(A317="","",IF(A317="","",VLOOKUP(A:A,Pomocna_Nakup[],3,0))&amp;" | "&amp;IF(A317="","",VLOOKUP(A:A,Pomocna_Nakup[],4,0)))</f>
        <v/>
      </c>
      <c r="C317" s="710" t="str">
        <f>IF(Tabulka_nakup_Vonka[[#This Row],[Zkratka kalkulační položky]]="","",Tabulka_nakup_Vonka[[#This Row],[Zkratka kalkulační položky]]&amp;" | "&amp;IF(A317="","",VLOOKUP(A:A,Pomocna_Nakup[],2,0)))</f>
        <v/>
      </c>
      <c r="D317" s="710" t="str">
        <f>IF(A317="","",'Rozpad zakázky'!F333)</f>
        <v/>
      </c>
      <c r="E317" s="710" t="str">
        <f>IF(A317="","",'Rozpad zakázky'!D333&amp;IF('Rozpad zakázky'!G333="",""," ("&amp;'Rozpad zakázky'!G333&amp;")"))</f>
        <v/>
      </c>
      <c r="F317" s="709" t="str">
        <f>IF(A317="","",'Rozpad zakázky'!IW333)</f>
        <v/>
      </c>
      <c r="G317" s="711" t="str">
        <f>IF(A317="","",'Rozpad zakázky'!AE333)</f>
        <v/>
      </c>
      <c r="H317" s="717" t="str">
        <f>IF(A317="","",'Rozpad zakázky'!AJ333)</f>
        <v/>
      </c>
      <c r="I317" s="748" t="str">
        <f>IF(A317="","",'Rozpad zakázky'!Q333)</f>
        <v/>
      </c>
      <c r="J317" s="717" t="str">
        <f>IF(A317="","",ROUNDDOWN('Rozpad zakázky'!L333,1))</f>
        <v/>
      </c>
      <c r="K317" s="745" t="str">
        <f>IF(A317="","",Tabulka_nakup_Vonka[[#This Row],[Počet MJHR v rozpadu]]*Tabulka_nakup_Vonka[[#This Row],[Jedn. hmotnost '[kg/MJHR']]])</f>
        <v/>
      </c>
    </row>
    <row r="318" spans="1:11" x14ac:dyDescent="0.35">
      <c r="A318" s="709" t="str">
        <f>IF('Rozpad zakázky'!E334=0,"",IF('Rozpad zakázky'!E334="-","",'Rozpad zakázky'!E334))</f>
        <v/>
      </c>
      <c r="B318" s="708" t="str">
        <f>IF(A318="","",IF(A318="","",VLOOKUP(A:A,Pomocna_Nakup[],3,0))&amp;" | "&amp;IF(A318="","",VLOOKUP(A:A,Pomocna_Nakup[],4,0)))</f>
        <v/>
      </c>
      <c r="C318" s="710" t="str">
        <f>IF(Tabulka_nakup_Vonka[[#This Row],[Zkratka kalkulační položky]]="","",Tabulka_nakup_Vonka[[#This Row],[Zkratka kalkulační položky]]&amp;" | "&amp;IF(A318="","",VLOOKUP(A:A,Pomocna_Nakup[],2,0)))</f>
        <v/>
      </c>
      <c r="D318" s="710" t="str">
        <f>IF(A318="","",'Rozpad zakázky'!F334)</f>
        <v/>
      </c>
      <c r="E318" s="710" t="str">
        <f>IF(A318="","",'Rozpad zakázky'!D334&amp;IF('Rozpad zakázky'!G334="",""," ("&amp;'Rozpad zakázky'!G334&amp;")"))</f>
        <v/>
      </c>
      <c r="F318" s="709" t="str">
        <f>IF(A318="","",'Rozpad zakázky'!IW334)</f>
        <v/>
      </c>
      <c r="G318" s="711" t="str">
        <f>IF(A318="","",'Rozpad zakázky'!AE334)</f>
        <v/>
      </c>
      <c r="H318" s="717" t="str">
        <f>IF(A318="","",'Rozpad zakázky'!AJ334)</f>
        <v/>
      </c>
      <c r="I318" s="748" t="str">
        <f>IF(A318="","",'Rozpad zakázky'!Q334)</f>
        <v/>
      </c>
      <c r="J318" s="717" t="str">
        <f>IF(A318="","",ROUNDDOWN('Rozpad zakázky'!L334,1))</f>
        <v/>
      </c>
      <c r="K318" s="745" t="str">
        <f>IF(A318="","",Tabulka_nakup_Vonka[[#This Row],[Počet MJHR v rozpadu]]*Tabulka_nakup_Vonka[[#This Row],[Jedn. hmotnost '[kg/MJHR']]])</f>
        <v/>
      </c>
    </row>
    <row r="319" spans="1:11" x14ac:dyDescent="0.35">
      <c r="A319" s="709" t="str">
        <f>IF('Rozpad zakázky'!E335=0,"",IF('Rozpad zakázky'!E335="-","",'Rozpad zakázky'!E335))</f>
        <v/>
      </c>
      <c r="B319" s="708" t="str">
        <f>IF(A319="","",IF(A319="","",VLOOKUP(A:A,Pomocna_Nakup[],3,0))&amp;" | "&amp;IF(A319="","",VLOOKUP(A:A,Pomocna_Nakup[],4,0)))</f>
        <v/>
      </c>
      <c r="C319" s="710" t="str">
        <f>IF(Tabulka_nakup_Vonka[[#This Row],[Zkratka kalkulační položky]]="","",Tabulka_nakup_Vonka[[#This Row],[Zkratka kalkulační položky]]&amp;" | "&amp;IF(A319="","",VLOOKUP(A:A,Pomocna_Nakup[],2,0)))</f>
        <v/>
      </c>
      <c r="D319" s="710" t="str">
        <f>IF(A319="","",'Rozpad zakázky'!F335)</f>
        <v/>
      </c>
      <c r="E319" s="710" t="str">
        <f>IF(A319="","",'Rozpad zakázky'!D335&amp;IF('Rozpad zakázky'!G335="",""," ("&amp;'Rozpad zakázky'!G335&amp;")"))</f>
        <v/>
      </c>
      <c r="F319" s="709" t="str">
        <f>IF(A319="","",'Rozpad zakázky'!IW335)</f>
        <v/>
      </c>
      <c r="G319" s="711" t="str">
        <f>IF(A319="","",'Rozpad zakázky'!AE335)</f>
        <v/>
      </c>
      <c r="H319" s="717" t="str">
        <f>IF(A319="","",'Rozpad zakázky'!AJ335)</f>
        <v/>
      </c>
      <c r="I319" s="748" t="str">
        <f>IF(A319="","",'Rozpad zakázky'!Q335)</f>
        <v/>
      </c>
      <c r="J319" s="717" t="str">
        <f>IF(A319="","",ROUNDDOWN('Rozpad zakázky'!L335,1))</f>
        <v/>
      </c>
      <c r="K319" s="745" t="str">
        <f>IF(A319="","",Tabulka_nakup_Vonka[[#This Row],[Počet MJHR v rozpadu]]*Tabulka_nakup_Vonka[[#This Row],[Jedn. hmotnost '[kg/MJHR']]])</f>
        <v/>
      </c>
    </row>
    <row r="320" spans="1:11" x14ac:dyDescent="0.35">
      <c r="A320" s="709" t="str">
        <f>IF('Rozpad zakázky'!E336=0,"",IF('Rozpad zakázky'!E336="-","",'Rozpad zakázky'!E336))</f>
        <v/>
      </c>
      <c r="B320" s="708" t="str">
        <f>IF(A320="","",IF(A320="","",VLOOKUP(A:A,Pomocna_Nakup[],3,0))&amp;" | "&amp;IF(A320="","",VLOOKUP(A:A,Pomocna_Nakup[],4,0)))</f>
        <v/>
      </c>
      <c r="C320" s="710" t="str">
        <f>IF(Tabulka_nakup_Vonka[[#This Row],[Zkratka kalkulační položky]]="","",Tabulka_nakup_Vonka[[#This Row],[Zkratka kalkulační položky]]&amp;" | "&amp;IF(A320="","",VLOOKUP(A:A,Pomocna_Nakup[],2,0)))</f>
        <v/>
      </c>
      <c r="D320" s="710" t="str">
        <f>IF(A320="","",'Rozpad zakázky'!F336)</f>
        <v/>
      </c>
      <c r="E320" s="710" t="str">
        <f>IF(A320="","",'Rozpad zakázky'!D336&amp;IF('Rozpad zakázky'!G336="",""," ("&amp;'Rozpad zakázky'!G336&amp;")"))</f>
        <v/>
      </c>
      <c r="F320" s="709" t="str">
        <f>IF(A320="","",'Rozpad zakázky'!IW336)</f>
        <v/>
      </c>
      <c r="G320" s="711" t="str">
        <f>IF(A320="","",'Rozpad zakázky'!AE336)</f>
        <v/>
      </c>
      <c r="H320" s="717" t="str">
        <f>IF(A320="","",'Rozpad zakázky'!AJ336)</f>
        <v/>
      </c>
      <c r="I320" s="748" t="str">
        <f>IF(A320="","",'Rozpad zakázky'!Q336)</f>
        <v/>
      </c>
      <c r="J320" s="717" t="str">
        <f>IF(A320="","",ROUNDDOWN('Rozpad zakázky'!L336,1))</f>
        <v/>
      </c>
      <c r="K320" s="745" t="str">
        <f>IF(A320="","",Tabulka_nakup_Vonka[[#This Row],[Počet MJHR v rozpadu]]*Tabulka_nakup_Vonka[[#This Row],[Jedn. hmotnost '[kg/MJHR']]])</f>
        <v/>
      </c>
    </row>
    <row r="321" spans="1:11" x14ac:dyDescent="0.35">
      <c r="A321" s="709" t="str">
        <f>IF('Rozpad zakázky'!E337=0,"",IF('Rozpad zakázky'!E337="-","",'Rozpad zakázky'!E337))</f>
        <v/>
      </c>
      <c r="B321" s="708" t="str">
        <f>IF(A321="","",IF(A321="","",VLOOKUP(A:A,Pomocna_Nakup[],3,0))&amp;" | "&amp;IF(A321="","",VLOOKUP(A:A,Pomocna_Nakup[],4,0)))</f>
        <v/>
      </c>
      <c r="C321" s="710" t="str">
        <f>IF(Tabulka_nakup_Vonka[[#This Row],[Zkratka kalkulační položky]]="","",Tabulka_nakup_Vonka[[#This Row],[Zkratka kalkulační položky]]&amp;" | "&amp;IF(A321="","",VLOOKUP(A:A,Pomocna_Nakup[],2,0)))</f>
        <v/>
      </c>
      <c r="D321" s="710" t="str">
        <f>IF(A321="","",'Rozpad zakázky'!F337)</f>
        <v/>
      </c>
      <c r="E321" s="710" t="str">
        <f>IF(A321="","",'Rozpad zakázky'!D337&amp;IF('Rozpad zakázky'!G337="",""," ("&amp;'Rozpad zakázky'!G337&amp;")"))</f>
        <v/>
      </c>
      <c r="F321" s="709" t="str">
        <f>IF(A321="","",'Rozpad zakázky'!IW337)</f>
        <v/>
      </c>
      <c r="G321" s="711" t="str">
        <f>IF(A321="","",'Rozpad zakázky'!AE337)</f>
        <v/>
      </c>
      <c r="H321" s="717" t="str">
        <f>IF(A321="","",'Rozpad zakázky'!AJ337)</f>
        <v/>
      </c>
      <c r="I321" s="748" t="str">
        <f>IF(A321="","",'Rozpad zakázky'!Q337)</f>
        <v/>
      </c>
      <c r="J321" s="717" t="str">
        <f>IF(A321="","",ROUNDDOWN('Rozpad zakázky'!L337,1))</f>
        <v/>
      </c>
      <c r="K321" s="745" t="str">
        <f>IF(A321="","",Tabulka_nakup_Vonka[[#This Row],[Počet MJHR v rozpadu]]*Tabulka_nakup_Vonka[[#This Row],[Jedn. hmotnost '[kg/MJHR']]])</f>
        <v/>
      </c>
    </row>
    <row r="322" spans="1:11" x14ac:dyDescent="0.35">
      <c r="A322" s="709" t="str">
        <f>IF('Rozpad zakázky'!E338=0,"",IF('Rozpad zakázky'!E338="-","",'Rozpad zakázky'!E338))</f>
        <v/>
      </c>
      <c r="B322" s="708" t="str">
        <f>IF(A322="","",IF(A322="","",VLOOKUP(A:A,Pomocna_Nakup[],3,0))&amp;" | "&amp;IF(A322="","",VLOOKUP(A:A,Pomocna_Nakup[],4,0)))</f>
        <v/>
      </c>
      <c r="C322" s="710" t="str">
        <f>IF(Tabulka_nakup_Vonka[[#This Row],[Zkratka kalkulační položky]]="","",Tabulka_nakup_Vonka[[#This Row],[Zkratka kalkulační položky]]&amp;" | "&amp;IF(A322="","",VLOOKUP(A:A,Pomocna_Nakup[],2,0)))</f>
        <v/>
      </c>
      <c r="D322" s="710" t="str">
        <f>IF(A322="","",'Rozpad zakázky'!F338)</f>
        <v/>
      </c>
      <c r="E322" s="710" t="str">
        <f>IF(A322="","",'Rozpad zakázky'!D338&amp;IF('Rozpad zakázky'!G338="",""," ("&amp;'Rozpad zakázky'!G338&amp;")"))</f>
        <v/>
      </c>
      <c r="F322" s="709" t="str">
        <f>IF(A322="","",'Rozpad zakázky'!IW338)</f>
        <v/>
      </c>
      <c r="G322" s="711" t="str">
        <f>IF(A322="","",'Rozpad zakázky'!AE338)</f>
        <v/>
      </c>
      <c r="H322" s="717" t="str">
        <f>IF(A322="","",'Rozpad zakázky'!AJ338)</f>
        <v/>
      </c>
      <c r="I322" s="748" t="str">
        <f>IF(A322="","",'Rozpad zakázky'!Q338)</f>
        <v/>
      </c>
      <c r="J322" s="717" t="str">
        <f>IF(A322="","",ROUNDDOWN('Rozpad zakázky'!L338,1))</f>
        <v/>
      </c>
      <c r="K322" s="745" t="str">
        <f>IF(A322="","",Tabulka_nakup_Vonka[[#This Row],[Počet MJHR v rozpadu]]*Tabulka_nakup_Vonka[[#This Row],[Jedn. hmotnost '[kg/MJHR']]])</f>
        <v/>
      </c>
    </row>
    <row r="323" spans="1:11" x14ac:dyDescent="0.35">
      <c r="A323" s="709" t="str">
        <f>IF('Rozpad zakázky'!E339=0,"",IF('Rozpad zakázky'!E339="-","",'Rozpad zakázky'!E339))</f>
        <v/>
      </c>
      <c r="B323" s="708" t="str">
        <f>IF(A323="","",IF(A323="","",VLOOKUP(A:A,Pomocna_Nakup[],3,0))&amp;" | "&amp;IF(A323="","",VLOOKUP(A:A,Pomocna_Nakup[],4,0)))</f>
        <v/>
      </c>
      <c r="C323" s="710" t="str">
        <f>IF(Tabulka_nakup_Vonka[[#This Row],[Zkratka kalkulační položky]]="","",Tabulka_nakup_Vonka[[#This Row],[Zkratka kalkulační položky]]&amp;" | "&amp;IF(A323="","",VLOOKUP(A:A,Pomocna_Nakup[],2,0)))</f>
        <v/>
      </c>
      <c r="D323" s="710" t="str">
        <f>IF(A323="","",'Rozpad zakázky'!F339)</f>
        <v/>
      </c>
      <c r="E323" s="710" t="str">
        <f>IF(A323="","",'Rozpad zakázky'!D339&amp;IF('Rozpad zakázky'!G339="",""," ("&amp;'Rozpad zakázky'!G339&amp;")"))</f>
        <v/>
      </c>
      <c r="F323" s="709" t="str">
        <f>IF(A323="","",'Rozpad zakázky'!IW339)</f>
        <v/>
      </c>
      <c r="G323" s="711" t="str">
        <f>IF(A323="","",'Rozpad zakázky'!AE339)</f>
        <v/>
      </c>
      <c r="H323" s="717" t="str">
        <f>IF(A323="","",'Rozpad zakázky'!AJ339)</f>
        <v/>
      </c>
      <c r="I323" s="748" t="str">
        <f>IF(A323="","",'Rozpad zakázky'!Q339)</f>
        <v/>
      </c>
      <c r="J323" s="717" t="str">
        <f>IF(A323="","",ROUNDDOWN('Rozpad zakázky'!L339,1))</f>
        <v/>
      </c>
      <c r="K323" s="745" t="str">
        <f>IF(A323="","",Tabulka_nakup_Vonka[[#This Row],[Počet MJHR v rozpadu]]*Tabulka_nakup_Vonka[[#This Row],[Jedn. hmotnost '[kg/MJHR']]])</f>
        <v/>
      </c>
    </row>
    <row r="324" spans="1:11" x14ac:dyDescent="0.35">
      <c r="A324" s="709" t="str">
        <f>IF('Rozpad zakázky'!E340=0,"",IF('Rozpad zakázky'!E340="-","",'Rozpad zakázky'!E340))</f>
        <v/>
      </c>
      <c r="B324" s="708" t="str">
        <f>IF(A324="","",IF(A324="","",VLOOKUP(A:A,Pomocna_Nakup[],3,0))&amp;" | "&amp;IF(A324="","",VLOOKUP(A:A,Pomocna_Nakup[],4,0)))</f>
        <v/>
      </c>
      <c r="C324" s="710" t="str">
        <f>IF(Tabulka_nakup_Vonka[[#This Row],[Zkratka kalkulační položky]]="","",Tabulka_nakup_Vonka[[#This Row],[Zkratka kalkulační položky]]&amp;" | "&amp;IF(A324="","",VLOOKUP(A:A,Pomocna_Nakup[],2,0)))</f>
        <v/>
      </c>
      <c r="D324" s="710" t="str">
        <f>IF(A324="","",'Rozpad zakázky'!F340)</f>
        <v/>
      </c>
      <c r="E324" s="710" t="str">
        <f>IF(A324="","",'Rozpad zakázky'!D340&amp;IF('Rozpad zakázky'!G340="",""," ("&amp;'Rozpad zakázky'!G340&amp;")"))</f>
        <v/>
      </c>
      <c r="F324" s="709" t="str">
        <f>IF(A324="","",'Rozpad zakázky'!IW340)</f>
        <v/>
      </c>
      <c r="G324" s="711" t="str">
        <f>IF(A324="","",'Rozpad zakázky'!AE340)</f>
        <v/>
      </c>
      <c r="H324" s="717" t="str">
        <f>IF(A324="","",'Rozpad zakázky'!AJ340)</f>
        <v/>
      </c>
      <c r="I324" s="748" t="str">
        <f>IF(A324="","",'Rozpad zakázky'!Q340)</f>
        <v/>
      </c>
      <c r="J324" s="717" t="str">
        <f>IF(A324="","",ROUNDDOWN('Rozpad zakázky'!L340,1))</f>
        <v/>
      </c>
      <c r="K324" s="745" t="str">
        <f>IF(A324="","",Tabulka_nakup_Vonka[[#This Row],[Počet MJHR v rozpadu]]*Tabulka_nakup_Vonka[[#This Row],[Jedn. hmotnost '[kg/MJHR']]])</f>
        <v/>
      </c>
    </row>
    <row r="325" spans="1:11" x14ac:dyDescent="0.35">
      <c r="A325" s="709" t="str">
        <f>IF('Rozpad zakázky'!E341=0,"",IF('Rozpad zakázky'!E341="-","",'Rozpad zakázky'!E341))</f>
        <v/>
      </c>
      <c r="B325" s="708" t="str">
        <f>IF(A325="","",IF(A325="","",VLOOKUP(A:A,Pomocna_Nakup[],3,0))&amp;" | "&amp;IF(A325="","",VLOOKUP(A:A,Pomocna_Nakup[],4,0)))</f>
        <v/>
      </c>
      <c r="C325" s="710" t="str">
        <f>IF(Tabulka_nakup_Vonka[[#This Row],[Zkratka kalkulační položky]]="","",Tabulka_nakup_Vonka[[#This Row],[Zkratka kalkulační položky]]&amp;" | "&amp;IF(A325="","",VLOOKUP(A:A,Pomocna_Nakup[],2,0)))</f>
        <v/>
      </c>
      <c r="D325" s="710" t="str">
        <f>IF(A325="","",'Rozpad zakázky'!F341)</f>
        <v/>
      </c>
      <c r="E325" s="710" t="str">
        <f>IF(A325="","",'Rozpad zakázky'!D341&amp;IF('Rozpad zakázky'!G341="",""," ("&amp;'Rozpad zakázky'!G341&amp;")"))</f>
        <v/>
      </c>
      <c r="F325" s="709" t="str">
        <f>IF(A325="","",'Rozpad zakázky'!IW341)</f>
        <v/>
      </c>
      <c r="G325" s="711" t="str">
        <f>IF(A325="","",'Rozpad zakázky'!AE341)</f>
        <v/>
      </c>
      <c r="H325" s="717" t="str">
        <f>IF(A325="","",'Rozpad zakázky'!AJ341)</f>
        <v/>
      </c>
      <c r="I325" s="748" t="str">
        <f>IF(A325="","",'Rozpad zakázky'!Q341)</f>
        <v/>
      </c>
      <c r="J325" s="717" t="str">
        <f>IF(A325="","",ROUNDDOWN('Rozpad zakázky'!L341,1))</f>
        <v/>
      </c>
      <c r="K325" s="745" t="str">
        <f>IF(A325="","",Tabulka_nakup_Vonka[[#This Row],[Počet MJHR v rozpadu]]*Tabulka_nakup_Vonka[[#This Row],[Jedn. hmotnost '[kg/MJHR']]])</f>
        <v/>
      </c>
    </row>
    <row r="326" spans="1:11" x14ac:dyDescent="0.35">
      <c r="A326" s="709" t="str">
        <f>IF('Rozpad zakázky'!E342=0,"",IF('Rozpad zakázky'!E342="-","",'Rozpad zakázky'!E342))</f>
        <v/>
      </c>
      <c r="B326" s="708" t="str">
        <f>IF(A326="","",IF(A326="","",VLOOKUP(A:A,Pomocna_Nakup[],3,0))&amp;" | "&amp;IF(A326="","",VLOOKUP(A:A,Pomocna_Nakup[],4,0)))</f>
        <v/>
      </c>
      <c r="C326" s="710" t="str">
        <f>IF(Tabulka_nakup_Vonka[[#This Row],[Zkratka kalkulační položky]]="","",Tabulka_nakup_Vonka[[#This Row],[Zkratka kalkulační položky]]&amp;" | "&amp;IF(A326="","",VLOOKUP(A:A,Pomocna_Nakup[],2,0)))</f>
        <v/>
      </c>
      <c r="D326" s="710" t="str">
        <f>IF(A326="","",'Rozpad zakázky'!F342)</f>
        <v/>
      </c>
      <c r="E326" s="710" t="str">
        <f>IF(A326="","",'Rozpad zakázky'!D342&amp;IF('Rozpad zakázky'!G342="",""," ("&amp;'Rozpad zakázky'!G342&amp;")"))</f>
        <v/>
      </c>
      <c r="F326" s="709" t="str">
        <f>IF(A326="","",'Rozpad zakázky'!IW342)</f>
        <v/>
      </c>
      <c r="G326" s="711" t="str">
        <f>IF(A326="","",'Rozpad zakázky'!AE342)</f>
        <v/>
      </c>
      <c r="H326" s="717" t="str">
        <f>IF(A326="","",'Rozpad zakázky'!AJ342)</f>
        <v/>
      </c>
      <c r="I326" s="748" t="str">
        <f>IF(A326="","",'Rozpad zakázky'!Q342)</f>
        <v/>
      </c>
      <c r="J326" s="717" t="str">
        <f>IF(A326="","",ROUNDDOWN('Rozpad zakázky'!L342,1))</f>
        <v/>
      </c>
      <c r="K326" s="745" t="str">
        <f>IF(A326="","",Tabulka_nakup_Vonka[[#This Row],[Počet MJHR v rozpadu]]*Tabulka_nakup_Vonka[[#This Row],[Jedn. hmotnost '[kg/MJHR']]])</f>
        <v/>
      </c>
    </row>
    <row r="327" spans="1:11" x14ac:dyDescent="0.35">
      <c r="A327" s="709" t="str">
        <f>IF('Rozpad zakázky'!E343=0,"",IF('Rozpad zakázky'!E343="-","",'Rozpad zakázky'!E343))</f>
        <v/>
      </c>
      <c r="B327" s="708" t="str">
        <f>IF(A327="","",IF(A327="","",VLOOKUP(A:A,Pomocna_Nakup[],3,0))&amp;" | "&amp;IF(A327="","",VLOOKUP(A:A,Pomocna_Nakup[],4,0)))</f>
        <v/>
      </c>
      <c r="C327" s="710" t="str">
        <f>IF(Tabulka_nakup_Vonka[[#This Row],[Zkratka kalkulační položky]]="","",Tabulka_nakup_Vonka[[#This Row],[Zkratka kalkulační položky]]&amp;" | "&amp;IF(A327="","",VLOOKUP(A:A,Pomocna_Nakup[],2,0)))</f>
        <v/>
      </c>
      <c r="D327" s="710" t="str">
        <f>IF(A327="","",'Rozpad zakázky'!F343)</f>
        <v/>
      </c>
      <c r="E327" s="710" t="str">
        <f>IF(A327="","",'Rozpad zakázky'!D343&amp;IF('Rozpad zakázky'!G343="",""," ("&amp;'Rozpad zakázky'!G343&amp;")"))</f>
        <v/>
      </c>
      <c r="F327" s="709" t="str">
        <f>IF(A327="","",'Rozpad zakázky'!IW343)</f>
        <v/>
      </c>
      <c r="G327" s="711" t="str">
        <f>IF(A327="","",'Rozpad zakázky'!AE343)</f>
        <v/>
      </c>
      <c r="H327" s="717" t="str">
        <f>IF(A327="","",'Rozpad zakázky'!AJ343)</f>
        <v/>
      </c>
      <c r="I327" s="748" t="str">
        <f>IF(A327="","",'Rozpad zakázky'!Q343)</f>
        <v/>
      </c>
      <c r="J327" s="717" t="str">
        <f>IF(A327="","",ROUNDDOWN('Rozpad zakázky'!L343,1))</f>
        <v/>
      </c>
      <c r="K327" s="745" t="str">
        <f>IF(A327="","",Tabulka_nakup_Vonka[[#This Row],[Počet MJHR v rozpadu]]*Tabulka_nakup_Vonka[[#This Row],[Jedn. hmotnost '[kg/MJHR']]])</f>
        <v/>
      </c>
    </row>
    <row r="328" spans="1:11" x14ac:dyDescent="0.35">
      <c r="A328" s="709" t="str">
        <f>IF('Rozpad zakázky'!E344=0,"",IF('Rozpad zakázky'!E344="-","",'Rozpad zakázky'!E344))</f>
        <v/>
      </c>
      <c r="B328" s="708" t="str">
        <f>IF(A328="","",IF(A328="","",VLOOKUP(A:A,Pomocna_Nakup[],3,0))&amp;" | "&amp;IF(A328="","",VLOOKUP(A:A,Pomocna_Nakup[],4,0)))</f>
        <v/>
      </c>
      <c r="C328" s="710" t="str">
        <f>IF(Tabulka_nakup_Vonka[[#This Row],[Zkratka kalkulační položky]]="","",Tabulka_nakup_Vonka[[#This Row],[Zkratka kalkulační položky]]&amp;" | "&amp;IF(A328="","",VLOOKUP(A:A,Pomocna_Nakup[],2,0)))</f>
        <v/>
      </c>
      <c r="D328" s="710" t="str">
        <f>IF(A328="","",'Rozpad zakázky'!F344)</f>
        <v/>
      </c>
      <c r="E328" s="710" t="str">
        <f>IF(A328="","",'Rozpad zakázky'!D344&amp;IF('Rozpad zakázky'!G344="",""," ("&amp;'Rozpad zakázky'!G344&amp;")"))</f>
        <v/>
      </c>
      <c r="F328" s="709" t="str">
        <f>IF(A328="","",'Rozpad zakázky'!IW344)</f>
        <v/>
      </c>
      <c r="G328" s="711" t="str">
        <f>IF(A328="","",'Rozpad zakázky'!AE344)</f>
        <v/>
      </c>
      <c r="H328" s="717" t="str">
        <f>IF(A328="","",'Rozpad zakázky'!AJ344)</f>
        <v/>
      </c>
      <c r="I328" s="748" t="str">
        <f>IF(A328="","",'Rozpad zakázky'!Q344)</f>
        <v/>
      </c>
      <c r="J328" s="717" t="str">
        <f>IF(A328="","",ROUNDDOWN('Rozpad zakázky'!L344,1))</f>
        <v/>
      </c>
      <c r="K328" s="745" t="str">
        <f>IF(A328="","",Tabulka_nakup_Vonka[[#This Row],[Počet MJHR v rozpadu]]*Tabulka_nakup_Vonka[[#This Row],[Jedn. hmotnost '[kg/MJHR']]])</f>
        <v/>
      </c>
    </row>
    <row r="329" spans="1:11" x14ac:dyDescent="0.35">
      <c r="A329" s="709" t="str">
        <f>IF('Rozpad zakázky'!E345=0,"",IF('Rozpad zakázky'!E345="-","",'Rozpad zakázky'!E345))</f>
        <v/>
      </c>
      <c r="B329" s="708" t="str">
        <f>IF(A329="","",IF(A329="","",VLOOKUP(A:A,Pomocna_Nakup[],3,0))&amp;" | "&amp;IF(A329="","",VLOOKUP(A:A,Pomocna_Nakup[],4,0)))</f>
        <v/>
      </c>
      <c r="C329" s="710" t="str">
        <f>IF(Tabulka_nakup_Vonka[[#This Row],[Zkratka kalkulační položky]]="","",Tabulka_nakup_Vonka[[#This Row],[Zkratka kalkulační položky]]&amp;" | "&amp;IF(A329="","",VLOOKUP(A:A,Pomocna_Nakup[],2,0)))</f>
        <v/>
      </c>
      <c r="D329" s="710" t="str">
        <f>IF(A329="","",'Rozpad zakázky'!F345)</f>
        <v/>
      </c>
      <c r="E329" s="710" t="str">
        <f>IF(A329="","",'Rozpad zakázky'!D345&amp;IF('Rozpad zakázky'!G345="",""," ("&amp;'Rozpad zakázky'!G345&amp;")"))</f>
        <v/>
      </c>
      <c r="F329" s="709" t="str">
        <f>IF(A329="","",'Rozpad zakázky'!IW345)</f>
        <v/>
      </c>
      <c r="G329" s="711" t="str">
        <f>IF(A329="","",'Rozpad zakázky'!AE345)</f>
        <v/>
      </c>
      <c r="H329" s="717" t="str">
        <f>IF(A329="","",'Rozpad zakázky'!AJ345)</f>
        <v/>
      </c>
      <c r="I329" s="748" t="str">
        <f>IF(A329="","",'Rozpad zakázky'!Q345)</f>
        <v/>
      </c>
      <c r="J329" s="717" t="str">
        <f>IF(A329="","",ROUNDDOWN('Rozpad zakázky'!L345,1))</f>
        <v/>
      </c>
      <c r="K329" s="745" t="str">
        <f>IF(A329="","",Tabulka_nakup_Vonka[[#This Row],[Počet MJHR v rozpadu]]*Tabulka_nakup_Vonka[[#This Row],[Jedn. hmotnost '[kg/MJHR']]])</f>
        <v/>
      </c>
    </row>
    <row r="330" spans="1:11" x14ac:dyDescent="0.35">
      <c r="A330" s="709" t="str">
        <f>IF('Rozpad zakázky'!E346=0,"",IF('Rozpad zakázky'!E346="-","",'Rozpad zakázky'!E346))</f>
        <v/>
      </c>
      <c r="B330" s="708" t="str">
        <f>IF(A330="","",IF(A330="","",VLOOKUP(A:A,Pomocna_Nakup[],3,0))&amp;" | "&amp;IF(A330="","",VLOOKUP(A:A,Pomocna_Nakup[],4,0)))</f>
        <v/>
      </c>
      <c r="C330" s="710" t="str">
        <f>IF(Tabulka_nakup_Vonka[[#This Row],[Zkratka kalkulační položky]]="","",Tabulka_nakup_Vonka[[#This Row],[Zkratka kalkulační položky]]&amp;" | "&amp;IF(A330="","",VLOOKUP(A:A,Pomocna_Nakup[],2,0)))</f>
        <v/>
      </c>
      <c r="D330" s="710" t="str">
        <f>IF(A330="","",'Rozpad zakázky'!F346)</f>
        <v/>
      </c>
      <c r="E330" s="710" t="str">
        <f>IF(A330="","",'Rozpad zakázky'!D346&amp;IF('Rozpad zakázky'!G346="",""," ("&amp;'Rozpad zakázky'!G346&amp;")"))</f>
        <v/>
      </c>
      <c r="F330" s="709" t="str">
        <f>IF(A330="","",'Rozpad zakázky'!IW346)</f>
        <v/>
      </c>
      <c r="G330" s="711" t="str">
        <f>IF(A330="","",'Rozpad zakázky'!AE346)</f>
        <v/>
      </c>
      <c r="H330" s="717" t="str">
        <f>IF(A330="","",'Rozpad zakázky'!AJ346)</f>
        <v/>
      </c>
      <c r="I330" s="748" t="str">
        <f>IF(A330="","",'Rozpad zakázky'!Q346)</f>
        <v/>
      </c>
      <c r="J330" s="717" t="str">
        <f>IF(A330="","",ROUNDDOWN('Rozpad zakázky'!L346,1))</f>
        <v/>
      </c>
      <c r="K330" s="745" t="str">
        <f>IF(A330="","",Tabulka_nakup_Vonka[[#This Row],[Počet MJHR v rozpadu]]*Tabulka_nakup_Vonka[[#This Row],[Jedn. hmotnost '[kg/MJHR']]])</f>
        <v/>
      </c>
    </row>
    <row r="331" spans="1:11" x14ac:dyDescent="0.35">
      <c r="A331" s="709" t="str">
        <f>IF('Rozpad zakázky'!E347=0,"",IF('Rozpad zakázky'!E347="-","",'Rozpad zakázky'!E347))</f>
        <v/>
      </c>
      <c r="B331" s="708" t="str">
        <f>IF(A331="","",IF(A331="","",VLOOKUP(A:A,Pomocna_Nakup[],3,0))&amp;" | "&amp;IF(A331="","",VLOOKUP(A:A,Pomocna_Nakup[],4,0)))</f>
        <v/>
      </c>
      <c r="C331" s="710" t="str">
        <f>IF(Tabulka_nakup_Vonka[[#This Row],[Zkratka kalkulační položky]]="","",Tabulka_nakup_Vonka[[#This Row],[Zkratka kalkulační položky]]&amp;" | "&amp;IF(A331="","",VLOOKUP(A:A,Pomocna_Nakup[],2,0)))</f>
        <v/>
      </c>
      <c r="D331" s="710" t="str">
        <f>IF(A331="","",'Rozpad zakázky'!F347)</f>
        <v/>
      </c>
      <c r="E331" s="710" t="str">
        <f>IF(A331="","",'Rozpad zakázky'!D347&amp;IF('Rozpad zakázky'!G347="",""," ("&amp;'Rozpad zakázky'!G347&amp;")"))</f>
        <v/>
      </c>
      <c r="F331" s="709" t="str">
        <f>IF(A331="","",'Rozpad zakázky'!IW347)</f>
        <v/>
      </c>
      <c r="G331" s="711" t="str">
        <f>IF(A331="","",'Rozpad zakázky'!AE347)</f>
        <v/>
      </c>
      <c r="H331" s="717" t="str">
        <f>IF(A331="","",'Rozpad zakázky'!AJ347)</f>
        <v/>
      </c>
      <c r="I331" s="748" t="str">
        <f>IF(A331="","",'Rozpad zakázky'!Q347)</f>
        <v/>
      </c>
      <c r="J331" s="717" t="str">
        <f>IF(A331="","",ROUNDDOWN('Rozpad zakázky'!L347,1))</f>
        <v/>
      </c>
      <c r="K331" s="745" t="str">
        <f>IF(A331="","",Tabulka_nakup_Vonka[[#This Row],[Počet MJHR v rozpadu]]*Tabulka_nakup_Vonka[[#This Row],[Jedn. hmotnost '[kg/MJHR']]])</f>
        <v/>
      </c>
    </row>
    <row r="332" spans="1:11" x14ac:dyDescent="0.35">
      <c r="A332" s="709" t="str">
        <f>IF('Rozpad zakázky'!E348=0,"",IF('Rozpad zakázky'!E348="-","",'Rozpad zakázky'!E348))</f>
        <v/>
      </c>
      <c r="B332" s="708" t="str">
        <f>IF(A332="","",IF(A332="","",VLOOKUP(A:A,Pomocna_Nakup[],3,0))&amp;" | "&amp;IF(A332="","",VLOOKUP(A:A,Pomocna_Nakup[],4,0)))</f>
        <v/>
      </c>
      <c r="C332" s="710" t="str">
        <f>IF(Tabulka_nakup_Vonka[[#This Row],[Zkratka kalkulační položky]]="","",Tabulka_nakup_Vonka[[#This Row],[Zkratka kalkulační položky]]&amp;" | "&amp;IF(A332="","",VLOOKUP(A:A,Pomocna_Nakup[],2,0)))</f>
        <v/>
      </c>
      <c r="D332" s="710" t="str">
        <f>IF(A332="","",'Rozpad zakázky'!F348)</f>
        <v/>
      </c>
      <c r="E332" s="710" t="str">
        <f>IF(A332="","",'Rozpad zakázky'!D348&amp;IF('Rozpad zakázky'!G348="",""," ("&amp;'Rozpad zakázky'!G348&amp;")"))</f>
        <v/>
      </c>
      <c r="F332" s="709" t="str">
        <f>IF(A332="","",'Rozpad zakázky'!IW348)</f>
        <v/>
      </c>
      <c r="G332" s="711" t="str">
        <f>IF(A332="","",'Rozpad zakázky'!AE348)</f>
        <v/>
      </c>
      <c r="H332" s="717" t="str">
        <f>IF(A332="","",'Rozpad zakázky'!AJ348)</f>
        <v/>
      </c>
      <c r="I332" s="748" t="str">
        <f>IF(A332="","",'Rozpad zakázky'!Q348)</f>
        <v/>
      </c>
      <c r="J332" s="717" t="str">
        <f>IF(A332="","",ROUNDDOWN('Rozpad zakázky'!L348,1))</f>
        <v/>
      </c>
      <c r="K332" s="745" t="str">
        <f>IF(A332="","",Tabulka_nakup_Vonka[[#This Row],[Počet MJHR v rozpadu]]*Tabulka_nakup_Vonka[[#This Row],[Jedn. hmotnost '[kg/MJHR']]])</f>
        <v/>
      </c>
    </row>
    <row r="333" spans="1:11" x14ac:dyDescent="0.35">
      <c r="A333" s="709" t="str">
        <f>IF('Rozpad zakázky'!E349=0,"",IF('Rozpad zakázky'!E349="-","",'Rozpad zakázky'!E349))</f>
        <v/>
      </c>
      <c r="B333" s="708" t="str">
        <f>IF(A333="","",IF(A333="","",VLOOKUP(A:A,Pomocna_Nakup[],3,0))&amp;" | "&amp;IF(A333="","",VLOOKUP(A:A,Pomocna_Nakup[],4,0)))</f>
        <v/>
      </c>
      <c r="C333" s="710" t="str">
        <f>IF(Tabulka_nakup_Vonka[[#This Row],[Zkratka kalkulační položky]]="","",Tabulka_nakup_Vonka[[#This Row],[Zkratka kalkulační položky]]&amp;" | "&amp;IF(A333="","",VLOOKUP(A:A,Pomocna_Nakup[],2,0)))</f>
        <v/>
      </c>
      <c r="D333" s="710" t="str">
        <f>IF(A333="","",'Rozpad zakázky'!F349)</f>
        <v/>
      </c>
      <c r="E333" s="710" t="str">
        <f>IF(A333="","",'Rozpad zakázky'!D349&amp;IF('Rozpad zakázky'!G349="",""," ("&amp;'Rozpad zakázky'!G349&amp;")"))</f>
        <v/>
      </c>
      <c r="F333" s="709" t="str">
        <f>IF(A333="","",'Rozpad zakázky'!IW349)</f>
        <v/>
      </c>
      <c r="G333" s="711" t="str">
        <f>IF(A333="","",'Rozpad zakázky'!AE349)</f>
        <v/>
      </c>
      <c r="H333" s="717" t="str">
        <f>IF(A333="","",'Rozpad zakázky'!AJ349)</f>
        <v/>
      </c>
      <c r="I333" s="748" t="str">
        <f>IF(A333="","",'Rozpad zakázky'!Q349)</f>
        <v/>
      </c>
      <c r="J333" s="717" t="str">
        <f>IF(A333="","",ROUNDDOWN('Rozpad zakázky'!L349,1))</f>
        <v/>
      </c>
      <c r="K333" s="745" t="str">
        <f>IF(A333="","",Tabulka_nakup_Vonka[[#This Row],[Počet MJHR v rozpadu]]*Tabulka_nakup_Vonka[[#This Row],[Jedn. hmotnost '[kg/MJHR']]])</f>
        <v/>
      </c>
    </row>
    <row r="334" spans="1:11" x14ac:dyDescent="0.35">
      <c r="A334" s="709" t="str">
        <f>IF('Rozpad zakázky'!E350=0,"",IF('Rozpad zakázky'!E350="-","",'Rozpad zakázky'!E350))</f>
        <v/>
      </c>
      <c r="B334" s="708" t="str">
        <f>IF(A334="","",IF(A334="","",VLOOKUP(A:A,Pomocna_Nakup[],3,0))&amp;" | "&amp;IF(A334="","",VLOOKUP(A:A,Pomocna_Nakup[],4,0)))</f>
        <v/>
      </c>
      <c r="C334" s="710" t="str">
        <f>IF(Tabulka_nakup_Vonka[[#This Row],[Zkratka kalkulační položky]]="","",Tabulka_nakup_Vonka[[#This Row],[Zkratka kalkulační položky]]&amp;" | "&amp;IF(A334="","",VLOOKUP(A:A,Pomocna_Nakup[],2,0)))</f>
        <v/>
      </c>
      <c r="D334" s="710" t="str">
        <f>IF(A334="","",'Rozpad zakázky'!F350)</f>
        <v/>
      </c>
      <c r="E334" s="710" t="str">
        <f>IF(A334="","",'Rozpad zakázky'!D350&amp;IF('Rozpad zakázky'!G350="",""," ("&amp;'Rozpad zakázky'!G350&amp;")"))</f>
        <v/>
      </c>
      <c r="F334" s="709" t="str">
        <f>IF(A334="","",'Rozpad zakázky'!IW350)</f>
        <v/>
      </c>
      <c r="G334" s="711" t="str">
        <f>IF(A334="","",'Rozpad zakázky'!AE350)</f>
        <v/>
      </c>
      <c r="H334" s="717" t="str">
        <f>IF(A334="","",'Rozpad zakázky'!AJ350)</f>
        <v/>
      </c>
      <c r="I334" s="748" t="str">
        <f>IF(A334="","",'Rozpad zakázky'!Q350)</f>
        <v/>
      </c>
      <c r="J334" s="717" t="str">
        <f>IF(A334="","",ROUNDDOWN('Rozpad zakázky'!L350,1))</f>
        <v/>
      </c>
      <c r="K334" s="745" t="str">
        <f>IF(A334="","",Tabulka_nakup_Vonka[[#This Row],[Počet MJHR v rozpadu]]*Tabulka_nakup_Vonka[[#This Row],[Jedn. hmotnost '[kg/MJHR']]])</f>
        <v/>
      </c>
    </row>
    <row r="335" spans="1:11" x14ac:dyDescent="0.35">
      <c r="A335" s="709" t="str">
        <f>IF('Rozpad zakázky'!E351=0,"",IF('Rozpad zakázky'!E351="-","",'Rozpad zakázky'!E351))</f>
        <v/>
      </c>
      <c r="B335" s="708" t="str">
        <f>IF(A335="","",IF(A335="","",VLOOKUP(A:A,Pomocna_Nakup[],3,0))&amp;" | "&amp;IF(A335="","",VLOOKUP(A:A,Pomocna_Nakup[],4,0)))</f>
        <v/>
      </c>
      <c r="C335" s="710" t="str">
        <f>IF(Tabulka_nakup_Vonka[[#This Row],[Zkratka kalkulační položky]]="","",Tabulka_nakup_Vonka[[#This Row],[Zkratka kalkulační položky]]&amp;" | "&amp;IF(A335="","",VLOOKUP(A:A,Pomocna_Nakup[],2,0)))</f>
        <v/>
      </c>
      <c r="D335" s="710" t="str">
        <f>IF(A335="","",'Rozpad zakázky'!F351)</f>
        <v/>
      </c>
      <c r="E335" s="710" t="str">
        <f>IF(A335="","",'Rozpad zakázky'!D351&amp;IF('Rozpad zakázky'!G351="",""," ("&amp;'Rozpad zakázky'!G351&amp;")"))</f>
        <v/>
      </c>
      <c r="F335" s="709" t="str">
        <f>IF(A335="","",'Rozpad zakázky'!IW351)</f>
        <v/>
      </c>
      <c r="G335" s="711" t="str">
        <f>IF(A335="","",'Rozpad zakázky'!AE351)</f>
        <v/>
      </c>
      <c r="H335" s="717" t="str">
        <f>IF(A335="","",'Rozpad zakázky'!AJ351)</f>
        <v/>
      </c>
      <c r="I335" s="748" t="str">
        <f>IF(A335="","",'Rozpad zakázky'!Q351)</f>
        <v/>
      </c>
      <c r="J335" s="717" t="str">
        <f>IF(A335="","",ROUNDDOWN('Rozpad zakázky'!L351,1))</f>
        <v/>
      </c>
      <c r="K335" s="745" t="str">
        <f>IF(A335="","",Tabulka_nakup_Vonka[[#This Row],[Počet MJHR v rozpadu]]*Tabulka_nakup_Vonka[[#This Row],[Jedn. hmotnost '[kg/MJHR']]])</f>
        <v/>
      </c>
    </row>
    <row r="336" spans="1:11" x14ac:dyDescent="0.35">
      <c r="A336" s="709" t="str">
        <f>IF('Rozpad zakázky'!E352=0,"",IF('Rozpad zakázky'!E352="-","",'Rozpad zakázky'!E352))</f>
        <v/>
      </c>
      <c r="B336" s="708" t="str">
        <f>IF(A336="","",IF(A336="","",VLOOKUP(A:A,Pomocna_Nakup[],3,0))&amp;" | "&amp;IF(A336="","",VLOOKUP(A:A,Pomocna_Nakup[],4,0)))</f>
        <v/>
      </c>
      <c r="C336" s="710" t="str">
        <f>IF(Tabulka_nakup_Vonka[[#This Row],[Zkratka kalkulační položky]]="","",Tabulka_nakup_Vonka[[#This Row],[Zkratka kalkulační položky]]&amp;" | "&amp;IF(A336="","",VLOOKUP(A:A,Pomocna_Nakup[],2,0)))</f>
        <v/>
      </c>
      <c r="D336" s="710" t="str">
        <f>IF(A336="","",'Rozpad zakázky'!F352)</f>
        <v/>
      </c>
      <c r="E336" s="710" t="str">
        <f>IF(A336="","",'Rozpad zakázky'!D352&amp;IF('Rozpad zakázky'!G352="",""," ("&amp;'Rozpad zakázky'!G352&amp;")"))</f>
        <v/>
      </c>
      <c r="F336" s="709" t="str">
        <f>IF(A336="","",'Rozpad zakázky'!IW352)</f>
        <v/>
      </c>
      <c r="G336" s="711" t="str">
        <f>IF(A336="","",'Rozpad zakázky'!AE352)</f>
        <v/>
      </c>
      <c r="H336" s="717" t="str">
        <f>IF(A336="","",'Rozpad zakázky'!AJ352)</f>
        <v/>
      </c>
      <c r="I336" s="748" t="str">
        <f>IF(A336="","",'Rozpad zakázky'!Q352)</f>
        <v/>
      </c>
      <c r="J336" s="717" t="str">
        <f>IF(A336="","",ROUNDDOWN('Rozpad zakázky'!L352,1))</f>
        <v/>
      </c>
      <c r="K336" s="745" t="str">
        <f>IF(A336="","",Tabulka_nakup_Vonka[[#This Row],[Počet MJHR v rozpadu]]*Tabulka_nakup_Vonka[[#This Row],[Jedn. hmotnost '[kg/MJHR']]])</f>
        <v/>
      </c>
    </row>
    <row r="337" spans="1:11" x14ac:dyDescent="0.35">
      <c r="A337" s="709" t="str">
        <f>IF('Rozpad zakázky'!E353=0,"",IF('Rozpad zakázky'!E353="-","",'Rozpad zakázky'!E353))</f>
        <v/>
      </c>
      <c r="B337" s="708" t="str">
        <f>IF(A337="","",IF(A337="","",VLOOKUP(A:A,Pomocna_Nakup[],3,0))&amp;" | "&amp;IF(A337="","",VLOOKUP(A:A,Pomocna_Nakup[],4,0)))</f>
        <v/>
      </c>
      <c r="C337" s="710" t="str">
        <f>IF(Tabulka_nakup_Vonka[[#This Row],[Zkratka kalkulační položky]]="","",Tabulka_nakup_Vonka[[#This Row],[Zkratka kalkulační položky]]&amp;" | "&amp;IF(A337="","",VLOOKUP(A:A,Pomocna_Nakup[],2,0)))</f>
        <v/>
      </c>
      <c r="D337" s="710" t="str">
        <f>IF(A337="","",'Rozpad zakázky'!F353)</f>
        <v/>
      </c>
      <c r="E337" s="710" t="str">
        <f>IF(A337="","",'Rozpad zakázky'!D353&amp;IF('Rozpad zakázky'!G353="",""," ("&amp;'Rozpad zakázky'!G353&amp;")"))</f>
        <v/>
      </c>
      <c r="F337" s="709" t="str">
        <f>IF(A337="","",'Rozpad zakázky'!IW353)</f>
        <v/>
      </c>
      <c r="G337" s="711" t="str">
        <f>IF(A337="","",'Rozpad zakázky'!AE353)</f>
        <v/>
      </c>
      <c r="H337" s="717" t="str">
        <f>IF(A337="","",'Rozpad zakázky'!AJ353)</f>
        <v/>
      </c>
      <c r="I337" s="748" t="str">
        <f>IF(A337="","",'Rozpad zakázky'!Q353)</f>
        <v/>
      </c>
      <c r="J337" s="717" t="str">
        <f>IF(A337="","",ROUNDDOWN('Rozpad zakázky'!L353,1))</f>
        <v/>
      </c>
      <c r="K337" s="745" t="str">
        <f>IF(A337="","",Tabulka_nakup_Vonka[[#This Row],[Počet MJHR v rozpadu]]*Tabulka_nakup_Vonka[[#This Row],[Jedn. hmotnost '[kg/MJHR']]])</f>
        <v/>
      </c>
    </row>
    <row r="338" spans="1:11" x14ac:dyDescent="0.35">
      <c r="A338" s="709" t="str">
        <f>IF('Rozpad zakázky'!E354=0,"",IF('Rozpad zakázky'!E354="-","",'Rozpad zakázky'!E354))</f>
        <v/>
      </c>
      <c r="B338" s="708" t="str">
        <f>IF(A338="","",IF(A338="","",VLOOKUP(A:A,Pomocna_Nakup[],3,0))&amp;" | "&amp;IF(A338="","",VLOOKUP(A:A,Pomocna_Nakup[],4,0)))</f>
        <v/>
      </c>
      <c r="C338" s="710" t="str">
        <f>IF(Tabulka_nakup_Vonka[[#This Row],[Zkratka kalkulační položky]]="","",Tabulka_nakup_Vonka[[#This Row],[Zkratka kalkulační položky]]&amp;" | "&amp;IF(A338="","",VLOOKUP(A:A,Pomocna_Nakup[],2,0)))</f>
        <v/>
      </c>
      <c r="D338" s="710" t="str">
        <f>IF(A338="","",'Rozpad zakázky'!F354)</f>
        <v/>
      </c>
      <c r="E338" s="710" t="str">
        <f>IF(A338="","",'Rozpad zakázky'!D354&amp;IF('Rozpad zakázky'!G354="",""," ("&amp;'Rozpad zakázky'!G354&amp;")"))</f>
        <v/>
      </c>
      <c r="F338" s="709" t="str">
        <f>IF(A338="","",'Rozpad zakázky'!IW354)</f>
        <v/>
      </c>
      <c r="G338" s="711" t="str">
        <f>IF(A338="","",'Rozpad zakázky'!AE354)</f>
        <v/>
      </c>
      <c r="H338" s="717" t="str">
        <f>IF(A338="","",'Rozpad zakázky'!AJ354)</f>
        <v/>
      </c>
      <c r="I338" s="748" t="str">
        <f>IF(A338="","",'Rozpad zakázky'!Q354)</f>
        <v/>
      </c>
      <c r="J338" s="717" t="str">
        <f>IF(A338="","",ROUNDDOWN('Rozpad zakázky'!L354,1))</f>
        <v/>
      </c>
      <c r="K338" s="745" t="str">
        <f>IF(A338="","",Tabulka_nakup_Vonka[[#This Row],[Počet MJHR v rozpadu]]*Tabulka_nakup_Vonka[[#This Row],[Jedn. hmotnost '[kg/MJHR']]])</f>
        <v/>
      </c>
    </row>
    <row r="339" spans="1:11" x14ac:dyDescent="0.35">
      <c r="A339" s="709" t="str">
        <f>IF('Rozpad zakázky'!E355=0,"",IF('Rozpad zakázky'!E355="-","",'Rozpad zakázky'!E355))</f>
        <v/>
      </c>
      <c r="B339" s="708" t="str">
        <f>IF(A339="","",IF(A339="","",VLOOKUP(A:A,Pomocna_Nakup[],3,0))&amp;" | "&amp;IF(A339="","",VLOOKUP(A:A,Pomocna_Nakup[],4,0)))</f>
        <v/>
      </c>
      <c r="C339" s="710" t="str">
        <f>IF(Tabulka_nakup_Vonka[[#This Row],[Zkratka kalkulační položky]]="","",Tabulka_nakup_Vonka[[#This Row],[Zkratka kalkulační položky]]&amp;" | "&amp;IF(A339="","",VLOOKUP(A:A,Pomocna_Nakup[],2,0)))</f>
        <v/>
      </c>
      <c r="D339" s="710" t="str">
        <f>IF(A339="","",'Rozpad zakázky'!F355)</f>
        <v/>
      </c>
      <c r="E339" s="710" t="str">
        <f>IF(A339="","",'Rozpad zakázky'!D355&amp;IF('Rozpad zakázky'!G355="",""," ("&amp;'Rozpad zakázky'!G355&amp;")"))</f>
        <v/>
      </c>
      <c r="F339" s="709" t="str">
        <f>IF(A339="","",'Rozpad zakázky'!IW355)</f>
        <v/>
      </c>
      <c r="G339" s="711" t="str">
        <f>IF(A339="","",'Rozpad zakázky'!AE355)</f>
        <v/>
      </c>
      <c r="H339" s="717" t="str">
        <f>IF(A339="","",'Rozpad zakázky'!AJ355)</f>
        <v/>
      </c>
      <c r="I339" s="748" t="str">
        <f>IF(A339="","",'Rozpad zakázky'!Q355)</f>
        <v/>
      </c>
      <c r="J339" s="717" t="str">
        <f>IF(A339="","",ROUNDDOWN('Rozpad zakázky'!L355,1))</f>
        <v/>
      </c>
      <c r="K339" s="745" t="str">
        <f>IF(A339="","",Tabulka_nakup_Vonka[[#This Row],[Počet MJHR v rozpadu]]*Tabulka_nakup_Vonka[[#This Row],[Jedn. hmotnost '[kg/MJHR']]])</f>
        <v/>
      </c>
    </row>
    <row r="340" spans="1:11" x14ac:dyDescent="0.35">
      <c r="A340" s="709" t="str">
        <f>IF('Rozpad zakázky'!E356=0,"",IF('Rozpad zakázky'!E356="-","",'Rozpad zakázky'!E356))</f>
        <v/>
      </c>
      <c r="B340" s="708" t="str">
        <f>IF(A340="","",IF(A340="","",VLOOKUP(A:A,Pomocna_Nakup[],3,0))&amp;" | "&amp;IF(A340="","",VLOOKUP(A:A,Pomocna_Nakup[],4,0)))</f>
        <v/>
      </c>
      <c r="C340" s="710" t="str">
        <f>IF(Tabulka_nakup_Vonka[[#This Row],[Zkratka kalkulační položky]]="","",Tabulka_nakup_Vonka[[#This Row],[Zkratka kalkulační položky]]&amp;" | "&amp;IF(A340="","",VLOOKUP(A:A,Pomocna_Nakup[],2,0)))</f>
        <v/>
      </c>
      <c r="D340" s="710" t="str">
        <f>IF(A340="","",'Rozpad zakázky'!F356)</f>
        <v/>
      </c>
      <c r="E340" s="710" t="str">
        <f>IF(A340="","",'Rozpad zakázky'!D356&amp;IF('Rozpad zakázky'!G356="",""," ("&amp;'Rozpad zakázky'!G356&amp;")"))</f>
        <v/>
      </c>
      <c r="F340" s="709" t="str">
        <f>IF(A340="","",'Rozpad zakázky'!IW356)</f>
        <v/>
      </c>
      <c r="G340" s="711" t="str">
        <f>IF(A340="","",'Rozpad zakázky'!AE356)</f>
        <v/>
      </c>
      <c r="H340" s="717" t="str">
        <f>IF(A340="","",'Rozpad zakázky'!AJ356)</f>
        <v/>
      </c>
      <c r="I340" s="748" t="str">
        <f>IF(A340="","",'Rozpad zakázky'!Q356)</f>
        <v/>
      </c>
      <c r="J340" s="717" t="str">
        <f>IF(A340="","",ROUNDDOWN('Rozpad zakázky'!L356,1))</f>
        <v/>
      </c>
      <c r="K340" s="745" t="str">
        <f>IF(A340="","",Tabulka_nakup_Vonka[[#This Row],[Počet MJHR v rozpadu]]*Tabulka_nakup_Vonka[[#This Row],[Jedn. hmotnost '[kg/MJHR']]])</f>
        <v/>
      </c>
    </row>
    <row r="341" spans="1:11" x14ac:dyDescent="0.35">
      <c r="A341" s="709" t="str">
        <f>IF('Rozpad zakázky'!E357=0,"",IF('Rozpad zakázky'!E357="-","",'Rozpad zakázky'!E357))</f>
        <v/>
      </c>
      <c r="B341" s="708" t="str">
        <f>IF(A341="","",IF(A341="","",VLOOKUP(A:A,Pomocna_Nakup[],3,0))&amp;" | "&amp;IF(A341="","",VLOOKUP(A:A,Pomocna_Nakup[],4,0)))</f>
        <v/>
      </c>
      <c r="C341" s="710" t="str">
        <f>IF(Tabulka_nakup_Vonka[[#This Row],[Zkratka kalkulační položky]]="","",Tabulka_nakup_Vonka[[#This Row],[Zkratka kalkulační položky]]&amp;" | "&amp;IF(A341="","",VLOOKUP(A:A,Pomocna_Nakup[],2,0)))</f>
        <v/>
      </c>
      <c r="D341" s="710" t="str">
        <f>IF(A341="","",'Rozpad zakázky'!F357)</f>
        <v/>
      </c>
      <c r="E341" s="710" t="str">
        <f>IF(A341="","",'Rozpad zakázky'!D357&amp;IF('Rozpad zakázky'!G357="",""," ("&amp;'Rozpad zakázky'!G357&amp;")"))</f>
        <v/>
      </c>
      <c r="F341" s="709" t="str">
        <f>IF(A341="","",'Rozpad zakázky'!IW357)</f>
        <v/>
      </c>
      <c r="G341" s="711" t="str">
        <f>IF(A341="","",'Rozpad zakázky'!AE357)</f>
        <v/>
      </c>
      <c r="H341" s="717" t="str">
        <f>IF(A341="","",'Rozpad zakázky'!AJ357)</f>
        <v/>
      </c>
      <c r="I341" s="748" t="str">
        <f>IF(A341="","",'Rozpad zakázky'!Q357)</f>
        <v/>
      </c>
      <c r="J341" s="717" t="str">
        <f>IF(A341="","",ROUNDDOWN('Rozpad zakázky'!L357,1))</f>
        <v/>
      </c>
      <c r="K341" s="745" t="str">
        <f>IF(A341="","",Tabulka_nakup_Vonka[[#This Row],[Počet MJHR v rozpadu]]*Tabulka_nakup_Vonka[[#This Row],[Jedn. hmotnost '[kg/MJHR']]])</f>
        <v/>
      </c>
    </row>
    <row r="342" spans="1:11" x14ac:dyDescent="0.35">
      <c r="A342" s="709" t="str">
        <f>IF('Rozpad zakázky'!E358=0,"",IF('Rozpad zakázky'!E358="-","",'Rozpad zakázky'!E358))</f>
        <v/>
      </c>
      <c r="B342" s="708" t="str">
        <f>IF(A342="","",IF(A342="","",VLOOKUP(A:A,Pomocna_Nakup[],3,0))&amp;" | "&amp;IF(A342="","",VLOOKUP(A:A,Pomocna_Nakup[],4,0)))</f>
        <v/>
      </c>
      <c r="C342" s="710" t="str">
        <f>IF(Tabulka_nakup_Vonka[[#This Row],[Zkratka kalkulační položky]]="","",Tabulka_nakup_Vonka[[#This Row],[Zkratka kalkulační položky]]&amp;" | "&amp;IF(A342="","",VLOOKUP(A:A,Pomocna_Nakup[],2,0)))</f>
        <v/>
      </c>
      <c r="D342" s="710" t="str">
        <f>IF(A342="","",'Rozpad zakázky'!F358)</f>
        <v/>
      </c>
      <c r="E342" s="710" t="str">
        <f>IF(A342="","",'Rozpad zakázky'!D358&amp;IF('Rozpad zakázky'!G358="",""," ("&amp;'Rozpad zakázky'!G358&amp;")"))</f>
        <v/>
      </c>
      <c r="F342" s="709" t="str">
        <f>IF(A342="","",'Rozpad zakázky'!IW358)</f>
        <v/>
      </c>
      <c r="G342" s="711" t="str">
        <f>IF(A342="","",'Rozpad zakázky'!AE358)</f>
        <v/>
      </c>
      <c r="H342" s="717" t="str">
        <f>IF(A342="","",'Rozpad zakázky'!AJ358)</f>
        <v/>
      </c>
      <c r="I342" s="748" t="str">
        <f>IF(A342="","",'Rozpad zakázky'!Q358)</f>
        <v/>
      </c>
      <c r="J342" s="717" t="str">
        <f>IF(A342="","",ROUNDDOWN('Rozpad zakázky'!L358,1))</f>
        <v/>
      </c>
      <c r="K342" s="745" t="str">
        <f>IF(A342="","",Tabulka_nakup_Vonka[[#This Row],[Počet MJHR v rozpadu]]*Tabulka_nakup_Vonka[[#This Row],[Jedn. hmotnost '[kg/MJHR']]])</f>
        <v/>
      </c>
    </row>
    <row r="343" spans="1:11" x14ac:dyDescent="0.35">
      <c r="A343" s="709" t="str">
        <f>IF('Rozpad zakázky'!E359=0,"",IF('Rozpad zakázky'!E359="-","",'Rozpad zakázky'!E359))</f>
        <v/>
      </c>
      <c r="B343" s="708" t="str">
        <f>IF(A343="","",IF(A343="","",VLOOKUP(A:A,Pomocna_Nakup[],3,0))&amp;" | "&amp;IF(A343="","",VLOOKUP(A:A,Pomocna_Nakup[],4,0)))</f>
        <v/>
      </c>
      <c r="C343" s="710" t="str">
        <f>IF(Tabulka_nakup_Vonka[[#This Row],[Zkratka kalkulační položky]]="","",Tabulka_nakup_Vonka[[#This Row],[Zkratka kalkulační položky]]&amp;" | "&amp;IF(A343="","",VLOOKUP(A:A,Pomocna_Nakup[],2,0)))</f>
        <v/>
      </c>
      <c r="D343" s="710" t="str">
        <f>IF(A343="","",'Rozpad zakázky'!F359)</f>
        <v/>
      </c>
      <c r="E343" s="710" t="str">
        <f>IF(A343="","",'Rozpad zakázky'!D359&amp;IF('Rozpad zakázky'!G359="",""," ("&amp;'Rozpad zakázky'!G359&amp;")"))</f>
        <v/>
      </c>
      <c r="F343" s="709" t="str">
        <f>IF(A343="","",'Rozpad zakázky'!IW359)</f>
        <v/>
      </c>
      <c r="G343" s="711" t="str">
        <f>IF(A343="","",'Rozpad zakázky'!AE359)</f>
        <v/>
      </c>
      <c r="H343" s="717" t="str">
        <f>IF(A343="","",'Rozpad zakázky'!AJ359)</f>
        <v/>
      </c>
      <c r="I343" s="748" t="str">
        <f>IF(A343="","",'Rozpad zakázky'!Q359)</f>
        <v/>
      </c>
      <c r="J343" s="717" t="str">
        <f>IF(A343="","",ROUNDDOWN('Rozpad zakázky'!L359,1))</f>
        <v/>
      </c>
      <c r="K343" s="745" t="str">
        <f>IF(A343="","",Tabulka_nakup_Vonka[[#This Row],[Počet MJHR v rozpadu]]*Tabulka_nakup_Vonka[[#This Row],[Jedn. hmotnost '[kg/MJHR']]])</f>
        <v/>
      </c>
    </row>
    <row r="344" spans="1:11" x14ac:dyDescent="0.35">
      <c r="A344" s="709" t="str">
        <f>IF('Rozpad zakázky'!E360=0,"",IF('Rozpad zakázky'!E360="-","",'Rozpad zakázky'!E360))</f>
        <v/>
      </c>
      <c r="B344" s="708" t="str">
        <f>IF(A344="","",IF(A344="","",VLOOKUP(A:A,Pomocna_Nakup[],3,0))&amp;" | "&amp;IF(A344="","",VLOOKUP(A:A,Pomocna_Nakup[],4,0)))</f>
        <v/>
      </c>
      <c r="C344" s="710" t="str">
        <f>IF(Tabulka_nakup_Vonka[[#This Row],[Zkratka kalkulační položky]]="","",Tabulka_nakup_Vonka[[#This Row],[Zkratka kalkulační položky]]&amp;" | "&amp;IF(A344="","",VLOOKUP(A:A,Pomocna_Nakup[],2,0)))</f>
        <v/>
      </c>
      <c r="D344" s="710" t="str">
        <f>IF(A344="","",'Rozpad zakázky'!F360)</f>
        <v/>
      </c>
      <c r="E344" s="710" t="str">
        <f>IF(A344="","",'Rozpad zakázky'!D360&amp;IF('Rozpad zakázky'!G360="",""," ("&amp;'Rozpad zakázky'!G360&amp;")"))</f>
        <v/>
      </c>
      <c r="F344" s="709" t="str">
        <f>IF(A344="","",'Rozpad zakázky'!IW360)</f>
        <v/>
      </c>
      <c r="G344" s="711" t="str">
        <f>IF(A344="","",'Rozpad zakázky'!AE360)</f>
        <v/>
      </c>
      <c r="H344" s="717" t="str">
        <f>IF(A344="","",'Rozpad zakázky'!AJ360)</f>
        <v/>
      </c>
      <c r="I344" s="748" t="str">
        <f>IF(A344="","",'Rozpad zakázky'!Q360)</f>
        <v/>
      </c>
      <c r="J344" s="717" t="str">
        <f>IF(A344="","",ROUNDDOWN('Rozpad zakázky'!L360,1))</f>
        <v/>
      </c>
      <c r="K344" s="745" t="str">
        <f>IF(A344="","",Tabulka_nakup_Vonka[[#This Row],[Počet MJHR v rozpadu]]*Tabulka_nakup_Vonka[[#This Row],[Jedn. hmotnost '[kg/MJHR']]])</f>
        <v/>
      </c>
    </row>
    <row r="345" spans="1:11" x14ac:dyDescent="0.35">
      <c r="A345" s="709" t="str">
        <f>IF('Rozpad zakázky'!E361=0,"",IF('Rozpad zakázky'!E361="-","",'Rozpad zakázky'!E361))</f>
        <v/>
      </c>
      <c r="B345" s="708" t="str">
        <f>IF(A345="","",IF(A345="","",VLOOKUP(A:A,Pomocna_Nakup[],3,0))&amp;" | "&amp;IF(A345="","",VLOOKUP(A:A,Pomocna_Nakup[],4,0)))</f>
        <v/>
      </c>
      <c r="C345" s="710" t="str">
        <f>IF(Tabulka_nakup_Vonka[[#This Row],[Zkratka kalkulační položky]]="","",Tabulka_nakup_Vonka[[#This Row],[Zkratka kalkulační položky]]&amp;" | "&amp;IF(A345="","",VLOOKUP(A:A,Pomocna_Nakup[],2,0)))</f>
        <v/>
      </c>
      <c r="D345" s="710" t="str">
        <f>IF(A345="","",'Rozpad zakázky'!F361)</f>
        <v/>
      </c>
      <c r="E345" s="710" t="str">
        <f>IF(A345="","",'Rozpad zakázky'!D361&amp;IF('Rozpad zakázky'!G361="",""," ("&amp;'Rozpad zakázky'!G361&amp;")"))</f>
        <v/>
      </c>
      <c r="F345" s="709" t="str">
        <f>IF(A345="","",'Rozpad zakázky'!IW361)</f>
        <v/>
      </c>
      <c r="G345" s="711" t="str">
        <f>IF(A345="","",'Rozpad zakázky'!AE361)</f>
        <v/>
      </c>
      <c r="H345" s="717" t="str">
        <f>IF(A345="","",'Rozpad zakázky'!AJ361)</f>
        <v/>
      </c>
      <c r="I345" s="748" t="str">
        <f>IF(A345="","",'Rozpad zakázky'!Q361)</f>
        <v/>
      </c>
      <c r="J345" s="717" t="str">
        <f>IF(A345="","",ROUNDDOWN('Rozpad zakázky'!L361,1))</f>
        <v/>
      </c>
      <c r="K345" s="745" t="str">
        <f>IF(A345="","",Tabulka_nakup_Vonka[[#This Row],[Počet MJHR v rozpadu]]*Tabulka_nakup_Vonka[[#This Row],[Jedn. hmotnost '[kg/MJHR']]])</f>
        <v/>
      </c>
    </row>
    <row r="346" spans="1:11" x14ac:dyDescent="0.35">
      <c r="A346" s="709" t="str">
        <f>IF('Rozpad zakázky'!E362=0,"",IF('Rozpad zakázky'!E362="-","",'Rozpad zakázky'!E362))</f>
        <v/>
      </c>
      <c r="B346" s="708" t="str">
        <f>IF(A346="","",IF(A346="","",VLOOKUP(A:A,Pomocna_Nakup[],3,0))&amp;" | "&amp;IF(A346="","",VLOOKUP(A:A,Pomocna_Nakup[],4,0)))</f>
        <v/>
      </c>
      <c r="C346" s="710" t="str">
        <f>IF(Tabulka_nakup_Vonka[[#This Row],[Zkratka kalkulační položky]]="","",Tabulka_nakup_Vonka[[#This Row],[Zkratka kalkulační položky]]&amp;" | "&amp;IF(A346="","",VLOOKUP(A:A,Pomocna_Nakup[],2,0)))</f>
        <v/>
      </c>
      <c r="D346" s="710" t="str">
        <f>IF(A346="","",'Rozpad zakázky'!F362)</f>
        <v/>
      </c>
      <c r="E346" s="710" t="str">
        <f>IF(A346="","",'Rozpad zakázky'!D362&amp;IF('Rozpad zakázky'!G362="",""," ("&amp;'Rozpad zakázky'!G362&amp;")"))</f>
        <v/>
      </c>
      <c r="F346" s="709" t="str">
        <f>IF(A346="","",'Rozpad zakázky'!IW362)</f>
        <v/>
      </c>
      <c r="G346" s="711" t="str">
        <f>IF(A346="","",'Rozpad zakázky'!AE362)</f>
        <v/>
      </c>
      <c r="H346" s="717" t="str">
        <f>IF(A346="","",'Rozpad zakázky'!AJ362)</f>
        <v/>
      </c>
      <c r="I346" s="748" t="str">
        <f>IF(A346="","",'Rozpad zakázky'!Q362)</f>
        <v/>
      </c>
      <c r="J346" s="717" t="str">
        <f>IF(A346="","",ROUNDDOWN('Rozpad zakázky'!L362,1))</f>
        <v/>
      </c>
      <c r="K346" s="745" t="str">
        <f>IF(A346="","",Tabulka_nakup_Vonka[[#This Row],[Počet MJHR v rozpadu]]*Tabulka_nakup_Vonka[[#This Row],[Jedn. hmotnost '[kg/MJHR']]])</f>
        <v/>
      </c>
    </row>
    <row r="347" spans="1:11" x14ac:dyDescent="0.35">
      <c r="A347" s="709" t="str">
        <f>IF('Rozpad zakázky'!E363=0,"",IF('Rozpad zakázky'!E363="-","",'Rozpad zakázky'!E363))</f>
        <v/>
      </c>
      <c r="B347" s="708" t="str">
        <f>IF(A347="","",IF(A347="","",VLOOKUP(A:A,Pomocna_Nakup[],3,0))&amp;" | "&amp;IF(A347="","",VLOOKUP(A:A,Pomocna_Nakup[],4,0)))</f>
        <v/>
      </c>
      <c r="C347" s="710" t="str">
        <f>IF(Tabulka_nakup_Vonka[[#This Row],[Zkratka kalkulační položky]]="","",Tabulka_nakup_Vonka[[#This Row],[Zkratka kalkulační položky]]&amp;" | "&amp;IF(A347="","",VLOOKUP(A:A,Pomocna_Nakup[],2,0)))</f>
        <v/>
      </c>
      <c r="D347" s="710" t="str">
        <f>IF(A347="","",'Rozpad zakázky'!F363)</f>
        <v/>
      </c>
      <c r="E347" s="710" t="str">
        <f>IF(A347="","",'Rozpad zakázky'!D363&amp;IF('Rozpad zakázky'!G363="",""," ("&amp;'Rozpad zakázky'!G363&amp;")"))</f>
        <v/>
      </c>
      <c r="F347" s="709" t="str">
        <f>IF(A347="","",'Rozpad zakázky'!IW363)</f>
        <v/>
      </c>
      <c r="G347" s="711" t="str">
        <f>IF(A347="","",'Rozpad zakázky'!AE363)</f>
        <v/>
      </c>
      <c r="H347" s="717" t="str">
        <f>IF(A347="","",'Rozpad zakázky'!AJ363)</f>
        <v/>
      </c>
      <c r="I347" s="748" t="str">
        <f>IF(A347="","",'Rozpad zakázky'!Q363)</f>
        <v/>
      </c>
      <c r="J347" s="717" t="str">
        <f>IF(A347="","",ROUNDDOWN('Rozpad zakázky'!L363,1))</f>
        <v/>
      </c>
      <c r="K347" s="745" t="str">
        <f>IF(A347="","",Tabulka_nakup_Vonka[[#This Row],[Počet MJHR v rozpadu]]*Tabulka_nakup_Vonka[[#This Row],[Jedn. hmotnost '[kg/MJHR']]])</f>
        <v/>
      </c>
    </row>
    <row r="348" spans="1:11" x14ac:dyDescent="0.35">
      <c r="A348" s="709" t="str">
        <f>IF('Rozpad zakázky'!E364=0,"",IF('Rozpad zakázky'!E364="-","",'Rozpad zakázky'!E364))</f>
        <v/>
      </c>
      <c r="B348" s="708" t="str">
        <f>IF(A348="","",IF(A348="","",VLOOKUP(A:A,Pomocna_Nakup[],3,0))&amp;" | "&amp;IF(A348="","",VLOOKUP(A:A,Pomocna_Nakup[],4,0)))</f>
        <v/>
      </c>
      <c r="C348" s="710" t="str">
        <f>IF(Tabulka_nakup_Vonka[[#This Row],[Zkratka kalkulační položky]]="","",Tabulka_nakup_Vonka[[#This Row],[Zkratka kalkulační položky]]&amp;" | "&amp;IF(A348="","",VLOOKUP(A:A,Pomocna_Nakup[],2,0)))</f>
        <v/>
      </c>
      <c r="D348" s="710" t="str">
        <f>IF(A348="","",'Rozpad zakázky'!F364)</f>
        <v/>
      </c>
      <c r="E348" s="710" t="str">
        <f>IF(A348="","",'Rozpad zakázky'!D364&amp;IF('Rozpad zakázky'!G364="",""," ("&amp;'Rozpad zakázky'!G364&amp;")"))</f>
        <v/>
      </c>
      <c r="F348" s="709" t="str">
        <f>IF(A348="","",'Rozpad zakázky'!IW364)</f>
        <v/>
      </c>
      <c r="G348" s="711" t="str">
        <f>IF(A348="","",'Rozpad zakázky'!AE364)</f>
        <v/>
      </c>
      <c r="H348" s="717" t="str">
        <f>IF(A348="","",'Rozpad zakázky'!AJ364)</f>
        <v/>
      </c>
      <c r="I348" s="748" t="str">
        <f>IF(A348="","",'Rozpad zakázky'!Q364)</f>
        <v/>
      </c>
      <c r="J348" s="717" t="str">
        <f>IF(A348="","",ROUNDDOWN('Rozpad zakázky'!L364,1))</f>
        <v/>
      </c>
      <c r="K348" s="745" t="str">
        <f>IF(A348="","",Tabulka_nakup_Vonka[[#This Row],[Počet MJHR v rozpadu]]*Tabulka_nakup_Vonka[[#This Row],[Jedn. hmotnost '[kg/MJHR']]])</f>
        <v/>
      </c>
    </row>
    <row r="349" spans="1:11" x14ac:dyDescent="0.35">
      <c r="A349" s="709" t="str">
        <f>IF('Rozpad zakázky'!E365=0,"",IF('Rozpad zakázky'!E365="-","",'Rozpad zakázky'!E365))</f>
        <v/>
      </c>
      <c r="B349" s="708" t="str">
        <f>IF(A349="","",IF(A349="","",VLOOKUP(A:A,Pomocna_Nakup[],3,0))&amp;" | "&amp;IF(A349="","",VLOOKUP(A:A,Pomocna_Nakup[],4,0)))</f>
        <v/>
      </c>
      <c r="C349" s="710" t="str">
        <f>IF(Tabulka_nakup_Vonka[[#This Row],[Zkratka kalkulační položky]]="","",Tabulka_nakup_Vonka[[#This Row],[Zkratka kalkulační položky]]&amp;" | "&amp;IF(A349="","",VLOOKUP(A:A,Pomocna_Nakup[],2,0)))</f>
        <v/>
      </c>
      <c r="D349" s="710" t="str">
        <f>IF(A349="","",'Rozpad zakázky'!F365)</f>
        <v/>
      </c>
      <c r="E349" s="710" t="str">
        <f>IF(A349="","",'Rozpad zakázky'!D365&amp;IF('Rozpad zakázky'!G365="",""," ("&amp;'Rozpad zakázky'!G365&amp;")"))</f>
        <v/>
      </c>
      <c r="F349" s="709" t="str">
        <f>IF(A349="","",'Rozpad zakázky'!IW365)</f>
        <v/>
      </c>
      <c r="G349" s="711" t="str">
        <f>IF(A349="","",'Rozpad zakázky'!AE365)</f>
        <v/>
      </c>
      <c r="H349" s="717" t="str">
        <f>IF(A349="","",'Rozpad zakázky'!AJ365)</f>
        <v/>
      </c>
      <c r="I349" s="748" t="str">
        <f>IF(A349="","",'Rozpad zakázky'!Q365)</f>
        <v/>
      </c>
      <c r="J349" s="717" t="str">
        <f>IF(A349="","",ROUNDDOWN('Rozpad zakázky'!L365,1))</f>
        <v/>
      </c>
      <c r="K349" s="745" t="str">
        <f>IF(A349="","",Tabulka_nakup_Vonka[[#This Row],[Počet MJHR v rozpadu]]*Tabulka_nakup_Vonka[[#This Row],[Jedn. hmotnost '[kg/MJHR']]])</f>
        <v/>
      </c>
    </row>
    <row r="350" spans="1:11" x14ac:dyDescent="0.35">
      <c r="A350" s="709" t="str">
        <f>IF('Rozpad zakázky'!E366=0,"",IF('Rozpad zakázky'!E366="-","",'Rozpad zakázky'!E366))</f>
        <v/>
      </c>
      <c r="B350" s="708" t="str">
        <f>IF(A350="","",IF(A350="","",VLOOKUP(A:A,Pomocna_Nakup[],3,0))&amp;" | "&amp;IF(A350="","",VLOOKUP(A:A,Pomocna_Nakup[],4,0)))</f>
        <v/>
      </c>
      <c r="C350" s="710" t="str">
        <f>IF(Tabulka_nakup_Vonka[[#This Row],[Zkratka kalkulační položky]]="","",Tabulka_nakup_Vonka[[#This Row],[Zkratka kalkulační položky]]&amp;" | "&amp;IF(A350="","",VLOOKUP(A:A,Pomocna_Nakup[],2,0)))</f>
        <v/>
      </c>
      <c r="D350" s="710" t="str">
        <f>IF(A350="","",'Rozpad zakázky'!F366)</f>
        <v/>
      </c>
      <c r="E350" s="710" t="str">
        <f>IF(A350="","",'Rozpad zakázky'!D366&amp;IF('Rozpad zakázky'!G366="",""," ("&amp;'Rozpad zakázky'!G366&amp;")"))</f>
        <v/>
      </c>
      <c r="F350" s="709" t="str">
        <f>IF(A350="","",'Rozpad zakázky'!IW366)</f>
        <v/>
      </c>
      <c r="G350" s="711" t="str">
        <f>IF(A350="","",'Rozpad zakázky'!AE366)</f>
        <v/>
      </c>
      <c r="H350" s="717" t="str">
        <f>IF(A350="","",'Rozpad zakázky'!AJ366)</f>
        <v/>
      </c>
      <c r="I350" s="748" t="str">
        <f>IF(A350="","",'Rozpad zakázky'!Q366)</f>
        <v/>
      </c>
      <c r="J350" s="717" t="str">
        <f>IF(A350="","",ROUNDDOWN('Rozpad zakázky'!L366,1))</f>
        <v/>
      </c>
      <c r="K350" s="745" t="str">
        <f>IF(A350="","",Tabulka_nakup_Vonka[[#This Row],[Počet MJHR v rozpadu]]*Tabulka_nakup_Vonka[[#This Row],[Jedn. hmotnost '[kg/MJHR']]])</f>
        <v/>
      </c>
    </row>
    <row r="351" spans="1:11" x14ac:dyDescent="0.35">
      <c r="A351" s="709" t="str">
        <f>IF('Rozpad zakázky'!E367=0,"",IF('Rozpad zakázky'!E367="-","",'Rozpad zakázky'!E367))</f>
        <v/>
      </c>
      <c r="B351" s="708" t="str">
        <f>IF(A351="","",IF(A351="","",VLOOKUP(A:A,Pomocna_Nakup[],3,0))&amp;" | "&amp;IF(A351="","",VLOOKUP(A:A,Pomocna_Nakup[],4,0)))</f>
        <v/>
      </c>
      <c r="C351" s="710" t="str">
        <f>IF(Tabulka_nakup_Vonka[[#This Row],[Zkratka kalkulační položky]]="","",Tabulka_nakup_Vonka[[#This Row],[Zkratka kalkulační položky]]&amp;" | "&amp;IF(A351="","",VLOOKUP(A:A,Pomocna_Nakup[],2,0)))</f>
        <v/>
      </c>
      <c r="D351" s="710" t="str">
        <f>IF(A351="","",'Rozpad zakázky'!F367)</f>
        <v/>
      </c>
      <c r="E351" s="710" t="str">
        <f>IF(A351="","",'Rozpad zakázky'!D367&amp;IF('Rozpad zakázky'!G367="",""," ("&amp;'Rozpad zakázky'!G367&amp;")"))</f>
        <v/>
      </c>
      <c r="F351" s="709" t="str">
        <f>IF(A351="","",'Rozpad zakázky'!IW367)</f>
        <v/>
      </c>
      <c r="G351" s="711" t="str">
        <f>IF(A351="","",'Rozpad zakázky'!AE367)</f>
        <v/>
      </c>
      <c r="H351" s="717" t="str">
        <f>IF(A351="","",'Rozpad zakázky'!AJ367)</f>
        <v/>
      </c>
      <c r="I351" s="748" t="str">
        <f>IF(A351="","",'Rozpad zakázky'!Q367)</f>
        <v/>
      </c>
      <c r="J351" s="717" t="str">
        <f>IF(A351="","",ROUNDDOWN('Rozpad zakázky'!L367,1))</f>
        <v/>
      </c>
      <c r="K351" s="745" t="str">
        <f>IF(A351="","",Tabulka_nakup_Vonka[[#This Row],[Počet MJHR v rozpadu]]*Tabulka_nakup_Vonka[[#This Row],[Jedn. hmotnost '[kg/MJHR']]])</f>
        <v/>
      </c>
    </row>
    <row r="352" spans="1:11" x14ac:dyDescent="0.35">
      <c r="A352" s="709" t="str">
        <f>IF('Rozpad zakázky'!E368=0,"",IF('Rozpad zakázky'!E368="-","",'Rozpad zakázky'!E368))</f>
        <v/>
      </c>
      <c r="B352" s="708" t="str">
        <f>IF(A352="","",IF(A352="","",VLOOKUP(A:A,Pomocna_Nakup[],3,0))&amp;" | "&amp;IF(A352="","",VLOOKUP(A:A,Pomocna_Nakup[],4,0)))</f>
        <v/>
      </c>
      <c r="C352" s="710" t="str">
        <f>IF(Tabulka_nakup_Vonka[[#This Row],[Zkratka kalkulační položky]]="","",Tabulka_nakup_Vonka[[#This Row],[Zkratka kalkulační položky]]&amp;" | "&amp;IF(A352="","",VLOOKUP(A:A,Pomocna_Nakup[],2,0)))</f>
        <v/>
      </c>
      <c r="D352" s="710" t="str">
        <f>IF(A352="","",'Rozpad zakázky'!F368)</f>
        <v/>
      </c>
      <c r="E352" s="710" t="str">
        <f>IF(A352="","",'Rozpad zakázky'!D368&amp;IF('Rozpad zakázky'!G368="",""," ("&amp;'Rozpad zakázky'!G368&amp;")"))</f>
        <v/>
      </c>
      <c r="F352" s="709" t="str">
        <f>IF(A352="","",'Rozpad zakázky'!IW368)</f>
        <v/>
      </c>
      <c r="G352" s="711" t="str">
        <f>IF(A352="","",'Rozpad zakázky'!AE368)</f>
        <v/>
      </c>
      <c r="H352" s="717" t="str">
        <f>IF(A352="","",'Rozpad zakázky'!AJ368)</f>
        <v/>
      </c>
      <c r="I352" s="748" t="str">
        <f>IF(A352="","",'Rozpad zakázky'!Q368)</f>
        <v/>
      </c>
      <c r="J352" s="717" t="str">
        <f>IF(A352="","",ROUNDDOWN('Rozpad zakázky'!L368,1))</f>
        <v/>
      </c>
      <c r="K352" s="745" t="str">
        <f>IF(A352="","",Tabulka_nakup_Vonka[[#This Row],[Počet MJHR v rozpadu]]*Tabulka_nakup_Vonka[[#This Row],[Jedn. hmotnost '[kg/MJHR']]])</f>
        <v/>
      </c>
    </row>
    <row r="353" spans="1:11" x14ac:dyDescent="0.35">
      <c r="A353" s="709" t="str">
        <f>IF('Rozpad zakázky'!E369=0,"",IF('Rozpad zakázky'!E369="-","",'Rozpad zakázky'!E369))</f>
        <v/>
      </c>
      <c r="B353" s="708" t="str">
        <f>IF(A353="","",IF(A353="","",VLOOKUP(A:A,Pomocna_Nakup[],3,0))&amp;" | "&amp;IF(A353="","",VLOOKUP(A:A,Pomocna_Nakup[],4,0)))</f>
        <v/>
      </c>
      <c r="C353" s="710" t="str">
        <f>IF(Tabulka_nakup_Vonka[[#This Row],[Zkratka kalkulační položky]]="","",Tabulka_nakup_Vonka[[#This Row],[Zkratka kalkulační položky]]&amp;" | "&amp;IF(A353="","",VLOOKUP(A:A,Pomocna_Nakup[],2,0)))</f>
        <v/>
      </c>
      <c r="D353" s="710" t="str">
        <f>IF(A353="","",'Rozpad zakázky'!F369)</f>
        <v/>
      </c>
      <c r="E353" s="710" t="str">
        <f>IF(A353="","",'Rozpad zakázky'!D369&amp;IF('Rozpad zakázky'!G369="",""," ("&amp;'Rozpad zakázky'!G369&amp;")"))</f>
        <v/>
      </c>
      <c r="F353" s="709" t="str">
        <f>IF(A353="","",'Rozpad zakázky'!IW369)</f>
        <v/>
      </c>
      <c r="G353" s="711" t="str">
        <f>IF(A353="","",'Rozpad zakázky'!AE369)</f>
        <v/>
      </c>
      <c r="H353" s="717" t="str">
        <f>IF(A353="","",'Rozpad zakázky'!AJ369)</f>
        <v/>
      </c>
      <c r="I353" s="748" t="str">
        <f>IF(A353="","",'Rozpad zakázky'!Q369)</f>
        <v/>
      </c>
      <c r="J353" s="717" t="str">
        <f>IF(A353="","",ROUNDDOWN('Rozpad zakázky'!L369,1))</f>
        <v/>
      </c>
      <c r="K353" s="745" t="str">
        <f>IF(A353="","",Tabulka_nakup_Vonka[[#This Row],[Počet MJHR v rozpadu]]*Tabulka_nakup_Vonka[[#This Row],[Jedn. hmotnost '[kg/MJHR']]])</f>
        <v/>
      </c>
    </row>
    <row r="354" spans="1:11" x14ac:dyDescent="0.35">
      <c r="A354" s="709" t="str">
        <f>IF('Rozpad zakázky'!E370=0,"",IF('Rozpad zakázky'!E370="-","",'Rozpad zakázky'!E370))</f>
        <v/>
      </c>
      <c r="B354" s="708" t="str">
        <f>IF(A354="","",IF(A354="","",VLOOKUP(A:A,Pomocna_Nakup[],3,0))&amp;" | "&amp;IF(A354="","",VLOOKUP(A:A,Pomocna_Nakup[],4,0)))</f>
        <v/>
      </c>
      <c r="C354" s="710" t="str">
        <f>IF(Tabulka_nakup_Vonka[[#This Row],[Zkratka kalkulační položky]]="","",Tabulka_nakup_Vonka[[#This Row],[Zkratka kalkulační položky]]&amp;" | "&amp;IF(A354="","",VLOOKUP(A:A,Pomocna_Nakup[],2,0)))</f>
        <v/>
      </c>
      <c r="D354" s="710" t="str">
        <f>IF(A354="","",'Rozpad zakázky'!F370)</f>
        <v/>
      </c>
      <c r="E354" s="710" t="str">
        <f>IF(A354="","",'Rozpad zakázky'!D370&amp;IF('Rozpad zakázky'!G370="",""," ("&amp;'Rozpad zakázky'!G370&amp;")"))</f>
        <v/>
      </c>
      <c r="F354" s="709" t="str">
        <f>IF(A354="","",'Rozpad zakázky'!IW370)</f>
        <v/>
      </c>
      <c r="G354" s="711" t="str">
        <f>IF(A354="","",'Rozpad zakázky'!AE370)</f>
        <v/>
      </c>
      <c r="H354" s="717" t="str">
        <f>IF(A354="","",'Rozpad zakázky'!AJ370)</f>
        <v/>
      </c>
      <c r="I354" s="748" t="str">
        <f>IF(A354="","",'Rozpad zakázky'!Q370)</f>
        <v/>
      </c>
      <c r="J354" s="717" t="str">
        <f>IF(A354="","",ROUNDDOWN('Rozpad zakázky'!L370,1))</f>
        <v/>
      </c>
      <c r="K354" s="745" t="str">
        <f>IF(A354="","",Tabulka_nakup_Vonka[[#This Row],[Počet MJHR v rozpadu]]*Tabulka_nakup_Vonka[[#This Row],[Jedn. hmotnost '[kg/MJHR']]])</f>
        <v/>
      </c>
    </row>
    <row r="355" spans="1:11" x14ac:dyDescent="0.35">
      <c r="A355" s="709" t="str">
        <f>IF('Rozpad zakázky'!E371=0,"",IF('Rozpad zakázky'!E371="-","",'Rozpad zakázky'!E371))</f>
        <v/>
      </c>
      <c r="B355" s="708" t="str">
        <f>IF(A355="","",IF(A355="","",VLOOKUP(A:A,Pomocna_Nakup[],3,0))&amp;" | "&amp;IF(A355="","",VLOOKUP(A:A,Pomocna_Nakup[],4,0)))</f>
        <v/>
      </c>
      <c r="C355" s="710" t="str">
        <f>IF(Tabulka_nakup_Vonka[[#This Row],[Zkratka kalkulační položky]]="","",Tabulka_nakup_Vonka[[#This Row],[Zkratka kalkulační položky]]&amp;" | "&amp;IF(A355="","",VLOOKUP(A:A,Pomocna_Nakup[],2,0)))</f>
        <v/>
      </c>
      <c r="D355" s="710" t="str">
        <f>IF(A355="","",'Rozpad zakázky'!F371)</f>
        <v/>
      </c>
      <c r="E355" s="710" t="str">
        <f>IF(A355="","",'Rozpad zakázky'!D371&amp;IF('Rozpad zakázky'!G371="",""," ("&amp;'Rozpad zakázky'!G371&amp;")"))</f>
        <v/>
      </c>
      <c r="F355" s="709" t="str">
        <f>IF(A355="","",'Rozpad zakázky'!IW371)</f>
        <v/>
      </c>
      <c r="G355" s="711" t="str">
        <f>IF(A355="","",'Rozpad zakázky'!AE371)</f>
        <v/>
      </c>
      <c r="H355" s="717" t="str">
        <f>IF(A355="","",'Rozpad zakázky'!AJ371)</f>
        <v/>
      </c>
      <c r="I355" s="748" t="str">
        <f>IF(A355="","",'Rozpad zakázky'!Q371)</f>
        <v/>
      </c>
      <c r="J355" s="717" t="str">
        <f>IF(A355="","",ROUNDDOWN('Rozpad zakázky'!L371,1))</f>
        <v/>
      </c>
      <c r="K355" s="745" t="str">
        <f>IF(A355="","",Tabulka_nakup_Vonka[[#This Row],[Počet MJHR v rozpadu]]*Tabulka_nakup_Vonka[[#This Row],[Jedn. hmotnost '[kg/MJHR']]])</f>
        <v/>
      </c>
    </row>
    <row r="356" spans="1:11" x14ac:dyDescent="0.35">
      <c r="A356" s="709" t="str">
        <f>IF('Rozpad zakázky'!E372=0,"",IF('Rozpad zakázky'!E372="-","",'Rozpad zakázky'!E372))</f>
        <v/>
      </c>
      <c r="B356" s="708" t="str">
        <f>IF(A356="","",IF(A356="","",VLOOKUP(A:A,Pomocna_Nakup[],3,0))&amp;" | "&amp;IF(A356="","",VLOOKUP(A:A,Pomocna_Nakup[],4,0)))</f>
        <v/>
      </c>
      <c r="C356" s="710" t="str">
        <f>IF(Tabulka_nakup_Vonka[[#This Row],[Zkratka kalkulační položky]]="","",Tabulka_nakup_Vonka[[#This Row],[Zkratka kalkulační položky]]&amp;" | "&amp;IF(A356="","",VLOOKUP(A:A,Pomocna_Nakup[],2,0)))</f>
        <v/>
      </c>
      <c r="D356" s="710" t="str">
        <f>IF(A356="","",'Rozpad zakázky'!F372)</f>
        <v/>
      </c>
      <c r="E356" s="710" t="str">
        <f>IF(A356="","",'Rozpad zakázky'!D372&amp;IF('Rozpad zakázky'!G372="",""," ("&amp;'Rozpad zakázky'!G372&amp;")"))</f>
        <v/>
      </c>
      <c r="F356" s="709" t="str">
        <f>IF(A356="","",'Rozpad zakázky'!IW372)</f>
        <v/>
      </c>
      <c r="G356" s="711" t="str">
        <f>IF(A356="","",'Rozpad zakázky'!AE372)</f>
        <v/>
      </c>
      <c r="H356" s="717" t="str">
        <f>IF(A356="","",'Rozpad zakázky'!AJ372)</f>
        <v/>
      </c>
      <c r="I356" s="748" t="str">
        <f>IF(A356="","",'Rozpad zakázky'!Q372)</f>
        <v/>
      </c>
      <c r="J356" s="717" t="str">
        <f>IF(A356="","",ROUNDDOWN('Rozpad zakázky'!L372,1))</f>
        <v/>
      </c>
      <c r="K356" s="745" t="str">
        <f>IF(A356="","",Tabulka_nakup_Vonka[[#This Row],[Počet MJHR v rozpadu]]*Tabulka_nakup_Vonka[[#This Row],[Jedn. hmotnost '[kg/MJHR']]])</f>
        <v/>
      </c>
    </row>
    <row r="357" spans="1:11" x14ac:dyDescent="0.35">
      <c r="A357" s="709" t="str">
        <f>IF('Rozpad zakázky'!E373=0,"",IF('Rozpad zakázky'!E373="-","",'Rozpad zakázky'!E373))</f>
        <v/>
      </c>
      <c r="B357" s="708" t="str">
        <f>IF(A357="","",IF(A357="","",VLOOKUP(A:A,Pomocna_Nakup[],3,0))&amp;" | "&amp;IF(A357="","",VLOOKUP(A:A,Pomocna_Nakup[],4,0)))</f>
        <v/>
      </c>
      <c r="C357" s="710" t="str">
        <f>IF(Tabulka_nakup_Vonka[[#This Row],[Zkratka kalkulační položky]]="","",Tabulka_nakup_Vonka[[#This Row],[Zkratka kalkulační položky]]&amp;" | "&amp;IF(A357="","",VLOOKUP(A:A,Pomocna_Nakup[],2,0)))</f>
        <v/>
      </c>
      <c r="D357" s="710" t="str">
        <f>IF(A357="","",'Rozpad zakázky'!F373)</f>
        <v/>
      </c>
      <c r="E357" s="710" t="str">
        <f>IF(A357="","",'Rozpad zakázky'!D373&amp;IF('Rozpad zakázky'!G373="",""," ("&amp;'Rozpad zakázky'!G373&amp;")"))</f>
        <v/>
      </c>
      <c r="F357" s="709" t="str">
        <f>IF(A357="","",'Rozpad zakázky'!IW373)</f>
        <v/>
      </c>
      <c r="G357" s="711" t="str">
        <f>IF(A357="","",'Rozpad zakázky'!AE373)</f>
        <v/>
      </c>
      <c r="H357" s="717" t="str">
        <f>IF(A357="","",'Rozpad zakázky'!AJ373)</f>
        <v/>
      </c>
      <c r="I357" s="748" t="str">
        <f>IF(A357="","",'Rozpad zakázky'!Q373)</f>
        <v/>
      </c>
      <c r="J357" s="717" t="str">
        <f>IF(A357="","",ROUNDDOWN('Rozpad zakázky'!L373,1))</f>
        <v/>
      </c>
      <c r="K357" s="745" t="str">
        <f>IF(A357="","",Tabulka_nakup_Vonka[[#This Row],[Počet MJHR v rozpadu]]*Tabulka_nakup_Vonka[[#This Row],[Jedn. hmotnost '[kg/MJHR']]])</f>
        <v/>
      </c>
    </row>
    <row r="358" spans="1:11" x14ac:dyDescent="0.35">
      <c r="A358" s="709" t="str">
        <f>IF('Rozpad zakázky'!E374=0,"",IF('Rozpad zakázky'!E374="-","",'Rozpad zakázky'!E374))</f>
        <v/>
      </c>
      <c r="B358" s="708" t="str">
        <f>IF(A358="","",IF(A358="","",VLOOKUP(A:A,Pomocna_Nakup[],3,0))&amp;" | "&amp;IF(A358="","",VLOOKUP(A:A,Pomocna_Nakup[],4,0)))</f>
        <v/>
      </c>
      <c r="C358" s="710" t="str">
        <f>IF(Tabulka_nakup_Vonka[[#This Row],[Zkratka kalkulační položky]]="","",Tabulka_nakup_Vonka[[#This Row],[Zkratka kalkulační položky]]&amp;" | "&amp;IF(A358="","",VLOOKUP(A:A,Pomocna_Nakup[],2,0)))</f>
        <v/>
      </c>
      <c r="D358" s="710" t="str">
        <f>IF(A358="","",'Rozpad zakázky'!F374)</f>
        <v/>
      </c>
      <c r="E358" s="710" t="str">
        <f>IF(A358="","",'Rozpad zakázky'!D374&amp;IF('Rozpad zakázky'!G374="",""," ("&amp;'Rozpad zakázky'!G374&amp;")"))</f>
        <v/>
      </c>
      <c r="F358" s="709" t="str">
        <f>IF(A358="","",'Rozpad zakázky'!IW374)</f>
        <v/>
      </c>
      <c r="G358" s="711" t="str">
        <f>IF(A358="","",'Rozpad zakázky'!AE374)</f>
        <v/>
      </c>
      <c r="H358" s="717" t="str">
        <f>IF(A358="","",'Rozpad zakázky'!AJ374)</f>
        <v/>
      </c>
      <c r="I358" s="748" t="str">
        <f>IF(A358="","",'Rozpad zakázky'!Q374)</f>
        <v/>
      </c>
      <c r="J358" s="717" t="str">
        <f>IF(A358="","",ROUNDDOWN('Rozpad zakázky'!L374,1))</f>
        <v/>
      </c>
      <c r="K358" s="745" t="str">
        <f>IF(A358="","",Tabulka_nakup_Vonka[[#This Row],[Počet MJHR v rozpadu]]*Tabulka_nakup_Vonka[[#This Row],[Jedn. hmotnost '[kg/MJHR']]])</f>
        <v/>
      </c>
    </row>
    <row r="359" spans="1:11" x14ac:dyDescent="0.35">
      <c r="A359" s="709" t="str">
        <f>IF('Rozpad zakázky'!E375=0,"",IF('Rozpad zakázky'!E375="-","",'Rozpad zakázky'!E375))</f>
        <v/>
      </c>
      <c r="B359" s="708" t="str">
        <f>IF(A359="","",IF(A359="","",VLOOKUP(A:A,Pomocna_Nakup[],3,0))&amp;" | "&amp;IF(A359="","",VLOOKUP(A:A,Pomocna_Nakup[],4,0)))</f>
        <v/>
      </c>
      <c r="C359" s="710" t="str">
        <f>IF(Tabulka_nakup_Vonka[[#This Row],[Zkratka kalkulační položky]]="","",Tabulka_nakup_Vonka[[#This Row],[Zkratka kalkulační položky]]&amp;" | "&amp;IF(A359="","",VLOOKUP(A:A,Pomocna_Nakup[],2,0)))</f>
        <v/>
      </c>
      <c r="D359" s="710" t="str">
        <f>IF(A359="","",'Rozpad zakázky'!F375)</f>
        <v/>
      </c>
      <c r="E359" s="710" t="str">
        <f>IF(A359="","",'Rozpad zakázky'!D375&amp;IF('Rozpad zakázky'!G375="",""," ("&amp;'Rozpad zakázky'!G375&amp;")"))</f>
        <v/>
      </c>
      <c r="F359" s="709" t="str">
        <f>IF(A359="","",'Rozpad zakázky'!IW375)</f>
        <v/>
      </c>
      <c r="G359" s="711" t="str">
        <f>IF(A359="","",'Rozpad zakázky'!AE375)</f>
        <v/>
      </c>
      <c r="H359" s="717" t="str">
        <f>IF(A359="","",'Rozpad zakázky'!AJ375)</f>
        <v/>
      </c>
      <c r="I359" s="748" t="str">
        <f>IF(A359="","",'Rozpad zakázky'!Q375)</f>
        <v/>
      </c>
      <c r="J359" s="717" t="str">
        <f>IF(A359="","",ROUNDDOWN('Rozpad zakázky'!L375,1))</f>
        <v/>
      </c>
      <c r="K359" s="745" t="str">
        <f>IF(A359="","",Tabulka_nakup_Vonka[[#This Row],[Počet MJHR v rozpadu]]*Tabulka_nakup_Vonka[[#This Row],[Jedn. hmotnost '[kg/MJHR']]])</f>
        <v/>
      </c>
    </row>
    <row r="360" spans="1:11" x14ac:dyDescent="0.35">
      <c r="A360" s="709" t="str">
        <f>IF('Rozpad zakázky'!E376=0,"",IF('Rozpad zakázky'!E376="-","",'Rozpad zakázky'!E376))</f>
        <v/>
      </c>
      <c r="B360" s="708" t="str">
        <f>IF(A360="","",IF(A360="","",VLOOKUP(A:A,Pomocna_Nakup[],3,0))&amp;" | "&amp;IF(A360="","",VLOOKUP(A:A,Pomocna_Nakup[],4,0)))</f>
        <v/>
      </c>
      <c r="C360" s="710" t="str">
        <f>IF(Tabulka_nakup_Vonka[[#This Row],[Zkratka kalkulační položky]]="","",Tabulka_nakup_Vonka[[#This Row],[Zkratka kalkulační položky]]&amp;" | "&amp;IF(A360="","",VLOOKUP(A:A,Pomocna_Nakup[],2,0)))</f>
        <v/>
      </c>
      <c r="D360" s="710" t="str">
        <f>IF(A360="","",'Rozpad zakázky'!F376)</f>
        <v/>
      </c>
      <c r="E360" s="710" t="str">
        <f>IF(A360="","",'Rozpad zakázky'!D376&amp;IF('Rozpad zakázky'!G376="",""," ("&amp;'Rozpad zakázky'!G376&amp;")"))</f>
        <v/>
      </c>
      <c r="F360" s="709" t="str">
        <f>IF(A360="","",'Rozpad zakázky'!IW376)</f>
        <v/>
      </c>
      <c r="G360" s="711" t="str">
        <f>IF(A360="","",'Rozpad zakázky'!AE376)</f>
        <v/>
      </c>
      <c r="H360" s="717" t="str">
        <f>IF(A360="","",'Rozpad zakázky'!AJ376)</f>
        <v/>
      </c>
      <c r="I360" s="748" t="str">
        <f>IF(A360="","",'Rozpad zakázky'!Q376)</f>
        <v/>
      </c>
      <c r="J360" s="717" t="str">
        <f>IF(A360="","",ROUNDDOWN('Rozpad zakázky'!L376,1))</f>
        <v/>
      </c>
      <c r="K360" s="745" t="str">
        <f>IF(A360="","",Tabulka_nakup_Vonka[[#This Row],[Počet MJHR v rozpadu]]*Tabulka_nakup_Vonka[[#This Row],[Jedn. hmotnost '[kg/MJHR']]])</f>
        <v/>
      </c>
    </row>
    <row r="361" spans="1:11" x14ac:dyDescent="0.35">
      <c r="A361" s="709" t="str">
        <f>IF('Rozpad zakázky'!E377=0,"",IF('Rozpad zakázky'!E377="-","",'Rozpad zakázky'!E377))</f>
        <v/>
      </c>
      <c r="B361" s="708" t="str">
        <f>IF(A361="","",IF(A361="","",VLOOKUP(A:A,Pomocna_Nakup[],3,0))&amp;" | "&amp;IF(A361="","",VLOOKUP(A:A,Pomocna_Nakup[],4,0)))</f>
        <v/>
      </c>
      <c r="C361" s="710" t="str">
        <f>IF(Tabulka_nakup_Vonka[[#This Row],[Zkratka kalkulační položky]]="","",Tabulka_nakup_Vonka[[#This Row],[Zkratka kalkulační položky]]&amp;" | "&amp;IF(A361="","",VLOOKUP(A:A,Pomocna_Nakup[],2,0)))</f>
        <v/>
      </c>
      <c r="D361" s="710" t="str">
        <f>IF(A361="","",'Rozpad zakázky'!F377)</f>
        <v/>
      </c>
      <c r="E361" s="710" t="str">
        <f>IF(A361="","",'Rozpad zakázky'!D377&amp;IF('Rozpad zakázky'!G377="",""," ("&amp;'Rozpad zakázky'!G377&amp;")"))</f>
        <v/>
      </c>
      <c r="F361" s="709" t="str">
        <f>IF(A361="","",'Rozpad zakázky'!IW377)</f>
        <v/>
      </c>
      <c r="G361" s="711" t="str">
        <f>IF(A361="","",'Rozpad zakázky'!AE377)</f>
        <v/>
      </c>
      <c r="H361" s="717" t="str">
        <f>IF(A361="","",'Rozpad zakázky'!AJ377)</f>
        <v/>
      </c>
      <c r="I361" s="748" t="str">
        <f>IF(A361="","",'Rozpad zakázky'!Q377)</f>
        <v/>
      </c>
      <c r="J361" s="717" t="str">
        <f>IF(A361="","",ROUNDDOWN('Rozpad zakázky'!L377,1))</f>
        <v/>
      </c>
      <c r="K361" s="745" t="str">
        <f>IF(A361="","",Tabulka_nakup_Vonka[[#This Row],[Počet MJHR v rozpadu]]*Tabulka_nakup_Vonka[[#This Row],[Jedn. hmotnost '[kg/MJHR']]])</f>
        <v/>
      </c>
    </row>
    <row r="362" spans="1:11" x14ac:dyDescent="0.35">
      <c r="A362" s="709" t="str">
        <f>IF('Rozpad zakázky'!E378=0,"",IF('Rozpad zakázky'!E378="-","",'Rozpad zakázky'!E378))</f>
        <v/>
      </c>
      <c r="B362" s="708" t="str">
        <f>IF(A362="","",IF(A362="","",VLOOKUP(A:A,Pomocna_Nakup[],3,0))&amp;" | "&amp;IF(A362="","",VLOOKUP(A:A,Pomocna_Nakup[],4,0)))</f>
        <v/>
      </c>
      <c r="C362" s="710" t="str">
        <f>IF(Tabulka_nakup_Vonka[[#This Row],[Zkratka kalkulační položky]]="","",Tabulka_nakup_Vonka[[#This Row],[Zkratka kalkulační položky]]&amp;" | "&amp;IF(A362="","",VLOOKUP(A:A,Pomocna_Nakup[],2,0)))</f>
        <v/>
      </c>
      <c r="D362" s="710" t="str">
        <f>IF(A362="","",'Rozpad zakázky'!F378)</f>
        <v/>
      </c>
      <c r="E362" s="710" t="str">
        <f>IF(A362="","",'Rozpad zakázky'!D378&amp;IF('Rozpad zakázky'!G378="",""," ("&amp;'Rozpad zakázky'!G378&amp;")"))</f>
        <v/>
      </c>
      <c r="F362" s="709" t="str">
        <f>IF(A362="","",'Rozpad zakázky'!IW378)</f>
        <v/>
      </c>
      <c r="G362" s="711" t="str">
        <f>IF(A362="","",'Rozpad zakázky'!AE378)</f>
        <v/>
      </c>
      <c r="H362" s="717" t="str">
        <f>IF(A362="","",'Rozpad zakázky'!AJ378)</f>
        <v/>
      </c>
      <c r="I362" s="748" t="str">
        <f>IF(A362="","",'Rozpad zakázky'!Q378)</f>
        <v/>
      </c>
      <c r="J362" s="717" t="str">
        <f>IF(A362="","",ROUNDDOWN('Rozpad zakázky'!L378,1))</f>
        <v/>
      </c>
      <c r="K362" s="745" t="str">
        <f>IF(A362="","",Tabulka_nakup_Vonka[[#This Row],[Počet MJHR v rozpadu]]*Tabulka_nakup_Vonka[[#This Row],[Jedn. hmotnost '[kg/MJHR']]])</f>
        <v/>
      </c>
    </row>
    <row r="363" spans="1:11" x14ac:dyDescent="0.35">
      <c r="A363" s="709" t="str">
        <f>IF('Rozpad zakázky'!E379=0,"",IF('Rozpad zakázky'!E379="-","",'Rozpad zakázky'!E379))</f>
        <v/>
      </c>
      <c r="B363" s="708" t="str">
        <f>IF(A363="","",IF(A363="","",VLOOKUP(A:A,Pomocna_Nakup[],3,0))&amp;" | "&amp;IF(A363="","",VLOOKUP(A:A,Pomocna_Nakup[],4,0)))</f>
        <v/>
      </c>
      <c r="C363" s="710" t="str">
        <f>IF(Tabulka_nakup_Vonka[[#This Row],[Zkratka kalkulační položky]]="","",Tabulka_nakup_Vonka[[#This Row],[Zkratka kalkulační položky]]&amp;" | "&amp;IF(A363="","",VLOOKUP(A:A,Pomocna_Nakup[],2,0)))</f>
        <v/>
      </c>
      <c r="D363" s="710" t="str">
        <f>IF(A363="","",'Rozpad zakázky'!F379)</f>
        <v/>
      </c>
      <c r="E363" s="710" t="str">
        <f>IF(A363="","",'Rozpad zakázky'!D379&amp;IF('Rozpad zakázky'!G379="",""," ("&amp;'Rozpad zakázky'!G379&amp;")"))</f>
        <v/>
      </c>
      <c r="F363" s="709" t="str">
        <f>IF(A363="","",'Rozpad zakázky'!IW379)</f>
        <v/>
      </c>
      <c r="G363" s="711" t="str">
        <f>IF(A363="","",'Rozpad zakázky'!AE379)</f>
        <v/>
      </c>
      <c r="H363" s="717" t="str">
        <f>IF(A363="","",'Rozpad zakázky'!AJ379)</f>
        <v/>
      </c>
      <c r="I363" s="748" t="str">
        <f>IF(A363="","",'Rozpad zakázky'!Q379)</f>
        <v/>
      </c>
      <c r="J363" s="717" t="str">
        <f>IF(A363="","",ROUNDDOWN('Rozpad zakázky'!L379,1))</f>
        <v/>
      </c>
      <c r="K363" s="745" t="str">
        <f>IF(A363="","",Tabulka_nakup_Vonka[[#This Row],[Počet MJHR v rozpadu]]*Tabulka_nakup_Vonka[[#This Row],[Jedn. hmotnost '[kg/MJHR']]])</f>
        <v/>
      </c>
    </row>
    <row r="364" spans="1:11" x14ac:dyDescent="0.35">
      <c r="A364" s="709" t="str">
        <f>IF('Rozpad zakázky'!E380=0,"",IF('Rozpad zakázky'!E380="-","",'Rozpad zakázky'!E380))</f>
        <v/>
      </c>
      <c r="B364" s="708" t="str">
        <f>IF(A364="","",IF(A364="","",VLOOKUP(A:A,Pomocna_Nakup[],3,0))&amp;" | "&amp;IF(A364="","",VLOOKUP(A:A,Pomocna_Nakup[],4,0)))</f>
        <v/>
      </c>
      <c r="C364" s="710" t="str">
        <f>IF(Tabulka_nakup_Vonka[[#This Row],[Zkratka kalkulační položky]]="","",Tabulka_nakup_Vonka[[#This Row],[Zkratka kalkulační položky]]&amp;" | "&amp;IF(A364="","",VLOOKUP(A:A,Pomocna_Nakup[],2,0)))</f>
        <v/>
      </c>
      <c r="D364" s="710" t="str">
        <f>IF(A364="","",'Rozpad zakázky'!F380)</f>
        <v/>
      </c>
      <c r="E364" s="710" t="str">
        <f>IF(A364="","",'Rozpad zakázky'!D380&amp;IF('Rozpad zakázky'!G380="",""," ("&amp;'Rozpad zakázky'!G380&amp;")"))</f>
        <v/>
      </c>
      <c r="F364" s="709" t="str">
        <f>IF(A364="","",'Rozpad zakázky'!IW380)</f>
        <v/>
      </c>
      <c r="G364" s="711" t="str">
        <f>IF(A364="","",'Rozpad zakázky'!AE380)</f>
        <v/>
      </c>
      <c r="H364" s="717" t="str">
        <f>IF(A364="","",'Rozpad zakázky'!AJ380)</f>
        <v/>
      </c>
      <c r="I364" s="748" t="str">
        <f>IF(A364="","",'Rozpad zakázky'!Q380)</f>
        <v/>
      </c>
      <c r="J364" s="717" t="str">
        <f>IF(A364="","",ROUNDDOWN('Rozpad zakázky'!L380,1))</f>
        <v/>
      </c>
      <c r="K364" s="745" t="str">
        <f>IF(A364="","",Tabulka_nakup_Vonka[[#This Row],[Počet MJHR v rozpadu]]*Tabulka_nakup_Vonka[[#This Row],[Jedn. hmotnost '[kg/MJHR']]])</f>
        <v/>
      </c>
    </row>
    <row r="365" spans="1:11" x14ac:dyDescent="0.35">
      <c r="A365" s="709" t="str">
        <f>IF('Rozpad zakázky'!E381=0,"",IF('Rozpad zakázky'!E381="-","",'Rozpad zakázky'!E381))</f>
        <v/>
      </c>
      <c r="B365" s="708" t="str">
        <f>IF(A365="","",IF(A365="","",VLOOKUP(A:A,Pomocna_Nakup[],3,0))&amp;" | "&amp;IF(A365="","",VLOOKUP(A:A,Pomocna_Nakup[],4,0)))</f>
        <v/>
      </c>
      <c r="C365" s="710" t="str">
        <f>IF(Tabulka_nakup_Vonka[[#This Row],[Zkratka kalkulační položky]]="","",Tabulka_nakup_Vonka[[#This Row],[Zkratka kalkulační položky]]&amp;" | "&amp;IF(A365="","",VLOOKUP(A:A,Pomocna_Nakup[],2,0)))</f>
        <v/>
      </c>
      <c r="D365" s="710" t="str">
        <f>IF(A365="","",'Rozpad zakázky'!F381)</f>
        <v/>
      </c>
      <c r="E365" s="710" t="str">
        <f>IF(A365="","",'Rozpad zakázky'!D381&amp;IF('Rozpad zakázky'!G381="",""," ("&amp;'Rozpad zakázky'!G381&amp;")"))</f>
        <v/>
      </c>
      <c r="F365" s="709" t="str">
        <f>IF(A365="","",'Rozpad zakázky'!IW381)</f>
        <v/>
      </c>
      <c r="G365" s="711" t="str">
        <f>IF(A365="","",'Rozpad zakázky'!AE381)</f>
        <v/>
      </c>
      <c r="H365" s="717" t="str">
        <f>IF(A365="","",'Rozpad zakázky'!AJ381)</f>
        <v/>
      </c>
      <c r="I365" s="748" t="str">
        <f>IF(A365="","",'Rozpad zakázky'!Q381)</f>
        <v/>
      </c>
      <c r="J365" s="717" t="str">
        <f>IF(A365="","",ROUNDDOWN('Rozpad zakázky'!L381,1))</f>
        <v/>
      </c>
      <c r="K365" s="745" t="str">
        <f>IF(A365="","",Tabulka_nakup_Vonka[[#This Row],[Počet MJHR v rozpadu]]*Tabulka_nakup_Vonka[[#This Row],[Jedn. hmotnost '[kg/MJHR']]])</f>
        <v/>
      </c>
    </row>
    <row r="366" spans="1:11" x14ac:dyDescent="0.35">
      <c r="A366" s="709" t="str">
        <f>IF('Rozpad zakázky'!E382=0,"",IF('Rozpad zakázky'!E382="-","",'Rozpad zakázky'!E382))</f>
        <v/>
      </c>
      <c r="B366" s="708" t="str">
        <f>IF(A366="","",IF(A366="","",VLOOKUP(A:A,Pomocna_Nakup[],3,0))&amp;" | "&amp;IF(A366="","",VLOOKUP(A:A,Pomocna_Nakup[],4,0)))</f>
        <v/>
      </c>
      <c r="C366" s="710" t="str">
        <f>IF(Tabulka_nakup_Vonka[[#This Row],[Zkratka kalkulační položky]]="","",Tabulka_nakup_Vonka[[#This Row],[Zkratka kalkulační položky]]&amp;" | "&amp;IF(A366="","",VLOOKUP(A:A,Pomocna_Nakup[],2,0)))</f>
        <v/>
      </c>
      <c r="D366" s="710" t="str">
        <f>IF(A366="","",'Rozpad zakázky'!F382)</f>
        <v/>
      </c>
      <c r="E366" s="710" t="str">
        <f>IF(A366="","",'Rozpad zakázky'!D382&amp;IF('Rozpad zakázky'!G382="",""," ("&amp;'Rozpad zakázky'!G382&amp;")"))</f>
        <v/>
      </c>
      <c r="F366" s="709" t="str">
        <f>IF(A366="","",'Rozpad zakázky'!IW382)</f>
        <v/>
      </c>
      <c r="G366" s="711" t="str">
        <f>IF(A366="","",'Rozpad zakázky'!AE382)</f>
        <v/>
      </c>
      <c r="H366" s="717" t="str">
        <f>IF(A366="","",'Rozpad zakázky'!AJ382)</f>
        <v/>
      </c>
      <c r="I366" s="748" t="str">
        <f>IF(A366="","",'Rozpad zakázky'!Q382)</f>
        <v/>
      </c>
      <c r="J366" s="717" t="str">
        <f>IF(A366="","",ROUNDDOWN('Rozpad zakázky'!L382,1))</f>
        <v/>
      </c>
      <c r="K366" s="745" t="str">
        <f>IF(A366="","",Tabulka_nakup_Vonka[[#This Row],[Počet MJHR v rozpadu]]*Tabulka_nakup_Vonka[[#This Row],[Jedn. hmotnost '[kg/MJHR']]])</f>
        <v/>
      </c>
    </row>
    <row r="367" spans="1:11" x14ac:dyDescent="0.35">
      <c r="A367" s="709" t="str">
        <f>IF('Rozpad zakázky'!E383=0,"",IF('Rozpad zakázky'!E383="-","",'Rozpad zakázky'!E383))</f>
        <v/>
      </c>
      <c r="B367" s="708" t="str">
        <f>IF(A367="","",IF(A367="","",VLOOKUP(A:A,Pomocna_Nakup[],3,0))&amp;" | "&amp;IF(A367="","",VLOOKUP(A:A,Pomocna_Nakup[],4,0)))</f>
        <v/>
      </c>
      <c r="C367" s="710" t="str">
        <f>IF(Tabulka_nakup_Vonka[[#This Row],[Zkratka kalkulační položky]]="","",Tabulka_nakup_Vonka[[#This Row],[Zkratka kalkulační položky]]&amp;" | "&amp;IF(A367="","",VLOOKUP(A:A,Pomocna_Nakup[],2,0)))</f>
        <v/>
      </c>
      <c r="D367" s="710" t="str">
        <f>IF(A367="","",'Rozpad zakázky'!F383)</f>
        <v/>
      </c>
      <c r="E367" s="710" t="str">
        <f>IF(A367="","",'Rozpad zakázky'!D383&amp;IF('Rozpad zakázky'!G383="",""," ("&amp;'Rozpad zakázky'!G383&amp;")"))</f>
        <v/>
      </c>
      <c r="F367" s="709" t="str">
        <f>IF(A367="","",'Rozpad zakázky'!IW383)</f>
        <v/>
      </c>
      <c r="G367" s="711" t="str">
        <f>IF(A367="","",'Rozpad zakázky'!AE383)</f>
        <v/>
      </c>
      <c r="H367" s="717" t="str">
        <f>IF(A367="","",'Rozpad zakázky'!AJ383)</f>
        <v/>
      </c>
      <c r="I367" s="748" t="str">
        <f>IF(A367="","",'Rozpad zakázky'!Q383)</f>
        <v/>
      </c>
      <c r="J367" s="717" t="str">
        <f>IF(A367="","",ROUNDDOWN('Rozpad zakázky'!L383,1))</f>
        <v/>
      </c>
      <c r="K367" s="745" t="str">
        <f>IF(A367="","",Tabulka_nakup_Vonka[[#This Row],[Počet MJHR v rozpadu]]*Tabulka_nakup_Vonka[[#This Row],[Jedn. hmotnost '[kg/MJHR']]])</f>
        <v/>
      </c>
    </row>
    <row r="368" spans="1:11" x14ac:dyDescent="0.35">
      <c r="A368" s="709" t="str">
        <f>IF('Rozpad zakázky'!E384=0,"",IF('Rozpad zakázky'!E384="-","",'Rozpad zakázky'!E384))</f>
        <v/>
      </c>
      <c r="B368" s="708" t="str">
        <f>IF(A368="","",IF(A368="","",VLOOKUP(A:A,Pomocna_Nakup[],3,0))&amp;" | "&amp;IF(A368="","",VLOOKUP(A:A,Pomocna_Nakup[],4,0)))</f>
        <v/>
      </c>
      <c r="C368" s="710" t="str">
        <f>IF(Tabulka_nakup_Vonka[[#This Row],[Zkratka kalkulační položky]]="","",Tabulka_nakup_Vonka[[#This Row],[Zkratka kalkulační položky]]&amp;" | "&amp;IF(A368="","",VLOOKUP(A:A,Pomocna_Nakup[],2,0)))</f>
        <v/>
      </c>
      <c r="D368" s="710" t="str">
        <f>IF(A368="","",'Rozpad zakázky'!F384)</f>
        <v/>
      </c>
      <c r="E368" s="710" t="str">
        <f>IF(A368="","",'Rozpad zakázky'!D384&amp;IF('Rozpad zakázky'!G384="",""," ("&amp;'Rozpad zakázky'!G384&amp;")"))</f>
        <v/>
      </c>
      <c r="F368" s="709" t="str">
        <f>IF(A368="","",'Rozpad zakázky'!IW384)</f>
        <v/>
      </c>
      <c r="G368" s="711" t="str">
        <f>IF(A368="","",'Rozpad zakázky'!AE384)</f>
        <v/>
      </c>
      <c r="H368" s="717" t="str">
        <f>IF(A368="","",'Rozpad zakázky'!AJ384)</f>
        <v/>
      </c>
      <c r="I368" s="748" t="str">
        <f>IF(A368="","",'Rozpad zakázky'!Q384)</f>
        <v/>
      </c>
      <c r="J368" s="717" t="str">
        <f>IF(A368="","",ROUNDDOWN('Rozpad zakázky'!L384,1))</f>
        <v/>
      </c>
      <c r="K368" s="745" t="str">
        <f>IF(A368="","",Tabulka_nakup_Vonka[[#This Row],[Počet MJHR v rozpadu]]*Tabulka_nakup_Vonka[[#This Row],[Jedn. hmotnost '[kg/MJHR']]])</f>
        <v/>
      </c>
    </row>
    <row r="369" spans="1:11" x14ac:dyDescent="0.35">
      <c r="A369" s="709" t="str">
        <f>IF('Rozpad zakázky'!E385=0,"",IF('Rozpad zakázky'!E385="-","",'Rozpad zakázky'!E385))</f>
        <v/>
      </c>
      <c r="B369" s="708" t="str">
        <f>IF(A369="","",IF(A369="","",VLOOKUP(A:A,Pomocna_Nakup[],3,0))&amp;" | "&amp;IF(A369="","",VLOOKUP(A:A,Pomocna_Nakup[],4,0)))</f>
        <v/>
      </c>
      <c r="C369" s="710" t="str">
        <f>IF(Tabulka_nakup_Vonka[[#This Row],[Zkratka kalkulační položky]]="","",Tabulka_nakup_Vonka[[#This Row],[Zkratka kalkulační položky]]&amp;" | "&amp;IF(A369="","",VLOOKUP(A:A,Pomocna_Nakup[],2,0)))</f>
        <v/>
      </c>
      <c r="D369" s="710" t="str">
        <f>IF(A369="","",'Rozpad zakázky'!F385)</f>
        <v/>
      </c>
      <c r="E369" s="710" t="str">
        <f>IF(A369="","",'Rozpad zakázky'!D385&amp;IF('Rozpad zakázky'!G385="",""," ("&amp;'Rozpad zakázky'!G385&amp;")"))</f>
        <v/>
      </c>
      <c r="F369" s="709" t="str">
        <f>IF(A369="","",'Rozpad zakázky'!IW385)</f>
        <v/>
      </c>
      <c r="G369" s="711" t="str">
        <f>IF(A369="","",'Rozpad zakázky'!AE385)</f>
        <v/>
      </c>
      <c r="H369" s="717" t="str">
        <f>IF(A369="","",'Rozpad zakázky'!AJ385)</f>
        <v/>
      </c>
      <c r="I369" s="748" t="str">
        <f>IF(A369="","",'Rozpad zakázky'!Q385)</f>
        <v/>
      </c>
      <c r="J369" s="717" t="str">
        <f>IF(A369="","",ROUNDDOWN('Rozpad zakázky'!L385,1))</f>
        <v/>
      </c>
      <c r="K369" s="745" t="str">
        <f>IF(A369="","",Tabulka_nakup_Vonka[[#This Row],[Počet MJHR v rozpadu]]*Tabulka_nakup_Vonka[[#This Row],[Jedn. hmotnost '[kg/MJHR']]])</f>
        <v/>
      </c>
    </row>
    <row r="370" spans="1:11" x14ac:dyDescent="0.35">
      <c r="A370" s="709" t="str">
        <f>IF('Rozpad zakázky'!E386=0,"",IF('Rozpad zakázky'!E386="-","",'Rozpad zakázky'!E386))</f>
        <v/>
      </c>
      <c r="B370" s="708" t="str">
        <f>IF(A370="","",IF(A370="","",VLOOKUP(A:A,Pomocna_Nakup[],3,0))&amp;" | "&amp;IF(A370="","",VLOOKUP(A:A,Pomocna_Nakup[],4,0)))</f>
        <v/>
      </c>
      <c r="C370" s="710" t="str">
        <f>IF(Tabulka_nakup_Vonka[[#This Row],[Zkratka kalkulační položky]]="","",Tabulka_nakup_Vonka[[#This Row],[Zkratka kalkulační položky]]&amp;" | "&amp;IF(A370="","",VLOOKUP(A:A,Pomocna_Nakup[],2,0)))</f>
        <v/>
      </c>
      <c r="D370" s="710" t="str">
        <f>IF(A370="","",'Rozpad zakázky'!F386)</f>
        <v/>
      </c>
      <c r="E370" s="710" t="str">
        <f>IF(A370="","",'Rozpad zakázky'!D386&amp;IF('Rozpad zakázky'!G386="",""," ("&amp;'Rozpad zakázky'!G386&amp;")"))</f>
        <v/>
      </c>
      <c r="F370" s="709" t="str">
        <f>IF(A370="","",'Rozpad zakázky'!IW386)</f>
        <v/>
      </c>
      <c r="G370" s="711" t="str">
        <f>IF(A370="","",'Rozpad zakázky'!AE386)</f>
        <v/>
      </c>
      <c r="H370" s="717" t="str">
        <f>IF(A370="","",'Rozpad zakázky'!AJ386)</f>
        <v/>
      </c>
      <c r="I370" s="748" t="str">
        <f>IF(A370="","",'Rozpad zakázky'!Q386)</f>
        <v/>
      </c>
      <c r="J370" s="717" t="str">
        <f>IF(A370="","",ROUNDDOWN('Rozpad zakázky'!L386,1))</f>
        <v/>
      </c>
      <c r="K370" s="745" t="str">
        <f>IF(A370="","",Tabulka_nakup_Vonka[[#This Row],[Počet MJHR v rozpadu]]*Tabulka_nakup_Vonka[[#This Row],[Jedn. hmotnost '[kg/MJHR']]])</f>
        <v/>
      </c>
    </row>
    <row r="371" spans="1:11" x14ac:dyDescent="0.35">
      <c r="A371" s="709" t="str">
        <f>IF('Rozpad zakázky'!E387=0,"",IF('Rozpad zakázky'!E387="-","",'Rozpad zakázky'!E387))</f>
        <v/>
      </c>
      <c r="B371" s="708" t="str">
        <f>IF(A371="","",IF(A371="","",VLOOKUP(A:A,Pomocna_Nakup[],3,0))&amp;" | "&amp;IF(A371="","",VLOOKUP(A:A,Pomocna_Nakup[],4,0)))</f>
        <v/>
      </c>
      <c r="C371" s="710" t="str">
        <f>IF(Tabulka_nakup_Vonka[[#This Row],[Zkratka kalkulační položky]]="","",Tabulka_nakup_Vonka[[#This Row],[Zkratka kalkulační položky]]&amp;" | "&amp;IF(A371="","",VLOOKUP(A:A,Pomocna_Nakup[],2,0)))</f>
        <v/>
      </c>
      <c r="D371" s="710" t="str">
        <f>IF(A371="","",'Rozpad zakázky'!F387)</f>
        <v/>
      </c>
      <c r="E371" s="710" t="str">
        <f>IF(A371="","",'Rozpad zakázky'!D387&amp;IF('Rozpad zakázky'!G387="",""," ("&amp;'Rozpad zakázky'!G387&amp;")"))</f>
        <v/>
      </c>
      <c r="F371" s="709" t="str">
        <f>IF(A371="","",'Rozpad zakázky'!IW387)</f>
        <v/>
      </c>
      <c r="G371" s="711" t="str">
        <f>IF(A371="","",'Rozpad zakázky'!AE387)</f>
        <v/>
      </c>
      <c r="H371" s="717" t="str">
        <f>IF(A371="","",'Rozpad zakázky'!AJ387)</f>
        <v/>
      </c>
      <c r="I371" s="748" t="str">
        <f>IF(A371="","",'Rozpad zakázky'!Q387)</f>
        <v/>
      </c>
      <c r="J371" s="717" t="str">
        <f>IF(A371="","",ROUNDDOWN('Rozpad zakázky'!L387,1))</f>
        <v/>
      </c>
      <c r="K371" s="745" t="str">
        <f>IF(A371="","",Tabulka_nakup_Vonka[[#This Row],[Počet MJHR v rozpadu]]*Tabulka_nakup_Vonka[[#This Row],[Jedn. hmotnost '[kg/MJHR']]])</f>
        <v/>
      </c>
    </row>
    <row r="372" spans="1:11" x14ac:dyDescent="0.35">
      <c r="A372" s="709" t="str">
        <f>IF('Rozpad zakázky'!E388=0,"",IF('Rozpad zakázky'!E388="-","",'Rozpad zakázky'!E388))</f>
        <v/>
      </c>
      <c r="B372" s="708" t="str">
        <f>IF(A372="","",IF(A372="","",VLOOKUP(A:A,Pomocna_Nakup[],3,0))&amp;" | "&amp;IF(A372="","",VLOOKUP(A:A,Pomocna_Nakup[],4,0)))</f>
        <v/>
      </c>
      <c r="C372" s="710" t="str">
        <f>IF(Tabulka_nakup_Vonka[[#This Row],[Zkratka kalkulační položky]]="","",Tabulka_nakup_Vonka[[#This Row],[Zkratka kalkulační položky]]&amp;" | "&amp;IF(A372="","",VLOOKUP(A:A,Pomocna_Nakup[],2,0)))</f>
        <v/>
      </c>
      <c r="D372" s="710" t="str">
        <f>IF(A372="","",'Rozpad zakázky'!F388)</f>
        <v/>
      </c>
      <c r="E372" s="710" t="str">
        <f>IF(A372="","",'Rozpad zakázky'!D388&amp;IF('Rozpad zakázky'!G388="",""," ("&amp;'Rozpad zakázky'!G388&amp;")"))</f>
        <v/>
      </c>
      <c r="F372" s="709" t="str">
        <f>IF(A372="","",'Rozpad zakázky'!IW388)</f>
        <v/>
      </c>
      <c r="G372" s="711" t="str">
        <f>IF(A372="","",'Rozpad zakázky'!AE388)</f>
        <v/>
      </c>
      <c r="H372" s="717" t="str">
        <f>IF(A372="","",'Rozpad zakázky'!AJ388)</f>
        <v/>
      </c>
      <c r="I372" s="748" t="str">
        <f>IF(A372="","",'Rozpad zakázky'!Q388)</f>
        <v/>
      </c>
      <c r="J372" s="717" t="str">
        <f>IF(A372="","",ROUNDDOWN('Rozpad zakázky'!L388,1))</f>
        <v/>
      </c>
      <c r="K372" s="745" t="str">
        <f>IF(A372="","",Tabulka_nakup_Vonka[[#This Row],[Počet MJHR v rozpadu]]*Tabulka_nakup_Vonka[[#This Row],[Jedn. hmotnost '[kg/MJHR']]])</f>
        <v/>
      </c>
    </row>
    <row r="373" spans="1:11" x14ac:dyDescent="0.35">
      <c r="A373" s="709" t="str">
        <f>IF('Rozpad zakázky'!E389=0,"",IF('Rozpad zakázky'!E389="-","",'Rozpad zakázky'!E389))</f>
        <v/>
      </c>
      <c r="B373" s="708" t="str">
        <f>IF(A373="","",IF(A373="","",VLOOKUP(A:A,Pomocna_Nakup[],3,0))&amp;" | "&amp;IF(A373="","",VLOOKUP(A:A,Pomocna_Nakup[],4,0)))</f>
        <v/>
      </c>
      <c r="C373" s="710" t="str">
        <f>IF(Tabulka_nakup_Vonka[[#This Row],[Zkratka kalkulační položky]]="","",Tabulka_nakup_Vonka[[#This Row],[Zkratka kalkulační položky]]&amp;" | "&amp;IF(A373="","",VLOOKUP(A:A,Pomocna_Nakup[],2,0)))</f>
        <v/>
      </c>
      <c r="D373" s="710" t="str">
        <f>IF(A373="","",'Rozpad zakázky'!F389)</f>
        <v/>
      </c>
      <c r="E373" s="710" t="str">
        <f>IF(A373="","",'Rozpad zakázky'!D389&amp;IF('Rozpad zakázky'!G389="",""," ("&amp;'Rozpad zakázky'!G389&amp;")"))</f>
        <v/>
      </c>
      <c r="F373" s="709" t="str">
        <f>IF(A373="","",'Rozpad zakázky'!IW389)</f>
        <v/>
      </c>
      <c r="G373" s="711" t="str">
        <f>IF(A373="","",'Rozpad zakázky'!AE389)</f>
        <v/>
      </c>
      <c r="H373" s="717" t="str">
        <f>IF(A373="","",'Rozpad zakázky'!AJ389)</f>
        <v/>
      </c>
      <c r="I373" s="748" t="str">
        <f>IF(A373="","",'Rozpad zakázky'!Q389)</f>
        <v/>
      </c>
      <c r="J373" s="717" t="str">
        <f>IF(A373="","",ROUNDDOWN('Rozpad zakázky'!L389,1))</f>
        <v/>
      </c>
      <c r="K373" s="745" t="str">
        <f>IF(A373="","",Tabulka_nakup_Vonka[[#This Row],[Počet MJHR v rozpadu]]*Tabulka_nakup_Vonka[[#This Row],[Jedn. hmotnost '[kg/MJHR']]])</f>
        <v/>
      </c>
    </row>
    <row r="374" spans="1:11" x14ac:dyDescent="0.35">
      <c r="A374" s="709" t="str">
        <f>IF('Rozpad zakázky'!E390=0,"",IF('Rozpad zakázky'!E390="-","",'Rozpad zakázky'!E390))</f>
        <v/>
      </c>
      <c r="B374" s="708" t="str">
        <f>IF(A374="","",IF(A374="","",VLOOKUP(A:A,Pomocna_Nakup[],3,0))&amp;" | "&amp;IF(A374="","",VLOOKUP(A:A,Pomocna_Nakup[],4,0)))</f>
        <v/>
      </c>
      <c r="C374" s="710" t="str">
        <f>IF(Tabulka_nakup_Vonka[[#This Row],[Zkratka kalkulační položky]]="","",Tabulka_nakup_Vonka[[#This Row],[Zkratka kalkulační položky]]&amp;" | "&amp;IF(A374="","",VLOOKUP(A:A,Pomocna_Nakup[],2,0)))</f>
        <v/>
      </c>
      <c r="D374" s="710" t="str">
        <f>IF(A374="","",'Rozpad zakázky'!F390)</f>
        <v/>
      </c>
      <c r="E374" s="710" t="str">
        <f>IF(A374="","",'Rozpad zakázky'!D390&amp;IF('Rozpad zakázky'!G390="",""," ("&amp;'Rozpad zakázky'!G390&amp;")"))</f>
        <v/>
      </c>
      <c r="F374" s="709" t="str">
        <f>IF(A374="","",'Rozpad zakázky'!IW390)</f>
        <v/>
      </c>
      <c r="G374" s="711" t="str">
        <f>IF(A374="","",'Rozpad zakázky'!AE390)</f>
        <v/>
      </c>
      <c r="H374" s="717" t="str">
        <f>IF(A374="","",'Rozpad zakázky'!AJ390)</f>
        <v/>
      </c>
      <c r="I374" s="748" t="str">
        <f>IF(A374="","",'Rozpad zakázky'!Q390)</f>
        <v/>
      </c>
      <c r="J374" s="717" t="str">
        <f>IF(A374="","",ROUNDDOWN('Rozpad zakázky'!L390,1))</f>
        <v/>
      </c>
      <c r="K374" s="745" t="str">
        <f>IF(A374="","",Tabulka_nakup_Vonka[[#This Row],[Počet MJHR v rozpadu]]*Tabulka_nakup_Vonka[[#This Row],[Jedn. hmotnost '[kg/MJHR']]])</f>
        <v/>
      </c>
    </row>
    <row r="375" spans="1:11" x14ac:dyDescent="0.35">
      <c r="A375" s="709" t="str">
        <f>IF('Rozpad zakázky'!E391=0,"",IF('Rozpad zakázky'!E391="-","",'Rozpad zakázky'!E391))</f>
        <v/>
      </c>
      <c r="B375" s="708" t="str">
        <f>IF(A375="","",IF(A375="","",VLOOKUP(A:A,Pomocna_Nakup[],3,0))&amp;" | "&amp;IF(A375="","",VLOOKUP(A:A,Pomocna_Nakup[],4,0)))</f>
        <v/>
      </c>
      <c r="C375" s="710" t="str">
        <f>IF(Tabulka_nakup_Vonka[[#This Row],[Zkratka kalkulační položky]]="","",Tabulka_nakup_Vonka[[#This Row],[Zkratka kalkulační položky]]&amp;" | "&amp;IF(A375="","",VLOOKUP(A:A,Pomocna_Nakup[],2,0)))</f>
        <v/>
      </c>
      <c r="D375" s="710" t="str">
        <f>IF(A375="","",'Rozpad zakázky'!F391)</f>
        <v/>
      </c>
      <c r="E375" s="710" t="str">
        <f>IF(A375="","",'Rozpad zakázky'!D391&amp;IF('Rozpad zakázky'!G391="",""," ("&amp;'Rozpad zakázky'!G391&amp;")"))</f>
        <v/>
      </c>
      <c r="F375" s="709" t="str">
        <f>IF(A375="","",'Rozpad zakázky'!IW391)</f>
        <v/>
      </c>
      <c r="G375" s="711" t="str">
        <f>IF(A375="","",'Rozpad zakázky'!AE391)</f>
        <v/>
      </c>
      <c r="H375" s="717" t="str">
        <f>IF(A375="","",'Rozpad zakázky'!AJ391)</f>
        <v/>
      </c>
      <c r="I375" s="748" t="str">
        <f>IF(A375="","",'Rozpad zakázky'!Q391)</f>
        <v/>
      </c>
      <c r="J375" s="717" t="str">
        <f>IF(A375="","",ROUNDDOWN('Rozpad zakázky'!L391,1))</f>
        <v/>
      </c>
      <c r="K375" s="745" t="str">
        <f>IF(A375="","",Tabulka_nakup_Vonka[[#This Row],[Počet MJHR v rozpadu]]*Tabulka_nakup_Vonka[[#This Row],[Jedn. hmotnost '[kg/MJHR']]])</f>
        <v/>
      </c>
    </row>
    <row r="376" spans="1:11" x14ac:dyDescent="0.35">
      <c r="A376" s="709" t="str">
        <f>IF('Rozpad zakázky'!E392=0,"",IF('Rozpad zakázky'!E392="-","",'Rozpad zakázky'!E392))</f>
        <v/>
      </c>
      <c r="B376" s="708" t="str">
        <f>IF(A376="","",IF(A376="","",VLOOKUP(A:A,Pomocna_Nakup[],3,0))&amp;" | "&amp;IF(A376="","",VLOOKUP(A:A,Pomocna_Nakup[],4,0)))</f>
        <v/>
      </c>
      <c r="C376" s="710" t="str">
        <f>IF(Tabulka_nakup_Vonka[[#This Row],[Zkratka kalkulační položky]]="","",Tabulka_nakup_Vonka[[#This Row],[Zkratka kalkulační položky]]&amp;" | "&amp;IF(A376="","",VLOOKUP(A:A,Pomocna_Nakup[],2,0)))</f>
        <v/>
      </c>
      <c r="D376" s="710" t="str">
        <f>IF(A376="","",'Rozpad zakázky'!F392)</f>
        <v/>
      </c>
      <c r="E376" s="710" t="str">
        <f>IF(A376="","",'Rozpad zakázky'!D392&amp;IF('Rozpad zakázky'!G392="",""," ("&amp;'Rozpad zakázky'!G392&amp;")"))</f>
        <v/>
      </c>
      <c r="F376" s="709" t="str">
        <f>IF(A376="","",'Rozpad zakázky'!IW392)</f>
        <v/>
      </c>
      <c r="G376" s="711" t="str">
        <f>IF(A376="","",'Rozpad zakázky'!AE392)</f>
        <v/>
      </c>
      <c r="H376" s="717" t="str">
        <f>IF(A376="","",'Rozpad zakázky'!AJ392)</f>
        <v/>
      </c>
      <c r="I376" s="748" t="str">
        <f>IF(A376="","",'Rozpad zakázky'!Q392)</f>
        <v/>
      </c>
      <c r="J376" s="717" t="str">
        <f>IF(A376="","",ROUNDDOWN('Rozpad zakázky'!L392,1))</f>
        <v/>
      </c>
      <c r="K376" s="745" t="str">
        <f>IF(A376="","",Tabulka_nakup_Vonka[[#This Row],[Počet MJHR v rozpadu]]*Tabulka_nakup_Vonka[[#This Row],[Jedn. hmotnost '[kg/MJHR']]])</f>
        <v/>
      </c>
    </row>
    <row r="377" spans="1:11" x14ac:dyDescent="0.35">
      <c r="A377" s="709" t="str">
        <f>IF('Rozpad zakázky'!E393=0,"",IF('Rozpad zakázky'!E393="-","",'Rozpad zakázky'!E393))</f>
        <v/>
      </c>
      <c r="B377" s="708" t="str">
        <f>IF(A377="","",IF(A377="","",VLOOKUP(A:A,Pomocna_Nakup[],3,0))&amp;" | "&amp;IF(A377="","",VLOOKUP(A:A,Pomocna_Nakup[],4,0)))</f>
        <v/>
      </c>
      <c r="C377" s="710" t="str">
        <f>IF(Tabulka_nakup_Vonka[[#This Row],[Zkratka kalkulační položky]]="","",Tabulka_nakup_Vonka[[#This Row],[Zkratka kalkulační položky]]&amp;" | "&amp;IF(A377="","",VLOOKUP(A:A,Pomocna_Nakup[],2,0)))</f>
        <v/>
      </c>
      <c r="D377" s="710" t="str">
        <f>IF(A377="","",'Rozpad zakázky'!F393)</f>
        <v/>
      </c>
      <c r="E377" s="710" t="str">
        <f>IF(A377="","",'Rozpad zakázky'!D393&amp;IF('Rozpad zakázky'!G393="",""," ("&amp;'Rozpad zakázky'!G393&amp;")"))</f>
        <v/>
      </c>
      <c r="F377" s="709" t="str">
        <f>IF(A377="","",'Rozpad zakázky'!IW393)</f>
        <v/>
      </c>
      <c r="G377" s="711" t="str">
        <f>IF(A377="","",'Rozpad zakázky'!AE393)</f>
        <v/>
      </c>
      <c r="H377" s="717" t="str">
        <f>IF(A377="","",'Rozpad zakázky'!AJ393)</f>
        <v/>
      </c>
      <c r="I377" s="748" t="str">
        <f>IF(A377="","",'Rozpad zakázky'!Q393)</f>
        <v/>
      </c>
      <c r="J377" s="717" t="str">
        <f>IF(A377="","",ROUNDDOWN('Rozpad zakázky'!L393,1))</f>
        <v/>
      </c>
      <c r="K377" s="745" t="str">
        <f>IF(A377="","",Tabulka_nakup_Vonka[[#This Row],[Počet MJHR v rozpadu]]*Tabulka_nakup_Vonka[[#This Row],[Jedn. hmotnost '[kg/MJHR']]])</f>
        <v/>
      </c>
    </row>
    <row r="378" spans="1:11" x14ac:dyDescent="0.35">
      <c r="A378" s="709" t="str">
        <f>IF('Rozpad zakázky'!E394=0,"",IF('Rozpad zakázky'!E394="-","",'Rozpad zakázky'!E394))</f>
        <v/>
      </c>
      <c r="B378" s="708" t="str">
        <f>IF(A378="","",IF(A378="","",VLOOKUP(A:A,Pomocna_Nakup[],3,0))&amp;" | "&amp;IF(A378="","",VLOOKUP(A:A,Pomocna_Nakup[],4,0)))</f>
        <v/>
      </c>
      <c r="C378" s="710" t="str">
        <f>IF(Tabulka_nakup_Vonka[[#This Row],[Zkratka kalkulační položky]]="","",Tabulka_nakup_Vonka[[#This Row],[Zkratka kalkulační položky]]&amp;" | "&amp;IF(A378="","",VLOOKUP(A:A,Pomocna_Nakup[],2,0)))</f>
        <v/>
      </c>
      <c r="D378" s="710" t="str">
        <f>IF(A378="","",'Rozpad zakázky'!F394)</f>
        <v/>
      </c>
      <c r="E378" s="710" t="str">
        <f>IF(A378="","",'Rozpad zakázky'!D394&amp;IF('Rozpad zakázky'!G394="",""," ("&amp;'Rozpad zakázky'!G394&amp;")"))</f>
        <v/>
      </c>
      <c r="F378" s="709" t="str">
        <f>IF(A378="","",'Rozpad zakázky'!IW394)</f>
        <v/>
      </c>
      <c r="G378" s="711" t="str">
        <f>IF(A378="","",'Rozpad zakázky'!AE394)</f>
        <v/>
      </c>
      <c r="H378" s="717" t="str">
        <f>IF(A378="","",'Rozpad zakázky'!AJ394)</f>
        <v/>
      </c>
      <c r="I378" s="748" t="str">
        <f>IF(A378="","",'Rozpad zakázky'!Q394)</f>
        <v/>
      </c>
      <c r="J378" s="717" t="str">
        <f>IF(A378="","",ROUNDDOWN('Rozpad zakázky'!L394,1))</f>
        <v/>
      </c>
      <c r="K378" s="745" t="str">
        <f>IF(A378="","",Tabulka_nakup_Vonka[[#This Row],[Počet MJHR v rozpadu]]*Tabulka_nakup_Vonka[[#This Row],[Jedn. hmotnost '[kg/MJHR']]])</f>
        <v/>
      </c>
    </row>
    <row r="379" spans="1:11" x14ac:dyDescent="0.35">
      <c r="A379" s="709" t="str">
        <f>IF('Rozpad zakázky'!E395=0,"",IF('Rozpad zakázky'!E395="-","",'Rozpad zakázky'!E395))</f>
        <v/>
      </c>
      <c r="B379" s="708" t="str">
        <f>IF(A379="","",IF(A379="","",VLOOKUP(A:A,Pomocna_Nakup[],3,0))&amp;" | "&amp;IF(A379="","",VLOOKUP(A:A,Pomocna_Nakup[],4,0)))</f>
        <v/>
      </c>
      <c r="C379" s="710" t="str">
        <f>IF(Tabulka_nakup_Vonka[[#This Row],[Zkratka kalkulační položky]]="","",Tabulka_nakup_Vonka[[#This Row],[Zkratka kalkulační položky]]&amp;" | "&amp;IF(A379="","",VLOOKUP(A:A,Pomocna_Nakup[],2,0)))</f>
        <v/>
      </c>
      <c r="D379" s="710" t="str">
        <f>IF(A379="","",'Rozpad zakázky'!F395)</f>
        <v/>
      </c>
      <c r="E379" s="710" t="str">
        <f>IF(A379="","",'Rozpad zakázky'!D395&amp;IF('Rozpad zakázky'!G395="",""," ("&amp;'Rozpad zakázky'!G395&amp;")"))</f>
        <v/>
      </c>
      <c r="F379" s="709" t="str">
        <f>IF(A379="","",'Rozpad zakázky'!IW395)</f>
        <v/>
      </c>
      <c r="G379" s="711" t="str">
        <f>IF(A379="","",'Rozpad zakázky'!AE395)</f>
        <v/>
      </c>
      <c r="H379" s="717" t="str">
        <f>IF(A379="","",'Rozpad zakázky'!AJ395)</f>
        <v/>
      </c>
      <c r="I379" s="748" t="str">
        <f>IF(A379="","",'Rozpad zakázky'!Q395)</f>
        <v/>
      </c>
      <c r="J379" s="717" t="str">
        <f>IF(A379="","",ROUNDDOWN('Rozpad zakázky'!L395,1))</f>
        <v/>
      </c>
      <c r="K379" s="745" t="str">
        <f>IF(A379="","",Tabulka_nakup_Vonka[[#This Row],[Počet MJHR v rozpadu]]*Tabulka_nakup_Vonka[[#This Row],[Jedn. hmotnost '[kg/MJHR']]])</f>
        <v/>
      </c>
    </row>
    <row r="380" spans="1:11" x14ac:dyDescent="0.35">
      <c r="A380" s="709" t="str">
        <f>IF('Rozpad zakázky'!E396=0,"",IF('Rozpad zakázky'!E396="-","",'Rozpad zakázky'!E396))</f>
        <v/>
      </c>
      <c r="B380" s="708" t="str">
        <f>IF(A380="","",IF(A380="","",VLOOKUP(A:A,Pomocna_Nakup[],3,0))&amp;" | "&amp;IF(A380="","",VLOOKUP(A:A,Pomocna_Nakup[],4,0)))</f>
        <v/>
      </c>
      <c r="C380" s="710" t="str">
        <f>IF(Tabulka_nakup_Vonka[[#This Row],[Zkratka kalkulační položky]]="","",Tabulka_nakup_Vonka[[#This Row],[Zkratka kalkulační položky]]&amp;" | "&amp;IF(A380="","",VLOOKUP(A:A,Pomocna_Nakup[],2,0)))</f>
        <v/>
      </c>
      <c r="D380" s="710" t="str">
        <f>IF(A380="","",'Rozpad zakázky'!F396)</f>
        <v/>
      </c>
      <c r="E380" s="710" t="str">
        <f>IF(A380="","",'Rozpad zakázky'!D396&amp;IF('Rozpad zakázky'!G396="",""," ("&amp;'Rozpad zakázky'!G396&amp;")"))</f>
        <v/>
      </c>
      <c r="F380" s="709" t="str">
        <f>IF(A380="","",'Rozpad zakázky'!IW396)</f>
        <v/>
      </c>
      <c r="G380" s="711" t="str">
        <f>IF(A380="","",'Rozpad zakázky'!AE396)</f>
        <v/>
      </c>
      <c r="H380" s="717" t="str">
        <f>IF(A380="","",'Rozpad zakázky'!AJ396)</f>
        <v/>
      </c>
      <c r="I380" s="748" t="str">
        <f>IF(A380="","",'Rozpad zakázky'!Q396)</f>
        <v/>
      </c>
      <c r="J380" s="717" t="str">
        <f>IF(A380="","",ROUNDDOWN('Rozpad zakázky'!L396,1))</f>
        <v/>
      </c>
      <c r="K380" s="745" t="str">
        <f>IF(A380="","",Tabulka_nakup_Vonka[[#This Row],[Počet MJHR v rozpadu]]*Tabulka_nakup_Vonka[[#This Row],[Jedn. hmotnost '[kg/MJHR']]])</f>
        <v/>
      </c>
    </row>
    <row r="381" spans="1:11" x14ac:dyDescent="0.35">
      <c r="A381" s="709" t="str">
        <f>IF('Rozpad zakázky'!E397=0,"",IF('Rozpad zakázky'!E397="-","",'Rozpad zakázky'!E397))</f>
        <v/>
      </c>
      <c r="B381" s="708" t="str">
        <f>IF(A381="","",IF(A381="","",VLOOKUP(A:A,Pomocna_Nakup[],3,0))&amp;" | "&amp;IF(A381="","",VLOOKUP(A:A,Pomocna_Nakup[],4,0)))</f>
        <v/>
      </c>
      <c r="C381" s="710" t="str">
        <f>IF(Tabulka_nakup_Vonka[[#This Row],[Zkratka kalkulační položky]]="","",Tabulka_nakup_Vonka[[#This Row],[Zkratka kalkulační položky]]&amp;" | "&amp;IF(A381="","",VLOOKUP(A:A,Pomocna_Nakup[],2,0)))</f>
        <v/>
      </c>
      <c r="D381" s="710" t="str">
        <f>IF(A381="","",'Rozpad zakázky'!F397)</f>
        <v/>
      </c>
      <c r="E381" s="710" t="str">
        <f>IF(A381="","",'Rozpad zakázky'!D397&amp;IF('Rozpad zakázky'!G397="",""," ("&amp;'Rozpad zakázky'!G397&amp;")"))</f>
        <v/>
      </c>
      <c r="F381" s="709" t="str">
        <f>IF(A381="","",'Rozpad zakázky'!IW397)</f>
        <v/>
      </c>
      <c r="G381" s="711" t="str">
        <f>IF(A381="","",'Rozpad zakázky'!AE397)</f>
        <v/>
      </c>
      <c r="H381" s="717" t="str">
        <f>IF(A381="","",'Rozpad zakázky'!AJ397)</f>
        <v/>
      </c>
      <c r="I381" s="748" t="str">
        <f>IF(A381="","",'Rozpad zakázky'!Q397)</f>
        <v/>
      </c>
      <c r="J381" s="717" t="str">
        <f>IF(A381="","",ROUNDDOWN('Rozpad zakázky'!L397,1))</f>
        <v/>
      </c>
      <c r="K381" s="745" t="str">
        <f>IF(A381="","",Tabulka_nakup_Vonka[[#This Row],[Počet MJHR v rozpadu]]*Tabulka_nakup_Vonka[[#This Row],[Jedn. hmotnost '[kg/MJHR']]])</f>
        <v/>
      </c>
    </row>
    <row r="382" spans="1:11" x14ac:dyDescent="0.35">
      <c r="A382" s="709" t="str">
        <f>IF('Rozpad zakázky'!E398=0,"",IF('Rozpad zakázky'!E398="-","",'Rozpad zakázky'!E398))</f>
        <v/>
      </c>
      <c r="B382" s="708" t="str">
        <f>IF(A382="","",IF(A382="","",VLOOKUP(A:A,Pomocna_Nakup[],3,0))&amp;" | "&amp;IF(A382="","",VLOOKUP(A:A,Pomocna_Nakup[],4,0)))</f>
        <v/>
      </c>
      <c r="C382" s="710" t="str">
        <f>IF(Tabulka_nakup_Vonka[[#This Row],[Zkratka kalkulační položky]]="","",Tabulka_nakup_Vonka[[#This Row],[Zkratka kalkulační položky]]&amp;" | "&amp;IF(A382="","",VLOOKUP(A:A,Pomocna_Nakup[],2,0)))</f>
        <v/>
      </c>
      <c r="D382" s="710" t="str">
        <f>IF(A382="","",'Rozpad zakázky'!F398)</f>
        <v/>
      </c>
      <c r="E382" s="710" t="str">
        <f>IF(A382="","",'Rozpad zakázky'!D398&amp;IF('Rozpad zakázky'!G398="",""," ("&amp;'Rozpad zakázky'!G398&amp;")"))</f>
        <v/>
      </c>
      <c r="F382" s="709" t="str">
        <f>IF(A382="","",'Rozpad zakázky'!IW398)</f>
        <v/>
      </c>
      <c r="G382" s="711" t="str">
        <f>IF(A382="","",'Rozpad zakázky'!AE398)</f>
        <v/>
      </c>
      <c r="H382" s="717" t="str">
        <f>IF(A382="","",'Rozpad zakázky'!AJ398)</f>
        <v/>
      </c>
      <c r="I382" s="748" t="str">
        <f>IF(A382="","",'Rozpad zakázky'!Q398)</f>
        <v/>
      </c>
      <c r="J382" s="717" t="str">
        <f>IF(A382="","",ROUNDDOWN('Rozpad zakázky'!L398,1))</f>
        <v/>
      </c>
      <c r="K382" s="745" t="str">
        <f>IF(A382="","",Tabulka_nakup_Vonka[[#This Row],[Počet MJHR v rozpadu]]*Tabulka_nakup_Vonka[[#This Row],[Jedn. hmotnost '[kg/MJHR']]])</f>
        <v/>
      </c>
    </row>
    <row r="383" spans="1:11" x14ac:dyDescent="0.35">
      <c r="A383" s="709" t="str">
        <f>IF('Rozpad zakázky'!E399=0,"",IF('Rozpad zakázky'!E399="-","",'Rozpad zakázky'!E399))</f>
        <v/>
      </c>
      <c r="B383" s="708" t="str">
        <f>IF(A383="","",IF(A383="","",VLOOKUP(A:A,Pomocna_Nakup[],3,0))&amp;" | "&amp;IF(A383="","",VLOOKUP(A:A,Pomocna_Nakup[],4,0)))</f>
        <v/>
      </c>
      <c r="C383" s="710" t="str">
        <f>IF(Tabulka_nakup_Vonka[[#This Row],[Zkratka kalkulační položky]]="","",Tabulka_nakup_Vonka[[#This Row],[Zkratka kalkulační položky]]&amp;" | "&amp;IF(A383="","",VLOOKUP(A:A,Pomocna_Nakup[],2,0)))</f>
        <v/>
      </c>
      <c r="D383" s="710" t="str">
        <f>IF(A383="","",'Rozpad zakázky'!F399)</f>
        <v/>
      </c>
      <c r="E383" s="710" t="str">
        <f>IF(A383="","",'Rozpad zakázky'!D399&amp;IF('Rozpad zakázky'!G399="",""," ("&amp;'Rozpad zakázky'!G399&amp;")"))</f>
        <v/>
      </c>
      <c r="F383" s="709" t="str">
        <f>IF(A383="","",'Rozpad zakázky'!IW399)</f>
        <v/>
      </c>
      <c r="G383" s="711" t="str">
        <f>IF(A383="","",'Rozpad zakázky'!AE399)</f>
        <v/>
      </c>
      <c r="H383" s="717" t="str">
        <f>IF(A383="","",'Rozpad zakázky'!AJ399)</f>
        <v/>
      </c>
      <c r="I383" s="748" t="str">
        <f>IF(A383="","",'Rozpad zakázky'!Q399)</f>
        <v/>
      </c>
      <c r="J383" s="717" t="str">
        <f>IF(A383="","",ROUNDDOWN('Rozpad zakázky'!L399,1))</f>
        <v/>
      </c>
      <c r="K383" s="745" t="str">
        <f>IF(A383="","",Tabulka_nakup_Vonka[[#This Row],[Počet MJHR v rozpadu]]*Tabulka_nakup_Vonka[[#This Row],[Jedn. hmotnost '[kg/MJHR']]])</f>
        <v/>
      </c>
    </row>
    <row r="384" spans="1:11" x14ac:dyDescent="0.35">
      <c r="A384" s="709" t="str">
        <f>IF('Rozpad zakázky'!E400=0,"",IF('Rozpad zakázky'!E400="-","",'Rozpad zakázky'!E400))</f>
        <v/>
      </c>
      <c r="B384" s="708" t="str">
        <f>IF(A384="","",IF(A384="","",VLOOKUP(A:A,Pomocna_Nakup[],3,0))&amp;" | "&amp;IF(A384="","",VLOOKUP(A:A,Pomocna_Nakup[],4,0)))</f>
        <v/>
      </c>
      <c r="C384" s="710" t="str">
        <f>IF(Tabulka_nakup_Vonka[[#This Row],[Zkratka kalkulační položky]]="","",Tabulka_nakup_Vonka[[#This Row],[Zkratka kalkulační položky]]&amp;" | "&amp;IF(A384="","",VLOOKUP(A:A,Pomocna_Nakup[],2,0)))</f>
        <v/>
      </c>
      <c r="D384" s="710" t="str">
        <f>IF(A384="","",'Rozpad zakázky'!F400)</f>
        <v/>
      </c>
      <c r="E384" s="710" t="str">
        <f>IF(A384="","",'Rozpad zakázky'!D400&amp;IF('Rozpad zakázky'!G400="",""," ("&amp;'Rozpad zakázky'!G400&amp;")"))</f>
        <v/>
      </c>
      <c r="F384" s="709" t="str">
        <f>IF(A384="","",'Rozpad zakázky'!IW400)</f>
        <v/>
      </c>
      <c r="G384" s="711" t="str">
        <f>IF(A384="","",'Rozpad zakázky'!AE400)</f>
        <v/>
      </c>
      <c r="H384" s="717" t="str">
        <f>IF(A384="","",'Rozpad zakázky'!AJ400)</f>
        <v/>
      </c>
      <c r="I384" s="748" t="str">
        <f>IF(A384="","",'Rozpad zakázky'!Q400)</f>
        <v/>
      </c>
      <c r="J384" s="717" t="str">
        <f>IF(A384="","",ROUNDDOWN('Rozpad zakázky'!L400,1))</f>
        <v/>
      </c>
      <c r="K384" s="745" t="str">
        <f>IF(A384="","",Tabulka_nakup_Vonka[[#This Row],[Počet MJHR v rozpadu]]*Tabulka_nakup_Vonka[[#This Row],[Jedn. hmotnost '[kg/MJHR']]])</f>
        <v/>
      </c>
    </row>
    <row r="385" spans="1:11" x14ac:dyDescent="0.35">
      <c r="A385" s="709" t="str">
        <f>IF('Rozpad zakázky'!E401=0,"",IF('Rozpad zakázky'!E401="-","",'Rozpad zakázky'!E401))</f>
        <v/>
      </c>
      <c r="B385" s="708" t="str">
        <f>IF(A385="","",IF(A385="","",VLOOKUP(A:A,Pomocna_Nakup[],3,0))&amp;" | "&amp;IF(A385="","",VLOOKUP(A:A,Pomocna_Nakup[],4,0)))</f>
        <v/>
      </c>
      <c r="C385" s="710" t="str">
        <f>IF(Tabulka_nakup_Vonka[[#This Row],[Zkratka kalkulační položky]]="","",Tabulka_nakup_Vonka[[#This Row],[Zkratka kalkulační položky]]&amp;" | "&amp;IF(A385="","",VLOOKUP(A:A,Pomocna_Nakup[],2,0)))</f>
        <v/>
      </c>
      <c r="D385" s="710" t="str">
        <f>IF(A385="","",'Rozpad zakázky'!F401)</f>
        <v/>
      </c>
      <c r="E385" s="710" t="str">
        <f>IF(A385="","",'Rozpad zakázky'!D401&amp;IF('Rozpad zakázky'!G401="",""," ("&amp;'Rozpad zakázky'!G401&amp;")"))</f>
        <v/>
      </c>
      <c r="F385" s="709" t="str">
        <f>IF(A385="","",'Rozpad zakázky'!IW401)</f>
        <v/>
      </c>
      <c r="G385" s="711" t="str">
        <f>IF(A385="","",'Rozpad zakázky'!AE401)</f>
        <v/>
      </c>
      <c r="H385" s="717" t="str">
        <f>IF(A385="","",'Rozpad zakázky'!AJ401)</f>
        <v/>
      </c>
      <c r="I385" s="748" t="str">
        <f>IF(A385="","",'Rozpad zakázky'!Q401)</f>
        <v/>
      </c>
      <c r="J385" s="717" t="str">
        <f>IF(A385="","",ROUNDDOWN('Rozpad zakázky'!L401,1))</f>
        <v/>
      </c>
      <c r="K385" s="745" t="str">
        <f>IF(A385="","",Tabulka_nakup_Vonka[[#This Row],[Počet MJHR v rozpadu]]*Tabulka_nakup_Vonka[[#This Row],[Jedn. hmotnost '[kg/MJHR']]])</f>
        <v/>
      </c>
    </row>
    <row r="386" spans="1:11" x14ac:dyDescent="0.35">
      <c r="A386" s="709" t="str">
        <f>IF('Rozpad zakázky'!E402=0,"",IF('Rozpad zakázky'!E402="-","",'Rozpad zakázky'!E402))</f>
        <v/>
      </c>
      <c r="B386" s="708" t="str">
        <f>IF(A386="","",IF(A386="","",VLOOKUP(A:A,Pomocna_Nakup[],3,0))&amp;" | "&amp;IF(A386="","",VLOOKUP(A:A,Pomocna_Nakup[],4,0)))</f>
        <v/>
      </c>
      <c r="C386" s="710" t="str">
        <f>IF(Tabulka_nakup_Vonka[[#This Row],[Zkratka kalkulační položky]]="","",Tabulka_nakup_Vonka[[#This Row],[Zkratka kalkulační položky]]&amp;" | "&amp;IF(A386="","",VLOOKUP(A:A,Pomocna_Nakup[],2,0)))</f>
        <v/>
      </c>
      <c r="D386" s="710" t="str">
        <f>IF(A386="","",'Rozpad zakázky'!F402)</f>
        <v/>
      </c>
      <c r="E386" s="710" t="str">
        <f>IF(A386="","",'Rozpad zakázky'!D402&amp;IF('Rozpad zakázky'!G402="",""," ("&amp;'Rozpad zakázky'!G402&amp;")"))</f>
        <v/>
      </c>
      <c r="F386" s="709" t="str">
        <f>IF(A386="","",'Rozpad zakázky'!IW402)</f>
        <v/>
      </c>
      <c r="G386" s="711" t="str">
        <f>IF(A386="","",'Rozpad zakázky'!AE402)</f>
        <v/>
      </c>
      <c r="H386" s="717" t="str">
        <f>IF(A386="","",'Rozpad zakázky'!AJ402)</f>
        <v/>
      </c>
      <c r="I386" s="748" t="str">
        <f>IF(A386="","",'Rozpad zakázky'!Q402)</f>
        <v/>
      </c>
      <c r="J386" s="717" t="str">
        <f>IF(A386="","",ROUNDDOWN('Rozpad zakázky'!L402,1))</f>
        <v/>
      </c>
      <c r="K386" s="745" t="str">
        <f>IF(A386="","",Tabulka_nakup_Vonka[[#This Row],[Počet MJHR v rozpadu]]*Tabulka_nakup_Vonka[[#This Row],[Jedn. hmotnost '[kg/MJHR']]])</f>
        <v/>
      </c>
    </row>
    <row r="387" spans="1:11" x14ac:dyDescent="0.35">
      <c r="A387" s="709" t="str">
        <f>IF('Rozpad zakázky'!E403=0,"",IF('Rozpad zakázky'!E403="-","",'Rozpad zakázky'!E403))</f>
        <v/>
      </c>
      <c r="B387" s="708" t="str">
        <f>IF(A387="","",IF(A387="","",VLOOKUP(A:A,Pomocna_Nakup[],3,0))&amp;" | "&amp;IF(A387="","",VLOOKUP(A:A,Pomocna_Nakup[],4,0)))</f>
        <v/>
      </c>
      <c r="C387" s="710" t="str">
        <f>IF(Tabulka_nakup_Vonka[[#This Row],[Zkratka kalkulační položky]]="","",Tabulka_nakup_Vonka[[#This Row],[Zkratka kalkulační položky]]&amp;" | "&amp;IF(A387="","",VLOOKUP(A:A,Pomocna_Nakup[],2,0)))</f>
        <v/>
      </c>
      <c r="D387" s="710" t="str">
        <f>IF(A387="","",'Rozpad zakázky'!F403)</f>
        <v/>
      </c>
      <c r="E387" s="710" t="str">
        <f>IF(A387="","",'Rozpad zakázky'!D403&amp;IF('Rozpad zakázky'!G403="",""," ("&amp;'Rozpad zakázky'!G403&amp;")"))</f>
        <v/>
      </c>
      <c r="F387" s="709" t="str">
        <f>IF(A387="","",'Rozpad zakázky'!IW403)</f>
        <v/>
      </c>
      <c r="G387" s="711" t="str">
        <f>IF(A387="","",'Rozpad zakázky'!AE403)</f>
        <v/>
      </c>
      <c r="H387" s="717" t="str">
        <f>IF(A387="","",'Rozpad zakázky'!AJ403)</f>
        <v/>
      </c>
      <c r="I387" s="748" t="str">
        <f>IF(A387="","",'Rozpad zakázky'!Q403)</f>
        <v/>
      </c>
      <c r="J387" s="717" t="str">
        <f>IF(A387="","",ROUNDDOWN('Rozpad zakázky'!L403,1))</f>
        <v/>
      </c>
      <c r="K387" s="745" t="str">
        <f>IF(A387="","",Tabulka_nakup_Vonka[[#This Row],[Počet MJHR v rozpadu]]*Tabulka_nakup_Vonka[[#This Row],[Jedn. hmotnost '[kg/MJHR']]])</f>
        <v/>
      </c>
    </row>
    <row r="388" spans="1:11" x14ac:dyDescent="0.35">
      <c r="A388" s="709" t="str">
        <f>IF('Rozpad zakázky'!E404=0,"",IF('Rozpad zakázky'!E404="-","",'Rozpad zakázky'!E404))</f>
        <v/>
      </c>
      <c r="B388" s="708" t="str">
        <f>IF(A388="","",IF(A388="","",VLOOKUP(A:A,Pomocna_Nakup[],3,0))&amp;" | "&amp;IF(A388="","",VLOOKUP(A:A,Pomocna_Nakup[],4,0)))</f>
        <v/>
      </c>
      <c r="C388" s="710" t="str">
        <f>IF(Tabulka_nakup_Vonka[[#This Row],[Zkratka kalkulační položky]]="","",Tabulka_nakup_Vonka[[#This Row],[Zkratka kalkulační položky]]&amp;" | "&amp;IF(A388="","",VLOOKUP(A:A,Pomocna_Nakup[],2,0)))</f>
        <v/>
      </c>
      <c r="D388" s="710" t="str">
        <f>IF(A388="","",'Rozpad zakázky'!F404)</f>
        <v/>
      </c>
      <c r="E388" s="710" t="str">
        <f>IF(A388="","",'Rozpad zakázky'!D404&amp;IF('Rozpad zakázky'!G404="",""," ("&amp;'Rozpad zakázky'!G404&amp;")"))</f>
        <v/>
      </c>
      <c r="F388" s="709" t="str">
        <f>IF(A388="","",'Rozpad zakázky'!IW404)</f>
        <v/>
      </c>
      <c r="G388" s="711" t="str">
        <f>IF(A388="","",'Rozpad zakázky'!AE404)</f>
        <v/>
      </c>
      <c r="H388" s="717" t="str">
        <f>IF(A388="","",'Rozpad zakázky'!AJ404)</f>
        <v/>
      </c>
      <c r="I388" s="748" t="str">
        <f>IF(A388="","",'Rozpad zakázky'!Q404)</f>
        <v/>
      </c>
      <c r="J388" s="717" t="str">
        <f>IF(A388="","",ROUNDDOWN('Rozpad zakázky'!L404,1))</f>
        <v/>
      </c>
      <c r="K388" s="745" t="str">
        <f>IF(A388="","",Tabulka_nakup_Vonka[[#This Row],[Počet MJHR v rozpadu]]*Tabulka_nakup_Vonka[[#This Row],[Jedn. hmotnost '[kg/MJHR']]])</f>
        <v/>
      </c>
    </row>
    <row r="389" spans="1:11" x14ac:dyDescent="0.35">
      <c r="A389" s="709" t="str">
        <f>IF('Rozpad zakázky'!E405=0,"",IF('Rozpad zakázky'!E405="-","",'Rozpad zakázky'!E405))</f>
        <v/>
      </c>
      <c r="B389" s="708" t="str">
        <f>IF(A389="","",IF(A389="","",VLOOKUP(A:A,Pomocna_Nakup[],3,0))&amp;" | "&amp;IF(A389="","",VLOOKUP(A:A,Pomocna_Nakup[],4,0)))</f>
        <v/>
      </c>
      <c r="C389" s="710" t="str">
        <f>IF(Tabulka_nakup_Vonka[[#This Row],[Zkratka kalkulační položky]]="","",Tabulka_nakup_Vonka[[#This Row],[Zkratka kalkulační položky]]&amp;" | "&amp;IF(A389="","",VLOOKUP(A:A,Pomocna_Nakup[],2,0)))</f>
        <v/>
      </c>
      <c r="D389" s="710" t="str">
        <f>IF(A389="","",'Rozpad zakázky'!F405)</f>
        <v/>
      </c>
      <c r="E389" s="710" t="str">
        <f>IF(A389="","",'Rozpad zakázky'!D405&amp;IF('Rozpad zakázky'!G405="",""," ("&amp;'Rozpad zakázky'!G405&amp;")"))</f>
        <v/>
      </c>
      <c r="F389" s="709" t="str">
        <f>IF(A389="","",'Rozpad zakázky'!IW405)</f>
        <v/>
      </c>
      <c r="G389" s="711" t="str">
        <f>IF(A389="","",'Rozpad zakázky'!AE405)</f>
        <v/>
      </c>
      <c r="H389" s="717" t="str">
        <f>IF(A389="","",'Rozpad zakázky'!AJ405)</f>
        <v/>
      </c>
      <c r="I389" s="748" t="str">
        <f>IF(A389="","",'Rozpad zakázky'!Q405)</f>
        <v/>
      </c>
      <c r="J389" s="717" t="str">
        <f>IF(A389="","",ROUNDDOWN('Rozpad zakázky'!L405,1))</f>
        <v/>
      </c>
      <c r="K389" s="745" t="str">
        <f>IF(A389="","",Tabulka_nakup_Vonka[[#This Row],[Počet MJHR v rozpadu]]*Tabulka_nakup_Vonka[[#This Row],[Jedn. hmotnost '[kg/MJHR']]])</f>
        <v/>
      </c>
    </row>
    <row r="390" spans="1:11" x14ac:dyDescent="0.35">
      <c r="A390" s="709" t="str">
        <f>IF('Rozpad zakázky'!E406=0,"",IF('Rozpad zakázky'!E406="-","",'Rozpad zakázky'!E406))</f>
        <v/>
      </c>
      <c r="B390" s="708" t="str">
        <f>IF(A390="","",IF(A390="","",VLOOKUP(A:A,Pomocna_Nakup[],3,0))&amp;" | "&amp;IF(A390="","",VLOOKUP(A:A,Pomocna_Nakup[],4,0)))</f>
        <v/>
      </c>
      <c r="C390" s="710" t="str">
        <f>IF(Tabulka_nakup_Vonka[[#This Row],[Zkratka kalkulační položky]]="","",Tabulka_nakup_Vonka[[#This Row],[Zkratka kalkulační položky]]&amp;" | "&amp;IF(A390="","",VLOOKUP(A:A,Pomocna_Nakup[],2,0)))</f>
        <v/>
      </c>
      <c r="D390" s="710" t="str">
        <f>IF(A390="","",'Rozpad zakázky'!F406)</f>
        <v/>
      </c>
      <c r="E390" s="710" t="str">
        <f>IF(A390="","",'Rozpad zakázky'!D406&amp;IF('Rozpad zakázky'!G406="",""," ("&amp;'Rozpad zakázky'!G406&amp;")"))</f>
        <v/>
      </c>
      <c r="F390" s="709" t="str">
        <f>IF(A390="","",'Rozpad zakázky'!IW406)</f>
        <v/>
      </c>
      <c r="G390" s="711" t="str">
        <f>IF(A390="","",'Rozpad zakázky'!AE406)</f>
        <v/>
      </c>
      <c r="H390" s="717" t="str">
        <f>IF(A390="","",'Rozpad zakázky'!AJ406)</f>
        <v/>
      </c>
      <c r="I390" s="748" t="str">
        <f>IF(A390="","",'Rozpad zakázky'!Q406)</f>
        <v/>
      </c>
      <c r="J390" s="717" t="str">
        <f>IF(A390="","",ROUNDDOWN('Rozpad zakázky'!L406,1))</f>
        <v/>
      </c>
      <c r="K390" s="745" t="str">
        <f>IF(A390="","",Tabulka_nakup_Vonka[[#This Row],[Počet MJHR v rozpadu]]*Tabulka_nakup_Vonka[[#This Row],[Jedn. hmotnost '[kg/MJHR']]])</f>
        <v/>
      </c>
    </row>
    <row r="391" spans="1:11" x14ac:dyDescent="0.35">
      <c r="A391" s="709" t="str">
        <f>IF('Rozpad zakázky'!E407=0,"",IF('Rozpad zakázky'!E407="-","",'Rozpad zakázky'!E407))</f>
        <v/>
      </c>
      <c r="B391" s="708" t="str">
        <f>IF(A391="","",IF(A391="","",VLOOKUP(A:A,Pomocna_Nakup[],3,0))&amp;" | "&amp;IF(A391="","",VLOOKUP(A:A,Pomocna_Nakup[],4,0)))</f>
        <v/>
      </c>
      <c r="C391" s="710" t="str">
        <f>IF(Tabulka_nakup_Vonka[[#This Row],[Zkratka kalkulační položky]]="","",Tabulka_nakup_Vonka[[#This Row],[Zkratka kalkulační položky]]&amp;" | "&amp;IF(A391="","",VLOOKUP(A:A,Pomocna_Nakup[],2,0)))</f>
        <v/>
      </c>
      <c r="D391" s="710" t="str">
        <f>IF(A391="","",'Rozpad zakázky'!F407)</f>
        <v/>
      </c>
      <c r="E391" s="710" t="str">
        <f>IF(A391="","",'Rozpad zakázky'!D407&amp;IF('Rozpad zakázky'!G407="",""," ("&amp;'Rozpad zakázky'!G407&amp;")"))</f>
        <v/>
      </c>
      <c r="F391" s="709" t="str">
        <f>IF(A391="","",'Rozpad zakázky'!IW407)</f>
        <v/>
      </c>
      <c r="G391" s="711" t="str">
        <f>IF(A391="","",'Rozpad zakázky'!AE407)</f>
        <v/>
      </c>
      <c r="H391" s="717" t="str">
        <f>IF(A391="","",'Rozpad zakázky'!AJ407)</f>
        <v/>
      </c>
      <c r="I391" s="748" t="str">
        <f>IF(A391="","",'Rozpad zakázky'!Q407)</f>
        <v/>
      </c>
      <c r="J391" s="717" t="str">
        <f>IF(A391="","",ROUNDDOWN('Rozpad zakázky'!L407,1))</f>
        <v/>
      </c>
      <c r="K391" s="745" t="str">
        <f>IF(A391="","",Tabulka_nakup_Vonka[[#This Row],[Počet MJHR v rozpadu]]*Tabulka_nakup_Vonka[[#This Row],[Jedn. hmotnost '[kg/MJHR']]])</f>
        <v/>
      </c>
    </row>
    <row r="392" spans="1:11" x14ac:dyDescent="0.35">
      <c r="A392" s="709" t="str">
        <f>IF('Rozpad zakázky'!E408=0,"",IF('Rozpad zakázky'!E408="-","",'Rozpad zakázky'!E408))</f>
        <v/>
      </c>
      <c r="B392" s="708" t="str">
        <f>IF(A392="","",IF(A392="","",VLOOKUP(A:A,Pomocna_Nakup[],3,0))&amp;" | "&amp;IF(A392="","",VLOOKUP(A:A,Pomocna_Nakup[],4,0)))</f>
        <v/>
      </c>
      <c r="C392" s="710" t="str">
        <f>IF(Tabulka_nakup_Vonka[[#This Row],[Zkratka kalkulační položky]]="","",Tabulka_nakup_Vonka[[#This Row],[Zkratka kalkulační položky]]&amp;" | "&amp;IF(A392="","",VLOOKUP(A:A,Pomocna_Nakup[],2,0)))</f>
        <v/>
      </c>
      <c r="D392" s="710" t="str">
        <f>IF(A392="","",'Rozpad zakázky'!F408)</f>
        <v/>
      </c>
      <c r="E392" s="710" t="str">
        <f>IF(A392="","",'Rozpad zakázky'!D408&amp;IF('Rozpad zakázky'!G408="",""," ("&amp;'Rozpad zakázky'!G408&amp;")"))</f>
        <v/>
      </c>
      <c r="F392" s="709" t="str">
        <f>IF(A392="","",'Rozpad zakázky'!IW408)</f>
        <v/>
      </c>
      <c r="G392" s="711" t="str">
        <f>IF(A392="","",'Rozpad zakázky'!AE408)</f>
        <v/>
      </c>
      <c r="H392" s="717" t="str">
        <f>IF(A392="","",'Rozpad zakázky'!AJ408)</f>
        <v/>
      </c>
      <c r="I392" s="748" t="str">
        <f>IF(A392="","",'Rozpad zakázky'!Q408)</f>
        <v/>
      </c>
      <c r="J392" s="717" t="str">
        <f>IF(A392="","",ROUNDDOWN('Rozpad zakázky'!L408,1))</f>
        <v/>
      </c>
      <c r="K392" s="745" t="str">
        <f>IF(A392="","",Tabulka_nakup_Vonka[[#This Row],[Počet MJHR v rozpadu]]*Tabulka_nakup_Vonka[[#This Row],[Jedn. hmotnost '[kg/MJHR']]])</f>
        <v/>
      </c>
    </row>
    <row r="393" spans="1:11" x14ac:dyDescent="0.35">
      <c r="A393" s="709" t="str">
        <f>IF('Rozpad zakázky'!E409=0,"",IF('Rozpad zakázky'!E409="-","",'Rozpad zakázky'!E409))</f>
        <v/>
      </c>
      <c r="B393" s="708" t="str">
        <f>IF(A393="","",IF(A393="","",VLOOKUP(A:A,Pomocna_Nakup[],3,0))&amp;" | "&amp;IF(A393="","",VLOOKUP(A:A,Pomocna_Nakup[],4,0)))</f>
        <v/>
      </c>
      <c r="C393" s="710" t="str">
        <f>IF(Tabulka_nakup_Vonka[[#This Row],[Zkratka kalkulační položky]]="","",Tabulka_nakup_Vonka[[#This Row],[Zkratka kalkulační položky]]&amp;" | "&amp;IF(A393="","",VLOOKUP(A:A,Pomocna_Nakup[],2,0)))</f>
        <v/>
      </c>
      <c r="D393" s="710" t="str">
        <f>IF(A393="","",'Rozpad zakázky'!F409)</f>
        <v/>
      </c>
      <c r="E393" s="710" t="str">
        <f>IF(A393="","",'Rozpad zakázky'!D409&amp;IF('Rozpad zakázky'!G409="",""," ("&amp;'Rozpad zakázky'!G409&amp;")"))</f>
        <v/>
      </c>
      <c r="F393" s="709" t="str">
        <f>IF(A393="","",'Rozpad zakázky'!IW409)</f>
        <v/>
      </c>
      <c r="G393" s="711" t="str">
        <f>IF(A393="","",'Rozpad zakázky'!AE409)</f>
        <v/>
      </c>
      <c r="H393" s="717" t="str">
        <f>IF(A393="","",'Rozpad zakázky'!AJ409)</f>
        <v/>
      </c>
      <c r="I393" s="748" t="str">
        <f>IF(A393="","",'Rozpad zakázky'!Q409)</f>
        <v/>
      </c>
      <c r="J393" s="717" t="str">
        <f>IF(A393="","",ROUNDDOWN('Rozpad zakázky'!L409,1))</f>
        <v/>
      </c>
      <c r="K393" s="745" t="str">
        <f>IF(A393="","",Tabulka_nakup_Vonka[[#This Row],[Počet MJHR v rozpadu]]*Tabulka_nakup_Vonka[[#This Row],[Jedn. hmotnost '[kg/MJHR']]])</f>
        <v/>
      </c>
    </row>
    <row r="394" spans="1:11" x14ac:dyDescent="0.35">
      <c r="A394" s="709" t="str">
        <f>IF('Rozpad zakázky'!E410=0,"",IF('Rozpad zakázky'!E410="-","",'Rozpad zakázky'!E410))</f>
        <v/>
      </c>
      <c r="B394" s="708" t="str">
        <f>IF(A394="","",IF(A394="","",VLOOKUP(A:A,Pomocna_Nakup[],3,0))&amp;" | "&amp;IF(A394="","",VLOOKUP(A:A,Pomocna_Nakup[],4,0)))</f>
        <v/>
      </c>
      <c r="C394" s="710" t="str">
        <f>IF(Tabulka_nakup_Vonka[[#This Row],[Zkratka kalkulační položky]]="","",Tabulka_nakup_Vonka[[#This Row],[Zkratka kalkulační položky]]&amp;" | "&amp;IF(A394="","",VLOOKUP(A:A,Pomocna_Nakup[],2,0)))</f>
        <v/>
      </c>
      <c r="D394" s="710" t="str">
        <f>IF(A394="","",'Rozpad zakázky'!F410)</f>
        <v/>
      </c>
      <c r="E394" s="710" t="str">
        <f>IF(A394="","",'Rozpad zakázky'!D410&amp;IF('Rozpad zakázky'!G410="",""," ("&amp;'Rozpad zakázky'!G410&amp;")"))</f>
        <v/>
      </c>
      <c r="F394" s="709" t="str">
        <f>IF(A394="","",'Rozpad zakázky'!IW410)</f>
        <v/>
      </c>
      <c r="G394" s="711" t="str">
        <f>IF(A394="","",'Rozpad zakázky'!AE410)</f>
        <v/>
      </c>
      <c r="H394" s="717" t="str">
        <f>IF(A394="","",'Rozpad zakázky'!AJ410)</f>
        <v/>
      </c>
      <c r="I394" s="748" t="str">
        <f>IF(A394="","",'Rozpad zakázky'!Q410)</f>
        <v/>
      </c>
      <c r="J394" s="717" t="str">
        <f>IF(A394="","",ROUNDDOWN('Rozpad zakázky'!L410,1))</f>
        <v/>
      </c>
      <c r="K394" s="745" t="str">
        <f>IF(A394="","",Tabulka_nakup_Vonka[[#This Row],[Počet MJHR v rozpadu]]*Tabulka_nakup_Vonka[[#This Row],[Jedn. hmotnost '[kg/MJHR']]])</f>
        <v/>
      </c>
    </row>
    <row r="395" spans="1:11" x14ac:dyDescent="0.35">
      <c r="A395" s="709" t="str">
        <f>IF('Rozpad zakázky'!E411=0,"",IF('Rozpad zakázky'!E411="-","",'Rozpad zakázky'!E411))</f>
        <v/>
      </c>
      <c r="B395" s="708" t="str">
        <f>IF(A395="","",IF(A395="","",VLOOKUP(A:A,Pomocna_Nakup[],3,0))&amp;" | "&amp;IF(A395="","",VLOOKUP(A:A,Pomocna_Nakup[],4,0)))</f>
        <v/>
      </c>
      <c r="C395" s="710" t="str">
        <f>IF(Tabulka_nakup_Vonka[[#This Row],[Zkratka kalkulační položky]]="","",Tabulka_nakup_Vonka[[#This Row],[Zkratka kalkulační položky]]&amp;" | "&amp;IF(A395="","",VLOOKUP(A:A,Pomocna_Nakup[],2,0)))</f>
        <v/>
      </c>
      <c r="D395" s="710" t="str">
        <f>IF(A395="","",'Rozpad zakázky'!F411)</f>
        <v/>
      </c>
      <c r="E395" s="710" t="str">
        <f>IF(A395="","",'Rozpad zakázky'!D411&amp;IF('Rozpad zakázky'!G411="",""," ("&amp;'Rozpad zakázky'!G411&amp;")"))</f>
        <v/>
      </c>
      <c r="F395" s="709" t="str">
        <f>IF(A395="","",'Rozpad zakázky'!IW411)</f>
        <v/>
      </c>
      <c r="G395" s="711" t="str">
        <f>IF(A395="","",'Rozpad zakázky'!AE411)</f>
        <v/>
      </c>
      <c r="H395" s="717" t="str">
        <f>IF(A395="","",'Rozpad zakázky'!AJ411)</f>
        <v/>
      </c>
      <c r="I395" s="748" t="str">
        <f>IF(A395="","",'Rozpad zakázky'!Q411)</f>
        <v/>
      </c>
      <c r="J395" s="717" t="str">
        <f>IF(A395="","",ROUNDDOWN('Rozpad zakázky'!L411,1))</f>
        <v/>
      </c>
      <c r="K395" s="745" t="str">
        <f>IF(A395="","",Tabulka_nakup_Vonka[[#This Row],[Počet MJHR v rozpadu]]*Tabulka_nakup_Vonka[[#This Row],[Jedn. hmotnost '[kg/MJHR']]])</f>
        <v/>
      </c>
    </row>
    <row r="396" spans="1:11" x14ac:dyDescent="0.35">
      <c r="A396" s="709" t="str">
        <f>IF('Rozpad zakázky'!E412=0,"",IF('Rozpad zakázky'!E412="-","",'Rozpad zakázky'!E412))</f>
        <v/>
      </c>
      <c r="B396" s="708" t="str">
        <f>IF(A396="","",IF(A396="","",VLOOKUP(A:A,Pomocna_Nakup[],3,0))&amp;" | "&amp;IF(A396="","",VLOOKUP(A:A,Pomocna_Nakup[],4,0)))</f>
        <v/>
      </c>
      <c r="C396" s="710" t="str">
        <f>IF(Tabulka_nakup_Vonka[[#This Row],[Zkratka kalkulační položky]]="","",Tabulka_nakup_Vonka[[#This Row],[Zkratka kalkulační položky]]&amp;" | "&amp;IF(A396="","",VLOOKUP(A:A,Pomocna_Nakup[],2,0)))</f>
        <v/>
      </c>
      <c r="D396" s="710" t="str">
        <f>IF(A396="","",'Rozpad zakázky'!F412)</f>
        <v/>
      </c>
      <c r="E396" s="710" t="str">
        <f>IF(A396="","",'Rozpad zakázky'!D412&amp;IF('Rozpad zakázky'!G412="",""," ("&amp;'Rozpad zakázky'!G412&amp;")"))</f>
        <v/>
      </c>
      <c r="F396" s="709" t="str">
        <f>IF(A396="","",'Rozpad zakázky'!IW412)</f>
        <v/>
      </c>
      <c r="G396" s="711" t="str">
        <f>IF(A396="","",'Rozpad zakázky'!AE412)</f>
        <v/>
      </c>
      <c r="H396" s="717" t="str">
        <f>IF(A396="","",'Rozpad zakázky'!AJ412)</f>
        <v/>
      </c>
      <c r="I396" s="748" t="str">
        <f>IF(A396="","",'Rozpad zakázky'!Q412)</f>
        <v/>
      </c>
      <c r="J396" s="717" t="str">
        <f>IF(A396="","",ROUNDDOWN('Rozpad zakázky'!L412,1))</f>
        <v/>
      </c>
      <c r="K396" s="745" t="str">
        <f>IF(A396="","",Tabulka_nakup_Vonka[[#This Row],[Počet MJHR v rozpadu]]*Tabulka_nakup_Vonka[[#This Row],[Jedn. hmotnost '[kg/MJHR']]])</f>
        <v/>
      </c>
    </row>
    <row r="397" spans="1:11" x14ac:dyDescent="0.35">
      <c r="A397" s="709" t="str">
        <f>IF('Rozpad zakázky'!E413=0,"",IF('Rozpad zakázky'!E413="-","",'Rozpad zakázky'!E413))</f>
        <v/>
      </c>
      <c r="B397" s="708" t="str">
        <f>IF(A397="","",IF(A397="","",VLOOKUP(A:A,Pomocna_Nakup[],3,0))&amp;" | "&amp;IF(A397="","",VLOOKUP(A:A,Pomocna_Nakup[],4,0)))</f>
        <v/>
      </c>
      <c r="C397" s="710" t="str">
        <f>IF(Tabulka_nakup_Vonka[[#This Row],[Zkratka kalkulační položky]]="","",Tabulka_nakup_Vonka[[#This Row],[Zkratka kalkulační položky]]&amp;" | "&amp;IF(A397="","",VLOOKUP(A:A,Pomocna_Nakup[],2,0)))</f>
        <v/>
      </c>
      <c r="D397" s="710" t="str">
        <f>IF(A397="","",'Rozpad zakázky'!F413)</f>
        <v/>
      </c>
      <c r="E397" s="710" t="str">
        <f>IF(A397="","",'Rozpad zakázky'!D413&amp;IF('Rozpad zakázky'!G413="",""," ("&amp;'Rozpad zakázky'!G413&amp;")"))</f>
        <v/>
      </c>
      <c r="F397" s="709" t="str">
        <f>IF(A397="","",'Rozpad zakázky'!IW413)</f>
        <v/>
      </c>
      <c r="G397" s="711" t="str">
        <f>IF(A397="","",'Rozpad zakázky'!AE413)</f>
        <v/>
      </c>
      <c r="H397" s="717" t="str">
        <f>IF(A397="","",'Rozpad zakázky'!AJ413)</f>
        <v/>
      </c>
      <c r="I397" s="748" t="str">
        <f>IF(A397="","",'Rozpad zakázky'!Q413)</f>
        <v/>
      </c>
      <c r="J397" s="717" t="str">
        <f>IF(A397="","",ROUNDDOWN('Rozpad zakázky'!L413,1))</f>
        <v/>
      </c>
      <c r="K397" s="745" t="str">
        <f>IF(A397="","",Tabulka_nakup_Vonka[[#This Row],[Počet MJHR v rozpadu]]*Tabulka_nakup_Vonka[[#This Row],[Jedn. hmotnost '[kg/MJHR']]])</f>
        <v/>
      </c>
    </row>
    <row r="398" spans="1:11" x14ac:dyDescent="0.35">
      <c r="A398" s="709" t="str">
        <f>IF('Rozpad zakázky'!E414=0,"",IF('Rozpad zakázky'!E414="-","",'Rozpad zakázky'!E414))</f>
        <v/>
      </c>
      <c r="B398" s="708" t="str">
        <f>IF(A398="","",IF(A398="","",VLOOKUP(A:A,Pomocna_Nakup[],3,0))&amp;" | "&amp;IF(A398="","",VLOOKUP(A:A,Pomocna_Nakup[],4,0)))</f>
        <v/>
      </c>
      <c r="C398" s="710" t="str">
        <f>IF(Tabulka_nakup_Vonka[[#This Row],[Zkratka kalkulační položky]]="","",Tabulka_nakup_Vonka[[#This Row],[Zkratka kalkulační položky]]&amp;" | "&amp;IF(A398="","",VLOOKUP(A:A,Pomocna_Nakup[],2,0)))</f>
        <v/>
      </c>
      <c r="D398" s="710" t="str">
        <f>IF(A398="","",'Rozpad zakázky'!F414)</f>
        <v/>
      </c>
      <c r="E398" s="710" t="str">
        <f>IF(A398="","",'Rozpad zakázky'!D414&amp;IF('Rozpad zakázky'!G414="",""," ("&amp;'Rozpad zakázky'!G414&amp;")"))</f>
        <v/>
      </c>
      <c r="F398" s="709" t="str">
        <f>IF(A398="","",'Rozpad zakázky'!IW414)</f>
        <v/>
      </c>
      <c r="G398" s="711" t="str">
        <f>IF(A398="","",'Rozpad zakázky'!AE414)</f>
        <v/>
      </c>
      <c r="H398" s="717" t="str">
        <f>IF(A398="","",'Rozpad zakázky'!AJ414)</f>
        <v/>
      </c>
      <c r="I398" s="748" t="str">
        <f>IF(A398="","",'Rozpad zakázky'!Q414)</f>
        <v/>
      </c>
      <c r="J398" s="717" t="str">
        <f>IF(A398="","",ROUNDDOWN('Rozpad zakázky'!L414,1))</f>
        <v/>
      </c>
      <c r="K398" s="745" t="str">
        <f>IF(A398="","",Tabulka_nakup_Vonka[[#This Row],[Počet MJHR v rozpadu]]*Tabulka_nakup_Vonka[[#This Row],[Jedn. hmotnost '[kg/MJHR']]])</f>
        <v/>
      </c>
    </row>
    <row r="399" spans="1:11" x14ac:dyDescent="0.35">
      <c r="A399" s="709" t="str">
        <f>IF('Rozpad zakázky'!E415=0,"",IF('Rozpad zakázky'!E415="-","",'Rozpad zakázky'!E415))</f>
        <v/>
      </c>
      <c r="B399" s="708" t="str">
        <f>IF(A399="","",IF(A399="","",VLOOKUP(A:A,Pomocna_Nakup[],3,0))&amp;" | "&amp;IF(A399="","",VLOOKUP(A:A,Pomocna_Nakup[],4,0)))</f>
        <v/>
      </c>
      <c r="C399" s="710" t="str">
        <f>IF(Tabulka_nakup_Vonka[[#This Row],[Zkratka kalkulační položky]]="","",Tabulka_nakup_Vonka[[#This Row],[Zkratka kalkulační položky]]&amp;" | "&amp;IF(A399="","",VLOOKUP(A:A,Pomocna_Nakup[],2,0)))</f>
        <v/>
      </c>
      <c r="D399" s="710" t="str">
        <f>IF(A399="","",'Rozpad zakázky'!F415)</f>
        <v/>
      </c>
      <c r="E399" s="710" t="str">
        <f>IF(A399="","",'Rozpad zakázky'!D415&amp;IF('Rozpad zakázky'!G415="",""," ("&amp;'Rozpad zakázky'!G415&amp;")"))</f>
        <v/>
      </c>
      <c r="F399" s="709" t="str">
        <f>IF(A399="","",'Rozpad zakázky'!IW415)</f>
        <v/>
      </c>
      <c r="G399" s="711" t="str">
        <f>IF(A399="","",'Rozpad zakázky'!AE415)</f>
        <v/>
      </c>
      <c r="H399" s="717" t="str">
        <f>IF(A399="","",'Rozpad zakázky'!AJ415)</f>
        <v/>
      </c>
      <c r="I399" s="748" t="str">
        <f>IF(A399="","",'Rozpad zakázky'!Q415)</f>
        <v/>
      </c>
      <c r="J399" s="717" t="str">
        <f>IF(A399="","",ROUNDDOWN('Rozpad zakázky'!L415,1))</f>
        <v/>
      </c>
      <c r="K399" s="745" t="str">
        <f>IF(A399="","",Tabulka_nakup_Vonka[[#This Row],[Počet MJHR v rozpadu]]*Tabulka_nakup_Vonka[[#This Row],[Jedn. hmotnost '[kg/MJHR']]])</f>
        <v/>
      </c>
    </row>
    <row r="400" spans="1:11" x14ac:dyDescent="0.35">
      <c r="A400" s="709" t="str">
        <f>IF('Rozpad zakázky'!E416=0,"",IF('Rozpad zakázky'!E416="-","",'Rozpad zakázky'!E416))</f>
        <v/>
      </c>
      <c r="B400" s="708" t="str">
        <f>IF(A400="","",IF(A400="","",VLOOKUP(A:A,Pomocna_Nakup[],3,0))&amp;" | "&amp;IF(A400="","",VLOOKUP(A:A,Pomocna_Nakup[],4,0)))</f>
        <v/>
      </c>
      <c r="C400" s="710" t="str">
        <f>IF(Tabulka_nakup_Vonka[[#This Row],[Zkratka kalkulační položky]]="","",Tabulka_nakup_Vonka[[#This Row],[Zkratka kalkulační položky]]&amp;" | "&amp;IF(A400="","",VLOOKUP(A:A,Pomocna_Nakup[],2,0)))</f>
        <v/>
      </c>
      <c r="D400" s="710" t="str">
        <f>IF(A400="","",'Rozpad zakázky'!F416)</f>
        <v/>
      </c>
      <c r="E400" s="710" t="str">
        <f>IF(A400="","",'Rozpad zakázky'!D416&amp;IF('Rozpad zakázky'!G416="",""," ("&amp;'Rozpad zakázky'!G416&amp;")"))</f>
        <v/>
      </c>
      <c r="F400" s="709" t="str">
        <f>IF(A400="","",'Rozpad zakázky'!IW416)</f>
        <v/>
      </c>
      <c r="G400" s="711" t="str">
        <f>IF(A400="","",'Rozpad zakázky'!AE416)</f>
        <v/>
      </c>
      <c r="H400" s="717" t="str">
        <f>IF(A400="","",'Rozpad zakázky'!AJ416)</f>
        <v/>
      </c>
      <c r="I400" s="748" t="str">
        <f>IF(A400="","",'Rozpad zakázky'!Q416)</f>
        <v/>
      </c>
      <c r="J400" s="717" t="str">
        <f>IF(A400="","",ROUNDDOWN('Rozpad zakázky'!L416,1))</f>
        <v/>
      </c>
      <c r="K400" s="745" t="str">
        <f>IF(A400="","",Tabulka_nakup_Vonka[[#This Row],[Počet MJHR v rozpadu]]*Tabulka_nakup_Vonka[[#This Row],[Jedn. hmotnost '[kg/MJHR']]])</f>
        <v/>
      </c>
    </row>
    <row r="401" spans="1:11" x14ac:dyDescent="0.35">
      <c r="A401" s="709" t="str">
        <f>IF('Rozpad zakázky'!E417=0,"",IF('Rozpad zakázky'!E417="-","",'Rozpad zakázky'!E417))</f>
        <v/>
      </c>
      <c r="B401" s="708" t="str">
        <f>IF(A401="","",IF(A401="","",VLOOKUP(A:A,Pomocna_Nakup[],3,0))&amp;" | "&amp;IF(A401="","",VLOOKUP(A:A,Pomocna_Nakup[],4,0)))</f>
        <v/>
      </c>
      <c r="C401" s="710" t="str">
        <f>IF(Tabulka_nakup_Vonka[[#This Row],[Zkratka kalkulační položky]]="","",Tabulka_nakup_Vonka[[#This Row],[Zkratka kalkulační položky]]&amp;" | "&amp;IF(A401="","",VLOOKUP(A:A,Pomocna_Nakup[],2,0)))</f>
        <v/>
      </c>
      <c r="D401" s="710" t="str">
        <f>IF(A401="","",'Rozpad zakázky'!F417)</f>
        <v/>
      </c>
      <c r="E401" s="710" t="str">
        <f>IF(A401="","",'Rozpad zakázky'!D417&amp;IF('Rozpad zakázky'!G417="",""," ("&amp;'Rozpad zakázky'!G417&amp;")"))</f>
        <v/>
      </c>
      <c r="F401" s="709" t="str">
        <f>IF(A401="","",'Rozpad zakázky'!IW417)</f>
        <v/>
      </c>
      <c r="G401" s="711" t="str">
        <f>IF(A401="","",'Rozpad zakázky'!AE417)</f>
        <v/>
      </c>
      <c r="H401" s="717" t="str">
        <f>IF(A401="","",'Rozpad zakázky'!AJ417)</f>
        <v/>
      </c>
      <c r="I401" s="748" t="str">
        <f>IF(A401="","",'Rozpad zakázky'!Q417)</f>
        <v/>
      </c>
      <c r="J401" s="717" t="str">
        <f>IF(A401="","",ROUNDDOWN('Rozpad zakázky'!L417,1))</f>
        <v/>
      </c>
      <c r="K401" s="745" t="str">
        <f>IF(A401="","",Tabulka_nakup_Vonka[[#This Row],[Počet MJHR v rozpadu]]*Tabulka_nakup_Vonka[[#This Row],[Jedn. hmotnost '[kg/MJHR']]])</f>
        <v/>
      </c>
    </row>
    <row r="402" spans="1:11" x14ac:dyDescent="0.35">
      <c r="A402" s="709" t="str">
        <f>IF('Rozpad zakázky'!E418=0,"",IF('Rozpad zakázky'!E418="-","",'Rozpad zakázky'!E418))</f>
        <v/>
      </c>
      <c r="B402" s="708" t="str">
        <f>IF(A402="","",IF(A402="","",VLOOKUP(A:A,Pomocna_Nakup[],3,0))&amp;" | "&amp;IF(A402="","",VLOOKUP(A:A,Pomocna_Nakup[],4,0)))</f>
        <v/>
      </c>
      <c r="C402" s="710" t="str">
        <f>IF(Tabulka_nakup_Vonka[[#This Row],[Zkratka kalkulační položky]]="","",Tabulka_nakup_Vonka[[#This Row],[Zkratka kalkulační položky]]&amp;" | "&amp;IF(A402="","",VLOOKUP(A:A,Pomocna_Nakup[],2,0)))</f>
        <v/>
      </c>
      <c r="D402" s="710" t="str">
        <f>IF(A402="","",'Rozpad zakázky'!F418)</f>
        <v/>
      </c>
      <c r="E402" s="710" t="str">
        <f>IF(A402="","",'Rozpad zakázky'!D418&amp;IF('Rozpad zakázky'!G418="",""," ("&amp;'Rozpad zakázky'!G418&amp;")"))</f>
        <v/>
      </c>
      <c r="F402" s="709" t="str">
        <f>IF(A402="","",'Rozpad zakázky'!IW418)</f>
        <v/>
      </c>
      <c r="G402" s="711" t="str">
        <f>IF(A402="","",'Rozpad zakázky'!AE418)</f>
        <v/>
      </c>
      <c r="H402" s="717" t="str">
        <f>IF(A402="","",'Rozpad zakázky'!AJ418)</f>
        <v/>
      </c>
      <c r="I402" s="748" t="str">
        <f>IF(A402="","",'Rozpad zakázky'!Q418)</f>
        <v/>
      </c>
      <c r="J402" s="717" t="str">
        <f>IF(A402="","",ROUNDDOWN('Rozpad zakázky'!L418,1))</f>
        <v/>
      </c>
      <c r="K402" s="745" t="str">
        <f>IF(A402="","",Tabulka_nakup_Vonka[[#This Row],[Počet MJHR v rozpadu]]*Tabulka_nakup_Vonka[[#This Row],[Jedn. hmotnost '[kg/MJHR']]])</f>
        <v/>
      </c>
    </row>
    <row r="403" spans="1:11" x14ac:dyDescent="0.35">
      <c r="A403" s="709" t="str">
        <f>IF('Rozpad zakázky'!E419=0,"",IF('Rozpad zakázky'!E419="-","",'Rozpad zakázky'!E419))</f>
        <v/>
      </c>
      <c r="B403" s="708" t="str">
        <f>IF(A403="","",IF(A403="","",VLOOKUP(A:A,Pomocna_Nakup[],3,0))&amp;" | "&amp;IF(A403="","",VLOOKUP(A:A,Pomocna_Nakup[],4,0)))</f>
        <v/>
      </c>
      <c r="C403" s="710" t="str">
        <f>IF(Tabulka_nakup_Vonka[[#This Row],[Zkratka kalkulační položky]]="","",Tabulka_nakup_Vonka[[#This Row],[Zkratka kalkulační položky]]&amp;" | "&amp;IF(A403="","",VLOOKUP(A:A,Pomocna_Nakup[],2,0)))</f>
        <v/>
      </c>
      <c r="D403" s="710" t="str">
        <f>IF(A403="","",'Rozpad zakázky'!F419)</f>
        <v/>
      </c>
      <c r="E403" s="710" t="str">
        <f>IF(A403="","",'Rozpad zakázky'!D419&amp;IF('Rozpad zakázky'!G419="",""," ("&amp;'Rozpad zakázky'!G419&amp;")"))</f>
        <v/>
      </c>
      <c r="F403" s="709" t="str">
        <f>IF(A403="","",'Rozpad zakázky'!IW419)</f>
        <v/>
      </c>
      <c r="G403" s="711" t="str">
        <f>IF(A403="","",'Rozpad zakázky'!AE419)</f>
        <v/>
      </c>
      <c r="H403" s="717" t="str">
        <f>IF(A403="","",'Rozpad zakázky'!AJ419)</f>
        <v/>
      </c>
      <c r="I403" s="748" t="str">
        <f>IF(A403="","",'Rozpad zakázky'!Q419)</f>
        <v/>
      </c>
      <c r="J403" s="717" t="str">
        <f>IF(A403="","",ROUNDDOWN('Rozpad zakázky'!L419,1))</f>
        <v/>
      </c>
      <c r="K403" s="745" t="str">
        <f>IF(A403="","",Tabulka_nakup_Vonka[[#This Row],[Počet MJHR v rozpadu]]*Tabulka_nakup_Vonka[[#This Row],[Jedn. hmotnost '[kg/MJHR']]])</f>
        <v/>
      </c>
    </row>
    <row r="404" spans="1:11" x14ac:dyDescent="0.35">
      <c r="A404" s="709" t="str">
        <f>IF('Rozpad zakázky'!E420=0,"",IF('Rozpad zakázky'!E420="-","",'Rozpad zakázky'!E420))</f>
        <v/>
      </c>
      <c r="B404" s="708" t="str">
        <f>IF(A404="","",IF(A404="","",VLOOKUP(A:A,Pomocna_Nakup[],3,0))&amp;" | "&amp;IF(A404="","",VLOOKUP(A:A,Pomocna_Nakup[],4,0)))</f>
        <v/>
      </c>
      <c r="C404" s="710" t="str">
        <f>IF(Tabulka_nakup_Vonka[[#This Row],[Zkratka kalkulační položky]]="","",Tabulka_nakup_Vonka[[#This Row],[Zkratka kalkulační položky]]&amp;" | "&amp;IF(A404="","",VLOOKUP(A:A,Pomocna_Nakup[],2,0)))</f>
        <v/>
      </c>
      <c r="D404" s="710" t="str">
        <f>IF(A404="","",'Rozpad zakázky'!F420)</f>
        <v/>
      </c>
      <c r="E404" s="710" t="str">
        <f>IF(A404="","",'Rozpad zakázky'!D420&amp;IF('Rozpad zakázky'!G420="",""," ("&amp;'Rozpad zakázky'!G420&amp;")"))</f>
        <v/>
      </c>
      <c r="F404" s="709" t="str">
        <f>IF(A404="","",'Rozpad zakázky'!IW420)</f>
        <v/>
      </c>
      <c r="G404" s="711" t="str">
        <f>IF(A404="","",'Rozpad zakázky'!AE420)</f>
        <v/>
      </c>
      <c r="H404" s="717" t="str">
        <f>IF(A404="","",'Rozpad zakázky'!AJ420)</f>
        <v/>
      </c>
      <c r="I404" s="748" t="str">
        <f>IF(A404="","",'Rozpad zakázky'!Q420)</f>
        <v/>
      </c>
      <c r="J404" s="717" t="str">
        <f>IF(A404="","",ROUNDDOWN('Rozpad zakázky'!L420,1))</f>
        <v/>
      </c>
      <c r="K404" s="745" t="str">
        <f>IF(A404="","",Tabulka_nakup_Vonka[[#This Row],[Počet MJHR v rozpadu]]*Tabulka_nakup_Vonka[[#This Row],[Jedn. hmotnost '[kg/MJHR']]])</f>
        <v/>
      </c>
    </row>
    <row r="405" spans="1:11" x14ac:dyDescent="0.35">
      <c r="A405" s="709" t="str">
        <f>IF('Rozpad zakázky'!E421=0,"",IF('Rozpad zakázky'!E421="-","",'Rozpad zakázky'!E421))</f>
        <v/>
      </c>
      <c r="B405" s="708" t="str">
        <f>IF(A405="","",IF(A405="","",VLOOKUP(A:A,Pomocna_Nakup[],3,0))&amp;" | "&amp;IF(A405="","",VLOOKUP(A:A,Pomocna_Nakup[],4,0)))</f>
        <v/>
      </c>
      <c r="C405" s="710" t="str">
        <f>IF(Tabulka_nakup_Vonka[[#This Row],[Zkratka kalkulační položky]]="","",Tabulka_nakup_Vonka[[#This Row],[Zkratka kalkulační položky]]&amp;" | "&amp;IF(A405="","",VLOOKUP(A:A,Pomocna_Nakup[],2,0)))</f>
        <v/>
      </c>
      <c r="D405" s="710" t="str">
        <f>IF(A405="","",'Rozpad zakázky'!F421)</f>
        <v/>
      </c>
      <c r="E405" s="710" t="str">
        <f>IF(A405="","",'Rozpad zakázky'!D421&amp;IF('Rozpad zakázky'!G421="",""," ("&amp;'Rozpad zakázky'!G421&amp;")"))</f>
        <v/>
      </c>
      <c r="F405" s="709" t="str">
        <f>IF(A405="","",'Rozpad zakázky'!IW421)</f>
        <v/>
      </c>
      <c r="G405" s="711" t="str">
        <f>IF(A405="","",'Rozpad zakázky'!AE421)</f>
        <v/>
      </c>
      <c r="H405" s="717" t="str">
        <f>IF(A405="","",'Rozpad zakázky'!AJ421)</f>
        <v/>
      </c>
      <c r="I405" s="748" t="str">
        <f>IF(A405="","",'Rozpad zakázky'!Q421)</f>
        <v/>
      </c>
      <c r="J405" s="717" t="str">
        <f>IF(A405="","",ROUNDDOWN('Rozpad zakázky'!L421,1))</f>
        <v/>
      </c>
      <c r="K405" s="745" t="str">
        <f>IF(A405="","",Tabulka_nakup_Vonka[[#This Row],[Počet MJHR v rozpadu]]*Tabulka_nakup_Vonka[[#This Row],[Jedn. hmotnost '[kg/MJHR']]])</f>
        <v/>
      </c>
    </row>
    <row r="406" spans="1:11" x14ac:dyDescent="0.35">
      <c r="A406" s="709" t="str">
        <f>IF('Rozpad zakázky'!E422=0,"",IF('Rozpad zakázky'!E422="-","",'Rozpad zakázky'!E422))</f>
        <v/>
      </c>
      <c r="B406" s="708" t="str">
        <f>IF(A406="","",IF(A406="","",VLOOKUP(A:A,Pomocna_Nakup[],3,0))&amp;" | "&amp;IF(A406="","",VLOOKUP(A:A,Pomocna_Nakup[],4,0)))</f>
        <v/>
      </c>
      <c r="C406" s="710" t="str">
        <f>IF(Tabulka_nakup_Vonka[[#This Row],[Zkratka kalkulační položky]]="","",Tabulka_nakup_Vonka[[#This Row],[Zkratka kalkulační položky]]&amp;" | "&amp;IF(A406="","",VLOOKUP(A:A,Pomocna_Nakup[],2,0)))</f>
        <v/>
      </c>
      <c r="D406" s="710" t="str">
        <f>IF(A406="","",'Rozpad zakázky'!F422)</f>
        <v/>
      </c>
      <c r="E406" s="710" t="str">
        <f>IF(A406="","",'Rozpad zakázky'!D422&amp;IF('Rozpad zakázky'!G422="",""," ("&amp;'Rozpad zakázky'!G422&amp;")"))</f>
        <v/>
      </c>
      <c r="F406" s="709" t="str">
        <f>IF(A406="","",'Rozpad zakázky'!IW422)</f>
        <v/>
      </c>
      <c r="G406" s="711" t="str">
        <f>IF(A406="","",'Rozpad zakázky'!AE422)</f>
        <v/>
      </c>
      <c r="H406" s="717" t="str">
        <f>IF(A406="","",'Rozpad zakázky'!AJ422)</f>
        <v/>
      </c>
      <c r="I406" s="748" t="str">
        <f>IF(A406="","",'Rozpad zakázky'!Q422)</f>
        <v/>
      </c>
      <c r="J406" s="717" t="str">
        <f>IF(A406="","",ROUNDDOWN('Rozpad zakázky'!L422,1))</f>
        <v/>
      </c>
      <c r="K406" s="745" t="str">
        <f>IF(A406="","",Tabulka_nakup_Vonka[[#This Row],[Počet MJHR v rozpadu]]*Tabulka_nakup_Vonka[[#This Row],[Jedn. hmotnost '[kg/MJHR']]])</f>
        <v/>
      </c>
    </row>
    <row r="407" spans="1:11" x14ac:dyDescent="0.35">
      <c r="A407" s="709" t="str">
        <f>IF('Rozpad zakázky'!E423=0,"",IF('Rozpad zakázky'!E423="-","",'Rozpad zakázky'!E423))</f>
        <v/>
      </c>
      <c r="B407" s="708" t="str">
        <f>IF(A407="","",IF(A407="","",VLOOKUP(A:A,Pomocna_Nakup[],3,0))&amp;" | "&amp;IF(A407="","",VLOOKUP(A:A,Pomocna_Nakup[],4,0)))</f>
        <v/>
      </c>
      <c r="C407" s="710" t="str">
        <f>IF(Tabulka_nakup_Vonka[[#This Row],[Zkratka kalkulační položky]]="","",Tabulka_nakup_Vonka[[#This Row],[Zkratka kalkulační položky]]&amp;" | "&amp;IF(A407="","",VLOOKUP(A:A,Pomocna_Nakup[],2,0)))</f>
        <v/>
      </c>
      <c r="D407" s="710" t="str">
        <f>IF(A407="","",'Rozpad zakázky'!F423)</f>
        <v/>
      </c>
      <c r="E407" s="710" t="str">
        <f>IF(A407="","",'Rozpad zakázky'!D423&amp;IF('Rozpad zakázky'!G423="",""," ("&amp;'Rozpad zakázky'!G423&amp;")"))</f>
        <v/>
      </c>
      <c r="F407" s="709" t="str">
        <f>IF(A407="","",'Rozpad zakázky'!IW423)</f>
        <v/>
      </c>
      <c r="G407" s="711" t="str">
        <f>IF(A407="","",'Rozpad zakázky'!AE423)</f>
        <v/>
      </c>
      <c r="H407" s="717" t="str">
        <f>IF(A407="","",'Rozpad zakázky'!AJ423)</f>
        <v/>
      </c>
      <c r="I407" s="748" t="str">
        <f>IF(A407="","",'Rozpad zakázky'!Q423)</f>
        <v/>
      </c>
      <c r="J407" s="717" t="str">
        <f>IF(A407="","",ROUNDDOWN('Rozpad zakázky'!L423,1))</f>
        <v/>
      </c>
      <c r="K407" s="745" t="str">
        <f>IF(A407="","",Tabulka_nakup_Vonka[[#This Row],[Počet MJHR v rozpadu]]*Tabulka_nakup_Vonka[[#This Row],[Jedn. hmotnost '[kg/MJHR']]])</f>
        <v/>
      </c>
    </row>
    <row r="408" spans="1:11" x14ac:dyDescent="0.35">
      <c r="A408" s="709" t="str">
        <f>IF('Rozpad zakázky'!E424=0,"",IF('Rozpad zakázky'!E424="-","",'Rozpad zakázky'!E424))</f>
        <v/>
      </c>
      <c r="B408" s="708" t="str">
        <f>IF(A408="","",IF(A408="","",VLOOKUP(A:A,Pomocna_Nakup[],3,0))&amp;" | "&amp;IF(A408="","",VLOOKUP(A:A,Pomocna_Nakup[],4,0)))</f>
        <v/>
      </c>
      <c r="C408" s="710" t="str">
        <f>IF(Tabulka_nakup_Vonka[[#This Row],[Zkratka kalkulační položky]]="","",Tabulka_nakup_Vonka[[#This Row],[Zkratka kalkulační položky]]&amp;" | "&amp;IF(A408="","",VLOOKUP(A:A,Pomocna_Nakup[],2,0)))</f>
        <v/>
      </c>
      <c r="D408" s="710" t="str">
        <f>IF(A408="","",'Rozpad zakázky'!F424)</f>
        <v/>
      </c>
      <c r="E408" s="710" t="str">
        <f>IF(A408="","",'Rozpad zakázky'!D424&amp;IF('Rozpad zakázky'!G424="",""," ("&amp;'Rozpad zakázky'!G424&amp;")"))</f>
        <v/>
      </c>
      <c r="F408" s="709" t="str">
        <f>IF(A408="","",'Rozpad zakázky'!IW424)</f>
        <v/>
      </c>
      <c r="G408" s="711" t="str">
        <f>IF(A408="","",'Rozpad zakázky'!AE424)</f>
        <v/>
      </c>
      <c r="H408" s="717" t="str">
        <f>IF(A408="","",'Rozpad zakázky'!AJ424)</f>
        <v/>
      </c>
      <c r="I408" s="748" t="str">
        <f>IF(A408="","",'Rozpad zakázky'!Q424)</f>
        <v/>
      </c>
      <c r="J408" s="717" t="str">
        <f>IF(A408="","",ROUNDDOWN('Rozpad zakázky'!L424,1))</f>
        <v/>
      </c>
      <c r="K408" s="745" t="str">
        <f>IF(A408="","",Tabulka_nakup_Vonka[[#This Row],[Počet MJHR v rozpadu]]*Tabulka_nakup_Vonka[[#This Row],[Jedn. hmotnost '[kg/MJHR']]])</f>
        <v/>
      </c>
    </row>
    <row r="409" spans="1:11" x14ac:dyDescent="0.35">
      <c r="A409" s="709" t="str">
        <f>IF('Rozpad zakázky'!E425=0,"",IF('Rozpad zakázky'!E425="-","",'Rozpad zakázky'!E425))</f>
        <v/>
      </c>
      <c r="B409" s="708" t="str">
        <f>IF(A409="","",IF(A409="","",VLOOKUP(A:A,Pomocna_Nakup[],3,0))&amp;" | "&amp;IF(A409="","",VLOOKUP(A:A,Pomocna_Nakup[],4,0)))</f>
        <v/>
      </c>
      <c r="C409" s="710" t="str">
        <f>IF(Tabulka_nakup_Vonka[[#This Row],[Zkratka kalkulační položky]]="","",Tabulka_nakup_Vonka[[#This Row],[Zkratka kalkulační položky]]&amp;" | "&amp;IF(A409="","",VLOOKUP(A:A,Pomocna_Nakup[],2,0)))</f>
        <v/>
      </c>
      <c r="D409" s="710" t="str">
        <f>IF(A409="","",'Rozpad zakázky'!F425)</f>
        <v/>
      </c>
      <c r="E409" s="710" t="str">
        <f>IF(A409="","",'Rozpad zakázky'!D425&amp;IF('Rozpad zakázky'!G425="",""," ("&amp;'Rozpad zakázky'!G425&amp;")"))</f>
        <v/>
      </c>
      <c r="F409" s="709" t="str">
        <f>IF(A409="","",'Rozpad zakázky'!IW425)</f>
        <v/>
      </c>
      <c r="G409" s="711" t="str">
        <f>IF(A409="","",'Rozpad zakázky'!AE425)</f>
        <v/>
      </c>
      <c r="H409" s="717" t="str">
        <f>IF(A409="","",'Rozpad zakázky'!AJ425)</f>
        <v/>
      </c>
      <c r="I409" s="748" t="str">
        <f>IF(A409="","",'Rozpad zakázky'!Q425)</f>
        <v/>
      </c>
      <c r="J409" s="717" t="str">
        <f>IF(A409="","",ROUNDDOWN('Rozpad zakázky'!L425,1))</f>
        <v/>
      </c>
      <c r="K409" s="745" t="str">
        <f>IF(A409="","",Tabulka_nakup_Vonka[[#This Row],[Počet MJHR v rozpadu]]*Tabulka_nakup_Vonka[[#This Row],[Jedn. hmotnost '[kg/MJHR']]])</f>
        <v/>
      </c>
    </row>
    <row r="410" spans="1:11" x14ac:dyDescent="0.35">
      <c r="A410" s="709" t="str">
        <f>IF('Rozpad zakázky'!E426=0,"",IF('Rozpad zakázky'!E426="-","",'Rozpad zakázky'!E426))</f>
        <v/>
      </c>
      <c r="B410" s="708" t="str">
        <f>IF(A410="","",IF(A410="","",VLOOKUP(A:A,Pomocna_Nakup[],3,0))&amp;" | "&amp;IF(A410="","",VLOOKUP(A:A,Pomocna_Nakup[],4,0)))</f>
        <v/>
      </c>
      <c r="C410" s="710" t="str">
        <f>IF(Tabulka_nakup_Vonka[[#This Row],[Zkratka kalkulační položky]]="","",Tabulka_nakup_Vonka[[#This Row],[Zkratka kalkulační položky]]&amp;" | "&amp;IF(A410="","",VLOOKUP(A:A,Pomocna_Nakup[],2,0)))</f>
        <v/>
      </c>
      <c r="D410" s="710" t="str">
        <f>IF(A410="","",'Rozpad zakázky'!F426)</f>
        <v/>
      </c>
      <c r="E410" s="710" t="str">
        <f>IF(A410="","",'Rozpad zakázky'!D426&amp;IF('Rozpad zakázky'!G426="",""," ("&amp;'Rozpad zakázky'!G426&amp;")"))</f>
        <v/>
      </c>
      <c r="F410" s="709" t="str">
        <f>IF(A410="","",'Rozpad zakázky'!IW426)</f>
        <v/>
      </c>
      <c r="G410" s="711" t="str">
        <f>IF(A410="","",'Rozpad zakázky'!AE426)</f>
        <v/>
      </c>
      <c r="H410" s="717" t="str">
        <f>IF(A410="","",'Rozpad zakázky'!AJ426)</f>
        <v/>
      </c>
      <c r="I410" s="748" t="str">
        <f>IF(A410="","",'Rozpad zakázky'!Q426)</f>
        <v/>
      </c>
      <c r="J410" s="717" t="str">
        <f>IF(A410="","",ROUNDDOWN('Rozpad zakázky'!L426,1))</f>
        <v/>
      </c>
      <c r="K410" s="745" t="str">
        <f>IF(A410="","",Tabulka_nakup_Vonka[[#This Row],[Počet MJHR v rozpadu]]*Tabulka_nakup_Vonka[[#This Row],[Jedn. hmotnost '[kg/MJHR']]])</f>
        <v/>
      </c>
    </row>
    <row r="411" spans="1:11" x14ac:dyDescent="0.35">
      <c r="A411" s="709" t="str">
        <f>IF('Rozpad zakázky'!E427=0,"",IF('Rozpad zakázky'!E427="-","",'Rozpad zakázky'!E427))</f>
        <v/>
      </c>
      <c r="B411" s="708" t="str">
        <f>IF(A411="","",IF(A411="","",VLOOKUP(A:A,Pomocna_Nakup[],3,0))&amp;" | "&amp;IF(A411="","",VLOOKUP(A:A,Pomocna_Nakup[],4,0)))</f>
        <v/>
      </c>
      <c r="C411" s="710" t="str">
        <f>IF(Tabulka_nakup_Vonka[[#This Row],[Zkratka kalkulační položky]]="","",Tabulka_nakup_Vonka[[#This Row],[Zkratka kalkulační položky]]&amp;" | "&amp;IF(A411="","",VLOOKUP(A:A,Pomocna_Nakup[],2,0)))</f>
        <v/>
      </c>
      <c r="D411" s="710" t="str">
        <f>IF(A411="","",'Rozpad zakázky'!F427)</f>
        <v/>
      </c>
      <c r="E411" s="710" t="str">
        <f>IF(A411="","",'Rozpad zakázky'!D427&amp;IF('Rozpad zakázky'!G427="",""," ("&amp;'Rozpad zakázky'!G427&amp;")"))</f>
        <v/>
      </c>
      <c r="F411" s="709" t="str">
        <f>IF(A411="","",'Rozpad zakázky'!IW427)</f>
        <v/>
      </c>
      <c r="G411" s="711" t="str">
        <f>IF(A411="","",'Rozpad zakázky'!AE427)</f>
        <v/>
      </c>
      <c r="H411" s="717" t="str">
        <f>IF(A411="","",'Rozpad zakázky'!AJ427)</f>
        <v/>
      </c>
      <c r="I411" s="748" t="str">
        <f>IF(A411="","",'Rozpad zakázky'!Q427)</f>
        <v/>
      </c>
      <c r="J411" s="717" t="str">
        <f>IF(A411="","",ROUNDDOWN('Rozpad zakázky'!L427,1))</f>
        <v/>
      </c>
      <c r="K411" s="745" t="str">
        <f>IF(A411="","",Tabulka_nakup_Vonka[[#This Row],[Počet MJHR v rozpadu]]*Tabulka_nakup_Vonka[[#This Row],[Jedn. hmotnost '[kg/MJHR']]])</f>
        <v/>
      </c>
    </row>
    <row r="412" spans="1:11" x14ac:dyDescent="0.35">
      <c r="A412" s="709" t="str">
        <f>IF('Rozpad zakázky'!E428=0,"",IF('Rozpad zakázky'!E428="-","",'Rozpad zakázky'!E428))</f>
        <v/>
      </c>
      <c r="B412" s="708" t="str">
        <f>IF(A412="","",IF(A412="","",VLOOKUP(A:A,Pomocna_Nakup[],3,0))&amp;" | "&amp;IF(A412="","",VLOOKUP(A:A,Pomocna_Nakup[],4,0)))</f>
        <v/>
      </c>
      <c r="C412" s="710" t="str">
        <f>IF(Tabulka_nakup_Vonka[[#This Row],[Zkratka kalkulační položky]]="","",Tabulka_nakup_Vonka[[#This Row],[Zkratka kalkulační položky]]&amp;" | "&amp;IF(A412="","",VLOOKUP(A:A,Pomocna_Nakup[],2,0)))</f>
        <v/>
      </c>
      <c r="D412" s="710" t="str">
        <f>IF(A412="","",'Rozpad zakázky'!F428)</f>
        <v/>
      </c>
      <c r="E412" s="710" t="str">
        <f>IF(A412="","",'Rozpad zakázky'!D428&amp;IF('Rozpad zakázky'!G428="",""," ("&amp;'Rozpad zakázky'!G428&amp;")"))</f>
        <v/>
      </c>
      <c r="F412" s="709" t="str">
        <f>IF(A412="","",'Rozpad zakázky'!IW428)</f>
        <v/>
      </c>
      <c r="G412" s="711" t="str">
        <f>IF(A412="","",'Rozpad zakázky'!AE428)</f>
        <v/>
      </c>
      <c r="H412" s="717" t="str">
        <f>IF(A412="","",'Rozpad zakázky'!AJ428)</f>
        <v/>
      </c>
      <c r="I412" s="748" t="str">
        <f>IF(A412="","",'Rozpad zakázky'!Q428)</f>
        <v/>
      </c>
      <c r="J412" s="717" t="str">
        <f>IF(A412="","",ROUNDDOWN('Rozpad zakázky'!L428,1))</f>
        <v/>
      </c>
      <c r="K412" s="745" t="str">
        <f>IF(A412="","",Tabulka_nakup_Vonka[[#This Row],[Počet MJHR v rozpadu]]*Tabulka_nakup_Vonka[[#This Row],[Jedn. hmotnost '[kg/MJHR']]])</f>
        <v/>
      </c>
    </row>
    <row r="413" spans="1:11" x14ac:dyDescent="0.35">
      <c r="A413" s="709" t="str">
        <f>IF('Rozpad zakázky'!E429=0,"",IF('Rozpad zakázky'!E429="-","",'Rozpad zakázky'!E429))</f>
        <v/>
      </c>
      <c r="B413" s="708" t="str">
        <f>IF(A413="","",IF(A413="","",VLOOKUP(A:A,Pomocna_Nakup[],3,0))&amp;" | "&amp;IF(A413="","",VLOOKUP(A:A,Pomocna_Nakup[],4,0)))</f>
        <v/>
      </c>
      <c r="C413" s="710" t="str">
        <f>IF(Tabulka_nakup_Vonka[[#This Row],[Zkratka kalkulační položky]]="","",Tabulka_nakup_Vonka[[#This Row],[Zkratka kalkulační položky]]&amp;" | "&amp;IF(A413="","",VLOOKUP(A:A,Pomocna_Nakup[],2,0)))</f>
        <v/>
      </c>
      <c r="D413" s="710" t="str">
        <f>IF(A413="","",'Rozpad zakázky'!F429)</f>
        <v/>
      </c>
      <c r="E413" s="710" t="str">
        <f>IF(A413="","",'Rozpad zakázky'!D429&amp;IF('Rozpad zakázky'!G429="",""," ("&amp;'Rozpad zakázky'!G429&amp;")"))</f>
        <v/>
      </c>
      <c r="F413" s="709" t="str">
        <f>IF(A413="","",'Rozpad zakázky'!IW429)</f>
        <v/>
      </c>
      <c r="G413" s="711" t="str">
        <f>IF(A413="","",'Rozpad zakázky'!AE429)</f>
        <v/>
      </c>
      <c r="H413" s="717" t="str">
        <f>IF(A413="","",'Rozpad zakázky'!AJ429)</f>
        <v/>
      </c>
      <c r="I413" s="748" t="str">
        <f>IF(A413="","",'Rozpad zakázky'!Q429)</f>
        <v/>
      </c>
      <c r="J413" s="717" t="str">
        <f>IF(A413="","",ROUNDDOWN('Rozpad zakázky'!L429,1))</f>
        <v/>
      </c>
      <c r="K413" s="745" t="str">
        <f>IF(A413="","",Tabulka_nakup_Vonka[[#This Row],[Počet MJHR v rozpadu]]*Tabulka_nakup_Vonka[[#This Row],[Jedn. hmotnost '[kg/MJHR']]])</f>
        <v/>
      </c>
    </row>
    <row r="414" spans="1:11" x14ac:dyDescent="0.35">
      <c r="A414" s="709" t="str">
        <f>IF('Rozpad zakázky'!E430=0,"",IF('Rozpad zakázky'!E430="-","",'Rozpad zakázky'!E430))</f>
        <v/>
      </c>
      <c r="B414" s="708" t="str">
        <f>IF(A414="","",IF(A414="","",VLOOKUP(A:A,Pomocna_Nakup[],3,0))&amp;" | "&amp;IF(A414="","",VLOOKUP(A:A,Pomocna_Nakup[],4,0)))</f>
        <v/>
      </c>
      <c r="C414" s="710" t="str">
        <f>IF(Tabulka_nakup_Vonka[[#This Row],[Zkratka kalkulační položky]]="","",Tabulka_nakup_Vonka[[#This Row],[Zkratka kalkulační položky]]&amp;" | "&amp;IF(A414="","",VLOOKUP(A:A,Pomocna_Nakup[],2,0)))</f>
        <v/>
      </c>
      <c r="D414" s="710" t="str">
        <f>IF(A414="","",'Rozpad zakázky'!F430)</f>
        <v/>
      </c>
      <c r="E414" s="710" t="str">
        <f>IF(A414="","",'Rozpad zakázky'!D430&amp;IF('Rozpad zakázky'!G430="",""," ("&amp;'Rozpad zakázky'!G430&amp;")"))</f>
        <v/>
      </c>
      <c r="F414" s="709" t="str">
        <f>IF(A414="","",'Rozpad zakázky'!IW430)</f>
        <v/>
      </c>
      <c r="G414" s="711" t="str">
        <f>IF(A414="","",'Rozpad zakázky'!AE430)</f>
        <v/>
      </c>
      <c r="H414" s="717" t="str">
        <f>IF(A414="","",'Rozpad zakázky'!AJ430)</f>
        <v/>
      </c>
      <c r="I414" s="748" t="str">
        <f>IF(A414="","",'Rozpad zakázky'!Q430)</f>
        <v/>
      </c>
      <c r="J414" s="717" t="str">
        <f>IF(A414="","",ROUNDDOWN('Rozpad zakázky'!L430,1))</f>
        <v/>
      </c>
      <c r="K414" s="745" t="str">
        <f>IF(A414="","",Tabulka_nakup_Vonka[[#This Row],[Počet MJHR v rozpadu]]*Tabulka_nakup_Vonka[[#This Row],[Jedn. hmotnost '[kg/MJHR']]])</f>
        <v/>
      </c>
    </row>
    <row r="415" spans="1:11" x14ac:dyDescent="0.35">
      <c r="A415" s="709" t="str">
        <f>IF('Rozpad zakázky'!E431=0,"",IF('Rozpad zakázky'!E431="-","",'Rozpad zakázky'!E431))</f>
        <v/>
      </c>
      <c r="B415" s="708" t="str">
        <f>IF(A415="","",IF(A415="","",VLOOKUP(A:A,Pomocna_Nakup[],3,0))&amp;" | "&amp;IF(A415="","",VLOOKUP(A:A,Pomocna_Nakup[],4,0)))</f>
        <v/>
      </c>
      <c r="C415" s="710" t="str">
        <f>IF(Tabulka_nakup_Vonka[[#This Row],[Zkratka kalkulační položky]]="","",Tabulka_nakup_Vonka[[#This Row],[Zkratka kalkulační položky]]&amp;" | "&amp;IF(A415="","",VLOOKUP(A:A,Pomocna_Nakup[],2,0)))</f>
        <v/>
      </c>
      <c r="D415" s="710" t="str">
        <f>IF(A415="","",'Rozpad zakázky'!F431)</f>
        <v/>
      </c>
      <c r="E415" s="710" t="str">
        <f>IF(A415="","",'Rozpad zakázky'!D431&amp;IF('Rozpad zakázky'!G431="",""," ("&amp;'Rozpad zakázky'!G431&amp;")"))</f>
        <v/>
      </c>
      <c r="F415" s="709" t="str">
        <f>IF(A415="","",'Rozpad zakázky'!IW431)</f>
        <v/>
      </c>
      <c r="G415" s="711" t="str">
        <f>IF(A415="","",'Rozpad zakázky'!AE431)</f>
        <v/>
      </c>
      <c r="H415" s="717" t="str">
        <f>IF(A415="","",'Rozpad zakázky'!AJ431)</f>
        <v/>
      </c>
      <c r="I415" s="748" t="str">
        <f>IF(A415="","",'Rozpad zakázky'!Q431)</f>
        <v/>
      </c>
      <c r="J415" s="717" t="str">
        <f>IF(A415="","",ROUNDDOWN('Rozpad zakázky'!L431,1))</f>
        <v/>
      </c>
      <c r="K415" s="745" t="str">
        <f>IF(A415="","",Tabulka_nakup_Vonka[[#This Row],[Počet MJHR v rozpadu]]*Tabulka_nakup_Vonka[[#This Row],[Jedn. hmotnost '[kg/MJHR']]])</f>
        <v/>
      </c>
    </row>
    <row r="416" spans="1:11" x14ac:dyDescent="0.35">
      <c r="A416" s="709" t="str">
        <f>IF('Rozpad zakázky'!E432=0,"",IF('Rozpad zakázky'!E432="-","",'Rozpad zakázky'!E432))</f>
        <v/>
      </c>
      <c r="B416" s="708" t="str">
        <f>IF(A416="","",IF(A416="","",VLOOKUP(A:A,Pomocna_Nakup[],3,0))&amp;" | "&amp;IF(A416="","",VLOOKUP(A:A,Pomocna_Nakup[],4,0)))</f>
        <v/>
      </c>
      <c r="C416" s="710" t="str">
        <f>IF(Tabulka_nakup_Vonka[[#This Row],[Zkratka kalkulační položky]]="","",Tabulka_nakup_Vonka[[#This Row],[Zkratka kalkulační položky]]&amp;" | "&amp;IF(A416="","",VLOOKUP(A:A,Pomocna_Nakup[],2,0)))</f>
        <v/>
      </c>
      <c r="D416" s="710" t="str">
        <f>IF(A416="","",'Rozpad zakázky'!F432)</f>
        <v/>
      </c>
      <c r="E416" s="710" t="str">
        <f>IF(A416="","",'Rozpad zakázky'!D432&amp;IF('Rozpad zakázky'!G432="",""," ("&amp;'Rozpad zakázky'!G432&amp;")"))</f>
        <v/>
      </c>
      <c r="F416" s="709" t="str">
        <f>IF(A416="","",'Rozpad zakázky'!IW432)</f>
        <v/>
      </c>
      <c r="G416" s="711" t="str">
        <f>IF(A416="","",'Rozpad zakázky'!AE432)</f>
        <v/>
      </c>
      <c r="H416" s="717" t="str">
        <f>IF(A416="","",'Rozpad zakázky'!AJ432)</f>
        <v/>
      </c>
      <c r="I416" s="748" t="str">
        <f>IF(A416="","",'Rozpad zakázky'!Q432)</f>
        <v/>
      </c>
      <c r="J416" s="717" t="str">
        <f>IF(A416="","",ROUNDDOWN('Rozpad zakázky'!L432,1))</f>
        <v/>
      </c>
      <c r="K416" s="745" t="str">
        <f>IF(A416="","",Tabulka_nakup_Vonka[[#This Row],[Počet MJHR v rozpadu]]*Tabulka_nakup_Vonka[[#This Row],[Jedn. hmotnost '[kg/MJHR']]])</f>
        <v/>
      </c>
    </row>
    <row r="417" spans="1:11" x14ac:dyDescent="0.35">
      <c r="A417" s="709" t="str">
        <f>IF('Rozpad zakázky'!E433=0,"",IF('Rozpad zakázky'!E433="-","",'Rozpad zakázky'!E433))</f>
        <v/>
      </c>
      <c r="B417" s="708" t="str">
        <f>IF(A417="","",IF(A417="","",VLOOKUP(A:A,Pomocna_Nakup[],3,0))&amp;" | "&amp;IF(A417="","",VLOOKUP(A:A,Pomocna_Nakup[],4,0)))</f>
        <v/>
      </c>
      <c r="C417" s="710" t="str">
        <f>IF(Tabulka_nakup_Vonka[[#This Row],[Zkratka kalkulační položky]]="","",Tabulka_nakup_Vonka[[#This Row],[Zkratka kalkulační položky]]&amp;" | "&amp;IF(A417="","",VLOOKUP(A:A,Pomocna_Nakup[],2,0)))</f>
        <v/>
      </c>
      <c r="D417" s="710" t="str">
        <f>IF(A417="","",'Rozpad zakázky'!F433)</f>
        <v/>
      </c>
      <c r="E417" s="710" t="str">
        <f>IF(A417="","",'Rozpad zakázky'!D433&amp;IF('Rozpad zakázky'!G433="",""," ("&amp;'Rozpad zakázky'!G433&amp;")"))</f>
        <v/>
      </c>
      <c r="F417" s="709" t="str">
        <f>IF(A417="","",'Rozpad zakázky'!IW433)</f>
        <v/>
      </c>
      <c r="G417" s="711" t="str">
        <f>IF(A417="","",'Rozpad zakázky'!AE433)</f>
        <v/>
      </c>
      <c r="H417" s="717" t="str">
        <f>IF(A417="","",'Rozpad zakázky'!AJ433)</f>
        <v/>
      </c>
      <c r="I417" s="748" t="str">
        <f>IF(A417="","",'Rozpad zakázky'!Q433)</f>
        <v/>
      </c>
      <c r="J417" s="717" t="str">
        <f>IF(A417="","",ROUNDDOWN('Rozpad zakázky'!L433,1))</f>
        <v/>
      </c>
      <c r="K417" s="745" t="str">
        <f>IF(A417="","",Tabulka_nakup_Vonka[[#This Row],[Počet MJHR v rozpadu]]*Tabulka_nakup_Vonka[[#This Row],[Jedn. hmotnost '[kg/MJHR']]])</f>
        <v/>
      </c>
    </row>
    <row r="418" spans="1:11" x14ac:dyDescent="0.35">
      <c r="A418" s="709" t="str">
        <f>IF('Rozpad zakázky'!E434=0,"",IF('Rozpad zakázky'!E434="-","",'Rozpad zakázky'!E434))</f>
        <v/>
      </c>
      <c r="B418" s="708" t="str">
        <f>IF(A418="","",IF(A418="","",VLOOKUP(A:A,Pomocna_Nakup[],3,0))&amp;" | "&amp;IF(A418="","",VLOOKUP(A:A,Pomocna_Nakup[],4,0)))</f>
        <v/>
      </c>
      <c r="C418" s="710" t="str">
        <f>IF(Tabulka_nakup_Vonka[[#This Row],[Zkratka kalkulační položky]]="","",Tabulka_nakup_Vonka[[#This Row],[Zkratka kalkulační položky]]&amp;" | "&amp;IF(A418="","",VLOOKUP(A:A,Pomocna_Nakup[],2,0)))</f>
        <v/>
      </c>
      <c r="D418" s="710" t="str">
        <f>IF(A418="","",'Rozpad zakázky'!F434)</f>
        <v/>
      </c>
      <c r="E418" s="710" t="str">
        <f>IF(A418="","",'Rozpad zakázky'!D434&amp;IF('Rozpad zakázky'!G434="",""," ("&amp;'Rozpad zakázky'!G434&amp;")"))</f>
        <v/>
      </c>
      <c r="F418" s="709" t="str">
        <f>IF(A418="","",'Rozpad zakázky'!IW434)</f>
        <v/>
      </c>
      <c r="G418" s="711" t="str">
        <f>IF(A418="","",'Rozpad zakázky'!AE434)</f>
        <v/>
      </c>
      <c r="H418" s="717" t="str">
        <f>IF(A418="","",'Rozpad zakázky'!AJ434)</f>
        <v/>
      </c>
      <c r="I418" s="748" t="str">
        <f>IF(A418="","",'Rozpad zakázky'!Q434)</f>
        <v/>
      </c>
      <c r="J418" s="717" t="str">
        <f>IF(A418="","",ROUNDDOWN('Rozpad zakázky'!L434,1))</f>
        <v/>
      </c>
      <c r="K418" s="745" t="str">
        <f>IF(A418="","",Tabulka_nakup_Vonka[[#This Row],[Počet MJHR v rozpadu]]*Tabulka_nakup_Vonka[[#This Row],[Jedn. hmotnost '[kg/MJHR']]])</f>
        <v/>
      </c>
    </row>
    <row r="419" spans="1:11" x14ac:dyDescent="0.35">
      <c r="A419" s="709" t="str">
        <f>IF('Rozpad zakázky'!E435=0,"",IF('Rozpad zakázky'!E435="-","",'Rozpad zakázky'!E435))</f>
        <v/>
      </c>
      <c r="B419" s="708" t="str">
        <f>IF(A419="","",IF(A419="","",VLOOKUP(A:A,Pomocna_Nakup[],3,0))&amp;" | "&amp;IF(A419="","",VLOOKUP(A:A,Pomocna_Nakup[],4,0)))</f>
        <v/>
      </c>
      <c r="C419" s="710" t="str">
        <f>IF(Tabulka_nakup_Vonka[[#This Row],[Zkratka kalkulační položky]]="","",Tabulka_nakup_Vonka[[#This Row],[Zkratka kalkulační položky]]&amp;" | "&amp;IF(A419="","",VLOOKUP(A:A,Pomocna_Nakup[],2,0)))</f>
        <v/>
      </c>
      <c r="D419" s="710" t="str">
        <f>IF(A419="","",'Rozpad zakázky'!F435)</f>
        <v/>
      </c>
      <c r="E419" s="710" t="str">
        <f>IF(A419="","",'Rozpad zakázky'!D435&amp;IF('Rozpad zakázky'!G435="",""," ("&amp;'Rozpad zakázky'!G435&amp;")"))</f>
        <v/>
      </c>
      <c r="F419" s="709" t="str">
        <f>IF(A419="","",'Rozpad zakázky'!IW435)</f>
        <v/>
      </c>
      <c r="G419" s="711" t="str">
        <f>IF(A419="","",'Rozpad zakázky'!AE435)</f>
        <v/>
      </c>
      <c r="H419" s="717" t="str">
        <f>IF(A419="","",'Rozpad zakázky'!AJ435)</f>
        <v/>
      </c>
      <c r="I419" s="748" t="str">
        <f>IF(A419="","",'Rozpad zakázky'!Q435)</f>
        <v/>
      </c>
      <c r="J419" s="717" t="str">
        <f>IF(A419="","",ROUNDDOWN('Rozpad zakázky'!L435,1))</f>
        <v/>
      </c>
      <c r="K419" s="745" t="str">
        <f>IF(A419="","",Tabulka_nakup_Vonka[[#This Row],[Počet MJHR v rozpadu]]*Tabulka_nakup_Vonka[[#This Row],[Jedn. hmotnost '[kg/MJHR']]])</f>
        <v/>
      </c>
    </row>
    <row r="420" spans="1:11" x14ac:dyDescent="0.35">
      <c r="A420" s="709" t="str">
        <f>IF('Rozpad zakázky'!E436=0,"",IF('Rozpad zakázky'!E436="-","",'Rozpad zakázky'!E436))</f>
        <v/>
      </c>
      <c r="B420" s="708" t="str">
        <f>IF(A420="","",IF(A420="","",VLOOKUP(A:A,Pomocna_Nakup[],3,0))&amp;" | "&amp;IF(A420="","",VLOOKUP(A:A,Pomocna_Nakup[],4,0)))</f>
        <v/>
      </c>
      <c r="C420" s="710" t="str">
        <f>IF(Tabulka_nakup_Vonka[[#This Row],[Zkratka kalkulační položky]]="","",Tabulka_nakup_Vonka[[#This Row],[Zkratka kalkulační položky]]&amp;" | "&amp;IF(A420="","",VLOOKUP(A:A,Pomocna_Nakup[],2,0)))</f>
        <v/>
      </c>
      <c r="D420" s="710" t="str">
        <f>IF(A420="","",'Rozpad zakázky'!F436)</f>
        <v/>
      </c>
      <c r="E420" s="710" t="str">
        <f>IF(A420="","",'Rozpad zakázky'!D436&amp;IF('Rozpad zakázky'!G436="",""," ("&amp;'Rozpad zakázky'!G436&amp;")"))</f>
        <v/>
      </c>
      <c r="F420" s="709" t="str">
        <f>IF(A420="","",'Rozpad zakázky'!IW436)</f>
        <v/>
      </c>
      <c r="G420" s="711" t="str">
        <f>IF(A420="","",'Rozpad zakázky'!AE436)</f>
        <v/>
      </c>
      <c r="H420" s="717" t="str">
        <f>IF(A420="","",'Rozpad zakázky'!AJ436)</f>
        <v/>
      </c>
      <c r="I420" s="748" t="str">
        <f>IF(A420="","",'Rozpad zakázky'!Q436)</f>
        <v/>
      </c>
      <c r="J420" s="717" t="str">
        <f>IF(A420="","",ROUNDDOWN('Rozpad zakázky'!L436,1))</f>
        <v/>
      </c>
      <c r="K420" s="745" t="str">
        <f>IF(A420="","",Tabulka_nakup_Vonka[[#This Row],[Počet MJHR v rozpadu]]*Tabulka_nakup_Vonka[[#This Row],[Jedn. hmotnost '[kg/MJHR']]])</f>
        <v/>
      </c>
    </row>
    <row r="421" spans="1:11" x14ac:dyDescent="0.35">
      <c r="A421" s="709" t="str">
        <f>IF('Rozpad zakázky'!E437=0,"",IF('Rozpad zakázky'!E437="-","",'Rozpad zakázky'!E437))</f>
        <v/>
      </c>
      <c r="B421" s="708" t="str">
        <f>IF(A421="","",IF(A421="","",VLOOKUP(A:A,Pomocna_Nakup[],3,0))&amp;" | "&amp;IF(A421="","",VLOOKUP(A:A,Pomocna_Nakup[],4,0)))</f>
        <v/>
      </c>
      <c r="C421" s="710" t="str">
        <f>IF(Tabulka_nakup_Vonka[[#This Row],[Zkratka kalkulační položky]]="","",Tabulka_nakup_Vonka[[#This Row],[Zkratka kalkulační položky]]&amp;" | "&amp;IF(A421="","",VLOOKUP(A:A,Pomocna_Nakup[],2,0)))</f>
        <v/>
      </c>
      <c r="D421" s="710" t="str">
        <f>IF(A421="","",'Rozpad zakázky'!F437)</f>
        <v/>
      </c>
      <c r="E421" s="710" t="str">
        <f>IF(A421="","",'Rozpad zakázky'!D437&amp;IF('Rozpad zakázky'!G437="",""," ("&amp;'Rozpad zakázky'!G437&amp;")"))</f>
        <v/>
      </c>
      <c r="F421" s="709" t="str">
        <f>IF(A421="","",'Rozpad zakázky'!IW437)</f>
        <v/>
      </c>
      <c r="G421" s="711" t="str">
        <f>IF(A421="","",'Rozpad zakázky'!AE437)</f>
        <v/>
      </c>
      <c r="H421" s="717" t="str">
        <f>IF(A421="","",'Rozpad zakázky'!AJ437)</f>
        <v/>
      </c>
      <c r="I421" s="748" t="str">
        <f>IF(A421="","",'Rozpad zakázky'!Q437)</f>
        <v/>
      </c>
      <c r="J421" s="717" t="str">
        <f>IF(A421="","",ROUNDDOWN('Rozpad zakázky'!L437,1))</f>
        <v/>
      </c>
      <c r="K421" s="745" t="str">
        <f>IF(A421="","",Tabulka_nakup_Vonka[[#This Row],[Počet MJHR v rozpadu]]*Tabulka_nakup_Vonka[[#This Row],[Jedn. hmotnost '[kg/MJHR']]])</f>
        <v/>
      </c>
    </row>
    <row r="422" spans="1:11" x14ac:dyDescent="0.35">
      <c r="A422" s="709" t="str">
        <f>IF('Rozpad zakázky'!E438=0,"",IF('Rozpad zakázky'!E438="-","",'Rozpad zakázky'!E438))</f>
        <v/>
      </c>
      <c r="B422" s="708" t="str">
        <f>IF(A422="","",IF(A422="","",VLOOKUP(A:A,Pomocna_Nakup[],3,0))&amp;" | "&amp;IF(A422="","",VLOOKUP(A:A,Pomocna_Nakup[],4,0)))</f>
        <v/>
      </c>
      <c r="C422" s="710" t="str">
        <f>IF(Tabulka_nakup_Vonka[[#This Row],[Zkratka kalkulační položky]]="","",Tabulka_nakup_Vonka[[#This Row],[Zkratka kalkulační položky]]&amp;" | "&amp;IF(A422="","",VLOOKUP(A:A,Pomocna_Nakup[],2,0)))</f>
        <v/>
      </c>
      <c r="D422" s="710" t="str">
        <f>IF(A422="","",'Rozpad zakázky'!F438)</f>
        <v/>
      </c>
      <c r="E422" s="710" t="str">
        <f>IF(A422="","",'Rozpad zakázky'!D438&amp;IF('Rozpad zakázky'!G438="",""," ("&amp;'Rozpad zakázky'!G438&amp;")"))</f>
        <v/>
      </c>
      <c r="F422" s="709" t="str">
        <f>IF(A422="","",'Rozpad zakázky'!IW438)</f>
        <v/>
      </c>
      <c r="G422" s="711" t="str">
        <f>IF(A422="","",'Rozpad zakázky'!AE438)</f>
        <v/>
      </c>
      <c r="H422" s="717" t="str">
        <f>IF(A422="","",'Rozpad zakázky'!AJ438)</f>
        <v/>
      </c>
      <c r="I422" s="748" t="str">
        <f>IF(A422="","",'Rozpad zakázky'!Q438)</f>
        <v/>
      </c>
      <c r="J422" s="717" t="str">
        <f>IF(A422="","",ROUNDDOWN('Rozpad zakázky'!L438,1))</f>
        <v/>
      </c>
      <c r="K422" s="745" t="str">
        <f>IF(A422="","",Tabulka_nakup_Vonka[[#This Row],[Počet MJHR v rozpadu]]*Tabulka_nakup_Vonka[[#This Row],[Jedn. hmotnost '[kg/MJHR']]])</f>
        <v/>
      </c>
    </row>
    <row r="423" spans="1:11" x14ac:dyDescent="0.35">
      <c r="A423" s="709" t="str">
        <f>IF('Rozpad zakázky'!E439=0,"",IF('Rozpad zakázky'!E439="-","",'Rozpad zakázky'!E439))</f>
        <v/>
      </c>
      <c r="B423" s="708" t="str">
        <f>IF(A423="","",IF(A423="","",VLOOKUP(A:A,Pomocna_Nakup[],3,0))&amp;" | "&amp;IF(A423="","",VLOOKUP(A:A,Pomocna_Nakup[],4,0)))</f>
        <v/>
      </c>
      <c r="C423" s="710" t="str">
        <f>IF(Tabulka_nakup_Vonka[[#This Row],[Zkratka kalkulační položky]]="","",Tabulka_nakup_Vonka[[#This Row],[Zkratka kalkulační položky]]&amp;" | "&amp;IF(A423="","",VLOOKUP(A:A,Pomocna_Nakup[],2,0)))</f>
        <v/>
      </c>
      <c r="D423" s="710" t="str">
        <f>IF(A423="","",'Rozpad zakázky'!F439)</f>
        <v/>
      </c>
      <c r="E423" s="710" t="str">
        <f>IF(A423="","",'Rozpad zakázky'!D439&amp;IF('Rozpad zakázky'!G439="",""," ("&amp;'Rozpad zakázky'!G439&amp;")"))</f>
        <v/>
      </c>
      <c r="F423" s="709" t="str">
        <f>IF(A423="","",'Rozpad zakázky'!IW439)</f>
        <v/>
      </c>
      <c r="G423" s="711" t="str">
        <f>IF(A423="","",'Rozpad zakázky'!AE439)</f>
        <v/>
      </c>
      <c r="H423" s="717" t="str">
        <f>IF(A423="","",'Rozpad zakázky'!AJ439)</f>
        <v/>
      </c>
      <c r="I423" s="748" t="str">
        <f>IF(A423="","",'Rozpad zakázky'!Q439)</f>
        <v/>
      </c>
      <c r="J423" s="717" t="str">
        <f>IF(A423="","",ROUNDDOWN('Rozpad zakázky'!L439,1))</f>
        <v/>
      </c>
      <c r="K423" s="745" t="str">
        <f>IF(A423="","",Tabulka_nakup_Vonka[[#This Row],[Počet MJHR v rozpadu]]*Tabulka_nakup_Vonka[[#This Row],[Jedn. hmotnost '[kg/MJHR']]])</f>
        <v/>
      </c>
    </row>
    <row r="424" spans="1:11" x14ac:dyDescent="0.35">
      <c r="A424" s="709" t="str">
        <f>IF('Rozpad zakázky'!E440=0,"",IF('Rozpad zakázky'!E440="-","",'Rozpad zakázky'!E440))</f>
        <v/>
      </c>
      <c r="B424" s="708" t="str">
        <f>IF(A424="","",IF(A424="","",VLOOKUP(A:A,Pomocna_Nakup[],3,0))&amp;" | "&amp;IF(A424="","",VLOOKUP(A:A,Pomocna_Nakup[],4,0)))</f>
        <v/>
      </c>
      <c r="C424" s="710" t="str">
        <f>IF(Tabulka_nakup_Vonka[[#This Row],[Zkratka kalkulační položky]]="","",Tabulka_nakup_Vonka[[#This Row],[Zkratka kalkulační položky]]&amp;" | "&amp;IF(A424="","",VLOOKUP(A:A,Pomocna_Nakup[],2,0)))</f>
        <v/>
      </c>
      <c r="D424" s="710" t="str">
        <f>IF(A424="","",'Rozpad zakázky'!F440)</f>
        <v/>
      </c>
      <c r="E424" s="710" t="str">
        <f>IF(A424="","",'Rozpad zakázky'!D440&amp;IF('Rozpad zakázky'!G440="",""," ("&amp;'Rozpad zakázky'!G440&amp;")"))</f>
        <v/>
      </c>
      <c r="F424" s="709" t="str">
        <f>IF(A424="","",'Rozpad zakázky'!IW440)</f>
        <v/>
      </c>
      <c r="G424" s="711" t="str">
        <f>IF(A424="","",'Rozpad zakázky'!AE440)</f>
        <v/>
      </c>
      <c r="H424" s="717" t="str">
        <f>IF(A424="","",'Rozpad zakázky'!AJ440)</f>
        <v/>
      </c>
      <c r="I424" s="748" t="str">
        <f>IF(A424="","",'Rozpad zakázky'!Q440)</f>
        <v/>
      </c>
      <c r="J424" s="717" t="str">
        <f>IF(A424="","",ROUNDDOWN('Rozpad zakázky'!L440,1))</f>
        <v/>
      </c>
      <c r="K424" s="745" t="str">
        <f>IF(A424="","",Tabulka_nakup_Vonka[[#This Row],[Počet MJHR v rozpadu]]*Tabulka_nakup_Vonka[[#This Row],[Jedn. hmotnost '[kg/MJHR']]])</f>
        <v/>
      </c>
    </row>
    <row r="425" spans="1:11" x14ac:dyDescent="0.35">
      <c r="A425" s="709" t="str">
        <f>IF('Rozpad zakázky'!E441=0,"",IF('Rozpad zakázky'!E441="-","",'Rozpad zakázky'!E441))</f>
        <v/>
      </c>
      <c r="B425" s="708" t="str">
        <f>IF(A425="","",IF(A425="","",VLOOKUP(A:A,Pomocna_Nakup[],3,0))&amp;" | "&amp;IF(A425="","",VLOOKUP(A:A,Pomocna_Nakup[],4,0)))</f>
        <v/>
      </c>
      <c r="C425" s="710" t="str">
        <f>IF(Tabulka_nakup_Vonka[[#This Row],[Zkratka kalkulační položky]]="","",Tabulka_nakup_Vonka[[#This Row],[Zkratka kalkulační položky]]&amp;" | "&amp;IF(A425="","",VLOOKUP(A:A,Pomocna_Nakup[],2,0)))</f>
        <v/>
      </c>
      <c r="D425" s="710" t="str">
        <f>IF(A425="","",'Rozpad zakázky'!F441)</f>
        <v/>
      </c>
      <c r="E425" s="710" t="str">
        <f>IF(A425="","",'Rozpad zakázky'!D441&amp;IF('Rozpad zakázky'!G441="",""," ("&amp;'Rozpad zakázky'!G441&amp;")"))</f>
        <v/>
      </c>
      <c r="F425" s="709" t="str">
        <f>IF(A425="","",'Rozpad zakázky'!IW441)</f>
        <v/>
      </c>
      <c r="G425" s="711" t="str">
        <f>IF(A425="","",'Rozpad zakázky'!AE441)</f>
        <v/>
      </c>
      <c r="H425" s="717" t="str">
        <f>IF(A425="","",'Rozpad zakázky'!AJ441)</f>
        <v/>
      </c>
      <c r="I425" s="748" t="str">
        <f>IF(A425="","",'Rozpad zakázky'!Q441)</f>
        <v/>
      </c>
      <c r="J425" s="717" t="str">
        <f>IF(A425="","",ROUNDDOWN('Rozpad zakázky'!L441,1))</f>
        <v/>
      </c>
      <c r="K425" s="745" t="str">
        <f>IF(A425="","",Tabulka_nakup_Vonka[[#This Row],[Počet MJHR v rozpadu]]*Tabulka_nakup_Vonka[[#This Row],[Jedn. hmotnost '[kg/MJHR']]])</f>
        <v/>
      </c>
    </row>
    <row r="426" spans="1:11" x14ac:dyDescent="0.35">
      <c r="A426" s="709" t="str">
        <f>IF('Rozpad zakázky'!E442=0,"",IF('Rozpad zakázky'!E442="-","",'Rozpad zakázky'!E442))</f>
        <v/>
      </c>
      <c r="B426" s="708" t="str">
        <f>IF(A426="","",IF(A426="","",VLOOKUP(A:A,Pomocna_Nakup[],3,0))&amp;" | "&amp;IF(A426="","",VLOOKUP(A:A,Pomocna_Nakup[],4,0)))</f>
        <v/>
      </c>
      <c r="C426" s="710" t="str">
        <f>IF(Tabulka_nakup_Vonka[[#This Row],[Zkratka kalkulační položky]]="","",Tabulka_nakup_Vonka[[#This Row],[Zkratka kalkulační položky]]&amp;" | "&amp;IF(A426="","",VLOOKUP(A:A,Pomocna_Nakup[],2,0)))</f>
        <v/>
      </c>
      <c r="D426" s="710" t="str">
        <f>IF(A426="","",'Rozpad zakázky'!F442)</f>
        <v/>
      </c>
      <c r="E426" s="710" t="str">
        <f>IF(A426="","",'Rozpad zakázky'!D442&amp;IF('Rozpad zakázky'!G442="",""," ("&amp;'Rozpad zakázky'!G442&amp;")"))</f>
        <v/>
      </c>
      <c r="F426" s="709" t="str">
        <f>IF(A426="","",'Rozpad zakázky'!IW442)</f>
        <v/>
      </c>
      <c r="G426" s="711" t="str">
        <f>IF(A426="","",'Rozpad zakázky'!AE442)</f>
        <v/>
      </c>
      <c r="H426" s="717" t="str">
        <f>IF(A426="","",'Rozpad zakázky'!AJ442)</f>
        <v/>
      </c>
      <c r="I426" s="748" t="str">
        <f>IF(A426="","",'Rozpad zakázky'!Q442)</f>
        <v/>
      </c>
      <c r="J426" s="717" t="str">
        <f>IF(A426="","",ROUNDDOWN('Rozpad zakázky'!L442,1))</f>
        <v/>
      </c>
      <c r="K426" s="745" t="str">
        <f>IF(A426="","",Tabulka_nakup_Vonka[[#This Row],[Počet MJHR v rozpadu]]*Tabulka_nakup_Vonka[[#This Row],[Jedn. hmotnost '[kg/MJHR']]])</f>
        <v/>
      </c>
    </row>
    <row r="427" spans="1:11" x14ac:dyDescent="0.35">
      <c r="A427" s="709" t="str">
        <f>IF('Rozpad zakázky'!E443=0,"",IF('Rozpad zakázky'!E443="-","",'Rozpad zakázky'!E443))</f>
        <v/>
      </c>
      <c r="B427" s="708" t="str">
        <f>IF(A427="","",IF(A427="","",VLOOKUP(A:A,Pomocna_Nakup[],3,0))&amp;" | "&amp;IF(A427="","",VLOOKUP(A:A,Pomocna_Nakup[],4,0)))</f>
        <v/>
      </c>
      <c r="C427" s="710" t="str">
        <f>IF(Tabulka_nakup_Vonka[[#This Row],[Zkratka kalkulační položky]]="","",Tabulka_nakup_Vonka[[#This Row],[Zkratka kalkulační položky]]&amp;" | "&amp;IF(A427="","",VLOOKUP(A:A,Pomocna_Nakup[],2,0)))</f>
        <v/>
      </c>
      <c r="D427" s="710" t="str">
        <f>IF(A427="","",'Rozpad zakázky'!F443)</f>
        <v/>
      </c>
      <c r="E427" s="710" t="str">
        <f>IF(A427="","",'Rozpad zakázky'!D443&amp;IF('Rozpad zakázky'!G443="",""," ("&amp;'Rozpad zakázky'!G443&amp;")"))</f>
        <v/>
      </c>
      <c r="F427" s="709" t="str">
        <f>IF(A427="","",'Rozpad zakázky'!IW443)</f>
        <v/>
      </c>
      <c r="G427" s="711" t="str">
        <f>IF(A427="","",'Rozpad zakázky'!AE443)</f>
        <v/>
      </c>
      <c r="H427" s="717" t="str">
        <f>IF(A427="","",'Rozpad zakázky'!AJ443)</f>
        <v/>
      </c>
      <c r="I427" s="748" t="str">
        <f>IF(A427="","",'Rozpad zakázky'!Q443)</f>
        <v/>
      </c>
      <c r="J427" s="717" t="str">
        <f>IF(A427="","",ROUNDDOWN('Rozpad zakázky'!L443,1))</f>
        <v/>
      </c>
      <c r="K427" s="745" t="str">
        <f>IF(A427="","",Tabulka_nakup_Vonka[[#This Row],[Počet MJHR v rozpadu]]*Tabulka_nakup_Vonka[[#This Row],[Jedn. hmotnost '[kg/MJHR']]])</f>
        <v/>
      </c>
    </row>
    <row r="428" spans="1:11" x14ac:dyDescent="0.35">
      <c r="A428" s="709" t="str">
        <f>IF('Rozpad zakázky'!E444=0,"",IF('Rozpad zakázky'!E444="-","",'Rozpad zakázky'!E444))</f>
        <v/>
      </c>
      <c r="B428" s="708" t="str">
        <f>IF(A428="","",IF(A428="","",VLOOKUP(A:A,Pomocna_Nakup[],3,0))&amp;" | "&amp;IF(A428="","",VLOOKUP(A:A,Pomocna_Nakup[],4,0)))</f>
        <v/>
      </c>
      <c r="C428" s="710" t="str">
        <f>IF(Tabulka_nakup_Vonka[[#This Row],[Zkratka kalkulační položky]]="","",Tabulka_nakup_Vonka[[#This Row],[Zkratka kalkulační položky]]&amp;" | "&amp;IF(A428="","",VLOOKUP(A:A,Pomocna_Nakup[],2,0)))</f>
        <v/>
      </c>
      <c r="D428" s="710" t="str">
        <f>IF(A428="","",'Rozpad zakázky'!F444)</f>
        <v/>
      </c>
      <c r="E428" s="710" t="str">
        <f>IF(A428="","",'Rozpad zakázky'!D444&amp;IF('Rozpad zakázky'!G444="",""," ("&amp;'Rozpad zakázky'!G444&amp;")"))</f>
        <v/>
      </c>
      <c r="F428" s="709" t="str">
        <f>IF(A428="","",'Rozpad zakázky'!IW444)</f>
        <v/>
      </c>
      <c r="G428" s="711" t="str">
        <f>IF(A428="","",'Rozpad zakázky'!AE444)</f>
        <v/>
      </c>
      <c r="H428" s="717" t="str">
        <f>IF(A428="","",'Rozpad zakázky'!AJ444)</f>
        <v/>
      </c>
      <c r="I428" s="748" t="str">
        <f>IF(A428="","",'Rozpad zakázky'!Q444)</f>
        <v/>
      </c>
      <c r="J428" s="717" t="str">
        <f>IF(A428="","",ROUNDDOWN('Rozpad zakázky'!L444,1))</f>
        <v/>
      </c>
      <c r="K428" s="745" t="str">
        <f>IF(A428="","",Tabulka_nakup_Vonka[[#This Row],[Počet MJHR v rozpadu]]*Tabulka_nakup_Vonka[[#This Row],[Jedn. hmotnost '[kg/MJHR']]])</f>
        <v/>
      </c>
    </row>
    <row r="429" spans="1:11" x14ac:dyDescent="0.35">
      <c r="A429" s="709" t="str">
        <f>IF('Rozpad zakázky'!E445=0,"",IF('Rozpad zakázky'!E445="-","",'Rozpad zakázky'!E445))</f>
        <v/>
      </c>
      <c r="B429" s="708" t="str">
        <f>IF(A429="","",IF(A429="","",VLOOKUP(A:A,Pomocna_Nakup[],3,0))&amp;" | "&amp;IF(A429="","",VLOOKUP(A:A,Pomocna_Nakup[],4,0)))</f>
        <v/>
      </c>
      <c r="C429" s="710" t="str">
        <f>IF(Tabulka_nakup_Vonka[[#This Row],[Zkratka kalkulační položky]]="","",Tabulka_nakup_Vonka[[#This Row],[Zkratka kalkulační položky]]&amp;" | "&amp;IF(A429="","",VLOOKUP(A:A,Pomocna_Nakup[],2,0)))</f>
        <v/>
      </c>
      <c r="D429" s="710" t="str">
        <f>IF(A429="","",'Rozpad zakázky'!F445)</f>
        <v/>
      </c>
      <c r="E429" s="710" t="str">
        <f>IF(A429="","",'Rozpad zakázky'!D445&amp;IF('Rozpad zakázky'!G445="",""," ("&amp;'Rozpad zakázky'!G445&amp;")"))</f>
        <v/>
      </c>
      <c r="F429" s="709" t="str">
        <f>IF(A429="","",'Rozpad zakázky'!IW445)</f>
        <v/>
      </c>
      <c r="G429" s="711" t="str">
        <f>IF(A429="","",'Rozpad zakázky'!AE445)</f>
        <v/>
      </c>
      <c r="H429" s="717" t="str">
        <f>IF(A429="","",'Rozpad zakázky'!AJ445)</f>
        <v/>
      </c>
      <c r="I429" s="748" t="str">
        <f>IF(A429="","",'Rozpad zakázky'!Q445)</f>
        <v/>
      </c>
      <c r="J429" s="717" t="str">
        <f>IF(A429="","",ROUNDDOWN('Rozpad zakázky'!L445,1))</f>
        <v/>
      </c>
      <c r="K429" s="745" t="str">
        <f>IF(A429="","",Tabulka_nakup_Vonka[[#This Row],[Počet MJHR v rozpadu]]*Tabulka_nakup_Vonka[[#This Row],[Jedn. hmotnost '[kg/MJHR']]])</f>
        <v/>
      </c>
    </row>
    <row r="430" spans="1:11" x14ac:dyDescent="0.35">
      <c r="A430" s="709" t="str">
        <f>IF('Rozpad zakázky'!E446=0,"",IF('Rozpad zakázky'!E446="-","",'Rozpad zakázky'!E446))</f>
        <v/>
      </c>
      <c r="B430" s="708" t="str">
        <f>IF(A430="","",IF(A430="","",VLOOKUP(A:A,Pomocna_Nakup[],3,0))&amp;" | "&amp;IF(A430="","",VLOOKUP(A:A,Pomocna_Nakup[],4,0)))</f>
        <v/>
      </c>
      <c r="C430" s="710" t="str">
        <f>IF(Tabulka_nakup_Vonka[[#This Row],[Zkratka kalkulační položky]]="","",Tabulka_nakup_Vonka[[#This Row],[Zkratka kalkulační položky]]&amp;" | "&amp;IF(A430="","",VLOOKUP(A:A,Pomocna_Nakup[],2,0)))</f>
        <v/>
      </c>
      <c r="D430" s="710" t="str">
        <f>IF(A430="","",'Rozpad zakázky'!F446)</f>
        <v/>
      </c>
      <c r="E430" s="710" t="str">
        <f>IF(A430="","",'Rozpad zakázky'!D446&amp;IF('Rozpad zakázky'!G446="",""," ("&amp;'Rozpad zakázky'!G446&amp;")"))</f>
        <v/>
      </c>
      <c r="F430" s="709" t="str">
        <f>IF(A430="","",'Rozpad zakázky'!IW446)</f>
        <v/>
      </c>
      <c r="G430" s="711" t="str">
        <f>IF(A430="","",'Rozpad zakázky'!AE446)</f>
        <v/>
      </c>
      <c r="H430" s="717" t="str">
        <f>IF(A430="","",'Rozpad zakázky'!AJ446)</f>
        <v/>
      </c>
      <c r="I430" s="748" t="str">
        <f>IF(A430="","",'Rozpad zakázky'!Q446)</f>
        <v/>
      </c>
      <c r="J430" s="717" t="str">
        <f>IF(A430="","",ROUNDDOWN('Rozpad zakázky'!L446,1))</f>
        <v/>
      </c>
      <c r="K430" s="745" t="str">
        <f>IF(A430="","",Tabulka_nakup_Vonka[[#This Row],[Počet MJHR v rozpadu]]*Tabulka_nakup_Vonka[[#This Row],[Jedn. hmotnost '[kg/MJHR']]])</f>
        <v/>
      </c>
    </row>
    <row r="431" spans="1:11" x14ac:dyDescent="0.35">
      <c r="A431" s="709" t="str">
        <f>IF('Rozpad zakázky'!E447=0,"",IF('Rozpad zakázky'!E447="-","",'Rozpad zakázky'!E447))</f>
        <v/>
      </c>
      <c r="B431" s="708" t="str">
        <f>IF(A431="","",IF(A431="","",VLOOKUP(A:A,Pomocna_Nakup[],3,0))&amp;" | "&amp;IF(A431="","",VLOOKUP(A:A,Pomocna_Nakup[],4,0)))</f>
        <v/>
      </c>
      <c r="C431" s="710" t="str">
        <f>IF(Tabulka_nakup_Vonka[[#This Row],[Zkratka kalkulační položky]]="","",Tabulka_nakup_Vonka[[#This Row],[Zkratka kalkulační položky]]&amp;" | "&amp;IF(A431="","",VLOOKUP(A:A,Pomocna_Nakup[],2,0)))</f>
        <v/>
      </c>
      <c r="D431" s="710" t="str">
        <f>IF(A431="","",'Rozpad zakázky'!F447)</f>
        <v/>
      </c>
      <c r="E431" s="710" t="str">
        <f>IF(A431="","",'Rozpad zakázky'!D447&amp;IF('Rozpad zakázky'!G447="",""," ("&amp;'Rozpad zakázky'!G447&amp;")"))</f>
        <v/>
      </c>
      <c r="F431" s="709" t="str">
        <f>IF(A431="","",'Rozpad zakázky'!IW447)</f>
        <v/>
      </c>
      <c r="G431" s="711" t="str">
        <f>IF(A431="","",'Rozpad zakázky'!AE447)</f>
        <v/>
      </c>
      <c r="H431" s="717" t="str">
        <f>IF(A431="","",'Rozpad zakázky'!AJ447)</f>
        <v/>
      </c>
      <c r="I431" s="748" t="str">
        <f>IF(A431="","",'Rozpad zakázky'!Q447)</f>
        <v/>
      </c>
      <c r="J431" s="717" t="str">
        <f>IF(A431="","",ROUNDDOWN('Rozpad zakázky'!L447,1))</f>
        <v/>
      </c>
      <c r="K431" s="745" t="str">
        <f>IF(A431="","",Tabulka_nakup_Vonka[[#This Row],[Počet MJHR v rozpadu]]*Tabulka_nakup_Vonka[[#This Row],[Jedn. hmotnost '[kg/MJHR']]])</f>
        <v/>
      </c>
    </row>
    <row r="432" spans="1:11" x14ac:dyDescent="0.35">
      <c r="A432" s="709" t="str">
        <f>IF('Rozpad zakázky'!E448=0,"",IF('Rozpad zakázky'!E448="-","",'Rozpad zakázky'!E448))</f>
        <v/>
      </c>
      <c r="B432" s="708" t="str">
        <f>IF(A432="","",IF(A432="","",VLOOKUP(A:A,Pomocna_Nakup[],3,0))&amp;" | "&amp;IF(A432="","",VLOOKUP(A:A,Pomocna_Nakup[],4,0)))</f>
        <v/>
      </c>
      <c r="C432" s="710" t="str">
        <f>IF(Tabulka_nakup_Vonka[[#This Row],[Zkratka kalkulační položky]]="","",Tabulka_nakup_Vonka[[#This Row],[Zkratka kalkulační položky]]&amp;" | "&amp;IF(A432="","",VLOOKUP(A:A,Pomocna_Nakup[],2,0)))</f>
        <v/>
      </c>
      <c r="D432" s="710" t="str">
        <f>IF(A432="","",'Rozpad zakázky'!F448)</f>
        <v/>
      </c>
      <c r="E432" s="710" t="str">
        <f>IF(A432="","",'Rozpad zakázky'!D448&amp;IF('Rozpad zakázky'!G448="",""," ("&amp;'Rozpad zakázky'!G448&amp;")"))</f>
        <v/>
      </c>
      <c r="F432" s="709" t="str">
        <f>IF(A432="","",'Rozpad zakázky'!IW448)</f>
        <v/>
      </c>
      <c r="G432" s="711" t="str">
        <f>IF(A432="","",'Rozpad zakázky'!AE448)</f>
        <v/>
      </c>
      <c r="H432" s="717" t="str">
        <f>IF(A432="","",'Rozpad zakázky'!AJ448)</f>
        <v/>
      </c>
      <c r="I432" s="748" t="str">
        <f>IF(A432="","",'Rozpad zakázky'!Q448)</f>
        <v/>
      </c>
      <c r="J432" s="717" t="str">
        <f>IF(A432="","",ROUNDDOWN('Rozpad zakázky'!L448,1))</f>
        <v/>
      </c>
      <c r="K432" s="745" t="str">
        <f>IF(A432="","",Tabulka_nakup_Vonka[[#This Row],[Počet MJHR v rozpadu]]*Tabulka_nakup_Vonka[[#This Row],[Jedn. hmotnost '[kg/MJHR']]])</f>
        <v/>
      </c>
    </row>
    <row r="433" spans="1:11" x14ac:dyDescent="0.35">
      <c r="A433" s="709" t="str">
        <f>IF('Rozpad zakázky'!E449=0,"",IF('Rozpad zakázky'!E449="-","",'Rozpad zakázky'!E449))</f>
        <v/>
      </c>
      <c r="B433" s="708" t="str">
        <f>IF(A433="","",IF(A433="","",VLOOKUP(A:A,Pomocna_Nakup[],3,0))&amp;" | "&amp;IF(A433="","",VLOOKUP(A:A,Pomocna_Nakup[],4,0)))</f>
        <v/>
      </c>
      <c r="C433" s="710" t="str">
        <f>IF(Tabulka_nakup_Vonka[[#This Row],[Zkratka kalkulační položky]]="","",Tabulka_nakup_Vonka[[#This Row],[Zkratka kalkulační položky]]&amp;" | "&amp;IF(A433="","",VLOOKUP(A:A,Pomocna_Nakup[],2,0)))</f>
        <v/>
      </c>
      <c r="D433" s="710" t="str">
        <f>IF(A433="","",'Rozpad zakázky'!F449)</f>
        <v/>
      </c>
      <c r="E433" s="710" t="str">
        <f>IF(A433="","",'Rozpad zakázky'!D449&amp;IF('Rozpad zakázky'!G449="",""," ("&amp;'Rozpad zakázky'!G449&amp;")"))</f>
        <v/>
      </c>
      <c r="F433" s="709" t="str">
        <f>IF(A433="","",'Rozpad zakázky'!IW449)</f>
        <v/>
      </c>
      <c r="G433" s="711" t="str">
        <f>IF(A433="","",'Rozpad zakázky'!AE449)</f>
        <v/>
      </c>
      <c r="H433" s="717" t="str">
        <f>IF(A433="","",'Rozpad zakázky'!AJ449)</f>
        <v/>
      </c>
      <c r="I433" s="748" t="str">
        <f>IF(A433="","",'Rozpad zakázky'!Q449)</f>
        <v/>
      </c>
      <c r="J433" s="717" t="str">
        <f>IF(A433="","",ROUNDDOWN('Rozpad zakázky'!L449,1))</f>
        <v/>
      </c>
      <c r="K433" s="745" t="str">
        <f>IF(A433="","",Tabulka_nakup_Vonka[[#This Row],[Počet MJHR v rozpadu]]*Tabulka_nakup_Vonka[[#This Row],[Jedn. hmotnost '[kg/MJHR']]])</f>
        <v/>
      </c>
    </row>
    <row r="434" spans="1:11" x14ac:dyDescent="0.35">
      <c r="A434" s="709" t="str">
        <f>IF('Rozpad zakázky'!E450=0,"",IF('Rozpad zakázky'!E450="-","",'Rozpad zakázky'!E450))</f>
        <v/>
      </c>
      <c r="B434" s="708" t="str">
        <f>IF(A434="","",IF(A434="","",VLOOKUP(A:A,Pomocna_Nakup[],3,0))&amp;" | "&amp;IF(A434="","",VLOOKUP(A:A,Pomocna_Nakup[],4,0)))</f>
        <v/>
      </c>
      <c r="C434" s="710" t="str">
        <f>IF(Tabulka_nakup_Vonka[[#This Row],[Zkratka kalkulační položky]]="","",Tabulka_nakup_Vonka[[#This Row],[Zkratka kalkulační položky]]&amp;" | "&amp;IF(A434="","",VLOOKUP(A:A,Pomocna_Nakup[],2,0)))</f>
        <v/>
      </c>
      <c r="D434" s="710" t="str">
        <f>IF(A434="","",'Rozpad zakázky'!F450)</f>
        <v/>
      </c>
      <c r="E434" s="710" t="str">
        <f>IF(A434="","",'Rozpad zakázky'!D450&amp;IF('Rozpad zakázky'!G450="",""," ("&amp;'Rozpad zakázky'!G450&amp;")"))</f>
        <v/>
      </c>
      <c r="F434" s="709" t="str">
        <f>IF(A434="","",'Rozpad zakázky'!IW450)</f>
        <v/>
      </c>
      <c r="G434" s="711" t="str">
        <f>IF(A434="","",'Rozpad zakázky'!AE450)</f>
        <v/>
      </c>
      <c r="H434" s="717" t="str">
        <f>IF(A434="","",'Rozpad zakázky'!AJ450)</f>
        <v/>
      </c>
      <c r="I434" s="748" t="str">
        <f>IF(A434="","",'Rozpad zakázky'!Q450)</f>
        <v/>
      </c>
      <c r="J434" s="717" t="str">
        <f>IF(A434="","",ROUNDDOWN('Rozpad zakázky'!L450,1))</f>
        <v/>
      </c>
      <c r="K434" s="745" t="str">
        <f>IF(A434="","",Tabulka_nakup_Vonka[[#This Row],[Počet MJHR v rozpadu]]*Tabulka_nakup_Vonka[[#This Row],[Jedn. hmotnost '[kg/MJHR']]])</f>
        <v/>
      </c>
    </row>
    <row r="435" spans="1:11" x14ac:dyDescent="0.35">
      <c r="A435" s="709" t="str">
        <f>IF('Rozpad zakázky'!E451=0,"",IF('Rozpad zakázky'!E451="-","",'Rozpad zakázky'!E451))</f>
        <v/>
      </c>
      <c r="B435" s="708" t="str">
        <f>IF(A435="","",IF(A435="","",VLOOKUP(A:A,Pomocna_Nakup[],3,0))&amp;" | "&amp;IF(A435="","",VLOOKUP(A:A,Pomocna_Nakup[],4,0)))</f>
        <v/>
      </c>
      <c r="C435" s="710" t="str">
        <f>IF(Tabulka_nakup_Vonka[[#This Row],[Zkratka kalkulační položky]]="","",Tabulka_nakup_Vonka[[#This Row],[Zkratka kalkulační položky]]&amp;" | "&amp;IF(A435="","",VLOOKUP(A:A,Pomocna_Nakup[],2,0)))</f>
        <v/>
      </c>
      <c r="D435" s="710" t="str">
        <f>IF(A435="","",'Rozpad zakázky'!F451)</f>
        <v/>
      </c>
      <c r="E435" s="710" t="str">
        <f>IF(A435="","",'Rozpad zakázky'!D451&amp;IF('Rozpad zakázky'!G451="",""," ("&amp;'Rozpad zakázky'!G451&amp;")"))</f>
        <v/>
      </c>
      <c r="F435" s="709" t="str">
        <f>IF(A435="","",'Rozpad zakázky'!IW451)</f>
        <v/>
      </c>
      <c r="G435" s="711" t="str">
        <f>IF(A435="","",'Rozpad zakázky'!AE451)</f>
        <v/>
      </c>
      <c r="H435" s="717" t="str">
        <f>IF(A435="","",'Rozpad zakázky'!AJ451)</f>
        <v/>
      </c>
      <c r="I435" s="748" t="str">
        <f>IF(A435="","",'Rozpad zakázky'!Q451)</f>
        <v/>
      </c>
      <c r="J435" s="717" t="str">
        <f>IF(A435="","",ROUNDDOWN('Rozpad zakázky'!L451,1))</f>
        <v/>
      </c>
      <c r="K435" s="745" t="str">
        <f>IF(A435="","",Tabulka_nakup_Vonka[[#This Row],[Počet MJHR v rozpadu]]*Tabulka_nakup_Vonka[[#This Row],[Jedn. hmotnost '[kg/MJHR']]])</f>
        <v/>
      </c>
    </row>
    <row r="436" spans="1:11" x14ac:dyDescent="0.35">
      <c r="A436" s="709" t="str">
        <f>IF('Rozpad zakázky'!E452=0,"",IF('Rozpad zakázky'!E452="-","",'Rozpad zakázky'!E452))</f>
        <v/>
      </c>
      <c r="B436" s="708" t="str">
        <f>IF(A436="","",IF(A436="","",VLOOKUP(A:A,Pomocna_Nakup[],3,0))&amp;" | "&amp;IF(A436="","",VLOOKUP(A:A,Pomocna_Nakup[],4,0)))</f>
        <v/>
      </c>
      <c r="C436" s="710" t="str">
        <f>IF(Tabulka_nakup_Vonka[[#This Row],[Zkratka kalkulační položky]]="","",Tabulka_nakup_Vonka[[#This Row],[Zkratka kalkulační položky]]&amp;" | "&amp;IF(A436="","",VLOOKUP(A:A,Pomocna_Nakup[],2,0)))</f>
        <v/>
      </c>
      <c r="D436" s="710" t="str">
        <f>IF(A436="","",'Rozpad zakázky'!F452)</f>
        <v/>
      </c>
      <c r="E436" s="710" t="str">
        <f>IF(A436="","",'Rozpad zakázky'!D452&amp;IF('Rozpad zakázky'!G452="",""," ("&amp;'Rozpad zakázky'!G452&amp;")"))</f>
        <v/>
      </c>
      <c r="F436" s="709" t="str">
        <f>IF(A436="","",'Rozpad zakázky'!IW452)</f>
        <v/>
      </c>
      <c r="G436" s="711" t="str">
        <f>IF(A436="","",'Rozpad zakázky'!AE452)</f>
        <v/>
      </c>
      <c r="H436" s="717" t="str">
        <f>IF(A436="","",'Rozpad zakázky'!AJ452)</f>
        <v/>
      </c>
      <c r="I436" s="748" t="str">
        <f>IF(A436="","",'Rozpad zakázky'!Q452)</f>
        <v/>
      </c>
      <c r="J436" s="717" t="str">
        <f>IF(A436="","",ROUNDDOWN('Rozpad zakázky'!L452,1))</f>
        <v/>
      </c>
      <c r="K436" s="745" t="str">
        <f>IF(A436="","",Tabulka_nakup_Vonka[[#This Row],[Počet MJHR v rozpadu]]*Tabulka_nakup_Vonka[[#This Row],[Jedn. hmotnost '[kg/MJHR']]])</f>
        <v/>
      </c>
    </row>
    <row r="437" spans="1:11" x14ac:dyDescent="0.35">
      <c r="A437" s="709" t="str">
        <f>IF('Rozpad zakázky'!E453=0,"",IF('Rozpad zakázky'!E453="-","",'Rozpad zakázky'!E453))</f>
        <v/>
      </c>
      <c r="B437" s="708" t="str">
        <f>IF(A437="","",IF(A437="","",VLOOKUP(A:A,Pomocna_Nakup[],3,0))&amp;" | "&amp;IF(A437="","",VLOOKUP(A:A,Pomocna_Nakup[],4,0)))</f>
        <v/>
      </c>
      <c r="C437" s="710" t="str">
        <f>IF(Tabulka_nakup_Vonka[[#This Row],[Zkratka kalkulační položky]]="","",Tabulka_nakup_Vonka[[#This Row],[Zkratka kalkulační položky]]&amp;" | "&amp;IF(A437="","",VLOOKUP(A:A,Pomocna_Nakup[],2,0)))</f>
        <v/>
      </c>
      <c r="D437" s="710" t="str">
        <f>IF(A437="","",'Rozpad zakázky'!F453)</f>
        <v/>
      </c>
      <c r="E437" s="710" t="str">
        <f>IF(A437="","",'Rozpad zakázky'!D453&amp;IF('Rozpad zakázky'!G453="",""," ("&amp;'Rozpad zakázky'!G453&amp;")"))</f>
        <v/>
      </c>
      <c r="F437" s="709" t="str">
        <f>IF(A437="","",'Rozpad zakázky'!IW453)</f>
        <v/>
      </c>
      <c r="G437" s="711" t="str">
        <f>IF(A437="","",'Rozpad zakázky'!AE453)</f>
        <v/>
      </c>
      <c r="H437" s="717" t="str">
        <f>IF(A437="","",'Rozpad zakázky'!AJ453)</f>
        <v/>
      </c>
      <c r="I437" s="748" t="str">
        <f>IF(A437="","",'Rozpad zakázky'!Q453)</f>
        <v/>
      </c>
      <c r="J437" s="717" t="str">
        <f>IF(A437="","",ROUNDDOWN('Rozpad zakázky'!L453,1))</f>
        <v/>
      </c>
      <c r="K437" s="745" t="str">
        <f>IF(A437="","",Tabulka_nakup_Vonka[[#This Row],[Počet MJHR v rozpadu]]*Tabulka_nakup_Vonka[[#This Row],[Jedn. hmotnost '[kg/MJHR']]])</f>
        <v/>
      </c>
    </row>
    <row r="438" spans="1:11" x14ac:dyDescent="0.35">
      <c r="A438" s="709" t="str">
        <f>IF('Rozpad zakázky'!E454=0,"",IF('Rozpad zakázky'!E454="-","",'Rozpad zakázky'!E454))</f>
        <v/>
      </c>
      <c r="B438" s="708" t="str">
        <f>IF(A438="","",IF(A438="","",VLOOKUP(A:A,Pomocna_Nakup[],3,0))&amp;" | "&amp;IF(A438="","",VLOOKUP(A:A,Pomocna_Nakup[],4,0)))</f>
        <v/>
      </c>
      <c r="C438" s="710" t="str">
        <f>IF(Tabulka_nakup_Vonka[[#This Row],[Zkratka kalkulační položky]]="","",Tabulka_nakup_Vonka[[#This Row],[Zkratka kalkulační položky]]&amp;" | "&amp;IF(A438="","",VLOOKUP(A:A,Pomocna_Nakup[],2,0)))</f>
        <v/>
      </c>
      <c r="D438" s="710" t="str">
        <f>IF(A438="","",'Rozpad zakázky'!F454)</f>
        <v/>
      </c>
      <c r="E438" s="710" t="str">
        <f>IF(A438="","",'Rozpad zakázky'!D454&amp;IF('Rozpad zakázky'!G454="",""," ("&amp;'Rozpad zakázky'!G454&amp;")"))</f>
        <v/>
      </c>
      <c r="F438" s="709" t="str">
        <f>IF(A438="","",'Rozpad zakázky'!IW454)</f>
        <v/>
      </c>
      <c r="G438" s="711" t="str">
        <f>IF(A438="","",'Rozpad zakázky'!AE454)</f>
        <v/>
      </c>
      <c r="H438" s="717" t="str">
        <f>IF(A438="","",'Rozpad zakázky'!AJ454)</f>
        <v/>
      </c>
      <c r="I438" s="748" t="str">
        <f>IF(A438="","",'Rozpad zakázky'!Q454)</f>
        <v/>
      </c>
      <c r="J438" s="717" t="str">
        <f>IF(A438="","",ROUNDDOWN('Rozpad zakázky'!L454,1))</f>
        <v/>
      </c>
      <c r="K438" s="745" t="str">
        <f>IF(A438="","",Tabulka_nakup_Vonka[[#This Row],[Počet MJHR v rozpadu]]*Tabulka_nakup_Vonka[[#This Row],[Jedn. hmotnost '[kg/MJHR']]])</f>
        <v/>
      </c>
    </row>
    <row r="439" spans="1:11" x14ac:dyDescent="0.35">
      <c r="A439" s="709" t="str">
        <f>IF('Rozpad zakázky'!E455=0,"",IF('Rozpad zakázky'!E455="-","",'Rozpad zakázky'!E455))</f>
        <v/>
      </c>
      <c r="B439" s="708" t="str">
        <f>IF(A439="","",IF(A439="","",VLOOKUP(A:A,Pomocna_Nakup[],3,0))&amp;" | "&amp;IF(A439="","",VLOOKUP(A:A,Pomocna_Nakup[],4,0)))</f>
        <v/>
      </c>
      <c r="C439" s="710" t="str">
        <f>IF(Tabulka_nakup_Vonka[[#This Row],[Zkratka kalkulační položky]]="","",Tabulka_nakup_Vonka[[#This Row],[Zkratka kalkulační položky]]&amp;" | "&amp;IF(A439="","",VLOOKUP(A:A,Pomocna_Nakup[],2,0)))</f>
        <v/>
      </c>
      <c r="D439" s="710" t="str">
        <f>IF(A439="","",'Rozpad zakázky'!F455)</f>
        <v/>
      </c>
      <c r="E439" s="710" t="str">
        <f>IF(A439="","",'Rozpad zakázky'!D455&amp;IF('Rozpad zakázky'!G455="",""," ("&amp;'Rozpad zakázky'!G455&amp;")"))</f>
        <v/>
      </c>
      <c r="F439" s="709" t="str">
        <f>IF(A439="","",'Rozpad zakázky'!IW455)</f>
        <v/>
      </c>
      <c r="G439" s="711" t="str">
        <f>IF(A439="","",'Rozpad zakázky'!AE455)</f>
        <v/>
      </c>
      <c r="H439" s="717" t="str">
        <f>IF(A439="","",'Rozpad zakázky'!AJ455)</f>
        <v/>
      </c>
      <c r="I439" s="748" t="str">
        <f>IF(A439="","",'Rozpad zakázky'!Q455)</f>
        <v/>
      </c>
      <c r="J439" s="717" t="str">
        <f>IF(A439="","",ROUNDDOWN('Rozpad zakázky'!L455,1))</f>
        <v/>
      </c>
      <c r="K439" s="745" t="str">
        <f>IF(A439="","",Tabulka_nakup_Vonka[[#This Row],[Počet MJHR v rozpadu]]*Tabulka_nakup_Vonka[[#This Row],[Jedn. hmotnost '[kg/MJHR']]])</f>
        <v/>
      </c>
    </row>
    <row r="440" spans="1:11" x14ac:dyDescent="0.35">
      <c r="A440" s="709" t="str">
        <f>IF('Rozpad zakázky'!E456=0,"",IF('Rozpad zakázky'!E456="-","",'Rozpad zakázky'!E456))</f>
        <v/>
      </c>
      <c r="B440" s="708" t="str">
        <f>IF(A440="","",IF(A440="","",VLOOKUP(A:A,Pomocna_Nakup[],3,0))&amp;" | "&amp;IF(A440="","",VLOOKUP(A:A,Pomocna_Nakup[],4,0)))</f>
        <v/>
      </c>
      <c r="C440" s="710" t="str">
        <f>IF(Tabulka_nakup_Vonka[[#This Row],[Zkratka kalkulační položky]]="","",Tabulka_nakup_Vonka[[#This Row],[Zkratka kalkulační položky]]&amp;" | "&amp;IF(A440="","",VLOOKUP(A:A,Pomocna_Nakup[],2,0)))</f>
        <v/>
      </c>
      <c r="D440" s="710" t="str">
        <f>IF(A440="","",'Rozpad zakázky'!F456)</f>
        <v/>
      </c>
      <c r="E440" s="710" t="str">
        <f>IF(A440="","",'Rozpad zakázky'!D456&amp;IF('Rozpad zakázky'!G456="",""," ("&amp;'Rozpad zakázky'!G456&amp;")"))</f>
        <v/>
      </c>
      <c r="F440" s="709" t="str">
        <f>IF(A440="","",'Rozpad zakázky'!IW456)</f>
        <v/>
      </c>
      <c r="G440" s="711" t="str">
        <f>IF(A440="","",'Rozpad zakázky'!AE456)</f>
        <v/>
      </c>
      <c r="H440" s="717" t="str">
        <f>IF(A440="","",'Rozpad zakázky'!AJ456)</f>
        <v/>
      </c>
      <c r="I440" s="748" t="str">
        <f>IF(A440="","",'Rozpad zakázky'!Q456)</f>
        <v/>
      </c>
      <c r="J440" s="717" t="str">
        <f>IF(A440="","",ROUNDDOWN('Rozpad zakázky'!L456,1))</f>
        <v/>
      </c>
      <c r="K440" s="745" t="str">
        <f>IF(A440="","",Tabulka_nakup_Vonka[[#This Row],[Počet MJHR v rozpadu]]*Tabulka_nakup_Vonka[[#This Row],[Jedn. hmotnost '[kg/MJHR']]])</f>
        <v/>
      </c>
    </row>
    <row r="441" spans="1:11" x14ac:dyDescent="0.35">
      <c r="A441" s="709" t="str">
        <f>IF('Rozpad zakázky'!E457=0,"",IF('Rozpad zakázky'!E457="-","",'Rozpad zakázky'!E457))</f>
        <v/>
      </c>
      <c r="B441" s="708" t="str">
        <f>IF(A441="","",IF(A441="","",VLOOKUP(A:A,Pomocna_Nakup[],3,0))&amp;" | "&amp;IF(A441="","",VLOOKUP(A:A,Pomocna_Nakup[],4,0)))</f>
        <v/>
      </c>
      <c r="C441" s="710" t="str">
        <f>IF(Tabulka_nakup_Vonka[[#This Row],[Zkratka kalkulační položky]]="","",Tabulka_nakup_Vonka[[#This Row],[Zkratka kalkulační položky]]&amp;" | "&amp;IF(A441="","",VLOOKUP(A:A,Pomocna_Nakup[],2,0)))</f>
        <v/>
      </c>
      <c r="D441" s="710" t="str">
        <f>IF(A441="","",'Rozpad zakázky'!F457)</f>
        <v/>
      </c>
      <c r="E441" s="710" t="str">
        <f>IF(A441="","",'Rozpad zakázky'!D457&amp;IF('Rozpad zakázky'!G457="",""," ("&amp;'Rozpad zakázky'!G457&amp;")"))</f>
        <v/>
      </c>
      <c r="F441" s="709" t="str">
        <f>IF(A441="","",'Rozpad zakázky'!IW457)</f>
        <v/>
      </c>
      <c r="G441" s="711" t="str">
        <f>IF(A441="","",'Rozpad zakázky'!AE457)</f>
        <v/>
      </c>
      <c r="H441" s="717" t="str">
        <f>IF(A441="","",'Rozpad zakázky'!AJ457)</f>
        <v/>
      </c>
      <c r="I441" s="748" t="str">
        <f>IF(A441="","",'Rozpad zakázky'!Q457)</f>
        <v/>
      </c>
      <c r="J441" s="717" t="str">
        <f>IF(A441="","",ROUNDDOWN('Rozpad zakázky'!L457,1))</f>
        <v/>
      </c>
      <c r="K441" s="745" t="str">
        <f>IF(A441="","",Tabulka_nakup_Vonka[[#This Row],[Počet MJHR v rozpadu]]*Tabulka_nakup_Vonka[[#This Row],[Jedn. hmotnost '[kg/MJHR']]])</f>
        <v/>
      </c>
    </row>
    <row r="442" spans="1:11" x14ac:dyDescent="0.35">
      <c r="A442" s="709" t="str">
        <f>IF('Rozpad zakázky'!E458=0,"",IF('Rozpad zakázky'!E458="-","",'Rozpad zakázky'!E458))</f>
        <v/>
      </c>
      <c r="B442" s="708" t="str">
        <f>IF(A442="","",IF(A442="","",VLOOKUP(A:A,Pomocna_Nakup[],3,0))&amp;" | "&amp;IF(A442="","",VLOOKUP(A:A,Pomocna_Nakup[],4,0)))</f>
        <v/>
      </c>
      <c r="C442" s="710" t="str">
        <f>IF(Tabulka_nakup_Vonka[[#This Row],[Zkratka kalkulační položky]]="","",Tabulka_nakup_Vonka[[#This Row],[Zkratka kalkulační položky]]&amp;" | "&amp;IF(A442="","",VLOOKUP(A:A,Pomocna_Nakup[],2,0)))</f>
        <v/>
      </c>
      <c r="D442" s="710" t="str">
        <f>IF(A442="","",'Rozpad zakázky'!F458)</f>
        <v/>
      </c>
      <c r="E442" s="710" t="str">
        <f>IF(A442="","",'Rozpad zakázky'!D458&amp;IF('Rozpad zakázky'!G458="",""," ("&amp;'Rozpad zakázky'!G458&amp;")"))</f>
        <v/>
      </c>
      <c r="F442" s="709" t="str">
        <f>IF(A442="","",'Rozpad zakázky'!IW458)</f>
        <v/>
      </c>
      <c r="G442" s="711" t="str">
        <f>IF(A442="","",'Rozpad zakázky'!AE458)</f>
        <v/>
      </c>
      <c r="H442" s="717" t="str">
        <f>IF(A442="","",'Rozpad zakázky'!AJ458)</f>
        <v/>
      </c>
      <c r="I442" s="748" t="str">
        <f>IF(A442="","",'Rozpad zakázky'!Q458)</f>
        <v/>
      </c>
      <c r="J442" s="717" t="str">
        <f>IF(A442="","",ROUNDDOWN('Rozpad zakázky'!L458,1))</f>
        <v/>
      </c>
      <c r="K442" s="745" t="str">
        <f>IF(A442="","",Tabulka_nakup_Vonka[[#This Row],[Počet MJHR v rozpadu]]*Tabulka_nakup_Vonka[[#This Row],[Jedn. hmotnost '[kg/MJHR']]])</f>
        <v/>
      </c>
    </row>
    <row r="443" spans="1:11" x14ac:dyDescent="0.35">
      <c r="A443" s="709" t="str">
        <f>IF('Rozpad zakázky'!E459=0,"",IF('Rozpad zakázky'!E459="-","",'Rozpad zakázky'!E459))</f>
        <v/>
      </c>
      <c r="B443" s="708" t="str">
        <f>IF(A443="","",IF(A443="","",VLOOKUP(A:A,Pomocna_Nakup[],3,0))&amp;" | "&amp;IF(A443="","",VLOOKUP(A:A,Pomocna_Nakup[],4,0)))</f>
        <v/>
      </c>
      <c r="C443" s="710" t="str">
        <f>IF(Tabulka_nakup_Vonka[[#This Row],[Zkratka kalkulační položky]]="","",Tabulka_nakup_Vonka[[#This Row],[Zkratka kalkulační položky]]&amp;" | "&amp;IF(A443="","",VLOOKUP(A:A,Pomocna_Nakup[],2,0)))</f>
        <v/>
      </c>
      <c r="D443" s="710" t="str">
        <f>IF(A443="","",'Rozpad zakázky'!F459)</f>
        <v/>
      </c>
      <c r="E443" s="710" t="str">
        <f>IF(A443="","",'Rozpad zakázky'!D459&amp;IF('Rozpad zakázky'!G459="",""," ("&amp;'Rozpad zakázky'!G459&amp;")"))</f>
        <v/>
      </c>
      <c r="F443" s="709" t="str">
        <f>IF(A443="","",'Rozpad zakázky'!IW459)</f>
        <v/>
      </c>
      <c r="G443" s="711" t="str">
        <f>IF(A443="","",'Rozpad zakázky'!AE459)</f>
        <v/>
      </c>
      <c r="H443" s="717" t="str">
        <f>IF(A443="","",'Rozpad zakázky'!AJ459)</f>
        <v/>
      </c>
      <c r="I443" s="748" t="str">
        <f>IF(A443="","",'Rozpad zakázky'!Q459)</f>
        <v/>
      </c>
      <c r="J443" s="717" t="str">
        <f>IF(A443="","",ROUNDDOWN('Rozpad zakázky'!L459,1))</f>
        <v/>
      </c>
      <c r="K443" s="745" t="str">
        <f>IF(A443="","",Tabulka_nakup_Vonka[[#This Row],[Počet MJHR v rozpadu]]*Tabulka_nakup_Vonka[[#This Row],[Jedn. hmotnost '[kg/MJHR']]])</f>
        <v/>
      </c>
    </row>
    <row r="444" spans="1:11" x14ac:dyDescent="0.35">
      <c r="A444" s="709" t="str">
        <f>IF('Rozpad zakázky'!E460=0,"",IF('Rozpad zakázky'!E460="-","",'Rozpad zakázky'!E460))</f>
        <v/>
      </c>
      <c r="B444" s="708" t="str">
        <f>IF(A444="","",IF(A444="","",VLOOKUP(A:A,Pomocna_Nakup[],3,0))&amp;" | "&amp;IF(A444="","",VLOOKUP(A:A,Pomocna_Nakup[],4,0)))</f>
        <v/>
      </c>
      <c r="C444" s="710" t="str">
        <f>IF(Tabulka_nakup_Vonka[[#This Row],[Zkratka kalkulační položky]]="","",Tabulka_nakup_Vonka[[#This Row],[Zkratka kalkulační položky]]&amp;" | "&amp;IF(A444="","",VLOOKUP(A:A,Pomocna_Nakup[],2,0)))</f>
        <v/>
      </c>
      <c r="D444" s="710" t="str">
        <f>IF(A444="","",'Rozpad zakázky'!F460)</f>
        <v/>
      </c>
      <c r="E444" s="710" t="str">
        <f>IF(A444="","",'Rozpad zakázky'!D460&amp;IF('Rozpad zakázky'!G460="",""," ("&amp;'Rozpad zakázky'!G460&amp;")"))</f>
        <v/>
      </c>
      <c r="F444" s="709" t="str">
        <f>IF(A444="","",'Rozpad zakázky'!IW460)</f>
        <v/>
      </c>
      <c r="G444" s="711" t="str">
        <f>IF(A444="","",'Rozpad zakázky'!AE460)</f>
        <v/>
      </c>
      <c r="H444" s="717" t="str">
        <f>IF(A444="","",'Rozpad zakázky'!AJ460)</f>
        <v/>
      </c>
      <c r="I444" s="748" t="str">
        <f>IF(A444="","",'Rozpad zakázky'!Q460)</f>
        <v/>
      </c>
      <c r="J444" s="717" t="str">
        <f>IF(A444="","",ROUNDDOWN('Rozpad zakázky'!L460,1))</f>
        <v/>
      </c>
      <c r="K444" s="745" t="str">
        <f>IF(A444="","",Tabulka_nakup_Vonka[[#This Row],[Počet MJHR v rozpadu]]*Tabulka_nakup_Vonka[[#This Row],[Jedn. hmotnost '[kg/MJHR']]])</f>
        <v/>
      </c>
    </row>
    <row r="445" spans="1:11" x14ac:dyDescent="0.35">
      <c r="A445" s="709" t="str">
        <f>IF('Rozpad zakázky'!E461=0,"",IF('Rozpad zakázky'!E461="-","",'Rozpad zakázky'!E461))</f>
        <v/>
      </c>
      <c r="B445" s="708" t="str">
        <f>IF(A445="","",IF(A445="","",VLOOKUP(A:A,Pomocna_Nakup[],3,0))&amp;" | "&amp;IF(A445="","",VLOOKUP(A:A,Pomocna_Nakup[],4,0)))</f>
        <v/>
      </c>
      <c r="C445" s="710" t="str">
        <f>IF(Tabulka_nakup_Vonka[[#This Row],[Zkratka kalkulační položky]]="","",Tabulka_nakup_Vonka[[#This Row],[Zkratka kalkulační položky]]&amp;" | "&amp;IF(A445="","",VLOOKUP(A:A,Pomocna_Nakup[],2,0)))</f>
        <v/>
      </c>
      <c r="D445" s="710" t="str">
        <f>IF(A445="","",'Rozpad zakázky'!F461)</f>
        <v/>
      </c>
      <c r="E445" s="710" t="str">
        <f>IF(A445="","",'Rozpad zakázky'!D461&amp;IF('Rozpad zakázky'!G461="",""," ("&amp;'Rozpad zakázky'!G461&amp;")"))</f>
        <v/>
      </c>
      <c r="F445" s="709" t="str">
        <f>IF(A445="","",'Rozpad zakázky'!IW461)</f>
        <v/>
      </c>
      <c r="G445" s="711" t="str">
        <f>IF(A445="","",'Rozpad zakázky'!AE461)</f>
        <v/>
      </c>
      <c r="H445" s="717" t="str">
        <f>IF(A445="","",'Rozpad zakázky'!AJ461)</f>
        <v/>
      </c>
      <c r="I445" s="748" t="str">
        <f>IF(A445="","",'Rozpad zakázky'!Q461)</f>
        <v/>
      </c>
      <c r="J445" s="717" t="str">
        <f>IF(A445="","",ROUNDDOWN('Rozpad zakázky'!L461,1))</f>
        <v/>
      </c>
      <c r="K445" s="745" t="str">
        <f>IF(A445="","",Tabulka_nakup_Vonka[[#This Row],[Počet MJHR v rozpadu]]*Tabulka_nakup_Vonka[[#This Row],[Jedn. hmotnost '[kg/MJHR']]])</f>
        <v/>
      </c>
    </row>
    <row r="446" spans="1:11" x14ac:dyDescent="0.35">
      <c r="A446" s="709" t="str">
        <f>IF('Rozpad zakázky'!E462=0,"",IF('Rozpad zakázky'!E462="-","",'Rozpad zakázky'!E462))</f>
        <v/>
      </c>
      <c r="B446" s="708" t="str">
        <f>IF(A446="","",IF(A446="","",VLOOKUP(A:A,Pomocna_Nakup[],3,0))&amp;" | "&amp;IF(A446="","",VLOOKUP(A:A,Pomocna_Nakup[],4,0)))</f>
        <v/>
      </c>
      <c r="C446" s="710" t="str">
        <f>IF(Tabulka_nakup_Vonka[[#This Row],[Zkratka kalkulační položky]]="","",Tabulka_nakup_Vonka[[#This Row],[Zkratka kalkulační položky]]&amp;" | "&amp;IF(A446="","",VLOOKUP(A:A,Pomocna_Nakup[],2,0)))</f>
        <v/>
      </c>
      <c r="D446" s="710" t="str">
        <f>IF(A446="","",'Rozpad zakázky'!F462)</f>
        <v/>
      </c>
      <c r="E446" s="710" t="str">
        <f>IF(A446="","",'Rozpad zakázky'!D462&amp;IF('Rozpad zakázky'!G462="",""," ("&amp;'Rozpad zakázky'!G462&amp;")"))</f>
        <v/>
      </c>
      <c r="F446" s="709" t="str">
        <f>IF(A446="","",'Rozpad zakázky'!IW462)</f>
        <v/>
      </c>
      <c r="G446" s="711" t="str">
        <f>IF(A446="","",'Rozpad zakázky'!AE462)</f>
        <v/>
      </c>
      <c r="H446" s="717" t="str">
        <f>IF(A446="","",'Rozpad zakázky'!AJ462)</f>
        <v/>
      </c>
      <c r="I446" s="748" t="str">
        <f>IF(A446="","",'Rozpad zakázky'!Q462)</f>
        <v/>
      </c>
      <c r="J446" s="717" t="str">
        <f>IF(A446="","",ROUNDDOWN('Rozpad zakázky'!L462,1))</f>
        <v/>
      </c>
      <c r="K446" s="745" t="str">
        <f>IF(A446="","",Tabulka_nakup_Vonka[[#This Row],[Počet MJHR v rozpadu]]*Tabulka_nakup_Vonka[[#This Row],[Jedn. hmotnost '[kg/MJHR']]])</f>
        <v/>
      </c>
    </row>
    <row r="447" spans="1:11" x14ac:dyDescent="0.35">
      <c r="A447" s="709" t="str">
        <f>IF('Rozpad zakázky'!E463=0,"",IF('Rozpad zakázky'!E463="-","",'Rozpad zakázky'!E463))</f>
        <v/>
      </c>
      <c r="B447" s="708" t="str">
        <f>IF(A447="","",IF(A447="","",VLOOKUP(A:A,Pomocna_Nakup[],3,0))&amp;" | "&amp;IF(A447="","",VLOOKUP(A:A,Pomocna_Nakup[],4,0)))</f>
        <v/>
      </c>
      <c r="C447" s="710" t="str">
        <f>IF(Tabulka_nakup_Vonka[[#This Row],[Zkratka kalkulační položky]]="","",Tabulka_nakup_Vonka[[#This Row],[Zkratka kalkulační položky]]&amp;" | "&amp;IF(A447="","",VLOOKUP(A:A,Pomocna_Nakup[],2,0)))</f>
        <v/>
      </c>
      <c r="D447" s="710" t="str">
        <f>IF(A447="","",'Rozpad zakázky'!F463)</f>
        <v/>
      </c>
      <c r="E447" s="710" t="str">
        <f>IF(A447="","",'Rozpad zakázky'!D463&amp;IF('Rozpad zakázky'!G463="",""," ("&amp;'Rozpad zakázky'!G463&amp;")"))</f>
        <v/>
      </c>
      <c r="F447" s="709" t="str">
        <f>IF(A447="","",'Rozpad zakázky'!IW463)</f>
        <v/>
      </c>
      <c r="G447" s="711" t="str">
        <f>IF(A447="","",'Rozpad zakázky'!AE463)</f>
        <v/>
      </c>
      <c r="H447" s="717" t="str">
        <f>IF(A447="","",'Rozpad zakázky'!AJ463)</f>
        <v/>
      </c>
      <c r="I447" s="748" t="str">
        <f>IF(A447="","",'Rozpad zakázky'!Q463)</f>
        <v/>
      </c>
      <c r="J447" s="717" t="str">
        <f>IF(A447="","",ROUNDDOWN('Rozpad zakázky'!L463,1))</f>
        <v/>
      </c>
      <c r="K447" s="745" t="str">
        <f>IF(A447="","",Tabulka_nakup_Vonka[[#This Row],[Počet MJHR v rozpadu]]*Tabulka_nakup_Vonka[[#This Row],[Jedn. hmotnost '[kg/MJHR']]])</f>
        <v/>
      </c>
    </row>
    <row r="448" spans="1:11" x14ac:dyDescent="0.35">
      <c r="A448" s="709" t="str">
        <f>IF('Rozpad zakázky'!E464=0,"",IF('Rozpad zakázky'!E464="-","",'Rozpad zakázky'!E464))</f>
        <v/>
      </c>
      <c r="B448" s="708" t="str">
        <f>IF(A448="","",IF(A448="","",VLOOKUP(A:A,Pomocna_Nakup[],3,0))&amp;" | "&amp;IF(A448="","",VLOOKUP(A:A,Pomocna_Nakup[],4,0)))</f>
        <v/>
      </c>
      <c r="C448" s="710" t="str">
        <f>IF(Tabulka_nakup_Vonka[[#This Row],[Zkratka kalkulační položky]]="","",Tabulka_nakup_Vonka[[#This Row],[Zkratka kalkulační položky]]&amp;" | "&amp;IF(A448="","",VLOOKUP(A:A,Pomocna_Nakup[],2,0)))</f>
        <v/>
      </c>
      <c r="D448" s="710" t="str">
        <f>IF(A448="","",'Rozpad zakázky'!F464)</f>
        <v/>
      </c>
      <c r="E448" s="710" t="str">
        <f>IF(A448="","",'Rozpad zakázky'!D464&amp;IF('Rozpad zakázky'!G464="",""," ("&amp;'Rozpad zakázky'!G464&amp;")"))</f>
        <v/>
      </c>
      <c r="F448" s="709" t="str">
        <f>IF(A448="","",'Rozpad zakázky'!IW464)</f>
        <v/>
      </c>
      <c r="G448" s="711" t="str">
        <f>IF(A448="","",'Rozpad zakázky'!AE464)</f>
        <v/>
      </c>
      <c r="H448" s="717" t="str">
        <f>IF(A448="","",'Rozpad zakázky'!AJ464)</f>
        <v/>
      </c>
      <c r="I448" s="748" t="str">
        <f>IF(A448="","",'Rozpad zakázky'!Q464)</f>
        <v/>
      </c>
      <c r="J448" s="717" t="str">
        <f>IF(A448="","",ROUNDDOWN('Rozpad zakázky'!L464,1))</f>
        <v/>
      </c>
      <c r="K448" s="745" t="str">
        <f>IF(A448="","",Tabulka_nakup_Vonka[[#This Row],[Počet MJHR v rozpadu]]*Tabulka_nakup_Vonka[[#This Row],[Jedn. hmotnost '[kg/MJHR']]])</f>
        <v/>
      </c>
    </row>
    <row r="449" spans="1:11" x14ac:dyDescent="0.35">
      <c r="A449" s="709" t="str">
        <f>IF('Rozpad zakázky'!E465=0,"",IF('Rozpad zakázky'!E465="-","",'Rozpad zakázky'!E465))</f>
        <v/>
      </c>
      <c r="B449" s="708" t="str">
        <f>IF(A449="","",IF(A449="","",VLOOKUP(A:A,Pomocna_Nakup[],3,0))&amp;" | "&amp;IF(A449="","",VLOOKUP(A:A,Pomocna_Nakup[],4,0)))</f>
        <v/>
      </c>
      <c r="C449" s="710" t="str">
        <f>IF(Tabulka_nakup_Vonka[[#This Row],[Zkratka kalkulační položky]]="","",Tabulka_nakup_Vonka[[#This Row],[Zkratka kalkulační položky]]&amp;" | "&amp;IF(A449="","",VLOOKUP(A:A,Pomocna_Nakup[],2,0)))</f>
        <v/>
      </c>
      <c r="D449" s="710" t="str">
        <f>IF(A449="","",'Rozpad zakázky'!F465)</f>
        <v/>
      </c>
      <c r="E449" s="710" t="str">
        <f>IF(A449="","",'Rozpad zakázky'!D465&amp;IF('Rozpad zakázky'!G465="",""," ("&amp;'Rozpad zakázky'!G465&amp;")"))</f>
        <v/>
      </c>
      <c r="F449" s="709" t="str">
        <f>IF(A449="","",'Rozpad zakázky'!IW465)</f>
        <v/>
      </c>
      <c r="G449" s="711" t="str">
        <f>IF(A449="","",'Rozpad zakázky'!AE465)</f>
        <v/>
      </c>
      <c r="H449" s="717" t="str">
        <f>IF(A449="","",'Rozpad zakázky'!AJ465)</f>
        <v/>
      </c>
      <c r="I449" s="748" t="str">
        <f>IF(A449="","",'Rozpad zakázky'!Q465)</f>
        <v/>
      </c>
      <c r="J449" s="717" t="str">
        <f>IF(A449="","",ROUNDDOWN('Rozpad zakázky'!L465,1))</f>
        <v/>
      </c>
      <c r="K449" s="745" t="str">
        <f>IF(A449="","",Tabulka_nakup_Vonka[[#This Row],[Počet MJHR v rozpadu]]*Tabulka_nakup_Vonka[[#This Row],[Jedn. hmotnost '[kg/MJHR']]])</f>
        <v/>
      </c>
    </row>
    <row r="450" spans="1:11" x14ac:dyDescent="0.35">
      <c r="A450" s="709" t="str">
        <f>IF('Rozpad zakázky'!E466=0,"",IF('Rozpad zakázky'!E466="-","",'Rozpad zakázky'!E466))</f>
        <v/>
      </c>
      <c r="B450" s="708" t="str">
        <f>IF(A450="","",IF(A450="","",VLOOKUP(A:A,Pomocna_Nakup[],3,0))&amp;" | "&amp;IF(A450="","",VLOOKUP(A:A,Pomocna_Nakup[],4,0)))</f>
        <v/>
      </c>
      <c r="C450" s="710" t="str">
        <f>IF(Tabulka_nakup_Vonka[[#This Row],[Zkratka kalkulační položky]]="","",Tabulka_nakup_Vonka[[#This Row],[Zkratka kalkulační položky]]&amp;" | "&amp;IF(A450="","",VLOOKUP(A:A,Pomocna_Nakup[],2,0)))</f>
        <v/>
      </c>
      <c r="D450" s="710" t="str">
        <f>IF(A450="","",'Rozpad zakázky'!F466)</f>
        <v/>
      </c>
      <c r="E450" s="710" t="str">
        <f>IF(A450="","",'Rozpad zakázky'!D466&amp;IF('Rozpad zakázky'!G466="",""," ("&amp;'Rozpad zakázky'!G466&amp;")"))</f>
        <v/>
      </c>
      <c r="F450" s="709" t="str">
        <f>IF(A450="","",'Rozpad zakázky'!IW466)</f>
        <v/>
      </c>
      <c r="G450" s="711" t="str">
        <f>IF(A450="","",'Rozpad zakázky'!AE466)</f>
        <v/>
      </c>
      <c r="H450" s="717" t="str">
        <f>IF(A450="","",'Rozpad zakázky'!AJ466)</f>
        <v/>
      </c>
      <c r="I450" s="748" t="str">
        <f>IF(A450="","",'Rozpad zakázky'!Q466)</f>
        <v/>
      </c>
      <c r="J450" s="717" t="str">
        <f>IF(A450="","",ROUNDDOWN('Rozpad zakázky'!L466,1))</f>
        <v/>
      </c>
      <c r="K450" s="745" t="str">
        <f>IF(A450="","",Tabulka_nakup_Vonka[[#This Row],[Počet MJHR v rozpadu]]*Tabulka_nakup_Vonka[[#This Row],[Jedn. hmotnost '[kg/MJHR']]])</f>
        <v/>
      </c>
    </row>
    <row r="451" spans="1:11" x14ac:dyDescent="0.35">
      <c r="A451" s="709" t="str">
        <f>IF('Rozpad zakázky'!E467=0,"",IF('Rozpad zakázky'!E467="-","",'Rozpad zakázky'!E467))</f>
        <v/>
      </c>
      <c r="B451" s="708" t="str">
        <f>IF(A451="","",IF(A451="","",VLOOKUP(A:A,Pomocna_Nakup[],3,0))&amp;" | "&amp;IF(A451="","",VLOOKUP(A:A,Pomocna_Nakup[],4,0)))</f>
        <v/>
      </c>
      <c r="C451" s="710" t="str">
        <f>IF(Tabulka_nakup_Vonka[[#This Row],[Zkratka kalkulační položky]]="","",Tabulka_nakup_Vonka[[#This Row],[Zkratka kalkulační položky]]&amp;" | "&amp;IF(A451="","",VLOOKUP(A:A,Pomocna_Nakup[],2,0)))</f>
        <v/>
      </c>
      <c r="D451" s="710" t="str">
        <f>IF(A451="","",'Rozpad zakázky'!F467)</f>
        <v/>
      </c>
      <c r="E451" s="710" t="str">
        <f>IF(A451="","",'Rozpad zakázky'!D467&amp;IF('Rozpad zakázky'!G467="",""," ("&amp;'Rozpad zakázky'!G467&amp;")"))</f>
        <v/>
      </c>
      <c r="F451" s="709" t="str">
        <f>IF(A451="","",'Rozpad zakázky'!IW467)</f>
        <v/>
      </c>
      <c r="G451" s="711" t="str">
        <f>IF(A451="","",'Rozpad zakázky'!AE467)</f>
        <v/>
      </c>
      <c r="H451" s="717" t="str">
        <f>IF(A451="","",'Rozpad zakázky'!AJ467)</f>
        <v/>
      </c>
      <c r="I451" s="748" t="str">
        <f>IF(A451="","",'Rozpad zakázky'!Q467)</f>
        <v/>
      </c>
      <c r="J451" s="717" t="str">
        <f>IF(A451="","",ROUNDDOWN('Rozpad zakázky'!L467,1))</f>
        <v/>
      </c>
      <c r="K451" s="745" t="str">
        <f>IF(A451="","",Tabulka_nakup_Vonka[[#This Row],[Počet MJHR v rozpadu]]*Tabulka_nakup_Vonka[[#This Row],[Jedn. hmotnost '[kg/MJHR']]])</f>
        <v/>
      </c>
    </row>
    <row r="452" spans="1:11" x14ac:dyDescent="0.35">
      <c r="A452" s="709" t="str">
        <f>IF('Rozpad zakázky'!E468=0,"",IF('Rozpad zakázky'!E468="-","",'Rozpad zakázky'!E468))</f>
        <v/>
      </c>
      <c r="B452" s="708" t="str">
        <f>IF(A452="","",IF(A452="","",VLOOKUP(A:A,Pomocna_Nakup[],3,0))&amp;" | "&amp;IF(A452="","",VLOOKUP(A:A,Pomocna_Nakup[],4,0)))</f>
        <v/>
      </c>
      <c r="C452" s="710" t="str">
        <f>IF(Tabulka_nakup_Vonka[[#This Row],[Zkratka kalkulační položky]]="","",Tabulka_nakup_Vonka[[#This Row],[Zkratka kalkulační položky]]&amp;" | "&amp;IF(A452="","",VLOOKUP(A:A,Pomocna_Nakup[],2,0)))</f>
        <v/>
      </c>
      <c r="D452" s="710" t="str">
        <f>IF(A452="","",'Rozpad zakázky'!F468)</f>
        <v/>
      </c>
      <c r="E452" s="710" t="str">
        <f>IF(A452="","",'Rozpad zakázky'!D468&amp;IF('Rozpad zakázky'!G468="",""," ("&amp;'Rozpad zakázky'!G468&amp;")"))</f>
        <v/>
      </c>
      <c r="F452" s="709" t="str">
        <f>IF(A452="","",'Rozpad zakázky'!IW468)</f>
        <v/>
      </c>
      <c r="G452" s="711" t="str">
        <f>IF(A452="","",'Rozpad zakázky'!AE468)</f>
        <v/>
      </c>
      <c r="H452" s="717" t="str">
        <f>IF(A452="","",'Rozpad zakázky'!AJ468)</f>
        <v/>
      </c>
      <c r="I452" s="748" t="str">
        <f>IF(A452="","",'Rozpad zakázky'!Q468)</f>
        <v/>
      </c>
      <c r="J452" s="717" t="str">
        <f>IF(A452="","",ROUNDDOWN('Rozpad zakázky'!L468,1))</f>
        <v/>
      </c>
      <c r="K452" s="745" t="str">
        <f>IF(A452="","",Tabulka_nakup_Vonka[[#This Row],[Počet MJHR v rozpadu]]*Tabulka_nakup_Vonka[[#This Row],[Jedn. hmotnost '[kg/MJHR']]])</f>
        <v/>
      </c>
    </row>
    <row r="453" spans="1:11" x14ac:dyDescent="0.35">
      <c r="A453" s="709" t="str">
        <f>IF('Rozpad zakázky'!E469=0,"",IF('Rozpad zakázky'!E469="-","",'Rozpad zakázky'!E469))</f>
        <v/>
      </c>
      <c r="B453" s="708" t="str">
        <f>IF(A453="","",IF(A453="","",VLOOKUP(A:A,Pomocna_Nakup[],3,0))&amp;" | "&amp;IF(A453="","",VLOOKUP(A:A,Pomocna_Nakup[],4,0)))</f>
        <v/>
      </c>
      <c r="C453" s="710" t="str">
        <f>IF(Tabulka_nakup_Vonka[[#This Row],[Zkratka kalkulační položky]]="","",Tabulka_nakup_Vonka[[#This Row],[Zkratka kalkulační položky]]&amp;" | "&amp;IF(A453="","",VLOOKUP(A:A,Pomocna_Nakup[],2,0)))</f>
        <v/>
      </c>
      <c r="D453" s="710" t="str">
        <f>IF(A453="","",'Rozpad zakázky'!F469)</f>
        <v/>
      </c>
      <c r="E453" s="710" t="str">
        <f>IF(A453="","",'Rozpad zakázky'!D469&amp;IF('Rozpad zakázky'!G469="",""," ("&amp;'Rozpad zakázky'!G469&amp;")"))</f>
        <v/>
      </c>
      <c r="F453" s="709" t="str">
        <f>IF(A453="","",'Rozpad zakázky'!IW469)</f>
        <v/>
      </c>
      <c r="G453" s="711" t="str">
        <f>IF(A453="","",'Rozpad zakázky'!AE469)</f>
        <v/>
      </c>
      <c r="H453" s="717" t="str">
        <f>IF(A453="","",'Rozpad zakázky'!AJ469)</f>
        <v/>
      </c>
      <c r="I453" s="748" t="str">
        <f>IF(A453="","",'Rozpad zakázky'!Q469)</f>
        <v/>
      </c>
      <c r="J453" s="717" t="str">
        <f>IF(A453="","",ROUNDDOWN('Rozpad zakázky'!L469,1))</f>
        <v/>
      </c>
      <c r="K453" s="745" t="str">
        <f>IF(A453="","",Tabulka_nakup_Vonka[[#This Row],[Počet MJHR v rozpadu]]*Tabulka_nakup_Vonka[[#This Row],[Jedn. hmotnost '[kg/MJHR']]])</f>
        <v/>
      </c>
    </row>
    <row r="454" spans="1:11" x14ac:dyDescent="0.35">
      <c r="A454" s="709" t="str">
        <f>IF('Rozpad zakázky'!E470=0,"",IF('Rozpad zakázky'!E470="-","",'Rozpad zakázky'!E470))</f>
        <v/>
      </c>
      <c r="B454" s="708" t="str">
        <f>IF(A454="","",IF(A454="","",VLOOKUP(A:A,Pomocna_Nakup[],3,0))&amp;" | "&amp;IF(A454="","",VLOOKUP(A:A,Pomocna_Nakup[],4,0)))</f>
        <v/>
      </c>
      <c r="C454" s="710" t="str">
        <f>IF(Tabulka_nakup_Vonka[[#This Row],[Zkratka kalkulační položky]]="","",Tabulka_nakup_Vonka[[#This Row],[Zkratka kalkulační položky]]&amp;" | "&amp;IF(A454="","",VLOOKUP(A:A,Pomocna_Nakup[],2,0)))</f>
        <v/>
      </c>
      <c r="D454" s="710" t="str">
        <f>IF(A454="","",'Rozpad zakázky'!F470)</f>
        <v/>
      </c>
      <c r="E454" s="710" t="str">
        <f>IF(A454="","",'Rozpad zakázky'!D470&amp;IF('Rozpad zakázky'!G470="",""," ("&amp;'Rozpad zakázky'!G470&amp;")"))</f>
        <v/>
      </c>
      <c r="F454" s="709" t="str">
        <f>IF(A454="","",'Rozpad zakázky'!IW470)</f>
        <v/>
      </c>
      <c r="G454" s="711" t="str">
        <f>IF(A454="","",'Rozpad zakázky'!AE470)</f>
        <v/>
      </c>
      <c r="H454" s="717" t="str">
        <f>IF(A454="","",'Rozpad zakázky'!AJ470)</f>
        <v/>
      </c>
      <c r="I454" s="748" t="str">
        <f>IF(A454="","",'Rozpad zakázky'!Q470)</f>
        <v/>
      </c>
      <c r="J454" s="717" t="str">
        <f>IF(A454="","",ROUNDDOWN('Rozpad zakázky'!L470,1))</f>
        <v/>
      </c>
      <c r="K454" s="745" t="str">
        <f>IF(A454="","",Tabulka_nakup_Vonka[[#This Row],[Počet MJHR v rozpadu]]*Tabulka_nakup_Vonka[[#This Row],[Jedn. hmotnost '[kg/MJHR']]])</f>
        <v/>
      </c>
    </row>
    <row r="455" spans="1:11" x14ac:dyDescent="0.35">
      <c r="A455" s="709" t="str">
        <f>IF('Rozpad zakázky'!E471=0,"",IF('Rozpad zakázky'!E471="-","",'Rozpad zakázky'!E471))</f>
        <v/>
      </c>
      <c r="B455" s="708" t="str">
        <f>IF(A455="","",IF(A455="","",VLOOKUP(A:A,Pomocna_Nakup[],3,0))&amp;" | "&amp;IF(A455="","",VLOOKUP(A:A,Pomocna_Nakup[],4,0)))</f>
        <v/>
      </c>
      <c r="C455" s="710" t="str">
        <f>IF(Tabulka_nakup_Vonka[[#This Row],[Zkratka kalkulační položky]]="","",Tabulka_nakup_Vonka[[#This Row],[Zkratka kalkulační položky]]&amp;" | "&amp;IF(A455="","",VLOOKUP(A:A,Pomocna_Nakup[],2,0)))</f>
        <v/>
      </c>
      <c r="D455" s="710" t="str">
        <f>IF(A455="","",'Rozpad zakázky'!F471)</f>
        <v/>
      </c>
      <c r="E455" s="710" t="str">
        <f>IF(A455="","",'Rozpad zakázky'!D471&amp;IF('Rozpad zakázky'!G471="",""," ("&amp;'Rozpad zakázky'!G471&amp;")"))</f>
        <v/>
      </c>
      <c r="F455" s="709" t="str">
        <f>IF(A455="","",'Rozpad zakázky'!IW471)</f>
        <v/>
      </c>
      <c r="G455" s="711" t="str">
        <f>IF(A455="","",'Rozpad zakázky'!AE471)</f>
        <v/>
      </c>
      <c r="H455" s="717" t="str">
        <f>IF(A455="","",'Rozpad zakázky'!AJ471)</f>
        <v/>
      </c>
      <c r="I455" s="748" t="str">
        <f>IF(A455="","",'Rozpad zakázky'!Q471)</f>
        <v/>
      </c>
      <c r="J455" s="717" t="str">
        <f>IF(A455="","",ROUNDDOWN('Rozpad zakázky'!L471,1))</f>
        <v/>
      </c>
      <c r="K455" s="745" t="str">
        <f>IF(A455="","",Tabulka_nakup_Vonka[[#This Row],[Počet MJHR v rozpadu]]*Tabulka_nakup_Vonka[[#This Row],[Jedn. hmotnost '[kg/MJHR']]])</f>
        <v/>
      </c>
    </row>
    <row r="456" spans="1:11" x14ac:dyDescent="0.35">
      <c r="A456" s="709" t="str">
        <f>IF('Rozpad zakázky'!E472=0,"",IF('Rozpad zakázky'!E472="-","",'Rozpad zakázky'!E472))</f>
        <v/>
      </c>
      <c r="B456" s="708" t="str">
        <f>IF(A456="","",IF(A456="","",VLOOKUP(A:A,Pomocna_Nakup[],3,0))&amp;" | "&amp;IF(A456="","",VLOOKUP(A:A,Pomocna_Nakup[],4,0)))</f>
        <v/>
      </c>
      <c r="C456" s="710" t="str">
        <f>IF(Tabulka_nakup_Vonka[[#This Row],[Zkratka kalkulační položky]]="","",Tabulka_nakup_Vonka[[#This Row],[Zkratka kalkulační položky]]&amp;" | "&amp;IF(A456="","",VLOOKUP(A:A,Pomocna_Nakup[],2,0)))</f>
        <v/>
      </c>
      <c r="D456" s="710" t="str">
        <f>IF(A456="","",'Rozpad zakázky'!F472)</f>
        <v/>
      </c>
      <c r="E456" s="710" t="str">
        <f>IF(A456="","",'Rozpad zakázky'!D472&amp;IF('Rozpad zakázky'!G472="",""," ("&amp;'Rozpad zakázky'!G472&amp;")"))</f>
        <v/>
      </c>
      <c r="F456" s="709" t="str">
        <f>IF(A456="","",'Rozpad zakázky'!IW472)</f>
        <v/>
      </c>
      <c r="G456" s="711" t="str">
        <f>IF(A456="","",'Rozpad zakázky'!AE472)</f>
        <v/>
      </c>
      <c r="H456" s="717" t="str">
        <f>IF(A456="","",'Rozpad zakázky'!AJ472)</f>
        <v/>
      </c>
      <c r="I456" s="748" t="str">
        <f>IF(A456="","",'Rozpad zakázky'!Q472)</f>
        <v/>
      </c>
      <c r="J456" s="717" t="str">
        <f>IF(A456="","",ROUNDDOWN('Rozpad zakázky'!L472,1))</f>
        <v/>
      </c>
      <c r="K456" s="745" t="str">
        <f>IF(A456="","",Tabulka_nakup_Vonka[[#This Row],[Počet MJHR v rozpadu]]*Tabulka_nakup_Vonka[[#This Row],[Jedn. hmotnost '[kg/MJHR']]])</f>
        <v/>
      </c>
    </row>
    <row r="457" spans="1:11" x14ac:dyDescent="0.35">
      <c r="A457" s="709" t="str">
        <f>IF('Rozpad zakázky'!E473=0,"",IF('Rozpad zakázky'!E473="-","",'Rozpad zakázky'!E473))</f>
        <v/>
      </c>
      <c r="B457" s="708" t="str">
        <f>IF(A457="","",IF(A457="","",VLOOKUP(A:A,Pomocna_Nakup[],3,0))&amp;" | "&amp;IF(A457="","",VLOOKUP(A:A,Pomocna_Nakup[],4,0)))</f>
        <v/>
      </c>
      <c r="C457" s="710" t="str">
        <f>IF(Tabulka_nakup_Vonka[[#This Row],[Zkratka kalkulační položky]]="","",Tabulka_nakup_Vonka[[#This Row],[Zkratka kalkulační položky]]&amp;" | "&amp;IF(A457="","",VLOOKUP(A:A,Pomocna_Nakup[],2,0)))</f>
        <v/>
      </c>
      <c r="D457" s="710" t="str">
        <f>IF(A457="","",'Rozpad zakázky'!F473)</f>
        <v/>
      </c>
      <c r="E457" s="710" t="str">
        <f>IF(A457="","",'Rozpad zakázky'!D473&amp;IF('Rozpad zakázky'!G473="",""," ("&amp;'Rozpad zakázky'!G473&amp;")"))</f>
        <v/>
      </c>
      <c r="F457" s="709" t="str">
        <f>IF(A457="","",'Rozpad zakázky'!IW473)</f>
        <v/>
      </c>
      <c r="G457" s="711" t="str">
        <f>IF(A457="","",'Rozpad zakázky'!AE473)</f>
        <v/>
      </c>
      <c r="H457" s="717" t="str">
        <f>IF(A457="","",'Rozpad zakázky'!AJ473)</f>
        <v/>
      </c>
      <c r="I457" s="748" t="str">
        <f>IF(A457="","",'Rozpad zakázky'!Q473)</f>
        <v/>
      </c>
      <c r="J457" s="717" t="str">
        <f>IF(A457="","",ROUNDDOWN('Rozpad zakázky'!L473,1))</f>
        <v/>
      </c>
      <c r="K457" s="745" t="str">
        <f>IF(A457="","",Tabulka_nakup_Vonka[[#This Row],[Počet MJHR v rozpadu]]*Tabulka_nakup_Vonka[[#This Row],[Jedn. hmotnost '[kg/MJHR']]])</f>
        <v/>
      </c>
    </row>
    <row r="458" spans="1:11" x14ac:dyDescent="0.35">
      <c r="A458" s="709" t="str">
        <f>IF('Rozpad zakázky'!E474=0,"",IF('Rozpad zakázky'!E474="-","",'Rozpad zakázky'!E474))</f>
        <v/>
      </c>
      <c r="B458" s="708" t="str">
        <f>IF(A458="","",IF(A458="","",VLOOKUP(A:A,Pomocna_Nakup[],3,0))&amp;" | "&amp;IF(A458="","",VLOOKUP(A:A,Pomocna_Nakup[],4,0)))</f>
        <v/>
      </c>
      <c r="C458" s="710" t="str">
        <f>IF(Tabulka_nakup_Vonka[[#This Row],[Zkratka kalkulační položky]]="","",Tabulka_nakup_Vonka[[#This Row],[Zkratka kalkulační položky]]&amp;" | "&amp;IF(A458="","",VLOOKUP(A:A,Pomocna_Nakup[],2,0)))</f>
        <v/>
      </c>
      <c r="D458" s="710" t="str">
        <f>IF(A458="","",'Rozpad zakázky'!F474)</f>
        <v/>
      </c>
      <c r="E458" s="710" t="str">
        <f>IF(A458="","",'Rozpad zakázky'!D474&amp;IF('Rozpad zakázky'!G474="",""," ("&amp;'Rozpad zakázky'!G474&amp;")"))</f>
        <v/>
      </c>
      <c r="F458" s="709" t="str">
        <f>IF(A458="","",'Rozpad zakázky'!IW474)</f>
        <v/>
      </c>
      <c r="G458" s="711" t="str">
        <f>IF(A458="","",'Rozpad zakázky'!AE474)</f>
        <v/>
      </c>
      <c r="H458" s="717" t="str">
        <f>IF(A458="","",'Rozpad zakázky'!AJ474)</f>
        <v/>
      </c>
      <c r="I458" s="748" t="str">
        <f>IF(A458="","",'Rozpad zakázky'!Q474)</f>
        <v/>
      </c>
      <c r="J458" s="717" t="str">
        <f>IF(A458="","",ROUNDDOWN('Rozpad zakázky'!L474,1))</f>
        <v/>
      </c>
      <c r="K458" s="745" t="str">
        <f>IF(A458="","",Tabulka_nakup_Vonka[[#This Row],[Počet MJHR v rozpadu]]*Tabulka_nakup_Vonka[[#This Row],[Jedn. hmotnost '[kg/MJHR']]])</f>
        <v/>
      </c>
    </row>
    <row r="459" spans="1:11" x14ac:dyDescent="0.35">
      <c r="A459" s="709" t="str">
        <f>IF('Rozpad zakázky'!E475=0,"",IF('Rozpad zakázky'!E475="-","",'Rozpad zakázky'!E475))</f>
        <v/>
      </c>
      <c r="B459" s="708" t="str">
        <f>IF(A459="","",IF(A459="","",VLOOKUP(A:A,Pomocna_Nakup[],3,0))&amp;" | "&amp;IF(A459="","",VLOOKUP(A:A,Pomocna_Nakup[],4,0)))</f>
        <v/>
      </c>
      <c r="C459" s="710" t="str">
        <f>IF(Tabulka_nakup_Vonka[[#This Row],[Zkratka kalkulační položky]]="","",Tabulka_nakup_Vonka[[#This Row],[Zkratka kalkulační položky]]&amp;" | "&amp;IF(A459="","",VLOOKUP(A:A,Pomocna_Nakup[],2,0)))</f>
        <v/>
      </c>
      <c r="D459" s="710" t="str">
        <f>IF(A459="","",'Rozpad zakázky'!F475)</f>
        <v/>
      </c>
      <c r="E459" s="710" t="str">
        <f>IF(A459="","",'Rozpad zakázky'!D475&amp;IF('Rozpad zakázky'!G475="",""," ("&amp;'Rozpad zakázky'!G475&amp;")"))</f>
        <v/>
      </c>
      <c r="F459" s="709" t="str">
        <f>IF(A459="","",'Rozpad zakázky'!IW475)</f>
        <v/>
      </c>
      <c r="G459" s="711" t="str">
        <f>IF(A459="","",'Rozpad zakázky'!AE475)</f>
        <v/>
      </c>
      <c r="H459" s="717" t="str">
        <f>IF(A459="","",'Rozpad zakázky'!AJ475)</f>
        <v/>
      </c>
      <c r="I459" s="748" t="str">
        <f>IF(A459="","",'Rozpad zakázky'!Q475)</f>
        <v/>
      </c>
      <c r="J459" s="717" t="str">
        <f>IF(A459="","",ROUNDDOWN('Rozpad zakázky'!L475,1))</f>
        <v/>
      </c>
      <c r="K459" s="745" t="str">
        <f>IF(A459="","",Tabulka_nakup_Vonka[[#This Row],[Počet MJHR v rozpadu]]*Tabulka_nakup_Vonka[[#This Row],[Jedn. hmotnost '[kg/MJHR']]])</f>
        <v/>
      </c>
    </row>
    <row r="460" spans="1:11" x14ac:dyDescent="0.35">
      <c r="A460" s="709" t="str">
        <f>IF('Rozpad zakázky'!E476=0,"",IF('Rozpad zakázky'!E476="-","",'Rozpad zakázky'!E476))</f>
        <v/>
      </c>
      <c r="B460" s="708" t="str">
        <f>IF(A460="","",IF(A460="","",VLOOKUP(A:A,Pomocna_Nakup[],3,0))&amp;" | "&amp;IF(A460="","",VLOOKUP(A:A,Pomocna_Nakup[],4,0)))</f>
        <v/>
      </c>
      <c r="C460" s="710" t="str">
        <f>IF(Tabulka_nakup_Vonka[[#This Row],[Zkratka kalkulační položky]]="","",Tabulka_nakup_Vonka[[#This Row],[Zkratka kalkulační položky]]&amp;" | "&amp;IF(A460="","",VLOOKUP(A:A,Pomocna_Nakup[],2,0)))</f>
        <v/>
      </c>
      <c r="D460" s="710" t="str">
        <f>IF(A460="","",'Rozpad zakázky'!F476)</f>
        <v/>
      </c>
      <c r="E460" s="710" t="str">
        <f>IF(A460="","",'Rozpad zakázky'!D476&amp;IF('Rozpad zakázky'!G476="",""," ("&amp;'Rozpad zakázky'!G476&amp;")"))</f>
        <v/>
      </c>
      <c r="F460" s="709" t="str">
        <f>IF(A460="","",'Rozpad zakázky'!IW476)</f>
        <v/>
      </c>
      <c r="G460" s="711" t="str">
        <f>IF(A460="","",'Rozpad zakázky'!AE476)</f>
        <v/>
      </c>
      <c r="H460" s="717" t="str">
        <f>IF(A460="","",'Rozpad zakázky'!AJ476)</f>
        <v/>
      </c>
      <c r="I460" s="748" t="str">
        <f>IF(A460="","",'Rozpad zakázky'!Q476)</f>
        <v/>
      </c>
      <c r="J460" s="717" t="str">
        <f>IF(A460="","",ROUNDDOWN('Rozpad zakázky'!L476,1))</f>
        <v/>
      </c>
      <c r="K460" s="745" t="str">
        <f>IF(A460="","",Tabulka_nakup_Vonka[[#This Row],[Počet MJHR v rozpadu]]*Tabulka_nakup_Vonka[[#This Row],[Jedn. hmotnost '[kg/MJHR']]])</f>
        <v/>
      </c>
    </row>
    <row r="461" spans="1:11" x14ac:dyDescent="0.35">
      <c r="A461" s="709" t="str">
        <f>IF('Rozpad zakázky'!E477=0,"",IF('Rozpad zakázky'!E477="-","",'Rozpad zakázky'!E477))</f>
        <v/>
      </c>
      <c r="B461" s="708" t="str">
        <f>IF(A461="","",IF(A461="","",VLOOKUP(A:A,Pomocna_Nakup[],3,0))&amp;" | "&amp;IF(A461="","",VLOOKUP(A:A,Pomocna_Nakup[],4,0)))</f>
        <v/>
      </c>
      <c r="C461" s="710" t="str">
        <f>IF(Tabulka_nakup_Vonka[[#This Row],[Zkratka kalkulační položky]]="","",Tabulka_nakup_Vonka[[#This Row],[Zkratka kalkulační položky]]&amp;" | "&amp;IF(A461="","",VLOOKUP(A:A,Pomocna_Nakup[],2,0)))</f>
        <v/>
      </c>
      <c r="D461" s="710" t="str">
        <f>IF(A461="","",'Rozpad zakázky'!F477)</f>
        <v/>
      </c>
      <c r="E461" s="710" t="str">
        <f>IF(A461="","",'Rozpad zakázky'!D477&amp;IF('Rozpad zakázky'!G477="",""," ("&amp;'Rozpad zakázky'!G477&amp;")"))</f>
        <v/>
      </c>
      <c r="F461" s="709" t="str">
        <f>IF(A461="","",'Rozpad zakázky'!IW477)</f>
        <v/>
      </c>
      <c r="G461" s="711" t="str">
        <f>IF(A461="","",'Rozpad zakázky'!AE477)</f>
        <v/>
      </c>
      <c r="H461" s="717" t="str">
        <f>IF(A461="","",'Rozpad zakázky'!AJ477)</f>
        <v/>
      </c>
      <c r="I461" s="748" t="str">
        <f>IF(A461="","",'Rozpad zakázky'!Q477)</f>
        <v/>
      </c>
      <c r="J461" s="717" t="str">
        <f>IF(A461="","",ROUNDDOWN('Rozpad zakázky'!L477,1))</f>
        <v/>
      </c>
      <c r="K461" s="745" t="str">
        <f>IF(A461="","",Tabulka_nakup_Vonka[[#This Row],[Počet MJHR v rozpadu]]*Tabulka_nakup_Vonka[[#This Row],[Jedn. hmotnost '[kg/MJHR']]])</f>
        <v/>
      </c>
    </row>
    <row r="462" spans="1:11" x14ac:dyDescent="0.35">
      <c r="A462" s="709" t="str">
        <f>IF('Rozpad zakázky'!E478=0,"",IF('Rozpad zakázky'!E478="-","",'Rozpad zakázky'!E478))</f>
        <v/>
      </c>
      <c r="B462" s="708" t="str">
        <f>IF(A462="","",IF(A462="","",VLOOKUP(A:A,Pomocna_Nakup[],3,0))&amp;" | "&amp;IF(A462="","",VLOOKUP(A:A,Pomocna_Nakup[],4,0)))</f>
        <v/>
      </c>
      <c r="C462" s="710" t="str">
        <f>IF(Tabulka_nakup_Vonka[[#This Row],[Zkratka kalkulační položky]]="","",Tabulka_nakup_Vonka[[#This Row],[Zkratka kalkulační položky]]&amp;" | "&amp;IF(A462="","",VLOOKUP(A:A,Pomocna_Nakup[],2,0)))</f>
        <v/>
      </c>
      <c r="D462" s="710" t="str">
        <f>IF(A462="","",'Rozpad zakázky'!F478)</f>
        <v/>
      </c>
      <c r="E462" s="710" t="str">
        <f>IF(A462="","",'Rozpad zakázky'!D478&amp;IF('Rozpad zakázky'!G478="",""," ("&amp;'Rozpad zakázky'!G478&amp;")"))</f>
        <v/>
      </c>
      <c r="F462" s="709" t="str">
        <f>IF(A462="","",'Rozpad zakázky'!IW478)</f>
        <v/>
      </c>
      <c r="G462" s="711" t="str">
        <f>IF(A462="","",'Rozpad zakázky'!AE478)</f>
        <v/>
      </c>
      <c r="H462" s="717" t="str">
        <f>IF(A462="","",'Rozpad zakázky'!AJ478)</f>
        <v/>
      </c>
      <c r="I462" s="748" t="str">
        <f>IF(A462="","",'Rozpad zakázky'!Q478)</f>
        <v/>
      </c>
      <c r="J462" s="717" t="str">
        <f>IF(A462="","",ROUNDDOWN('Rozpad zakázky'!L478,1))</f>
        <v/>
      </c>
      <c r="K462" s="745" t="str">
        <f>IF(A462="","",Tabulka_nakup_Vonka[[#This Row],[Počet MJHR v rozpadu]]*Tabulka_nakup_Vonka[[#This Row],[Jedn. hmotnost '[kg/MJHR']]])</f>
        <v/>
      </c>
    </row>
    <row r="463" spans="1:11" x14ac:dyDescent="0.35">
      <c r="A463" s="709" t="str">
        <f>IF('Rozpad zakázky'!E479=0,"",IF('Rozpad zakázky'!E479="-","",'Rozpad zakázky'!E479))</f>
        <v/>
      </c>
      <c r="B463" s="708" t="str">
        <f>IF(A463="","",IF(A463="","",VLOOKUP(A:A,Pomocna_Nakup[],3,0))&amp;" | "&amp;IF(A463="","",VLOOKUP(A:A,Pomocna_Nakup[],4,0)))</f>
        <v/>
      </c>
      <c r="C463" s="710" t="str">
        <f>IF(Tabulka_nakup_Vonka[[#This Row],[Zkratka kalkulační položky]]="","",Tabulka_nakup_Vonka[[#This Row],[Zkratka kalkulační položky]]&amp;" | "&amp;IF(A463="","",VLOOKUP(A:A,Pomocna_Nakup[],2,0)))</f>
        <v/>
      </c>
      <c r="D463" s="710" t="str">
        <f>IF(A463="","",'Rozpad zakázky'!F479)</f>
        <v/>
      </c>
      <c r="E463" s="710" t="str">
        <f>IF(A463="","",'Rozpad zakázky'!D479&amp;IF('Rozpad zakázky'!G479="",""," ("&amp;'Rozpad zakázky'!G479&amp;")"))</f>
        <v/>
      </c>
      <c r="F463" s="709" t="str">
        <f>IF(A463="","",'Rozpad zakázky'!IW479)</f>
        <v/>
      </c>
      <c r="G463" s="711" t="str">
        <f>IF(A463="","",'Rozpad zakázky'!AE479)</f>
        <v/>
      </c>
      <c r="H463" s="717" t="str">
        <f>IF(A463="","",'Rozpad zakázky'!AJ479)</f>
        <v/>
      </c>
      <c r="I463" s="748" t="str">
        <f>IF(A463="","",'Rozpad zakázky'!Q479)</f>
        <v/>
      </c>
      <c r="J463" s="717" t="str">
        <f>IF(A463="","",ROUNDDOWN('Rozpad zakázky'!L479,1))</f>
        <v/>
      </c>
      <c r="K463" s="745" t="str">
        <f>IF(A463="","",Tabulka_nakup_Vonka[[#This Row],[Počet MJHR v rozpadu]]*Tabulka_nakup_Vonka[[#This Row],[Jedn. hmotnost '[kg/MJHR']]])</f>
        <v/>
      </c>
    </row>
    <row r="464" spans="1:11" x14ac:dyDescent="0.35">
      <c r="A464" s="709" t="str">
        <f>IF('Rozpad zakázky'!E480=0,"",IF('Rozpad zakázky'!E480="-","",'Rozpad zakázky'!E480))</f>
        <v/>
      </c>
      <c r="B464" s="708" t="str">
        <f>IF(A464="","",IF(A464="","",VLOOKUP(A:A,Pomocna_Nakup[],3,0))&amp;" | "&amp;IF(A464="","",VLOOKUP(A:A,Pomocna_Nakup[],4,0)))</f>
        <v/>
      </c>
      <c r="C464" s="710" t="str">
        <f>IF(Tabulka_nakup_Vonka[[#This Row],[Zkratka kalkulační položky]]="","",Tabulka_nakup_Vonka[[#This Row],[Zkratka kalkulační položky]]&amp;" | "&amp;IF(A464="","",VLOOKUP(A:A,Pomocna_Nakup[],2,0)))</f>
        <v/>
      </c>
      <c r="D464" s="710" t="str">
        <f>IF(A464="","",'Rozpad zakázky'!F480)</f>
        <v/>
      </c>
      <c r="E464" s="710" t="str">
        <f>IF(A464="","",'Rozpad zakázky'!D480&amp;IF('Rozpad zakázky'!G480="",""," ("&amp;'Rozpad zakázky'!G480&amp;")"))</f>
        <v/>
      </c>
      <c r="F464" s="709" t="str">
        <f>IF(A464="","",'Rozpad zakázky'!IW480)</f>
        <v/>
      </c>
      <c r="G464" s="711" t="str">
        <f>IF(A464="","",'Rozpad zakázky'!AE480)</f>
        <v/>
      </c>
      <c r="H464" s="717" t="str">
        <f>IF(A464="","",'Rozpad zakázky'!AJ480)</f>
        <v/>
      </c>
      <c r="I464" s="748" t="str">
        <f>IF(A464="","",'Rozpad zakázky'!Q480)</f>
        <v/>
      </c>
      <c r="J464" s="717" t="str">
        <f>IF(A464="","",ROUNDDOWN('Rozpad zakázky'!L480,1))</f>
        <v/>
      </c>
      <c r="K464" s="745" t="str">
        <f>IF(A464="","",Tabulka_nakup_Vonka[[#This Row],[Počet MJHR v rozpadu]]*Tabulka_nakup_Vonka[[#This Row],[Jedn. hmotnost '[kg/MJHR']]])</f>
        <v/>
      </c>
    </row>
    <row r="465" spans="1:11" x14ac:dyDescent="0.35">
      <c r="A465" s="709" t="str">
        <f>IF('Rozpad zakázky'!E481=0,"",IF('Rozpad zakázky'!E481="-","",'Rozpad zakázky'!E481))</f>
        <v/>
      </c>
      <c r="B465" s="708" t="str">
        <f>IF(A465="","",IF(A465="","",VLOOKUP(A:A,Pomocna_Nakup[],3,0))&amp;" | "&amp;IF(A465="","",VLOOKUP(A:A,Pomocna_Nakup[],4,0)))</f>
        <v/>
      </c>
      <c r="C465" s="710" t="str">
        <f>IF(Tabulka_nakup_Vonka[[#This Row],[Zkratka kalkulační položky]]="","",Tabulka_nakup_Vonka[[#This Row],[Zkratka kalkulační položky]]&amp;" | "&amp;IF(A465="","",VLOOKUP(A:A,Pomocna_Nakup[],2,0)))</f>
        <v/>
      </c>
      <c r="D465" s="710" t="str">
        <f>IF(A465="","",'Rozpad zakázky'!F481)</f>
        <v/>
      </c>
      <c r="E465" s="710" t="str">
        <f>IF(A465="","",'Rozpad zakázky'!D481&amp;IF('Rozpad zakázky'!G481="",""," ("&amp;'Rozpad zakázky'!G481&amp;")"))</f>
        <v/>
      </c>
      <c r="F465" s="709" t="str">
        <f>IF(A465="","",'Rozpad zakázky'!IW481)</f>
        <v/>
      </c>
      <c r="G465" s="711" t="str">
        <f>IF(A465="","",'Rozpad zakázky'!AE481)</f>
        <v/>
      </c>
      <c r="H465" s="717" t="str">
        <f>IF(A465="","",'Rozpad zakázky'!AJ481)</f>
        <v/>
      </c>
      <c r="I465" s="748" t="str">
        <f>IF(A465="","",'Rozpad zakázky'!Q481)</f>
        <v/>
      </c>
      <c r="J465" s="717" t="str">
        <f>IF(A465="","",ROUNDDOWN('Rozpad zakázky'!L481,1))</f>
        <v/>
      </c>
      <c r="K465" s="745" t="str">
        <f>IF(A465="","",Tabulka_nakup_Vonka[[#This Row],[Počet MJHR v rozpadu]]*Tabulka_nakup_Vonka[[#This Row],[Jedn. hmotnost '[kg/MJHR']]])</f>
        <v/>
      </c>
    </row>
    <row r="466" spans="1:11" x14ac:dyDescent="0.35">
      <c r="A466" s="709" t="str">
        <f>IF('Rozpad zakázky'!E482=0,"",IF('Rozpad zakázky'!E482="-","",'Rozpad zakázky'!E482))</f>
        <v/>
      </c>
      <c r="B466" s="708" t="str">
        <f>IF(A466="","",IF(A466="","",VLOOKUP(A:A,Pomocna_Nakup[],3,0))&amp;" | "&amp;IF(A466="","",VLOOKUP(A:A,Pomocna_Nakup[],4,0)))</f>
        <v/>
      </c>
      <c r="C466" s="710" t="str">
        <f>IF(Tabulka_nakup_Vonka[[#This Row],[Zkratka kalkulační položky]]="","",Tabulka_nakup_Vonka[[#This Row],[Zkratka kalkulační položky]]&amp;" | "&amp;IF(A466="","",VLOOKUP(A:A,Pomocna_Nakup[],2,0)))</f>
        <v/>
      </c>
      <c r="D466" s="710" t="str">
        <f>IF(A466="","",'Rozpad zakázky'!F482)</f>
        <v/>
      </c>
      <c r="E466" s="710" t="str">
        <f>IF(A466="","",'Rozpad zakázky'!D482&amp;IF('Rozpad zakázky'!G482="",""," ("&amp;'Rozpad zakázky'!G482&amp;")"))</f>
        <v/>
      </c>
      <c r="F466" s="709" t="str">
        <f>IF(A466="","",'Rozpad zakázky'!IW482)</f>
        <v/>
      </c>
      <c r="G466" s="711" t="str">
        <f>IF(A466="","",'Rozpad zakázky'!AE482)</f>
        <v/>
      </c>
      <c r="H466" s="717" t="str">
        <f>IF(A466="","",'Rozpad zakázky'!AJ482)</f>
        <v/>
      </c>
      <c r="I466" s="748" t="str">
        <f>IF(A466="","",'Rozpad zakázky'!Q482)</f>
        <v/>
      </c>
      <c r="J466" s="717" t="str">
        <f>IF(A466="","",ROUNDDOWN('Rozpad zakázky'!L482,1))</f>
        <v/>
      </c>
      <c r="K466" s="745" t="str">
        <f>IF(A466="","",Tabulka_nakup_Vonka[[#This Row],[Počet MJHR v rozpadu]]*Tabulka_nakup_Vonka[[#This Row],[Jedn. hmotnost '[kg/MJHR']]])</f>
        <v/>
      </c>
    </row>
    <row r="467" spans="1:11" x14ac:dyDescent="0.35">
      <c r="A467" s="709" t="str">
        <f>IF('Rozpad zakázky'!E483=0,"",IF('Rozpad zakázky'!E483="-","",'Rozpad zakázky'!E483))</f>
        <v/>
      </c>
      <c r="B467" s="708" t="str">
        <f>IF(A467="","",IF(A467="","",VLOOKUP(A:A,Pomocna_Nakup[],3,0))&amp;" | "&amp;IF(A467="","",VLOOKUP(A:A,Pomocna_Nakup[],4,0)))</f>
        <v/>
      </c>
      <c r="C467" s="710" t="str">
        <f>IF(Tabulka_nakup_Vonka[[#This Row],[Zkratka kalkulační položky]]="","",Tabulka_nakup_Vonka[[#This Row],[Zkratka kalkulační položky]]&amp;" | "&amp;IF(A467="","",VLOOKUP(A:A,Pomocna_Nakup[],2,0)))</f>
        <v/>
      </c>
      <c r="D467" s="710" t="str">
        <f>IF(A467="","",'Rozpad zakázky'!F483)</f>
        <v/>
      </c>
      <c r="E467" s="710" t="str">
        <f>IF(A467="","",'Rozpad zakázky'!D483&amp;IF('Rozpad zakázky'!G483="",""," ("&amp;'Rozpad zakázky'!G483&amp;")"))</f>
        <v/>
      </c>
      <c r="F467" s="709" t="str">
        <f>IF(A467="","",'Rozpad zakázky'!IW483)</f>
        <v/>
      </c>
      <c r="G467" s="711" t="str">
        <f>IF(A467="","",'Rozpad zakázky'!AE483)</f>
        <v/>
      </c>
      <c r="H467" s="717" t="str">
        <f>IF(A467="","",'Rozpad zakázky'!AJ483)</f>
        <v/>
      </c>
      <c r="I467" s="748" t="str">
        <f>IF(A467="","",'Rozpad zakázky'!Q483)</f>
        <v/>
      </c>
      <c r="J467" s="717" t="str">
        <f>IF(A467="","",ROUNDDOWN('Rozpad zakázky'!L483,1))</f>
        <v/>
      </c>
      <c r="K467" s="745" t="str">
        <f>IF(A467="","",Tabulka_nakup_Vonka[[#This Row],[Počet MJHR v rozpadu]]*Tabulka_nakup_Vonka[[#This Row],[Jedn. hmotnost '[kg/MJHR']]])</f>
        <v/>
      </c>
    </row>
    <row r="468" spans="1:11" x14ac:dyDescent="0.35">
      <c r="A468" s="709" t="str">
        <f>IF('Rozpad zakázky'!E484=0,"",IF('Rozpad zakázky'!E484="-","",'Rozpad zakázky'!E484))</f>
        <v/>
      </c>
      <c r="B468" s="708" t="str">
        <f>IF(A468="","",IF(A468="","",VLOOKUP(A:A,Pomocna_Nakup[],3,0))&amp;" | "&amp;IF(A468="","",VLOOKUP(A:A,Pomocna_Nakup[],4,0)))</f>
        <v/>
      </c>
      <c r="C468" s="710" t="str">
        <f>IF(Tabulka_nakup_Vonka[[#This Row],[Zkratka kalkulační položky]]="","",Tabulka_nakup_Vonka[[#This Row],[Zkratka kalkulační položky]]&amp;" | "&amp;IF(A468="","",VLOOKUP(A:A,Pomocna_Nakup[],2,0)))</f>
        <v/>
      </c>
      <c r="D468" s="710" t="str">
        <f>IF(A468="","",'Rozpad zakázky'!F484)</f>
        <v/>
      </c>
      <c r="E468" s="710" t="str">
        <f>IF(A468="","",'Rozpad zakázky'!D484&amp;IF('Rozpad zakázky'!G484="",""," ("&amp;'Rozpad zakázky'!G484&amp;")"))</f>
        <v/>
      </c>
      <c r="F468" s="709" t="str">
        <f>IF(A468="","",'Rozpad zakázky'!IW484)</f>
        <v/>
      </c>
      <c r="G468" s="711" t="str">
        <f>IF(A468="","",'Rozpad zakázky'!AE484)</f>
        <v/>
      </c>
      <c r="H468" s="717" t="str">
        <f>IF(A468="","",'Rozpad zakázky'!AJ484)</f>
        <v/>
      </c>
      <c r="I468" s="748" t="str">
        <f>IF(A468="","",'Rozpad zakázky'!Q484)</f>
        <v/>
      </c>
      <c r="J468" s="717" t="str">
        <f>IF(A468="","",ROUNDDOWN('Rozpad zakázky'!L484,1))</f>
        <v/>
      </c>
      <c r="K468" s="745" t="str">
        <f>IF(A468="","",Tabulka_nakup_Vonka[[#This Row],[Počet MJHR v rozpadu]]*Tabulka_nakup_Vonka[[#This Row],[Jedn. hmotnost '[kg/MJHR']]])</f>
        <v/>
      </c>
    </row>
    <row r="469" spans="1:11" x14ac:dyDescent="0.35">
      <c r="A469" s="709" t="str">
        <f>IF('Rozpad zakázky'!E485=0,"",IF('Rozpad zakázky'!E485="-","",'Rozpad zakázky'!E485))</f>
        <v/>
      </c>
      <c r="B469" s="708" t="str">
        <f>IF(A469="","",IF(A469="","",VLOOKUP(A:A,Pomocna_Nakup[],3,0))&amp;" | "&amp;IF(A469="","",VLOOKUP(A:A,Pomocna_Nakup[],4,0)))</f>
        <v/>
      </c>
      <c r="C469" s="710" t="str">
        <f>IF(Tabulka_nakup_Vonka[[#This Row],[Zkratka kalkulační položky]]="","",Tabulka_nakup_Vonka[[#This Row],[Zkratka kalkulační položky]]&amp;" | "&amp;IF(A469="","",VLOOKUP(A:A,Pomocna_Nakup[],2,0)))</f>
        <v/>
      </c>
      <c r="D469" s="710" t="str">
        <f>IF(A469="","",'Rozpad zakázky'!F485)</f>
        <v/>
      </c>
      <c r="E469" s="710" t="str">
        <f>IF(A469="","",'Rozpad zakázky'!D485&amp;IF('Rozpad zakázky'!G485="",""," ("&amp;'Rozpad zakázky'!G485&amp;")"))</f>
        <v/>
      </c>
      <c r="F469" s="709" t="str">
        <f>IF(A469="","",'Rozpad zakázky'!IW485)</f>
        <v/>
      </c>
      <c r="G469" s="711" t="str">
        <f>IF(A469="","",'Rozpad zakázky'!AE485)</f>
        <v/>
      </c>
      <c r="H469" s="717" t="str">
        <f>IF(A469="","",'Rozpad zakázky'!AJ485)</f>
        <v/>
      </c>
      <c r="I469" s="748" t="str">
        <f>IF(A469="","",'Rozpad zakázky'!Q485)</f>
        <v/>
      </c>
      <c r="J469" s="717" t="str">
        <f>IF(A469="","",ROUNDDOWN('Rozpad zakázky'!L485,1))</f>
        <v/>
      </c>
      <c r="K469" s="745" t="str">
        <f>IF(A469="","",Tabulka_nakup_Vonka[[#This Row],[Počet MJHR v rozpadu]]*Tabulka_nakup_Vonka[[#This Row],[Jedn. hmotnost '[kg/MJHR']]])</f>
        <v/>
      </c>
    </row>
    <row r="470" spans="1:11" x14ac:dyDescent="0.35">
      <c r="A470" s="709" t="str">
        <f>IF('Rozpad zakázky'!E486=0,"",IF('Rozpad zakázky'!E486="-","",'Rozpad zakázky'!E486))</f>
        <v/>
      </c>
      <c r="B470" s="708" t="str">
        <f>IF(A470="","",IF(A470="","",VLOOKUP(A:A,Pomocna_Nakup[],3,0))&amp;" | "&amp;IF(A470="","",VLOOKUP(A:A,Pomocna_Nakup[],4,0)))</f>
        <v/>
      </c>
      <c r="C470" s="710" t="str">
        <f>IF(Tabulka_nakup_Vonka[[#This Row],[Zkratka kalkulační položky]]="","",Tabulka_nakup_Vonka[[#This Row],[Zkratka kalkulační položky]]&amp;" | "&amp;IF(A470="","",VLOOKUP(A:A,Pomocna_Nakup[],2,0)))</f>
        <v/>
      </c>
      <c r="D470" s="710" t="str">
        <f>IF(A470="","",'Rozpad zakázky'!F486)</f>
        <v/>
      </c>
      <c r="E470" s="710" t="str">
        <f>IF(A470="","",'Rozpad zakázky'!D486&amp;IF('Rozpad zakázky'!G486="",""," ("&amp;'Rozpad zakázky'!G486&amp;")"))</f>
        <v/>
      </c>
      <c r="F470" s="709" t="str">
        <f>IF(A470="","",'Rozpad zakázky'!IW486)</f>
        <v/>
      </c>
      <c r="G470" s="711" t="str">
        <f>IF(A470="","",'Rozpad zakázky'!AE486)</f>
        <v/>
      </c>
      <c r="H470" s="717" t="str">
        <f>IF(A470="","",'Rozpad zakázky'!AJ486)</f>
        <v/>
      </c>
      <c r="I470" s="748" t="str">
        <f>IF(A470="","",'Rozpad zakázky'!Q486)</f>
        <v/>
      </c>
      <c r="J470" s="717" t="str">
        <f>IF(A470="","",ROUNDDOWN('Rozpad zakázky'!L486,1))</f>
        <v/>
      </c>
      <c r="K470" s="745" t="str">
        <f>IF(A470="","",Tabulka_nakup_Vonka[[#This Row],[Počet MJHR v rozpadu]]*Tabulka_nakup_Vonka[[#This Row],[Jedn. hmotnost '[kg/MJHR']]])</f>
        <v/>
      </c>
    </row>
    <row r="471" spans="1:11" x14ac:dyDescent="0.35">
      <c r="A471" s="709" t="str">
        <f>IF('Rozpad zakázky'!E487=0,"",IF('Rozpad zakázky'!E487="-","",'Rozpad zakázky'!E487))</f>
        <v/>
      </c>
      <c r="B471" s="708" t="str">
        <f>IF(A471="","",IF(A471="","",VLOOKUP(A:A,Pomocna_Nakup[],3,0))&amp;" | "&amp;IF(A471="","",VLOOKUP(A:A,Pomocna_Nakup[],4,0)))</f>
        <v/>
      </c>
      <c r="C471" s="710" t="str">
        <f>IF(Tabulka_nakup_Vonka[[#This Row],[Zkratka kalkulační položky]]="","",Tabulka_nakup_Vonka[[#This Row],[Zkratka kalkulační položky]]&amp;" | "&amp;IF(A471="","",VLOOKUP(A:A,Pomocna_Nakup[],2,0)))</f>
        <v/>
      </c>
      <c r="D471" s="710" t="str">
        <f>IF(A471="","",'Rozpad zakázky'!F487)</f>
        <v/>
      </c>
      <c r="E471" s="710" t="str">
        <f>IF(A471="","",'Rozpad zakázky'!D487&amp;IF('Rozpad zakázky'!G487="",""," ("&amp;'Rozpad zakázky'!G487&amp;")"))</f>
        <v/>
      </c>
      <c r="F471" s="709" t="str">
        <f>IF(A471="","",'Rozpad zakázky'!IW487)</f>
        <v/>
      </c>
      <c r="G471" s="711" t="str">
        <f>IF(A471="","",'Rozpad zakázky'!AE487)</f>
        <v/>
      </c>
      <c r="H471" s="717" t="str">
        <f>IF(A471="","",'Rozpad zakázky'!AJ487)</f>
        <v/>
      </c>
      <c r="I471" s="748" t="str">
        <f>IF(A471="","",'Rozpad zakázky'!Q487)</f>
        <v/>
      </c>
      <c r="J471" s="717" t="str">
        <f>IF(A471="","",ROUNDDOWN('Rozpad zakázky'!L487,1))</f>
        <v/>
      </c>
      <c r="K471" s="745" t="str">
        <f>IF(A471="","",Tabulka_nakup_Vonka[[#This Row],[Počet MJHR v rozpadu]]*Tabulka_nakup_Vonka[[#This Row],[Jedn. hmotnost '[kg/MJHR']]])</f>
        <v/>
      </c>
    </row>
    <row r="472" spans="1:11" x14ac:dyDescent="0.35">
      <c r="A472" s="709" t="str">
        <f>IF('Rozpad zakázky'!E488=0,"",IF('Rozpad zakázky'!E488="-","",'Rozpad zakázky'!E488))</f>
        <v/>
      </c>
      <c r="B472" s="708" t="str">
        <f>IF(A472="","",IF(A472="","",VLOOKUP(A:A,Pomocna_Nakup[],3,0))&amp;" | "&amp;IF(A472="","",VLOOKUP(A:A,Pomocna_Nakup[],4,0)))</f>
        <v/>
      </c>
      <c r="C472" s="710" t="str">
        <f>IF(Tabulka_nakup_Vonka[[#This Row],[Zkratka kalkulační položky]]="","",Tabulka_nakup_Vonka[[#This Row],[Zkratka kalkulační položky]]&amp;" | "&amp;IF(A472="","",VLOOKUP(A:A,Pomocna_Nakup[],2,0)))</f>
        <v/>
      </c>
      <c r="D472" s="710" t="str">
        <f>IF(A472="","",'Rozpad zakázky'!F488)</f>
        <v/>
      </c>
      <c r="E472" s="710" t="str">
        <f>IF(A472="","",'Rozpad zakázky'!D488&amp;IF('Rozpad zakázky'!G488="",""," ("&amp;'Rozpad zakázky'!G488&amp;")"))</f>
        <v/>
      </c>
      <c r="F472" s="709" t="str">
        <f>IF(A472="","",'Rozpad zakázky'!IW488)</f>
        <v/>
      </c>
      <c r="G472" s="711" t="str">
        <f>IF(A472="","",'Rozpad zakázky'!AE488)</f>
        <v/>
      </c>
      <c r="H472" s="717" t="str">
        <f>IF(A472="","",'Rozpad zakázky'!AJ488)</f>
        <v/>
      </c>
      <c r="I472" s="748" t="str">
        <f>IF(A472="","",'Rozpad zakázky'!Q488)</f>
        <v/>
      </c>
      <c r="J472" s="717" t="str">
        <f>IF(A472="","",ROUNDDOWN('Rozpad zakázky'!L488,1))</f>
        <v/>
      </c>
      <c r="K472" s="745" t="str">
        <f>IF(A472="","",Tabulka_nakup_Vonka[[#This Row],[Počet MJHR v rozpadu]]*Tabulka_nakup_Vonka[[#This Row],[Jedn. hmotnost '[kg/MJHR']]])</f>
        <v/>
      </c>
    </row>
    <row r="473" spans="1:11" x14ac:dyDescent="0.35">
      <c r="A473" s="709" t="str">
        <f>IF('Rozpad zakázky'!E489=0,"",IF('Rozpad zakázky'!E489="-","",'Rozpad zakázky'!E489))</f>
        <v/>
      </c>
      <c r="B473" s="708" t="str">
        <f>IF(A473="","",IF(A473="","",VLOOKUP(A:A,Pomocna_Nakup[],3,0))&amp;" | "&amp;IF(A473="","",VLOOKUP(A:A,Pomocna_Nakup[],4,0)))</f>
        <v/>
      </c>
      <c r="C473" s="710" t="str">
        <f>IF(Tabulka_nakup_Vonka[[#This Row],[Zkratka kalkulační položky]]="","",Tabulka_nakup_Vonka[[#This Row],[Zkratka kalkulační položky]]&amp;" | "&amp;IF(A473="","",VLOOKUP(A:A,Pomocna_Nakup[],2,0)))</f>
        <v/>
      </c>
      <c r="D473" s="710" t="str">
        <f>IF(A473="","",'Rozpad zakázky'!F489)</f>
        <v/>
      </c>
      <c r="E473" s="710" t="str">
        <f>IF(A473="","",'Rozpad zakázky'!D489&amp;IF('Rozpad zakázky'!G489="",""," ("&amp;'Rozpad zakázky'!G489&amp;")"))</f>
        <v/>
      </c>
      <c r="F473" s="709" t="str">
        <f>IF(A473="","",'Rozpad zakázky'!IW489)</f>
        <v/>
      </c>
      <c r="G473" s="711" t="str">
        <f>IF(A473="","",'Rozpad zakázky'!AE489)</f>
        <v/>
      </c>
      <c r="H473" s="717" t="str">
        <f>IF(A473="","",'Rozpad zakázky'!AJ489)</f>
        <v/>
      </c>
      <c r="I473" s="748" t="str">
        <f>IF(A473="","",'Rozpad zakázky'!Q489)</f>
        <v/>
      </c>
      <c r="J473" s="717" t="str">
        <f>IF(A473="","",ROUNDDOWN('Rozpad zakázky'!L489,1))</f>
        <v/>
      </c>
      <c r="K473" s="745" t="str">
        <f>IF(A473="","",Tabulka_nakup_Vonka[[#This Row],[Počet MJHR v rozpadu]]*Tabulka_nakup_Vonka[[#This Row],[Jedn. hmotnost '[kg/MJHR']]])</f>
        <v/>
      </c>
    </row>
    <row r="474" spans="1:11" x14ac:dyDescent="0.35">
      <c r="A474" s="709" t="str">
        <f>IF('Rozpad zakázky'!E490=0,"",IF('Rozpad zakázky'!E490="-","",'Rozpad zakázky'!E490))</f>
        <v/>
      </c>
      <c r="B474" s="708" t="str">
        <f>IF(A474="","",IF(A474="","",VLOOKUP(A:A,Pomocna_Nakup[],3,0))&amp;" | "&amp;IF(A474="","",VLOOKUP(A:A,Pomocna_Nakup[],4,0)))</f>
        <v/>
      </c>
      <c r="C474" s="710" t="str">
        <f>IF(Tabulka_nakup_Vonka[[#This Row],[Zkratka kalkulační položky]]="","",Tabulka_nakup_Vonka[[#This Row],[Zkratka kalkulační položky]]&amp;" | "&amp;IF(A474="","",VLOOKUP(A:A,Pomocna_Nakup[],2,0)))</f>
        <v/>
      </c>
      <c r="D474" s="710" t="str">
        <f>IF(A474="","",'Rozpad zakázky'!F490)</f>
        <v/>
      </c>
      <c r="E474" s="710" t="str">
        <f>IF(A474="","",'Rozpad zakázky'!D490&amp;IF('Rozpad zakázky'!G490="",""," ("&amp;'Rozpad zakázky'!G490&amp;")"))</f>
        <v/>
      </c>
      <c r="F474" s="709" t="str">
        <f>IF(A474="","",'Rozpad zakázky'!IW490)</f>
        <v/>
      </c>
      <c r="G474" s="711" t="str">
        <f>IF(A474="","",'Rozpad zakázky'!AE490)</f>
        <v/>
      </c>
      <c r="H474" s="717" t="str">
        <f>IF(A474="","",'Rozpad zakázky'!AJ490)</f>
        <v/>
      </c>
      <c r="I474" s="748" t="str">
        <f>IF(A474="","",'Rozpad zakázky'!Q490)</f>
        <v/>
      </c>
      <c r="J474" s="717" t="str">
        <f>IF(A474="","",ROUNDDOWN('Rozpad zakázky'!L490,1))</f>
        <v/>
      </c>
      <c r="K474" s="745" t="str">
        <f>IF(A474="","",Tabulka_nakup_Vonka[[#This Row],[Počet MJHR v rozpadu]]*Tabulka_nakup_Vonka[[#This Row],[Jedn. hmotnost '[kg/MJHR']]])</f>
        <v/>
      </c>
    </row>
    <row r="475" spans="1:11" x14ac:dyDescent="0.35">
      <c r="A475" s="709" t="str">
        <f>IF('Rozpad zakázky'!E491=0,"",IF('Rozpad zakázky'!E491="-","",'Rozpad zakázky'!E491))</f>
        <v/>
      </c>
      <c r="B475" s="708" t="str">
        <f>IF(A475="","",IF(A475="","",VLOOKUP(A:A,Pomocna_Nakup[],3,0))&amp;" | "&amp;IF(A475="","",VLOOKUP(A:A,Pomocna_Nakup[],4,0)))</f>
        <v/>
      </c>
      <c r="C475" s="710" t="str">
        <f>IF(Tabulka_nakup_Vonka[[#This Row],[Zkratka kalkulační položky]]="","",Tabulka_nakup_Vonka[[#This Row],[Zkratka kalkulační položky]]&amp;" | "&amp;IF(A475="","",VLOOKUP(A:A,Pomocna_Nakup[],2,0)))</f>
        <v/>
      </c>
      <c r="D475" s="710" t="str">
        <f>IF(A475="","",'Rozpad zakázky'!F491)</f>
        <v/>
      </c>
      <c r="E475" s="710" t="str">
        <f>IF(A475="","",'Rozpad zakázky'!D491&amp;IF('Rozpad zakázky'!G491="",""," ("&amp;'Rozpad zakázky'!G491&amp;")"))</f>
        <v/>
      </c>
      <c r="F475" s="709" t="str">
        <f>IF(A475="","",'Rozpad zakázky'!IW491)</f>
        <v/>
      </c>
      <c r="G475" s="711" t="str">
        <f>IF(A475="","",'Rozpad zakázky'!AE491)</f>
        <v/>
      </c>
      <c r="H475" s="717" t="str">
        <f>IF(A475="","",'Rozpad zakázky'!AJ491)</f>
        <v/>
      </c>
      <c r="I475" s="748" t="str">
        <f>IF(A475="","",'Rozpad zakázky'!Q491)</f>
        <v/>
      </c>
      <c r="J475" s="717" t="str">
        <f>IF(A475="","",ROUNDDOWN('Rozpad zakázky'!L491,1))</f>
        <v/>
      </c>
      <c r="K475" s="745" t="str">
        <f>IF(A475="","",Tabulka_nakup_Vonka[[#This Row],[Počet MJHR v rozpadu]]*Tabulka_nakup_Vonka[[#This Row],[Jedn. hmotnost '[kg/MJHR']]])</f>
        <v/>
      </c>
    </row>
    <row r="476" spans="1:11" x14ac:dyDescent="0.35">
      <c r="A476" s="709" t="str">
        <f>IF('Rozpad zakázky'!E492=0,"",IF('Rozpad zakázky'!E492="-","",'Rozpad zakázky'!E492))</f>
        <v/>
      </c>
      <c r="B476" s="708" t="str">
        <f>IF(A476="","",IF(A476="","",VLOOKUP(A:A,Pomocna_Nakup[],3,0))&amp;" | "&amp;IF(A476="","",VLOOKUP(A:A,Pomocna_Nakup[],4,0)))</f>
        <v/>
      </c>
      <c r="C476" s="710" t="str">
        <f>IF(Tabulka_nakup_Vonka[[#This Row],[Zkratka kalkulační položky]]="","",Tabulka_nakup_Vonka[[#This Row],[Zkratka kalkulační položky]]&amp;" | "&amp;IF(A476="","",VLOOKUP(A:A,Pomocna_Nakup[],2,0)))</f>
        <v/>
      </c>
      <c r="D476" s="710" t="str">
        <f>IF(A476="","",'Rozpad zakázky'!F492)</f>
        <v/>
      </c>
      <c r="E476" s="710" t="str">
        <f>IF(A476="","",'Rozpad zakázky'!D492&amp;IF('Rozpad zakázky'!G492="",""," ("&amp;'Rozpad zakázky'!G492&amp;")"))</f>
        <v/>
      </c>
      <c r="F476" s="709" t="str">
        <f>IF(A476="","",'Rozpad zakázky'!IW492)</f>
        <v/>
      </c>
      <c r="G476" s="711" t="str">
        <f>IF(A476="","",'Rozpad zakázky'!AE492)</f>
        <v/>
      </c>
      <c r="H476" s="717" t="str">
        <f>IF(A476="","",'Rozpad zakázky'!AJ492)</f>
        <v/>
      </c>
      <c r="I476" s="748" t="str">
        <f>IF(A476="","",'Rozpad zakázky'!Q492)</f>
        <v/>
      </c>
      <c r="J476" s="717" t="str">
        <f>IF(A476="","",ROUNDDOWN('Rozpad zakázky'!L492,1))</f>
        <v/>
      </c>
      <c r="K476" s="745" t="str">
        <f>IF(A476="","",Tabulka_nakup_Vonka[[#This Row],[Počet MJHR v rozpadu]]*Tabulka_nakup_Vonka[[#This Row],[Jedn. hmotnost '[kg/MJHR']]])</f>
        <v/>
      </c>
    </row>
    <row r="477" spans="1:11" x14ac:dyDescent="0.35">
      <c r="A477" s="709" t="str">
        <f>IF('Rozpad zakázky'!E493=0,"",IF('Rozpad zakázky'!E493="-","",'Rozpad zakázky'!E493))</f>
        <v/>
      </c>
      <c r="B477" s="708" t="str">
        <f>IF(A477="","",IF(A477="","",VLOOKUP(A:A,Pomocna_Nakup[],3,0))&amp;" | "&amp;IF(A477="","",VLOOKUP(A:A,Pomocna_Nakup[],4,0)))</f>
        <v/>
      </c>
      <c r="C477" s="710" t="str">
        <f>IF(Tabulka_nakup_Vonka[[#This Row],[Zkratka kalkulační položky]]="","",Tabulka_nakup_Vonka[[#This Row],[Zkratka kalkulační položky]]&amp;" | "&amp;IF(A477="","",VLOOKUP(A:A,Pomocna_Nakup[],2,0)))</f>
        <v/>
      </c>
      <c r="D477" s="710" t="str">
        <f>IF(A477="","",'Rozpad zakázky'!F493)</f>
        <v/>
      </c>
      <c r="E477" s="710" t="str">
        <f>IF(A477="","",'Rozpad zakázky'!D493&amp;IF('Rozpad zakázky'!G493="",""," ("&amp;'Rozpad zakázky'!G493&amp;")"))</f>
        <v/>
      </c>
      <c r="F477" s="709" t="str">
        <f>IF(A477="","",'Rozpad zakázky'!IW493)</f>
        <v/>
      </c>
      <c r="G477" s="711" t="str">
        <f>IF(A477="","",'Rozpad zakázky'!AE493)</f>
        <v/>
      </c>
      <c r="H477" s="717" t="str">
        <f>IF(A477="","",'Rozpad zakázky'!AJ493)</f>
        <v/>
      </c>
      <c r="I477" s="748" t="str">
        <f>IF(A477="","",'Rozpad zakázky'!Q493)</f>
        <v/>
      </c>
      <c r="J477" s="717" t="str">
        <f>IF(A477="","",ROUNDDOWN('Rozpad zakázky'!L493,1))</f>
        <v/>
      </c>
      <c r="K477" s="745" t="str">
        <f>IF(A477="","",Tabulka_nakup_Vonka[[#This Row],[Počet MJHR v rozpadu]]*Tabulka_nakup_Vonka[[#This Row],[Jedn. hmotnost '[kg/MJHR']]])</f>
        <v/>
      </c>
    </row>
    <row r="478" spans="1:11" x14ac:dyDescent="0.35">
      <c r="A478" s="709" t="str">
        <f>IF('Rozpad zakázky'!E494=0,"",IF('Rozpad zakázky'!E494="-","",'Rozpad zakázky'!E494))</f>
        <v/>
      </c>
      <c r="B478" s="708" t="str">
        <f>IF(A478="","",IF(A478="","",VLOOKUP(A:A,Pomocna_Nakup[],3,0))&amp;" | "&amp;IF(A478="","",VLOOKUP(A:A,Pomocna_Nakup[],4,0)))</f>
        <v/>
      </c>
      <c r="C478" s="710" t="str">
        <f>IF(Tabulka_nakup_Vonka[[#This Row],[Zkratka kalkulační položky]]="","",Tabulka_nakup_Vonka[[#This Row],[Zkratka kalkulační položky]]&amp;" | "&amp;IF(A478="","",VLOOKUP(A:A,Pomocna_Nakup[],2,0)))</f>
        <v/>
      </c>
      <c r="D478" s="710" t="str">
        <f>IF(A478="","",'Rozpad zakázky'!F494)</f>
        <v/>
      </c>
      <c r="E478" s="710" t="str">
        <f>IF(A478="","",'Rozpad zakázky'!D494&amp;IF('Rozpad zakázky'!G494="",""," ("&amp;'Rozpad zakázky'!G494&amp;")"))</f>
        <v/>
      </c>
      <c r="F478" s="709" t="str">
        <f>IF(A478="","",'Rozpad zakázky'!IW494)</f>
        <v/>
      </c>
      <c r="G478" s="711" t="str">
        <f>IF(A478="","",'Rozpad zakázky'!AE494)</f>
        <v/>
      </c>
      <c r="H478" s="717" t="str">
        <f>IF(A478="","",'Rozpad zakázky'!AJ494)</f>
        <v/>
      </c>
      <c r="I478" s="748" t="str">
        <f>IF(A478="","",'Rozpad zakázky'!Q494)</f>
        <v/>
      </c>
      <c r="J478" s="717" t="str">
        <f>IF(A478="","",ROUNDDOWN('Rozpad zakázky'!L494,1))</f>
        <v/>
      </c>
      <c r="K478" s="745" t="str">
        <f>IF(A478="","",Tabulka_nakup_Vonka[[#This Row],[Počet MJHR v rozpadu]]*Tabulka_nakup_Vonka[[#This Row],[Jedn. hmotnost '[kg/MJHR']]])</f>
        <v/>
      </c>
    </row>
    <row r="479" spans="1:11" x14ac:dyDescent="0.35">
      <c r="A479" s="709" t="str">
        <f>IF('Rozpad zakázky'!E495=0,"",IF('Rozpad zakázky'!E495="-","",'Rozpad zakázky'!E495))</f>
        <v/>
      </c>
      <c r="B479" s="708" t="str">
        <f>IF(A479="","",IF(A479="","",VLOOKUP(A:A,Pomocna_Nakup[],3,0))&amp;" | "&amp;IF(A479="","",VLOOKUP(A:A,Pomocna_Nakup[],4,0)))</f>
        <v/>
      </c>
      <c r="C479" s="710" t="str">
        <f>IF(Tabulka_nakup_Vonka[[#This Row],[Zkratka kalkulační položky]]="","",Tabulka_nakup_Vonka[[#This Row],[Zkratka kalkulační položky]]&amp;" | "&amp;IF(A479="","",VLOOKUP(A:A,Pomocna_Nakup[],2,0)))</f>
        <v/>
      </c>
      <c r="D479" s="710" t="str">
        <f>IF(A479="","",'Rozpad zakázky'!F495)</f>
        <v/>
      </c>
      <c r="E479" s="710" t="str">
        <f>IF(A479="","",'Rozpad zakázky'!D495&amp;IF('Rozpad zakázky'!G495="",""," ("&amp;'Rozpad zakázky'!G495&amp;")"))</f>
        <v/>
      </c>
      <c r="F479" s="709" t="str">
        <f>IF(A479="","",'Rozpad zakázky'!IW495)</f>
        <v/>
      </c>
      <c r="G479" s="711" t="str">
        <f>IF(A479="","",'Rozpad zakázky'!AE495)</f>
        <v/>
      </c>
      <c r="H479" s="717" t="str">
        <f>IF(A479="","",'Rozpad zakázky'!AJ495)</f>
        <v/>
      </c>
      <c r="I479" s="748" t="str">
        <f>IF(A479="","",'Rozpad zakázky'!Q495)</f>
        <v/>
      </c>
      <c r="J479" s="717" t="str">
        <f>IF(A479="","",ROUNDDOWN('Rozpad zakázky'!L495,1))</f>
        <v/>
      </c>
      <c r="K479" s="745" t="str">
        <f>IF(A479="","",Tabulka_nakup_Vonka[[#This Row],[Počet MJHR v rozpadu]]*Tabulka_nakup_Vonka[[#This Row],[Jedn. hmotnost '[kg/MJHR']]])</f>
        <v/>
      </c>
    </row>
    <row r="480" spans="1:11" x14ac:dyDescent="0.35">
      <c r="A480" s="709" t="str">
        <f>IF('Rozpad zakázky'!E496=0,"",IF('Rozpad zakázky'!E496="-","",'Rozpad zakázky'!E496))</f>
        <v/>
      </c>
      <c r="B480" s="708" t="str">
        <f>IF(A480="","",IF(A480="","",VLOOKUP(A:A,Pomocna_Nakup[],3,0))&amp;" | "&amp;IF(A480="","",VLOOKUP(A:A,Pomocna_Nakup[],4,0)))</f>
        <v/>
      </c>
      <c r="C480" s="710" t="str">
        <f>IF(Tabulka_nakup_Vonka[[#This Row],[Zkratka kalkulační položky]]="","",Tabulka_nakup_Vonka[[#This Row],[Zkratka kalkulační položky]]&amp;" | "&amp;IF(A480="","",VLOOKUP(A:A,Pomocna_Nakup[],2,0)))</f>
        <v/>
      </c>
      <c r="D480" s="710" t="str">
        <f>IF(A480="","",'Rozpad zakázky'!F496)</f>
        <v/>
      </c>
      <c r="E480" s="710" t="str">
        <f>IF(A480="","",'Rozpad zakázky'!D496&amp;IF('Rozpad zakázky'!G496="",""," ("&amp;'Rozpad zakázky'!G496&amp;")"))</f>
        <v/>
      </c>
      <c r="F480" s="709" t="str">
        <f>IF(A480="","",'Rozpad zakázky'!IW496)</f>
        <v/>
      </c>
      <c r="G480" s="711" t="str">
        <f>IF(A480="","",'Rozpad zakázky'!AE496)</f>
        <v/>
      </c>
      <c r="H480" s="717" t="str">
        <f>IF(A480="","",'Rozpad zakázky'!AJ496)</f>
        <v/>
      </c>
      <c r="I480" s="748" t="str">
        <f>IF(A480="","",'Rozpad zakázky'!Q496)</f>
        <v/>
      </c>
      <c r="J480" s="717" t="str">
        <f>IF(A480="","",ROUNDDOWN('Rozpad zakázky'!L496,1))</f>
        <v/>
      </c>
      <c r="K480" s="745" t="str">
        <f>IF(A480="","",Tabulka_nakup_Vonka[[#This Row],[Počet MJHR v rozpadu]]*Tabulka_nakup_Vonka[[#This Row],[Jedn. hmotnost '[kg/MJHR']]])</f>
        <v/>
      </c>
    </row>
    <row r="481" spans="1:11" x14ac:dyDescent="0.35">
      <c r="A481" s="709" t="str">
        <f>IF('Rozpad zakázky'!E497=0,"",IF('Rozpad zakázky'!E497="-","",'Rozpad zakázky'!E497))</f>
        <v/>
      </c>
      <c r="B481" s="708" t="str">
        <f>IF(A481="","",IF(A481="","",VLOOKUP(A:A,Pomocna_Nakup[],3,0))&amp;" | "&amp;IF(A481="","",VLOOKUP(A:A,Pomocna_Nakup[],4,0)))</f>
        <v/>
      </c>
      <c r="C481" s="710" t="str">
        <f>IF(Tabulka_nakup_Vonka[[#This Row],[Zkratka kalkulační položky]]="","",Tabulka_nakup_Vonka[[#This Row],[Zkratka kalkulační položky]]&amp;" | "&amp;IF(A481="","",VLOOKUP(A:A,Pomocna_Nakup[],2,0)))</f>
        <v/>
      </c>
      <c r="D481" s="710" t="str">
        <f>IF(A481="","",'Rozpad zakázky'!F497)</f>
        <v/>
      </c>
      <c r="E481" s="710" t="str">
        <f>IF(A481="","",'Rozpad zakázky'!D497&amp;IF('Rozpad zakázky'!G497="",""," ("&amp;'Rozpad zakázky'!G497&amp;")"))</f>
        <v/>
      </c>
      <c r="F481" s="709" t="str">
        <f>IF(A481="","",'Rozpad zakázky'!IW497)</f>
        <v/>
      </c>
      <c r="G481" s="711" t="str">
        <f>IF(A481="","",'Rozpad zakázky'!AE497)</f>
        <v/>
      </c>
      <c r="H481" s="717" t="str">
        <f>IF(A481="","",'Rozpad zakázky'!AJ497)</f>
        <v/>
      </c>
      <c r="I481" s="748" t="str">
        <f>IF(A481="","",'Rozpad zakázky'!Q497)</f>
        <v/>
      </c>
      <c r="J481" s="717" t="str">
        <f>IF(A481="","",ROUNDDOWN('Rozpad zakázky'!L497,1))</f>
        <v/>
      </c>
      <c r="K481" s="745" t="str">
        <f>IF(A481="","",Tabulka_nakup_Vonka[[#This Row],[Počet MJHR v rozpadu]]*Tabulka_nakup_Vonka[[#This Row],[Jedn. hmotnost '[kg/MJHR']]])</f>
        <v/>
      </c>
    </row>
    <row r="482" spans="1:11" x14ac:dyDescent="0.35">
      <c r="A482" s="709" t="str">
        <f>IF('Rozpad zakázky'!E498=0,"",IF('Rozpad zakázky'!E498="-","",'Rozpad zakázky'!E498))</f>
        <v/>
      </c>
      <c r="B482" s="708" t="str">
        <f>IF(A482="","",IF(A482="","",VLOOKUP(A:A,Pomocna_Nakup[],3,0))&amp;" | "&amp;IF(A482="","",VLOOKUP(A:A,Pomocna_Nakup[],4,0)))</f>
        <v/>
      </c>
      <c r="C482" s="710" t="str">
        <f>IF(Tabulka_nakup_Vonka[[#This Row],[Zkratka kalkulační položky]]="","",Tabulka_nakup_Vonka[[#This Row],[Zkratka kalkulační položky]]&amp;" | "&amp;IF(A482="","",VLOOKUP(A:A,Pomocna_Nakup[],2,0)))</f>
        <v/>
      </c>
      <c r="D482" s="710" t="str">
        <f>IF(A482="","",'Rozpad zakázky'!F498)</f>
        <v/>
      </c>
      <c r="E482" s="710" t="str">
        <f>IF(A482="","",'Rozpad zakázky'!D498&amp;IF('Rozpad zakázky'!G498="",""," ("&amp;'Rozpad zakázky'!G498&amp;")"))</f>
        <v/>
      </c>
      <c r="F482" s="709" t="str">
        <f>IF(A482="","",'Rozpad zakázky'!IW498)</f>
        <v/>
      </c>
      <c r="G482" s="711" t="str">
        <f>IF(A482="","",'Rozpad zakázky'!AE498)</f>
        <v/>
      </c>
      <c r="H482" s="717" t="str">
        <f>IF(A482="","",'Rozpad zakázky'!AJ498)</f>
        <v/>
      </c>
      <c r="I482" s="748" t="str">
        <f>IF(A482="","",'Rozpad zakázky'!Q498)</f>
        <v/>
      </c>
      <c r="J482" s="717" t="str">
        <f>IF(A482="","",ROUNDDOWN('Rozpad zakázky'!L498,1))</f>
        <v/>
      </c>
      <c r="K482" s="745" t="str">
        <f>IF(A482="","",Tabulka_nakup_Vonka[[#This Row],[Počet MJHR v rozpadu]]*Tabulka_nakup_Vonka[[#This Row],[Jedn. hmotnost '[kg/MJHR']]])</f>
        <v/>
      </c>
    </row>
    <row r="483" spans="1:11" x14ac:dyDescent="0.35">
      <c r="A483" s="709" t="str">
        <f>IF('Rozpad zakázky'!E499=0,"",IF('Rozpad zakázky'!E499="-","",'Rozpad zakázky'!E499))</f>
        <v/>
      </c>
      <c r="B483" s="708" t="str">
        <f>IF(A483="","",IF(A483="","",VLOOKUP(A:A,Pomocna_Nakup[],3,0))&amp;" | "&amp;IF(A483="","",VLOOKUP(A:A,Pomocna_Nakup[],4,0)))</f>
        <v/>
      </c>
      <c r="C483" s="710" t="str">
        <f>IF(Tabulka_nakup_Vonka[[#This Row],[Zkratka kalkulační položky]]="","",Tabulka_nakup_Vonka[[#This Row],[Zkratka kalkulační položky]]&amp;" | "&amp;IF(A483="","",VLOOKUP(A:A,Pomocna_Nakup[],2,0)))</f>
        <v/>
      </c>
      <c r="D483" s="710" t="str">
        <f>IF(A483="","",'Rozpad zakázky'!F499)</f>
        <v/>
      </c>
      <c r="E483" s="710" t="str">
        <f>IF(A483="","",'Rozpad zakázky'!D499&amp;IF('Rozpad zakázky'!G499="",""," ("&amp;'Rozpad zakázky'!G499&amp;")"))</f>
        <v/>
      </c>
      <c r="F483" s="709" t="str">
        <f>IF(A483="","",'Rozpad zakázky'!IW499)</f>
        <v/>
      </c>
      <c r="G483" s="711" t="str">
        <f>IF(A483="","",'Rozpad zakázky'!AE499)</f>
        <v/>
      </c>
      <c r="H483" s="717" t="str">
        <f>IF(A483="","",'Rozpad zakázky'!AJ499)</f>
        <v/>
      </c>
      <c r="I483" s="748" t="str">
        <f>IF(A483="","",'Rozpad zakázky'!Q499)</f>
        <v/>
      </c>
      <c r="J483" s="717" t="str">
        <f>IF(A483="","",ROUNDDOWN('Rozpad zakázky'!L499,1))</f>
        <v/>
      </c>
      <c r="K483" s="745" t="str">
        <f>IF(A483="","",Tabulka_nakup_Vonka[[#This Row],[Počet MJHR v rozpadu]]*Tabulka_nakup_Vonka[[#This Row],[Jedn. hmotnost '[kg/MJHR']]])</f>
        <v/>
      </c>
    </row>
    <row r="484" spans="1:11" x14ac:dyDescent="0.35">
      <c r="A484" s="709" t="str">
        <f>IF('Rozpad zakázky'!E500=0,"",IF('Rozpad zakázky'!E500="-","",'Rozpad zakázky'!E500))</f>
        <v/>
      </c>
      <c r="B484" s="708" t="str">
        <f>IF(A484="","",IF(A484="","",VLOOKUP(A:A,Pomocna_Nakup[],3,0))&amp;" | "&amp;IF(A484="","",VLOOKUP(A:A,Pomocna_Nakup[],4,0)))</f>
        <v/>
      </c>
      <c r="C484" s="710" t="str">
        <f>IF(Tabulka_nakup_Vonka[[#This Row],[Zkratka kalkulační položky]]="","",Tabulka_nakup_Vonka[[#This Row],[Zkratka kalkulační položky]]&amp;" | "&amp;IF(A484="","",VLOOKUP(A:A,Pomocna_Nakup[],2,0)))</f>
        <v/>
      </c>
      <c r="D484" s="710" t="str">
        <f>IF(A484="","",'Rozpad zakázky'!F500)</f>
        <v/>
      </c>
      <c r="E484" s="710" t="str">
        <f>IF(A484="","",'Rozpad zakázky'!D500&amp;IF('Rozpad zakázky'!G500="",""," ("&amp;'Rozpad zakázky'!G500&amp;")"))</f>
        <v/>
      </c>
      <c r="F484" s="709" t="str">
        <f>IF(A484="","",'Rozpad zakázky'!IW500)</f>
        <v/>
      </c>
      <c r="G484" s="711" t="str">
        <f>IF(A484="","",'Rozpad zakázky'!AE500)</f>
        <v/>
      </c>
      <c r="H484" s="717" t="str">
        <f>IF(A484="","",'Rozpad zakázky'!AJ500)</f>
        <v/>
      </c>
      <c r="I484" s="748" t="str">
        <f>IF(A484="","",'Rozpad zakázky'!Q500)</f>
        <v/>
      </c>
      <c r="J484" s="717" t="str">
        <f>IF(A484="","",ROUNDDOWN('Rozpad zakázky'!L500,1))</f>
        <v/>
      </c>
      <c r="K484" s="745" t="str">
        <f>IF(A484="","",Tabulka_nakup_Vonka[[#This Row],[Počet MJHR v rozpadu]]*Tabulka_nakup_Vonka[[#This Row],[Jedn. hmotnost '[kg/MJHR']]])</f>
        <v/>
      </c>
    </row>
    <row r="485" spans="1:11" x14ac:dyDescent="0.35">
      <c r="A485" s="709" t="str">
        <f>IF('Rozpad zakázky'!E501=0,"",IF('Rozpad zakázky'!E501="-","",'Rozpad zakázky'!E501))</f>
        <v/>
      </c>
      <c r="B485" s="708" t="str">
        <f>IF(A485="","",IF(A485="","",VLOOKUP(A:A,Pomocna_Nakup[],3,0))&amp;" | "&amp;IF(A485="","",VLOOKUP(A:A,Pomocna_Nakup[],4,0)))</f>
        <v/>
      </c>
      <c r="C485" s="710" t="str">
        <f>IF(Tabulka_nakup_Vonka[[#This Row],[Zkratka kalkulační položky]]="","",Tabulka_nakup_Vonka[[#This Row],[Zkratka kalkulační položky]]&amp;" | "&amp;IF(A485="","",VLOOKUP(A:A,Pomocna_Nakup[],2,0)))</f>
        <v/>
      </c>
      <c r="D485" s="710" t="str">
        <f>IF(A485="","",'Rozpad zakázky'!F501)</f>
        <v/>
      </c>
      <c r="E485" s="710" t="str">
        <f>IF(A485="","",'Rozpad zakázky'!D501&amp;IF('Rozpad zakázky'!G501="",""," ("&amp;'Rozpad zakázky'!G501&amp;")"))</f>
        <v/>
      </c>
      <c r="F485" s="709" t="str">
        <f>IF(A485="","",'Rozpad zakázky'!IW501)</f>
        <v/>
      </c>
      <c r="G485" s="711" t="str">
        <f>IF(A485="","",'Rozpad zakázky'!AE501)</f>
        <v/>
      </c>
      <c r="H485" s="717" t="str">
        <f>IF(A485="","",'Rozpad zakázky'!AJ501)</f>
        <v/>
      </c>
      <c r="I485" s="748" t="str">
        <f>IF(A485="","",'Rozpad zakázky'!Q501)</f>
        <v/>
      </c>
      <c r="J485" s="717" t="str">
        <f>IF(A485="","",ROUNDDOWN('Rozpad zakázky'!L501,1))</f>
        <v/>
      </c>
      <c r="K485" s="745" t="str">
        <f>IF(A485="","",Tabulka_nakup_Vonka[[#This Row],[Počet MJHR v rozpadu]]*Tabulka_nakup_Vonka[[#This Row],[Jedn. hmotnost '[kg/MJHR']]])</f>
        <v/>
      </c>
    </row>
    <row r="486" spans="1:11" x14ac:dyDescent="0.35">
      <c r="A486" s="709" t="str">
        <f>IF('Rozpad zakázky'!E502=0,"",IF('Rozpad zakázky'!E502="-","",'Rozpad zakázky'!E502))</f>
        <v/>
      </c>
      <c r="B486" s="708" t="str">
        <f>IF(A486="","",IF(A486="","",VLOOKUP(A:A,Pomocna_Nakup[],3,0))&amp;" | "&amp;IF(A486="","",VLOOKUP(A:A,Pomocna_Nakup[],4,0)))</f>
        <v/>
      </c>
      <c r="C486" s="710" t="str">
        <f>IF(Tabulka_nakup_Vonka[[#This Row],[Zkratka kalkulační položky]]="","",Tabulka_nakup_Vonka[[#This Row],[Zkratka kalkulační položky]]&amp;" | "&amp;IF(A486="","",VLOOKUP(A:A,Pomocna_Nakup[],2,0)))</f>
        <v/>
      </c>
      <c r="D486" s="710" t="str">
        <f>IF(A486="","",'Rozpad zakázky'!F502)</f>
        <v/>
      </c>
      <c r="E486" s="710" t="str">
        <f>IF(A486="","",'Rozpad zakázky'!D502&amp;IF('Rozpad zakázky'!G502="",""," ("&amp;'Rozpad zakázky'!G502&amp;")"))</f>
        <v/>
      </c>
      <c r="F486" s="709" t="str">
        <f>IF(A486="","",'Rozpad zakázky'!IW502)</f>
        <v/>
      </c>
      <c r="G486" s="711" t="str">
        <f>IF(A486="","",'Rozpad zakázky'!AE502)</f>
        <v/>
      </c>
      <c r="H486" s="717" t="str">
        <f>IF(A486="","",'Rozpad zakázky'!AJ502)</f>
        <v/>
      </c>
      <c r="I486" s="748" t="str">
        <f>IF(A486="","",'Rozpad zakázky'!Q502)</f>
        <v/>
      </c>
      <c r="J486" s="717" t="str">
        <f>IF(A486="","",ROUNDDOWN('Rozpad zakázky'!L502,1))</f>
        <v/>
      </c>
      <c r="K486" s="745" t="str">
        <f>IF(A486="","",Tabulka_nakup_Vonka[[#This Row],[Počet MJHR v rozpadu]]*Tabulka_nakup_Vonka[[#This Row],[Jedn. hmotnost '[kg/MJHR']]])</f>
        <v/>
      </c>
    </row>
    <row r="487" spans="1:11" x14ac:dyDescent="0.35">
      <c r="A487" s="709" t="str">
        <f>IF('Rozpad zakázky'!E503=0,"",IF('Rozpad zakázky'!E503="-","",'Rozpad zakázky'!E503))</f>
        <v/>
      </c>
      <c r="B487" s="708" t="str">
        <f>IF(A487="","",IF(A487="","",VLOOKUP(A:A,Pomocna_Nakup[],3,0))&amp;" | "&amp;IF(A487="","",VLOOKUP(A:A,Pomocna_Nakup[],4,0)))</f>
        <v/>
      </c>
      <c r="C487" s="710" t="str">
        <f>IF(Tabulka_nakup_Vonka[[#This Row],[Zkratka kalkulační položky]]="","",Tabulka_nakup_Vonka[[#This Row],[Zkratka kalkulační položky]]&amp;" | "&amp;IF(A487="","",VLOOKUP(A:A,Pomocna_Nakup[],2,0)))</f>
        <v/>
      </c>
      <c r="D487" s="710" t="str">
        <f>IF(A487="","",'Rozpad zakázky'!F503)</f>
        <v/>
      </c>
      <c r="E487" s="710" t="str">
        <f>IF(A487="","",'Rozpad zakázky'!D503&amp;IF('Rozpad zakázky'!G503="",""," ("&amp;'Rozpad zakázky'!G503&amp;")"))</f>
        <v/>
      </c>
      <c r="F487" s="709" t="str">
        <f>IF(A487="","",'Rozpad zakázky'!IW503)</f>
        <v/>
      </c>
      <c r="G487" s="711" t="str">
        <f>IF(A487="","",'Rozpad zakázky'!AE503)</f>
        <v/>
      </c>
      <c r="H487" s="717" t="str">
        <f>IF(A487="","",'Rozpad zakázky'!AJ503)</f>
        <v/>
      </c>
      <c r="I487" s="748" t="str">
        <f>IF(A487="","",'Rozpad zakázky'!Q503)</f>
        <v/>
      </c>
      <c r="J487" s="717" t="str">
        <f>IF(A487="","",ROUNDDOWN('Rozpad zakázky'!L503,1))</f>
        <v/>
      </c>
      <c r="K487" s="745" t="str">
        <f>IF(A487="","",Tabulka_nakup_Vonka[[#This Row],[Počet MJHR v rozpadu]]*Tabulka_nakup_Vonka[[#This Row],[Jedn. hmotnost '[kg/MJHR']]])</f>
        <v/>
      </c>
    </row>
    <row r="488" spans="1:11" x14ac:dyDescent="0.35">
      <c r="A488" s="709" t="str">
        <f>IF('Rozpad zakázky'!E504=0,"",IF('Rozpad zakázky'!E504="-","",'Rozpad zakázky'!E504))</f>
        <v/>
      </c>
      <c r="B488" s="708" t="str">
        <f>IF(A488="","",IF(A488="","",VLOOKUP(A:A,Pomocna_Nakup[],3,0))&amp;" | "&amp;IF(A488="","",VLOOKUP(A:A,Pomocna_Nakup[],4,0)))</f>
        <v/>
      </c>
      <c r="C488" s="710" t="str">
        <f>IF(Tabulka_nakup_Vonka[[#This Row],[Zkratka kalkulační položky]]="","",Tabulka_nakup_Vonka[[#This Row],[Zkratka kalkulační položky]]&amp;" | "&amp;IF(A488="","",VLOOKUP(A:A,Pomocna_Nakup[],2,0)))</f>
        <v/>
      </c>
      <c r="D488" s="710" t="str">
        <f>IF(A488="","",'Rozpad zakázky'!F504)</f>
        <v/>
      </c>
      <c r="E488" s="710" t="str">
        <f>IF(A488="","",'Rozpad zakázky'!D504&amp;IF('Rozpad zakázky'!G504="",""," ("&amp;'Rozpad zakázky'!G504&amp;")"))</f>
        <v/>
      </c>
      <c r="F488" s="709" t="str">
        <f>IF(A488="","",'Rozpad zakázky'!IW504)</f>
        <v/>
      </c>
      <c r="G488" s="711" t="str">
        <f>IF(A488="","",'Rozpad zakázky'!AE504)</f>
        <v/>
      </c>
      <c r="H488" s="717" t="str">
        <f>IF(A488="","",'Rozpad zakázky'!AJ504)</f>
        <v/>
      </c>
      <c r="I488" s="748" t="str">
        <f>IF(A488="","",'Rozpad zakázky'!Q504)</f>
        <v/>
      </c>
      <c r="J488" s="717" t="str">
        <f>IF(A488="","",ROUNDDOWN('Rozpad zakázky'!L504,1))</f>
        <v/>
      </c>
      <c r="K488" s="745" t="str">
        <f>IF(A488="","",Tabulka_nakup_Vonka[[#This Row],[Počet MJHR v rozpadu]]*Tabulka_nakup_Vonka[[#This Row],[Jedn. hmotnost '[kg/MJHR']]])</f>
        <v/>
      </c>
    </row>
    <row r="489" spans="1:11" x14ac:dyDescent="0.35">
      <c r="A489" s="709" t="str">
        <f>IF('Rozpad zakázky'!E505=0,"",IF('Rozpad zakázky'!E505="-","",'Rozpad zakázky'!E505))</f>
        <v/>
      </c>
      <c r="B489" s="708" t="str">
        <f>IF(A489="","",IF(A489="","",VLOOKUP(A:A,Pomocna_Nakup[],3,0))&amp;" | "&amp;IF(A489="","",VLOOKUP(A:A,Pomocna_Nakup[],4,0)))</f>
        <v/>
      </c>
      <c r="C489" s="710" t="str">
        <f>IF(Tabulka_nakup_Vonka[[#This Row],[Zkratka kalkulační položky]]="","",Tabulka_nakup_Vonka[[#This Row],[Zkratka kalkulační položky]]&amp;" | "&amp;IF(A489="","",VLOOKUP(A:A,Pomocna_Nakup[],2,0)))</f>
        <v/>
      </c>
      <c r="D489" s="710" t="str">
        <f>IF(A489="","",'Rozpad zakázky'!F505)</f>
        <v/>
      </c>
      <c r="E489" s="710" t="str">
        <f>IF(A489="","",'Rozpad zakázky'!D505&amp;IF('Rozpad zakázky'!G505="",""," ("&amp;'Rozpad zakázky'!G505&amp;")"))</f>
        <v/>
      </c>
      <c r="F489" s="709" t="str">
        <f>IF(A489="","",'Rozpad zakázky'!IW505)</f>
        <v/>
      </c>
      <c r="G489" s="711" t="str">
        <f>IF(A489="","",'Rozpad zakázky'!AE505)</f>
        <v/>
      </c>
      <c r="H489" s="717" t="str">
        <f>IF(A489="","",'Rozpad zakázky'!AJ505)</f>
        <v/>
      </c>
      <c r="I489" s="748" t="str">
        <f>IF(A489="","",'Rozpad zakázky'!Q505)</f>
        <v/>
      </c>
      <c r="J489" s="717" t="str">
        <f>IF(A489="","",ROUNDDOWN('Rozpad zakázky'!L505,1))</f>
        <v/>
      </c>
      <c r="K489" s="745" t="str">
        <f>IF(A489="","",Tabulka_nakup_Vonka[[#This Row],[Počet MJHR v rozpadu]]*Tabulka_nakup_Vonka[[#This Row],[Jedn. hmotnost '[kg/MJHR']]])</f>
        <v/>
      </c>
    </row>
    <row r="490" spans="1:11" x14ac:dyDescent="0.35">
      <c r="A490" s="709" t="str">
        <f>IF('Rozpad zakázky'!E506=0,"",IF('Rozpad zakázky'!E506="-","",'Rozpad zakázky'!E506))</f>
        <v/>
      </c>
      <c r="B490" s="708" t="str">
        <f>IF(A490="","",IF(A490="","",VLOOKUP(A:A,Pomocna_Nakup[],3,0))&amp;" | "&amp;IF(A490="","",VLOOKUP(A:A,Pomocna_Nakup[],4,0)))</f>
        <v/>
      </c>
      <c r="C490" s="710" t="str">
        <f>IF(Tabulka_nakup_Vonka[[#This Row],[Zkratka kalkulační položky]]="","",Tabulka_nakup_Vonka[[#This Row],[Zkratka kalkulační položky]]&amp;" | "&amp;IF(A490="","",VLOOKUP(A:A,Pomocna_Nakup[],2,0)))</f>
        <v/>
      </c>
      <c r="D490" s="710" t="str">
        <f>IF(A490="","",'Rozpad zakázky'!F506)</f>
        <v/>
      </c>
      <c r="E490" s="710" t="str">
        <f>IF(A490="","",'Rozpad zakázky'!D506&amp;IF('Rozpad zakázky'!G506="",""," ("&amp;'Rozpad zakázky'!G506&amp;")"))</f>
        <v/>
      </c>
      <c r="F490" s="709" t="str">
        <f>IF(A490="","",'Rozpad zakázky'!IW506)</f>
        <v/>
      </c>
      <c r="G490" s="711" t="str">
        <f>IF(A490="","",'Rozpad zakázky'!AE506)</f>
        <v/>
      </c>
      <c r="H490" s="717" t="str">
        <f>IF(A490="","",'Rozpad zakázky'!AJ506)</f>
        <v/>
      </c>
      <c r="I490" s="748" t="str">
        <f>IF(A490="","",'Rozpad zakázky'!Q506)</f>
        <v/>
      </c>
      <c r="J490" s="717" t="str">
        <f>IF(A490="","",ROUNDDOWN('Rozpad zakázky'!L506,1))</f>
        <v/>
      </c>
      <c r="K490" s="745" t="str">
        <f>IF(A490="","",Tabulka_nakup_Vonka[[#This Row],[Počet MJHR v rozpadu]]*Tabulka_nakup_Vonka[[#This Row],[Jedn. hmotnost '[kg/MJHR']]])</f>
        <v/>
      </c>
    </row>
    <row r="491" spans="1:11" x14ac:dyDescent="0.35">
      <c r="A491" s="709" t="str">
        <f>IF('Rozpad zakázky'!E507=0,"",IF('Rozpad zakázky'!E507="-","",'Rozpad zakázky'!E507))</f>
        <v/>
      </c>
      <c r="B491" s="708" t="str">
        <f>IF(A491="","",IF(A491="","",VLOOKUP(A:A,Pomocna_Nakup[],3,0))&amp;" | "&amp;IF(A491="","",VLOOKUP(A:A,Pomocna_Nakup[],4,0)))</f>
        <v/>
      </c>
      <c r="C491" s="710" t="str">
        <f>IF(Tabulka_nakup_Vonka[[#This Row],[Zkratka kalkulační položky]]="","",Tabulka_nakup_Vonka[[#This Row],[Zkratka kalkulační položky]]&amp;" | "&amp;IF(A491="","",VLOOKUP(A:A,Pomocna_Nakup[],2,0)))</f>
        <v/>
      </c>
      <c r="D491" s="710" t="str">
        <f>IF(A491="","",'Rozpad zakázky'!F507)</f>
        <v/>
      </c>
      <c r="E491" s="710" t="str">
        <f>IF(A491="","",'Rozpad zakázky'!D507&amp;IF('Rozpad zakázky'!G507="",""," ("&amp;'Rozpad zakázky'!G507&amp;")"))</f>
        <v/>
      </c>
      <c r="F491" s="709" t="str">
        <f>IF(A491="","",'Rozpad zakázky'!IW507)</f>
        <v/>
      </c>
      <c r="G491" s="711" t="str">
        <f>IF(A491="","",'Rozpad zakázky'!AE507)</f>
        <v/>
      </c>
      <c r="H491" s="717" t="str">
        <f>IF(A491="","",'Rozpad zakázky'!AJ507)</f>
        <v/>
      </c>
      <c r="I491" s="748" t="str">
        <f>IF(A491="","",'Rozpad zakázky'!Q507)</f>
        <v/>
      </c>
      <c r="J491" s="717" t="str">
        <f>IF(A491="","",ROUNDDOWN('Rozpad zakázky'!L507,1))</f>
        <v/>
      </c>
      <c r="K491" s="745" t="str">
        <f>IF(A491="","",Tabulka_nakup_Vonka[[#This Row],[Počet MJHR v rozpadu]]*Tabulka_nakup_Vonka[[#This Row],[Jedn. hmotnost '[kg/MJHR']]])</f>
        <v/>
      </c>
    </row>
    <row r="492" spans="1:11" x14ac:dyDescent="0.35">
      <c r="A492" s="709" t="str">
        <f>IF('Rozpad zakázky'!E508=0,"",IF('Rozpad zakázky'!E508="-","",'Rozpad zakázky'!E508))</f>
        <v/>
      </c>
      <c r="B492" s="708" t="str">
        <f>IF(A492="","",IF(A492="","",VLOOKUP(A:A,Pomocna_Nakup[],3,0))&amp;" | "&amp;IF(A492="","",VLOOKUP(A:A,Pomocna_Nakup[],4,0)))</f>
        <v/>
      </c>
      <c r="C492" s="710" t="str">
        <f>IF(Tabulka_nakup_Vonka[[#This Row],[Zkratka kalkulační položky]]="","",Tabulka_nakup_Vonka[[#This Row],[Zkratka kalkulační položky]]&amp;" | "&amp;IF(A492="","",VLOOKUP(A:A,Pomocna_Nakup[],2,0)))</f>
        <v/>
      </c>
      <c r="D492" s="710" t="str">
        <f>IF(A492="","",'Rozpad zakázky'!F508)</f>
        <v/>
      </c>
      <c r="E492" s="710" t="str">
        <f>IF(A492="","",'Rozpad zakázky'!D508&amp;IF('Rozpad zakázky'!G508="",""," ("&amp;'Rozpad zakázky'!G508&amp;")"))</f>
        <v/>
      </c>
      <c r="F492" s="709" t="str">
        <f>IF(A492="","",'Rozpad zakázky'!IW508)</f>
        <v/>
      </c>
      <c r="G492" s="711" t="str">
        <f>IF(A492="","",'Rozpad zakázky'!AE508)</f>
        <v/>
      </c>
      <c r="H492" s="717" t="str">
        <f>IF(A492="","",'Rozpad zakázky'!AJ508)</f>
        <v/>
      </c>
      <c r="I492" s="748" t="str">
        <f>IF(A492="","",'Rozpad zakázky'!Q508)</f>
        <v/>
      </c>
      <c r="J492" s="717" t="str">
        <f>IF(A492="","",ROUNDDOWN('Rozpad zakázky'!L508,1))</f>
        <v/>
      </c>
      <c r="K492" s="745" t="str">
        <f>IF(A492="","",Tabulka_nakup_Vonka[[#This Row],[Počet MJHR v rozpadu]]*Tabulka_nakup_Vonka[[#This Row],[Jedn. hmotnost '[kg/MJHR']]])</f>
        <v/>
      </c>
    </row>
    <row r="493" spans="1:11" x14ac:dyDescent="0.35">
      <c r="A493" s="709" t="str">
        <f>IF('Rozpad zakázky'!E509=0,"",IF('Rozpad zakázky'!E509="-","",'Rozpad zakázky'!E509))</f>
        <v/>
      </c>
      <c r="B493" s="708" t="str">
        <f>IF(A493="","",IF(A493="","",VLOOKUP(A:A,Pomocna_Nakup[],3,0))&amp;" | "&amp;IF(A493="","",VLOOKUP(A:A,Pomocna_Nakup[],4,0)))</f>
        <v/>
      </c>
      <c r="C493" s="710" t="str">
        <f>IF(Tabulka_nakup_Vonka[[#This Row],[Zkratka kalkulační položky]]="","",Tabulka_nakup_Vonka[[#This Row],[Zkratka kalkulační položky]]&amp;" | "&amp;IF(A493="","",VLOOKUP(A:A,Pomocna_Nakup[],2,0)))</f>
        <v/>
      </c>
      <c r="D493" s="710" t="str">
        <f>IF(A493="","",'Rozpad zakázky'!F509)</f>
        <v/>
      </c>
      <c r="E493" s="710" t="str">
        <f>IF(A493="","",'Rozpad zakázky'!D509&amp;IF('Rozpad zakázky'!G509="",""," ("&amp;'Rozpad zakázky'!G509&amp;")"))</f>
        <v/>
      </c>
      <c r="F493" s="709" t="str">
        <f>IF(A493="","",'Rozpad zakázky'!IW509)</f>
        <v/>
      </c>
      <c r="G493" s="711" t="str">
        <f>IF(A493="","",'Rozpad zakázky'!AE509)</f>
        <v/>
      </c>
      <c r="H493" s="717" t="str">
        <f>IF(A493="","",'Rozpad zakázky'!AJ509)</f>
        <v/>
      </c>
      <c r="I493" s="748" t="str">
        <f>IF(A493="","",'Rozpad zakázky'!Q509)</f>
        <v/>
      </c>
      <c r="J493" s="717" t="str">
        <f>IF(A493="","",ROUNDDOWN('Rozpad zakázky'!L509,1))</f>
        <v/>
      </c>
      <c r="K493" s="745" t="str">
        <f>IF(A493="","",Tabulka_nakup_Vonka[[#This Row],[Počet MJHR v rozpadu]]*Tabulka_nakup_Vonka[[#This Row],[Jedn. hmotnost '[kg/MJHR']]])</f>
        <v/>
      </c>
    </row>
    <row r="494" spans="1:11" x14ac:dyDescent="0.35">
      <c r="A494" s="709" t="str">
        <f>IF('Rozpad zakázky'!E510=0,"",IF('Rozpad zakázky'!E510="-","",'Rozpad zakázky'!E510))</f>
        <v/>
      </c>
      <c r="B494" s="708" t="str">
        <f>IF(A494="","",IF(A494="","",VLOOKUP(A:A,Pomocna_Nakup[],3,0))&amp;" | "&amp;IF(A494="","",VLOOKUP(A:A,Pomocna_Nakup[],4,0)))</f>
        <v/>
      </c>
      <c r="C494" s="710" t="str">
        <f>IF(Tabulka_nakup_Vonka[[#This Row],[Zkratka kalkulační položky]]="","",Tabulka_nakup_Vonka[[#This Row],[Zkratka kalkulační položky]]&amp;" | "&amp;IF(A494="","",VLOOKUP(A:A,Pomocna_Nakup[],2,0)))</f>
        <v/>
      </c>
      <c r="D494" s="710" t="str">
        <f>IF(A494="","",'Rozpad zakázky'!F510)</f>
        <v/>
      </c>
      <c r="E494" s="710" t="str">
        <f>IF(A494="","",'Rozpad zakázky'!D510&amp;IF('Rozpad zakázky'!G510="",""," ("&amp;'Rozpad zakázky'!G510&amp;")"))</f>
        <v/>
      </c>
      <c r="F494" s="709" t="str">
        <f>IF(A494="","",'Rozpad zakázky'!IW510)</f>
        <v/>
      </c>
      <c r="G494" s="711" t="str">
        <f>IF(A494="","",'Rozpad zakázky'!AE510)</f>
        <v/>
      </c>
      <c r="H494" s="717" t="str">
        <f>IF(A494="","",'Rozpad zakázky'!AJ510)</f>
        <v/>
      </c>
      <c r="I494" s="748" t="str">
        <f>IF(A494="","",'Rozpad zakázky'!Q510)</f>
        <v/>
      </c>
      <c r="J494" s="717" t="str">
        <f>IF(A494="","",ROUNDDOWN('Rozpad zakázky'!L510,1))</f>
        <v/>
      </c>
      <c r="K494" s="745" t="str">
        <f>IF(A494="","",Tabulka_nakup_Vonka[[#This Row],[Počet MJHR v rozpadu]]*Tabulka_nakup_Vonka[[#This Row],[Jedn. hmotnost '[kg/MJHR']]])</f>
        <v/>
      </c>
    </row>
    <row r="495" spans="1:11" x14ac:dyDescent="0.35">
      <c r="A495" s="709" t="str">
        <f>IF('Rozpad zakázky'!E511=0,"",IF('Rozpad zakázky'!E511="-","",'Rozpad zakázky'!E511))</f>
        <v/>
      </c>
      <c r="B495" s="708" t="str">
        <f>IF(A495="","",IF(A495="","",VLOOKUP(A:A,Pomocna_Nakup[],3,0))&amp;" | "&amp;IF(A495="","",VLOOKUP(A:A,Pomocna_Nakup[],4,0)))</f>
        <v/>
      </c>
      <c r="C495" s="710" t="str">
        <f>IF(Tabulka_nakup_Vonka[[#This Row],[Zkratka kalkulační položky]]="","",Tabulka_nakup_Vonka[[#This Row],[Zkratka kalkulační položky]]&amp;" | "&amp;IF(A495="","",VLOOKUP(A:A,Pomocna_Nakup[],2,0)))</f>
        <v/>
      </c>
      <c r="D495" s="710" t="str">
        <f>IF(A495="","",'Rozpad zakázky'!F511)</f>
        <v/>
      </c>
      <c r="E495" s="710" t="str">
        <f>IF(A495="","",'Rozpad zakázky'!D511&amp;IF('Rozpad zakázky'!G511="",""," ("&amp;'Rozpad zakázky'!G511&amp;")"))</f>
        <v/>
      </c>
      <c r="F495" s="709" t="str">
        <f>IF(A495="","",'Rozpad zakázky'!IW511)</f>
        <v/>
      </c>
      <c r="G495" s="711" t="str">
        <f>IF(A495="","",'Rozpad zakázky'!AE511)</f>
        <v/>
      </c>
      <c r="H495" s="717" t="str">
        <f>IF(A495="","",'Rozpad zakázky'!AJ511)</f>
        <v/>
      </c>
      <c r="I495" s="748" t="str">
        <f>IF(A495="","",'Rozpad zakázky'!Q511)</f>
        <v/>
      </c>
      <c r="J495" s="717" t="str">
        <f>IF(A495="","",ROUNDDOWN('Rozpad zakázky'!L511,1))</f>
        <v/>
      </c>
      <c r="K495" s="745" t="str">
        <f>IF(A495="","",Tabulka_nakup_Vonka[[#This Row],[Počet MJHR v rozpadu]]*Tabulka_nakup_Vonka[[#This Row],[Jedn. hmotnost '[kg/MJHR']]])</f>
        <v/>
      </c>
    </row>
    <row r="496" spans="1:11" x14ac:dyDescent="0.35">
      <c r="A496" s="709" t="str">
        <f>IF('Rozpad zakázky'!E512=0,"",IF('Rozpad zakázky'!E512="-","",'Rozpad zakázky'!E512))</f>
        <v/>
      </c>
      <c r="B496" s="708" t="str">
        <f>IF(A496="","",IF(A496="","",VLOOKUP(A:A,Pomocna_Nakup[],3,0))&amp;" | "&amp;IF(A496="","",VLOOKUP(A:A,Pomocna_Nakup[],4,0)))</f>
        <v/>
      </c>
      <c r="C496" s="710" t="str">
        <f>IF(Tabulka_nakup_Vonka[[#This Row],[Zkratka kalkulační položky]]="","",Tabulka_nakup_Vonka[[#This Row],[Zkratka kalkulační položky]]&amp;" | "&amp;IF(A496="","",VLOOKUP(A:A,Pomocna_Nakup[],2,0)))</f>
        <v/>
      </c>
      <c r="D496" s="710" t="str">
        <f>IF(A496="","",'Rozpad zakázky'!F512)</f>
        <v/>
      </c>
      <c r="E496" s="710" t="str">
        <f>IF(A496="","",'Rozpad zakázky'!D512&amp;IF('Rozpad zakázky'!G512="",""," ("&amp;'Rozpad zakázky'!G512&amp;")"))</f>
        <v/>
      </c>
      <c r="F496" s="709" t="str">
        <f>IF(A496="","",'Rozpad zakázky'!IW512)</f>
        <v/>
      </c>
      <c r="G496" s="711" t="str">
        <f>IF(A496="","",'Rozpad zakázky'!AE512)</f>
        <v/>
      </c>
      <c r="H496" s="717" t="str">
        <f>IF(A496="","",'Rozpad zakázky'!AJ512)</f>
        <v/>
      </c>
      <c r="I496" s="748" t="str">
        <f>IF(A496="","",'Rozpad zakázky'!Q512)</f>
        <v/>
      </c>
      <c r="J496" s="717" t="str">
        <f>IF(A496="","",ROUNDDOWN('Rozpad zakázky'!L512,1))</f>
        <v/>
      </c>
      <c r="K496" s="745" t="str">
        <f>IF(A496="","",Tabulka_nakup_Vonka[[#This Row],[Počet MJHR v rozpadu]]*Tabulka_nakup_Vonka[[#This Row],[Jedn. hmotnost '[kg/MJHR']]])</f>
        <v/>
      </c>
    </row>
    <row r="497" spans="1:11" x14ac:dyDescent="0.35">
      <c r="A497" s="709" t="str">
        <f>IF('Rozpad zakázky'!E513=0,"",IF('Rozpad zakázky'!E513="-","",'Rozpad zakázky'!E513))</f>
        <v/>
      </c>
      <c r="B497" s="708" t="str">
        <f>IF(A497="","",IF(A497="","",VLOOKUP(A:A,Pomocna_Nakup[],3,0))&amp;" | "&amp;IF(A497="","",VLOOKUP(A:A,Pomocna_Nakup[],4,0)))</f>
        <v/>
      </c>
      <c r="C497" s="710" t="str">
        <f>IF(Tabulka_nakup_Vonka[[#This Row],[Zkratka kalkulační položky]]="","",Tabulka_nakup_Vonka[[#This Row],[Zkratka kalkulační položky]]&amp;" | "&amp;IF(A497="","",VLOOKUP(A:A,Pomocna_Nakup[],2,0)))</f>
        <v/>
      </c>
      <c r="D497" s="710" t="str">
        <f>IF(A497="","",'Rozpad zakázky'!F513)</f>
        <v/>
      </c>
      <c r="E497" s="710" t="str">
        <f>IF(A497="","",'Rozpad zakázky'!D513&amp;IF('Rozpad zakázky'!G513="",""," ("&amp;'Rozpad zakázky'!G513&amp;")"))</f>
        <v/>
      </c>
      <c r="F497" s="709" t="str">
        <f>IF(A497="","",'Rozpad zakázky'!IW513)</f>
        <v/>
      </c>
      <c r="G497" s="711" t="str">
        <f>IF(A497="","",'Rozpad zakázky'!AE513)</f>
        <v/>
      </c>
      <c r="H497" s="717" t="str">
        <f>IF(A497="","",'Rozpad zakázky'!AJ513)</f>
        <v/>
      </c>
      <c r="I497" s="748" t="str">
        <f>IF(A497="","",'Rozpad zakázky'!Q513)</f>
        <v/>
      </c>
      <c r="J497" s="717" t="str">
        <f>IF(A497="","",ROUNDDOWN('Rozpad zakázky'!L513,1))</f>
        <v/>
      </c>
      <c r="K497" s="745" t="str">
        <f>IF(A497="","",Tabulka_nakup_Vonka[[#This Row],[Počet MJHR v rozpadu]]*Tabulka_nakup_Vonka[[#This Row],[Jedn. hmotnost '[kg/MJHR']]])</f>
        <v/>
      </c>
    </row>
    <row r="498" spans="1:11" x14ac:dyDescent="0.35">
      <c r="A498" s="709" t="str">
        <f>IF('Rozpad zakázky'!E514=0,"",IF('Rozpad zakázky'!E514="-","",'Rozpad zakázky'!E514))</f>
        <v/>
      </c>
      <c r="B498" s="708" t="str">
        <f>IF(A498="","",IF(A498="","",VLOOKUP(A:A,Pomocna_Nakup[],3,0))&amp;" | "&amp;IF(A498="","",VLOOKUP(A:A,Pomocna_Nakup[],4,0)))</f>
        <v/>
      </c>
      <c r="C498" s="710" t="str">
        <f>IF(Tabulka_nakup_Vonka[[#This Row],[Zkratka kalkulační položky]]="","",Tabulka_nakup_Vonka[[#This Row],[Zkratka kalkulační položky]]&amp;" | "&amp;IF(A498="","",VLOOKUP(A:A,Pomocna_Nakup[],2,0)))</f>
        <v/>
      </c>
      <c r="D498" s="710" t="str">
        <f>IF(A498="","",'Rozpad zakázky'!F514)</f>
        <v/>
      </c>
      <c r="E498" s="710" t="str">
        <f>IF(A498="","",'Rozpad zakázky'!D514&amp;IF('Rozpad zakázky'!G514="",""," ("&amp;'Rozpad zakázky'!G514&amp;")"))</f>
        <v/>
      </c>
      <c r="F498" s="709" t="str">
        <f>IF(A498="","",'Rozpad zakázky'!IW514)</f>
        <v/>
      </c>
      <c r="G498" s="711" t="str">
        <f>IF(A498="","",'Rozpad zakázky'!AE514)</f>
        <v/>
      </c>
      <c r="H498" s="717" t="str">
        <f>IF(A498="","",'Rozpad zakázky'!AJ514)</f>
        <v/>
      </c>
      <c r="I498" s="748" t="str">
        <f>IF(A498="","",'Rozpad zakázky'!Q514)</f>
        <v/>
      </c>
      <c r="J498" s="717" t="str">
        <f>IF(A498="","",ROUNDDOWN('Rozpad zakázky'!L514,1))</f>
        <v/>
      </c>
      <c r="K498" s="745" t="str">
        <f>IF(A498="","",Tabulka_nakup_Vonka[[#This Row],[Počet MJHR v rozpadu]]*Tabulka_nakup_Vonka[[#This Row],[Jedn. hmotnost '[kg/MJHR']]])</f>
        <v/>
      </c>
    </row>
    <row r="499" spans="1:11" x14ac:dyDescent="0.35">
      <c r="A499" s="709" t="str">
        <f>IF('Rozpad zakázky'!E515=0,"",IF('Rozpad zakázky'!E515="-","",'Rozpad zakázky'!E515))</f>
        <v/>
      </c>
      <c r="B499" s="708" t="str">
        <f>IF(A499="","",IF(A499="","",VLOOKUP(A:A,Pomocna_Nakup[],3,0))&amp;" | "&amp;IF(A499="","",VLOOKUP(A:A,Pomocna_Nakup[],4,0)))</f>
        <v/>
      </c>
      <c r="C499" s="710" t="str">
        <f>IF(Tabulka_nakup_Vonka[[#This Row],[Zkratka kalkulační položky]]="","",Tabulka_nakup_Vonka[[#This Row],[Zkratka kalkulační položky]]&amp;" | "&amp;IF(A499="","",VLOOKUP(A:A,Pomocna_Nakup[],2,0)))</f>
        <v/>
      </c>
      <c r="D499" s="710" t="str">
        <f>IF(A499="","",'Rozpad zakázky'!F515)</f>
        <v/>
      </c>
      <c r="E499" s="710" t="str">
        <f>IF(A499="","",'Rozpad zakázky'!D515&amp;IF('Rozpad zakázky'!G515="",""," ("&amp;'Rozpad zakázky'!G515&amp;")"))</f>
        <v/>
      </c>
      <c r="F499" s="709" t="str">
        <f>IF(A499="","",'Rozpad zakázky'!IW515)</f>
        <v/>
      </c>
      <c r="G499" s="711" t="str">
        <f>IF(A499="","",'Rozpad zakázky'!AE515)</f>
        <v/>
      </c>
      <c r="H499" s="717" t="str">
        <f>IF(A499="","",'Rozpad zakázky'!AJ515)</f>
        <v/>
      </c>
      <c r="I499" s="748" t="str">
        <f>IF(A499="","",'Rozpad zakázky'!Q515)</f>
        <v/>
      </c>
      <c r="J499" s="717" t="str">
        <f>IF(A499="","",ROUNDDOWN('Rozpad zakázky'!L515,1))</f>
        <v/>
      </c>
      <c r="K499" s="745" t="str">
        <f>IF(A499="","",Tabulka_nakup_Vonka[[#This Row],[Počet MJHR v rozpadu]]*Tabulka_nakup_Vonka[[#This Row],[Jedn. hmotnost '[kg/MJHR']]])</f>
        <v/>
      </c>
    </row>
    <row r="500" spans="1:11" x14ac:dyDescent="0.35">
      <c r="A500" s="709" t="str">
        <f>IF('Rozpad zakázky'!E516=0,"",IF('Rozpad zakázky'!E516="-","",'Rozpad zakázky'!E516))</f>
        <v/>
      </c>
      <c r="B500" s="708" t="str">
        <f>IF(A500="","",IF(A500="","",VLOOKUP(A:A,Pomocna_Nakup[],3,0))&amp;" | "&amp;IF(A500="","",VLOOKUP(A:A,Pomocna_Nakup[],4,0)))</f>
        <v/>
      </c>
      <c r="C500" s="710" t="str">
        <f>IF(Tabulka_nakup_Vonka[[#This Row],[Zkratka kalkulační položky]]="","",Tabulka_nakup_Vonka[[#This Row],[Zkratka kalkulační položky]]&amp;" | "&amp;IF(A500="","",VLOOKUP(A:A,Pomocna_Nakup[],2,0)))</f>
        <v/>
      </c>
      <c r="D500" s="710" t="str">
        <f>IF(A500="","",'Rozpad zakázky'!F516)</f>
        <v/>
      </c>
      <c r="E500" s="710" t="str">
        <f>IF(A500="","",'Rozpad zakázky'!D516&amp;IF('Rozpad zakázky'!G516="",""," ("&amp;'Rozpad zakázky'!G516&amp;")"))</f>
        <v/>
      </c>
      <c r="F500" s="709" t="str">
        <f>IF(A500="","",'Rozpad zakázky'!IW516)</f>
        <v/>
      </c>
      <c r="G500" s="711" t="str">
        <f>IF(A500="","",'Rozpad zakázky'!AE516)</f>
        <v/>
      </c>
      <c r="H500" s="717" t="str">
        <f>IF(A500="","",'Rozpad zakázky'!AJ516)</f>
        <v/>
      </c>
      <c r="I500" s="748" t="str">
        <f>IF(A500="","",'Rozpad zakázky'!Q516)</f>
        <v/>
      </c>
      <c r="J500" s="717" t="str">
        <f>IF(A500="","",ROUNDDOWN('Rozpad zakázky'!L516,1))</f>
        <v/>
      </c>
      <c r="K500" s="745" t="str">
        <f>IF(A500="","",Tabulka_nakup_Vonka[[#This Row],[Počet MJHR v rozpadu]]*Tabulka_nakup_Vonka[[#This Row],[Jedn. hmotnost '[kg/MJHR']]])</f>
        <v/>
      </c>
    </row>
    <row r="501" spans="1:11" x14ac:dyDescent="0.35">
      <c r="A501" s="709" t="str">
        <f>IF('Rozpad zakázky'!E517=0,"",IF('Rozpad zakázky'!E517="-","",'Rozpad zakázky'!E517))</f>
        <v/>
      </c>
      <c r="B501" s="708" t="str">
        <f>IF(A501="","",IF(A501="","",VLOOKUP(A:A,Pomocna_Nakup[],3,0))&amp;" | "&amp;IF(A501="","",VLOOKUP(A:A,Pomocna_Nakup[],4,0)))</f>
        <v/>
      </c>
      <c r="C501" s="710" t="str">
        <f>IF(Tabulka_nakup_Vonka[[#This Row],[Zkratka kalkulační položky]]="","",Tabulka_nakup_Vonka[[#This Row],[Zkratka kalkulační položky]]&amp;" | "&amp;IF(A501="","",VLOOKUP(A:A,Pomocna_Nakup[],2,0)))</f>
        <v/>
      </c>
      <c r="D501" s="710" t="str">
        <f>IF(A501="","",'Rozpad zakázky'!F517)</f>
        <v/>
      </c>
      <c r="E501" s="710" t="str">
        <f>IF(A501="","",'Rozpad zakázky'!D517&amp;IF('Rozpad zakázky'!G517="",""," ("&amp;'Rozpad zakázky'!G517&amp;")"))</f>
        <v/>
      </c>
      <c r="F501" s="709" t="str">
        <f>IF(A501="","",'Rozpad zakázky'!IW517)</f>
        <v/>
      </c>
      <c r="G501" s="711" t="str">
        <f>IF(A501="","",'Rozpad zakázky'!AE517)</f>
        <v/>
      </c>
      <c r="H501" s="717" t="str">
        <f>IF(A501="","",'Rozpad zakázky'!AJ517)</f>
        <v/>
      </c>
      <c r="I501" s="748" t="str">
        <f>IF(A501="","",'Rozpad zakázky'!Q517)</f>
        <v/>
      </c>
      <c r="J501" s="717" t="str">
        <f>IF(A501="","",ROUNDDOWN('Rozpad zakázky'!L517,1))</f>
        <v/>
      </c>
      <c r="K501" s="745" t="str">
        <f>IF(A501="","",Tabulka_nakup_Vonka[[#This Row],[Počet MJHR v rozpadu]]*Tabulka_nakup_Vonka[[#This Row],[Jedn. hmotnost '[kg/MJHR']]])</f>
        <v/>
      </c>
    </row>
    <row r="502" spans="1:11" x14ac:dyDescent="0.35">
      <c r="A502" s="709" t="str">
        <f>IF('Rozpad zakázky'!E518=0,"",IF('Rozpad zakázky'!E518="-","",'Rozpad zakázky'!E518))</f>
        <v/>
      </c>
      <c r="B502" s="708" t="str">
        <f>IF(A502="","",IF(A502="","",VLOOKUP(A:A,Pomocna_Nakup[],3,0))&amp;" | "&amp;IF(A502="","",VLOOKUP(A:A,Pomocna_Nakup[],4,0)))</f>
        <v/>
      </c>
      <c r="C502" s="710" t="str">
        <f>IF(Tabulka_nakup_Vonka[[#This Row],[Zkratka kalkulační položky]]="","",Tabulka_nakup_Vonka[[#This Row],[Zkratka kalkulační položky]]&amp;" | "&amp;IF(A502="","",VLOOKUP(A:A,Pomocna_Nakup[],2,0)))</f>
        <v/>
      </c>
      <c r="D502" s="710" t="str">
        <f>IF(A502="","",'Rozpad zakázky'!F518)</f>
        <v/>
      </c>
      <c r="E502" s="710" t="str">
        <f>IF(A502="","",'Rozpad zakázky'!D518&amp;IF('Rozpad zakázky'!G518="",""," ("&amp;'Rozpad zakázky'!G518&amp;")"))</f>
        <v/>
      </c>
      <c r="F502" s="709" t="str">
        <f>IF(A502="","",'Rozpad zakázky'!IW518)</f>
        <v/>
      </c>
      <c r="G502" s="711" t="str">
        <f>IF(A502="","",'Rozpad zakázky'!AE518)</f>
        <v/>
      </c>
      <c r="H502" s="717" t="str">
        <f>IF(A502="","",'Rozpad zakázky'!AJ518)</f>
        <v/>
      </c>
      <c r="I502" s="748" t="str">
        <f>IF(A502="","",'Rozpad zakázky'!Q518)</f>
        <v/>
      </c>
      <c r="J502" s="717" t="str">
        <f>IF(A502="","",ROUNDDOWN('Rozpad zakázky'!L518,1))</f>
        <v/>
      </c>
      <c r="K502" s="745" t="str">
        <f>IF(A502="","",Tabulka_nakup_Vonka[[#This Row],[Počet MJHR v rozpadu]]*Tabulka_nakup_Vonka[[#This Row],[Jedn. hmotnost '[kg/MJHR']]])</f>
        <v/>
      </c>
    </row>
    <row r="503" spans="1:11" x14ac:dyDescent="0.35">
      <c r="A503" s="709" t="str">
        <f>IF('Rozpad zakázky'!E519=0,"",IF('Rozpad zakázky'!E519="-","",'Rozpad zakázky'!E519))</f>
        <v/>
      </c>
      <c r="B503" s="708" t="str">
        <f>IF(A503="","",IF(A503="","",VLOOKUP(A:A,Pomocna_Nakup[],3,0))&amp;" | "&amp;IF(A503="","",VLOOKUP(A:A,Pomocna_Nakup[],4,0)))</f>
        <v/>
      </c>
      <c r="C503" s="710" t="str">
        <f>IF(Tabulka_nakup_Vonka[[#This Row],[Zkratka kalkulační položky]]="","",Tabulka_nakup_Vonka[[#This Row],[Zkratka kalkulační položky]]&amp;" | "&amp;IF(A503="","",VLOOKUP(A:A,Pomocna_Nakup[],2,0)))</f>
        <v/>
      </c>
      <c r="D503" s="710" t="str">
        <f>IF(A503="","",'Rozpad zakázky'!F519)</f>
        <v/>
      </c>
      <c r="E503" s="710" t="str">
        <f>IF(A503="","",'Rozpad zakázky'!D519&amp;IF('Rozpad zakázky'!G519="",""," ("&amp;'Rozpad zakázky'!G519&amp;")"))</f>
        <v/>
      </c>
      <c r="F503" s="709" t="str">
        <f>IF(A503="","",'Rozpad zakázky'!IW519)</f>
        <v/>
      </c>
      <c r="G503" s="711" t="str">
        <f>IF(A503="","",'Rozpad zakázky'!AE519)</f>
        <v/>
      </c>
      <c r="H503" s="717" t="str">
        <f>IF(A503="","",'Rozpad zakázky'!AJ519)</f>
        <v/>
      </c>
      <c r="I503" s="748" t="str">
        <f>IF(A503="","",'Rozpad zakázky'!Q519)</f>
        <v/>
      </c>
      <c r="J503" s="717" t="str">
        <f>IF(A503="","",ROUNDDOWN('Rozpad zakázky'!L519,1))</f>
        <v/>
      </c>
      <c r="K503" s="745" t="str">
        <f>IF(A503="","",Tabulka_nakup_Vonka[[#This Row],[Počet MJHR v rozpadu]]*Tabulka_nakup_Vonka[[#This Row],[Jedn. hmotnost '[kg/MJHR']]])</f>
        <v/>
      </c>
    </row>
    <row r="504" spans="1:11" x14ac:dyDescent="0.35">
      <c r="A504" s="709" t="str">
        <f>IF('Rozpad zakázky'!E520=0,"",IF('Rozpad zakázky'!E520="-","",'Rozpad zakázky'!E520))</f>
        <v/>
      </c>
      <c r="B504" s="708" t="str">
        <f>IF(A504="","",IF(A504="","",VLOOKUP(A:A,Pomocna_Nakup[],3,0))&amp;" | "&amp;IF(A504="","",VLOOKUP(A:A,Pomocna_Nakup[],4,0)))</f>
        <v/>
      </c>
      <c r="C504" s="710" t="str">
        <f>IF(Tabulka_nakup_Vonka[[#This Row],[Zkratka kalkulační položky]]="","",Tabulka_nakup_Vonka[[#This Row],[Zkratka kalkulační položky]]&amp;" | "&amp;IF(A504="","",VLOOKUP(A:A,Pomocna_Nakup[],2,0)))</f>
        <v/>
      </c>
      <c r="D504" s="710" t="str">
        <f>IF(A504="","",'Rozpad zakázky'!F520)</f>
        <v/>
      </c>
      <c r="E504" s="710" t="str">
        <f>IF(A504="","",'Rozpad zakázky'!D520&amp;IF('Rozpad zakázky'!G520="",""," ("&amp;'Rozpad zakázky'!G520&amp;")"))</f>
        <v/>
      </c>
      <c r="F504" s="709" t="str">
        <f>IF(A504="","",'Rozpad zakázky'!IW520)</f>
        <v/>
      </c>
      <c r="G504" s="711" t="str">
        <f>IF(A504="","",'Rozpad zakázky'!AE520)</f>
        <v/>
      </c>
      <c r="H504" s="717" t="str">
        <f>IF(A504="","",'Rozpad zakázky'!AJ520)</f>
        <v/>
      </c>
      <c r="I504" s="748" t="str">
        <f>IF(A504="","",'Rozpad zakázky'!Q520)</f>
        <v/>
      </c>
      <c r="J504" s="717" t="str">
        <f>IF(A504="","",ROUNDDOWN('Rozpad zakázky'!L520,1))</f>
        <v/>
      </c>
      <c r="K504" s="745" t="str">
        <f>IF(A504="","",Tabulka_nakup_Vonka[[#This Row],[Počet MJHR v rozpadu]]*Tabulka_nakup_Vonka[[#This Row],[Jedn. hmotnost '[kg/MJHR']]])</f>
        <v/>
      </c>
    </row>
    <row r="505" spans="1:11" x14ac:dyDescent="0.35">
      <c r="A505" s="709" t="str">
        <f>IF('Rozpad zakázky'!E521=0,"",IF('Rozpad zakázky'!E521="-","",'Rozpad zakázky'!E521))</f>
        <v/>
      </c>
      <c r="B505" s="708" t="str">
        <f>IF(A505="","",IF(A505="","",VLOOKUP(A:A,Pomocna_Nakup[],3,0))&amp;" | "&amp;IF(A505="","",VLOOKUP(A:A,Pomocna_Nakup[],4,0)))</f>
        <v/>
      </c>
      <c r="C505" s="710" t="str">
        <f>IF(Tabulka_nakup_Vonka[[#This Row],[Zkratka kalkulační položky]]="","",Tabulka_nakup_Vonka[[#This Row],[Zkratka kalkulační položky]]&amp;" | "&amp;IF(A505="","",VLOOKUP(A:A,Pomocna_Nakup[],2,0)))</f>
        <v/>
      </c>
      <c r="D505" s="710" t="str">
        <f>IF(A505="","",'Rozpad zakázky'!F521)</f>
        <v/>
      </c>
      <c r="E505" s="710" t="str">
        <f>IF(A505="","",'Rozpad zakázky'!D521&amp;IF('Rozpad zakázky'!G521="",""," ("&amp;'Rozpad zakázky'!G521&amp;")"))</f>
        <v/>
      </c>
      <c r="F505" s="709" t="str">
        <f>IF(A505="","",'Rozpad zakázky'!IW521)</f>
        <v/>
      </c>
      <c r="G505" s="711" t="str">
        <f>IF(A505="","",'Rozpad zakázky'!AE521)</f>
        <v/>
      </c>
      <c r="H505" s="717" t="str">
        <f>IF(A505="","",'Rozpad zakázky'!AJ521)</f>
        <v/>
      </c>
      <c r="I505" s="748" t="str">
        <f>IF(A505="","",'Rozpad zakázky'!Q521)</f>
        <v/>
      </c>
      <c r="J505" s="717" t="str">
        <f>IF(A505="","",ROUNDDOWN('Rozpad zakázky'!L521,1))</f>
        <v/>
      </c>
      <c r="K505" s="745" t="str">
        <f>IF(A505="","",Tabulka_nakup_Vonka[[#This Row],[Počet MJHR v rozpadu]]*Tabulka_nakup_Vonka[[#This Row],[Jedn. hmotnost '[kg/MJHR']]])</f>
        <v/>
      </c>
    </row>
    <row r="506" spans="1:11" x14ac:dyDescent="0.35">
      <c r="A506" s="709" t="str">
        <f>IF('Rozpad zakázky'!E522=0,"",IF('Rozpad zakázky'!E522="-","",'Rozpad zakázky'!E522))</f>
        <v/>
      </c>
      <c r="B506" s="708" t="str">
        <f>IF(A506="","",IF(A506="","",VLOOKUP(A:A,Pomocna_Nakup[],3,0))&amp;" | "&amp;IF(A506="","",VLOOKUP(A:A,Pomocna_Nakup[],4,0)))</f>
        <v/>
      </c>
      <c r="C506" s="710" t="str">
        <f>IF(Tabulka_nakup_Vonka[[#This Row],[Zkratka kalkulační položky]]="","",Tabulka_nakup_Vonka[[#This Row],[Zkratka kalkulační položky]]&amp;" | "&amp;IF(A506="","",VLOOKUP(A:A,Pomocna_Nakup[],2,0)))</f>
        <v/>
      </c>
      <c r="D506" s="710" t="str">
        <f>IF(A506="","",'Rozpad zakázky'!F522)</f>
        <v/>
      </c>
      <c r="E506" s="710" t="str">
        <f>IF(A506="","",'Rozpad zakázky'!D522&amp;IF('Rozpad zakázky'!G522="",""," ("&amp;'Rozpad zakázky'!G522&amp;")"))</f>
        <v/>
      </c>
      <c r="F506" s="709" t="str">
        <f>IF(A506="","",'Rozpad zakázky'!IW522)</f>
        <v/>
      </c>
      <c r="G506" s="711" t="str">
        <f>IF(A506="","",'Rozpad zakázky'!AE522)</f>
        <v/>
      </c>
      <c r="H506" s="717" t="str">
        <f>IF(A506="","",'Rozpad zakázky'!AJ522)</f>
        <v/>
      </c>
      <c r="I506" s="748" t="str">
        <f>IF(A506="","",'Rozpad zakázky'!Q522)</f>
        <v/>
      </c>
      <c r="J506" s="717" t="str">
        <f>IF(A506="","",ROUNDDOWN('Rozpad zakázky'!L522,1))</f>
        <v/>
      </c>
      <c r="K506" s="745" t="str">
        <f>IF(A506="","",Tabulka_nakup_Vonka[[#This Row],[Počet MJHR v rozpadu]]*Tabulka_nakup_Vonka[[#This Row],[Jedn. hmotnost '[kg/MJHR']]])</f>
        <v/>
      </c>
    </row>
    <row r="507" spans="1:11" x14ac:dyDescent="0.35">
      <c r="A507" s="709" t="str">
        <f>IF('Rozpad zakázky'!E523=0,"",IF('Rozpad zakázky'!E523="-","",'Rozpad zakázky'!E523))</f>
        <v/>
      </c>
      <c r="B507" s="708" t="str">
        <f>IF(A507="","",IF(A507="","",VLOOKUP(A:A,Pomocna_Nakup[],3,0))&amp;" | "&amp;IF(A507="","",VLOOKUP(A:A,Pomocna_Nakup[],4,0)))</f>
        <v/>
      </c>
      <c r="C507" s="710" t="str">
        <f>IF(Tabulka_nakup_Vonka[[#This Row],[Zkratka kalkulační položky]]="","",Tabulka_nakup_Vonka[[#This Row],[Zkratka kalkulační položky]]&amp;" | "&amp;IF(A507="","",VLOOKUP(A:A,Pomocna_Nakup[],2,0)))</f>
        <v/>
      </c>
      <c r="D507" s="710" t="str">
        <f>IF(A507="","",'Rozpad zakázky'!F523)</f>
        <v/>
      </c>
      <c r="E507" s="710" t="str">
        <f>IF(A507="","",'Rozpad zakázky'!D523&amp;IF('Rozpad zakázky'!G523="",""," ("&amp;'Rozpad zakázky'!G523&amp;")"))</f>
        <v/>
      </c>
      <c r="F507" s="709" t="str">
        <f>IF(A507="","",'Rozpad zakázky'!IW523)</f>
        <v/>
      </c>
      <c r="G507" s="711" t="str">
        <f>IF(A507="","",'Rozpad zakázky'!AE523)</f>
        <v/>
      </c>
      <c r="H507" s="717" t="str">
        <f>IF(A507="","",'Rozpad zakázky'!AJ523)</f>
        <v/>
      </c>
      <c r="I507" s="748" t="str">
        <f>IF(A507="","",'Rozpad zakázky'!Q523)</f>
        <v/>
      </c>
      <c r="J507" s="717" t="str">
        <f>IF(A507="","",ROUNDDOWN('Rozpad zakázky'!L523,1))</f>
        <v/>
      </c>
      <c r="K507" s="745" t="str">
        <f>IF(A507="","",Tabulka_nakup_Vonka[[#This Row],[Počet MJHR v rozpadu]]*Tabulka_nakup_Vonka[[#This Row],[Jedn. hmotnost '[kg/MJHR']]])</f>
        <v/>
      </c>
    </row>
    <row r="508" spans="1:11" x14ac:dyDescent="0.35">
      <c r="A508" s="709" t="str">
        <f>IF('Rozpad zakázky'!E524=0,"",IF('Rozpad zakázky'!E524="-","",'Rozpad zakázky'!E524))</f>
        <v/>
      </c>
      <c r="B508" s="708" t="str">
        <f>IF(A508="","",IF(A508="","",VLOOKUP(A:A,Pomocna_Nakup[],3,0))&amp;" | "&amp;IF(A508="","",VLOOKUP(A:A,Pomocna_Nakup[],4,0)))</f>
        <v/>
      </c>
      <c r="C508" s="710" t="str">
        <f>IF(Tabulka_nakup_Vonka[[#This Row],[Zkratka kalkulační položky]]="","",Tabulka_nakup_Vonka[[#This Row],[Zkratka kalkulační položky]]&amp;" | "&amp;IF(A508="","",VLOOKUP(A:A,Pomocna_Nakup[],2,0)))</f>
        <v/>
      </c>
      <c r="D508" s="710" t="str">
        <f>IF(A508="","",'Rozpad zakázky'!F524)</f>
        <v/>
      </c>
      <c r="E508" s="710" t="str">
        <f>IF(A508="","",'Rozpad zakázky'!D524&amp;IF('Rozpad zakázky'!G524="",""," ("&amp;'Rozpad zakázky'!G524&amp;")"))</f>
        <v/>
      </c>
      <c r="F508" s="709" t="str">
        <f>IF(A508="","",'Rozpad zakázky'!IW524)</f>
        <v/>
      </c>
      <c r="G508" s="711" t="str">
        <f>IF(A508="","",'Rozpad zakázky'!AE524)</f>
        <v/>
      </c>
      <c r="H508" s="717" t="str">
        <f>IF(A508="","",'Rozpad zakázky'!AJ524)</f>
        <v/>
      </c>
      <c r="I508" s="748" t="str">
        <f>IF(A508="","",'Rozpad zakázky'!Q524)</f>
        <v/>
      </c>
      <c r="J508" s="717" t="str">
        <f>IF(A508="","",ROUNDDOWN('Rozpad zakázky'!L524,1))</f>
        <v/>
      </c>
      <c r="K508" s="745" t="str">
        <f>IF(A508="","",Tabulka_nakup_Vonka[[#This Row],[Počet MJHR v rozpadu]]*Tabulka_nakup_Vonka[[#This Row],[Jedn. hmotnost '[kg/MJHR']]])</f>
        <v/>
      </c>
    </row>
    <row r="509" spans="1:11" x14ac:dyDescent="0.35">
      <c r="A509" s="709" t="str">
        <f>IF('Rozpad zakázky'!E525=0,"",IF('Rozpad zakázky'!E525="-","",'Rozpad zakázky'!E525))</f>
        <v/>
      </c>
      <c r="B509" s="708" t="str">
        <f>IF(A509="","",IF(A509="","",VLOOKUP(A:A,Pomocna_Nakup[],3,0))&amp;" | "&amp;IF(A509="","",VLOOKUP(A:A,Pomocna_Nakup[],4,0)))</f>
        <v/>
      </c>
      <c r="C509" s="710" t="str">
        <f>IF(Tabulka_nakup_Vonka[[#This Row],[Zkratka kalkulační položky]]="","",Tabulka_nakup_Vonka[[#This Row],[Zkratka kalkulační položky]]&amp;" | "&amp;IF(A509="","",VLOOKUP(A:A,Pomocna_Nakup[],2,0)))</f>
        <v/>
      </c>
      <c r="D509" s="710" t="str">
        <f>IF(A509="","",'Rozpad zakázky'!F525)</f>
        <v/>
      </c>
      <c r="E509" s="710" t="str">
        <f>IF(A509="","",'Rozpad zakázky'!D525&amp;IF('Rozpad zakázky'!G525="",""," ("&amp;'Rozpad zakázky'!G525&amp;")"))</f>
        <v/>
      </c>
      <c r="F509" s="709" t="str">
        <f>IF(A509="","",'Rozpad zakázky'!IW525)</f>
        <v/>
      </c>
      <c r="G509" s="711" t="str">
        <f>IF(A509="","",'Rozpad zakázky'!AE525)</f>
        <v/>
      </c>
      <c r="H509" s="717" t="str">
        <f>IF(A509="","",'Rozpad zakázky'!AJ525)</f>
        <v/>
      </c>
      <c r="I509" s="748" t="str">
        <f>IF(A509="","",'Rozpad zakázky'!Q525)</f>
        <v/>
      </c>
      <c r="J509" s="717" t="str">
        <f>IF(A509="","",ROUNDDOWN('Rozpad zakázky'!L525,1))</f>
        <v/>
      </c>
      <c r="K509" s="745" t="str">
        <f>IF(A509="","",Tabulka_nakup_Vonka[[#This Row],[Počet MJHR v rozpadu]]*Tabulka_nakup_Vonka[[#This Row],[Jedn. hmotnost '[kg/MJHR']]])</f>
        <v/>
      </c>
    </row>
    <row r="510" spans="1:11" x14ac:dyDescent="0.35">
      <c r="A510" s="709" t="str">
        <f>IF('Rozpad zakázky'!E526=0,"",IF('Rozpad zakázky'!E526="-","",'Rozpad zakázky'!E526))</f>
        <v/>
      </c>
      <c r="B510" s="708" t="str">
        <f>IF(A510="","",IF(A510="","",VLOOKUP(A:A,Pomocna_Nakup[],3,0))&amp;" | "&amp;IF(A510="","",VLOOKUP(A:A,Pomocna_Nakup[],4,0)))</f>
        <v/>
      </c>
      <c r="C510" s="710" t="str">
        <f>IF(Tabulka_nakup_Vonka[[#This Row],[Zkratka kalkulační položky]]="","",Tabulka_nakup_Vonka[[#This Row],[Zkratka kalkulační položky]]&amp;" | "&amp;IF(A510="","",VLOOKUP(A:A,Pomocna_Nakup[],2,0)))</f>
        <v/>
      </c>
      <c r="D510" s="710" t="str">
        <f>IF(A510="","",'Rozpad zakázky'!F526)</f>
        <v/>
      </c>
      <c r="E510" s="710" t="str">
        <f>IF(A510="","",'Rozpad zakázky'!D526&amp;IF('Rozpad zakázky'!G526="",""," ("&amp;'Rozpad zakázky'!G526&amp;")"))</f>
        <v/>
      </c>
      <c r="F510" s="709" t="str">
        <f>IF(A510="","",'Rozpad zakázky'!IW526)</f>
        <v/>
      </c>
      <c r="G510" s="711" t="str">
        <f>IF(A510="","",'Rozpad zakázky'!AE526)</f>
        <v/>
      </c>
      <c r="H510" s="717" t="str">
        <f>IF(A510="","",'Rozpad zakázky'!AJ526)</f>
        <v/>
      </c>
      <c r="I510" s="748" t="str">
        <f>IF(A510="","",'Rozpad zakázky'!Q526)</f>
        <v/>
      </c>
      <c r="J510" s="717" t="str">
        <f>IF(A510="","",ROUNDDOWN('Rozpad zakázky'!L526,1))</f>
        <v/>
      </c>
      <c r="K510" s="745" t="str">
        <f>IF(A510="","",Tabulka_nakup_Vonka[[#This Row],[Počet MJHR v rozpadu]]*Tabulka_nakup_Vonka[[#This Row],[Jedn. hmotnost '[kg/MJHR']]])</f>
        <v/>
      </c>
    </row>
    <row r="511" spans="1:11" x14ac:dyDescent="0.35">
      <c r="A511" s="709" t="str">
        <f>IF('Rozpad zakázky'!E527=0,"",IF('Rozpad zakázky'!E527="-","",'Rozpad zakázky'!E527))</f>
        <v/>
      </c>
      <c r="B511" s="708" t="str">
        <f>IF(A511="","",IF(A511="","",VLOOKUP(A:A,Pomocna_Nakup[],3,0))&amp;" | "&amp;IF(A511="","",VLOOKUP(A:A,Pomocna_Nakup[],4,0)))</f>
        <v/>
      </c>
      <c r="C511" s="710" t="str">
        <f>IF(Tabulka_nakup_Vonka[[#This Row],[Zkratka kalkulační položky]]="","",Tabulka_nakup_Vonka[[#This Row],[Zkratka kalkulační položky]]&amp;" | "&amp;IF(A511="","",VLOOKUP(A:A,Pomocna_Nakup[],2,0)))</f>
        <v/>
      </c>
      <c r="D511" s="710" t="str">
        <f>IF(A511="","",'Rozpad zakázky'!F527)</f>
        <v/>
      </c>
      <c r="E511" s="710" t="str">
        <f>IF(A511="","",'Rozpad zakázky'!D527&amp;IF('Rozpad zakázky'!G527="",""," ("&amp;'Rozpad zakázky'!G527&amp;")"))</f>
        <v/>
      </c>
      <c r="F511" s="709" t="str">
        <f>IF(A511="","",'Rozpad zakázky'!IW527)</f>
        <v/>
      </c>
      <c r="G511" s="711" t="str">
        <f>IF(A511="","",'Rozpad zakázky'!AE527)</f>
        <v/>
      </c>
      <c r="H511" s="717" t="str">
        <f>IF(A511="","",'Rozpad zakázky'!AJ527)</f>
        <v/>
      </c>
      <c r="I511" s="748" t="str">
        <f>IF(A511="","",'Rozpad zakázky'!Q527)</f>
        <v/>
      </c>
      <c r="J511" s="717" t="str">
        <f>IF(A511="","",ROUNDDOWN('Rozpad zakázky'!L527,1))</f>
        <v/>
      </c>
      <c r="K511" s="745" t="str">
        <f>IF(A511="","",Tabulka_nakup_Vonka[[#This Row],[Počet MJHR v rozpadu]]*Tabulka_nakup_Vonka[[#This Row],[Jedn. hmotnost '[kg/MJHR']]])</f>
        <v/>
      </c>
    </row>
    <row r="512" spans="1:11" x14ac:dyDescent="0.35">
      <c r="A512" s="709" t="str">
        <f>IF('Rozpad zakázky'!E528=0,"",IF('Rozpad zakázky'!E528="-","",'Rozpad zakázky'!E528))</f>
        <v/>
      </c>
      <c r="B512" s="708" t="str">
        <f>IF(A512="","",IF(A512="","",VLOOKUP(A:A,Pomocna_Nakup[],3,0))&amp;" | "&amp;IF(A512="","",VLOOKUP(A:A,Pomocna_Nakup[],4,0)))</f>
        <v/>
      </c>
      <c r="C512" s="710" t="str">
        <f>IF(Tabulka_nakup_Vonka[[#This Row],[Zkratka kalkulační položky]]="","",Tabulka_nakup_Vonka[[#This Row],[Zkratka kalkulační položky]]&amp;" | "&amp;IF(A512="","",VLOOKUP(A:A,Pomocna_Nakup[],2,0)))</f>
        <v/>
      </c>
      <c r="D512" s="710" t="str">
        <f>IF(A512="","",'Rozpad zakázky'!F528)</f>
        <v/>
      </c>
      <c r="E512" s="710" t="str">
        <f>IF(A512="","",'Rozpad zakázky'!D528&amp;IF('Rozpad zakázky'!G528="",""," ("&amp;'Rozpad zakázky'!G528&amp;")"))</f>
        <v/>
      </c>
      <c r="F512" s="709" t="str">
        <f>IF(A512="","",'Rozpad zakázky'!IW528)</f>
        <v/>
      </c>
      <c r="G512" s="711" t="str">
        <f>IF(A512="","",'Rozpad zakázky'!AE528)</f>
        <v/>
      </c>
      <c r="H512" s="717" t="str">
        <f>IF(A512="","",'Rozpad zakázky'!AJ528)</f>
        <v/>
      </c>
      <c r="I512" s="748" t="str">
        <f>IF(A512="","",'Rozpad zakázky'!Q528)</f>
        <v/>
      </c>
      <c r="J512" s="717" t="str">
        <f>IF(A512="","",ROUNDDOWN('Rozpad zakázky'!L528,1))</f>
        <v/>
      </c>
      <c r="K512" s="745" t="str">
        <f>IF(A512="","",Tabulka_nakup_Vonka[[#This Row],[Počet MJHR v rozpadu]]*Tabulka_nakup_Vonka[[#This Row],[Jedn. hmotnost '[kg/MJHR']]])</f>
        <v/>
      </c>
    </row>
    <row r="513" spans="1:11" x14ac:dyDescent="0.35">
      <c r="A513" s="709" t="str">
        <f>IF('Rozpad zakázky'!E529=0,"",IF('Rozpad zakázky'!E529="-","",'Rozpad zakázky'!E529))</f>
        <v/>
      </c>
      <c r="B513" s="708" t="str">
        <f>IF(A513="","",IF(A513="","",VLOOKUP(A:A,Pomocna_Nakup[],3,0))&amp;" | "&amp;IF(A513="","",VLOOKUP(A:A,Pomocna_Nakup[],4,0)))</f>
        <v/>
      </c>
      <c r="C513" s="710" t="str">
        <f>IF(Tabulka_nakup_Vonka[[#This Row],[Zkratka kalkulační položky]]="","",Tabulka_nakup_Vonka[[#This Row],[Zkratka kalkulační položky]]&amp;" | "&amp;IF(A513="","",VLOOKUP(A:A,Pomocna_Nakup[],2,0)))</f>
        <v/>
      </c>
      <c r="D513" s="710" t="str">
        <f>IF(A513="","",'Rozpad zakázky'!F529)</f>
        <v/>
      </c>
      <c r="E513" s="710" t="str">
        <f>IF(A513="","",'Rozpad zakázky'!D529&amp;IF('Rozpad zakázky'!G529="",""," ("&amp;'Rozpad zakázky'!G529&amp;")"))</f>
        <v/>
      </c>
      <c r="F513" s="709" t="str">
        <f>IF(A513="","",'Rozpad zakázky'!IW529)</f>
        <v/>
      </c>
      <c r="G513" s="711" t="str">
        <f>IF(A513="","",'Rozpad zakázky'!AE529)</f>
        <v/>
      </c>
      <c r="H513" s="717" t="str">
        <f>IF(A513="","",'Rozpad zakázky'!AJ529)</f>
        <v/>
      </c>
      <c r="I513" s="748" t="str">
        <f>IF(A513="","",'Rozpad zakázky'!Q529)</f>
        <v/>
      </c>
      <c r="J513" s="717" t="str">
        <f>IF(A513="","",ROUNDDOWN('Rozpad zakázky'!L529,1))</f>
        <v/>
      </c>
      <c r="K513" s="745" t="str">
        <f>IF(A513="","",Tabulka_nakup_Vonka[[#This Row],[Počet MJHR v rozpadu]]*Tabulka_nakup_Vonka[[#This Row],[Jedn. hmotnost '[kg/MJHR']]])</f>
        <v/>
      </c>
    </row>
    <row r="514" spans="1:11" x14ac:dyDescent="0.35">
      <c r="A514" s="709" t="str">
        <f>IF('Rozpad zakázky'!E530=0,"",IF('Rozpad zakázky'!E530="-","",'Rozpad zakázky'!E530))</f>
        <v/>
      </c>
      <c r="B514" s="708" t="str">
        <f>IF(A514="","",IF(A514="","",VLOOKUP(A:A,Pomocna_Nakup[],3,0))&amp;" | "&amp;IF(A514="","",VLOOKUP(A:A,Pomocna_Nakup[],4,0)))</f>
        <v/>
      </c>
      <c r="C514" s="710" t="str">
        <f>IF(Tabulka_nakup_Vonka[[#This Row],[Zkratka kalkulační položky]]="","",Tabulka_nakup_Vonka[[#This Row],[Zkratka kalkulační položky]]&amp;" | "&amp;IF(A514="","",VLOOKUP(A:A,Pomocna_Nakup[],2,0)))</f>
        <v/>
      </c>
      <c r="D514" s="710" t="str">
        <f>IF(A514="","",'Rozpad zakázky'!F530)</f>
        <v/>
      </c>
      <c r="E514" s="710" t="str">
        <f>IF(A514="","",'Rozpad zakázky'!D530&amp;IF('Rozpad zakázky'!G530="",""," ("&amp;'Rozpad zakázky'!G530&amp;")"))</f>
        <v/>
      </c>
      <c r="F514" s="709" t="str">
        <f>IF(A514="","",'Rozpad zakázky'!IW530)</f>
        <v/>
      </c>
      <c r="G514" s="711" t="str">
        <f>IF(A514="","",'Rozpad zakázky'!AE530)</f>
        <v/>
      </c>
      <c r="H514" s="717" t="str">
        <f>IF(A514="","",'Rozpad zakázky'!AJ530)</f>
        <v/>
      </c>
      <c r="I514" s="748" t="str">
        <f>IF(A514="","",'Rozpad zakázky'!Q530)</f>
        <v/>
      </c>
      <c r="J514" s="717" t="str">
        <f>IF(A514="","",ROUNDDOWN('Rozpad zakázky'!L530,1))</f>
        <v/>
      </c>
      <c r="K514" s="745" t="str">
        <f>IF(A514="","",Tabulka_nakup_Vonka[[#This Row],[Počet MJHR v rozpadu]]*Tabulka_nakup_Vonka[[#This Row],[Jedn. hmotnost '[kg/MJHR']]])</f>
        <v/>
      </c>
    </row>
    <row r="515" spans="1:11" x14ac:dyDescent="0.35">
      <c r="A515" s="709" t="str">
        <f>IF('Rozpad zakázky'!E531=0,"",IF('Rozpad zakázky'!E531="-","",'Rozpad zakázky'!E531))</f>
        <v/>
      </c>
      <c r="B515" s="708" t="str">
        <f>IF(A515="","",IF(A515="","",VLOOKUP(A:A,Pomocna_Nakup[],3,0))&amp;" | "&amp;IF(A515="","",VLOOKUP(A:A,Pomocna_Nakup[],4,0)))</f>
        <v/>
      </c>
      <c r="C515" s="710" t="str">
        <f>IF(Tabulka_nakup_Vonka[[#This Row],[Zkratka kalkulační položky]]="","",Tabulka_nakup_Vonka[[#This Row],[Zkratka kalkulační položky]]&amp;" | "&amp;IF(A515="","",VLOOKUP(A:A,Pomocna_Nakup[],2,0)))</f>
        <v/>
      </c>
      <c r="D515" s="710" t="str">
        <f>IF(A515="","",'Rozpad zakázky'!F531)</f>
        <v/>
      </c>
      <c r="E515" s="710" t="str">
        <f>IF(A515="","",'Rozpad zakázky'!D531&amp;IF('Rozpad zakázky'!G531="",""," ("&amp;'Rozpad zakázky'!G531&amp;")"))</f>
        <v/>
      </c>
      <c r="F515" s="709" t="str">
        <f>IF(A515="","",'Rozpad zakázky'!IW531)</f>
        <v/>
      </c>
      <c r="G515" s="711" t="str">
        <f>IF(A515="","",'Rozpad zakázky'!AE531)</f>
        <v/>
      </c>
      <c r="H515" s="717" t="str">
        <f>IF(A515="","",'Rozpad zakázky'!AJ531)</f>
        <v/>
      </c>
      <c r="I515" s="748" t="str">
        <f>IF(A515="","",'Rozpad zakázky'!Q531)</f>
        <v/>
      </c>
      <c r="J515" s="717" t="str">
        <f>IF(A515="","",ROUNDDOWN('Rozpad zakázky'!L531,1))</f>
        <v/>
      </c>
      <c r="K515" s="745" t="str">
        <f>IF(A515="","",Tabulka_nakup_Vonka[[#This Row],[Počet MJHR v rozpadu]]*Tabulka_nakup_Vonka[[#This Row],[Jedn. hmotnost '[kg/MJHR']]])</f>
        <v/>
      </c>
    </row>
    <row r="516" spans="1:11" x14ac:dyDescent="0.35">
      <c r="A516" s="709" t="str">
        <f>IF('Rozpad zakázky'!E532=0,"",IF('Rozpad zakázky'!E532="-","",'Rozpad zakázky'!E532))</f>
        <v/>
      </c>
      <c r="B516" s="708" t="str">
        <f>IF(A516="","",IF(A516="","",VLOOKUP(A:A,Pomocna_Nakup[],3,0))&amp;" | "&amp;IF(A516="","",VLOOKUP(A:A,Pomocna_Nakup[],4,0)))</f>
        <v/>
      </c>
      <c r="C516" s="710" t="str">
        <f>IF(Tabulka_nakup_Vonka[[#This Row],[Zkratka kalkulační položky]]="","",Tabulka_nakup_Vonka[[#This Row],[Zkratka kalkulační položky]]&amp;" | "&amp;IF(A516="","",VLOOKUP(A:A,Pomocna_Nakup[],2,0)))</f>
        <v/>
      </c>
      <c r="D516" s="710" t="str">
        <f>IF(A516="","",'Rozpad zakázky'!F532)</f>
        <v/>
      </c>
      <c r="E516" s="710" t="str">
        <f>IF(A516="","",'Rozpad zakázky'!D532&amp;IF('Rozpad zakázky'!G532="",""," ("&amp;'Rozpad zakázky'!G532&amp;")"))</f>
        <v/>
      </c>
      <c r="F516" s="709" t="str">
        <f>IF(A516="","",'Rozpad zakázky'!IW532)</f>
        <v/>
      </c>
      <c r="G516" s="711" t="str">
        <f>IF(A516="","",'Rozpad zakázky'!AE532)</f>
        <v/>
      </c>
      <c r="H516" s="717" t="str">
        <f>IF(A516="","",'Rozpad zakázky'!AJ532)</f>
        <v/>
      </c>
      <c r="I516" s="748" t="str">
        <f>IF(A516="","",'Rozpad zakázky'!Q532)</f>
        <v/>
      </c>
      <c r="J516" s="717" t="str">
        <f>IF(A516="","",ROUNDDOWN('Rozpad zakázky'!L532,1))</f>
        <v/>
      </c>
      <c r="K516" s="745" t="str">
        <f>IF(A516="","",Tabulka_nakup_Vonka[[#This Row],[Počet MJHR v rozpadu]]*Tabulka_nakup_Vonka[[#This Row],[Jedn. hmotnost '[kg/MJHR']]])</f>
        <v/>
      </c>
    </row>
    <row r="517" spans="1:11" x14ac:dyDescent="0.35">
      <c r="A517" s="709" t="str">
        <f>IF('Rozpad zakázky'!E533=0,"",IF('Rozpad zakázky'!E533="-","",'Rozpad zakázky'!E533))</f>
        <v/>
      </c>
      <c r="B517" s="708" t="str">
        <f>IF(A517="","",IF(A517="","",VLOOKUP(A:A,Pomocna_Nakup[],3,0))&amp;" | "&amp;IF(A517="","",VLOOKUP(A:A,Pomocna_Nakup[],4,0)))</f>
        <v/>
      </c>
      <c r="C517" s="710" t="str">
        <f>IF(Tabulka_nakup_Vonka[[#This Row],[Zkratka kalkulační položky]]="","",Tabulka_nakup_Vonka[[#This Row],[Zkratka kalkulační položky]]&amp;" | "&amp;IF(A517="","",VLOOKUP(A:A,Pomocna_Nakup[],2,0)))</f>
        <v/>
      </c>
      <c r="D517" s="710" t="str">
        <f>IF(A517="","",'Rozpad zakázky'!F533)</f>
        <v/>
      </c>
      <c r="E517" s="710" t="str">
        <f>IF(A517="","",'Rozpad zakázky'!D533&amp;IF('Rozpad zakázky'!G533="",""," ("&amp;'Rozpad zakázky'!G533&amp;")"))</f>
        <v/>
      </c>
      <c r="F517" s="709" t="str">
        <f>IF(A517="","",'Rozpad zakázky'!IW533)</f>
        <v/>
      </c>
      <c r="G517" s="711" t="str">
        <f>IF(A517="","",'Rozpad zakázky'!AE533)</f>
        <v/>
      </c>
      <c r="H517" s="717" t="str">
        <f>IF(A517="","",'Rozpad zakázky'!AJ533)</f>
        <v/>
      </c>
      <c r="I517" s="748" t="str">
        <f>IF(A517="","",'Rozpad zakázky'!Q533)</f>
        <v/>
      </c>
      <c r="J517" s="717" t="str">
        <f>IF(A517="","",ROUNDDOWN('Rozpad zakázky'!L533,1))</f>
        <v/>
      </c>
      <c r="K517" s="745" t="str">
        <f>IF(A517="","",Tabulka_nakup_Vonka[[#This Row],[Počet MJHR v rozpadu]]*Tabulka_nakup_Vonka[[#This Row],[Jedn. hmotnost '[kg/MJHR']]])</f>
        <v/>
      </c>
    </row>
    <row r="518" spans="1:11" x14ac:dyDescent="0.35">
      <c r="A518" s="709" t="str">
        <f>IF('Rozpad zakázky'!E534=0,"",IF('Rozpad zakázky'!E534="-","",'Rozpad zakázky'!E534))</f>
        <v/>
      </c>
      <c r="B518" s="708" t="str">
        <f>IF(A518="","",IF(A518="","",VLOOKUP(A:A,Pomocna_Nakup[],3,0))&amp;" | "&amp;IF(A518="","",VLOOKUP(A:A,Pomocna_Nakup[],4,0)))</f>
        <v/>
      </c>
      <c r="C518" s="710" t="str">
        <f>IF(Tabulka_nakup_Vonka[[#This Row],[Zkratka kalkulační položky]]="","",Tabulka_nakup_Vonka[[#This Row],[Zkratka kalkulační položky]]&amp;" | "&amp;IF(A518="","",VLOOKUP(A:A,Pomocna_Nakup[],2,0)))</f>
        <v/>
      </c>
      <c r="D518" s="710" t="str">
        <f>IF(A518="","",'Rozpad zakázky'!F534)</f>
        <v/>
      </c>
      <c r="E518" s="710" t="str">
        <f>IF(A518="","",'Rozpad zakázky'!D534&amp;IF('Rozpad zakázky'!G534="",""," ("&amp;'Rozpad zakázky'!G534&amp;")"))</f>
        <v/>
      </c>
      <c r="F518" s="709" t="str">
        <f>IF(A518="","",'Rozpad zakázky'!IW534)</f>
        <v/>
      </c>
      <c r="G518" s="711" t="str">
        <f>IF(A518="","",'Rozpad zakázky'!AE534)</f>
        <v/>
      </c>
      <c r="H518" s="717" t="str">
        <f>IF(A518="","",'Rozpad zakázky'!AJ534)</f>
        <v/>
      </c>
      <c r="I518" s="748" t="str">
        <f>IF(A518="","",'Rozpad zakázky'!Q534)</f>
        <v/>
      </c>
      <c r="J518" s="717" t="str">
        <f>IF(A518="","",ROUNDDOWN('Rozpad zakázky'!L534,1))</f>
        <v/>
      </c>
      <c r="K518" s="745" t="str">
        <f>IF(A518="","",Tabulka_nakup_Vonka[[#This Row],[Počet MJHR v rozpadu]]*Tabulka_nakup_Vonka[[#This Row],[Jedn. hmotnost '[kg/MJHR']]])</f>
        <v/>
      </c>
    </row>
    <row r="519" spans="1:11" x14ac:dyDescent="0.35">
      <c r="A519" s="709" t="str">
        <f>IF('Rozpad zakázky'!E535=0,"",IF('Rozpad zakázky'!E535="-","",'Rozpad zakázky'!E535))</f>
        <v/>
      </c>
      <c r="B519" s="708" t="str">
        <f>IF(A519="","",IF(A519="","",VLOOKUP(A:A,Pomocna_Nakup[],3,0))&amp;" | "&amp;IF(A519="","",VLOOKUP(A:A,Pomocna_Nakup[],4,0)))</f>
        <v/>
      </c>
      <c r="C519" s="710" t="str">
        <f>IF(Tabulka_nakup_Vonka[[#This Row],[Zkratka kalkulační položky]]="","",Tabulka_nakup_Vonka[[#This Row],[Zkratka kalkulační položky]]&amp;" | "&amp;IF(A519="","",VLOOKUP(A:A,Pomocna_Nakup[],2,0)))</f>
        <v/>
      </c>
      <c r="D519" s="710" t="str">
        <f>IF(A519="","",'Rozpad zakázky'!F535)</f>
        <v/>
      </c>
      <c r="E519" s="710" t="str">
        <f>IF(A519="","",'Rozpad zakázky'!D535&amp;IF('Rozpad zakázky'!G535="",""," ("&amp;'Rozpad zakázky'!G535&amp;")"))</f>
        <v/>
      </c>
      <c r="F519" s="709" t="str">
        <f>IF(A519="","",'Rozpad zakázky'!IW535)</f>
        <v/>
      </c>
      <c r="G519" s="711" t="str">
        <f>IF(A519="","",'Rozpad zakázky'!AE535)</f>
        <v/>
      </c>
      <c r="H519" s="717" t="str">
        <f>IF(A519="","",'Rozpad zakázky'!AJ535)</f>
        <v/>
      </c>
      <c r="I519" s="748" t="str">
        <f>IF(A519="","",'Rozpad zakázky'!Q535)</f>
        <v/>
      </c>
      <c r="J519" s="717" t="str">
        <f>IF(A519="","",ROUNDDOWN('Rozpad zakázky'!L535,1))</f>
        <v/>
      </c>
      <c r="K519" s="745" t="str">
        <f>IF(A519="","",Tabulka_nakup_Vonka[[#This Row],[Počet MJHR v rozpadu]]*Tabulka_nakup_Vonka[[#This Row],[Jedn. hmotnost '[kg/MJHR']]])</f>
        <v/>
      </c>
    </row>
    <row r="520" spans="1:11" x14ac:dyDescent="0.35">
      <c r="A520" s="709" t="str">
        <f>IF('Rozpad zakázky'!E536=0,"",IF('Rozpad zakázky'!E536="-","",'Rozpad zakázky'!E536))</f>
        <v/>
      </c>
      <c r="B520" s="708" t="str">
        <f>IF(A520="","",IF(A520="","",VLOOKUP(A:A,Pomocna_Nakup[],3,0))&amp;" | "&amp;IF(A520="","",VLOOKUP(A:A,Pomocna_Nakup[],4,0)))</f>
        <v/>
      </c>
      <c r="C520" s="710" t="str">
        <f>IF(Tabulka_nakup_Vonka[[#This Row],[Zkratka kalkulační položky]]="","",Tabulka_nakup_Vonka[[#This Row],[Zkratka kalkulační položky]]&amp;" | "&amp;IF(A520="","",VLOOKUP(A:A,Pomocna_Nakup[],2,0)))</f>
        <v/>
      </c>
      <c r="D520" s="710" t="str">
        <f>IF(A520="","",'Rozpad zakázky'!F536)</f>
        <v/>
      </c>
      <c r="E520" s="710" t="str">
        <f>IF(A520="","",'Rozpad zakázky'!D536&amp;IF('Rozpad zakázky'!G536="",""," ("&amp;'Rozpad zakázky'!G536&amp;")"))</f>
        <v/>
      </c>
      <c r="F520" s="709" t="str">
        <f>IF(A520="","",'Rozpad zakázky'!IW536)</f>
        <v/>
      </c>
      <c r="G520" s="711" t="str">
        <f>IF(A520="","",'Rozpad zakázky'!AE536)</f>
        <v/>
      </c>
      <c r="H520" s="717" t="str">
        <f>IF(A520="","",'Rozpad zakázky'!AJ536)</f>
        <v/>
      </c>
      <c r="I520" s="748" t="str">
        <f>IF(A520="","",'Rozpad zakázky'!Q536)</f>
        <v/>
      </c>
      <c r="J520" s="717" t="str">
        <f>IF(A520="","",ROUNDDOWN('Rozpad zakázky'!L536,1))</f>
        <v/>
      </c>
      <c r="K520" s="745" t="str">
        <f>IF(A520="","",Tabulka_nakup_Vonka[[#This Row],[Počet MJHR v rozpadu]]*Tabulka_nakup_Vonka[[#This Row],[Jedn. hmotnost '[kg/MJHR']]])</f>
        <v/>
      </c>
    </row>
    <row r="521" spans="1:11" x14ac:dyDescent="0.35">
      <c r="A521" s="709" t="str">
        <f>IF('Rozpad zakázky'!E537=0,"",IF('Rozpad zakázky'!E537="-","",'Rozpad zakázky'!E537))</f>
        <v/>
      </c>
      <c r="B521" s="708" t="str">
        <f>IF(A521="","",IF(A521="","",VLOOKUP(A:A,Pomocna_Nakup[],3,0))&amp;" | "&amp;IF(A521="","",VLOOKUP(A:A,Pomocna_Nakup[],4,0)))</f>
        <v/>
      </c>
      <c r="C521" s="710" t="str">
        <f>IF(Tabulka_nakup_Vonka[[#This Row],[Zkratka kalkulační položky]]="","",Tabulka_nakup_Vonka[[#This Row],[Zkratka kalkulační položky]]&amp;" | "&amp;IF(A521="","",VLOOKUP(A:A,Pomocna_Nakup[],2,0)))</f>
        <v/>
      </c>
      <c r="D521" s="710" t="str">
        <f>IF(A521="","",'Rozpad zakázky'!F537)</f>
        <v/>
      </c>
      <c r="E521" s="710" t="str">
        <f>IF(A521="","",'Rozpad zakázky'!D537&amp;IF('Rozpad zakázky'!G537="",""," ("&amp;'Rozpad zakázky'!G537&amp;")"))</f>
        <v/>
      </c>
      <c r="F521" s="709" t="str">
        <f>IF(A521="","",'Rozpad zakázky'!IW537)</f>
        <v/>
      </c>
      <c r="G521" s="711" t="str">
        <f>IF(A521="","",'Rozpad zakázky'!AE537)</f>
        <v/>
      </c>
      <c r="H521" s="717" t="str">
        <f>IF(A521="","",'Rozpad zakázky'!AJ537)</f>
        <v/>
      </c>
      <c r="I521" s="748" t="str">
        <f>IF(A521="","",'Rozpad zakázky'!Q537)</f>
        <v/>
      </c>
      <c r="J521" s="717" t="str">
        <f>IF(A521="","",ROUNDDOWN('Rozpad zakázky'!L537,1))</f>
        <v/>
      </c>
      <c r="K521" s="745" t="str">
        <f>IF(A521="","",Tabulka_nakup_Vonka[[#This Row],[Počet MJHR v rozpadu]]*Tabulka_nakup_Vonka[[#This Row],[Jedn. hmotnost '[kg/MJHR']]])</f>
        <v/>
      </c>
    </row>
    <row r="522" spans="1:11" x14ac:dyDescent="0.35">
      <c r="A522" s="709" t="str">
        <f>IF('Rozpad zakázky'!E538=0,"",IF('Rozpad zakázky'!E538="-","",'Rozpad zakázky'!E538))</f>
        <v/>
      </c>
      <c r="B522" s="708" t="str">
        <f>IF(A522="","",IF(A522="","",VLOOKUP(A:A,Pomocna_Nakup[],3,0))&amp;" | "&amp;IF(A522="","",VLOOKUP(A:A,Pomocna_Nakup[],4,0)))</f>
        <v/>
      </c>
      <c r="C522" s="710" t="str">
        <f>IF(Tabulka_nakup_Vonka[[#This Row],[Zkratka kalkulační položky]]="","",Tabulka_nakup_Vonka[[#This Row],[Zkratka kalkulační položky]]&amp;" | "&amp;IF(A522="","",VLOOKUP(A:A,Pomocna_Nakup[],2,0)))</f>
        <v/>
      </c>
      <c r="D522" s="710" t="str">
        <f>IF(A522="","",'Rozpad zakázky'!F538)</f>
        <v/>
      </c>
      <c r="E522" s="710" t="str">
        <f>IF(A522="","",'Rozpad zakázky'!D538&amp;IF('Rozpad zakázky'!G538="",""," ("&amp;'Rozpad zakázky'!G538&amp;")"))</f>
        <v/>
      </c>
      <c r="F522" s="709" t="str">
        <f>IF(A522="","",'Rozpad zakázky'!IW538)</f>
        <v/>
      </c>
      <c r="G522" s="711" t="str">
        <f>IF(A522="","",'Rozpad zakázky'!AE538)</f>
        <v/>
      </c>
      <c r="H522" s="717" t="str">
        <f>IF(A522="","",'Rozpad zakázky'!AJ538)</f>
        <v/>
      </c>
      <c r="I522" s="748" t="str">
        <f>IF(A522="","",'Rozpad zakázky'!Q538)</f>
        <v/>
      </c>
      <c r="J522" s="717" t="str">
        <f>IF(A522="","",ROUNDDOWN('Rozpad zakázky'!L538,1))</f>
        <v/>
      </c>
      <c r="K522" s="745" t="str">
        <f>IF(A522="","",Tabulka_nakup_Vonka[[#This Row],[Počet MJHR v rozpadu]]*Tabulka_nakup_Vonka[[#This Row],[Jedn. hmotnost '[kg/MJHR']]])</f>
        <v/>
      </c>
    </row>
    <row r="523" spans="1:11" x14ac:dyDescent="0.35">
      <c r="A523" s="709" t="str">
        <f>IF('Rozpad zakázky'!E539=0,"",IF('Rozpad zakázky'!E539="-","",'Rozpad zakázky'!E539))</f>
        <v/>
      </c>
      <c r="B523" s="708" t="str">
        <f>IF(A523="","",IF(A523="","",VLOOKUP(A:A,Pomocna_Nakup[],3,0))&amp;" | "&amp;IF(A523="","",VLOOKUP(A:A,Pomocna_Nakup[],4,0)))</f>
        <v/>
      </c>
      <c r="C523" s="710" t="str">
        <f>IF(Tabulka_nakup_Vonka[[#This Row],[Zkratka kalkulační položky]]="","",Tabulka_nakup_Vonka[[#This Row],[Zkratka kalkulační položky]]&amp;" | "&amp;IF(A523="","",VLOOKUP(A:A,Pomocna_Nakup[],2,0)))</f>
        <v/>
      </c>
      <c r="D523" s="710" t="str">
        <f>IF(A523="","",'Rozpad zakázky'!F539)</f>
        <v/>
      </c>
      <c r="E523" s="710" t="str">
        <f>IF(A523="","",'Rozpad zakázky'!D539&amp;IF('Rozpad zakázky'!G539="",""," ("&amp;'Rozpad zakázky'!G539&amp;")"))</f>
        <v/>
      </c>
      <c r="F523" s="709" t="str">
        <f>IF(A523="","",'Rozpad zakázky'!IW539)</f>
        <v/>
      </c>
      <c r="G523" s="711" t="str">
        <f>IF(A523="","",'Rozpad zakázky'!AE539)</f>
        <v/>
      </c>
      <c r="H523" s="717" t="str">
        <f>IF(A523="","",'Rozpad zakázky'!AJ539)</f>
        <v/>
      </c>
      <c r="I523" s="748" t="str">
        <f>IF(A523="","",'Rozpad zakázky'!Q539)</f>
        <v/>
      </c>
      <c r="J523" s="717" t="str">
        <f>IF(A523="","",ROUNDDOWN('Rozpad zakázky'!L539,1))</f>
        <v/>
      </c>
      <c r="K523" s="745" t="str">
        <f>IF(A523="","",Tabulka_nakup_Vonka[[#This Row],[Počet MJHR v rozpadu]]*Tabulka_nakup_Vonka[[#This Row],[Jedn. hmotnost '[kg/MJHR']]])</f>
        <v/>
      </c>
    </row>
    <row r="524" spans="1:11" x14ac:dyDescent="0.35">
      <c r="A524" s="709" t="str">
        <f>IF('Rozpad zakázky'!E540=0,"",IF('Rozpad zakázky'!E540="-","",'Rozpad zakázky'!E540))</f>
        <v/>
      </c>
      <c r="B524" s="708" t="str">
        <f>IF(A524="","",IF(A524="","",VLOOKUP(A:A,Pomocna_Nakup[],3,0))&amp;" | "&amp;IF(A524="","",VLOOKUP(A:A,Pomocna_Nakup[],4,0)))</f>
        <v/>
      </c>
      <c r="C524" s="710" t="str">
        <f>IF(Tabulka_nakup_Vonka[[#This Row],[Zkratka kalkulační položky]]="","",Tabulka_nakup_Vonka[[#This Row],[Zkratka kalkulační položky]]&amp;" | "&amp;IF(A524="","",VLOOKUP(A:A,Pomocna_Nakup[],2,0)))</f>
        <v/>
      </c>
      <c r="D524" s="710" t="str">
        <f>IF(A524="","",'Rozpad zakázky'!F540)</f>
        <v/>
      </c>
      <c r="E524" s="710" t="str">
        <f>IF(A524="","",'Rozpad zakázky'!D540&amp;IF('Rozpad zakázky'!G540="",""," ("&amp;'Rozpad zakázky'!G540&amp;")"))</f>
        <v/>
      </c>
      <c r="F524" s="709" t="str">
        <f>IF(A524="","",'Rozpad zakázky'!IW540)</f>
        <v/>
      </c>
      <c r="G524" s="711" t="str">
        <f>IF(A524="","",'Rozpad zakázky'!AE540)</f>
        <v/>
      </c>
      <c r="H524" s="717" t="str">
        <f>IF(A524="","",'Rozpad zakázky'!AJ540)</f>
        <v/>
      </c>
      <c r="I524" s="748" t="str">
        <f>IF(A524="","",'Rozpad zakázky'!Q540)</f>
        <v/>
      </c>
      <c r="J524" s="717" t="str">
        <f>IF(A524="","",ROUNDDOWN('Rozpad zakázky'!L540,1))</f>
        <v/>
      </c>
      <c r="K524" s="745" t="str">
        <f>IF(A524="","",Tabulka_nakup_Vonka[[#This Row],[Počet MJHR v rozpadu]]*Tabulka_nakup_Vonka[[#This Row],[Jedn. hmotnost '[kg/MJHR']]])</f>
        <v/>
      </c>
    </row>
    <row r="525" spans="1:11" x14ac:dyDescent="0.35">
      <c r="A525" s="709" t="str">
        <f>IF('Rozpad zakázky'!E541=0,"",IF('Rozpad zakázky'!E541="-","",'Rozpad zakázky'!E541))</f>
        <v/>
      </c>
      <c r="B525" s="708" t="str">
        <f>IF(A525="","",IF(A525="","",VLOOKUP(A:A,Pomocna_Nakup[],3,0))&amp;" | "&amp;IF(A525="","",VLOOKUP(A:A,Pomocna_Nakup[],4,0)))</f>
        <v/>
      </c>
      <c r="C525" s="710" t="str">
        <f>IF(Tabulka_nakup_Vonka[[#This Row],[Zkratka kalkulační položky]]="","",Tabulka_nakup_Vonka[[#This Row],[Zkratka kalkulační položky]]&amp;" | "&amp;IF(A525="","",VLOOKUP(A:A,Pomocna_Nakup[],2,0)))</f>
        <v/>
      </c>
      <c r="D525" s="710" t="str">
        <f>IF(A525="","",'Rozpad zakázky'!F541)</f>
        <v/>
      </c>
      <c r="E525" s="710" t="str">
        <f>IF(A525="","",'Rozpad zakázky'!D541&amp;IF('Rozpad zakázky'!G541="",""," ("&amp;'Rozpad zakázky'!G541&amp;")"))</f>
        <v/>
      </c>
      <c r="F525" s="709" t="str">
        <f>IF(A525="","",'Rozpad zakázky'!IW541)</f>
        <v/>
      </c>
      <c r="G525" s="711" t="str">
        <f>IF(A525="","",'Rozpad zakázky'!AE541)</f>
        <v/>
      </c>
      <c r="H525" s="717" t="str">
        <f>IF(A525="","",'Rozpad zakázky'!AJ541)</f>
        <v/>
      </c>
      <c r="I525" s="748" t="str">
        <f>IF(A525="","",'Rozpad zakázky'!Q541)</f>
        <v/>
      </c>
      <c r="J525" s="717" t="str">
        <f>IF(A525="","",ROUNDDOWN('Rozpad zakázky'!L541,1))</f>
        <v/>
      </c>
      <c r="K525" s="745" t="str">
        <f>IF(A525="","",Tabulka_nakup_Vonka[[#This Row],[Počet MJHR v rozpadu]]*Tabulka_nakup_Vonka[[#This Row],[Jedn. hmotnost '[kg/MJHR']]])</f>
        <v/>
      </c>
    </row>
    <row r="526" spans="1:11" x14ac:dyDescent="0.35">
      <c r="A526" s="709" t="str">
        <f>IF('Rozpad zakázky'!E542=0,"",IF('Rozpad zakázky'!E542="-","",'Rozpad zakázky'!E542))</f>
        <v/>
      </c>
      <c r="B526" s="708" t="str">
        <f>IF(A526="","",IF(A526="","",VLOOKUP(A:A,Pomocna_Nakup[],3,0))&amp;" | "&amp;IF(A526="","",VLOOKUP(A:A,Pomocna_Nakup[],4,0)))</f>
        <v/>
      </c>
      <c r="C526" s="710" t="str">
        <f>IF(Tabulka_nakup_Vonka[[#This Row],[Zkratka kalkulační položky]]="","",Tabulka_nakup_Vonka[[#This Row],[Zkratka kalkulační položky]]&amp;" | "&amp;IF(A526="","",VLOOKUP(A:A,Pomocna_Nakup[],2,0)))</f>
        <v/>
      </c>
      <c r="D526" s="710" t="str">
        <f>IF(A526="","",'Rozpad zakázky'!F542)</f>
        <v/>
      </c>
      <c r="E526" s="710" t="str">
        <f>IF(A526="","",'Rozpad zakázky'!D542&amp;IF('Rozpad zakázky'!G542="",""," ("&amp;'Rozpad zakázky'!G542&amp;")"))</f>
        <v/>
      </c>
      <c r="F526" s="709" t="str">
        <f>IF(A526="","",'Rozpad zakázky'!IW542)</f>
        <v/>
      </c>
      <c r="G526" s="711" t="str">
        <f>IF(A526="","",'Rozpad zakázky'!AE542)</f>
        <v/>
      </c>
      <c r="H526" s="717" t="str">
        <f>IF(A526="","",'Rozpad zakázky'!AJ542)</f>
        <v/>
      </c>
      <c r="I526" s="748" t="str">
        <f>IF(A526="","",'Rozpad zakázky'!Q542)</f>
        <v/>
      </c>
      <c r="J526" s="717" t="str">
        <f>IF(A526="","",ROUNDDOWN('Rozpad zakázky'!L542,1))</f>
        <v/>
      </c>
      <c r="K526" s="745" t="str">
        <f>IF(A526="","",Tabulka_nakup_Vonka[[#This Row],[Počet MJHR v rozpadu]]*Tabulka_nakup_Vonka[[#This Row],[Jedn. hmotnost '[kg/MJHR']]])</f>
        <v/>
      </c>
    </row>
    <row r="527" spans="1:11" x14ac:dyDescent="0.35">
      <c r="A527" s="709" t="str">
        <f>IF('Rozpad zakázky'!E543=0,"",IF('Rozpad zakázky'!E543="-","",'Rozpad zakázky'!E543))</f>
        <v/>
      </c>
      <c r="B527" s="708" t="str">
        <f>IF(A527="","",IF(A527="","",VLOOKUP(A:A,Pomocna_Nakup[],3,0))&amp;" | "&amp;IF(A527="","",VLOOKUP(A:A,Pomocna_Nakup[],4,0)))</f>
        <v/>
      </c>
      <c r="C527" s="710" t="str">
        <f>IF(Tabulka_nakup_Vonka[[#This Row],[Zkratka kalkulační položky]]="","",Tabulka_nakup_Vonka[[#This Row],[Zkratka kalkulační položky]]&amp;" | "&amp;IF(A527="","",VLOOKUP(A:A,Pomocna_Nakup[],2,0)))</f>
        <v/>
      </c>
      <c r="D527" s="710" t="str">
        <f>IF(A527="","",'Rozpad zakázky'!F543)</f>
        <v/>
      </c>
      <c r="E527" s="710" t="str">
        <f>IF(A527="","",'Rozpad zakázky'!D543&amp;IF('Rozpad zakázky'!G543="",""," ("&amp;'Rozpad zakázky'!G543&amp;")"))</f>
        <v/>
      </c>
      <c r="F527" s="709" t="str">
        <f>IF(A527="","",'Rozpad zakázky'!IW543)</f>
        <v/>
      </c>
      <c r="G527" s="711" t="str">
        <f>IF(A527="","",'Rozpad zakázky'!AE543)</f>
        <v/>
      </c>
      <c r="H527" s="717" t="str">
        <f>IF(A527="","",'Rozpad zakázky'!AJ543)</f>
        <v/>
      </c>
      <c r="I527" s="748" t="str">
        <f>IF(A527="","",'Rozpad zakázky'!Q543)</f>
        <v/>
      </c>
      <c r="J527" s="717" t="str">
        <f>IF(A527="","",ROUNDDOWN('Rozpad zakázky'!L543,1))</f>
        <v/>
      </c>
      <c r="K527" s="745" t="str">
        <f>IF(A527="","",Tabulka_nakup_Vonka[[#This Row],[Počet MJHR v rozpadu]]*Tabulka_nakup_Vonka[[#This Row],[Jedn. hmotnost '[kg/MJHR']]])</f>
        <v/>
      </c>
    </row>
    <row r="528" spans="1:11" x14ac:dyDescent="0.35">
      <c r="A528" s="709" t="str">
        <f>IF('Rozpad zakázky'!E544=0,"",IF('Rozpad zakázky'!E544="-","",'Rozpad zakázky'!E544))</f>
        <v/>
      </c>
      <c r="B528" s="708" t="str">
        <f>IF(A528="","",IF(A528="","",VLOOKUP(A:A,Pomocna_Nakup[],3,0))&amp;" | "&amp;IF(A528="","",VLOOKUP(A:A,Pomocna_Nakup[],4,0)))</f>
        <v/>
      </c>
      <c r="C528" s="710" t="str">
        <f>IF(Tabulka_nakup_Vonka[[#This Row],[Zkratka kalkulační položky]]="","",Tabulka_nakup_Vonka[[#This Row],[Zkratka kalkulační položky]]&amp;" | "&amp;IF(A528="","",VLOOKUP(A:A,Pomocna_Nakup[],2,0)))</f>
        <v/>
      </c>
      <c r="D528" s="710" t="str">
        <f>IF(A528="","",'Rozpad zakázky'!F544)</f>
        <v/>
      </c>
      <c r="E528" s="710" t="str">
        <f>IF(A528="","",'Rozpad zakázky'!D544&amp;IF('Rozpad zakázky'!G544="",""," ("&amp;'Rozpad zakázky'!G544&amp;")"))</f>
        <v/>
      </c>
      <c r="F528" s="709" t="str">
        <f>IF(A528="","",'Rozpad zakázky'!IW544)</f>
        <v/>
      </c>
      <c r="G528" s="711" t="str">
        <f>IF(A528="","",'Rozpad zakázky'!AE544)</f>
        <v/>
      </c>
      <c r="H528" s="717" t="str">
        <f>IF(A528="","",'Rozpad zakázky'!AJ544)</f>
        <v/>
      </c>
      <c r="I528" s="748" t="str">
        <f>IF(A528="","",'Rozpad zakázky'!Q544)</f>
        <v/>
      </c>
      <c r="J528" s="717" t="str">
        <f>IF(A528="","",ROUNDDOWN('Rozpad zakázky'!L544,1))</f>
        <v/>
      </c>
      <c r="K528" s="745" t="str">
        <f>IF(A528="","",Tabulka_nakup_Vonka[[#This Row],[Počet MJHR v rozpadu]]*Tabulka_nakup_Vonka[[#This Row],[Jedn. hmotnost '[kg/MJHR']]])</f>
        <v/>
      </c>
    </row>
    <row r="529" spans="1:11" x14ac:dyDescent="0.35">
      <c r="A529" s="709" t="str">
        <f>IF('Rozpad zakázky'!E545=0,"",IF('Rozpad zakázky'!E545="-","",'Rozpad zakázky'!E545))</f>
        <v/>
      </c>
      <c r="B529" s="708" t="str">
        <f>IF(A529="","",IF(A529="","",VLOOKUP(A:A,Pomocna_Nakup[],3,0))&amp;" | "&amp;IF(A529="","",VLOOKUP(A:A,Pomocna_Nakup[],4,0)))</f>
        <v/>
      </c>
      <c r="C529" s="710" t="str">
        <f>IF(Tabulka_nakup_Vonka[[#This Row],[Zkratka kalkulační položky]]="","",Tabulka_nakup_Vonka[[#This Row],[Zkratka kalkulační položky]]&amp;" | "&amp;IF(A529="","",VLOOKUP(A:A,Pomocna_Nakup[],2,0)))</f>
        <v/>
      </c>
      <c r="D529" s="710" t="str">
        <f>IF(A529="","",'Rozpad zakázky'!F545)</f>
        <v/>
      </c>
      <c r="E529" s="710" t="str">
        <f>IF(A529="","",'Rozpad zakázky'!D545&amp;IF('Rozpad zakázky'!G545="",""," ("&amp;'Rozpad zakázky'!G545&amp;")"))</f>
        <v/>
      </c>
      <c r="F529" s="709" t="str">
        <f>IF(A529="","",'Rozpad zakázky'!IW545)</f>
        <v/>
      </c>
      <c r="G529" s="711" t="str">
        <f>IF(A529="","",'Rozpad zakázky'!AE545)</f>
        <v/>
      </c>
      <c r="H529" s="717" t="str">
        <f>IF(A529="","",'Rozpad zakázky'!AJ545)</f>
        <v/>
      </c>
      <c r="I529" s="748" t="str">
        <f>IF(A529="","",'Rozpad zakázky'!Q545)</f>
        <v/>
      </c>
      <c r="J529" s="717" t="str">
        <f>IF(A529="","",ROUNDDOWN('Rozpad zakázky'!L545,1))</f>
        <v/>
      </c>
      <c r="K529" s="745" t="str">
        <f>IF(A529="","",Tabulka_nakup_Vonka[[#This Row],[Počet MJHR v rozpadu]]*Tabulka_nakup_Vonka[[#This Row],[Jedn. hmotnost '[kg/MJHR']]])</f>
        <v/>
      </c>
    </row>
    <row r="530" spans="1:11" x14ac:dyDescent="0.35">
      <c r="A530" s="709" t="str">
        <f>IF('Rozpad zakázky'!E546=0,"",IF('Rozpad zakázky'!E546="-","",'Rozpad zakázky'!E546))</f>
        <v/>
      </c>
      <c r="B530" s="708" t="str">
        <f>IF(A530="","",IF(A530="","",VLOOKUP(A:A,Pomocna_Nakup[],3,0))&amp;" | "&amp;IF(A530="","",VLOOKUP(A:A,Pomocna_Nakup[],4,0)))</f>
        <v/>
      </c>
      <c r="C530" s="710" t="str">
        <f>IF(Tabulka_nakup_Vonka[[#This Row],[Zkratka kalkulační položky]]="","",Tabulka_nakup_Vonka[[#This Row],[Zkratka kalkulační položky]]&amp;" | "&amp;IF(A530="","",VLOOKUP(A:A,Pomocna_Nakup[],2,0)))</f>
        <v/>
      </c>
      <c r="D530" s="710" t="str">
        <f>IF(A530="","",'Rozpad zakázky'!F546)</f>
        <v/>
      </c>
      <c r="E530" s="710" t="str">
        <f>IF(A530="","",'Rozpad zakázky'!D546&amp;IF('Rozpad zakázky'!G546="",""," ("&amp;'Rozpad zakázky'!G546&amp;")"))</f>
        <v/>
      </c>
      <c r="F530" s="709" t="str">
        <f>IF(A530="","",'Rozpad zakázky'!IW546)</f>
        <v/>
      </c>
      <c r="G530" s="711" t="str">
        <f>IF(A530="","",'Rozpad zakázky'!AE546)</f>
        <v/>
      </c>
      <c r="H530" s="717" t="str">
        <f>IF(A530="","",'Rozpad zakázky'!AJ546)</f>
        <v/>
      </c>
      <c r="I530" s="748" t="str">
        <f>IF(A530="","",'Rozpad zakázky'!Q546)</f>
        <v/>
      </c>
      <c r="J530" s="717" t="str">
        <f>IF(A530="","",ROUNDDOWN('Rozpad zakázky'!L546,1))</f>
        <v/>
      </c>
      <c r="K530" s="745" t="str">
        <f>IF(A530="","",Tabulka_nakup_Vonka[[#This Row],[Počet MJHR v rozpadu]]*Tabulka_nakup_Vonka[[#This Row],[Jedn. hmotnost '[kg/MJHR']]])</f>
        <v/>
      </c>
    </row>
    <row r="531" spans="1:11" x14ac:dyDescent="0.35">
      <c r="A531" s="709" t="str">
        <f>IF('Rozpad zakázky'!E547=0,"",IF('Rozpad zakázky'!E547="-","",'Rozpad zakázky'!E547))</f>
        <v/>
      </c>
      <c r="B531" s="708" t="str">
        <f>IF(A531="","",IF(A531="","",VLOOKUP(A:A,Pomocna_Nakup[],3,0))&amp;" | "&amp;IF(A531="","",VLOOKUP(A:A,Pomocna_Nakup[],4,0)))</f>
        <v/>
      </c>
      <c r="C531" s="710" t="str">
        <f>IF(Tabulka_nakup_Vonka[[#This Row],[Zkratka kalkulační položky]]="","",Tabulka_nakup_Vonka[[#This Row],[Zkratka kalkulační položky]]&amp;" | "&amp;IF(A531="","",VLOOKUP(A:A,Pomocna_Nakup[],2,0)))</f>
        <v/>
      </c>
      <c r="D531" s="710" t="str">
        <f>IF(A531="","",'Rozpad zakázky'!F547)</f>
        <v/>
      </c>
      <c r="E531" s="710" t="str">
        <f>IF(A531="","",'Rozpad zakázky'!D547&amp;IF('Rozpad zakázky'!G547="",""," ("&amp;'Rozpad zakázky'!G547&amp;")"))</f>
        <v/>
      </c>
      <c r="F531" s="709" t="str">
        <f>IF(A531="","",'Rozpad zakázky'!IW547)</f>
        <v/>
      </c>
      <c r="G531" s="711" t="str">
        <f>IF(A531="","",'Rozpad zakázky'!AE547)</f>
        <v/>
      </c>
      <c r="H531" s="717" t="str">
        <f>IF(A531="","",'Rozpad zakázky'!AJ547)</f>
        <v/>
      </c>
      <c r="I531" s="748" t="str">
        <f>IF(A531="","",'Rozpad zakázky'!Q547)</f>
        <v/>
      </c>
      <c r="J531" s="717" t="str">
        <f>IF(A531="","",ROUNDDOWN('Rozpad zakázky'!L547,1))</f>
        <v/>
      </c>
      <c r="K531" s="745" t="str">
        <f>IF(A531="","",Tabulka_nakup_Vonka[[#This Row],[Počet MJHR v rozpadu]]*Tabulka_nakup_Vonka[[#This Row],[Jedn. hmotnost '[kg/MJHR']]])</f>
        <v/>
      </c>
    </row>
    <row r="532" spans="1:11" x14ac:dyDescent="0.35">
      <c r="A532" s="709" t="str">
        <f>IF('Rozpad zakázky'!E548=0,"",IF('Rozpad zakázky'!E548="-","",'Rozpad zakázky'!E548))</f>
        <v/>
      </c>
      <c r="B532" s="708" t="str">
        <f>IF(A532="","",IF(A532="","",VLOOKUP(A:A,Pomocna_Nakup[],3,0))&amp;" | "&amp;IF(A532="","",VLOOKUP(A:A,Pomocna_Nakup[],4,0)))</f>
        <v/>
      </c>
      <c r="C532" s="710" t="str">
        <f>IF(Tabulka_nakup_Vonka[[#This Row],[Zkratka kalkulační položky]]="","",Tabulka_nakup_Vonka[[#This Row],[Zkratka kalkulační položky]]&amp;" | "&amp;IF(A532="","",VLOOKUP(A:A,Pomocna_Nakup[],2,0)))</f>
        <v/>
      </c>
      <c r="D532" s="710" t="str">
        <f>IF(A532="","",'Rozpad zakázky'!F548)</f>
        <v/>
      </c>
      <c r="E532" s="710" t="str">
        <f>IF(A532="","",'Rozpad zakázky'!D548&amp;IF('Rozpad zakázky'!G548="",""," ("&amp;'Rozpad zakázky'!G548&amp;")"))</f>
        <v/>
      </c>
      <c r="F532" s="709" t="str">
        <f>IF(A532="","",'Rozpad zakázky'!IW548)</f>
        <v/>
      </c>
      <c r="G532" s="711" t="str">
        <f>IF(A532="","",'Rozpad zakázky'!AE548)</f>
        <v/>
      </c>
      <c r="H532" s="717" t="str">
        <f>IF(A532="","",'Rozpad zakázky'!AJ548)</f>
        <v/>
      </c>
      <c r="I532" s="748" t="str">
        <f>IF(A532="","",'Rozpad zakázky'!Q548)</f>
        <v/>
      </c>
      <c r="J532" s="717" t="str">
        <f>IF(A532="","",ROUNDDOWN('Rozpad zakázky'!L548,1))</f>
        <v/>
      </c>
      <c r="K532" s="745" t="str">
        <f>IF(A532="","",Tabulka_nakup_Vonka[[#This Row],[Počet MJHR v rozpadu]]*Tabulka_nakup_Vonka[[#This Row],[Jedn. hmotnost '[kg/MJHR']]])</f>
        <v/>
      </c>
    </row>
    <row r="533" spans="1:11" x14ac:dyDescent="0.35">
      <c r="A533" s="709" t="str">
        <f>IF('Rozpad zakázky'!E549=0,"",IF('Rozpad zakázky'!E549="-","",'Rozpad zakázky'!E549))</f>
        <v/>
      </c>
      <c r="B533" s="708" t="str">
        <f>IF(A533="","",IF(A533="","",VLOOKUP(A:A,Pomocna_Nakup[],3,0))&amp;" | "&amp;IF(A533="","",VLOOKUP(A:A,Pomocna_Nakup[],4,0)))</f>
        <v/>
      </c>
      <c r="C533" s="710" t="str">
        <f>IF(Tabulka_nakup_Vonka[[#This Row],[Zkratka kalkulační položky]]="","",Tabulka_nakup_Vonka[[#This Row],[Zkratka kalkulační položky]]&amp;" | "&amp;IF(A533="","",VLOOKUP(A:A,Pomocna_Nakup[],2,0)))</f>
        <v/>
      </c>
      <c r="D533" s="710" t="str">
        <f>IF(A533="","",'Rozpad zakázky'!F549)</f>
        <v/>
      </c>
      <c r="E533" s="710" t="str">
        <f>IF(A533="","",'Rozpad zakázky'!D549&amp;IF('Rozpad zakázky'!G549="",""," ("&amp;'Rozpad zakázky'!G549&amp;")"))</f>
        <v/>
      </c>
      <c r="F533" s="709" t="str">
        <f>IF(A533="","",'Rozpad zakázky'!IW549)</f>
        <v/>
      </c>
      <c r="G533" s="711" t="str">
        <f>IF(A533="","",'Rozpad zakázky'!AE549)</f>
        <v/>
      </c>
      <c r="H533" s="717" t="str">
        <f>IF(A533="","",'Rozpad zakázky'!AJ549)</f>
        <v/>
      </c>
      <c r="I533" s="748" t="str">
        <f>IF(A533="","",'Rozpad zakázky'!Q549)</f>
        <v/>
      </c>
      <c r="J533" s="717" t="str">
        <f>IF(A533="","",ROUNDDOWN('Rozpad zakázky'!L549,1))</f>
        <v/>
      </c>
      <c r="K533" s="745" t="str">
        <f>IF(A533="","",Tabulka_nakup_Vonka[[#This Row],[Počet MJHR v rozpadu]]*Tabulka_nakup_Vonka[[#This Row],[Jedn. hmotnost '[kg/MJHR']]])</f>
        <v/>
      </c>
    </row>
    <row r="534" spans="1:11" x14ac:dyDescent="0.35">
      <c r="A534" s="709" t="str">
        <f>IF('Rozpad zakázky'!E550=0,"",IF('Rozpad zakázky'!E550="-","",'Rozpad zakázky'!E550))</f>
        <v/>
      </c>
      <c r="B534" s="708" t="str">
        <f>IF(A534="","",IF(A534="","",VLOOKUP(A:A,Pomocna_Nakup[],3,0))&amp;" | "&amp;IF(A534="","",VLOOKUP(A:A,Pomocna_Nakup[],4,0)))</f>
        <v/>
      </c>
      <c r="C534" s="710" t="str">
        <f>IF(Tabulka_nakup_Vonka[[#This Row],[Zkratka kalkulační položky]]="","",Tabulka_nakup_Vonka[[#This Row],[Zkratka kalkulační položky]]&amp;" | "&amp;IF(A534="","",VLOOKUP(A:A,Pomocna_Nakup[],2,0)))</f>
        <v/>
      </c>
      <c r="D534" s="710" t="str">
        <f>IF(A534="","",'Rozpad zakázky'!F550)</f>
        <v/>
      </c>
      <c r="E534" s="710" t="str">
        <f>IF(A534="","",'Rozpad zakázky'!D550&amp;IF('Rozpad zakázky'!G550="",""," ("&amp;'Rozpad zakázky'!G550&amp;")"))</f>
        <v/>
      </c>
      <c r="F534" s="709" t="str">
        <f>IF(A534="","",'Rozpad zakázky'!IW550)</f>
        <v/>
      </c>
      <c r="G534" s="711" t="str">
        <f>IF(A534="","",'Rozpad zakázky'!AE550)</f>
        <v/>
      </c>
      <c r="H534" s="717" t="str">
        <f>IF(A534="","",'Rozpad zakázky'!AJ550)</f>
        <v/>
      </c>
      <c r="I534" s="748" t="str">
        <f>IF(A534="","",'Rozpad zakázky'!Q550)</f>
        <v/>
      </c>
      <c r="J534" s="717" t="str">
        <f>IF(A534="","",ROUNDDOWN('Rozpad zakázky'!L550,1))</f>
        <v/>
      </c>
      <c r="K534" s="745" t="str">
        <f>IF(A534="","",Tabulka_nakup_Vonka[[#This Row],[Počet MJHR v rozpadu]]*Tabulka_nakup_Vonka[[#This Row],[Jedn. hmotnost '[kg/MJHR']]])</f>
        <v/>
      </c>
    </row>
    <row r="535" spans="1:11" x14ac:dyDescent="0.35">
      <c r="A535" s="709" t="str">
        <f>IF('Rozpad zakázky'!E551=0,"",IF('Rozpad zakázky'!E551="-","",'Rozpad zakázky'!E551))</f>
        <v/>
      </c>
      <c r="B535" s="708" t="str">
        <f>IF(A535="","",IF(A535="","",VLOOKUP(A:A,Pomocna_Nakup[],3,0))&amp;" | "&amp;IF(A535="","",VLOOKUP(A:A,Pomocna_Nakup[],4,0)))</f>
        <v/>
      </c>
      <c r="C535" s="710" t="str">
        <f>IF(Tabulka_nakup_Vonka[[#This Row],[Zkratka kalkulační položky]]="","",Tabulka_nakup_Vonka[[#This Row],[Zkratka kalkulační položky]]&amp;" | "&amp;IF(A535="","",VLOOKUP(A:A,Pomocna_Nakup[],2,0)))</f>
        <v/>
      </c>
      <c r="D535" s="710" t="str">
        <f>IF(A535="","",'Rozpad zakázky'!F551)</f>
        <v/>
      </c>
      <c r="E535" s="710" t="str">
        <f>IF(A535="","",'Rozpad zakázky'!D551&amp;IF('Rozpad zakázky'!G551="",""," ("&amp;'Rozpad zakázky'!G551&amp;")"))</f>
        <v/>
      </c>
      <c r="F535" s="709" t="str">
        <f>IF(A535="","",'Rozpad zakázky'!IW551)</f>
        <v/>
      </c>
      <c r="G535" s="711" t="str">
        <f>IF(A535="","",'Rozpad zakázky'!AE551)</f>
        <v/>
      </c>
      <c r="H535" s="717" t="str">
        <f>IF(A535="","",'Rozpad zakázky'!AJ551)</f>
        <v/>
      </c>
      <c r="I535" s="748" t="str">
        <f>IF(A535="","",'Rozpad zakázky'!Q551)</f>
        <v/>
      </c>
      <c r="J535" s="717" t="str">
        <f>IF(A535="","",ROUNDDOWN('Rozpad zakázky'!L551,1))</f>
        <v/>
      </c>
      <c r="K535" s="745" t="str">
        <f>IF(A535="","",Tabulka_nakup_Vonka[[#This Row],[Počet MJHR v rozpadu]]*Tabulka_nakup_Vonka[[#This Row],[Jedn. hmotnost '[kg/MJHR']]])</f>
        <v/>
      </c>
    </row>
    <row r="536" spans="1:11" x14ac:dyDescent="0.35">
      <c r="A536" s="709" t="str">
        <f>IF('Rozpad zakázky'!E552=0,"",IF('Rozpad zakázky'!E552="-","",'Rozpad zakázky'!E552))</f>
        <v/>
      </c>
      <c r="B536" s="708" t="str">
        <f>IF(A536="","",IF(A536="","",VLOOKUP(A:A,Pomocna_Nakup[],3,0))&amp;" | "&amp;IF(A536="","",VLOOKUP(A:A,Pomocna_Nakup[],4,0)))</f>
        <v/>
      </c>
      <c r="C536" s="710" t="str">
        <f>IF(Tabulka_nakup_Vonka[[#This Row],[Zkratka kalkulační položky]]="","",Tabulka_nakup_Vonka[[#This Row],[Zkratka kalkulační položky]]&amp;" | "&amp;IF(A536="","",VLOOKUP(A:A,Pomocna_Nakup[],2,0)))</f>
        <v/>
      </c>
      <c r="D536" s="710" t="str">
        <f>IF(A536="","",'Rozpad zakázky'!F552)</f>
        <v/>
      </c>
      <c r="E536" s="710" t="str">
        <f>IF(A536="","",'Rozpad zakázky'!D552&amp;IF('Rozpad zakázky'!G552="",""," ("&amp;'Rozpad zakázky'!G552&amp;")"))</f>
        <v/>
      </c>
      <c r="F536" s="709" t="str">
        <f>IF(A536="","",'Rozpad zakázky'!IW552)</f>
        <v/>
      </c>
      <c r="G536" s="711" t="str">
        <f>IF(A536="","",'Rozpad zakázky'!AE552)</f>
        <v/>
      </c>
      <c r="H536" s="717" t="str">
        <f>IF(A536="","",'Rozpad zakázky'!AJ552)</f>
        <v/>
      </c>
      <c r="I536" s="748" t="str">
        <f>IF(A536="","",'Rozpad zakázky'!Q552)</f>
        <v/>
      </c>
      <c r="J536" s="717" t="str">
        <f>IF(A536="","",ROUNDDOWN('Rozpad zakázky'!L552,1))</f>
        <v/>
      </c>
      <c r="K536" s="745" t="str">
        <f>IF(A536="","",Tabulka_nakup_Vonka[[#This Row],[Počet MJHR v rozpadu]]*Tabulka_nakup_Vonka[[#This Row],[Jedn. hmotnost '[kg/MJHR']]])</f>
        <v/>
      </c>
    </row>
    <row r="537" spans="1:11" x14ac:dyDescent="0.35">
      <c r="A537" s="709" t="str">
        <f>IF('Rozpad zakázky'!E553=0,"",IF('Rozpad zakázky'!E553="-","",'Rozpad zakázky'!E553))</f>
        <v/>
      </c>
      <c r="B537" s="708" t="str">
        <f>IF(A537="","",IF(A537="","",VLOOKUP(A:A,Pomocna_Nakup[],3,0))&amp;" | "&amp;IF(A537="","",VLOOKUP(A:A,Pomocna_Nakup[],4,0)))</f>
        <v/>
      </c>
      <c r="C537" s="710" t="str">
        <f>IF(Tabulka_nakup_Vonka[[#This Row],[Zkratka kalkulační položky]]="","",Tabulka_nakup_Vonka[[#This Row],[Zkratka kalkulační položky]]&amp;" | "&amp;IF(A537="","",VLOOKUP(A:A,Pomocna_Nakup[],2,0)))</f>
        <v/>
      </c>
      <c r="D537" s="710" t="str">
        <f>IF(A537="","",'Rozpad zakázky'!F553)</f>
        <v/>
      </c>
      <c r="E537" s="710" t="str">
        <f>IF(A537="","",'Rozpad zakázky'!D553&amp;IF('Rozpad zakázky'!G553="",""," ("&amp;'Rozpad zakázky'!G553&amp;")"))</f>
        <v/>
      </c>
      <c r="F537" s="709" t="str">
        <f>IF(A537="","",'Rozpad zakázky'!IW553)</f>
        <v/>
      </c>
      <c r="G537" s="711" t="str">
        <f>IF(A537="","",'Rozpad zakázky'!AE553)</f>
        <v/>
      </c>
      <c r="H537" s="717" t="str">
        <f>IF(A537="","",'Rozpad zakázky'!AJ553)</f>
        <v/>
      </c>
      <c r="I537" s="748" t="str">
        <f>IF(A537="","",'Rozpad zakázky'!Q553)</f>
        <v/>
      </c>
      <c r="J537" s="717" t="str">
        <f>IF(A537="","",ROUNDDOWN('Rozpad zakázky'!L553,1))</f>
        <v/>
      </c>
      <c r="K537" s="745" t="str">
        <f>IF(A537="","",Tabulka_nakup_Vonka[[#This Row],[Počet MJHR v rozpadu]]*Tabulka_nakup_Vonka[[#This Row],[Jedn. hmotnost '[kg/MJHR']]])</f>
        <v/>
      </c>
    </row>
    <row r="538" spans="1:11" x14ac:dyDescent="0.35">
      <c r="A538" s="709" t="str">
        <f>IF('Rozpad zakázky'!E554=0,"",IF('Rozpad zakázky'!E554="-","",'Rozpad zakázky'!E554))</f>
        <v/>
      </c>
      <c r="B538" s="708" t="str">
        <f>IF(A538="","",IF(A538="","",VLOOKUP(A:A,Pomocna_Nakup[],3,0))&amp;" | "&amp;IF(A538="","",VLOOKUP(A:A,Pomocna_Nakup[],4,0)))</f>
        <v/>
      </c>
      <c r="C538" s="710" t="str">
        <f>IF(Tabulka_nakup_Vonka[[#This Row],[Zkratka kalkulační položky]]="","",Tabulka_nakup_Vonka[[#This Row],[Zkratka kalkulační položky]]&amp;" | "&amp;IF(A538="","",VLOOKUP(A:A,Pomocna_Nakup[],2,0)))</f>
        <v/>
      </c>
      <c r="D538" s="710" t="str">
        <f>IF(A538="","",'Rozpad zakázky'!F554)</f>
        <v/>
      </c>
      <c r="E538" s="710" t="str">
        <f>IF(A538="","",'Rozpad zakázky'!D554&amp;IF('Rozpad zakázky'!G554="",""," ("&amp;'Rozpad zakázky'!G554&amp;")"))</f>
        <v/>
      </c>
      <c r="F538" s="709" t="str">
        <f>IF(A538="","",'Rozpad zakázky'!IW554)</f>
        <v/>
      </c>
      <c r="G538" s="711" t="str">
        <f>IF(A538="","",'Rozpad zakázky'!AE554)</f>
        <v/>
      </c>
      <c r="H538" s="717" t="str">
        <f>IF(A538="","",'Rozpad zakázky'!AJ554)</f>
        <v/>
      </c>
      <c r="I538" s="748" t="str">
        <f>IF(A538="","",'Rozpad zakázky'!Q554)</f>
        <v/>
      </c>
      <c r="J538" s="717" t="str">
        <f>IF(A538="","",ROUNDDOWN('Rozpad zakázky'!L554,1))</f>
        <v/>
      </c>
      <c r="K538" s="745" t="str">
        <f>IF(A538="","",Tabulka_nakup_Vonka[[#This Row],[Počet MJHR v rozpadu]]*Tabulka_nakup_Vonka[[#This Row],[Jedn. hmotnost '[kg/MJHR']]])</f>
        <v/>
      </c>
    </row>
    <row r="539" spans="1:11" x14ac:dyDescent="0.35">
      <c r="A539" s="709" t="str">
        <f>IF('Rozpad zakázky'!E555=0,"",IF('Rozpad zakázky'!E555="-","",'Rozpad zakázky'!E555))</f>
        <v/>
      </c>
      <c r="B539" s="708" t="str">
        <f>IF(A539="","",IF(A539="","",VLOOKUP(A:A,Pomocna_Nakup[],3,0))&amp;" | "&amp;IF(A539="","",VLOOKUP(A:A,Pomocna_Nakup[],4,0)))</f>
        <v/>
      </c>
      <c r="C539" s="710" t="str">
        <f>IF(Tabulka_nakup_Vonka[[#This Row],[Zkratka kalkulační položky]]="","",Tabulka_nakup_Vonka[[#This Row],[Zkratka kalkulační položky]]&amp;" | "&amp;IF(A539="","",VLOOKUP(A:A,Pomocna_Nakup[],2,0)))</f>
        <v/>
      </c>
      <c r="D539" s="710" t="str">
        <f>IF(A539="","",'Rozpad zakázky'!F555)</f>
        <v/>
      </c>
      <c r="E539" s="710" t="str">
        <f>IF(A539="","",'Rozpad zakázky'!D555&amp;IF('Rozpad zakázky'!G555="",""," ("&amp;'Rozpad zakázky'!G555&amp;")"))</f>
        <v/>
      </c>
      <c r="F539" s="709" t="str">
        <f>IF(A539="","",'Rozpad zakázky'!IW555)</f>
        <v/>
      </c>
      <c r="G539" s="711" t="str">
        <f>IF(A539="","",'Rozpad zakázky'!AE555)</f>
        <v/>
      </c>
      <c r="H539" s="717" t="str">
        <f>IF(A539="","",'Rozpad zakázky'!AJ555)</f>
        <v/>
      </c>
      <c r="I539" s="748" t="str">
        <f>IF(A539="","",'Rozpad zakázky'!Q555)</f>
        <v/>
      </c>
      <c r="J539" s="717" t="str">
        <f>IF(A539="","",ROUNDDOWN('Rozpad zakázky'!L555,1))</f>
        <v/>
      </c>
      <c r="K539" s="745" t="str">
        <f>IF(A539="","",Tabulka_nakup_Vonka[[#This Row],[Počet MJHR v rozpadu]]*Tabulka_nakup_Vonka[[#This Row],[Jedn. hmotnost '[kg/MJHR']]])</f>
        <v/>
      </c>
    </row>
    <row r="540" spans="1:11" x14ac:dyDescent="0.35">
      <c r="A540" s="709" t="str">
        <f>IF('Rozpad zakázky'!E556=0,"",IF('Rozpad zakázky'!E556="-","",'Rozpad zakázky'!E556))</f>
        <v/>
      </c>
      <c r="B540" s="708" t="str">
        <f>IF(A540="","",IF(A540="","",VLOOKUP(A:A,Pomocna_Nakup[],3,0))&amp;" | "&amp;IF(A540="","",VLOOKUP(A:A,Pomocna_Nakup[],4,0)))</f>
        <v/>
      </c>
      <c r="C540" s="710" t="str">
        <f>IF(Tabulka_nakup_Vonka[[#This Row],[Zkratka kalkulační položky]]="","",Tabulka_nakup_Vonka[[#This Row],[Zkratka kalkulační položky]]&amp;" | "&amp;IF(A540="","",VLOOKUP(A:A,Pomocna_Nakup[],2,0)))</f>
        <v/>
      </c>
      <c r="D540" s="710" t="str">
        <f>IF(A540="","",'Rozpad zakázky'!F556)</f>
        <v/>
      </c>
      <c r="E540" s="710" t="str">
        <f>IF(A540="","",'Rozpad zakázky'!D556&amp;IF('Rozpad zakázky'!G556="",""," ("&amp;'Rozpad zakázky'!G556&amp;")"))</f>
        <v/>
      </c>
      <c r="F540" s="709" t="str">
        <f>IF(A540="","",'Rozpad zakázky'!IW556)</f>
        <v/>
      </c>
      <c r="G540" s="711" t="str">
        <f>IF(A540="","",'Rozpad zakázky'!AE556)</f>
        <v/>
      </c>
      <c r="H540" s="717" t="str">
        <f>IF(A540="","",'Rozpad zakázky'!AJ556)</f>
        <v/>
      </c>
      <c r="I540" s="748" t="str">
        <f>IF(A540="","",'Rozpad zakázky'!Q556)</f>
        <v/>
      </c>
      <c r="J540" s="717" t="str">
        <f>IF(A540="","",ROUNDDOWN('Rozpad zakázky'!L556,1))</f>
        <v/>
      </c>
      <c r="K540" s="745" t="str">
        <f>IF(A540="","",Tabulka_nakup_Vonka[[#This Row],[Počet MJHR v rozpadu]]*Tabulka_nakup_Vonka[[#This Row],[Jedn. hmotnost '[kg/MJHR']]])</f>
        <v/>
      </c>
    </row>
    <row r="541" spans="1:11" x14ac:dyDescent="0.35">
      <c r="A541" s="709" t="str">
        <f>IF('Rozpad zakázky'!E557=0,"",IF('Rozpad zakázky'!E557="-","",'Rozpad zakázky'!E557))</f>
        <v/>
      </c>
      <c r="B541" s="708" t="str">
        <f>IF(A541="","",IF(A541="","",VLOOKUP(A:A,Pomocna_Nakup[],3,0))&amp;" | "&amp;IF(A541="","",VLOOKUP(A:A,Pomocna_Nakup[],4,0)))</f>
        <v/>
      </c>
      <c r="C541" s="710" t="str">
        <f>IF(Tabulka_nakup_Vonka[[#This Row],[Zkratka kalkulační položky]]="","",Tabulka_nakup_Vonka[[#This Row],[Zkratka kalkulační položky]]&amp;" | "&amp;IF(A541="","",VLOOKUP(A:A,Pomocna_Nakup[],2,0)))</f>
        <v/>
      </c>
      <c r="D541" s="710" t="str">
        <f>IF(A541="","",'Rozpad zakázky'!F557)</f>
        <v/>
      </c>
      <c r="E541" s="710" t="str">
        <f>IF(A541="","",'Rozpad zakázky'!D557&amp;IF('Rozpad zakázky'!G557="",""," ("&amp;'Rozpad zakázky'!G557&amp;")"))</f>
        <v/>
      </c>
      <c r="F541" s="709" t="str">
        <f>IF(A541="","",'Rozpad zakázky'!IW557)</f>
        <v/>
      </c>
      <c r="G541" s="711" t="str">
        <f>IF(A541="","",'Rozpad zakázky'!AE557)</f>
        <v/>
      </c>
      <c r="H541" s="717" t="str">
        <f>IF(A541="","",'Rozpad zakázky'!AJ557)</f>
        <v/>
      </c>
      <c r="I541" s="748" t="str">
        <f>IF(A541="","",'Rozpad zakázky'!Q557)</f>
        <v/>
      </c>
      <c r="J541" s="717" t="str">
        <f>IF(A541="","",ROUNDDOWN('Rozpad zakázky'!L557,1))</f>
        <v/>
      </c>
      <c r="K541" s="745" t="str">
        <f>IF(A541="","",Tabulka_nakup_Vonka[[#This Row],[Počet MJHR v rozpadu]]*Tabulka_nakup_Vonka[[#This Row],[Jedn. hmotnost '[kg/MJHR']]])</f>
        <v/>
      </c>
    </row>
    <row r="542" spans="1:11" x14ac:dyDescent="0.35">
      <c r="A542" s="709" t="str">
        <f>IF('Rozpad zakázky'!E558=0,"",IF('Rozpad zakázky'!E558="-","",'Rozpad zakázky'!E558))</f>
        <v/>
      </c>
      <c r="B542" s="708" t="str">
        <f>IF(A542="","",IF(A542="","",VLOOKUP(A:A,Pomocna_Nakup[],3,0))&amp;" | "&amp;IF(A542="","",VLOOKUP(A:A,Pomocna_Nakup[],4,0)))</f>
        <v/>
      </c>
      <c r="C542" s="710" t="str">
        <f>IF(Tabulka_nakup_Vonka[[#This Row],[Zkratka kalkulační položky]]="","",Tabulka_nakup_Vonka[[#This Row],[Zkratka kalkulační položky]]&amp;" | "&amp;IF(A542="","",VLOOKUP(A:A,Pomocna_Nakup[],2,0)))</f>
        <v/>
      </c>
      <c r="D542" s="710" t="str">
        <f>IF(A542="","",'Rozpad zakázky'!F558)</f>
        <v/>
      </c>
      <c r="E542" s="710" t="str">
        <f>IF(A542="","",'Rozpad zakázky'!D558&amp;IF('Rozpad zakázky'!G558="",""," ("&amp;'Rozpad zakázky'!G558&amp;")"))</f>
        <v/>
      </c>
      <c r="F542" s="709" t="str">
        <f>IF(A542="","",'Rozpad zakázky'!IW558)</f>
        <v/>
      </c>
      <c r="G542" s="711" t="str">
        <f>IF(A542="","",'Rozpad zakázky'!AE558)</f>
        <v/>
      </c>
      <c r="H542" s="717" t="str">
        <f>IF(A542="","",'Rozpad zakázky'!AJ558)</f>
        <v/>
      </c>
      <c r="I542" s="748" t="str">
        <f>IF(A542="","",'Rozpad zakázky'!Q558)</f>
        <v/>
      </c>
      <c r="J542" s="717" t="str">
        <f>IF(A542="","",ROUNDDOWN('Rozpad zakázky'!L558,1))</f>
        <v/>
      </c>
      <c r="K542" s="745" t="str">
        <f>IF(A542="","",Tabulka_nakup_Vonka[[#This Row],[Počet MJHR v rozpadu]]*Tabulka_nakup_Vonka[[#This Row],[Jedn. hmotnost '[kg/MJHR']]])</f>
        <v/>
      </c>
    </row>
    <row r="543" spans="1:11" x14ac:dyDescent="0.35">
      <c r="A543" s="709" t="str">
        <f>IF('Rozpad zakázky'!E559=0,"",IF('Rozpad zakázky'!E559="-","",'Rozpad zakázky'!E559))</f>
        <v/>
      </c>
      <c r="B543" s="708" t="str">
        <f>IF(A543="","",IF(A543="","",VLOOKUP(A:A,Pomocna_Nakup[],3,0))&amp;" | "&amp;IF(A543="","",VLOOKUP(A:A,Pomocna_Nakup[],4,0)))</f>
        <v/>
      </c>
      <c r="C543" s="710" t="str">
        <f>IF(Tabulka_nakup_Vonka[[#This Row],[Zkratka kalkulační položky]]="","",Tabulka_nakup_Vonka[[#This Row],[Zkratka kalkulační položky]]&amp;" | "&amp;IF(A543="","",VLOOKUP(A:A,Pomocna_Nakup[],2,0)))</f>
        <v/>
      </c>
      <c r="D543" s="710" t="str">
        <f>IF(A543="","",'Rozpad zakázky'!F559)</f>
        <v/>
      </c>
      <c r="E543" s="710" t="str">
        <f>IF(A543="","",'Rozpad zakázky'!D559&amp;IF('Rozpad zakázky'!G559="",""," ("&amp;'Rozpad zakázky'!G559&amp;")"))</f>
        <v/>
      </c>
      <c r="F543" s="709" t="str">
        <f>IF(A543="","",'Rozpad zakázky'!IW559)</f>
        <v/>
      </c>
      <c r="G543" s="711" t="str">
        <f>IF(A543="","",'Rozpad zakázky'!AE559)</f>
        <v/>
      </c>
      <c r="H543" s="717" t="str">
        <f>IF(A543="","",'Rozpad zakázky'!AJ559)</f>
        <v/>
      </c>
      <c r="I543" s="748" t="str">
        <f>IF(A543="","",'Rozpad zakázky'!Q559)</f>
        <v/>
      </c>
      <c r="J543" s="717" t="str">
        <f>IF(A543="","",ROUNDDOWN('Rozpad zakázky'!L559,1))</f>
        <v/>
      </c>
      <c r="K543" s="745" t="str">
        <f>IF(A543="","",Tabulka_nakup_Vonka[[#This Row],[Počet MJHR v rozpadu]]*Tabulka_nakup_Vonka[[#This Row],[Jedn. hmotnost '[kg/MJHR']]])</f>
        <v/>
      </c>
    </row>
    <row r="544" spans="1:11" x14ac:dyDescent="0.35">
      <c r="A544" s="709" t="str">
        <f>IF('Rozpad zakázky'!E560=0,"",IF('Rozpad zakázky'!E560="-","",'Rozpad zakázky'!E560))</f>
        <v/>
      </c>
      <c r="B544" s="708" t="str">
        <f>IF(A544="","",IF(A544="","",VLOOKUP(A:A,Pomocna_Nakup[],3,0))&amp;" | "&amp;IF(A544="","",VLOOKUP(A:A,Pomocna_Nakup[],4,0)))</f>
        <v/>
      </c>
      <c r="C544" s="710" t="str">
        <f>IF(Tabulka_nakup_Vonka[[#This Row],[Zkratka kalkulační položky]]="","",Tabulka_nakup_Vonka[[#This Row],[Zkratka kalkulační položky]]&amp;" | "&amp;IF(A544="","",VLOOKUP(A:A,Pomocna_Nakup[],2,0)))</f>
        <v/>
      </c>
      <c r="D544" s="710" t="str">
        <f>IF(A544="","",'Rozpad zakázky'!F560)</f>
        <v/>
      </c>
      <c r="E544" s="710" t="str">
        <f>IF(A544="","",'Rozpad zakázky'!D560&amp;IF('Rozpad zakázky'!G560="",""," ("&amp;'Rozpad zakázky'!G560&amp;")"))</f>
        <v/>
      </c>
      <c r="F544" s="709" t="str">
        <f>IF(A544="","",'Rozpad zakázky'!IW560)</f>
        <v/>
      </c>
      <c r="G544" s="711" t="str">
        <f>IF(A544="","",'Rozpad zakázky'!AE560)</f>
        <v/>
      </c>
      <c r="H544" s="717" t="str">
        <f>IF(A544="","",'Rozpad zakázky'!AJ560)</f>
        <v/>
      </c>
      <c r="I544" s="748" t="str">
        <f>IF(A544="","",'Rozpad zakázky'!Q560)</f>
        <v/>
      </c>
      <c r="J544" s="717" t="str">
        <f>IF(A544="","",ROUNDDOWN('Rozpad zakázky'!L560,1))</f>
        <v/>
      </c>
      <c r="K544" s="745" t="str">
        <f>IF(A544="","",Tabulka_nakup_Vonka[[#This Row],[Počet MJHR v rozpadu]]*Tabulka_nakup_Vonka[[#This Row],[Jedn. hmotnost '[kg/MJHR']]])</f>
        <v/>
      </c>
    </row>
    <row r="545" spans="1:11" x14ac:dyDescent="0.35">
      <c r="A545" s="709" t="str">
        <f>IF('Rozpad zakázky'!E561=0,"",IF('Rozpad zakázky'!E561="-","",'Rozpad zakázky'!E561))</f>
        <v/>
      </c>
      <c r="B545" s="708" t="str">
        <f>IF(A545="","",IF(A545="","",VLOOKUP(A:A,Pomocna_Nakup[],3,0))&amp;" | "&amp;IF(A545="","",VLOOKUP(A:A,Pomocna_Nakup[],4,0)))</f>
        <v/>
      </c>
      <c r="C545" s="710" t="str">
        <f>IF(Tabulka_nakup_Vonka[[#This Row],[Zkratka kalkulační položky]]="","",Tabulka_nakup_Vonka[[#This Row],[Zkratka kalkulační položky]]&amp;" | "&amp;IF(A545="","",VLOOKUP(A:A,Pomocna_Nakup[],2,0)))</f>
        <v/>
      </c>
      <c r="D545" s="710" t="str">
        <f>IF(A545="","",'Rozpad zakázky'!F561)</f>
        <v/>
      </c>
      <c r="E545" s="710" t="str">
        <f>IF(A545="","",'Rozpad zakázky'!D561&amp;IF('Rozpad zakázky'!G561="",""," ("&amp;'Rozpad zakázky'!G561&amp;")"))</f>
        <v/>
      </c>
      <c r="F545" s="709" t="str">
        <f>IF(A545="","",'Rozpad zakázky'!IW561)</f>
        <v/>
      </c>
      <c r="G545" s="711" t="str">
        <f>IF(A545="","",'Rozpad zakázky'!AE561)</f>
        <v/>
      </c>
      <c r="H545" s="717" t="str">
        <f>IF(A545="","",'Rozpad zakázky'!AJ561)</f>
        <v/>
      </c>
      <c r="I545" s="748" t="str">
        <f>IF(A545="","",'Rozpad zakázky'!Q561)</f>
        <v/>
      </c>
      <c r="J545" s="717" t="str">
        <f>IF(A545="","",ROUNDDOWN('Rozpad zakázky'!L561,1))</f>
        <v/>
      </c>
      <c r="K545" s="745" t="str">
        <f>IF(A545="","",Tabulka_nakup_Vonka[[#This Row],[Počet MJHR v rozpadu]]*Tabulka_nakup_Vonka[[#This Row],[Jedn. hmotnost '[kg/MJHR']]])</f>
        <v/>
      </c>
    </row>
    <row r="546" spans="1:11" x14ac:dyDescent="0.35">
      <c r="A546" s="709" t="str">
        <f>IF('Rozpad zakázky'!E562=0,"",IF('Rozpad zakázky'!E562="-","",'Rozpad zakázky'!E562))</f>
        <v/>
      </c>
      <c r="B546" s="708" t="str">
        <f>IF(A546="","",IF(A546="","",VLOOKUP(A:A,Pomocna_Nakup[],3,0))&amp;" | "&amp;IF(A546="","",VLOOKUP(A:A,Pomocna_Nakup[],4,0)))</f>
        <v/>
      </c>
      <c r="C546" s="710" t="str">
        <f>IF(Tabulka_nakup_Vonka[[#This Row],[Zkratka kalkulační položky]]="","",Tabulka_nakup_Vonka[[#This Row],[Zkratka kalkulační položky]]&amp;" | "&amp;IF(A546="","",VLOOKUP(A:A,Pomocna_Nakup[],2,0)))</f>
        <v/>
      </c>
      <c r="D546" s="710" t="str">
        <f>IF(A546="","",'Rozpad zakázky'!F562)</f>
        <v/>
      </c>
      <c r="E546" s="710" t="str">
        <f>IF(A546="","",'Rozpad zakázky'!D562&amp;IF('Rozpad zakázky'!G562="",""," ("&amp;'Rozpad zakázky'!G562&amp;")"))</f>
        <v/>
      </c>
      <c r="F546" s="709" t="str">
        <f>IF(A546="","",'Rozpad zakázky'!IW562)</f>
        <v/>
      </c>
      <c r="G546" s="711" t="str">
        <f>IF(A546="","",'Rozpad zakázky'!AE562)</f>
        <v/>
      </c>
      <c r="H546" s="717" t="str">
        <f>IF(A546="","",'Rozpad zakázky'!AJ562)</f>
        <v/>
      </c>
      <c r="I546" s="748" t="str">
        <f>IF(A546="","",'Rozpad zakázky'!Q562)</f>
        <v/>
      </c>
      <c r="J546" s="717" t="str">
        <f>IF(A546="","",ROUNDDOWN('Rozpad zakázky'!L562,1))</f>
        <v/>
      </c>
      <c r="K546" s="745" t="str">
        <f>IF(A546="","",Tabulka_nakup_Vonka[[#This Row],[Počet MJHR v rozpadu]]*Tabulka_nakup_Vonka[[#This Row],[Jedn. hmotnost '[kg/MJHR']]])</f>
        <v/>
      </c>
    </row>
    <row r="547" spans="1:11" x14ac:dyDescent="0.35">
      <c r="A547" s="709" t="str">
        <f>IF('Rozpad zakázky'!E563=0,"",IF('Rozpad zakázky'!E563="-","",'Rozpad zakázky'!E563))</f>
        <v/>
      </c>
      <c r="B547" s="708" t="str">
        <f>IF(A547="","",IF(A547="","",VLOOKUP(A:A,Pomocna_Nakup[],3,0))&amp;" | "&amp;IF(A547="","",VLOOKUP(A:A,Pomocna_Nakup[],4,0)))</f>
        <v/>
      </c>
      <c r="C547" s="710" t="str">
        <f>IF(Tabulka_nakup_Vonka[[#This Row],[Zkratka kalkulační položky]]="","",Tabulka_nakup_Vonka[[#This Row],[Zkratka kalkulační položky]]&amp;" | "&amp;IF(A547="","",VLOOKUP(A:A,Pomocna_Nakup[],2,0)))</f>
        <v/>
      </c>
      <c r="D547" s="710" t="str">
        <f>IF(A547="","",'Rozpad zakázky'!F563)</f>
        <v/>
      </c>
      <c r="E547" s="710" t="str">
        <f>IF(A547="","",'Rozpad zakázky'!D563&amp;IF('Rozpad zakázky'!G563="",""," ("&amp;'Rozpad zakázky'!G563&amp;")"))</f>
        <v/>
      </c>
      <c r="F547" s="709" t="str">
        <f>IF(A547="","",'Rozpad zakázky'!IW563)</f>
        <v/>
      </c>
      <c r="G547" s="711" t="str">
        <f>IF(A547="","",'Rozpad zakázky'!AE563)</f>
        <v/>
      </c>
      <c r="H547" s="717" t="str">
        <f>IF(A547="","",'Rozpad zakázky'!AJ563)</f>
        <v/>
      </c>
      <c r="I547" s="748" t="str">
        <f>IF(A547="","",'Rozpad zakázky'!Q563)</f>
        <v/>
      </c>
      <c r="J547" s="717" t="str">
        <f>IF(A547="","",ROUNDDOWN('Rozpad zakázky'!L563,1))</f>
        <v/>
      </c>
      <c r="K547" s="745" t="str">
        <f>IF(A547="","",Tabulka_nakup_Vonka[[#This Row],[Počet MJHR v rozpadu]]*Tabulka_nakup_Vonka[[#This Row],[Jedn. hmotnost '[kg/MJHR']]])</f>
        <v/>
      </c>
    </row>
    <row r="548" spans="1:11" x14ac:dyDescent="0.35">
      <c r="A548" s="709" t="str">
        <f>IF('Rozpad zakázky'!E564=0,"",IF('Rozpad zakázky'!E564="-","",'Rozpad zakázky'!E564))</f>
        <v/>
      </c>
      <c r="B548" s="708" t="str">
        <f>IF(A548="","",IF(A548="","",VLOOKUP(A:A,Pomocna_Nakup[],3,0))&amp;" | "&amp;IF(A548="","",VLOOKUP(A:A,Pomocna_Nakup[],4,0)))</f>
        <v/>
      </c>
      <c r="C548" s="710" t="str">
        <f>IF(Tabulka_nakup_Vonka[[#This Row],[Zkratka kalkulační položky]]="","",Tabulka_nakup_Vonka[[#This Row],[Zkratka kalkulační položky]]&amp;" | "&amp;IF(A548="","",VLOOKUP(A:A,Pomocna_Nakup[],2,0)))</f>
        <v/>
      </c>
      <c r="D548" s="710" t="str">
        <f>IF(A548="","",'Rozpad zakázky'!F564)</f>
        <v/>
      </c>
      <c r="E548" s="710" t="str">
        <f>IF(A548="","",'Rozpad zakázky'!D564&amp;IF('Rozpad zakázky'!G564="",""," ("&amp;'Rozpad zakázky'!G564&amp;")"))</f>
        <v/>
      </c>
      <c r="F548" s="709" t="str">
        <f>IF(A548="","",'Rozpad zakázky'!IW564)</f>
        <v/>
      </c>
      <c r="G548" s="711" t="str">
        <f>IF(A548="","",'Rozpad zakázky'!AE564)</f>
        <v/>
      </c>
      <c r="H548" s="717" t="str">
        <f>IF(A548="","",'Rozpad zakázky'!AJ564)</f>
        <v/>
      </c>
      <c r="I548" s="748" t="str">
        <f>IF(A548="","",'Rozpad zakázky'!Q564)</f>
        <v/>
      </c>
      <c r="J548" s="717" t="str">
        <f>IF(A548="","",ROUNDDOWN('Rozpad zakázky'!L564,1))</f>
        <v/>
      </c>
      <c r="K548" s="745" t="str">
        <f>IF(A548="","",Tabulka_nakup_Vonka[[#This Row],[Počet MJHR v rozpadu]]*Tabulka_nakup_Vonka[[#This Row],[Jedn. hmotnost '[kg/MJHR']]])</f>
        <v/>
      </c>
    </row>
    <row r="549" spans="1:11" x14ac:dyDescent="0.35">
      <c r="A549" s="709" t="str">
        <f>IF('Rozpad zakázky'!E565=0,"",IF('Rozpad zakázky'!E565="-","",'Rozpad zakázky'!E565))</f>
        <v/>
      </c>
      <c r="B549" s="708" t="str">
        <f>IF(A549="","",IF(A549="","",VLOOKUP(A:A,Pomocna_Nakup[],3,0))&amp;" | "&amp;IF(A549="","",VLOOKUP(A:A,Pomocna_Nakup[],4,0)))</f>
        <v/>
      </c>
      <c r="C549" s="710" t="str">
        <f>IF(Tabulka_nakup_Vonka[[#This Row],[Zkratka kalkulační položky]]="","",Tabulka_nakup_Vonka[[#This Row],[Zkratka kalkulační položky]]&amp;" | "&amp;IF(A549="","",VLOOKUP(A:A,Pomocna_Nakup[],2,0)))</f>
        <v/>
      </c>
      <c r="D549" s="710" t="str">
        <f>IF(A549="","",'Rozpad zakázky'!F565)</f>
        <v/>
      </c>
      <c r="E549" s="710" t="str">
        <f>IF(A549="","",'Rozpad zakázky'!D565&amp;IF('Rozpad zakázky'!G565="",""," ("&amp;'Rozpad zakázky'!G565&amp;")"))</f>
        <v/>
      </c>
      <c r="F549" s="709" t="str">
        <f>IF(A549="","",'Rozpad zakázky'!IW565)</f>
        <v/>
      </c>
      <c r="G549" s="711" t="str">
        <f>IF(A549="","",'Rozpad zakázky'!AE565)</f>
        <v/>
      </c>
      <c r="H549" s="717" t="str">
        <f>IF(A549="","",'Rozpad zakázky'!AJ565)</f>
        <v/>
      </c>
      <c r="I549" s="748" t="str">
        <f>IF(A549="","",'Rozpad zakázky'!Q565)</f>
        <v/>
      </c>
      <c r="J549" s="717" t="str">
        <f>IF(A549="","",ROUNDDOWN('Rozpad zakázky'!L565,1))</f>
        <v/>
      </c>
      <c r="K549" s="745" t="str">
        <f>IF(A549="","",Tabulka_nakup_Vonka[[#This Row],[Počet MJHR v rozpadu]]*Tabulka_nakup_Vonka[[#This Row],[Jedn. hmotnost '[kg/MJHR']]])</f>
        <v/>
      </c>
    </row>
    <row r="550" spans="1:11" x14ac:dyDescent="0.35">
      <c r="A550" s="709" t="str">
        <f>IF('Rozpad zakázky'!E566=0,"",IF('Rozpad zakázky'!E566="-","",'Rozpad zakázky'!E566))</f>
        <v/>
      </c>
      <c r="B550" s="708" t="str">
        <f>IF(A550="","",IF(A550="","",VLOOKUP(A:A,Pomocna_Nakup[],3,0))&amp;" | "&amp;IF(A550="","",VLOOKUP(A:A,Pomocna_Nakup[],4,0)))</f>
        <v/>
      </c>
      <c r="C550" s="710" t="str">
        <f>IF(Tabulka_nakup_Vonka[[#This Row],[Zkratka kalkulační položky]]="","",Tabulka_nakup_Vonka[[#This Row],[Zkratka kalkulační položky]]&amp;" | "&amp;IF(A550="","",VLOOKUP(A:A,Pomocna_Nakup[],2,0)))</f>
        <v/>
      </c>
      <c r="D550" s="710" t="str">
        <f>IF(A550="","",'Rozpad zakázky'!F566)</f>
        <v/>
      </c>
      <c r="E550" s="710" t="str">
        <f>IF(A550="","",'Rozpad zakázky'!D566&amp;IF('Rozpad zakázky'!G566="",""," ("&amp;'Rozpad zakázky'!G566&amp;")"))</f>
        <v/>
      </c>
      <c r="F550" s="709" t="str">
        <f>IF(A550="","",'Rozpad zakázky'!IW566)</f>
        <v/>
      </c>
      <c r="G550" s="711" t="str">
        <f>IF(A550="","",'Rozpad zakázky'!AE566)</f>
        <v/>
      </c>
      <c r="H550" s="717" t="str">
        <f>IF(A550="","",'Rozpad zakázky'!AJ566)</f>
        <v/>
      </c>
      <c r="I550" s="748" t="str">
        <f>IF(A550="","",'Rozpad zakázky'!Q566)</f>
        <v/>
      </c>
      <c r="J550" s="717" t="str">
        <f>IF(A550="","",ROUNDDOWN('Rozpad zakázky'!L566,1))</f>
        <v/>
      </c>
      <c r="K550" s="745" t="str">
        <f>IF(A550="","",Tabulka_nakup_Vonka[[#This Row],[Počet MJHR v rozpadu]]*Tabulka_nakup_Vonka[[#This Row],[Jedn. hmotnost '[kg/MJHR']]])</f>
        <v/>
      </c>
    </row>
    <row r="551" spans="1:11" x14ac:dyDescent="0.35">
      <c r="A551" s="709" t="str">
        <f>IF('Rozpad zakázky'!E567=0,"",IF('Rozpad zakázky'!E567="-","",'Rozpad zakázky'!E567))</f>
        <v/>
      </c>
      <c r="B551" s="708" t="str">
        <f>IF(A551="","",IF(A551="","",VLOOKUP(A:A,Pomocna_Nakup[],3,0))&amp;" | "&amp;IF(A551="","",VLOOKUP(A:A,Pomocna_Nakup[],4,0)))</f>
        <v/>
      </c>
      <c r="C551" s="710" t="str">
        <f>IF(Tabulka_nakup_Vonka[[#This Row],[Zkratka kalkulační položky]]="","",Tabulka_nakup_Vonka[[#This Row],[Zkratka kalkulační položky]]&amp;" | "&amp;IF(A551="","",VLOOKUP(A:A,Pomocna_Nakup[],2,0)))</f>
        <v/>
      </c>
      <c r="D551" s="710" t="str">
        <f>IF(A551="","",'Rozpad zakázky'!F567)</f>
        <v/>
      </c>
      <c r="E551" s="710" t="str">
        <f>IF(A551="","",'Rozpad zakázky'!D567&amp;IF('Rozpad zakázky'!G567="",""," ("&amp;'Rozpad zakázky'!G567&amp;")"))</f>
        <v/>
      </c>
      <c r="F551" s="709" t="str">
        <f>IF(A551="","",'Rozpad zakázky'!IW567)</f>
        <v/>
      </c>
      <c r="G551" s="711" t="str">
        <f>IF(A551="","",'Rozpad zakázky'!AE567)</f>
        <v/>
      </c>
      <c r="H551" s="717" t="str">
        <f>IF(A551="","",'Rozpad zakázky'!AJ567)</f>
        <v/>
      </c>
      <c r="I551" s="748" t="str">
        <f>IF(A551="","",'Rozpad zakázky'!Q567)</f>
        <v/>
      </c>
      <c r="J551" s="717" t="str">
        <f>IF(A551="","",ROUNDDOWN('Rozpad zakázky'!L567,1))</f>
        <v/>
      </c>
      <c r="K551" s="745" t="str">
        <f>IF(A551="","",Tabulka_nakup_Vonka[[#This Row],[Počet MJHR v rozpadu]]*Tabulka_nakup_Vonka[[#This Row],[Jedn. hmotnost '[kg/MJHR']]])</f>
        <v/>
      </c>
    </row>
    <row r="552" spans="1:11" x14ac:dyDescent="0.35">
      <c r="A552" s="709" t="str">
        <f>IF('Rozpad zakázky'!E568=0,"",IF('Rozpad zakázky'!E568="-","",'Rozpad zakázky'!E568))</f>
        <v/>
      </c>
      <c r="B552" s="708" t="str">
        <f>IF(A552="","",IF(A552="","",VLOOKUP(A:A,Pomocna_Nakup[],3,0))&amp;" | "&amp;IF(A552="","",VLOOKUP(A:A,Pomocna_Nakup[],4,0)))</f>
        <v/>
      </c>
      <c r="C552" s="710" t="str">
        <f>IF(Tabulka_nakup_Vonka[[#This Row],[Zkratka kalkulační položky]]="","",Tabulka_nakup_Vonka[[#This Row],[Zkratka kalkulační položky]]&amp;" | "&amp;IF(A552="","",VLOOKUP(A:A,Pomocna_Nakup[],2,0)))</f>
        <v/>
      </c>
      <c r="D552" s="710" t="str">
        <f>IF(A552="","",'Rozpad zakázky'!F568)</f>
        <v/>
      </c>
      <c r="E552" s="710" t="str">
        <f>IF(A552="","",'Rozpad zakázky'!D568&amp;IF('Rozpad zakázky'!G568="",""," ("&amp;'Rozpad zakázky'!G568&amp;")"))</f>
        <v/>
      </c>
      <c r="F552" s="709" t="str">
        <f>IF(A552="","",'Rozpad zakázky'!IW568)</f>
        <v/>
      </c>
      <c r="G552" s="711" t="str">
        <f>IF(A552="","",'Rozpad zakázky'!AE568)</f>
        <v/>
      </c>
      <c r="H552" s="717" t="str">
        <f>IF(A552="","",'Rozpad zakázky'!AJ568)</f>
        <v/>
      </c>
      <c r="I552" s="748" t="str">
        <f>IF(A552="","",'Rozpad zakázky'!Q568)</f>
        <v/>
      </c>
      <c r="J552" s="717" t="str">
        <f>IF(A552="","",ROUNDDOWN('Rozpad zakázky'!L568,1))</f>
        <v/>
      </c>
      <c r="K552" s="745" t="str">
        <f>IF(A552="","",Tabulka_nakup_Vonka[[#This Row],[Počet MJHR v rozpadu]]*Tabulka_nakup_Vonka[[#This Row],[Jedn. hmotnost '[kg/MJHR']]])</f>
        <v/>
      </c>
    </row>
    <row r="553" spans="1:11" x14ac:dyDescent="0.35">
      <c r="A553" s="709" t="str">
        <f>IF('Rozpad zakázky'!E569=0,"",IF('Rozpad zakázky'!E569="-","",'Rozpad zakázky'!E569))</f>
        <v/>
      </c>
      <c r="B553" s="708" t="str">
        <f>IF(A553="","",IF(A553="","",VLOOKUP(A:A,Pomocna_Nakup[],3,0))&amp;" | "&amp;IF(A553="","",VLOOKUP(A:A,Pomocna_Nakup[],4,0)))</f>
        <v/>
      </c>
      <c r="C553" s="710" t="str">
        <f>IF(Tabulka_nakup_Vonka[[#This Row],[Zkratka kalkulační položky]]="","",Tabulka_nakup_Vonka[[#This Row],[Zkratka kalkulační položky]]&amp;" | "&amp;IF(A553="","",VLOOKUP(A:A,Pomocna_Nakup[],2,0)))</f>
        <v/>
      </c>
      <c r="D553" s="710" t="str">
        <f>IF(A553="","",'Rozpad zakázky'!F569)</f>
        <v/>
      </c>
      <c r="E553" s="710" t="str">
        <f>IF(A553="","",'Rozpad zakázky'!D569&amp;IF('Rozpad zakázky'!G569="",""," ("&amp;'Rozpad zakázky'!G569&amp;")"))</f>
        <v/>
      </c>
      <c r="F553" s="709" t="str">
        <f>IF(A553="","",'Rozpad zakázky'!IW569)</f>
        <v/>
      </c>
      <c r="G553" s="711" t="str">
        <f>IF(A553="","",'Rozpad zakázky'!AE569)</f>
        <v/>
      </c>
      <c r="H553" s="717" t="str">
        <f>IF(A553="","",'Rozpad zakázky'!AJ569)</f>
        <v/>
      </c>
      <c r="I553" s="748" t="str">
        <f>IF(A553="","",'Rozpad zakázky'!Q569)</f>
        <v/>
      </c>
      <c r="J553" s="717" t="str">
        <f>IF(A553="","",ROUNDDOWN('Rozpad zakázky'!L569,1))</f>
        <v/>
      </c>
      <c r="K553" s="745" t="str">
        <f>IF(A553="","",Tabulka_nakup_Vonka[[#This Row],[Počet MJHR v rozpadu]]*Tabulka_nakup_Vonka[[#This Row],[Jedn. hmotnost '[kg/MJHR']]])</f>
        <v/>
      </c>
    </row>
    <row r="554" spans="1:11" x14ac:dyDescent="0.35">
      <c r="A554" s="709" t="str">
        <f>IF('Rozpad zakázky'!E570=0,"",IF('Rozpad zakázky'!E570="-","",'Rozpad zakázky'!E570))</f>
        <v/>
      </c>
      <c r="B554" s="708" t="str">
        <f>IF(A554="","",IF(A554="","",VLOOKUP(A:A,Pomocna_Nakup[],3,0))&amp;" | "&amp;IF(A554="","",VLOOKUP(A:A,Pomocna_Nakup[],4,0)))</f>
        <v/>
      </c>
      <c r="C554" s="710" t="str">
        <f>IF(Tabulka_nakup_Vonka[[#This Row],[Zkratka kalkulační položky]]="","",Tabulka_nakup_Vonka[[#This Row],[Zkratka kalkulační položky]]&amp;" | "&amp;IF(A554="","",VLOOKUP(A:A,Pomocna_Nakup[],2,0)))</f>
        <v/>
      </c>
      <c r="D554" s="710" t="str">
        <f>IF(A554="","",'Rozpad zakázky'!F570)</f>
        <v/>
      </c>
      <c r="E554" s="710" t="str">
        <f>IF(A554="","",'Rozpad zakázky'!D570&amp;IF('Rozpad zakázky'!G570="",""," ("&amp;'Rozpad zakázky'!G570&amp;")"))</f>
        <v/>
      </c>
      <c r="F554" s="709" t="str">
        <f>IF(A554="","",'Rozpad zakázky'!IW570)</f>
        <v/>
      </c>
      <c r="G554" s="711" t="str">
        <f>IF(A554="","",'Rozpad zakázky'!AE570)</f>
        <v/>
      </c>
      <c r="H554" s="717" t="str">
        <f>IF(A554="","",'Rozpad zakázky'!AJ570)</f>
        <v/>
      </c>
      <c r="I554" s="748" t="str">
        <f>IF(A554="","",'Rozpad zakázky'!Q570)</f>
        <v/>
      </c>
      <c r="J554" s="717" t="str">
        <f>IF(A554="","",ROUNDDOWN('Rozpad zakázky'!L570,1))</f>
        <v/>
      </c>
      <c r="K554" s="745" t="str">
        <f>IF(A554="","",Tabulka_nakup_Vonka[[#This Row],[Počet MJHR v rozpadu]]*Tabulka_nakup_Vonka[[#This Row],[Jedn. hmotnost '[kg/MJHR']]])</f>
        <v/>
      </c>
    </row>
    <row r="555" spans="1:11" x14ac:dyDescent="0.35">
      <c r="A555" s="709" t="str">
        <f>IF('Rozpad zakázky'!E571=0,"",IF('Rozpad zakázky'!E571="-","",'Rozpad zakázky'!E571))</f>
        <v/>
      </c>
      <c r="B555" s="708" t="str">
        <f>IF(A555="","",IF(A555="","",VLOOKUP(A:A,Pomocna_Nakup[],3,0))&amp;" | "&amp;IF(A555="","",VLOOKUP(A:A,Pomocna_Nakup[],4,0)))</f>
        <v/>
      </c>
      <c r="C555" s="710" t="str">
        <f>IF(Tabulka_nakup_Vonka[[#This Row],[Zkratka kalkulační položky]]="","",Tabulka_nakup_Vonka[[#This Row],[Zkratka kalkulační položky]]&amp;" | "&amp;IF(A555="","",VLOOKUP(A:A,Pomocna_Nakup[],2,0)))</f>
        <v/>
      </c>
      <c r="D555" s="710" t="str">
        <f>IF(A555="","",'Rozpad zakázky'!F571)</f>
        <v/>
      </c>
      <c r="E555" s="710" t="str">
        <f>IF(A555="","",'Rozpad zakázky'!D571&amp;IF('Rozpad zakázky'!G571="",""," ("&amp;'Rozpad zakázky'!G571&amp;")"))</f>
        <v/>
      </c>
      <c r="F555" s="709" t="str">
        <f>IF(A555="","",'Rozpad zakázky'!IW571)</f>
        <v/>
      </c>
      <c r="G555" s="711" t="str">
        <f>IF(A555="","",'Rozpad zakázky'!AE571)</f>
        <v/>
      </c>
      <c r="H555" s="717" t="str">
        <f>IF(A555="","",'Rozpad zakázky'!AJ571)</f>
        <v/>
      </c>
      <c r="I555" s="748" t="str">
        <f>IF(A555="","",'Rozpad zakázky'!Q571)</f>
        <v/>
      </c>
      <c r="J555" s="717" t="str">
        <f>IF(A555="","",ROUNDDOWN('Rozpad zakázky'!L571,1))</f>
        <v/>
      </c>
      <c r="K555" s="745" t="str">
        <f>IF(A555="","",Tabulka_nakup_Vonka[[#This Row],[Počet MJHR v rozpadu]]*Tabulka_nakup_Vonka[[#This Row],[Jedn. hmotnost '[kg/MJHR']]])</f>
        <v/>
      </c>
    </row>
    <row r="556" spans="1:11" x14ac:dyDescent="0.35">
      <c r="A556" s="709" t="str">
        <f>IF('Rozpad zakázky'!E572=0,"",IF('Rozpad zakázky'!E572="-","",'Rozpad zakázky'!E572))</f>
        <v/>
      </c>
      <c r="B556" s="708" t="str">
        <f>IF(A556="","",IF(A556="","",VLOOKUP(A:A,Pomocna_Nakup[],3,0))&amp;" | "&amp;IF(A556="","",VLOOKUP(A:A,Pomocna_Nakup[],4,0)))</f>
        <v/>
      </c>
      <c r="C556" s="710" t="str">
        <f>IF(Tabulka_nakup_Vonka[[#This Row],[Zkratka kalkulační položky]]="","",Tabulka_nakup_Vonka[[#This Row],[Zkratka kalkulační položky]]&amp;" | "&amp;IF(A556="","",VLOOKUP(A:A,Pomocna_Nakup[],2,0)))</f>
        <v/>
      </c>
      <c r="D556" s="710" t="str">
        <f>IF(A556="","",'Rozpad zakázky'!F572)</f>
        <v/>
      </c>
      <c r="E556" s="710" t="str">
        <f>IF(A556="","",'Rozpad zakázky'!D572&amp;IF('Rozpad zakázky'!G572="",""," ("&amp;'Rozpad zakázky'!G572&amp;")"))</f>
        <v/>
      </c>
      <c r="F556" s="709" t="str">
        <f>IF(A556="","",'Rozpad zakázky'!IW572)</f>
        <v/>
      </c>
      <c r="G556" s="711" t="str">
        <f>IF(A556="","",'Rozpad zakázky'!AE572)</f>
        <v/>
      </c>
      <c r="H556" s="717" t="str">
        <f>IF(A556="","",'Rozpad zakázky'!AJ572)</f>
        <v/>
      </c>
      <c r="I556" s="748" t="str">
        <f>IF(A556="","",'Rozpad zakázky'!Q572)</f>
        <v/>
      </c>
      <c r="J556" s="717" t="str">
        <f>IF(A556="","",ROUNDDOWN('Rozpad zakázky'!L572,1))</f>
        <v/>
      </c>
      <c r="K556" s="745" t="str">
        <f>IF(A556="","",Tabulka_nakup_Vonka[[#This Row],[Počet MJHR v rozpadu]]*Tabulka_nakup_Vonka[[#This Row],[Jedn. hmotnost '[kg/MJHR']]])</f>
        <v/>
      </c>
    </row>
    <row r="557" spans="1:11" x14ac:dyDescent="0.35">
      <c r="A557" s="709" t="str">
        <f>IF('Rozpad zakázky'!E573=0,"",IF('Rozpad zakázky'!E573="-","",'Rozpad zakázky'!E573))</f>
        <v/>
      </c>
      <c r="B557" s="708" t="str">
        <f>IF(A557="","",IF(A557="","",VLOOKUP(A:A,Pomocna_Nakup[],3,0))&amp;" | "&amp;IF(A557="","",VLOOKUP(A:A,Pomocna_Nakup[],4,0)))</f>
        <v/>
      </c>
      <c r="C557" s="710" t="str">
        <f>IF(Tabulka_nakup_Vonka[[#This Row],[Zkratka kalkulační položky]]="","",Tabulka_nakup_Vonka[[#This Row],[Zkratka kalkulační položky]]&amp;" | "&amp;IF(A557="","",VLOOKUP(A:A,Pomocna_Nakup[],2,0)))</f>
        <v/>
      </c>
      <c r="D557" s="710" t="str">
        <f>IF(A557="","",'Rozpad zakázky'!F573)</f>
        <v/>
      </c>
      <c r="E557" s="710" t="str">
        <f>IF(A557="","",'Rozpad zakázky'!D573&amp;IF('Rozpad zakázky'!G573="",""," ("&amp;'Rozpad zakázky'!G573&amp;")"))</f>
        <v/>
      </c>
      <c r="F557" s="709" t="str">
        <f>IF(A557="","",'Rozpad zakázky'!IW573)</f>
        <v/>
      </c>
      <c r="G557" s="711" t="str">
        <f>IF(A557="","",'Rozpad zakázky'!AE573)</f>
        <v/>
      </c>
      <c r="H557" s="717" t="str">
        <f>IF(A557="","",'Rozpad zakázky'!AJ573)</f>
        <v/>
      </c>
      <c r="I557" s="748" t="str">
        <f>IF(A557="","",'Rozpad zakázky'!Q573)</f>
        <v/>
      </c>
      <c r="J557" s="717" t="str">
        <f>IF(A557="","",ROUNDDOWN('Rozpad zakázky'!L573,1))</f>
        <v/>
      </c>
      <c r="K557" s="745" t="str">
        <f>IF(A557="","",Tabulka_nakup_Vonka[[#This Row],[Počet MJHR v rozpadu]]*Tabulka_nakup_Vonka[[#This Row],[Jedn. hmotnost '[kg/MJHR']]])</f>
        <v/>
      </c>
    </row>
    <row r="558" spans="1:11" x14ac:dyDescent="0.35">
      <c r="A558" s="709" t="str">
        <f>IF('Rozpad zakázky'!E574=0,"",IF('Rozpad zakázky'!E574="-","",'Rozpad zakázky'!E574))</f>
        <v/>
      </c>
      <c r="B558" s="708" t="str">
        <f>IF(A558="","",IF(A558="","",VLOOKUP(A:A,Pomocna_Nakup[],3,0))&amp;" | "&amp;IF(A558="","",VLOOKUP(A:A,Pomocna_Nakup[],4,0)))</f>
        <v/>
      </c>
      <c r="C558" s="710" t="str">
        <f>IF(Tabulka_nakup_Vonka[[#This Row],[Zkratka kalkulační položky]]="","",Tabulka_nakup_Vonka[[#This Row],[Zkratka kalkulační položky]]&amp;" | "&amp;IF(A558="","",VLOOKUP(A:A,Pomocna_Nakup[],2,0)))</f>
        <v/>
      </c>
      <c r="D558" s="710" t="str">
        <f>IF(A558="","",'Rozpad zakázky'!F574)</f>
        <v/>
      </c>
      <c r="E558" s="710" t="str">
        <f>IF(A558="","",'Rozpad zakázky'!D574&amp;IF('Rozpad zakázky'!G574="",""," ("&amp;'Rozpad zakázky'!G574&amp;")"))</f>
        <v/>
      </c>
      <c r="F558" s="709" t="str">
        <f>IF(A558="","",'Rozpad zakázky'!IW574)</f>
        <v/>
      </c>
      <c r="G558" s="711" t="str">
        <f>IF(A558="","",'Rozpad zakázky'!AE574)</f>
        <v/>
      </c>
      <c r="H558" s="717" t="str">
        <f>IF(A558="","",'Rozpad zakázky'!AJ574)</f>
        <v/>
      </c>
      <c r="I558" s="748" t="str">
        <f>IF(A558="","",'Rozpad zakázky'!Q574)</f>
        <v/>
      </c>
      <c r="J558" s="717" t="str">
        <f>IF(A558="","",ROUNDDOWN('Rozpad zakázky'!L574,1))</f>
        <v/>
      </c>
      <c r="K558" s="745" t="str">
        <f>IF(A558="","",Tabulka_nakup_Vonka[[#This Row],[Počet MJHR v rozpadu]]*Tabulka_nakup_Vonka[[#This Row],[Jedn. hmotnost '[kg/MJHR']]])</f>
        <v/>
      </c>
    </row>
    <row r="559" spans="1:11" x14ac:dyDescent="0.35">
      <c r="A559" s="709" t="str">
        <f>IF('Rozpad zakázky'!E575=0,"",IF('Rozpad zakázky'!E575="-","",'Rozpad zakázky'!E575))</f>
        <v/>
      </c>
      <c r="B559" s="708" t="str">
        <f>IF(A559="","",IF(A559="","",VLOOKUP(A:A,Pomocna_Nakup[],3,0))&amp;" | "&amp;IF(A559="","",VLOOKUP(A:A,Pomocna_Nakup[],4,0)))</f>
        <v/>
      </c>
      <c r="C559" s="710" t="str">
        <f>IF(Tabulka_nakup_Vonka[[#This Row],[Zkratka kalkulační položky]]="","",Tabulka_nakup_Vonka[[#This Row],[Zkratka kalkulační položky]]&amp;" | "&amp;IF(A559="","",VLOOKUP(A:A,Pomocna_Nakup[],2,0)))</f>
        <v/>
      </c>
      <c r="D559" s="710" t="str">
        <f>IF(A559="","",'Rozpad zakázky'!F575)</f>
        <v/>
      </c>
      <c r="E559" s="710" t="str">
        <f>IF(A559="","",'Rozpad zakázky'!D575&amp;IF('Rozpad zakázky'!G575="",""," ("&amp;'Rozpad zakázky'!G575&amp;")"))</f>
        <v/>
      </c>
      <c r="F559" s="709" t="str">
        <f>IF(A559="","",'Rozpad zakázky'!IW575)</f>
        <v/>
      </c>
      <c r="G559" s="711" t="str">
        <f>IF(A559="","",'Rozpad zakázky'!AE575)</f>
        <v/>
      </c>
      <c r="H559" s="717" t="str">
        <f>IF(A559="","",'Rozpad zakázky'!AJ575)</f>
        <v/>
      </c>
      <c r="I559" s="748" t="str">
        <f>IF(A559="","",'Rozpad zakázky'!Q575)</f>
        <v/>
      </c>
      <c r="J559" s="717" t="str">
        <f>IF(A559="","",ROUNDDOWN('Rozpad zakázky'!L575,1))</f>
        <v/>
      </c>
      <c r="K559" s="745" t="str">
        <f>IF(A559="","",Tabulka_nakup_Vonka[[#This Row],[Počet MJHR v rozpadu]]*Tabulka_nakup_Vonka[[#This Row],[Jedn. hmotnost '[kg/MJHR']]])</f>
        <v/>
      </c>
    </row>
    <row r="560" spans="1:11" x14ac:dyDescent="0.35">
      <c r="A560" s="709" t="str">
        <f>IF('Rozpad zakázky'!E576=0,"",IF('Rozpad zakázky'!E576="-","",'Rozpad zakázky'!E576))</f>
        <v/>
      </c>
      <c r="B560" s="708" t="str">
        <f>IF(A560="","",IF(A560="","",VLOOKUP(A:A,Pomocna_Nakup[],3,0))&amp;" | "&amp;IF(A560="","",VLOOKUP(A:A,Pomocna_Nakup[],4,0)))</f>
        <v/>
      </c>
      <c r="C560" s="710" t="str">
        <f>IF(Tabulka_nakup_Vonka[[#This Row],[Zkratka kalkulační položky]]="","",Tabulka_nakup_Vonka[[#This Row],[Zkratka kalkulační položky]]&amp;" | "&amp;IF(A560="","",VLOOKUP(A:A,Pomocna_Nakup[],2,0)))</f>
        <v/>
      </c>
      <c r="D560" s="710" t="str">
        <f>IF(A560="","",'Rozpad zakázky'!F576)</f>
        <v/>
      </c>
      <c r="E560" s="710" t="str">
        <f>IF(A560="","",'Rozpad zakázky'!D576&amp;IF('Rozpad zakázky'!G576="",""," ("&amp;'Rozpad zakázky'!G576&amp;")"))</f>
        <v/>
      </c>
      <c r="F560" s="709" t="str">
        <f>IF(A560="","",'Rozpad zakázky'!IW576)</f>
        <v/>
      </c>
      <c r="G560" s="711" t="str">
        <f>IF(A560="","",'Rozpad zakázky'!AE576)</f>
        <v/>
      </c>
      <c r="H560" s="717" t="str">
        <f>IF(A560="","",'Rozpad zakázky'!AJ576)</f>
        <v/>
      </c>
      <c r="I560" s="748" t="str">
        <f>IF(A560="","",'Rozpad zakázky'!Q576)</f>
        <v/>
      </c>
      <c r="J560" s="717" t="str">
        <f>IF(A560="","",ROUNDDOWN('Rozpad zakázky'!L576,1))</f>
        <v/>
      </c>
      <c r="K560" s="745" t="str">
        <f>IF(A560="","",Tabulka_nakup_Vonka[[#This Row],[Počet MJHR v rozpadu]]*Tabulka_nakup_Vonka[[#This Row],[Jedn. hmotnost '[kg/MJHR']]])</f>
        <v/>
      </c>
    </row>
    <row r="561" spans="1:11" x14ac:dyDescent="0.35">
      <c r="A561" s="709" t="str">
        <f>IF('Rozpad zakázky'!E577=0,"",IF('Rozpad zakázky'!E577="-","",'Rozpad zakázky'!E577))</f>
        <v/>
      </c>
      <c r="B561" s="708" t="str">
        <f>IF(A561="","",IF(A561="","",VLOOKUP(A:A,Pomocna_Nakup[],3,0))&amp;" | "&amp;IF(A561="","",VLOOKUP(A:A,Pomocna_Nakup[],4,0)))</f>
        <v/>
      </c>
      <c r="C561" s="710" t="str">
        <f>IF(Tabulka_nakup_Vonka[[#This Row],[Zkratka kalkulační položky]]="","",Tabulka_nakup_Vonka[[#This Row],[Zkratka kalkulační položky]]&amp;" | "&amp;IF(A561="","",VLOOKUP(A:A,Pomocna_Nakup[],2,0)))</f>
        <v/>
      </c>
      <c r="D561" s="710" t="str">
        <f>IF(A561="","",'Rozpad zakázky'!F577)</f>
        <v/>
      </c>
      <c r="E561" s="710" t="str">
        <f>IF(A561="","",'Rozpad zakázky'!D577&amp;IF('Rozpad zakázky'!G577="",""," ("&amp;'Rozpad zakázky'!G577&amp;")"))</f>
        <v/>
      </c>
      <c r="F561" s="709" t="str">
        <f>IF(A561="","",'Rozpad zakázky'!IW577)</f>
        <v/>
      </c>
      <c r="G561" s="711" t="str">
        <f>IF(A561="","",'Rozpad zakázky'!AE577)</f>
        <v/>
      </c>
      <c r="H561" s="717" t="str">
        <f>IF(A561="","",'Rozpad zakázky'!AJ577)</f>
        <v/>
      </c>
      <c r="I561" s="748" t="str">
        <f>IF(A561="","",'Rozpad zakázky'!Q577)</f>
        <v/>
      </c>
      <c r="J561" s="717" t="str">
        <f>IF(A561="","",ROUNDDOWN('Rozpad zakázky'!L577,1))</f>
        <v/>
      </c>
      <c r="K561" s="745" t="str">
        <f>IF(A561="","",Tabulka_nakup_Vonka[[#This Row],[Počet MJHR v rozpadu]]*Tabulka_nakup_Vonka[[#This Row],[Jedn. hmotnost '[kg/MJHR']]])</f>
        <v/>
      </c>
    </row>
    <row r="562" spans="1:11" x14ac:dyDescent="0.35">
      <c r="A562" s="709" t="str">
        <f>IF('Rozpad zakázky'!E578=0,"",IF('Rozpad zakázky'!E578="-","",'Rozpad zakázky'!E578))</f>
        <v/>
      </c>
      <c r="B562" s="708" t="str">
        <f>IF(A562="","",IF(A562="","",VLOOKUP(A:A,Pomocna_Nakup[],3,0))&amp;" | "&amp;IF(A562="","",VLOOKUP(A:A,Pomocna_Nakup[],4,0)))</f>
        <v/>
      </c>
      <c r="C562" s="710" t="str">
        <f>IF(Tabulka_nakup_Vonka[[#This Row],[Zkratka kalkulační položky]]="","",Tabulka_nakup_Vonka[[#This Row],[Zkratka kalkulační položky]]&amp;" | "&amp;IF(A562="","",VLOOKUP(A:A,Pomocna_Nakup[],2,0)))</f>
        <v/>
      </c>
      <c r="D562" s="710" t="str">
        <f>IF(A562="","",'Rozpad zakázky'!F578)</f>
        <v/>
      </c>
      <c r="E562" s="710" t="str">
        <f>IF(A562="","",'Rozpad zakázky'!D578&amp;IF('Rozpad zakázky'!G578="",""," ("&amp;'Rozpad zakázky'!G578&amp;")"))</f>
        <v/>
      </c>
      <c r="F562" s="709" t="str">
        <f>IF(A562="","",'Rozpad zakázky'!IW578)</f>
        <v/>
      </c>
      <c r="G562" s="711" t="str">
        <f>IF(A562="","",'Rozpad zakázky'!AE578)</f>
        <v/>
      </c>
      <c r="H562" s="717" t="str">
        <f>IF(A562="","",'Rozpad zakázky'!AJ578)</f>
        <v/>
      </c>
      <c r="I562" s="748" t="str">
        <f>IF(A562="","",'Rozpad zakázky'!Q578)</f>
        <v/>
      </c>
      <c r="J562" s="717" t="str">
        <f>IF(A562="","",ROUNDDOWN('Rozpad zakázky'!L578,1))</f>
        <v/>
      </c>
      <c r="K562" s="745" t="str">
        <f>IF(A562="","",Tabulka_nakup_Vonka[[#This Row],[Počet MJHR v rozpadu]]*Tabulka_nakup_Vonka[[#This Row],[Jedn. hmotnost '[kg/MJHR']]])</f>
        <v/>
      </c>
    </row>
    <row r="563" spans="1:11" x14ac:dyDescent="0.35">
      <c r="A563" s="709" t="str">
        <f>IF('Rozpad zakázky'!E579=0,"",IF('Rozpad zakázky'!E579="-","",'Rozpad zakázky'!E579))</f>
        <v/>
      </c>
      <c r="B563" s="708" t="str">
        <f>IF(A563="","",IF(A563="","",VLOOKUP(A:A,Pomocna_Nakup[],3,0))&amp;" | "&amp;IF(A563="","",VLOOKUP(A:A,Pomocna_Nakup[],4,0)))</f>
        <v/>
      </c>
      <c r="C563" s="710" t="str">
        <f>IF(Tabulka_nakup_Vonka[[#This Row],[Zkratka kalkulační položky]]="","",Tabulka_nakup_Vonka[[#This Row],[Zkratka kalkulační položky]]&amp;" | "&amp;IF(A563="","",VLOOKUP(A:A,Pomocna_Nakup[],2,0)))</f>
        <v/>
      </c>
      <c r="D563" s="710" t="str">
        <f>IF(A563="","",'Rozpad zakázky'!F579)</f>
        <v/>
      </c>
      <c r="E563" s="710" t="str">
        <f>IF(A563="","",'Rozpad zakázky'!D579&amp;IF('Rozpad zakázky'!G579="",""," ("&amp;'Rozpad zakázky'!G579&amp;")"))</f>
        <v/>
      </c>
      <c r="F563" s="709" t="str">
        <f>IF(A563="","",'Rozpad zakázky'!IW579)</f>
        <v/>
      </c>
      <c r="G563" s="711" t="str">
        <f>IF(A563="","",'Rozpad zakázky'!AE579)</f>
        <v/>
      </c>
      <c r="H563" s="717" t="str">
        <f>IF(A563="","",'Rozpad zakázky'!AJ579)</f>
        <v/>
      </c>
      <c r="I563" s="748" t="str">
        <f>IF(A563="","",'Rozpad zakázky'!Q579)</f>
        <v/>
      </c>
      <c r="J563" s="717" t="str">
        <f>IF(A563="","",ROUNDDOWN('Rozpad zakázky'!L579,1))</f>
        <v/>
      </c>
      <c r="K563" s="745" t="str">
        <f>IF(A563="","",Tabulka_nakup_Vonka[[#This Row],[Počet MJHR v rozpadu]]*Tabulka_nakup_Vonka[[#This Row],[Jedn. hmotnost '[kg/MJHR']]])</f>
        <v/>
      </c>
    </row>
    <row r="564" spans="1:11" x14ac:dyDescent="0.35">
      <c r="A564" s="709" t="str">
        <f>IF('Rozpad zakázky'!E580=0,"",IF('Rozpad zakázky'!E580="-","",'Rozpad zakázky'!E580))</f>
        <v/>
      </c>
      <c r="B564" s="708" t="str">
        <f>IF(A564="","",IF(A564="","",VLOOKUP(A:A,Pomocna_Nakup[],3,0))&amp;" | "&amp;IF(A564="","",VLOOKUP(A:A,Pomocna_Nakup[],4,0)))</f>
        <v/>
      </c>
      <c r="C564" s="710" t="str">
        <f>IF(Tabulka_nakup_Vonka[[#This Row],[Zkratka kalkulační položky]]="","",Tabulka_nakup_Vonka[[#This Row],[Zkratka kalkulační položky]]&amp;" | "&amp;IF(A564="","",VLOOKUP(A:A,Pomocna_Nakup[],2,0)))</f>
        <v/>
      </c>
      <c r="D564" s="710" t="str">
        <f>IF(A564="","",'Rozpad zakázky'!F580)</f>
        <v/>
      </c>
      <c r="E564" s="710" t="str">
        <f>IF(A564="","",'Rozpad zakázky'!D580&amp;IF('Rozpad zakázky'!G580="",""," ("&amp;'Rozpad zakázky'!G580&amp;")"))</f>
        <v/>
      </c>
      <c r="F564" s="709" t="str">
        <f>IF(A564="","",'Rozpad zakázky'!IW580)</f>
        <v/>
      </c>
      <c r="G564" s="711" t="str">
        <f>IF(A564="","",'Rozpad zakázky'!AE580)</f>
        <v/>
      </c>
      <c r="H564" s="717" t="str">
        <f>IF(A564="","",'Rozpad zakázky'!AJ580)</f>
        <v/>
      </c>
      <c r="I564" s="748" t="str">
        <f>IF(A564="","",'Rozpad zakázky'!Q580)</f>
        <v/>
      </c>
      <c r="J564" s="717" t="str">
        <f>IF(A564="","",ROUNDDOWN('Rozpad zakázky'!L580,1))</f>
        <v/>
      </c>
      <c r="K564" s="745" t="str">
        <f>IF(A564="","",Tabulka_nakup_Vonka[[#This Row],[Počet MJHR v rozpadu]]*Tabulka_nakup_Vonka[[#This Row],[Jedn. hmotnost '[kg/MJHR']]])</f>
        <v/>
      </c>
    </row>
    <row r="565" spans="1:11" x14ac:dyDescent="0.35">
      <c r="A565" s="709" t="str">
        <f>IF('Rozpad zakázky'!E581=0,"",IF('Rozpad zakázky'!E581="-","",'Rozpad zakázky'!E581))</f>
        <v/>
      </c>
      <c r="B565" s="708" t="str">
        <f>IF(A565="","",IF(A565="","",VLOOKUP(A:A,Pomocna_Nakup[],3,0))&amp;" | "&amp;IF(A565="","",VLOOKUP(A:A,Pomocna_Nakup[],4,0)))</f>
        <v/>
      </c>
      <c r="C565" s="710" t="str">
        <f>IF(Tabulka_nakup_Vonka[[#This Row],[Zkratka kalkulační položky]]="","",Tabulka_nakup_Vonka[[#This Row],[Zkratka kalkulační položky]]&amp;" | "&amp;IF(A565="","",VLOOKUP(A:A,Pomocna_Nakup[],2,0)))</f>
        <v/>
      </c>
      <c r="D565" s="710" t="str">
        <f>IF(A565="","",'Rozpad zakázky'!F581)</f>
        <v/>
      </c>
      <c r="E565" s="710" t="str">
        <f>IF(A565="","",'Rozpad zakázky'!D581&amp;IF('Rozpad zakázky'!G581="",""," ("&amp;'Rozpad zakázky'!G581&amp;")"))</f>
        <v/>
      </c>
      <c r="F565" s="709" t="str">
        <f>IF(A565="","",'Rozpad zakázky'!IW581)</f>
        <v/>
      </c>
      <c r="G565" s="711" t="str">
        <f>IF(A565="","",'Rozpad zakázky'!AE581)</f>
        <v/>
      </c>
      <c r="H565" s="717" t="str">
        <f>IF(A565="","",'Rozpad zakázky'!AJ581)</f>
        <v/>
      </c>
      <c r="I565" s="748" t="str">
        <f>IF(A565="","",'Rozpad zakázky'!Q581)</f>
        <v/>
      </c>
      <c r="J565" s="717" t="str">
        <f>IF(A565="","",ROUNDDOWN('Rozpad zakázky'!L581,1))</f>
        <v/>
      </c>
      <c r="K565" s="745" t="str">
        <f>IF(A565="","",Tabulka_nakup_Vonka[[#This Row],[Počet MJHR v rozpadu]]*Tabulka_nakup_Vonka[[#This Row],[Jedn. hmotnost '[kg/MJHR']]])</f>
        <v/>
      </c>
    </row>
    <row r="566" spans="1:11" x14ac:dyDescent="0.35">
      <c r="A566" s="709" t="str">
        <f>IF('Rozpad zakázky'!E582=0,"",IF('Rozpad zakázky'!E582="-","",'Rozpad zakázky'!E582))</f>
        <v/>
      </c>
      <c r="B566" s="708" t="str">
        <f>IF(A566="","",IF(A566="","",VLOOKUP(A:A,Pomocna_Nakup[],3,0))&amp;" | "&amp;IF(A566="","",VLOOKUP(A:A,Pomocna_Nakup[],4,0)))</f>
        <v/>
      </c>
      <c r="C566" s="710" t="str">
        <f>IF(Tabulka_nakup_Vonka[[#This Row],[Zkratka kalkulační položky]]="","",Tabulka_nakup_Vonka[[#This Row],[Zkratka kalkulační položky]]&amp;" | "&amp;IF(A566="","",VLOOKUP(A:A,Pomocna_Nakup[],2,0)))</f>
        <v/>
      </c>
      <c r="D566" s="710" t="str">
        <f>IF(A566="","",'Rozpad zakázky'!F582)</f>
        <v/>
      </c>
      <c r="E566" s="710" t="str">
        <f>IF(A566="","",'Rozpad zakázky'!D582&amp;IF('Rozpad zakázky'!G582="",""," ("&amp;'Rozpad zakázky'!G582&amp;")"))</f>
        <v/>
      </c>
      <c r="F566" s="709" t="str">
        <f>IF(A566="","",'Rozpad zakázky'!IW582)</f>
        <v/>
      </c>
      <c r="G566" s="711" t="str">
        <f>IF(A566="","",'Rozpad zakázky'!AE582)</f>
        <v/>
      </c>
      <c r="H566" s="717" t="str">
        <f>IF(A566="","",'Rozpad zakázky'!AJ582)</f>
        <v/>
      </c>
      <c r="I566" s="748" t="str">
        <f>IF(A566="","",'Rozpad zakázky'!Q582)</f>
        <v/>
      </c>
      <c r="J566" s="717" t="str">
        <f>IF(A566="","",ROUNDDOWN('Rozpad zakázky'!L582,1))</f>
        <v/>
      </c>
      <c r="K566" s="745" t="str">
        <f>IF(A566="","",Tabulka_nakup_Vonka[[#This Row],[Počet MJHR v rozpadu]]*Tabulka_nakup_Vonka[[#This Row],[Jedn. hmotnost '[kg/MJHR']]])</f>
        <v/>
      </c>
    </row>
    <row r="567" spans="1:11" x14ac:dyDescent="0.35">
      <c r="A567" s="709" t="str">
        <f>IF('Rozpad zakázky'!E583=0,"",IF('Rozpad zakázky'!E583="-","",'Rozpad zakázky'!E583))</f>
        <v/>
      </c>
      <c r="B567" s="708" t="str">
        <f>IF(A567="","",IF(A567="","",VLOOKUP(A:A,Pomocna_Nakup[],3,0))&amp;" | "&amp;IF(A567="","",VLOOKUP(A:A,Pomocna_Nakup[],4,0)))</f>
        <v/>
      </c>
      <c r="C567" s="710" t="str">
        <f>IF(Tabulka_nakup_Vonka[[#This Row],[Zkratka kalkulační položky]]="","",Tabulka_nakup_Vonka[[#This Row],[Zkratka kalkulační položky]]&amp;" | "&amp;IF(A567="","",VLOOKUP(A:A,Pomocna_Nakup[],2,0)))</f>
        <v/>
      </c>
      <c r="D567" s="710" t="str">
        <f>IF(A567="","",'Rozpad zakázky'!F583)</f>
        <v/>
      </c>
      <c r="E567" s="710" t="str">
        <f>IF(A567="","",'Rozpad zakázky'!D583&amp;IF('Rozpad zakázky'!G583="",""," ("&amp;'Rozpad zakázky'!G583&amp;")"))</f>
        <v/>
      </c>
      <c r="F567" s="709" t="str">
        <f>IF(A567="","",'Rozpad zakázky'!IW583)</f>
        <v/>
      </c>
      <c r="G567" s="711" t="str">
        <f>IF(A567="","",'Rozpad zakázky'!AE583)</f>
        <v/>
      </c>
      <c r="H567" s="717" t="str">
        <f>IF(A567="","",'Rozpad zakázky'!AJ583)</f>
        <v/>
      </c>
      <c r="I567" s="748" t="str">
        <f>IF(A567="","",'Rozpad zakázky'!Q583)</f>
        <v/>
      </c>
      <c r="J567" s="717" t="str">
        <f>IF(A567="","",ROUNDDOWN('Rozpad zakázky'!L583,1))</f>
        <v/>
      </c>
      <c r="K567" s="745" t="str">
        <f>IF(A567="","",Tabulka_nakup_Vonka[[#This Row],[Počet MJHR v rozpadu]]*Tabulka_nakup_Vonka[[#This Row],[Jedn. hmotnost '[kg/MJHR']]])</f>
        <v/>
      </c>
    </row>
    <row r="568" spans="1:11" x14ac:dyDescent="0.35">
      <c r="A568" s="709" t="str">
        <f>IF('Rozpad zakázky'!E584=0,"",IF('Rozpad zakázky'!E584="-","",'Rozpad zakázky'!E584))</f>
        <v/>
      </c>
      <c r="B568" s="708" t="str">
        <f>IF(A568="","",IF(A568="","",VLOOKUP(A:A,Pomocna_Nakup[],3,0))&amp;" | "&amp;IF(A568="","",VLOOKUP(A:A,Pomocna_Nakup[],4,0)))</f>
        <v/>
      </c>
      <c r="C568" s="710" t="str">
        <f>IF(Tabulka_nakup_Vonka[[#This Row],[Zkratka kalkulační položky]]="","",Tabulka_nakup_Vonka[[#This Row],[Zkratka kalkulační položky]]&amp;" | "&amp;IF(A568="","",VLOOKUP(A:A,Pomocna_Nakup[],2,0)))</f>
        <v/>
      </c>
      <c r="D568" s="710" t="str">
        <f>IF(A568="","",'Rozpad zakázky'!F584)</f>
        <v/>
      </c>
      <c r="E568" s="710" t="str">
        <f>IF(A568="","",'Rozpad zakázky'!D584&amp;IF('Rozpad zakázky'!G584="",""," ("&amp;'Rozpad zakázky'!G584&amp;")"))</f>
        <v/>
      </c>
      <c r="F568" s="709" t="str">
        <f>IF(A568="","",'Rozpad zakázky'!IW584)</f>
        <v/>
      </c>
      <c r="G568" s="711" t="str">
        <f>IF(A568="","",'Rozpad zakázky'!AE584)</f>
        <v/>
      </c>
      <c r="H568" s="717" t="str">
        <f>IF(A568="","",'Rozpad zakázky'!AJ584)</f>
        <v/>
      </c>
      <c r="I568" s="748" t="str">
        <f>IF(A568="","",'Rozpad zakázky'!Q584)</f>
        <v/>
      </c>
      <c r="J568" s="717" t="str">
        <f>IF(A568="","",ROUNDDOWN('Rozpad zakázky'!L584,1))</f>
        <v/>
      </c>
      <c r="K568" s="745" t="str">
        <f>IF(A568="","",Tabulka_nakup_Vonka[[#This Row],[Počet MJHR v rozpadu]]*Tabulka_nakup_Vonka[[#This Row],[Jedn. hmotnost '[kg/MJHR']]])</f>
        <v/>
      </c>
    </row>
    <row r="569" spans="1:11" x14ac:dyDescent="0.35">
      <c r="A569" s="709" t="str">
        <f>IF('Rozpad zakázky'!E585=0,"",IF('Rozpad zakázky'!E585="-","",'Rozpad zakázky'!E585))</f>
        <v/>
      </c>
      <c r="B569" s="708" t="str">
        <f>IF(A569="","",IF(A569="","",VLOOKUP(A:A,Pomocna_Nakup[],3,0))&amp;" | "&amp;IF(A569="","",VLOOKUP(A:A,Pomocna_Nakup[],4,0)))</f>
        <v/>
      </c>
      <c r="C569" s="710" t="str">
        <f>IF(Tabulka_nakup_Vonka[[#This Row],[Zkratka kalkulační položky]]="","",Tabulka_nakup_Vonka[[#This Row],[Zkratka kalkulační položky]]&amp;" | "&amp;IF(A569="","",VLOOKUP(A:A,Pomocna_Nakup[],2,0)))</f>
        <v/>
      </c>
      <c r="D569" s="710" t="str">
        <f>IF(A569="","",'Rozpad zakázky'!F585)</f>
        <v/>
      </c>
      <c r="E569" s="710" t="str">
        <f>IF(A569="","",'Rozpad zakázky'!D585&amp;IF('Rozpad zakázky'!G585="",""," ("&amp;'Rozpad zakázky'!G585&amp;")"))</f>
        <v/>
      </c>
      <c r="F569" s="709" t="str">
        <f>IF(A569="","",'Rozpad zakázky'!IW585)</f>
        <v/>
      </c>
      <c r="G569" s="711" t="str">
        <f>IF(A569="","",'Rozpad zakázky'!AE585)</f>
        <v/>
      </c>
      <c r="H569" s="717" t="str">
        <f>IF(A569="","",'Rozpad zakázky'!AJ585)</f>
        <v/>
      </c>
      <c r="I569" s="748" t="str">
        <f>IF(A569="","",'Rozpad zakázky'!Q585)</f>
        <v/>
      </c>
      <c r="J569" s="717" t="str">
        <f>IF(A569="","",ROUNDDOWN('Rozpad zakázky'!L585,1))</f>
        <v/>
      </c>
      <c r="K569" s="745" t="str">
        <f>IF(A569="","",Tabulka_nakup_Vonka[[#This Row],[Počet MJHR v rozpadu]]*Tabulka_nakup_Vonka[[#This Row],[Jedn. hmotnost '[kg/MJHR']]])</f>
        <v/>
      </c>
    </row>
    <row r="570" spans="1:11" x14ac:dyDescent="0.35">
      <c r="A570" s="709" t="str">
        <f>IF('Rozpad zakázky'!E586=0,"",IF('Rozpad zakázky'!E586="-","",'Rozpad zakázky'!E586))</f>
        <v/>
      </c>
      <c r="B570" s="708" t="str">
        <f>IF(A570="","",IF(A570="","",VLOOKUP(A:A,Pomocna_Nakup[],3,0))&amp;" | "&amp;IF(A570="","",VLOOKUP(A:A,Pomocna_Nakup[],4,0)))</f>
        <v/>
      </c>
      <c r="C570" s="710" t="str">
        <f>IF(Tabulka_nakup_Vonka[[#This Row],[Zkratka kalkulační položky]]="","",Tabulka_nakup_Vonka[[#This Row],[Zkratka kalkulační položky]]&amp;" | "&amp;IF(A570="","",VLOOKUP(A:A,Pomocna_Nakup[],2,0)))</f>
        <v/>
      </c>
      <c r="D570" s="710" t="str">
        <f>IF(A570="","",'Rozpad zakázky'!F586)</f>
        <v/>
      </c>
      <c r="E570" s="710" t="str">
        <f>IF(A570="","",'Rozpad zakázky'!D586&amp;IF('Rozpad zakázky'!G586="",""," ("&amp;'Rozpad zakázky'!G586&amp;")"))</f>
        <v/>
      </c>
      <c r="F570" s="709" t="str">
        <f>IF(A570="","",'Rozpad zakázky'!IW586)</f>
        <v/>
      </c>
      <c r="G570" s="711" t="str">
        <f>IF(A570="","",'Rozpad zakázky'!AE586)</f>
        <v/>
      </c>
      <c r="H570" s="717" t="str">
        <f>IF(A570="","",'Rozpad zakázky'!AJ586)</f>
        <v/>
      </c>
      <c r="I570" s="748" t="str">
        <f>IF(A570="","",'Rozpad zakázky'!Q586)</f>
        <v/>
      </c>
      <c r="J570" s="717" t="str">
        <f>IF(A570="","",ROUNDDOWN('Rozpad zakázky'!L586,1))</f>
        <v/>
      </c>
      <c r="K570" s="745" t="str">
        <f>IF(A570="","",Tabulka_nakup_Vonka[[#This Row],[Počet MJHR v rozpadu]]*Tabulka_nakup_Vonka[[#This Row],[Jedn. hmotnost '[kg/MJHR']]])</f>
        <v/>
      </c>
    </row>
    <row r="571" spans="1:11" x14ac:dyDescent="0.35">
      <c r="A571" s="709" t="str">
        <f>IF('Rozpad zakázky'!E587=0,"",IF('Rozpad zakázky'!E587="-","",'Rozpad zakázky'!E587))</f>
        <v/>
      </c>
      <c r="B571" s="708" t="str">
        <f>IF(A571="","",IF(A571="","",VLOOKUP(A:A,Pomocna_Nakup[],3,0))&amp;" | "&amp;IF(A571="","",VLOOKUP(A:A,Pomocna_Nakup[],4,0)))</f>
        <v/>
      </c>
      <c r="C571" s="710" t="str">
        <f>IF(Tabulka_nakup_Vonka[[#This Row],[Zkratka kalkulační položky]]="","",Tabulka_nakup_Vonka[[#This Row],[Zkratka kalkulační položky]]&amp;" | "&amp;IF(A571="","",VLOOKUP(A:A,Pomocna_Nakup[],2,0)))</f>
        <v/>
      </c>
      <c r="D571" s="710" t="str">
        <f>IF(A571="","",'Rozpad zakázky'!F587)</f>
        <v/>
      </c>
      <c r="E571" s="710" t="str">
        <f>IF(A571="","",'Rozpad zakázky'!D587&amp;IF('Rozpad zakázky'!G587="",""," ("&amp;'Rozpad zakázky'!G587&amp;")"))</f>
        <v/>
      </c>
      <c r="F571" s="709" t="str">
        <f>IF(A571="","",'Rozpad zakázky'!IW587)</f>
        <v/>
      </c>
      <c r="G571" s="711" t="str">
        <f>IF(A571="","",'Rozpad zakázky'!AE587)</f>
        <v/>
      </c>
      <c r="H571" s="717" t="str">
        <f>IF(A571="","",'Rozpad zakázky'!AJ587)</f>
        <v/>
      </c>
      <c r="I571" s="748" t="str">
        <f>IF(A571="","",'Rozpad zakázky'!Q587)</f>
        <v/>
      </c>
      <c r="J571" s="717" t="str">
        <f>IF(A571="","",ROUNDDOWN('Rozpad zakázky'!L587,1))</f>
        <v/>
      </c>
      <c r="K571" s="745" t="str">
        <f>IF(A571="","",Tabulka_nakup_Vonka[[#This Row],[Počet MJHR v rozpadu]]*Tabulka_nakup_Vonka[[#This Row],[Jedn. hmotnost '[kg/MJHR']]])</f>
        <v/>
      </c>
    </row>
    <row r="572" spans="1:11" x14ac:dyDescent="0.35">
      <c r="A572" s="709" t="str">
        <f>IF('Rozpad zakázky'!E588=0,"",IF('Rozpad zakázky'!E588="-","",'Rozpad zakázky'!E588))</f>
        <v/>
      </c>
      <c r="B572" s="708" t="str">
        <f>IF(A572="","",IF(A572="","",VLOOKUP(A:A,Pomocna_Nakup[],3,0))&amp;" | "&amp;IF(A572="","",VLOOKUP(A:A,Pomocna_Nakup[],4,0)))</f>
        <v/>
      </c>
      <c r="C572" s="710" t="str">
        <f>IF(Tabulka_nakup_Vonka[[#This Row],[Zkratka kalkulační položky]]="","",Tabulka_nakup_Vonka[[#This Row],[Zkratka kalkulační položky]]&amp;" | "&amp;IF(A572="","",VLOOKUP(A:A,Pomocna_Nakup[],2,0)))</f>
        <v/>
      </c>
      <c r="D572" s="710" t="str">
        <f>IF(A572="","",'Rozpad zakázky'!F588)</f>
        <v/>
      </c>
      <c r="E572" s="710" t="str">
        <f>IF(A572="","",'Rozpad zakázky'!D588&amp;IF('Rozpad zakázky'!G588="",""," ("&amp;'Rozpad zakázky'!G588&amp;")"))</f>
        <v/>
      </c>
      <c r="F572" s="709" t="str">
        <f>IF(A572="","",'Rozpad zakázky'!IW588)</f>
        <v/>
      </c>
      <c r="G572" s="711" t="str">
        <f>IF(A572="","",'Rozpad zakázky'!AE588)</f>
        <v/>
      </c>
      <c r="H572" s="717" t="str">
        <f>IF(A572="","",'Rozpad zakázky'!AJ588)</f>
        <v/>
      </c>
      <c r="I572" s="748" t="str">
        <f>IF(A572="","",'Rozpad zakázky'!Q588)</f>
        <v/>
      </c>
      <c r="J572" s="717" t="str">
        <f>IF(A572="","",ROUNDDOWN('Rozpad zakázky'!L588,1))</f>
        <v/>
      </c>
      <c r="K572" s="745" t="str">
        <f>IF(A572="","",Tabulka_nakup_Vonka[[#This Row],[Počet MJHR v rozpadu]]*Tabulka_nakup_Vonka[[#This Row],[Jedn. hmotnost '[kg/MJHR']]])</f>
        <v/>
      </c>
    </row>
    <row r="573" spans="1:11" x14ac:dyDescent="0.35">
      <c r="A573" s="709" t="str">
        <f>IF('Rozpad zakázky'!E589=0,"",IF('Rozpad zakázky'!E589="-","",'Rozpad zakázky'!E589))</f>
        <v/>
      </c>
      <c r="B573" s="708" t="str">
        <f>IF(A573="","",IF(A573="","",VLOOKUP(A:A,Pomocna_Nakup[],3,0))&amp;" | "&amp;IF(A573="","",VLOOKUP(A:A,Pomocna_Nakup[],4,0)))</f>
        <v/>
      </c>
      <c r="C573" s="710" t="str">
        <f>IF(Tabulka_nakup_Vonka[[#This Row],[Zkratka kalkulační položky]]="","",Tabulka_nakup_Vonka[[#This Row],[Zkratka kalkulační položky]]&amp;" | "&amp;IF(A573="","",VLOOKUP(A:A,Pomocna_Nakup[],2,0)))</f>
        <v/>
      </c>
      <c r="D573" s="710" t="str">
        <f>IF(A573="","",'Rozpad zakázky'!F589)</f>
        <v/>
      </c>
      <c r="E573" s="710" t="str">
        <f>IF(A573="","",'Rozpad zakázky'!D589&amp;IF('Rozpad zakázky'!G589="",""," ("&amp;'Rozpad zakázky'!G589&amp;")"))</f>
        <v/>
      </c>
      <c r="F573" s="709" t="str">
        <f>IF(A573="","",'Rozpad zakázky'!IW589)</f>
        <v/>
      </c>
      <c r="G573" s="711" t="str">
        <f>IF(A573="","",'Rozpad zakázky'!AE589)</f>
        <v/>
      </c>
      <c r="H573" s="717" t="str">
        <f>IF(A573="","",'Rozpad zakázky'!AJ589)</f>
        <v/>
      </c>
      <c r="I573" s="748" t="str">
        <f>IF(A573="","",'Rozpad zakázky'!Q589)</f>
        <v/>
      </c>
      <c r="J573" s="717" t="str">
        <f>IF(A573="","",ROUNDDOWN('Rozpad zakázky'!L589,1))</f>
        <v/>
      </c>
      <c r="K573" s="745" t="str">
        <f>IF(A573="","",Tabulka_nakup_Vonka[[#This Row],[Počet MJHR v rozpadu]]*Tabulka_nakup_Vonka[[#This Row],[Jedn. hmotnost '[kg/MJHR']]])</f>
        <v/>
      </c>
    </row>
    <row r="574" spans="1:11" x14ac:dyDescent="0.35">
      <c r="A574" s="709" t="str">
        <f>IF('Rozpad zakázky'!E590=0,"",IF('Rozpad zakázky'!E590="-","",'Rozpad zakázky'!E590))</f>
        <v/>
      </c>
      <c r="B574" s="708" t="str">
        <f>IF(A574="","",IF(A574="","",VLOOKUP(A:A,Pomocna_Nakup[],3,0))&amp;" | "&amp;IF(A574="","",VLOOKUP(A:A,Pomocna_Nakup[],4,0)))</f>
        <v/>
      </c>
      <c r="C574" s="710" t="str">
        <f>IF(Tabulka_nakup_Vonka[[#This Row],[Zkratka kalkulační položky]]="","",Tabulka_nakup_Vonka[[#This Row],[Zkratka kalkulační položky]]&amp;" | "&amp;IF(A574="","",VLOOKUP(A:A,Pomocna_Nakup[],2,0)))</f>
        <v/>
      </c>
      <c r="D574" s="710" t="str">
        <f>IF(A574="","",'Rozpad zakázky'!F590)</f>
        <v/>
      </c>
      <c r="E574" s="710" t="str">
        <f>IF(A574="","",'Rozpad zakázky'!D590&amp;IF('Rozpad zakázky'!G590="",""," ("&amp;'Rozpad zakázky'!G590&amp;")"))</f>
        <v/>
      </c>
      <c r="F574" s="709" t="str">
        <f>IF(A574="","",'Rozpad zakázky'!IW590)</f>
        <v/>
      </c>
      <c r="G574" s="711" t="str">
        <f>IF(A574="","",'Rozpad zakázky'!AE590)</f>
        <v/>
      </c>
      <c r="H574" s="717" t="str">
        <f>IF(A574="","",'Rozpad zakázky'!AJ590)</f>
        <v/>
      </c>
      <c r="I574" s="748" t="str">
        <f>IF(A574="","",'Rozpad zakázky'!Q590)</f>
        <v/>
      </c>
      <c r="J574" s="717" t="str">
        <f>IF(A574="","",ROUNDDOWN('Rozpad zakázky'!L590,1))</f>
        <v/>
      </c>
      <c r="K574" s="745" t="str">
        <f>IF(A574="","",Tabulka_nakup_Vonka[[#This Row],[Počet MJHR v rozpadu]]*Tabulka_nakup_Vonka[[#This Row],[Jedn. hmotnost '[kg/MJHR']]])</f>
        <v/>
      </c>
    </row>
    <row r="575" spans="1:11" x14ac:dyDescent="0.35">
      <c r="A575" s="709" t="str">
        <f>IF('Rozpad zakázky'!E591=0,"",IF('Rozpad zakázky'!E591="-","",'Rozpad zakázky'!E591))</f>
        <v/>
      </c>
      <c r="B575" s="708" t="str">
        <f>IF(A575="","",IF(A575="","",VLOOKUP(A:A,Pomocna_Nakup[],3,0))&amp;" | "&amp;IF(A575="","",VLOOKUP(A:A,Pomocna_Nakup[],4,0)))</f>
        <v/>
      </c>
      <c r="C575" s="710" t="str">
        <f>IF(Tabulka_nakup_Vonka[[#This Row],[Zkratka kalkulační položky]]="","",Tabulka_nakup_Vonka[[#This Row],[Zkratka kalkulační položky]]&amp;" | "&amp;IF(A575="","",VLOOKUP(A:A,Pomocna_Nakup[],2,0)))</f>
        <v/>
      </c>
      <c r="D575" s="710" t="str">
        <f>IF(A575="","",'Rozpad zakázky'!F591)</f>
        <v/>
      </c>
      <c r="E575" s="710" t="str">
        <f>IF(A575="","",'Rozpad zakázky'!D591&amp;IF('Rozpad zakázky'!G591="",""," ("&amp;'Rozpad zakázky'!G591&amp;")"))</f>
        <v/>
      </c>
      <c r="F575" s="709" t="str">
        <f>IF(A575="","",'Rozpad zakázky'!IW591)</f>
        <v/>
      </c>
      <c r="G575" s="711" t="str">
        <f>IF(A575="","",'Rozpad zakázky'!AE591)</f>
        <v/>
      </c>
      <c r="H575" s="717" t="str">
        <f>IF(A575="","",'Rozpad zakázky'!AJ591)</f>
        <v/>
      </c>
      <c r="I575" s="748" t="str">
        <f>IF(A575="","",'Rozpad zakázky'!Q591)</f>
        <v/>
      </c>
      <c r="J575" s="717" t="str">
        <f>IF(A575="","",ROUNDDOWN('Rozpad zakázky'!L591,1))</f>
        <v/>
      </c>
      <c r="K575" s="745" t="str">
        <f>IF(A575="","",Tabulka_nakup_Vonka[[#This Row],[Počet MJHR v rozpadu]]*Tabulka_nakup_Vonka[[#This Row],[Jedn. hmotnost '[kg/MJHR']]])</f>
        <v/>
      </c>
    </row>
    <row r="576" spans="1:11" x14ac:dyDescent="0.35">
      <c r="A576" s="709" t="str">
        <f>IF('Rozpad zakázky'!E592=0,"",IF('Rozpad zakázky'!E592="-","",'Rozpad zakázky'!E592))</f>
        <v/>
      </c>
      <c r="B576" s="708" t="str">
        <f>IF(A576="","",IF(A576="","",VLOOKUP(A:A,Pomocna_Nakup[],3,0))&amp;" | "&amp;IF(A576="","",VLOOKUP(A:A,Pomocna_Nakup[],4,0)))</f>
        <v/>
      </c>
      <c r="C576" s="710" t="str">
        <f>IF(Tabulka_nakup_Vonka[[#This Row],[Zkratka kalkulační položky]]="","",Tabulka_nakup_Vonka[[#This Row],[Zkratka kalkulační položky]]&amp;" | "&amp;IF(A576="","",VLOOKUP(A:A,Pomocna_Nakup[],2,0)))</f>
        <v/>
      </c>
      <c r="D576" s="710" t="str">
        <f>IF(A576="","",'Rozpad zakázky'!F592)</f>
        <v/>
      </c>
      <c r="E576" s="710" t="str">
        <f>IF(A576="","",'Rozpad zakázky'!D592&amp;IF('Rozpad zakázky'!G592="",""," ("&amp;'Rozpad zakázky'!G592&amp;")"))</f>
        <v/>
      </c>
      <c r="F576" s="709" t="str">
        <f>IF(A576="","",'Rozpad zakázky'!IW592)</f>
        <v/>
      </c>
      <c r="G576" s="711" t="str">
        <f>IF(A576="","",'Rozpad zakázky'!AE592)</f>
        <v/>
      </c>
      <c r="H576" s="717" t="str">
        <f>IF(A576="","",'Rozpad zakázky'!AJ592)</f>
        <v/>
      </c>
      <c r="I576" s="748" t="str">
        <f>IF(A576="","",'Rozpad zakázky'!Q592)</f>
        <v/>
      </c>
      <c r="J576" s="717" t="str">
        <f>IF(A576="","",ROUNDDOWN('Rozpad zakázky'!L592,1))</f>
        <v/>
      </c>
      <c r="K576" s="745" t="str">
        <f>IF(A576="","",Tabulka_nakup_Vonka[[#This Row],[Počet MJHR v rozpadu]]*Tabulka_nakup_Vonka[[#This Row],[Jedn. hmotnost '[kg/MJHR']]])</f>
        <v/>
      </c>
    </row>
    <row r="577" spans="1:11" x14ac:dyDescent="0.35">
      <c r="A577" s="709" t="str">
        <f>IF('Rozpad zakázky'!E593=0,"",IF('Rozpad zakázky'!E593="-","",'Rozpad zakázky'!E593))</f>
        <v/>
      </c>
      <c r="B577" s="708" t="str">
        <f>IF(A577="","",IF(A577="","",VLOOKUP(A:A,Pomocna_Nakup[],3,0))&amp;" | "&amp;IF(A577="","",VLOOKUP(A:A,Pomocna_Nakup[],4,0)))</f>
        <v/>
      </c>
      <c r="C577" s="710" t="str">
        <f>IF(Tabulka_nakup_Vonka[[#This Row],[Zkratka kalkulační položky]]="","",Tabulka_nakup_Vonka[[#This Row],[Zkratka kalkulační položky]]&amp;" | "&amp;IF(A577="","",VLOOKUP(A:A,Pomocna_Nakup[],2,0)))</f>
        <v/>
      </c>
      <c r="D577" s="710" t="str">
        <f>IF(A577="","",'Rozpad zakázky'!F593)</f>
        <v/>
      </c>
      <c r="E577" s="710" t="str">
        <f>IF(A577="","",'Rozpad zakázky'!D593&amp;IF('Rozpad zakázky'!G593="",""," ("&amp;'Rozpad zakázky'!G593&amp;")"))</f>
        <v/>
      </c>
      <c r="F577" s="709" t="str">
        <f>IF(A577="","",'Rozpad zakázky'!IW593)</f>
        <v/>
      </c>
      <c r="G577" s="711" t="str">
        <f>IF(A577="","",'Rozpad zakázky'!AE593)</f>
        <v/>
      </c>
      <c r="H577" s="717" t="str">
        <f>IF(A577="","",'Rozpad zakázky'!AJ593)</f>
        <v/>
      </c>
      <c r="I577" s="748" t="str">
        <f>IF(A577="","",'Rozpad zakázky'!Q593)</f>
        <v/>
      </c>
      <c r="J577" s="717" t="str">
        <f>IF(A577="","",ROUNDDOWN('Rozpad zakázky'!L593,1))</f>
        <v/>
      </c>
      <c r="K577" s="745" t="str">
        <f>IF(A577="","",Tabulka_nakup_Vonka[[#This Row],[Počet MJHR v rozpadu]]*Tabulka_nakup_Vonka[[#This Row],[Jedn. hmotnost '[kg/MJHR']]])</f>
        <v/>
      </c>
    </row>
    <row r="578" spans="1:11" x14ac:dyDescent="0.35">
      <c r="A578" s="709" t="str">
        <f>IF('Rozpad zakázky'!E594=0,"",IF('Rozpad zakázky'!E594="-","",'Rozpad zakázky'!E594))</f>
        <v/>
      </c>
      <c r="B578" s="708" t="str">
        <f>IF(A578="","",IF(A578="","",VLOOKUP(A:A,Pomocna_Nakup[],3,0))&amp;" | "&amp;IF(A578="","",VLOOKUP(A:A,Pomocna_Nakup[],4,0)))</f>
        <v/>
      </c>
      <c r="C578" s="710" t="str">
        <f>IF(Tabulka_nakup_Vonka[[#This Row],[Zkratka kalkulační položky]]="","",Tabulka_nakup_Vonka[[#This Row],[Zkratka kalkulační položky]]&amp;" | "&amp;IF(A578="","",VLOOKUP(A:A,Pomocna_Nakup[],2,0)))</f>
        <v/>
      </c>
      <c r="D578" s="710" t="str">
        <f>IF(A578="","",'Rozpad zakázky'!F594)</f>
        <v/>
      </c>
      <c r="E578" s="710" t="str">
        <f>IF(A578="","",'Rozpad zakázky'!D594&amp;IF('Rozpad zakázky'!G594="",""," ("&amp;'Rozpad zakázky'!G594&amp;")"))</f>
        <v/>
      </c>
      <c r="F578" s="709" t="str">
        <f>IF(A578="","",'Rozpad zakázky'!IW594)</f>
        <v/>
      </c>
      <c r="G578" s="711" t="str">
        <f>IF(A578="","",'Rozpad zakázky'!AE594)</f>
        <v/>
      </c>
      <c r="H578" s="717" t="str">
        <f>IF(A578="","",'Rozpad zakázky'!AJ594)</f>
        <v/>
      </c>
      <c r="I578" s="748" t="str">
        <f>IF(A578="","",'Rozpad zakázky'!Q594)</f>
        <v/>
      </c>
      <c r="J578" s="717" t="str">
        <f>IF(A578="","",ROUNDDOWN('Rozpad zakázky'!L594,1))</f>
        <v/>
      </c>
      <c r="K578" s="745" t="str">
        <f>IF(A578="","",Tabulka_nakup_Vonka[[#This Row],[Počet MJHR v rozpadu]]*Tabulka_nakup_Vonka[[#This Row],[Jedn. hmotnost '[kg/MJHR']]])</f>
        <v/>
      </c>
    </row>
    <row r="579" spans="1:11" x14ac:dyDescent="0.35">
      <c r="A579" s="709" t="str">
        <f>IF('Rozpad zakázky'!E595=0,"",IF('Rozpad zakázky'!E595="-","",'Rozpad zakázky'!E595))</f>
        <v/>
      </c>
      <c r="B579" s="708" t="str">
        <f>IF(A579="","",IF(A579="","",VLOOKUP(A:A,Pomocna_Nakup[],3,0))&amp;" | "&amp;IF(A579="","",VLOOKUP(A:A,Pomocna_Nakup[],4,0)))</f>
        <v/>
      </c>
      <c r="C579" s="710" t="str">
        <f>IF(Tabulka_nakup_Vonka[[#This Row],[Zkratka kalkulační položky]]="","",Tabulka_nakup_Vonka[[#This Row],[Zkratka kalkulační položky]]&amp;" | "&amp;IF(A579="","",VLOOKUP(A:A,Pomocna_Nakup[],2,0)))</f>
        <v/>
      </c>
      <c r="D579" s="710" t="str">
        <f>IF(A579="","",'Rozpad zakázky'!F595)</f>
        <v/>
      </c>
      <c r="E579" s="710" t="str">
        <f>IF(A579="","",'Rozpad zakázky'!D595&amp;IF('Rozpad zakázky'!G595="",""," ("&amp;'Rozpad zakázky'!G595&amp;")"))</f>
        <v/>
      </c>
      <c r="F579" s="709" t="str">
        <f>IF(A579="","",'Rozpad zakázky'!IW595)</f>
        <v/>
      </c>
      <c r="G579" s="711" t="str">
        <f>IF(A579="","",'Rozpad zakázky'!AE595)</f>
        <v/>
      </c>
      <c r="H579" s="717" t="str">
        <f>IF(A579="","",'Rozpad zakázky'!AJ595)</f>
        <v/>
      </c>
      <c r="I579" s="748" t="str">
        <f>IF(A579="","",'Rozpad zakázky'!Q595)</f>
        <v/>
      </c>
      <c r="J579" s="717" t="str">
        <f>IF(A579="","",ROUNDDOWN('Rozpad zakázky'!L595,1))</f>
        <v/>
      </c>
      <c r="K579" s="745" t="str">
        <f>IF(A579="","",Tabulka_nakup_Vonka[[#This Row],[Počet MJHR v rozpadu]]*Tabulka_nakup_Vonka[[#This Row],[Jedn. hmotnost '[kg/MJHR']]])</f>
        <v/>
      </c>
    </row>
    <row r="580" spans="1:11" x14ac:dyDescent="0.35">
      <c r="A580" s="709" t="str">
        <f>IF('Rozpad zakázky'!E596=0,"",IF('Rozpad zakázky'!E596="-","",'Rozpad zakázky'!E596))</f>
        <v/>
      </c>
      <c r="B580" s="708" t="str">
        <f>IF(A580="","",IF(A580="","",VLOOKUP(A:A,Pomocna_Nakup[],3,0))&amp;" | "&amp;IF(A580="","",VLOOKUP(A:A,Pomocna_Nakup[],4,0)))</f>
        <v/>
      </c>
      <c r="C580" s="710" t="str">
        <f>IF(Tabulka_nakup_Vonka[[#This Row],[Zkratka kalkulační položky]]="","",Tabulka_nakup_Vonka[[#This Row],[Zkratka kalkulační položky]]&amp;" | "&amp;IF(A580="","",VLOOKUP(A:A,Pomocna_Nakup[],2,0)))</f>
        <v/>
      </c>
      <c r="D580" s="710" t="str">
        <f>IF(A580="","",'Rozpad zakázky'!F596)</f>
        <v/>
      </c>
      <c r="E580" s="710" t="str">
        <f>IF(A580="","",'Rozpad zakázky'!D596&amp;IF('Rozpad zakázky'!G596="",""," ("&amp;'Rozpad zakázky'!G596&amp;")"))</f>
        <v/>
      </c>
      <c r="F580" s="709" t="str">
        <f>IF(A580="","",'Rozpad zakázky'!IW596)</f>
        <v/>
      </c>
      <c r="G580" s="711" t="str">
        <f>IF(A580="","",'Rozpad zakázky'!AE596)</f>
        <v/>
      </c>
      <c r="H580" s="717" t="str">
        <f>IF(A580="","",'Rozpad zakázky'!AJ596)</f>
        <v/>
      </c>
      <c r="I580" s="748" t="str">
        <f>IF(A580="","",'Rozpad zakázky'!Q596)</f>
        <v/>
      </c>
      <c r="J580" s="717" t="str">
        <f>IF(A580="","",ROUNDDOWN('Rozpad zakázky'!L596,1))</f>
        <v/>
      </c>
      <c r="K580" s="745" t="str">
        <f>IF(A580="","",Tabulka_nakup_Vonka[[#This Row],[Počet MJHR v rozpadu]]*Tabulka_nakup_Vonka[[#This Row],[Jedn. hmotnost '[kg/MJHR']]])</f>
        <v/>
      </c>
    </row>
    <row r="581" spans="1:11" x14ac:dyDescent="0.35">
      <c r="A581" s="709" t="str">
        <f>IF('Rozpad zakázky'!E597=0,"",IF('Rozpad zakázky'!E597="-","",'Rozpad zakázky'!E597))</f>
        <v/>
      </c>
      <c r="B581" s="708" t="str">
        <f>IF(A581="","",IF(A581="","",VLOOKUP(A:A,Pomocna_Nakup[],3,0))&amp;" | "&amp;IF(A581="","",VLOOKUP(A:A,Pomocna_Nakup[],4,0)))</f>
        <v/>
      </c>
      <c r="C581" s="710" t="str">
        <f>IF(Tabulka_nakup_Vonka[[#This Row],[Zkratka kalkulační položky]]="","",Tabulka_nakup_Vonka[[#This Row],[Zkratka kalkulační položky]]&amp;" | "&amp;IF(A581="","",VLOOKUP(A:A,Pomocna_Nakup[],2,0)))</f>
        <v/>
      </c>
      <c r="D581" s="710" t="str">
        <f>IF(A581="","",'Rozpad zakázky'!F597)</f>
        <v/>
      </c>
      <c r="E581" s="710" t="str">
        <f>IF(A581="","",'Rozpad zakázky'!D597&amp;IF('Rozpad zakázky'!G597="",""," ("&amp;'Rozpad zakázky'!G597&amp;")"))</f>
        <v/>
      </c>
      <c r="F581" s="709" t="str">
        <f>IF(A581="","",'Rozpad zakázky'!IW597)</f>
        <v/>
      </c>
      <c r="G581" s="711" t="str">
        <f>IF(A581="","",'Rozpad zakázky'!AE597)</f>
        <v/>
      </c>
      <c r="H581" s="717" t="str">
        <f>IF(A581="","",'Rozpad zakázky'!AJ597)</f>
        <v/>
      </c>
      <c r="I581" s="748" t="str">
        <f>IF(A581="","",'Rozpad zakázky'!Q597)</f>
        <v/>
      </c>
      <c r="J581" s="717" t="str">
        <f>IF(A581="","",ROUNDDOWN('Rozpad zakázky'!L597,1))</f>
        <v/>
      </c>
      <c r="K581" s="745" t="str">
        <f>IF(A581="","",Tabulka_nakup_Vonka[[#This Row],[Počet MJHR v rozpadu]]*Tabulka_nakup_Vonka[[#This Row],[Jedn. hmotnost '[kg/MJHR']]])</f>
        <v/>
      </c>
    </row>
    <row r="582" spans="1:11" x14ac:dyDescent="0.35">
      <c r="A582" s="709" t="str">
        <f>IF('Rozpad zakázky'!E598=0,"",IF('Rozpad zakázky'!E598="-","",'Rozpad zakázky'!E598))</f>
        <v/>
      </c>
      <c r="B582" s="708" t="str">
        <f>IF(A582="","",IF(A582="","",VLOOKUP(A:A,Pomocna_Nakup[],3,0))&amp;" | "&amp;IF(A582="","",VLOOKUP(A:A,Pomocna_Nakup[],4,0)))</f>
        <v/>
      </c>
      <c r="C582" s="710" t="str">
        <f>IF(Tabulka_nakup_Vonka[[#This Row],[Zkratka kalkulační položky]]="","",Tabulka_nakup_Vonka[[#This Row],[Zkratka kalkulační položky]]&amp;" | "&amp;IF(A582="","",VLOOKUP(A:A,Pomocna_Nakup[],2,0)))</f>
        <v/>
      </c>
      <c r="D582" s="710" t="str">
        <f>IF(A582="","",'Rozpad zakázky'!F598)</f>
        <v/>
      </c>
      <c r="E582" s="710" t="str">
        <f>IF(A582="","",'Rozpad zakázky'!D598&amp;IF('Rozpad zakázky'!G598="",""," ("&amp;'Rozpad zakázky'!G598&amp;")"))</f>
        <v/>
      </c>
      <c r="F582" s="709" t="str">
        <f>IF(A582="","",'Rozpad zakázky'!IW598)</f>
        <v/>
      </c>
      <c r="G582" s="711" t="str">
        <f>IF(A582="","",'Rozpad zakázky'!AE598)</f>
        <v/>
      </c>
      <c r="H582" s="717" t="str">
        <f>IF(A582="","",'Rozpad zakázky'!AJ598)</f>
        <v/>
      </c>
      <c r="I582" s="748" t="str">
        <f>IF(A582="","",'Rozpad zakázky'!Q598)</f>
        <v/>
      </c>
      <c r="J582" s="717" t="str">
        <f>IF(A582="","",ROUNDDOWN('Rozpad zakázky'!L598,1))</f>
        <v/>
      </c>
      <c r="K582" s="745" t="str">
        <f>IF(A582="","",Tabulka_nakup_Vonka[[#This Row],[Počet MJHR v rozpadu]]*Tabulka_nakup_Vonka[[#This Row],[Jedn. hmotnost '[kg/MJHR']]])</f>
        <v/>
      </c>
    </row>
    <row r="583" spans="1:11" x14ac:dyDescent="0.35">
      <c r="A583" s="709" t="str">
        <f>IF('Rozpad zakázky'!E599=0,"",IF('Rozpad zakázky'!E599="-","",'Rozpad zakázky'!E599))</f>
        <v/>
      </c>
      <c r="B583" s="708" t="str">
        <f>IF(A583="","",IF(A583="","",VLOOKUP(A:A,Pomocna_Nakup[],3,0))&amp;" | "&amp;IF(A583="","",VLOOKUP(A:A,Pomocna_Nakup[],4,0)))</f>
        <v/>
      </c>
      <c r="C583" s="710" t="str">
        <f>IF(Tabulka_nakup_Vonka[[#This Row],[Zkratka kalkulační položky]]="","",Tabulka_nakup_Vonka[[#This Row],[Zkratka kalkulační položky]]&amp;" | "&amp;IF(A583="","",VLOOKUP(A:A,Pomocna_Nakup[],2,0)))</f>
        <v/>
      </c>
      <c r="D583" s="710" t="str">
        <f>IF(A583="","",'Rozpad zakázky'!F599)</f>
        <v/>
      </c>
      <c r="E583" s="710" t="str">
        <f>IF(A583="","",'Rozpad zakázky'!D599&amp;IF('Rozpad zakázky'!G599="",""," ("&amp;'Rozpad zakázky'!G599&amp;")"))</f>
        <v/>
      </c>
      <c r="F583" s="709" t="str">
        <f>IF(A583="","",'Rozpad zakázky'!IW599)</f>
        <v/>
      </c>
      <c r="G583" s="711" t="str">
        <f>IF(A583="","",'Rozpad zakázky'!AE599)</f>
        <v/>
      </c>
      <c r="H583" s="717" t="str">
        <f>IF(A583="","",'Rozpad zakázky'!AJ599)</f>
        <v/>
      </c>
      <c r="I583" s="748" t="str">
        <f>IF(A583="","",'Rozpad zakázky'!Q599)</f>
        <v/>
      </c>
      <c r="J583" s="717" t="str">
        <f>IF(A583="","",ROUNDDOWN('Rozpad zakázky'!L599,1))</f>
        <v/>
      </c>
      <c r="K583" s="745" t="str">
        <f>IF(A583="","",Tabulka_nakup_Vonka[[#This Row],[Počet MJHR v rozpadu]]*Tabulka_nakup_Vonka[[#This Row],[Jedn. hmotnost '[kg/MJHR']]])</f>
        <v/>
      </c>
    </row>
    <row r="584" spans="1:11" x14ac:dyDescent="0.35">
      <c r="A584" s="709" t="str">
        <f>IF('Rozpad zakázky'!E600=0,"",IF('Rozpad zakázky'!E600="-","",'Rozpad zakázky'!E600))</f>
        <v/>
      </c>
      <c r="B584" s="708" t="str">
        <f>IF(A584="","",IF(A584="","",VLOOKUP(A:A,Pomocna_Nakup[],3,0))&amp;" | "&amp;IF(A584="","",VLOOKUP(A:A,Pomocna_Nakup[],4,0)))</f>
        <v/>
      </c>
      <c r="C584" s="710" t="str">
        <f>IF(Tabulka_nakup_Vonka[[#This Row],[Zkratka kalkulační položky]]="","",Tabulka_nakup_Vonka[[#This Row],[Zkratka kalkulační položky]]&amp;" | "&amp;IF(A584="","",VLOOKUP(A:A,Pomocna_Nakup[],2,0)))</f>
        <v/>
      </c>
      <c r="D584" s="710" t="str">
        <f>IF(A584="","",'Rozpad zakázky'!F600)</f>
        <v/>
      </c>
      <c r="E584" s="710" t="str">
        <f>IF(A584="","",'Rozpad zakázky'!D600&amp;IF('Rozpad zakázky'!G600="",""," ("&amp;'Rozpad zakázky'!G600&amp;")"))</f>
        <v/>
      </c>
      <c r="F584" s="709" t="str">
        <f>IF(A584="","",'Rozpad zakázky'!IW600)</f>
        <v/>
      </c>
      <c r="G584" s="711" t="str">
        <f>IF(A584="","",'Rozpad zakázky'!AE600)</f>
        <v/>
      </c>
      <c r="H584" s="717" t="str">
        <f>IF(A584="","",'Rozpad zakázky'!AJ600)</f>
        <v/>
      </c>
      <c r="I584" s="748" t="str">
        <f>IF(A584="","",'Rozpad zakázky'!Q600)</f>
        <v/>
      </c>
      <c r="J584" s="717" t="str">
        <f>IF(A584="","",ROUNDDOWN('Rozpad zakázky'!L600,1))</f>
        <v/>
      </c>
      <c r="K584" s="745" t="str">
        <f>IF(A584="","",Tabulka_nakup_Vonka[[#This Row],[Počet MJHR v rozpadu]]*Tabulka_nakup_Vonka[[#This Row],[Jedn. hmotnost '[kg/MJHR']]])</f>
        <v/>
      </c>
    </row>
    <row r="585" spans="1:11" x14ac:dyDescent="0.35">
      <c r="A585" s="709" t="str">
        <f>IF('Rozpad zakázky'!E601=0,"",IF('Rozpad zakázky'!E601="-","",'Rozpad zakázky'!E601))</f>
        <v/>
      </c>
      <c r="B585" s="708" t="str">
        <f>IF(A585="","",IF(A585="","",VLOOKUP(A:A,Pomocna_Nakup[],3,0))&amp;" | "&amp;IF(A585="","",VLOOKUP(A:A,Pomocna_Nakup[],4,0)))</f>
        <v/>
      </c>
      <c r="C585" s="710" t="str">
        <f>IF(Tabulka_nakup_Vonka[[#This Row],[Zkratka kalkulační položky]]="","",Tabulka_nakup_Vonka[[#This Row],[Zkratka kalkulační položky]]&amp;" | "&amp;IF(A585="","",VLOOKUP(A:A,Pomocna_Nakup[],2,0)))</f>
        <v/>
      </c>
      <c r="D585" s="710" t="str">
        <f>IF(A585="","",'Rozpad zakázky'!F601)</f>
        <v/>
      </c>
      <c r="E585" s="710" t="str">
        <f>IF(A585="","",'Rozpad zakázky'!D601&amp;IF('Rozpad zakázky'!G601="",""," ("&amp;'Rozpad zakázky'!G601&amp;")"))</f>
        <v/>
      </c>
      <c r="F585" s="709" t="str">
        <f>IF(A585="","",'Rozpad zakázky'!IW601)</f>
        <v/>
      </c>
      <c r="G585" s="711" t="str">
        <f>IF(A585="","",'Rozpad zakázky'!AE601)</f>
        <v/>
      </c>
      <c r="H585" s="717" t="str">
        <f>IF(A585="","",'Rozpad zakázky'!AJ601)</f>
        <v/>
      </c>
      <c r="I585" s="748" t="str">
        <f>IF(A585="","",'Rozpad zakázky'!Q601)</f>
        <v/>
      </c>
      <c r="J585" s="717" t="str">
        <f>IF(A585="","",ROUNDDOWN('Rozpad zakázky'!L601,1))</f>
        <v/>
      </c>
      <c r="K585" s="745" t="str">
        <f>IF(A585="","",Tabulka_nakup_Vonka[[#This Row],[Počet MJHR v rozpadu]]*Tabulka_nakup_Vonka[[#This Row],[Jedn. hmotnost '[kg/MJHR']]])</f>
        <v/>
      </c>
    </row>
    <row r="586" spans="1:11" x14ac:dyDescent="0.35">
      <c r="A586" s="709" t="str">
        <f>IF('Rozpad zakázky'!E602=0,"",IF('Rozpad zakázky'!E602="-","",'Rozpad zakázky'!E602))</f>
        <v/>
      </c>
      <c r="B586" s="708" t="str">
        <f>IF(A586="","",IF(A586="","",VLOOKUP(A:A,Pomocna_Nakup[],3,0))&amp;" | "&amp;IF(A586="","",VLOOKUP(A:A,Pomocna_Nakup[],4,0)))</f>
        <v/>
      </c>
      <c r="C586" s="710" t="str">
        <f>IF(Tabulka_nakup_Vonka[[#This Row],[Zkratka kalkulační položky]]="","",Tabulka_nakup_Vonka[[#This Row],[Zkratka kalkulační položky]]&amp;" | "&amp;IF(A586="","",VLOOKUP(A:A,Pomocna_Nakup[],2,0)))</f>
        <v/>
      </c>
      <c r="D586" s="710" t="str">
        <f>IF(A586="","",'Rozpad zakázky'!F602)</f>
        <v/>
      </c>
      <c r="E586" s="710" t="str">
        <f>IF(A586="","",'Rozpad zakázky'!D602&amp;IF('Rozpad zakázky'!G602="",""," ("&amp;'Rozpad zakázky'!G602&amp;")"))</f>
        <v/>
      </c>
      <c r="F586" s="709" t="str">
        <f>IF(A586="","",'Rozpad zakázky'!IW602)</f>
        <v/>
      </c>
      <c r="G586" s="711" t="str">
        <f>IF(A586="","",'Rozpad zakázky'!AE602)</f>
        <v/>
      </c>
      <c r="H586" s="717" t="str">
        <f>IF(A586="","",'Rozpad zakázky'!AJ602)</f>
        <v/>
      </c>
      <c r="I586" s="748" t="str">
        <f>IF(A586="","",'Rozpad zakázky'!Q602)</f>
        <v/>
      </c>
      <c r="J586" s="717" t="str">
        <f>IF(A586="","",ROUNDDOWN('Rozpad zakázky'!L602,1))</f>
        <v/>
      </c>
      <c r="K586" s="745" t="str">
        <f>IF(A586="","",Tabulka_nakup_Vonka[[#This Row],[Počet MJHR v rozpadu]]*Tabulka_nakup_Vonka[[#This Row],[Jedn. hmotnost '[kg/MJHR']]])</f>
        <v/>
      </c>
    </row>
    <row r="587" spans="1:11" x14ac:dyDescent="0.35">
      <c r="A587" s="709" t="str">
        <f>IF('Rozpad zakázky'!E603=0,"",IF('Rozpad zakázky'!E603="-","",'Rozpad zakázky'!E603))</f>
        <v/>
      </c>
      <c r="B587" s="708" t="str">
        <f>IF(A587="","",IF(A587="","",VLOOKUP(A:A,Pomocna_Nakup[],3,0))&amp;" | "&amp;IF(A587="","",VLOOKUP(A:A,Pomocna_Nakup[],4,0)))</f>
        <v/>
      </c>
      <c r="C587" s="710" t="str">
        <f>IF(Tabulka_nakup_Vonka[[#This Row],[Zkratka kalkulační položky]]="","",Tabulka_nakup_Vonka[[#This Row],[Zkratka kalkulační položky]]&amp;" | "&amp;IF(A587="","",VLOOKUP(A:A,Pomocna_Nakup[],2,0)))</f>
        <v/>
      </c>
      <c r="D587" s="710" t="str">
        <f>IF(A587="","",'Rozpad zakázky'!F603)</f>
        <v/>
      </c>
      <c r="E587" s="710" t="str">
        <f>IF(A587="","",'Rozpad zakázky'!D603&amp;IF('Rozpad zakázky'!G603="",""," ("&amp;'Rozpad zakázky'!G603&amp;")"))</f>
        <v/>
      </c>
      <c r="F587" s="709" t="str">
        <f>IF(A587="","",'Rozpad zakázky'!IW603)</f>
        <v/>
      </c>
      <c r="G587" s="711" t="str">
        <f>IF(A587="","",'Rozpad zakázky'!AE603)</f>
        <v/>
      </c>
      <c r="H587" s="717" t="str">
        <f>IF(A587="","",'Rozpad zakázky'!AJ603)</f>
        <v/>
      </c>
      <c r="I587" s="748" t="str">
        <f>IF(A587="","",'Rozpad zakázky'!Q603)</f>
        <v/>
      </c>
      <c r="J587" s="717" t="str">
        <f>IF(A587="","",ROUNDDOWN('Rozpad zakázky'!L603,1))</f>
        <v/>
      </c>
      <c r="K587" s="745" t="str">
        <f>IF(A587="","",Tabulka_nakup_Vonka[[#This Row],[Počet MJHR v rozpadu]]*Tabulka_nakup_Vonka[[#This Row],[Jedn. hmotnost '[kg/MJHR']]])</f>
        <v/>
      </c>
    </row>
    <row r="588" spans="1:11" x14ac:dyDescent="0.35">
      <c r="A588" s="709" t="str">
        <f>IF('Rozpad zakázky'!E604=0,"",IF('Rozpad zakázky'!E604="-","",'Rozpad zakázky'!E604))</f>
        <v/>
      </c>
      <c r="B588" s="708" t="str">
        <f>IF(A588="","",IF(A588="","",VLOOKUP(A:A,Pomocna_Nakup[],3,0))&amp;" | "&amp;IF(A588="","",VLOOKUP(A:A,Pomocna_Nakup[],4,0)))</f>
        <v/>
      </c>
      <c r="C588" s="710" t="str">
        <f>IF(Tabulka_nakup_Vonka[[#This Row],[Zkratka kalkulační položky]]="","",Tabulka_nakup_Vonka[[#This Row],[Zkratka kalkulační položky]]&amp;" | "&amp;IF(A588="","",VLOOKUP(A:A,Pomocna_Nakup[],2,0)))</f>
        <v/>
      </c>
      <c r="D588" s="710" t="str">
        <f>IF(A588="","",'Rozpad zakázky'!F604)</f>
        <v/>
      </c>
      <c r="E588" s="710" t="str">
        <f>IF(A588="","",'Rozpad zakázky'!D604&amp;IF('Rozpad zakázky'!G604="",""," ("&amp;'Rozpad zakázky'!G604&amp;")"))</f>
        <v/>
      </c>
      <c r="F588" s="709" t="str">
        <f>IF(A588="","",'Rozpad zakázky'!IW604)</f>
        <v/>
      </c>
      <c r="G588" s="711" t="str">
        <f>IF(A588="","",'Rozpad zakázky'!AE604)</f>
        <v/>
      </c>
      <c r="H588" s="717" t="str">
        <f>IF(A588="","",'Rozpad zakázky'!AJ604)</f>
        <v/>
      </c>
      <c r="I588" s="748" t="str">
        <f>IF(A588="","",'Rozpad zakázky'!Q604)</f>
        <v/>
      </c>
      <c r="J588" s="717" t="str">
        <f>IF(A588="","",ROUNDDOWN('Rozpad zakázky'!L604,1))</f>
        <v/>
      </c>
      <c r="K588" s="745" t="str">
        <f>IF(A588="","",Tabulka_nakup_Vonka[[#This Row],[Počet MJHR v rozpadu]]*Tabulka_nakup_Vonka[[#This Row],[Jedn. hmotnost '[kg/MJHR']]])</f>
        <v/>
      </c>
    </row>
    <row r="589" spans="1:11" x14ac:dyDescent="0.35">
      <c r="A589" s="709" t="str">
        <f>IF('Rozpad zakázky'!E605=0,"",IF('Rozpad zakázky'!E605="-","",'Rozpad zakázky'!E605))</f>
        <v/>
      </c>
      <c r="B589" s="708" t="str">
        <f>IF(A589="","",IF(A589="","",VLOOKUP(A:A,Pomocna_Nakup[],3,0))&amp;" | "&amp;IF(A589="","",VLOOKUP(A:A,Pomocna_Nakup[],4,0)))</f>
        <v/>
      </c>
      <c r="C589" s="710" t="str">
        <f>IF(Tabulka_nakup_Vonka[[#This Row],[Zkratka kalkulační položky]]="","",Tabulka_nakup_Vonka[[#This Row],[Zkratka kalkulační položky]]&amp;" | "&amp;IF(A589="","",VLOOKUP(A:A,Pomocna_Nakup[],2,0)))</f>
        <v/>
      </c>
      <c r="D589" s="710" t="str">
        <f>IF(A589="","",'Rozpad zakázky'!F605)</f>
        <v/>
      </c>
      <c r="E589" s="710" t="str">
        <f>IF(A589="","",'Rozpad zakázky'!D605&amp;IF('Rozpad zakázky'!G605="",""," ("&amp;'Rozpad zakázky'!G605&amp;")"))</f>
        <v/>
      </c>
      <c r="F589" s="709" t="str">
        <f>IF(A589="","",'Rozpad zakázky'!IW605)</f>
        <v/>
      </c>
      <c r="G589" s="711" t="str">
        <f>IF(A589="","",'Rozpad zakázky'!AE605)</f>
        <v/>
      </c>
      <c r="H589" s="717" t="str">
        <f>IF(A589="","",'Rozpad zakázky'!AJ605)</f>
        <v/>
      </c>
      <c r="I589" s="748" t="str">
        <f>IF(A589="","",'Rozpad zakázky'!Q605)</f>
        <v/>
      </c>
      <c r="J589" s="717" t="str">
        <f>IF(A589="","",ROUNDDOWN('Rozpad zakázky'!L605,1))</f>
        <v/>
      </c>
      <c r="K589" s="745" t="str">
        <f>IF(A589="","",Tabulka_nakup_Vonka[[#This Row],[Počet MJHR v rozpadu]]*Tabulka_nakup_Vonka[[#This Row],[Jedn. hmotnost '[kg/MJHR']]])</f>
        <v/>
      </c>
    </row>
    <row r="590" spans="1:11" x14ac:dyDescent="0.35">
      <c r="A590" s="709" t="str">
        <f>IF('Rozpad zakázky'!E606=0,"",IF('Rozpad zakázky'!E606="-","",'Rozpad zakázky'!E606))</f>
        <v/>
      </c>
      <c r="B590" s="708" t="str">
        <f>IF(A590="","",IF(A590="","",VLOOKUP(A:A,Pomocna_Nakup[],3,0))&amp;" | "&amp;IF(A590="","",VLOOKUP(A:A,Pomocna_Nakup[],4,0)))</f>
        <v/>
      </c>
      <c r="C590" s="710" t="str">
        <f>IF(Tabulka_nakup_Vonka[[#This Row],[Zkratka kalkulační položky]]="","",Tabulka_nakup_Vonka[[#This Row],[Zkratka kalkulační položky]]&amp;" | "&amp;IF(A590="","",VLOOKUP(A:A,Pomocna_Nakup[],2,0)))</f>
        <v/>
      </c>
      <c r="D590" s="710" t="str">
        <f>IF(A590="","",'Rozpad zakázky'!F606)</f>
        <v/>
      </c>
      <c r="E590" s="710" t="str">
        <f>IF(A590="","",'Rozpad zakázky'!D606&amp;IF('Rozpad zakázky'!G606="",""," ("&amp;'Rozpad zakázky'!G606&amp;")"))</f>
        <v/>
      </c>
      <c r="F590" s="709" t="str">
        <f>IF(A590="","",'Rozpad zakázky'!IW606)</f>
        <v/>
      </c>
      <c r="G590" s="711" t="str">
        <f>IF(A590="","",'Rozpad zakázky'!AE606)</f>
        <v/>
      </c>
      <c r="H590" s="717" t="str">
        <f>IF(A590="","",'Rozpad zakázky'!AJ606)</f>
        <v/>
      </c>
      <c r="I590" s="748" t="str">
        <f>IF(A590="","",'Rozpad zakázky'!Q606)</f>
        <v/>
      </c>
      <c r="J590" s="717" t="str">
        <f>IF(A590="","",ROUNDDOWN('Rozpad zakázky'!L606,1))</f>
        <v/>
      </c>
      <c r="K590" s="745" t="str">
        <f>IF(A590="","",Tabulka_nakup_Vonka[[#This Row],[Počet MJHR v rozpadu]]*Tabulka_nakup_Vonka[[#This Row],[Jedn. hmotnost '[kg/MJHR']]])</f>
        <v/>
      </c>
    </row>
    <row r="591" spans="1:11" x14ac:dyDescent="0.35">
      <c r="A591" s="709" t="str">
        <f>IF('Rozpad zakázky'!E607=0,"",IF('Rozpad zakázky'!E607="-","",'Rozpad zakázky'!E607))</f>
        <v/>
      </c>
      <c r="B591" s="708" t="str">
        <f>IF(A591="","",IF(A591="","",VLOOKUP(A:A,Pomocna_Nakup[],3,0))&amp;" | "&amp;IF(A591="","",VLOOKUP(A:A,Pomocna_Nakup[],4,0)))</f>
        <v/>
      </c>
      <c r="C591" s="710" t="str">
        <f>IF(Tabulka_nakup_Vonka[[#This Row],[Zkratka kalkulační položky]]="","",Tabulka_nakup_Vonka[[#This Row],[Zkratka kalkulační položky]]&amp;" | "&amp;IF(A591="","",VLOOKUP(A:A,Pomocna_Nakup[],2,0)))</f>
        <v/>
      </c>
      <c r="D591" s="710" t="str">
        <f>IF(A591="","",'Rozpad zakázky'!F607)</f>
        <v/>
      </c>
      <c r="E591" s="710" t="str">
        <f>IF(A591="","",'Rozpad zakázky'!D607&amp;IF('Rozpad zakázky'!G607="",""," ("&amp;'Rozpad zakázky'!G607&amp;")"))</f>
        <v/>
      </c>
      <c r="F591" s="709" t="str">
        <f>IF(A591="","",'Rozpad zakázky'!IW607)</f>
        <v/>
      </c>
      <c r="G591" s="711" t="str">
        <f>IF(A591="","",'Rozpad zakázky'!AE607)</f>
        <v/>
      </c>
      <c r="H591" s="717" t="str">
        <f>IF(A591="","",'Rozpad zakázky'!AJ607)</f>
        <v/>
      </c>
      <c r="I591" s="748" t="str">
        <f>IF(A591="","",'Rozpad zakázky'!Q607)</f>
        <v/>
      </c>
      <c r="J591" s="717" t="str">
        <f>IF(A591="","",ROUNDDOWN('Rozpad zakázky'!L607,1))</f>
        <v/>
      </c>
      <c r="K591" s="745" t="str">
        <f>IF(A591="","",Tabulka_nakup_Vonka[[#This Row],[Počet MJHR v rozpadu]]*Tabulka_nakup_Vonka[[#This Row],[Jedn. hmotnost '[kg/MJHR']]])</f>
        <v/>
      </c>
    </row>
    <row r="592" spans="1:11" x14ac:dyDescent="0.35">
      <c r="A592" s="709" t="str">
        <f>IF('Rozpad zakázky'!E608=0,"",IF('Rozpad zakázky'!E608="-","",'Rozpad zakázky'!E608))</f>
        <v/>
      </c>
      <c r="B592" s="708" t="str">
        <f>IF(A592="","",IF(A592="","",VLOOKUP(A:A,Pomocna_Nakup[],3,0))&amp;" | "&amp;IF(A592="","",VLOOKUP(A:A,Pomocna_Nakup[],4,0)))</f>
        <v/>
      </c>
      <c r="C592" s="710" t="str">
        <f>IF(Tabulka_nakup_Vonka[[#This Row],[Zkratka kalkulační položky]]="","",Tabulka_nakup_Vonka[[#This Row],[Zkratka kalkulační položky]]&amp;" | "&amp;IF(A592="","",VLOOKUP(A:A,Pomocna_Nakup[],2,0)))</f>
        <v/>
      </c>
      <c r="D592" s="710" t="str">
        <f>IF(A592="","",'Rozpad zakázky'!F608)</f>
        <v/>
      </c>
      <c r="E592" s="710" t="str">
        <f>IF(A592="","",'Rozpad zakázky'!D608&amp;IF('Rozpad zakázky'!G608="",""," ("&amp;'Rozpad zakázky'!G608&amp;")"))</f>
        <v/>
      </c>
      <c r="F592" s="709" t="str">
        <f>IF(A592="","",'Rozpad zakázky'!IW608)</f>
        <v/>
      </c>
      <c r="G592" s="711" t="str">
        <f>IF(A592="","",'Rozpad zakázky'!AE608)</f>
        <v/>
      </c>
      <c r="H592" s="717" t="str">
        <f>IF(A592="","",'Rozpad zakázky'!AJ608)</f>
        <v/>
      </c>
      <c r="I592" s="748" t="str">
        <f>IF(A592="","",'Rozpad zakázky'!Q608)</f>
        <v/>
      </c>
      <c r="J592" s="717" t="str">
        <f>IF(A592="","",ROUNDDOWN('Rozpad zakázky'!L608,1))</f>
        <v/>
      </c>
      <c r="K592" s="745" t="str">
        <f>IF(A592="","",Tabulka_nakup_Vonka[[#This Row],[Počet MJHR v rozpadu]]*Tabulka_nakup_Vonka[[#This Row],[Jedn. hmotnost '[kg/MJHR']]])</f>
        <v/>
      </c>
    </row>
    <row r="593" spans="1:11" x14ac:dyDescent="0.35">
      <c r="A593" s="709" t="str">
        <f>IF('Rozpad zakázky'!E609=0,"",IF('Rozpad zakázky'!E609="-","",'Rozpad zakázky'!E609))</f>
        <v/>
      </c>
      <c r="B593" s="708" t="str">
        <f>IF(A593="","",IF(A593="","",VLOOKUP(A:A,Pomocna_Nakup[],3,0))&amp;" | "&amp;IF(A593="","",VLOOKUP(A:A,Pomocna_Nakup[],4,0)))</f>
        <v/>
      </c>
      <c r="C593" s="710" t="str">
        <f>IF(Tabulka_nakup_Vonka[[#This Row],[Zkratka kalkulační položky]]="","",Tabulka_nakup_Vonka[[#This Row],[Zkratka kalkulační položky]]&amp;" | "&amp;IF(A593="","",VLOOKUP(A:A,Pomocna_Nakup[],2,0)))</f>
        <v/>
      </c>
      <c r="D593" s="710" t="str">
        <f>IF(A593="","",'Rozpad zakázky'!F609)</f>
        <v/>
      </c>
      <c r="E593" s="710" t="str">
        <f>IF(A593="","",'Rozpad zakázky'!D609&amp;IF('Rozpad zakázky'!G609="",""," ("&amp;'Rozpad zakázky'!G609&amp;")"))</f>
        <v/>
      </c>
      <c r="F593" s="709" t="str">
        <f>IF(A593="","",'Rozpad zakázky'!IW609)</f>
        <v/>
      </c>
      <c r="G593" s="711" t="str">
        <f>IF(A593="","",'Rozpad zakázky'!AE609)</f>
        <v/>
      </c>
      <c r="H593" s="717" t="str">
        <f>IF(A593="","",'Rozpad zakázky'!AJ609)</f>
        <v/>
      </c>
      <c r="I593" s="748" t="str">
        <f>IF(A593="","",'Rozpad zakázky'!Q609)</f>
        <v/>
      </c>
      <c r="J593" s="717" t="str">
        <f>IF(A593="","",ROUNDDOWN('Rozpad zakázky'!L609,1))</f>
        <v/>
      </c>
      <c r="K593" s="745" t="str">
        <f>IF(A593="","",Tabulka_nakup_Vonka[[#This Row],[Počet MJHR v rozpadu]]*Tabulka_nakup_Vonka[[#This Row],[Jedn. hmotnost '[kg/MJHR']]])</f>
        <v/>
      </c>
    </row>
    <row r="594" spans="1:11" x14ac:dyDescent="0.35">
      <c r="A594" s="709" t="str">
        <f>IF('Rozpad zakázky'!E610=0,"",IF('Rozpad zakázky'!E610="-","",'Rozpad zakázky'!E610))</f>
        <v/>
      </c>
      <c r="B594" s="708" t="str">
        <f>IF(A594="","",IF(A594="","",VLOOKUP(A:A,Pomocna_Nakup[],3,0))&amp;" | "&amp;IF(A594="","",VLOOKUP(A:A,Pomocna_Nakup[],4,0)))</f>
        <v/>
      </c>
      <c r="C594" s="710" t="str">
        <f>IF(Tabulka_nakup_Vonka[[#This Row],[Zkratka kalkulační položky]]="","",Tabulka_nakup_Vonka[[#This Row],[Zkratka kalkulační položky]]&amp;" | "&amp;IF(A594="","",VLOOKUP(A:A,Pomocna_Nakup[],2,0)))</f>
        <v/>
      </c>
      <c r="D594" s="710" t="str">
        <f>IF(A594="","",'Rozpad zakázky'!F610)</f>
        <v/>
      </c>
      <c r="E594" s="710" t="str">
        <f>IF(A594="","",'Rozpad zakázky'!D610&amp;IF('Rozpad zakázky'!G610="",""," ("&amp;'Rozpad zakázky'!G610&amp;")"))</f>
        <v/>
      </c>
      <c r="F594" s="709" t="str">
        <f>IF(A594="","",'Rozpad zakázky'!IW610)</f>
        <v/>
      </c>
      <c r="G594" s="711" t="str">
        <f>IF(A594="","",'Rozpad zakázky'!AE610)</f>
        <v/>
      </c>
      <c r="H594" s="717" t="str">
        <f>IF(A594="","",'Rozpad zakázky'!AJ610)</f>
        <v/>
      </c>
      <c r="I594" s="748" t="str">
        <f>IF(A594="","",'Rozpad zakázky'!Q610)</f>
        <v/>
      </c>
      <c r="J594" s="717" t="str">
        <f>IF(A594="","",ROUNDDOWN('Rozpad zakázky'!L610,1))</f>
        <v/>
      </c>
      <c r="K594" s="745" t="str">
        <f>IF(A594="","",Tabulka_nakup_Vonka[[#This Row],[Počet MJHR v rozpadu]]*Tabulka_nakup_Vonka[[#This Row],[Jedn. hmotnost '[kg/MJHR']]])</f>
        <v/>
      </c>
    </row>
    <row r="595" spans="1:11" x14ac:dyDescent="0.35">
      <c r="A595" s="709" t="str">
        <f>IF('Rozpad zakázky'!E611=0,"",IF('Rozpad zakázky'!E611="-","",'Rozpad zakázky'!E611))</f>
        <v/>
      </c>
      <c r="B595" s="708" t="str">
        <f>IF(A595="","",IF(A595="","",VLOOKUP(A:A,Pomocna_Nakup[],3,0))&amp;" | "&amp;IF(A595="","",VLOOKUP(A:A,Pomocna_Nakup[],4,0)))</f>
        <v/>
      </c>
      <c r="C595" s="710" t="str">
        <f>IF(Tabulka_nakup_Vonka[[#This Row],[Zkratka kalkulační položky]]="","",Tabulka_nakup_Vonka[[#This Row],[Zkratka kalkulační položky]]&amp;" | "&amp;IF(A595="","",VLOOKUP(A:A,Pomocna_Nakup[],2,0)))</f>
        <v/>
      </c>
      <c r="D595" s="710" t="str">
        <f>IF(A595="","",'Rozpad zakázky'!F611)</f>
        <v/>
      </c>
      <c r="E595" s="710" t="str">
        <f>IF(A595="","",'Rozpad zakázky'!D611&amp;IF('Rozpad zakázky'!G611="",""," ("&amp;'Rozpad zakázky'!G611&amp;")"))</f>
        <v/>
      </c>
      <c r="F595" s="709" t="str">
        <f>IF(A595="","",'Rozpad zakázky'!IW611)</f>
        <v/>
      </c>
      <c r="G595" s="711" t="str">
        <f>IF(A595="","",'Rozpad zakázky'!AE611)</f>
        <v/>
      </c>
      <c r="H595" s="717" t="str">
        <f>IF(A595="","",'Rozpad zakázky'!AJ611)</f>
        <v/>
      </c>
      <c r="I595" s="748" t="str">
        <f>IF(A595="","",'Rozpad zakázky'!Q611)</f>
        <v/>
      </c>
      <c r="J595" s="717" t="str">
        <f>IF(A595="","",ROUNDDOWN('Rozpad zakázky'!L611,1))</f>
        <v/>
      </c>
      <c r="K595" s="745" t="str">
        <f>IF(A595="","",Tabulka_nakup_Vonka[[#This Row],[Počet MJHR v rozpadu]]*Tabulka_nakup_Vonka[[#This Row],[Jedn. hmotnost '[kg/MJHR']]])</f>
        <v/>
      </c>
    </row>
    <row r="596" spans="1:11" x14ac:dyDescent="0.35">
      <c r="A596" s="709" t="str">
        <f>IF('Rozpad zakázky'!E612=0,"",IF('Rozpad zakázky'!E612="-","",'Rozpad zakázky'!E612))</f>
        <v/>
      </c>
      <c r="B596" s="708" t="str">
        <f>IF(A596="","",IF(A596="","",VLOOKUP(A:A,Pomocna_Nakup[],3,0))&amp;" | "&amp;IF(A596="","",VLOOKUP(A:A,Pomocna_Nakup[],4,0)))</f>
        <v/>
      </c>
      <c r="C596" s="710" t="str">
        <f>IF(Tabulka_nakup_Vonka[[#This Row],[Zkratka kalkulační položky]]="","",Tabulka_nakup_Vonka[[#This Row],[Zkratka kalkulační položky]]&amp;" | "&amp;IF(A596="","",VLOOKUP(A:A,Pomocna_Nakup[],2,0)))</f>
        <v/>
      </c>
      <c r="D596" s="710" t="str">
        <f>IF(A596="","",'Rozpad zakázky'!F612)</f>
        <v/>
      </c>
      <c r="E596" s="710" t="str">
        <f>IF(A596="","",'Rozpad zakázky'!D612&amp;IF('Rozpad zakázky'!G612="",""," ("&amp;'Rozpad zakázky'!G612&amp;")"))</f>
        <v/>
      </c>
      <c r="F596" s="709" t="str">
        <f>IF(A596="","",'Rozpad zakázky'!IW612)</f>
        <v/>
      </c>
      <c r="G596" s="711" t="str">
        <f>IF(A596="","",'Rozpad zakázky'!AE612)</f>
        <v/>
      </c>
      <c r="H596" s="717" t="str">
        <f>IF(A596="","",'Rozpad zakázky'!AJ612)</f>
        <v/>
      </c>
      <c r="I596" s="748" t="str">
        <f>IF(A596="","",'Rozpad zakázky'!Q612)</f>
        <v/>
      </c>
      <c r="J596" s="717" t="str">
        <f>IF(A596="","",ROUNDDOWN('Rozpad zakázky'!L612,1))</f>
        <v/>
      </c>
      <c r="K596" s="745" t="str">
        <f>IF(A596="","",Tabulka_nakup_Vonka[[#This Row],[Počet MJHR v rozpadu]]*Tabulka_nakup_Vonka[[#This Row],[Jedn. hmotnost '[kg/MJHR']]])</f>
        <v/>
      </c>
    </row>
    <row r="597" spans="1:11" x14ac:dyDescent="0.35">
      <c r="A597" s="709" t="str">
        <f>IF('Rozpad zakázky'!E613=0,"",IF('Rozpad zakázky'!E613="-","",'Rozpad zakázky'!E613))</f>
        <v/>
      </c>
      <c r="B597" s="708" t="str">
        <f>IF(A597="","",IF(A597="","",VLOOKUP(A:A,Pomocna_Nakup[],3,0))&amp;" | "&amp;IF(A597="","",VLOOKUP(A:A,Pomocna_Nakup[],4,0)))</f>
        <v/>
      </c>
      <c r="C597" s="710" t="str">
        <f>IF(Tabulka_nakup_Vonka[[#This Row],[Zkratka kalkulační položky]]="","",Tabulka_nakup_Vonka[[#This Row],[Zkratka kalkulační položky]]&amp;" | "&amp;IF(A597="","",VLOOKUP(A:A,Pomocna_Nakup[],2,0)))</f>
        <v/>
      </c>
      <c r="D597" s="710" t="str">
        <f>IF(A597="","",'Rozpad zakázky'!F613)</f>
        <v/>
      </c>
      <c r="E597" s="710" t="str">
        <f>IF(A597="","",'Rozpad zakázky'!D613&amp;IF('Rozpad zakázky'!G613="",""," ("&amp;'Rozpad zakázky'!G613&amp;")"))</f>
        <v/>
      </c>
      <c r="F597" s="709" t="str">
        <f>IF(A597="","",'Rozpad zakázky'!IW613)</f>
        <v/>
      </c>
      <c r="G597" s="711" t="str">
        <f>IF(A597="","",'Rozpad zakázky'!AE613)</f>
        <v/>
      </c>
      <c r="H597" s="717" t="str">
        <f>IF(A597="","",'Rozpad zakázky'!AJ613)</f>
        <v/>
      </c>
      <c r="I597" s="748" t="str">
        <f>IF(A597="","",'Rozpad zakázky'!Q613)</f>
        <v/>
      </c>
      <c r="J597" s="717" t="str">
        <f>IF(A597="","",ROUNDDOWN('Rozpad zakázky'!L613,1))</f>
        <v/>
      </c>
      <c r="K597" s="745" t="str">
        <f>IF(A597="","",Tabulka_nakup_Vonka[[#This Row],[Počet MJHR v rozpadu]]*Tabulka_nakup_Vonka[[#This Row],[Jedn. hmotnost '[kg/MJHR']]])</f>
        <v/>
      </c>
    </row>
    <row r="598" spans="1:11" x14ac:dyDescent="0.35">
      <c r="A598" s="709" t="str">
        <f>IF('Rozpad zakázky'!E614=0,"",IF('Rozpad zakázky'!E614="-","",'Rozpad zakázky'!E614))</f>
        <v/>
      </c>
      <c r="B598" s="708" t="str">
        <f>IF(A598="","",IF(A598="","",VLOOKUP(A:A,Pomocna_Nakup[],3,0))&amp;" | "&amp;IF(A598="","",VLOOKUP(A:A,Pomocna_Nakup[],4,0)))</f>
        <v/>
      </c>
      <c r="C598" s="710" t="str">
        <f>IF(Tabulka_nakup_Vonka[[#This Row],[Zkratka kalkulační položky]]="","",Tabulka_nakup_Vonka[[#This Row],[Zkratka kalkulační položky]]&amp;" | "&amp;IF(A598="","",VLOOKUP(A:A,Pomocna_Nakup[],2,0)))</f>
        <v/>
      </c>
      <c r="D598" s="710" t="str">
        <f>IF(A598="","",'Rozpad zakázky'!F614)</f>
        <v/>
      </c>
      <c r="E598" s="710" t="str">
        <f>IF(A598="","",'Rozpad zakázky'!D614&amp;IF('Rozpad zakázky'!G614="",""," ("&amp;'Rozpad zakázky'!G614&amp;")"))</f>
        <v/>
      </c>
      <c r="F598" s="709" t="str">
        <f>IF(A598="","",'Rozpad zakázky'!IW614)</f>
        <v/>
      </c>
      <c r="G598" s="711" t="str">
        <f>IF(A598="","",'Rozpad zakázky'!AE614)</f>
        <v/>
      </c>
      <c r="H598" s="717" t="str">
        <f>IF(A598="","",'Rozpad zakázky'!AJ614)</f>
        <v/>
      </c>
      <c r="I598" s="748" t="str">
        <f>IF(A598="","",'Rozpad zakázky'!Q614)</f>
        <v/>
      </c>
      <c r="J598" s="717" t="str">
        <f>IF(A598="","",ROUNDDOWN('Rozpad zakázky'!L614,1))</f>
        <v/>
      </c>
      <c r="K598" s="745" t="str">
        <f>IF(A598="","",Tabulka_nakup_Vonka[[#This Row],[Počet MJHR v rozpadu]]*Tabulka_nakup_Vonka[[#This Row],[Jedn. hmotnost '[kg/MJHR']]])</f>
        <v/>
      </c>
    </row>
    <row r="599" spans="1:11" x14ac:dyDescent="0.35">
      <c r="A599" s="709" t="str">
        <f>IF('Rozpad zakázky'!E615=0,"",IF('Rozpad zakázky'!E615="-","",'Rozpad zakázky'!E615))</f>
        <v/>
      </c>
      <c r="B599" s="708" t="str">
        <f>IF(A599="","",IF(A599="","",VLOOKUP(A:A,Pomocna_Nakup[],3,0))&amp;" | "&amp;IF(A599="","",VLOOKUP(A:A,Pomocna_Nakup[],4,0)))</f>
        <v/>
      </c>
      <c r="C599" s="710" t="str">
        <f>IF(Tabulka_nakup_Vonka[[#This Row],[Zkratka kalkulační položky]]="","",Tabulka_nakup_Vonka[[#This Row],[Zkratka kalkulační položky]]&amp;" | "&amp;IF(A599="","",VLOOKUP(A:A,Pomocna_Nakup[],2,0)))</f>
        <v/>
      </c>
      <c r="D599" s="710" t="str">
        <f>IF(A599="","",'Rozpad zakázky'!F615)</f>
        <v/>
      </c>
      <c r="E599" s="710" t="str">
        <f>IF(A599="","",'Rozpad zakázky'!D615&amp;IF('Rozpad zakázky'!G615="",""," ("&amp;'Rozpad zakázky'!G615&amp;")"))</f>
        <v/>
      </c>
      <c r="F599" s="709" t="str">
        <f>IF(A599="","",'Rozpad zakázky'!IW615)</f>
        <v/>
      </c>
      <c r="G599" s="711" t="str">
        <f>IF(A599="","",'Rozpad zakázky'!AE615)</f>
        <v/>
      </c>
      <c r="H599" s="717" t="str">
        <f>IF(A599="","",'Rozpad zakázky'!AJ615)</f>
        <v/>
      </c>
      <c r="I599" s="748" t="str">
        <f>IF(A599="","",'Rozpad zakázky'!Q615)</f>
        <v/>
      </c>
      <c r="J599" s="717" t="str">
        <f>IF(A599="","",ROUNDDOWN('Rozpad zakázky'!L615,1))</f>
        <v/>
      </c>
      <c r="K599" s="745" t="str">
        <f>IF(A599="","",Tabulka_nakup_Vonka[[#This Row],[Počet MJHR v rozpadu]]*Tabulka_nakup_Vonka[[#This Row],[Jedn. hmotnost '[kg/MJHR']]])</f>
        <v/>
      </c>
    </row>
    <row r="600" spans="1:11" x14ac:dyDescent="0.35">
      <c r="A600" s="709" t="str">
        <f>IF('Rozpad zakázky'!E616=0,"",IF('Rozpad zakázky'!E616="-","",'Rozpad zakázky'!E616))</f>
        <v/>
      </c>
      <c r="B600" s="708" t="str">
        <f>IF(A600="","",IF(A600="","",VLOOKUP(A:A,Pomocna_Nakup[],3,0))&amp;" | "&amp;IF(A600="","",VLOOKUP(A:A,Pomocna_Nakup[],4,0)))</f>
        <v/>
      </c>
      <c r="C600" s="710" t="str">
        <f>IF(Tabulka_nakup_Vonka[[#This Row],[Zkratka kalkulační položky]]="","",Tabulka_nakup_Vonka[[#This Row],[Zkratka kalkulační položky]]&amp;" | "&amp;IF(A600="","",VLOOKUP(A:A,Pomocna_Nakup[],2,0)))</f>
        <v/>
      </c>
      <c r="D600" s="710" t="str">
        <f>IF(A600="","",'Rozpad zakázky'!F616)</f>
        <v/>
      </c>
      <c r="E600" s="710" t="str">
        <f>IF(A600="","",'Rozpad zakázky'!D616&amp;IF('Rozpad zakázky'!G616="",""," ("&amp;'Rozpad zakázky'!G616&amp;")"))</f>
        <v/>
      </c>
      <c r="F600" s="709" t="str">
        <f>IF(A600="","",'Rozpad zakázky'!IW616)</f>
        <v/>
      </c>
      <c r="G600" s="711" t="str">
        <f>IF(A600="","",'Rozpad zakázky'!AE616)</f>
        <v/>
      </c>
      <c r="H600" s="717" t="str">
        <f>IF(A600="","",'Rozpad zakázky'!AJ616)</f>
        <v/>
      </c>
      <c r="I600" s="748" t="str">
        <f>IF(A600="","",'Rozpad zakázky'!Q616)</f>
        <v/>
      </c>
      <c r="J600" s="717" t="str">
        <f>IF(A600="","",ROUNDDOWN('Rozpad zakázky'!L616,1))</f>
        <v/>
      </c>
      <c r="K600" s="745" t="str">
        <f>IF(A600="","",Tabulka_nakup_Vonka[[#This Row],[Počet MJHR v rozpadu]]*Tabulka_nakup_Vonka[[#This Row],[Jedn. hmotnost '[kg/MJHR']]])</f>
        <v/>
      </c>
    </row>
    <row r="601" spans="1:11" x14ac:dyDescent="0.35">
      <c r="A601" s="709" t="str">
        <f>IF('Rozpad zakázky'!E617=0,"",IF('Rozpad zakázky'!E617="-","",'Rozpad zakázky'!E617))</f>
        <v/>
      </c>
      <c r="B601" s="708" t="str">
        <f>IF(A601="","",IF(A601="","",VLOOKUP(A:A,Pomocna_Nakup[],3,0))&amp;" | "&amp;IF(A601="","",VLOOKUP(A:A,Pomocna_Nakup[],4,0)))</f>
        <v/>
      </c>
      <c r="C601" s="710" t="str">
        <f>IF(Tabulka_nakup_Vonka[[#This Row],[Zkratka kalkulační položky]]="","",Tabulka_nakup_Vonka[[#This Row],[Zkratka kalkulační položky]]&amp;" | "&amp;IF(A601="","",VLOOKUP(A:A,Pomocna_Nakup[],2,0)))</f>
        <v/>
      </c>
      <c r="D601" s="710" t="str">
        <f>IF(A601="","",'Rozpad zakázky'!F617)</f>
        <v/>
      </c>
      <c r="E601" s="710" t="str">
        <f>IF(A601="","",'Rozpad zakázky'!D617&amp;IF('Rozpad zakázky'!G617="",""," ("&amp;'Rozpad zakázky'!G617&amp;")"))</f>
        <v/>
      </c>
      <c r="F601" s="709" t="str">
        <f>IF(A601="","",'Rozpad zakázky'!IW617)</f>
        <v/>
      </c>
      <c r="G601" s="711" t="str">
        <f>IF(A601="","",'Rozpad zakázky'!AE617)</f>
        <v/>
      </c>
      <c r="H601" s="717" t="str">
        <f>IF(A601="","",'Rozpad zakázky'!AJ617)</f>
        <v/>
      </c>
      <c r="I601" s="748" t="str">
        <f>IF(A601="","",'Rozpad zakázky'!Q617)</f>
        <v/>
      </c>
      <c r="J601" s="717" t="str">
        <f>IF(A601="","",ROUNDDOWN('Rozpad zakázky'!L617,1))</f>
        <v/>
      </c>
      <c r="K601" s="745" t="str">
        <f>IF(A601="","",Tabulka_nakup_Vonka[[#This Row],[Počet MJHR v rozpadu]]*Tabulka_nakup_Vonka[[#This Row],[Jedn. hmotnost '[kg/MJHR']]])</f>
        <v/>
      </c>
    </row>
    <row r="602" spans="1:11" x14ac:dyDescent="0.35">
      <c r="A602" s="709" t="str">
        <f>IF('Rozpad zakázky'!E618=0,"",IF('Rozpad zakázky'!E618="-","",'Rozpad zakázky'!E618))</f>
        <v/>
      </c>
      <c r="B602" s="708" t="str">
        <f>IF(A602="","",IF(A602="","",VLOOKUP(A:A,Pomocna_Nakup[],3,0))&amp;" | "&amp;IF(A602="","",VLOOKUP(A:A,Pomocna_Nakup[],4,0)))</f>
        <v/>
      </c>
      <c r="C602" s="710" t="str">
        <f>IF(Tabulka_nakup_Vonka[[#This Row],[Zkratka kalkulační položky]]="","",Tabulka_nakup_Vonka[[#This Row],[Zkratka kalkulační položky]]&amp;" | "&amp;IF(A602="","",VLOOKUP(A:A,Pomocna_Nakup[],2,0)))</f>
        <v/>
      </c>
      <c r="D602" s="710" t="str">
        <f>IF(A602="","",'Rozpad zakázky'!F618)</f>
        <v/>
      </c>
      <c r="E602" s="710" t="str">
        <f>IF(A602="","",'Rozpad zakázky'!D618&amp;IF('Rozpad zakázky'!G618="",""," ("&amp;'Rozpad zakázky'!G618&amp;")"))</f>
        <v/>
      </c>
      <c r="F602" s="709" t="str">
        <f>IF(A602="","",'Rozpad zakázky'!IW618)</f>
        <v/>
      </c>
      <c r="G602" s="711" t="str">
        <f>IF(A602="","",'Rozpad zakázky'!AE618)</f>
        <v/>
      </c>
      <c r="H602" s="717" t="str">
        <f>IF(A602="","",'Rozpad zakázky'!AJ618)</f>
        <v/>
      </c>
      <c r="I602" s="748" t="str">
        <f>IF(A602="","",'Rozpad zakázky'!Q618)</f>
        <v/>
      </c>
      <c r="J602" s="717" t="str">
        <f>IF(A602="","",ROUNDDOWN('Rozpad zakázky'!L618,1))</f>
        <v/>
      </c>
      <c r="K602" s="745" t="str">
        <f>IF(A602="","",Tabulka_nakup_Vonka[[#This Row],[Počet MJHR v rozpadu]]*Tabulka_nakup_Vonka[[#This Row],[Jedn. hmotnost '[kg/MJHR']]])</f>
        <v/>
      </c>
    </row>
    <row r="603" spans="1:11" x14ac:dyDescent="0.35">
      <c r="A603" s="709" t="str">
        <f>IF('Rozpad zakázky'!E619=0,"",IF('Rozpad zakázky'!E619="-","",'Rozpad zakázky'!E619))</f>
        <v/>
      </c>
      <c r="B603" s="708" t="str">
        <f>IF(A603="","",IF(A603="","",VLOOKUP(A:A,Pomocna_Nakup[],3,0))&amp;" | "&amp;IF(A603="","",VLOOKUP(A:A,Pomocna_Nakup[],4,0)))</f>
        <v/>
      </c>
      <c r="C603" s="710" t="str">
        <f>IF(Tabulka_nakup_Vonka[[#This Row],[Zkratka kalkulační položky]]="","",Tabulka_nakup_Vonka[[#This Row],[Zkratka kalkulační položky]]&amp;" | "&amp;IF(A603="","",VLOOKUP(A:A,Pomocna_Nakup[],2,0)))</f>
        <v/>
      </c>
      <c r="D603" s="710" t="str">
        <f>IF(A603="","",'Rozpad zakázky'!F619)</f>
        <v/>
      </c>
      <c r="E603" s="710" t="str">
        <f>IF(A603="","",'Rozpad zakázky'!D619&amp;IF('Rozpad zakázky'!G619="",""," ("&amp;'Rozpad zakázky'!G619&amp;")"))</f>
        <v/>
      </c>
      <c r="F603" s="709" t="str">
        <f>IF(A603="","",'Rozpad zakázky'!IW619)</f>
        <v/>
      </c>
      <c r="G603" s="711" t="str">
        <f>IF(A603="","",'Rozpad zakázky'!AE619)</f>
        <v/>
      </c>
      <c r="H603" s="717" t="str">
        <f>IF(A603="","",'Rozpad zakázky'!AJ619)</f>
        <v/>
      </c>
      <c r="I603" s="748" t="str">
        <f>IF(A603="","",'Rozpad zakázky'!Q619)</f>
        <v/>
      </c>
      <c r="J603" s="717" t="str">
        <f>IF(A603="","",ROUNDDOWN('Rozpad zakázky'!L619,1))</f>
        <v/>
      </c>
      <c r="K603" s="745" t="str">
        <f>IF(A603="","",Tabulka_nakup_Vonka[[#This Row],[Počet MJHR v rozpadu]]*Tabulka_nakup_Vonka[[#This Row],[Jedn. hmotnost '[kg/MJHR']]])</f>
        <v/>
      </c>
    </row>
    <row r="604" spans="1:11" x14ac:dyDescent="0.35">
      <c r="A604" s="709" t="str">
        <f>IF('Rozpad zakázky'!E620=0,"",IF('Rozpad zakázky'!E620="-","",'Rozpad zakázky'!E620))</f>
        <v/>
      </c>
      <c r="B604" s="708" t="str">
        <f>IF(A604="","",IF(A604="","",VLOOKUP(A:A,Pomocna_Nakup[],3,0))&amp;" | "&amp;IF(A604="","",VLOOKUP(A:A,Pomocna_Nakup[],4,0)))</f>
        <v/>
      </c>
      <c r="C604" s="710" t="str">
        <f>IF(Tabulka_nakup_Vonka[[#This Row],[Zkratka kalkulační položky]]="","",Tabulka_nakup_Vonka[[#This Row],[Zkratka kalkulační položky]]&amp;" | "&amp;IF(A604="","",VLOOKUP(A:A,Pomocna_Nakup[],2,0)))</f>
        <v/>
      </c>
      <c r="D604" s="710" t="str">
        <f>IF(A604="","",'Rozpad zakázky'!F620)</f>
        <v/>
      </c>
      <c r="E604" s="710" t="str">
        <f>IF(A604="","",'Rozpad zakázky'!D620&amp;IF('Rozpad zakázky'!G620="",""," ("&amp;'Rozpad zakázky'!G620&amp;")"))</f>
        <v/>
      </c>
      <c r="F604" s="709" t="str">
        <f>IF(A604="","",'Rozpad zakázky'!IW620)</f>
        <v/>
      </c>
      <c r="G604" s="711" t="str">
        <f>IF(A604="","",'Rozpad zakázky'!AE620)</f>
        <v/>
      </c>
      <c r="H604" s="717" t="str">
        <f>IF(A604="","",'Rozpad zakázky'!AJ620)</f>
        <v/>
      </c>
      <c r="I604" s="748" t="str">
        <f>IF(A604="","",'Rozpad zakázky'!Q620)</f>
        <v/>
      </c>
      <c r="J604" s="717" t="str">
        <f>IF(A604="","",ROUNDDOWN('Rozpad zakázky'!L620,1))</f>
        <v/>
      </c>
      <c r="K604" s="745" t="str">
        <f>IF(A604="","",Tabulka_nakup_Vonka[[#This Row],[Počet MJHR v rozpadu]]*Tabulka_nakup_Vonka[[#This Row],[Jedn. hmotnost '[kg/MJHR']]])</f>
        <v/>
      </c>
    </row>
    <row r="605" spans="1:11" x14ac:dyDescent="0.35">
      <c r="A605" s="709" t="str">
        <f>IF('Rozpad zakázky'!E621=0,"",IF('Rozpad zakázky'!E621="-","",'Rozpad zakázky'!E621))</f>
        <v/>
      </c>
      <c r="B605" s="708" t="str">
        <f>IF(A605="","",IF(A605="","",VLOOKUP(A:A,Pomocna_Nakup[],3,0))&amp;" | "&amp;IF(A605="","",VLOOKUP(A:A,Pomocna_Nakup[],4,0)))</f>
        <v/>
      </c>
      <c r="C605" s="710" t="str">
        <f>IF(Tabulka_nakup_Vonka[[#This Row],[Zkratka kalkulační položky]]="","",Tabulka_nakup_Vonka[[#This Row],[Zkratka kalkulační položky]]&amp;" | "&amp;IF(A605="","",VLOOKUP(A:A,Pomocna_Nakup[],2,0)))</f>
        <v/>
      </c>
      <c r="D605" s="710" t="str">
        <f>IF(A605="","",'Rozpad zakázky'!F621)</f>
        <v/>
      </c>
      <c r="E605" s="710" t="str">
        <f>IF(A605="","",'Rozpad zakázky'!D621&amp;IF('Rozpad zakázky'!G621="",""," ("&amp;'Rozpad zakázky'!G621&amp;")"))</f>
        <v/>
      </c>
      <c r="F605" s="709" t="str">
        <f>IF(A605="","",'Rozpad zakázky'!IW621)</f>
        <v/>
      </c>
      <c r="G605" s="711" t="str">
        <f>IF(A605="","",'Rozpad zakázky'!AE621)</f>
        <v/>
      </c>
      <c r="H605" s="717" t="str">
        <f>IF(A605="","",'Rozpad zakázky'!AJ621)</f>
        <v/>
      </c>
      <c r="I605" s="748" t="str">
        <f>IF(A605="","",'Rozpad zakázky'!Q621)</f>
        <v/>
      </c>
      <c r="J605" s="717" t="str">
        <f>IF(A605="","",ROUNDDOWN('Rozpad zakázky'!L621,1))</f>
        <v/>
      </c>
      <c r="K605" s="745" t="str">
        <f>IF(A605="","",Tabulka_nakup_Vonka[[#This Row],[Počet MJHR v rozpadu]]*Tabulka_nakup_Vonka[[#This Row],[Jedn. hmotnost '[kg/MJHR']]])</f>
        <v/>
      </c>
    </row>
    <row r="606" spans="1:11" x14ac:dyDescent="0.35">
      <c r="A606" s="709" t="str">
        <f>IF('Rozpad zakázky'!E622=0,"",IF('Rozpad zakázky'!E622="-","",'Rozpad zakázky'!E622))</f>
        <v/>
      </c>
      <c r="B606" s="708" t="str">
        <f>IF(A606="","",IF(A606="","",VLOOKUP(A:A,Pomocna_Nakup[],3,0))&amp;" | "&amp;IF(A606="","",VLOOKUP(A:A,Pomocna_Nakup[],4,0)))</f>
        <v/>
      </c>
      <c r="C606" s="710" t="str">
        <f>IF(Tabulka_nakup_Vonka[[#This Row],[Zkratka kalkulační položky]]="","",Tabulka_nakup_Vonka[[#This Row],[Zkratka kalkulační položky]]&amp;" | "&amp;IF(A606="","",VLOOKUP(A:A,Pomocna_Nakup[],2,0)))</f>
        <v/>
      </c>
      <c r="D606" s="710" t="str">
        <f>IF(A606="","",'Rozpad zakázky'!F622)</f>
        <v/>
      </c>
      <c r="E606" s="710" t="str">
        <f>IF(A606="","",'Rozpad zakázky'!D622&amp;IF('Rozpad zakázky'!G622="",""," ("&amp;'Rozpad zakázky'!G622&amp;")"))</f>
        <v/>
      </c>
      <c r="F606" s="709" t="str">
        <f>IF(A606="","",'Rozpad zakázky'!IW622)</f>
        <v/>
      </c>
      <c r="G606" s="711" t="str">
        <f>IF(A606="","",'Rozpad zakázky'!AE622)</f>
        <v/>
      </c>
      <c r="H606" s="717" t="str">
        <f>IF(A606="","",'Rozpad zakázky'!AJ622)</f>
        <v/>
      </c>
      <c r="I606" s="748" t="str">
        <f>IF(A606="","",'Rozpad zakázky'!Q622)</f>
        <v/>
      </c>
      <c r="J606" s="717" t="str">
        <f>IF(A606="","",ROUNDDOWN('Rozpad zakázky'!L622,1))</f>
        <v/>
      </c>
      <c r="K606" s="745" t="str">
        <f>IF(A606="","",Tabulka_nakup_Vonka[[#This Row],[Počet MJHR v rozpadu]]*Tabulka_nakup_Vonka[[#This Row],[Jedn. hmotnost '[kg/MJHR']]])</f>
        <v/>
      </c>
    </row>
    <row r="607" spans="1:11" x14ac:dyDescent="0.35">
      <c r="A607" s="709" t="str">
        <f>IF('Rozpad zakázky'!E623=0,"",IF('Rozpad zakázky'!E623="-","",'Rozpad zakázky'!E623))</f>
        <v/>
      </c>
      <c r="B607" s="708" t="str">
        <f>IF(A607="","",IF(A607="","",VLOOKUP(A:A,Pomocna_Nakup[],3,0))&amp;" | "&amp;IF(A607="","",VLOOKUP(A:A,Pomocna_Nakup[],4,0)))</f>
        <v/>
      </c>
      <c r="C607" s="710" t="str">
        <f>IF(Tabulka_nakup_Vonka[[#This Row],[Zkratka kalkulační položky]]="","",Tabulka_nakup_Vonka[[#This Row],[Zkratka kalkulační položky]]&amp;" | "&amp;IF(A607="","",VLOOKUP(A:A,Pomocna_Nakup[],2,0)))</f>
        <v/>
      </c>
      <c r="D607" s="710" t="str">
        <f>IF(A607="","",'Rozpad zakázky'!F623)</f>
        <v/>
      </c>
      <c r="E607" s="710" t="str">
        <f>IF(A607="","",'Rozpad zakázky'!D623&amp;IF('Rozpad zakázky'!G623="",""," ("&amp;'Rozpad zakázky'!G623&amp;")"))</f>
        <v/>
      </c>
      <c r="F607" s="709" t="str">
        <f>IF(A607="","",'Rozpad zakázky'!IW623)</f>
        <v/>
      </c>
      <c r="G607" s="711" t="str">
        <f>IF(A607="","",'Rozpad zakázky'!AE623)</f>
        <v/>
      </c>
      <c r="H607" s="717" t="str">
        <f>IF(A607="","",'Rozpad zakázky'!AJ623)</f>
        <v/>
      </c>
      <c r="I607" s="748" t="str">
        <f>IF(A607="","",'Rozpad zakázky'!Q623)</f>
        <v/>
      </c>
      <c r="J607" s="717" t="str">
        <f>IF(A607="","",ROUNDDOWN('Rozpad zakázky'!L623,1))</f>
        <v/>
      </c>
      <c r="K607" s="745" t="str">
        <f>IF(A607="","",Tabulka_nakup_Vonka[[#This Row],[Počet MJHR v rozpadu]]*Tabulka_nakup_Vonka[[#This Row],[Jedn. hmotnost '[kg/MJHR']]])</f>
        <v/>
      </c>
    </row>
    <row r="608" spans="1:11" x14ac:dyDescent="0.35">
      <c r="A608" s="709" t="str">
        <f>IF('Rozpad zakázky'!E624=0,"",IF('Rozpad zakázky'!E624="-","",'Rozpad zakázky'!E624))</f>
        <v/>
      </c>
      <c r="B608" s="708" t="str">
        <f>IF(A608="","",IF(A608="","",VLOOKUP(A:A,Pomocna_Nakup[],3,0))&amp;" | "&amp;IF(A608="","",VLOOKUP(A:A,Pomocna_Nakup[],4,0)))</f>
        <v/>
      </c>
      <c r="C608" s="710" t="str">
        <f>IF(Tabulka_nakup_Vonka[[#This Row],[Zkratka kalkulační položky]]="","",Tabulka_nakup_Vonka[[#This Row],[Zkratka kalkulační položky]]&amp;" | "&amp;IF(A608="","",VLOOKUP(A:A,Pomocna_Nakup[],2,0)))</f>
        <v/>
      </c>
      <c r="D608" s="710" t="str">
        <f>IF(A608="","",'Rozpad zakázky'!F624)</f>
        <v/>
      </c>
      <c r="E608" s="710" t="str">
        <f>IF(A608="","",'Rozpad zakázky'!D624&amp;IF('Rozpad zakázky'!G624="",""," ("&amp;'Rozpad zakázky'!G624&amp;")"))</f>
        <v/>
      </c>
      <c r="F608" s="709" t="str">
        <f>IF(A608="","",'Rozpad zakázky'!IW624)</f>
        <v/>
      </c>
      <c r="G608" s="711" t="str">
        <f>IF(A608="","",'Rozpad zakázky'!AE624)</f>
        <v/>
      </c>
      <c r="H608" s="717" t="str">
        <f>IF(A608="","",'Rozpad zakázky'!AJ624)</f>
        <v/>
      </c>
      <c r="I608" s="748" t="str">
        <f>IF(A608="","",'Rozpad zakázky'!Q624)</f>
        <v/>
      </c>
      <c r="J608" s="717" t="str">
        <f>IF(A608="","",ROUNDDOWN('Rozpad zakázky'!L624,1))</f>
        <v/>
      </c>
      <c r="K608" s="745" t="str">
        <f>IF(A608="","",Tabulka_nakup_Vonka[[#This Row],[Počet MJHR v rozpadu]]*Tabulka_nakup_Vonka[[#This Row],[Jedn. hmotnost '[kg/MJHR']]])</f>
        <v/>
      </c>
    </row>
    <row r="609" spans="1:11" x14ac:dyDescent="0.35">
      <c r="A609" s="709" t="str">
        <f>IF('Rozpad zakázky'!E625=0,"",IF('Rozpad zakázky'!E625="-","",'Rozpad zakázky'!E625))</f>
        <v/>
      </c>
      <c r="B609" s="708" t="str">
        <f>IF(A609="","",IF(A609="","",VLOOKUP(A:A,Pomocna_Nakup[],3,0))&amp;" | "&amp;IF(A609="","",VLOOKUP(A:A,Pomocna_Nakup[],4,0)))</f>
        <v/>
      </c>
      <c r="C609" s="710" t="str">
        <f>IF(Tabulka_nakup_Vonka[[#This Row],[Zkratka kalkulační položky]]="","",Tabulka_nakup_Vonka[[#This Row],[Zkratka kalkulační položky]]&amp;" | "&amp;IF(A609="","",VLOOKUP(A:A,Pomocna_Nakup[],2,0)))</f>
        <v/>
      </c>
      <c r="D609" s="710" t="str">
        <f>IF(A609="","",'Rozpad zakázky'!F625)</f>
        <v/>
      </c>
      <c r="E609" s="710" t="str">
        <f>IF(A609="","",'Rozpad zakázky'!D625&amp;IF('Rozpad zakázky'!G625="",""," ("&amp;'Rozpad zakázky'!G625&amp;")"))</f>
        <v/>
      </c>
      <c r="F609" s="709" t="str">
        <f>IF(A609="","",'Rozpad zakázky'!IW625)</f>
        <v/>
      </c>
      <c r="G609" s="711" t="str">
        <f>IF(A609="","",'Rozpad zakázky'!AE625)</f>
        <v/>
      </c>
      <c r="H609" s="717" t="str">
        <f>IF(A609="","",'Rozpad zakázky'!AJ625)</f>
        <v/>
      </c>
      <c r="I609" s="748" t="str">
        <f>IF(A609="","",'Rozpad zakázky'!Q625)</f>
        <v/>
      </c>
      <c r="J609" s="717" t="str">
        <f>IF(A609="","",ROUNDDOWN('Rozpad zakázky'!L625,1))</f>
        <v/>
      </c>
      <c r="K609" s="745" t="str">
        <f>IF(A609="","",Tabulka_nakup_Vonka[[#This Row],[Počet MJHR v rozpadu]]*Tabulka_nakup_Vonka[[#This Row],[Jedn. hmotnost '[kg/MJHR']]])</f>
        <v/>
      </c>
    </row>
    <row r="610" spans="1:11" x14ac:dyDescent="0.35">
      <c r="A610" s="709" t="str">
        <f>IF('Rozpad zakázky'!E626=0,"",IF('Rozpad zakázky'!E626="-","",'Rozpad zakázky'!E626))</f>
        <v/>
      </c>
      <c r="B610" s="708" t="str">
        <f>IF(A610="","",IF(A610="","",VLOOKUP(A:A,Pomocna_Nakup[],3,0))&amp;" | "&amp;IF(A610="","",VLOOKUP(A:A,Pomocna_Nakup[],4,0)))</f>
        <v/>
      </c>
      <c r="C610" s="710" t="str">
        <f>IF(Tabulka_nakup_Vonka[[#This Row],[Zkratka kalkulační položky]]="","",Tabulka_nakup_Vonka[[#This Row],[Zkratka kalkulační položky]]&amp;" | "&amp;IF(A610="","",VLOOKUP(A:A,Pomocna_Nakup[],2,0)))</f>
        <v/>
      </c>
      <c r="D610" s="710" t="str">
        <f>IF(A610="","",'Rozpad zakázky'!F626)</f>
        <v/>
      </c>
      <c r="E610" s="710" t="str">
        <f>IF(A610="","",'Rozpad zakázky'!D626&amp;IF('Rozpad zakázky'!G626="",""," ("&amp;'Rozpad zakázky'!G626&amp;")"))</f>
        <v/>
      </c>
      <c r="F610" s="709" t="str">
        <f>IF(A610="","",'Rozpad zakázky'!IW626)</f>
        <v/>
      </c>
      <c r="G610" s="711" t="str">
        <f>IF(A610="","",'Rozpad zakázky'!AE626)</f>
        <v/>
      </c>
      <c r="H610" s="717" t="str">
        <f>IF(A610="","",'Rozpad zakázky'!AJ626)</f>
        <v/>
      </c>
      <c r="I610" s="748" t="str">
        <f>IF(A610="","",'Rozpad zakázky'!Q626)</f>
        <v/>
      </c>
      <c r="J610" s="717" t="str">
        <f>IF(A610="","",ROUNDDOWN('Rozpad zakázky'!L626,1))</f>
        <v/>
      </c>
      <c r="K610" s="745" t="str">
        <f>IF(A610="","",Tabulka_nakup_Vonka[[#This Row],[Počet MJHR v rozpadu]]*Tabulka_nakup_Vonka[[#This Row],[Jedn. hmotnost '[kg/MJHR']]])</f>
        <v/>
      </c>
    </row>
    <row r="611" spans="1:11" x14ac:dyDescent="0.35">
      <c r="A611" s="709" t="str">
        <f>IF('Rozpad zakázky'!E627=0,"",IF('Rozpad zakázky'!E627="-","",'Rozpad zakázky'!E627))</f>
        <v/>
      </c>
      <c r="B611" s="708" t="str">
        <f>IF(A611="","",IF(A611="","",VLOOKUP(A:A,Pomocna_Nakup[],3,0))&amp;" | "&amp;IF(A611="","",VLOOKUP(A:A,Pomocna_Nakup[],4,0)))</f>
        <v/>
      </c>
      <c r="C611" s="710" t="str">
        <f>IF(Tabulka_nakup_Vonka[[#This Row],[Zkratka kalkulační položky]]="","",Tabulka_nakup_Vonka[[#This Row],[Zkratka kalkulační položky]]&amp;" | "&amp;IF(A611="","",VLOOKUP(A:A,Pomocna_Nakup[],2,0)))</f>
        <v/>
      </c>
      <c r="D611" s="710" t="str">
        <f>IF(A611="","",'Rozpad zakázky'!F627)</f>
        <v/>
      </c>
      <c r="E611" s="710" t="str">
        <f>IF(A611="","",'Rozpad zakázky'!D627&amp;IF('Rozpad zakázky'!G627="",""," ("&amp;'Rozpad zakázky'!G627&amp;")"))</f>
        <v/>
      </c>
      <c r="F611" s="709" t="str">
        <f>IF(A611="","",'Rozpad zakázky'!IW627)</f>
        <v/>
      </c>
      <c r="G611" s="711" t="str">
        <f>IF(A611="","",'Rozpad zakázky'!AE627)</f>
        <v/>
      </c>
      <c r="H611" s="717" t="str">
        <f>IF(A611="","",'Rozpad zakázky'!AJ627)</f>
        <v/>
      </c>
      <c r="I611" s="748" t="str">
        <f>IF(A611="","",'Rozpad zakázky'!Q627)</f>
        <v/>
      </c>
      <c r="J611" s="717" t="str">
        <f>IF(A611="","",ROUNDDOWN('Rozpad zakázky'!L627,1))</f>
        <v/>
      </c>
      <c r="K611" s="745" t="str">
        <f>IF(A611="","",Tabulka_nakup_Vonka[[#This Row],[Počet MJHR v rozpadu]]*Tabulka_nakup_Vonka[[#This Row],[Jedn. hmotnost '[kg/MJHR']]])</f>
        <v/>
      </c>
    </row>
    <row r="612" spans="1:11" x14ac:dyDescent="0.35">
      <c r="A612" s="709" t="str">
        <f>IF('Rozpad zakázky'!E628=0,"",IF('Rozpad zakázky'!E628="-","",'Rozpad zakázky'!E628))</f>
        <v/>
      </c>
      <c r="B612" s="708" t="str">
        <f>IF(A612="","",IF(A612="","",VLOOKUP(A:A,Pomocna_Nakup[],3,0))&amp;" | "&amp;IF(A612="","",VLOOKUP(A:A,Pomocna_Nakup[],4,0)))</f>
        <v/>
      </c>
      <c r="C612" s="710" t="str">
        <f>IF(Tabulka_nakup_Vonka[[#This Row],[Zkratka kalkulační položky]]="","",Tabulka_nakup_Vonka[[#This Row],[Zkratka kalkulační položky]]&amp;" | "&amp;IF(A612="","",VLOOKUP(A:A,Pomocna_Nakup[],2,0)))</f>
        <v/>
      </c>
      <c r="D612" s="710" t="str">
        <f>IF(A612="","",'Rozpad zakázky'!F628)</f>
        <v/>
      </c>
      <c r="E612" s="710" t="str">
        <f>IF(A612="","",'Rozpad zakázky'!D628&amp;IF('Rozpad zakázky'!G628="",""," ("&amp;'Rozpad zakázky'!G628&amp;")"))</f>
        <v/>
      </c>
      <c r="F612" s="709" t="str">
        <f>IF(A612="","",'Rozpad zakázky'!IW628)</f>
        <v/>
      </c>
      <c r="G612" s="711" t="str">
        <f>IF(A612="","",'Rozpad zakázky'!AE628)</f>
        <v/>
      </c>
      <c r="H612" s="717" t="str">
        <f>IF(A612="","",'Rozpad zakázky'!AJ628)</f>
        <v/>
      </c>
      <c r="I612" s="748" t="str">
        <f>IF(A612="","",'Rozpad zakázky'!Q628)</f>
        <v/>
      </c>
      <c r="J612" s="717" t="str">
        <f>IF(A612="","",ROUNDDOWN('Rozpad zakázky'!L628,1))</f>
        <v/>
      </c>
      <c r="K612" s="745" t="str">
        <f>IF(A612="","",Tabulka_nakup_Vonka[[#This Row],[Počet MJHR v rozpadu]]*Tabulka_nakup_Vonka[[#This Row],[Jedn. hmotnost '[kg/MJHR']]])</f>
        <v/>
      </c>
    </row>
    <row r="613" spans="1:11" x14ac:dyDescent="0.35">
      <c r="A613" s="709" t="str">
        <f>IF('Rozpad zakázky'!E629=0,"",IF('Rozpad zakázky'!E629="-","",'Rozpad zakázky'!E629))</f>
        <v/>
      </c>
      <c r="B613" s="708" t="str">
        <f>IF(A613="","",IF(A613="","",VLOOKUP(A:A,Pomocna_Nakup[],3,0))&amp;" | "&amp;IF(A613="","",VLOOKUP(A:A,Pomocna_Nakup[],4,0)))</f>
        <v/>
      </c>
      <c r="C613" s="710" t="str">
        <f>IF(Tabulka_nakup_Vonka[[#This Row],[Zkratka kalkulační položky]]="","",Tabulka_nakup_Vonka[[#This Row],[Zkratka kalkulační položky]]&amp;" | "&amp;IF(A613="","",VLOOKUP(A:A,Pomocna_Nakup[],2,0)))</f>
        <v/>
      </c>
      <c r="D613" s="710" t="str">
        <f>IF(A613="","",'Rozpad zakázky'!F629)</f>
        <v/>
      </c>
      <c r="E613" s="710" t="str">
        <f>IF(A613="","",'Rozpad zakázky'!D629&amp;IF('Rozpad zakázky'!G629="",""," ("&amp;'Rozpad zakázky'!G629&amp;")"))</f>
        <v/>
      </c>
      <c r="F613" s="709" t="str">
        <f>IF(A613="","",'Rozpad zakázky'!IW629)</f>
        <v/>
      </c>
      <c r="G613" s="711" t="str">
        <f>IF(A613="","",'Rozpad zakázky'!AE629)</f>
        <v/>
      </c>
      <c r="H613" s="717" t="str">
        <f>IF(A613="","",'Rozpad zakázky'!AJ629)</f>
        <v/>
      </c>
      <c r="I613" s="748" t="str">
        <f>IF(A613="","",'Rozpad zakázky'!Q629)</f>
        <v/>
      </c>
      <c r="J613" s="717" t="str">
        <f>IF(A613="","",ROUNDDOWN('Rozpad zakázky'!L629,1))</f>
        <v/>
      </c>
      <c r="K613" s="745" t="str">
        <f>IF(A613="","",Tabulka_nakup_Vonka[[#This Row],[Počet MJHR v rozpadu]]*Tabulka_nakup_Vonka[[#This Row],[Jedn. hmotnost '[kg/MJHR']]])</f>
        <v/>
      </c>
    </row>
    <row r="614" spans="1:11" x14ac:dyDescent="0.35">
      <c r="A614" s="709" t="str">
        <f>IF('Rozpad zakázky'!E630=0,"",IF('Rozpad zakázky'!E630="-","",'Rozpad zakázky'!E630))</f>
        <v/>
      </c>
      <c r="B614" s="708" t="str">
        <f>IF(A614="","",IF(A614="","",VLOOKUP(A:A,Pomocna_Nakup[],3,0))&amp;" | "&amp;IF(A614="","",VLOOKUP(A:A,Pomocna_Nakup[],4,0)))</f>
        <v/>
      </c>
      <c r="C614" s="710" t="str">
        <f>IF(Tabulka_nakup_Vonka[[#This Row],[Zkratka kalkulační položky]]="","",Tabulka_nakup_Vonka[[#This Row],[Zkratka kalkulační položky]]&amp;" | "&amp;IF(A614="","",VLOOKUP(A:A,Pomocna_Nakup[],2,0)))</f>
        <v/>
      </c>
      <c r="D614" s="710" t="str">
        <f>IF(A614="","",'Rozpad zakázky'!F630)</f>
        <v/>
      </c>
      <c r="E614" s="710" t="str">
        <f>IF(A614="","",'Rozpad zakázky'!D630&amp;IF('Rozpad zakázky'!G630="",""," ("&amp;'Rozpad zakázky'!G630&amp;")"))</f>
        <v/>
      </c>
      <c r="F614" s="709" t="str">
        <f>IF(A614="","",'Rozpad zakázky'!IW630)</f>
        <v/>
      </c>
      <c r="G614" s="711" t="str">
        <f>IF(A614="","",'Rozpad zakázky'!AE630)</f>
        <v/>
      </c>
      <c r="H614" s="717" t="str">
        <f>IF(A614="","",'Rozpad zakázky'!AJ630)</f>
        <v/>
      </c>
      <c r="I614" s="748" t="str">
        <f>IF(A614="","",'Rozpad zakázky'!Q630)</f>
        <v/>
      </c>
      <c r="J614" s="717" t="str">
        <f>IF(A614="","",ROUNDDOWN('Rozpad zakázky'!L630,1))</f>
        <v/>
      </c>
      <c r="K614" s="745" t="str">
        <f>IF(A614="","",Tabulka_nakup_Vonka[[#This Row],[Počet MJHR v rozpadu]]*Tabulka_nakup_Vonka[[#This Row],[Jedn. hmotnost '[kg/MJHR']]])</f>
        <v/>
      </c>
    </row>
    <row r="615" spans="1:11" x14ac:dyDescent="0.35">
      <c r="A615" s="709" t="str">
        <f>IF('Rozpad zakázky'!E631=0,"",IF('Rozpad zakázky'!E631="-","",'Rozpad zakázky'!E631))</f>
        <v/>
      </c>
      <c r="B615" s="708" t="str">
        <f>IF(A615="","",IF(A615="","",VLOOKUP(A:A,Pomocna_Nakup[],3,0))&amp;" | "&amp;IF(A615="","",VLOOKUP(A:A,Pomocna_Nakup[],4,0)))</f>
        <v/>
      </c>
      <c r="C615" s="710" t="str">
        <f>IF(Tabulka_nakup_Vonka[[#This Row],[Zkratka kalkulační položky]]="","",Tabulka_nakup_Vonka[[#This Row],[Zkratka kalkulační položky]]&amp;" | "&amp;IF(A615="","",VLOOKUP(A:A,Pomocna_Nakup[],2,0)))</f>
        <v/>
      </c>
      <c r="D615" s="710" t="str">
        <f>IF(A615="","",'Rozpad zakázky'!F631)</f>
        <v/>
      </c>
      <c r="E615" s="710" t="str">
        <f>IF(A615="","",'Rozpad zakázky'!D631&amp;IF('Rozpad zakázky'!G631="",""," ("&amp;'Rozpad zakázky'!G631&amp;")"))</f>
        <v/>
      </c>
      <c r="F615" s="709" t="str">
        <f>IF(A615="","",'Rozpad zakázky'!IW631)</f>
        <v/>
      </c>
      <c r="G615" s="711" t="str">
        <f>IF(A615="","",'Rozpad zakázky'!AE631)</f>
        <v/>
      </c>
      <c r="H615" s="717" t="str">
        <f>IF(A615="","",'Rozpad zakázky'!AJ631)</f>
        <v/>
      </c>
      <c r="I615" s="748" t="str">
        <f>IF(A615="","",'Rozpad zakázky'!Q631)</f>
        <v/>
      </c>
      <c r="J615" s="717" t="str">
        <f>IF(A615="","",ROUNDDOWN('Rozpad zakázky'!L631,1))</f>
        <v/>
      </c>
      <c r="K615" s="745" t="str">
        <f>IF(A615="","",Tabulka_nakup_Vonka[[#This Row],[Počet MJHR v rozpadu]]*Tabulka_nakup_Vonka[[#This Row],[Jedn. hmotnost '[kg/MJHR']]])</f>
        <v/>
      </c>
    </row>
    <row r="616" spans="1:11" x14ac:dyDescent="0.35">
      <c r="A616" s="709" t="str">
        <f>IF('Rozpad zakázky'!E632=0,"",IF('Rozpad zakázky'!E632="-","",'Rozpad zakázky'!E632))</f>
        <v/>
      </c>
      <c r="B616" s="708" t="str">
        <f>IF(A616="","",IF(A616="","",VLOOKUP(A:A,Pomocna_Nakup[],3,0))&amp;" | "&amp;IF(A616="","",VLOOKUP(A:A,Pomocna_Nakup[],4,0)))</f>
        <v/>
      </c>
      <c r="C616" s="710" t="str">
        <f>IF(Tabulka_nakup_Vonka[[#This Row],[Zkratka kalkulační položky]]="","",Tabulka_nakup_Vonka[[#This Row],[Zkratka kalkulační položky]]&amp;" | "&amp;IF(A616="","",VLOOKUP(A:A,Pomocna_Nakup[],2,0)))</f>
        <v/>
      </c>
      <c r="D616" s="710" t="str">
        <f>IF(A616="","",'Rozpad zakázky'!F632)</f>
        <v/>
      </c>
      <c r="E616" s="710" t="str">
        <f>IF(A616="","",'Rozpad zakázky'!D632&amp;IF('Rozpad zakázky'!G632="",""," ("&amp;'Rozpad zakázky'!G632&amp;")"))</f>
        <v/>
      </c>
      <c r="F616" s="709" t="str">
        <f>IF(A616="","",'Rozpad zakázky'!IW632)</f>
        <v/>
      </c>
      <c r="G616" s="711" t="str">
        <f>IF(A616="","",'Rozpad zakázky'!AE632)</f>
        <v/>
      </c>
      <c r="H616" s="717" t="str">
        <f>IF(A616="","",'Rozpad zakázky'!AJ632)</f>
        <v/>
      </c>
      <c r="I616" s="748" t="str">
        <f>IF(A616="","",'Rozpad zakázky'!Q632)</f>
        <v/>
      </c>
      <c r="J616" s="717" t="str">
        <f>IF(A616="","",ROUNDDOWN('Rozpad zakázky'!L632,1))</f>
        <v/>
      </c>
      <c r="K616" s="745" t="str">
        <f>IF(A616="","",Tabulka_nakup_Vonka[[#This Row],[Počet MJHR v rozpadu]]*Tabulka_nakup_Vonka[[#This Row],[Jedn. hmotnost '[kg/MJHR']]])</f>
        <v/>
      </c>
    </row>
    <row r="617" spans="1:11" x14ac:dyDescent="0.35">
      <c r="A617" s="709" t="str">
        <f>IF('Rozpad zakázky'!E633=0,"",IF('Rozpad zakázky'!E633="-","",'Rozpad zakázky'!E633))</f>
        <v/>
      </c>
      <c r="B617" s="708" t="str">
        <f>IF(A617="","",IF(A617="","",VLOOKUP(A:A,Pomocna_Nakup[],3,0))&amp;" | "&amp;IF(A617="","",VLOOKUP(A:A,Pomocna_Nakup[],4,0)))</f>
        <v/>
      </c>
      <c r="C617" s="710" t="str">
        <f>IF(Tabulka_nakup_Vonka[[#This Row],[Zkratka kalkulační položky]]="","",Tabulka_nakup_Vonka[[#This Row],[Zkratka kalkulační položky]]&amp;" | "&amp;IF(A617="","",VLOOKUP(A:A,Pomocna_Nakup[],2,0)))</f>
        <v/>
      </c>
      <c r="D617" s="710" t="str">
        <f>IF(A617="","",'Rozpad zakázky'!F633)</f>
        <v/>
      </c>
      <c r="E617" s="710" t="str">
        <f>IF(A617="","",'Rozpad zakázky'!D633&amp;IF('Rozpad zakázky'!G633="",""," ("&amp;'Rozpad zakázky'!G633&amp;")"))</f>
        <v/>
      </c>
      <c r="F617" s="709" t="str">
        <f>IF(A617="","",'Rozpad zakázky'!IW633)</f>
        <v/>
      </c>
      <c r="G617" s="711" t="str">
        <f>IF(A617="","",'Rozpad zakázky'!AE633)</f>
        <v/>
      </c>
      <c r="H617" s="717" t="str">
        <f>IF(A617="","",'Rozpad zakázky'!AJ633)</f>
        <v/>
      </c>
      <c r="I617" s="748" t="str">
        <f>IF(A617="","",'Rozpad zakázky'!Q633)</f>
        <v/>
      </c>
      <c r="J617" s="717" t="str">
        <f>IF(A617="","",ROUNDDOWN('Rozpad zakázky'!L633,1))</f>
        <v/>
      </c>
      <c r="K617" s="745" t="str">
        <f>IF(A617="","",Tabulka_nakup_Vonka[[#This Row],[Počet MJHR v rozpadu]]*Tabulka_nakup_Vonka[[#This Row],[Jedn. hmotnost '[kg/MJHR']]])</f>
        <v/>
      </c>
    </row>
    <row r="618" spans="1:11" x14ac:dyDescent="0.35">
      <c r="A618" s="709" t="str">
        <f>IF('Rozpad zakázky'!E634=0,"",IF('Rozpad zakázky'!E634="-","",'Rozpad zakázky'!E634))</f>
        <v/>
      </c>
      <c r="B618" s="708" t="str">
        <f>IF(A618="","",IF(A618="","",VLOOKUP(A:A,Pomocna_Nakup[],3,0))&amp;" | "&amp;IF(A618="","",VLOOKUP(A:A,Pomocna_Nakup[],4,0)))</f>
        <v/>
      </c>
      <c r="C618" s="710" t="str">
        <f>IF(Tabulka_nakup_Vonka[[#This Row],[Zkratka kalkulační položky]]="","",Tabulka_nakup_Vonka[[#This Row],[Zkratka kalkulační položky]]&amp;" | "&amp;IF(A618="","",VLOOKUP(A:A,Pomocna_Nakup[],2,0)))</f>
        <v/>
      </c>
      <c r="D618" s="710" t="str">
        <f>IF(A618="","",'Rozpad zakázky'!F634)</f>
        <v/>
      </c>
      <c r="E618" s="710" t="str">
        <f>IF(A618="","",'Rozpad zakázky'!D634&amp;IF('Rozpad zakázky'!G634="",""," ("&amp;'Rozpad zakázky'!G634&amp;")"))</f>
        <v/>
      </c>
      <c r="F618" s="709" t="str">
        <f>IF(A618="","",'Rozpad zakázky'!IW634)</f>
        <v/>
      </c>
      <c r="G618" s="711" t="str">
        <f>IF(A618="","",'Rozpad zakázky'!AE634)</f>
        <v/>
      </c>
      <c r="H618" s="717" t="str">
        <f>IF(A618="","",'Rozpad zakázky'!AJ634)</f>
        <v/>
      </c>
      <c r="I618" s="748" t="str">
        <f>IF(A618="","",'Rozpad zakázky'!Q634)</f>
        <v/>
      </c>
      <c r="J618" s="717" t="str">
        <f>IF(A618="","",ROUNDDOWN('Rozpad zakázky'!L634,1))</f>
        <v/>
      </c>
      <c r="K618" s="745" t="str">
        <f>IF(A618="","",Tabulka_nakup_Vonka[[#This Row],[Počet MJHR v rozpadu]]*Tabulka_nakup_Vonka[[#This Row],[Jedn. hmotnost '[kg/MJHR']]])</f>
        <v/>
      </c>
    </row>
    <row r="619" spans="1:11" x14ac:dyDescent="0.35">
      <c r="A619" s="709" t="str">
        <f>IF('Rozpad zakázky'!E635=0,"",IF('Rozpad zakázky'!E635="-","",'Rozpad zakázky'!E635))</f>
        <v/>
      </c>
      <c r="B619" s="708" t="str">
        <f>IF(A619="","",IF(A619="","",VLOOKUP(A:A,Pomocna_Nakup[],3,0))&amp;" | "&amp;IF(A619="","",VLOOKUP(A:A,Pomocna_Nakup[],4,0)))</f>
        <v/>
      </c>
      <c r="C619" s="710" t="str">
        <f>IF(Tabulka_nakup_Vonka[[#This Row],[Zkratka kalkulační položky]]="","",Tabulka_nakup_Vonka[[#This Row],[Zkratka kalkulační položky]]&amp;" | "&amp;IF(A619="","",VLOOKUP(A:A,Pomocna_Nakup[],2,0)))</f>
        <v/>
      </c>
      <c r="D619" s="710" t="str">
        <f>IF(A619="","",'Rozpad zakázky'!F635)</f>
        <v/>
      </c>
      <c r="E619" s="710" t="str">
        <f>IF(A619="","",'Rozpad zakázky'!D635&amp;IF('Rozpad zakázky'!G635="",""," ("&amp;'Rozpad zakázky'!G635&amp;")"))</f>
        <v/>
      </c>
      <c r="F619" s="709" t="str">
        <f>IF(A619="","",'Rozpad zakázky'!IW635)</f>
        <v/>
      </c>
      <c r="G619" s="711" t="str">
        <f>IF(A619="","",'Rozpad zakázky'!AE635)</f>
        <v/>
      </c>
      <c r="H619" s="717" t="str">
        <f>IF(A619="","",'Rozpad zakázky'!AJ635)</f>
        <v/>
      </c>
      <c r="I619" s="748" t="str">
        <f>IF(A619="","",'Rozpad zakázky'!Q635)</f>
        <v/>
      </c>
      <c r="J619" s="717" t="str">
        <f>IF(A619="","",ROUNDDOWN('Rozpad zakázky'!L635,1))</f>
        <v/>
      </c>
      <c r="K619" s="745" t="str">
        <f>IF(A619="","",Tabulka_nakup_Vonka[[#This Row],[Počet MJHR v rozpadu]]*Tabulka_nakup_Vonka[[#This Row],[Jedn. hmotnost '[kg/MJHR']]])</f>
        <v/>
      </c>
    </row>
    <row r="620" spans="1:11" x14ac:dyDescent="0.35">
      <c r="A620" s="709" t="str">
        <f>IF('Rozpad zakázky'!E636=0,"",IF('Rozpad zakázky'!E636="-","",'Rozpad zakázky'!E636))</f>
        <v/>
      </c>
      <c r="B620" s="708" t="str">
        <f>IF(A620="","",IF(A620="","",VLOOKUP(A:A,Pomocna_Nakup[],3,0))&amp;" | "&amp;IF(A620="","",VLOOKUP(A:A,Pomocna_Nakup[],4,0)))</f>
        <v/>
      </c>
      <c r="C620" s="710" t="str">
        <f>IF(Tabulka_nakup_Vonka[[#This Row],[Zkratka kalkulační položky]]="","",Tabulka_nakup_Vonka[[#This Row],[Zkratka kalkulační položky]]&amp;" | "&amp;IF(A620="","",VLOOKUP(A:A,Pomocna_Nakup[],2,0)))</f>
        <v/>
      </c>
      <c r="D620" s="710" t="str">
        <f>IF(A620="","",'Rozpad zakázky'!F636)</f>
        <v/>
      </c>
      <c r="E620" s="710" t="str">
        <f>IF(A620="","",'Rozpad zakázky'!D636&amp;IF('Rozpad zakázky'!G636="",""," ("&amp;'Rozpad zakázky'!G636&amp;")"))</f>
        <v/>
      </c>
      <c r="F620" s="709" t="str">
        <f>IF(A620="","",'Rozpad zakázky'!IW636)</f>
        <v/>
      </c>
      <c r="G620" s="711" t="str">
        <f>IF(A620="","",'Rozpad zakázky'!AE636)</f>
        <v/>
      </c>
      <c r="H620" s="717" t="str">
        <f>IF(A620="","",'Rozpad zakázky'!AJ636)</f>
        <v/>
      </c>
      <c r="I620" s="748" t="str">
        <f>IF(A620="","",'Rozpad zakázky'!Q636)</f>
        <v/>
      </c>
      <c r="J620" s="717" t="str">
        <f>IF(A620="","",ROUNDDOWN('Rozpad zakázky'!L636,1))</f>
        <v/>
      </c>
      <c r="K620" s="745" t="str">
        <f>IF(A620="","",Tabulka_nakup_Vonka[[#This Row],[Počet MJHR v rozpadu]]*Tabulka_nakup_Vonka[[#This Row],[Jedn. hmotnost '[kg/MJHR']]])</f>
        <v/>
      </c>
    </row>
    <row r="621" spans="1:11" x14ac:dyDescent="0.35">
      <c r="A621" s="709" t="str">
        <f>IF('Rozpad zakázky'!E637=0,"",IF('Rozpad zakázky'!E637="-","",'Rozpad zakázky'!E637))</f>
        <v/>
      </c>
      <c r="B621" s="708" t="str">
        <f>IF(A621="","",IF(A621="","",VLOOKUP(A:A,Pomocna_Nakup[],3,0))&amp;" | "&amp;IF(A621="","",VLOOKUP(A:A,Pomocna_Nakup[],4,0)))</f>
        <v/>
      </c>
      <c r="C621" s="710" t="str">
        <f>IF(Tabulka_nakup_Vonka[[#This Row],[Zkratka kalkulační položky]]="","",Tabulka_nakup_Vonka[[#This Row],[Zkratka kalkulační položky]]&amp;" | "&amp;IF(A621="","",VLOOKUP(A:A,Pomocna_Nakup[],2,0)))</f>
        <v/>
      </c>
      <c r="D621" s="710" t="str">
        <f>IF(A621="","",'Rozpad zakázky'!F637)</f>
        <v/>
      </c>
      <c r="E621" s="710" t="str">
        <f>IF(A621="","",'Rozpad zakázky'!D637&amp;IF('Rozpad zakázky'!G637="",""," ("&amp;'Rozpad zakázky'!G637&amp;")"))</f>
        <v/>
      </c>
      <c r="F621" s="709" t="str">
        <f>IF(A621="","",'Rozpad zakázky'!IW637)</f>
        <v/>
      </c>
      <c r="G621" s="711" t="str">
        <f>IF(A621="","",'Rozpad zakázky'!AE637)</f>
        <v/>
      </c>
      <c r="H621" s="717" t="str">
        <f>IF(A621="","",'Rozpad zakázky'!AJ637)</f>
        <v/>
      </c>
      <c r="I621" s="748" t="str">
        <f>IF(A621="","",'Rozpad zakázky'!Q637)</f>
        <v/>
      </c>
      <c r="J621" s="717" t="str">
        <f>IF(A621="","",ROUNDDOWN('Rozpad zakázky'!L637,1))</f>
        <v/>
      </c>
      <c r="K621" s="745" t="str">
        <f>IF(A621="","",Tabulka_nakup_Vonka[[#This Row],[Počet MJHR v rozpadu]]*Tabulka_nakup_Vonka[[#This Row],[Jedn. hmotnost '[kg/MJHR']]])</f>
        <v/>
      </c>
    </row>
    <row r="622" spans="1:11" x14ac:dyDescent="0.35">
      <c r="A622" s="709" t="str">
        <f>IF('Rozpad zakázky'!E638=0,"",IF('Rozpad zakázky'!E638="-","",'Rozpad zakázky'!E638))</f>
        <v/>
      </c>
      <c r="B622" s="708" t="str">
        <f>IF(A622="","",IF(A622="","",VLOOKUP(A:A,Pomocna_Nakup[],3,0))&amp;" | "&amp;IF(A622="","",VLOOKUP(A:A,Pomocna_Nakup[],4,0)))</f>
        <v/>
      </c>
      <c r="C622" s="710" t="str">
        <f>IF(Tabulka_nakup_Vonka[[#This Row],[Zkratka kalkulační položky]]="","",Tabulka_nakup_Vonka[[#This Row],[Zkratka kalkulační položky]]&amp;" | "&amp;IF(A622="","",VLOOKUP(A:A,Pomocna_Nakup[],2,0)))</f>
        <v/>
      </c>
      <c r="D622" s="710" t="str">
        <f>IF(A622="","",'Rozpad zakázky'!F638)</f>
        <v/>
      </c>
      <c r="E622" s="710" t="str">
        <f>IF(A622="","",'Rozpad zakázky'!D638&amp;IF('Rozpad zakázky'!G638="",""," ("&amp;'Rozpad zakázky'!G638&amp;")"))</f>
        <v/>
      </c>
      <c r="F622" s="709" t="str">
        <f>IF(A622="","",'Rozpad zakázky'!IW638)</f>
        <v/>
      </c>
      <c r="G622" s="711" t="str">
        <f>IF(A622="","",'Rozpad zakázky'!AE638)</f>
        <v/>
      </c>
      <c r="H622" s="717" t="str">
        <f>IF(A622="","",'Rozpad zakázky'!AJ638)</f>
        <v/>
      </c>
      <c r="I622" s="748" t="str">
        <f>IF(A622="","",'Rozpad zakázky'!Q638)</f>
        <v/>
      </c>
      <c r="J622" s="717" t="str">
        <f>IF(A622="","",ROUNDDOWN('Rozpad zakázky'!L638,1))</f>
        <v/>
      </c>
      <c r="K622" s="745" t="str">
        <f>IF(A622="","",Tabulka_nakup_Vonka[[#This Row],[Počet MJHR v rozpadu]]*Tabulka_nakup_Vonka[[#This Row],[Jedn. hmotnost '[kg/MJHR']]])</f>
        <v/>
      </c>
    </row>
    <row r="623" spans="1:11" x14ac:dyDescent="0.35">
      <c r="A623" s="709" t="str">
        <f>IF('Rozpad zakázky'!E639=0,"",IF('Rozpad zakázky'!E639="-","",'Rozpad zakázky'!E639))</f>
        <v/>
      </c>
      <c r="B623" s="708" t="str">
        <f>IF(A623="","",IF(A623="","",VLOOKUP(A:A,Pomocna_Nakup[],3,0))&amp;" | "&amp;IF(A623="","",VLOOKUP(A:A,Pomocna_Nakup[],4,0)))</f>
        <v/>
      </c>
      <c r="C623" s="710" t="str">
        <f>IF(Tabulka_nakup_Vonka[[#This Row],[Zkratka kalkulační položky]]="","",Tabulka_nakup_Vonka[[#This Row],[Zkratka kalkulační položky]]&amp;" | "&amp;IF(A623="","",VLOOKUP(A:A,Pomocna_Nakup[],2,0)))</f>
        <v/>
      </c>
      <c r="D623" s="710" t="str">
        <f>IF(A623="","",'Rozpad zakázky'!F639)</f>
        <v/>
      </c>
      <c r="E623" s="710" t="str">
        <f>IF(A623="","",'Rozpad zakázky'!D639&amp;IF('Rozpad zakázky'!G639="",""," ("&amp;'Rozpad zakázky'!G639&amp;")"))</f>
        <v/>
      </c>
      <c r="F623" s="709" t="str">
        <f>IF(A623="","",'Rozpad zakázky'!IW639)</f>
        <v/>
      </c>
      <c r="G623" s="711" t="str">
        <f>IF(A623="","",'Rozpad zakázky'!AE639)</f>
        <v/>
      </c>
      <c r="H623" s="717" t="str">
        <f>IF(A623="","",'Rozpad zakázky'!AJ639)</f>
        <v/>
      </c>
      <c r="I623" s="748" t="str">
        <f>IF(A623="","",'Rozpad zakázky'!Q639)</f>
        <v/>
      </c>
      <c r="J623" s="717" t="str">
        <f>IF(A623="","",ROUNDDOWN('Rozpad zakázky'!L639,1))</f>
        <v/>
      </c>
      <c r="K623" s="745" t="str">
        <f>IF(A623="","",Tabulka_nakup_Vonka[[#This Row],[Počet MJHR v rozpadu]]*Tabulka_nakup_Vonka[[#This Row],[Jedn. hmotnost '[kg/MJHR']]])</f>
        <v/>
      </c>
    </row>
    <row r="624" spans="1:11" x14ac:dyDescent="0.35">
      <c r="A624" s="709" t="str">
        <f>IF('Rozpad zakázky'!E640=0,"",IF('Rozpad zakázky'!E640="-","",'Rozpad zakázky'!E640))</f>
        <v/>
      </c>
      <c r="B624" s="708" t="str">
        <f>IF(A624="","",IF(A624="","",VLOOKUP(A:A,Pomocna_Nakup[],3,0))&amp;" | "&amp;IF(A624="","",VLOOKUP(A:A,Pomocna_Nakup[],4,0)))</f>
        <v/>
      </c>
      <c r="C624" s="710" t="str">
        <f>IF(Tabulka_nakup_Vonka[[#This Row],[Zkratka kalkulační položky]]="","",Tabulka_nakup_Vonka[[#This Row],[Zkratka kalkulační položky]]&amp;" | "&amp;IF(A624="","",VLOOKUP(A:A,Pomocna_Nakup[],2,0)))</f>
        <v/>
      </c>
      <c r="D624" s="710" t="str">
        <f>IF(A624="","",'Rozpad zakázky'!F640)</f>
        <v/>
      </c>
      <c r="E624" s="710" t="str">
        <f>IF(A624="","",'Rozpad zakázky'!D640&amp;IF('Rozpad zakázky'!G640="",""," ("&amp;'Rozpad zakázky'!G640&amp;")"))</f>
        <v/>
      </c>
      <c r="F624" s="709" t="str">
        <f>IF(A624="","",'Rozpad zakázky'!IW640)</f>
        <v/>
      </c>
      <c r="G624" s="711" t="str">
        <f>IF(A624="","",'Rozpad zakázky'!AE640)</f>
        <v/>
      </c>
      <c r="H624" s="717" t="str">
        <f>IF(A624="","",'Rozpad zakázky'!AJ640)</f>
        <v/>
      </c>
      <c r="I624" s="748" t="str">
        <f>IF(A624="","",'Rozpad zakázky'!Q640)</f>
        <v/>
      </c>
      <c r="J624" s="717" t="str">
        <f>IF(A624="","",ROUNDDOWN('Rozpad zakázky'!L640,1))</f>
        <v/>
      </c>
      <c r="K624" s="745" t="str">
        <f>IF(A624="","",Tabulka_nakup_Vonka[[#This Row],[Počet MJHR v rozpadu]]*Tabulka_nakup_Vonka[[#This Row],[Jedn. hmotnost '[kg/MJHR']]])</f>
        <v/>
      </c>
    </row>
    <row r="625" spans="1:11" x14ac:dyDescent="0.35">
      <c r="A625" s="709" t="str">
        <f>IF('Rozpad zakázky'!E641=0,"",IF('Rozpad zakázky'!E641="-","",'Rozpad zakázky'!E641))</f>
        <v/>
      </c>
      <c r="B625" s="708" t="str">
        <f>IF(A625="","",IF(A625="","",VLOOKUP(A:A,Pomocna_Nakup[],3,0))&amp;" | "&amp;IF(A625="","",VLOOKUP(A:A,Pomocna_Nakup[],4,0)))</f>
        <v/>
      </c>
      <c r="C625" s="710" t="str">
        <f>IF(Tabulka_nakup_Vonka[[#This Row],[Zkratka kalkulační položky]]="","",Tabulka_nakup_Vonka[[#This Row],[Zkratka kalkulační položky]]&amp;" | "&amp;IF(A625="","",VLOOKUP(A:A,Pomocna_Nakup[],2,0)))</f>
        <v/>
      </c>
      <c r="D625" s="710" t="str">
        <f>IF(A625="","",'Rozpad zakázky'!F641)</f>
        <v/>
      </c>
      <c r="E625" s="710" t="str">
        <f>IF(A625="","",'Rozpad zakázky'!D641&amp;IF('Rozpad zakázky'!G641="",""," ("&amp;'Rozpad zakázky'!G641&amp;")"))</f>
        <v/>
      </c>
      <c r="F625" s="709" t="str">
        <f>IF(A625="","",'Rozpad zakázky'!IW641)</f>
        <v/>
      </c>
      <c r="G625" s="711" t="str">
        <f>IF(A625="","",'Rozpad zakázky'!AE641)</f>
        <v/>
      </c>
      <c r="H625" s="717" t="str">
        <f>IF(A625="","",'Rozpad zakázky'!AJ641)</f>
        <v/>
      </c>
      <c r="I625" s="748" t="str">
        <f>IF(A625="","",'Rozpad zakázky'!Q641)</f>
        <v/>
      </c>
      <c r="J625" s="717" t="str">
        <f>IF(A625="","",ROUNDDOWN('Rozpad zakázky'!L641,1))</f>
        <v/>
      </c>
      <c r="K625" s="745" t="str">
        <f>IF(A625="","",Tabulka_nakup_Vonka[[#This Row],[Počet MJHR v rozpadu]]*Tabulka_nakup_Vonka[[#This Row],[Jedn. hmotnost '[kg/MJHR']]])</f>
        <v/>
      </c>
    </row>
    <row r="626" spans="1:11" x14ac:dyDescent="0.35">
      <c r="A626" s="709" t="str">
        <f>IF('Rozpad zakázky'!E642=0,"",IF('Rozpad zakázky'!E642="-","",'Rozpad zakázky'!E642))</f>
        <v/>
      </c>
      <c r="B626" s="708" t="str">
        <f>IF(A626="","",IF(A626="","",VLOOKUP(A:A,Pomocna_Nakup[],3,0))&amp;" | "&amp;IF(A626="","",VLOOKUP(A:A,Pomocna_Nakup[],4,0)))</f>
        <v/>
      </c>
      <c r="C626" s="710" t="str">
        <f>IF(Tabulka_nakup_Vonka[[#This Row],[Zkratka kalkulační položky]]="","",Tabulka_nakup_Vonka[[#This Row],[Zkratka kalkulační položky]]&amp;" | "&amp;IF(A626="","",VLOOKUP(A:A,Pomocna_Nakup[],2,0)))</f>
        <v/>
      </c>
      <c r="D626" s="710" t="str">
        <f>IF(A626="","",'Rozpad zakázky'!F642)</f>
        <v/>
      </c>
      <c r="E626" s="710" t="str">
        <f>IF(A626="","",'Rozpad zakázky'!D642&amp;IF('Rozpad zakázky'!G642="",""," ("&amp;'Rozpad zakázky'!G642&amp;")"))</f>
        <v/>
      </c>
      <c r="F626" s="709" t="str">
        <f>IF(A626="","",'Rozpad zakázky'!IW642)</f>
        <v/>
      </c>
      <c r="G626" s="711" t="str">
        <f>IF(A626="","",'Rozpad zakázky'!AE642)</f>
        <v/>
      </c>
      <c r="H626" s="717" t="str">
        <f>IF(A626="","",'Rozpad zakázky'!AJ642)</f>
        <v/>
      </c>
      <c r="I626" s="748" t="str">
        <f>IF(A626="","",'Rozpad zakázky'!Q642)</f>
        <v/>
      </c>
      <c r="J626" s="717" t="str">
        <f>IF(A626="","",ROUNDDOWN('Rozpad zakázky'!L642,1))</f>
        <v/>
      </c>
      <c r="K626" s="745" t="str">
        <f>IF(A626="","",Tabulka_nakup_Vonka[[#This Row],[Počet MJHR v rozpadu]]*Tabulka_nakup_Vonka[[#This Row],[Jedn. hmotnost '[kg/MJHR']]])</f>
        <v/>
      </c>
    </row>
    <row r="627" spans="1:11" x14ac:dyDescent="0.35">
      <c r="A627" s="709" t="str">
        <f>IF('Rozpad zakázky'!E643=0,"",IF('Rozpad zakázky'!E643="-","",'Rozpad zakázky'!E643))</f>
        <v/>
      </c>
      <c r="B627" s="708" t="str">
        <f>IF(A627="","",IF(A627="","",VLOOKUP(A:A,Pomocna_Nakup[],3,0))&amp;" | "&amp;IF(A627="","",VLOOKUP(A:A,Pomocna_Nakup[],4,0)))</f>
        <v/>
      </c>
      <c r="C627" s="710" t="str">
        <f>IF(Tabulka_nakup_Vonka[[#This Row],[Zkratka kalkulační položky]]="","",Tabulka_nakup_Vonka[[#This Row],[Zkratka kalkulační položky]]&amp;" | "&amp;IF(A627="","",VLOOKUP(A:A,Pomocna_Nakup[],2,0)))</f>
        <v/>
      </c>
      <c r="D627" s="710" t="str">
        <f>IF(A627="","",'Rozpad zakázky'!F643)</f>
        <v/>
      </c>
      <c r="E627" s="710" t="str">
        <f>IF(A627="","",'Rozpad zakázky'!D643&amp;IF('Rozpad zakázky'!G643="",""," ("&amp;'Rozpad zakázky'!G643&amp;")"))</f>
        <v/>
      </c>
      <c r="F627" s="709" t="str">
        <f>IF(A627="","",'Rozpad zakázky'!IW643)</f>
        <v/>
      </c>
      <c r="G627" s="711" t="str">
        <f>IF(A627="","",'Rozpad zakázky'!AE643)</f>
        <v/>
      </c>
      <c r="H627" s="717" t="str">
        <f>IF(A627="","",'Rozpad zakázky'!AJ643)</f>
        <v/>
      </c>
      <c r="I627" s="748" t="str">
        <f>IF(A627="","",'Rozpad zakázky'!Q643)</f>
        <v/>
      </c>
      <c r="J627" s="717" t="str">
        <f>IF(A627="","",ROUNDDOWN('Rozpad zakázky'!L643,1))</f>
        <v/>
      </c>
      <c r="K627" s="745" t="str">
        <f>IF(A627="","",Tabulka_nakup_Vonka[[#This Row],[Počet MJHR v rozpadu]]*Tabulka_nakup_Vonka[[#This Row],[Jedn. hmotnost '[kg/MJHR']]])</f>
        <v/>
      </c>
    </row>
    <row r="628" spans="1:11" x14ac:dyDescent="0.35">
      <c r="A628" s="709" t="str">
        <f>IF('Rozpad zakázky'!E644=0,"",IF('Rozpad zakázky'!E644="-","",'Rozpad zakázky'!E644))</f>
        <v/>
      </c>
      <c r="B628" s="708" t="str">
        <f>IF(A628="","",IF(A628="","",VLOOKUP(A:A,Pomocna_Nakup[],3,0))&amp;" | "&amp;IF(A628="","",VLOOKUP(A:A,Pomocna_Nakup[],4,0)))</f>
        <v/>
      </c>
      <c r="C628" s="710" t="str">
        <f>IF(Tabulka_nakup_Vonka[[#This Row],[Zkratka kalkulační položky]]="","",Tabulka_nakup_Vonka[[#This Row],[Zkratka kalkulační položky]]&amp;" | "&amp;IF(A628="","",VLOOKUP(A:A,Pomocna_Nakup[],2,0)))</f>
        <v/>
      </c>
      <c r="D628" s="710" t="str">
        <f>IF(A628="","",'Rozpad zakázky'!F644)</f>
        <v/>
      </c>
      <c r="E628" s="710" t="str">
        <f>IF(A628="","",'Rozpad zakázky'!D644&amp;IF('Rozpad zakázky'!G644="",""," ("&amp;'Rozpad zakázky'!G644&amp;")"))</f>
        <v/>
      </c>
      <c r="F628" s="709" t="str">
        <f>IF(A628="","",'Rozpad zakázky'!IW644)</f>
        <v/>
      </c>
      <c r="G628" s="711" t="str">
        <f>IF(A628="","",'Rozpad zakázky'!AE644)</f>
        <v/>
      </c>
      <c r="H628" s="717" t="str">
        <f>IF(A628="","",'Rozpad zakázky'!AJ644)</f>
        <v/>
      </c>
      <c r="I628" s="748" t="str">
        <f>IF(A628="","",'Rozpad zakázky'!Q644)</f>
        <v/>
      </c>
      <c r="J628" s="717" t="str">
        <f>IF(A628="","",ROUNDDOWN('Rozpad zakázky'!L644,1))</f>
        <v/>
      </c>
      <c r="K628" s="745" t="str">
        <f>IF(A628="","",Tabulka_nakup_Vonka[[#This Row],[Počet MJHR v rozpadu]]*Tabulka_nakup_Vonka[[#This Row],[Jedn. hmotnost '[kg/MJHR']]])</f>
        <v/>
      </c>
    </row>
    <row r="629" spans="1:11" x14ac:dyDescent="0.35">
      <c r="A629" s="709" t="str">
        <f>IF('Rozpad zakázky'!E645=0,"",IF('Rozpad zakázky'!E645="-","",'Rozpad zakázky'!E645))</f>
        <v/>
      </c>
      <c r="B629" s="708" t="str">
        <f>IF(A629="","",IF(A629="","",VLOOKUP(A:A,Pomocna_Nakup[],3,0))&amp;" | "&amp;IF(A629="","",VLOOKUP(A:A,Pomocna_Nakup[],4,0)))</f>
        <v/>
      </c>
      <c r="C629" s="710" t="str">
        <f>IF(Tabulka_nakup_Vonka[[#This Row],[Zkratka kalkulační položky]]="","",Tabulka_nakup_Vonka[[#This Row],[Zkratka kalkulační položky]]&amp;" | "&amp;IF(A629="","",VLOOKUP(A:A,Pomocna_Nakup[],2,0)))</f>
        <v/>
      </c>
      <c r="D629" s="710" t="str">
        <f>IF(A629="","",'Rozpad zakázky'!F645)</f>
        <v/>
      </c>
      <c r="E629" s="710" t="str">
        <f>IF(A629="","",'Rozpad zakázky'!D645&amp;IF('Rozpad zakázky'!G645="",""," ("&amp;'Rozpad zakázky'!G645&amp;")"))</f>
        <v/>
      </c>
      <c r="F629" s="709" t="str">
        <f>IF(A629="","",'Rozpad zakázky'!IW645)</f>
        <v/>
      </c>
      <c r="G629" s="711" t="str">
        <f>IF(A629="","",'Rozpad zakázky'!AE645)</f>
        <v/>
      </c>
      <c r="H629" s="717" t="str">
        <f>IF(A629="","",'Rozpad zakázky'!AJ645)</f>
        <v/>
      </c>
      <c r="I629" s="748" t="str">
        <f>IF(A629="","",'Rozpad zakázky'!Q645)</f>
        <v/>
      </c>
      <c r="J629" s="717" t="str">
        <f>IF(A629="","",ROUNDDOWN('Rozpad zakázky'!L645,1))</f>
        <v/>
      </c>
      <c r="K629" s="745" t="str">
        <f>IF(A629="","",Tabulka_nakup_Vonka[[#This Row],[Počet MJHR v rozpadu]]*Tabulka_nakup_Vonka[[#This Row],[Jedn. hmotnost '[kg/MJHR']]])</f>
        <v/>
      </c>
    </row>
    <row r="630" spans="1:11" x14ac:dyDescent="0.35">
      <c r="A630" s="709" t="str">
        <f>IF('Rozpad zakázky'!E646=0,"",IF('Rozpad zakázky'!E646="-","",'Rozpad zakázky'!E646))</f>
        <v/>
      </c>
      <c r="B630" s="708" t="str">
        <f>IF(A630="","",IF(A630="","",VLOOKUP(A:A,Pomocna_Nakup[],3,0))&amp;" | "&amp;IF(A630="","",VLOOKUP(A:A,Pomocna_Nakup[],4,0)))</f>
        <v/>
      </c>
      <c r="C630" s="710" t="str">
        <f>IF(Tabulka_nakup_Vonka[[#This Row],[Zkratka kalkulační položky]]="","",Tabulka_nakup_Vonka[[#This Row],[Zkratka kalkulační položky]]&amp;" | "&amp;IF(A630="","",VLOOKUP(A:A,Pomocna_Nakup[],2,0)))</f>
        <v/>
      </c>
      <c r="D630" s="710" t="str">
        <f>IF(A630="","",'Rozpad zakázky'!F646)</f>
        <v/>
      </c>
      <c r="E630" s="710" t="str">
        <f>IF(A630="","",'Rozpad zakázky'!D646&amp;IF('Rozpad zakázky'!G646="",""," ("&amp;'Rozpad zakázky'!G646&amp;")"))</f>
        <v/>
      </c>
      <c r="F630" s="709" t="str">
        <f>IF(A630="","",'Rozpad zakázky'!IW646)</f>
        <v/>
      </c>
      <c r="G630" s="711" t="str">
        <f>IF(A630="","",'Rozpad zakázky'!AE646)</f>
        <v/>
      </c>
      <c r="H630" s="717" t="str">
        <f>IF(A630="","",'Rozpad zakázky'!AJ646)</f>
        <v/>
      </c>
      <c r="I630" s="748" t="str">
        <f>IF(A630="","",'Rozpad zakázky'!Q646)</f>
        <v/>
      </c>
      <c r="J630" s="717" t="str">
        <f>IF(A630="","",ROUNDDOWN('Rozpad zakázky'!L646,1))</f>
        <v/>
      </c>
      <c r="K630" s="745" t="str">
        <f>IF(A630="","",Tabulka_nakup_Vonka[[#This Row],[Počet MJHR v rozpadu]]*Tabulka_nakup_Vonka[[#This Row],[Jedn. hmotnost '[kg/MJHR']]])</f>
        <v/>
      </c>
    </row>
    <row r="631" spans="1:11" x14ac:dyDescent="0.35">
      <c r="A631" s="709" t="str">
        <f>IF('Rozpad zakázky'!E647=0,"",IF('Rozpad zakázky'!E647="-","",'Rozpad zakázky'!E647))</f>
        <v/>
      </c>
      <c r="B631" s="708" t="str">
        <f>IF(A631="","",IF(A631="","",VLOOKUP(A:A,Pomocna_Nakup[],3,0))&amp;" | "&amp;IF(A631="","",VLOOKUP(A:A,Pomocna_Nakup[],4,0)))</f>
        <v/>
      </c>
      <c r="C631" s="710" t="str">
        <f>IF(Tabulka_nakup_Vonka[[#This Row],[Zkratka kalkulační položky]]="","",Tabulka_nakup_Vonka[[#This Row],[Zkratka kalkulační položky]]&amp;" | "&amp;IF(A631="","",VLOOKUP(A:A,Pomocna_Nakup[],2,0)))</f>
        <v/>
      </c>
      <c r="D631" s="710" t="str">
        <f>IF(A631="","",'Rozpad zakázky'!F647)</f>
        <v/>
      </c>
      <c r="E631" s="710" t="str">
        <f>IF(A631="","",'Rozpad zakázky'!D647&amp;IF('Rozpad zakázky'!G647="",""," ("&amp;'Rozpad zakázky'!G647&amp;")"))</f>
        <v/>
      </c>
      <c r="F631" s="709" t="str">
        <f>IF(A631="","",'Rozpad zakázky'!IW647)</f>
        <v/>
      </c>
      <c r="G631" s="711" t="str">
        <f>IF(A631="","",'Rozpad zakázky'!AE647)</f>
        <v/>
      </c>
      <c r="H631" s="717" t="str">
        <f>IF(A631="","",'Rozpad zakázky'!AJ647)</f>
        <v/>
      </c>
      <c r="I631" s="748" t="str">
        <f>IF(A631="","",'Rozpad zakázky'!Q647)</f>
        <v/>
      </c>
      <c r="J631" s="717" t="str">
        <f>IF(A631="","",ROUNDDOWN('Rozpad zakázky'!L647,1))</f>
        <v/>
      </c>
      <c r="K631" s="745" t="str">
        <f>IF(A631="","",Tabulka_nakup_Vonka[[#This Row],[Počet MJHR v rozpadu]]*Tabulka_nakup_Vonka[[#This Row],[Jedn. hmotnost '[kg/MJHR']]])</f>
        <v/>
      </c>
    </row>
    <row r="632" spans="1:11" x14ac:dyDescent="0.35">
      <c r="A632" s="709" t="str">
        <f>IF('Rozpad zakázky'!E648=0,"",IF('Rozpad zakázky'!E648="-","",'Rozpad zakázky'!E648))</f>
        <v/>
      </c>
      <c r="B632" s="708" t="str">
        <f>IF(A632="","",IF(A632="","",VLOOKUP(A:A,Pomocna_Nakup[],3,0))&amp;" | "&amp;IF(A632="","",VLOOKUP(A:A,Pomocna_Nakup[],4,0)))</f>
        <v/>
      </c>
      <c r="C632" s="710" t="str">
        <f>IF(Tabulka_nakup_Vonka[[#This Row],[Zkratka kalkulační položky]]="","",Tabulka_nakup_Vonka[[#This Row],[Zkratka kalkulační položky]]&amp;" | "&amp;IF(A632="","",VLOOKUP(A:A,Pomocna_Nakup[],2,0)))</f>
        <v/>
      </c>
      <c r="D632" s="710" t="str">
        <f>IF(A632="","",'Rozpad zakázky'!F648)</f>
        <v/>
      </c>
      <c r="E632" s="710" t="str">
        <f>IF(A632="","",'Rozpad zakázky'!D648&amp;IF('Rozpad zakázky'!G648="",""," ("&amp;'Rozpad zakázky'!G648&amp;")"))</f>
        <v/>
      </c>
      <c r="F632" s="709" t="str">
        <f>IF(A632="","",'Rozpad zakázky'!IW648)</f>
        <v/>
      </c>
      <c r="G632" s="711" t="str">
        <f>IF(A632="","",'Rozpad zakázky'!AE648)</f>
        <v/>
      </c>
      <c r="H632" s="717" t="str">
        <f>IF(A632="","",'Rozpad zakázky'!AJ648)</f>
        <v/>
      </c>
      <c r="I632" s="748" t="str">
        <f>IF(A632="","",'Rozpad zakázky'!Q648)</f>
        <v/>
      </c>
      <c r="J632" s="717" t="str">
        <f>IF(A632="","",ROUNDDOWN('Rozpad zakázky'!L648,1))</f>
        <v/>
      </c>
      <c r="K632" s="745" t="str">
        <f>IF(A632="","",Tabulka_nakup_Vonka[[#This Row],[Počet MJHR v rozpadu]]*Tabulka_nakup_Vonka[[#This Row],[Jedn. hmotnost '[kg/MJHR']]])</f>
        <v/>
      </c>
    </row>
    <row r="633" spans="1:11" x14ac:dyDescent="0.35">
      <c r="A633" s="709" t="str">
        <f>IF('Rozpad zakázky'!E649=0,"",IF('Rozpad zakázky'!E649="-","",'Rozpad zakázky'!E649))</f>
        <v/>
      </c>
      <c r="B633" s="708" t="str">
        <f>IF(A633="","",IF(A633="","",VLOOKUP(A:A,Pomocna_Nakup[],3,0))&amp;" | "&amp;IF(A633="","",VLOOKUP(A:A,Pomocna_Nakup[],4,0)))</f>
        <v/>
      </c>
      <c r="C633" s="710" t="str">
        <f>IF(Tabulka_nakup_Vonka[[#This Row],[Zkratka kalkulační položky]]="","",Tabulka_nakup_Vonka[[#This Row],[Zkratka kalkulační položky]]&amp;" | "&amp;IF(A633="","",VLOOKUP(A:A,Pomocna_Nakup[],2,0)))</f>
        <v/>
      </c>
      <c r="D633" s="710" t="str">
        <f>IF(A633="","",'Rozpad zakázky'!F649)</f>
        <v/>
      </c>
      <c r="E633" s="710" t="str">
        <f>IF(A633="","",'Rozpad zakázky'!D649&amp;IF('Rozpad zakázky'!G649="",""," ("&amp;'Rozpad zakázky'!G649&amp;")"))</f>
        <v/>
      </c>
      <c r="F633" s="709" t="str">
        <f>IF(A633="","",'Rozpad zakázky'!IW649)</f>
        <v/>
      </c>
      <c r="G633" s="711" t="str">
        <f>IF(A633="","",'Rozpad zakázky'!AE649)</f>
        <v/>
      </c>
      <c r="H633" s="717" t="str">
        <f>IF(A633="","",'Rozpad zakázky'!AJ649)</f>
        <v/>
      </c>
      <c r="I633" s="748" t="str">
        <f>IF(A633="","",'Rozpad zakázky'!Q649)</f>
        <v/>
      </c>
      <c r="J633" s="717" t="str">
        <f>IF(A633="","",ROUNDDOWN('Rozpad zakázky'!L649,1))</f>
        <v/>
      </c>
      <c r="K633" s="745" t="str">
        <f>IF(A633="","",Tabulka_nakup_Vonka[[#This Row],[Počet MJHR v rozpadu]]*Tabulka_nakup_Vonka[[#This Row],[Jedn. hmotnost '[kg/MJHR']]])</f>
        <v/>
      </c>
    </row>
    <row r="634" spans="1:11" x14ac:dyDescent="0.35">
      <c r="A634" s="709" t="str">
        <f>IF('Rozpad zakázky'!E650=0,"",IF('Rozpad zakázky'!E650="-","",'Rozpad zakázky'!E650))</f>
        <v/>
      </c>
      <c r="B634" s="708" t="str">
        <f>IF(A634="","",IF(A634="","",VLOOKUP(A:A,Pomocna_Nakup[],3,0))&amp;" | "&amp;IF(A634="","",VLOOKUP(A:A,Pomocna_Nakup[],4,0)))</f>
        <v/>
      </c>
      <c r="C634" s="710" t="str">
        <f>IF(Tabulka_nakup_Vonka[[#This Row],[Zkratka kalkulační položky]]="","",Tabulka_nakup_Vonka[[#This Row],[Zkratka kalkulační položky]]&amp;" | "&amp;IF(A634="","",VLOOKUP(A:A,Pomocna_Nakup[],2,0)))</f>
        <v/>
      </c>
      <c r="D634" s="710" t="str">
        <f>IF(A634="","",'Rozpad zakázky'!F650)</f>
        <v/>
      </c>
      <c r="E634" s="710" t="str">
        <f>IF(A634="","",'Rozpad zakázky'!D650&amp;IF('Rozpad zakázky'!G650="",""," ("&amp;'Rozpad zakázky'!G650&amp;")"))</f>
        <v/>
      </c>
      <c r="F634" s="709" t="str">
        <f>IF(A634="","",'Rozpad zakázky'!IW650)</f>
        <v/>
      </c>
      <c r="G634" s="711" t="str">
        <f>IF(A634="","",'Rozpad zakázky'!AE650)</f>
        <v/>
      </c>
      <c r="H634" s="717" t="str">
        <f>IF(A634="","",'Rozpad zakázky'!AJ650)</f>
        <v/>
      </c>
      <c r="I634" s="748" t="str">
        <f>IF(A634="","",'Rozpad zakázky'!Q650)</f>
        <v/>
      </c>
      <c r="J634" s="717" t="str">
        <f>IF(A634="","",ROUNDDOWN('Rozpad zakázky'!L650,1))</f>
        <v/>
      </c>
      <c r="K634" s="745" t="str">
        <f>IF(A634="","",Tabulka_nakup_Vonka[[#This Row],[Počet MJHR v rozpadu]]*Tabulka_nakup_Vonka[[#This Row],[Jedn. hmotnost '[kg/MJHR']]])</f>
        <v/>
      </c>
    </row>
    <row r="635" spans="1:11" x14ac:dyDescent="0.35">
      <c r="A635" s="709" t="str">
        <f>IF('Rozpad zakázky'!E651=0,"",IF('Rozpad zakázky'!E651="-","",'Rozpad zakázky'!E651))</f>
        <v/>
      </c>
      <c r="B635" s="708" t="str">
        <f>IF(A635="","",IF(A635="","",VLOOKUP(A:A,Pomocna_Nakup[],3,0))&amp;" | "&amp;IF(A635="","",VLOOKUP(A:A,Pomocna_Nakup[],4,0)))</f>
        <v/>
      </c>
      <c r="C635" s="710" t="str">
        <f>IF(Tabulka_nakup_Vonka[[#This Row],[Zkratka kalkulační položky]]="","",Tabulka_nakup_Vonka[[#This Row],[Zkratka kalkulační položky]]&amp;" | "&amp;IF(A635="","",VLOOKUP(A:A,Pomocna_Nakup[],2,0)))</f>
        <v/>
      </c>
      <c r="D635" s="710" t="str">
        <f>IF(A635="","",'Rozpad zakázky'!F651)</f>
        <v/>
      </c>
      <c r="E635" s="710" t="str">
        <f>IF(A635="","",'Rozpad zakázky'!D651&amp;IF('Rozpad zakázky'!G651="",""," ("&amp;'Rozpad zakázky'!G651&amp;")"))</f>
        <v/>
      </c>
      <c r="F635" s="709" t="str">
        <f>IF(A635="","",'Rozpad zakázky'!IW651)</f>
        <v/>
      </c>
      <c r="G635" s="711" t="str">
        <f>IF(A635="","",'Rozpad zakázky'!AE651)</f>
        <v/>
      </c>
      <c r="H635" s="717" t="str">
        <f>IF(A635="","",'Rozpad zakázky'!AJ651)</f>
        <v/>
      </c>
      <c r="I635" s="748" t="str">
        <f>IF(A635="","",'Rozpad zakázky'!Q651)</f>
        <v/>
      </c>
      <c r="J635" s="717" t="str">
        <f>IF(A635="","",ROUNDDOWN('Rozpad zakázky'!L651,1))</f>
        <v/>
      </c>
      <c r="K635" s="745" t="str">
        <f>IF(A635="","",Tabulka_nakup_Vonka[[#This Row],[Počet MJHR v rozpadu]]*Tabulka_nakup_Vonka[[#This Row],[Jedn. hmotnost '[kg/MJHR']]])</f>
        <v/>
      </c>
    </row>
    <row r="636" spans="1:11" x14ac:dyDescent="0.35">
      <c r="A636" s="709" t="str">
        <f>IF('Rozpad zakázky'!E652=0,"",IF('Rozpad zakázky'!E652="-","",'Rozpad zakázky'!E652))</f>
        <v/>
      </c>
      <c r="B636" s="708" t="str">
        <f>IF(A636="","",IF(A636="","",VLOOKUP(A:A,Pomocna_Nakup[],3,0))&amp;" | "&amp;IF(A636="","",VLOOKUP(A:A,Pomocna_Nakup[],4,0)))</f>
        <v/>
      </c>
      <c r="C636" s="710" t="str">
        <f>IF(Tabulka_nakup_Vonka[[#This Row],[Zkratka kalkulační položky]]="","",Tabulka_nakup_Vonka[[#This Row],[Zkratka kalkulační položky]]&amp;" | "&amp;IF(A636="","",VLOOKUP(A:A,Pomocna_Nakup[],2,0)))</f>
        <v/>
      </c>
      <c r="D636" s="710" t="str">
        <f>IF(A636="","",'Rozpad zakázky'!F652)</f>
        <v/>
      </c>
      <c r="E636" s="710" t="str">
        <f>IF(A636="","",'Rozpad zakázky'!D652&amp;IF('Rozpad zakázky'!G652="",""," ("&amp;'Rozpad zakázky'!G652&amp;")"))</f>
        <v/>
      </c>
      <c r="F636" s="709" t="str">
        <f>IF(A636="","",'Rozpad zakázky'!IW652)</f>
        <v/>
      </c>
      <c r="G636" s="711" t="str">
        <f>IF(A636="","",'Rozpad zakázky'!AE652)</f>
        <v/>
      </c>
      <c r="H636" s="717" t="str">
        <f>IF(A636="","",'Rozpad zakázky'!AJ652)</f>
        <v/>
      </c>
      <c r="I636" s="748" t="str">
        <f>IF(A636="","",'Rozpad zakázky'!Q652)</f>
        <v/>
      </c>
      <c r="J636" s="717" t="str">
        <f>IF(A636="","",ROUNDDOWN('Rozpad zakázky'!L652,1))</f>
        <v/>
      </c>
      <c r="K636" s="745" t="str">
        <f>IF(A636="","",Tabulka_nakup_Vonka[[#This Row],[Počet MJHR v rozpadu]]*Tabulka_nakup_Vonka[[#This Row],[Jedn. hmotnost '[kg/MJHR']]])</f>
        <v/>
      </c>
    </row>
    <row r="637" spans="1:11" x14ac:dyDescent="0.35">
      <c r="A637" s="709" t="str">
        <f>IF('Rozpad zakázky'!E653=0,"",IF('Rozpad zakázky'!E653="-","",'Rozpad zakázky'!E653))</f>
        <v/>
      </c>
      <c r="B637" s="708" t="str">
        <f>IF(A637="","",IF(A637="","",VLOOKUP(A:A,Pomocna_Nakup[],3,0))&amp;" | "&amp;IF(A637="","",VLOOKUP(A:A,Pomocna_Nakup[],4,0)))</f>
        <v/>
      </c>
      <c r="C637" s="710" t="str">
        <f>IF(Tabulka_nakup_Vonka[[#This Row],[Zkratka kalkulační položky]]="","",Tabulka_nakup_Vonka[[#This Row],[Zkratka kalkulační položky]]&amp;" | "&amp;IF(A637="","",VLOOKUP(A:A,Pomocna_Nakup[],2,0)))</f>
        <v/>
      </c>
      <c r="D637" s="710" t="str">
        <f>IF(A637="","",'Rozpad zakázky'!F653)</f>
        <v/>
      </c>
      <c r="E637" s="710" t="str">
        <f>IF(A637="","",'Rozpad zakázky'!D653&amp;IF('Rozpad zakázky'!G653="",""," ("&amp;'Rozpad zakázky'!G653&amp;")"))</f>
        <v/>
      </c>
      <c r="F637" s="709" t="str">
        <f>IF(A637="","",'Rozpad zakázky'!IW653)</f>
        <v/>
      </c>
      <c r="G637" s="711" t="str">
        <f>IF(A637="","",'Rozpad zakázky'!AE653)</f>
        <v/>
      </c>
      <c r="H637" s="717" t="str">
        <f>IF(A637="","",'Rozpad zakázky'!AJ653)</f>
        <v/>
      </c>
      <c r="I637" s="748" t="str">
        <f>IF(A637="","",'Rozpad zakázky'!Q653)</f>
        <v/>
      </c>
      <c r="J637" s="717" t="str">
        <f>IF(A637="","",ROUNDDOWN('Rozpad zakázky'!L653,1))</f>
        <v/>
      </c>
      <c r="K637" s="745" t="str">
        <f>IF(A637="","",Tabulka_nakup_Vonka[[#This Row],[Počet MJHR v rozpadu]]*Tabulka_nakup_Vonka[[#This Row],[Jedn. hmotnost '[kg/MJHR']]])</f>
        <v/>
      </c>
    </row>
    <row r="638" spans="1:11" x14ac:dyDescent="0.35">
      <c r="A638" s="709" t="str">
        <f>IF('Rozpad zakázky'!E654=0,"",IF('Rozpad zakázky'!E654="-","",'Rozpad zakázky'!E654))</f>
        <v/>
      </c>
      <c r="B638" s="708" t="str">
        <f>IF(A638="","",IF(A638="","",VLOOKUP(A:A,Pomocna_Nakup[],3,0))&amp;" | "&amp;IF(A638="","",VLOOKUP(A:A,Pomocna_Nakup[],4,0)))</f>
        <v/>
      </c>
      <c r="C638" s="710" t="str">
        <f>IF(Tabulka_nakup_Vonka[[#This Row],[Zkratka kalkulační položky]]="","",Tabulka_nakup_Vonka[[#This Row],[Zkratka kalkulační položky]]&amp;" | "&amp;IF(A638="","",VLOOKUP(A:A,Pomocna_Nakup[],2,0)))</f>
        <v/>
      </c>
      <c r="D638" s="710" t="str">
        <f>IF(A638="","",'Rozpad zakázky'!F654)</f>
        <v/>
      </c>
      <c r="E638" s="710" t="str">
        <f>IF(A638="","",'Rozpad zakázky'!D654&amp;IF('Rozpad zakázky'!G654="",""," ("&amp;'Rozpad zakázky'!G654&amp;")"))</f>
        <v/>
      </c>
      <c r="F638" s="709" t="str">
        <f>IF(A638="","",'Rozpad zakázky'!IW654)</f>
        <v/>
      </c>
      <c r="G638" s="711" t="str">
        <f>IF(A638="","",'Rozpad zakázky'!AE654)</f>
        <v/>
      </c>
      <c r="H638" s="717" t="str">
        <f>IF(A638="","",'Rozpad zakázky'!AJ654)</f>
        <v/>
      </c>
      <c r="I638" s="748" t="str">
        <f>IF(A638="","",'Rozpad zakázky'!Q654)</f>
        <v/>
      </c>
      <c r="J638" s="717" t="str">
        <f>IF(A638="","",ROUNDDOWN('Rozpad zakázky'!L654,1))</f>
        <v/>
      </c>
      <c r="K638" s="745" t="str">
        <f>IF(A638="","",Tabulka_nakup_Vonka[[#This Row],[Počet MJHR v rozpadu]]*Tabulka_nakup_Vonka[[#This Row],[Jedn. hmotnost '[kg/MJHR']]])</f>
        <v/>
      </c>
    </row>
    <row r="639" spans="1:11" x14ac:dyDescent="0.35">
      <c r="A639" s="709" t="str">
        <f>IF('Rozpad zakázky'!E655=0,"",IF('Rozpad zakázky'!E655="-","",'Rozpad zakázky'!E655))</f>
        <v/>
      </c>
      <c r="B639" s="708" t="str">
        <f>IF(A639="","",IF(A639="","",VLOOKUP(A:A,Pomocna_Nakup[],3,0))&amp;" | "&amp;IF(A639="","",VLOOKUP(A:A,Pomocna_Nakup[],4,0)))</f>
        <v/>
      </c>
      <c r="C639" s="710" t="str">
        <f>IF(Tabulka_nakup_Vonka[[#This Row],[Zkratka kalkulační položky]]="","",Tabulka_nakup_Vonka[[#This Row],[Zkratka kalkulační položky]]&amp;" | "&amp;IF(A639="","",VLOOKUP(A:A,Pomocna_Nakup[],2,0)))</f>
        <v/>
      </c>
      <c r="D639" s="710" t="str">
        <f>IF(A639="","",'Rozpad zakázky'!F655)</f>
        <v/>
      </c>
      <c r="E639" s="710" t="str">
        <f>IF(A639="","",'Rozpad zakázky'!D655&amp;IF('Rozpad zakázky'!G655="",""," ("&amp;'Rozpad zakázky'!G655&amp;")"))</f>
        <v/>
      </c>
      <c r="F639" s="709" t="str">
        <f>IF(A639="","",'Rozpad zakázky'!IW655)</f>
        <v/>
      </c>
      <c r="G639" s="711" t="str">
        <f>IF(A639="","",'Rozpad zakázky'!AE655)</f>
        <v/>
      </c>
      <c r="H639" s="717" t="str">
        <f>IF(A639="","",'Rozpad zakázky'!AJ655)</f>
        <v/>
      </c>
      <c r="I639" s="748" t="str">
        <f>IF(A639="","",'Rozpad zakázky'!Q655)</f>
        <v/>
      </c>
      <c r="J639" s="717" t="str">
        <f>IF(A639="","",ROUNDDOWN('Rozpad zakázky'!L655,1))</f>
        <v/>
      </c>
      <c r="K639" s="745" t="str">
        <f>IF(A639="","",Tabulka_nakup_Vonka[[#This Row],[Počet MJHR v rozpadu]]*Tabulka_nakup_Vonka[[#This Row],[Jedn. hmotnost '[kg/MJHR']]])</f>
        <v/>
      </c>
    </row>
    <row r="640" spans="1:11" x14ac:dyDescent="0.35">
      <c r="A640" s="709" t="str">
        <f>IF('Rozpad zakázky'!E656=0,"",IF('Rozpad zakázky'!E656="-","",'Rozpad zakázky'!E656))</f>
        <v/>
      </c>
      <c r="B640" s="708" t="str">
        <f>IF(A640="","",IF(A640="","",VLOOKUP(A:A,Pomocna_Nakup[],3,0))&amp;" | "&amp;IF(A640="","",VLOOKUP(A:A,Pomocna_Nakup[],4,0)))</f>
        <v/>
      </c>
      <c r="C640" s="710" t="str">
        <f>IF(Tabulka_nakup_Vonka[[#This Row],[Zkratka kalkulační položky]]="","",Tabulka_nakup_Vonka[[#This Row],[Zkratka kalkulační položky]]&amp;" | "&amp;IF(A640="","",VLOOKUP(A:A,Pomocna_Nakup[],2,0)))</f>
        <v/>
      </c>
      <c r="D640" s="710" t="str">
        <f>IF(A640="","",'Rozpad zakázky'!F656)</f>
        <v/>
      </c>
      <c r="E640" s="710" t="str">
        <f>IF(A640="","",'Rozpad zakázky'!D656&amp;IF('Rozpad zakázky'!G656="",""," ("&amp;'Rozpad zakázky'!G656&amp;")"))</f>
        <v/>
      </c>
      <c r="F640" s="709" t="str">
        <f>IF(A640="","",'Rozpad zakázky'!IW656)</f>
        <v/>
      </c>
      <c r="G640" s="711" t="str">
        <f>IF(A640="","",'Rozpad zakázky'!AE656)</f>
        <v/>
      </c>
      <c r="H640" s="717" t="str">
        <f>IF(A640="","",'Rozpad zakázky'!AJ656)</f>
        <v/>
      </c>
      <c r="I640" s="748" t="str">
        <f>IF(A640="","",'Rozpad zakázky'!Q656)</f>
        <v/>
      </c>
      <c r="J640" s="717" t="str">
        <f>IF(A640="","",ROUNDDOWN('Rozpad zakázky'!L656,1))</f>
        <v/>
      </c>
      <c r="K640" s="745" t="str">
        <f>IF(A640="","",Tabulka_nakup_Vonka[[#This Row],[Počet MJHR v rozpadu]]*Tabulka_nakup_Vonka[[#This Row],[Jedn. hmotnost '[kg/MJHR']]])</f>
        <v/>
      </c>
    </row>
    <row r="641" spans="1:11" x14ac:dyDescent="0.35">
      <c r="A641" s="709" t="str">
        <f>IF('Rozpad zakázky'!E657=0,"",IF('Rozpad zakázky'!E657="-","",'Rozpad zakázky'!E657))</f>
        <v/>
      </c>
      <c r="B641" s="708" t="str">
        <f>IF(A641="","",IF(A641="","",VLOOKUP(A:A,Pomocna_Nakup[],3,0))&amp;" | "&amp;IF(A641="","",VLOOKUP(A:A,Pomocna_Nakup[],4,0)))</f>
        <v/>
      </c>
      <c r="C641" s="710" t="str">
        <f>IF(Tabulka_nakup_Vonka[[#This Row],[Zkratka kalkulační položky]]="","",Tabulka_nakup_Vonka[[#This Row],[Zkratka kalkulační položky]]&amp;" | "&amp;IF(A641="","",VLOOKUP(A:A,Pomocna_Nakup[],2,0)))</f>
        <v/>
      </c>
      <c r="D641" s="710" t="str">
        <f>IF(A641="","",'Rozpad zakázky'!F657)</f>
        <v/>
      </c>
      <c r="E641" s="710" t="str">
        <f>IF(A641="","",'Rozpad zakázky'!D657&amp;IF('Rozpad zakázky'!G657="",""," ("&amp;'Rozpad zakázky'!G657&amp;")"))</f>
        <v/>
      </c>
      <c r="F641" s="709" t="str">
        <f>IF(A641="","",'Rozpad zakázky'!IW657)</f>
        <v/>
      </c>
      <c r="G641" s="711" t="str">
        <f>IF(A641="","",'Rozpad zakázky'!AE657)</f>
        <v/>
      </c>
      <c r="H641" s="717" t="str">
        <f>IF(A641="","",'Rozpad zakázky'!AJ657)</f>
        <v/>
      </c>
      <c r="I641" s="748" t="str">
        <f>IF(A641="","",'Rozpad zakázky'!Q657)</f>
        <v/>
      </c>
      <c r="J641" s="717" t="str">
        <f>IF(A641="","",ROUNDDOWN('Rozpad zakázky'!L657,1))</f>
        <v/>
      </c>
      <c r="K641" s="745" t="str">
        <f>IF(A641="","",Tabulka_nakup_Vonka[[#This Row],[Počet MJHR v rozpadu]]*Tabulka_nakup_Vonka[[#This Row],[Jedn. hmotnost '[kg/MJHR']]])</f>
        <v/>
      </c>
    </row>
    <row r="642" spans="1:11" x14ac:dyDescent="0.35">
      <c r="A642" s="709" t="str">
        <f>IF('Rozpad zakázky'!E658=0,"",IF('Rozpad zakázky'!E658="-","",'Rozpad zakázky'!E658))</f>
        <v/>
      </c>
      <c r="B642" s="708" t="str">
        <f>IF(A642="","",IF(A642="","",VLOOKUP(A:A,Pomocna_Nakup[],3,0))&amp;" | "&amp;IF(A642="","",VLOOKUP(A:A,Pomocna_Nakup[],4,0)))</f>
        <v/>
      </c>
      <c r="C642" s="710" t="str">
        <f>IF(Tabulka_nakup_Vonka[[#This Row],[Zkratka kalkulační položky]]="","",Tabulka_nakup_Vonka[[#This Row],[Zkratka kalkulační položky]]&amp;" | "&amp;IF(A642="","",VLOOKUP(A:A,Pomocna_Nakup[],2,0)))</f>
        <v/>
      </c>
      <c r="D642" s="710" t="str">
        <f>IF(A642="","",'Rozpad zakázky'!F658)</f>
        <v/>
      </c>
      <c r="E642" s="710" t="str">
        <f>IF(A642="","",'Rozpad zakázky'!D658&amp;IF('Rozpad zakázky'!G658="",""," ("&amp;'Rozpad zakázky'!G658&amp;")"))</f>
        <v/>
      </c>
      <c r="F642" s="709" t="str">
        <f>IF(A642="","",'Rozpad zakázky'!IW658)</f>
        <v/>
      </c>
      <c r="G642" s="711" t="str">
        <f>IF(A642="","",'Rozpad zakázky'!AE658)</f>
        <v/>
      </c>
      <c r="H642" s="717" t="str">
        <f>IF(A642="","",'Rozpad zakázky'!AJ658)</f>
        <v/>
      </c>
      <c r="I642" s="748" t="str">
        <f>IF(A642="","",'Rozpad zakázky'!Q658)</f>
        <v/>
      </c>
      <c r="J642" s="717" t="str">
        <f>IF(A642="","",ROUNDDOWN('Rozpad zakázky'!L658,1))</f>
        <v/>
      </c>
      <c r="K642" s="745" t="str">
        <f>IF(A642="","",Tabulka_nakup_Vonka[[#This Row],[Počet MJHR v rozpadu]]*Tabulka_nakup_Vonka[[#This Row],[Jedn. hmotnost '[kg/MJHR']]])</f>
        <v/>
      </c>
    </row>
    <row r="643" spans="1:11" x14ac:dyDescent="0.35">
      <c r="A643" s="709" t="str">
        <f>IF('Rozpad zakázky'!E659=0,"",IF('Rozpad zakázky'!E659="-","",'Rozpad zakázky'!E659))</f>
        <v/>
      </c>
      <c r="B643" s="708" t="str">
        <f>IF(A643="","",IF(A643="","",VLOOKUP(A:A,Pomocna_Nakup[],3,0))&amp;" | "&amp;IF(A643="","",VLOOKUP(A:A,Pomocna_Nakup[],4,0)))</f>
        <v/>
      </c>
      <c r="C643" s="710" t="str">
        <f>IF(Tabulka_nakup_Vonka[[#This Row],[Zkratka kalkulační položky]]="","",Tabulka_nakup_Vonka[[#This Row],[Zkratka kalkulační položky]]&amp;" | "&amp;IF(A643="","",VLOOKUP(A:A,Pomocna_Nakup[],2,0)))</f>
        <v/>
      </c>
      <c r="D643" s="710" t="str">
        <f>IF(A643="","",'Rozpad zakázky'!F659)</f>
        <v/>
      </c>
      <c r="E643" s="710" t="str">
        <f>IF(A643="","",'Rozpad zakázky'!D659&amp;IF('Rozpad zakázky'!G659="",""," ("&amp;'Rozpad zakázky'!G659&amp;")"))</f>
        <v/>
      </c>
      <c r="F643" s="709" t="str">
        <f>IF(A643="","",'Rozpad zakázky'!IW659)</f>
        <v/>
      </c>
      <c r="G643" s="711" t="str">
        <f>IF(A643="","",'Rozpad zakázky'!AE659)</f>
        <v/>
      </c>
      <c r="H643" s="717" t="str">
        <f>IF(A643="","",'Rozpad zakázky'!AJ659)</f>
        <v/>
      </c>
      <c r="I643" s="748" t="str">
        <f>IF(A643="","",'Rozpad zakázky'!Q659)</f>
        <v/>
      </c>
      <c r="J643" s="717" t="str">
        <f>IF(A643="","",ROUNDDOWN('Rozpad zakázky'!L659,1))</f>
        <v/>
      </c>
      <c r="K643" s="745" t="str">
        <f>IF(A643="","",Tabulka_nakup_Vonka[[#This Row],[Počet MJHR v rozpadu]]*Tabulka_nakup_Vonka[[#This Row],[Jedn. hmotnost '[kg/MJHR']]])</f>
        <v/>
      </c>
    </row>
    <row r="644" spans="1:11" x14ac:dyDescent="0.35">
      <c r="A644" s="709" t="str">
        <f>IF('Rozpad zakázky'!E660=0,"",IF('Rozpad zakázky'!E660="-","",'Rozpad zakázky'!E660))</f>
        <v/>
      </c>
      <c r="B644" s="708" t="str">
        <f>IF(A644="","",IF(A644="","",VLOOKUP(A:A,Pomocna_Nakup[],3,0))&amp;" | "&amp;IF(A644="","",VLOOKUP(A:A,Pomocna_Nakup[],4,0)))</f>
        <v/>
      </c>
      <c r="C644" s="710" t="str">
        <f>IF(Tabulka_nakup_Vonka[[#This Row],[Zkratka kalkulační položky]]="","",Tabulka_nakup_Vonka[[#This Row],[Zkratka kalkulační položky]]&amp;" | "&amp;IF(A644="","",VLOOKUP(A:A,Pomocna_Nakup[],2,0)))</f>
        <v/>
      </c>
      <c r="D644" s="710" t="str">
        <f>IF(A644="","",'Rozpad zakázky'!F660)</f>
        <v/>
      </c>
      <c r="E644" s="710" t="str">
        <f>IF(A644="","",'Rozpad zakázky'!D660&amp;IF('Rozpad zakázky'!G660="",""," ("&amp;'Rozpad zakázky'!G660&amp;")"))</f>
        <v/>
      </c>
      <c r="F644" s="709" t="str">
        <f>IF(A644="","",'Rozpad zakázky'!IW660)</f>
        <v/>
      </c>
      <c r="G644" s="711" t="str">
        <f>IF(A644="","",'Rozpad zakázky'!AE660)</f>
        <v/>
      </c>
      <c r="H644" s="717" t="str">
        <f>IF(A644="","",'Rozpad zakázky'!AJ660)</f>
        <v/>
      </c>
      <c r="I644" s="748" t="str">
        <f>IF(A644="","",'Rozpad zakázky'!Q660)</f>
        <v/>
      </c>
      <c r="J644" s="717" t="str">
        <f>IF(A644="","",ROUNDDOWN('Rozpad zakázky'!L660,1))</f>
        <v/>
      </c>
      <c r="K644" s="745" t="str">
        <f>IF(A644="","",Tabulka_nakup_Vonka[[#This Row],[Počet MJHR v rozpadu]]*Tabulka_nakup_Vonka[[#This Row],[Jedn. hmotnost '[kg/MJHR']]])</f>
        <v/>
      </c>
    </row>
    <row r="645" spans="1:11" x14ac:dyDescent="0.35">
      <c r="A645" s="709" t="str">
        <f>IF('Rozpad zakázky'!E661=0,"",IF('Rozpad zakázky'!E661="-","",'Rozpad zakázky'!E661))</f>
        <v/>
      </c>
      <c r="B645" s="708" t="str">
        <f>IF(A645="","",IF(A645="","",VLOOKUP(A:A,Pomocna_Nakup[],3,0))&amp;" | "&amp;IF(A645="","",VLOOKUP(A:A,Pomocna_Nakup[],4,0)))</f>
        <v/>
      </c>
      <c r="C645" s="710" t="str">
        <f>IF(Tabulka_nakup_Vonka[[#This Row],[Zkratka kalkulační položky]]="","",Tabulka_nakup_Vonka[[#This Row],[Zkratka kalkulační položky]]&amp;" | "&amp;IF(A645="","",VLOOKUP(A:A,Pomocna_Nakup[],2,0)))</f>
        <v/>
      </c>
      <c r="D645" s="710" t="str">
        <f>IF(A645="","",'Rozpad zakázky'!F661)</f>
        <v/>
      </c>
      <c r="E645" s="710" t="str">
        <f>IF(A645="","",'Rozpad zakázky'!D661&amp;IF('Rozpad zakázky'!G661="",""," ("&amp;'Rozpad zakázky'!G661&amp;")"))</f>
        <v/>
      </c>
      <c r="F645" s="709" t="str">
        <f>IF(A645="","",'Rozpad zakázky'!IW661)</f>
        <v/>
      </c>
      <c r="G645" s="711" t="str">
        <f>IF(A645="","",'Rozpad zakázky'!AE661)</f>
        <v/>
      </c>
      <c r="H645" s="717" t="str">
        <f>IF(A645="","",'Rozpad zakázky'!AJ661)</f>
        <v/>
      </c>
      <c r="I645" s="748" t="str">
        <f>IF(A645="","",'Rozpad zakázky'!Q661)</f>
        <v/>
      </c>
      <c r="J645" s="717" t="str">
        <f>IF(A645="","",ROUNDDOWN('Rozpad zakázky'!L661,1))</f>
        <v/>
      </c>
      <c r="K645" s="745" t="str">
        <f>IF(A645="","",Tabulka_nakup_Vonka[[#This Row],[Počet MJHR v rozpadu]]*Tabulka_nakup_Vonka[[#This Row],[Jedn. hmotnost '[kg/MJHR']]])</f>
        <v/>
      </c>
    </row>
    <row r="646" spans="1:11" x14ac:dyDescent="0.35">
      <c r="A646" s="709" t="str">
        <f>IF('Rozpad zakázky'!E662=0,"",IF('Rozpad zakázky'!E662="-","",'Rozpad zakázky'!E662))</f>
        <v/>
      </c>
      <c r="B646" s="708" t="str">
        <f>IF(A646="","",IF(A646="","",VLOOKUP(A:A,Pomocna_Nakup[],3,0))&amp;" | "&amp;IF(A646="","",VLOOKUP(A:A,Pomocna_Nakup[],4,0)))</f>
        <v/>
      </c>
      <c r="C646" s="710" t="str">
        <f>IF(Tabulka_nakup_Vonka[[#This Row],[Zkratka kalkulační položky]]="","",Tabulka_nakup_Vonka[[#This Row],[Zkratka kalkulační položky]]&amp;" | "&amp;IF(A646="","",VLOOKUP(A:A,Pomocna_Nakup[],2,0)))</f>
        <v/>
      </c>
      <c r="D646" s="710" t="str">
        <f>IF(A646="","",'Rozpad zakázky'!F662)</f>
        <v/>
      </c>
      <c r="E646" s="710" t="str">
        <f>IF(A646="","",'Rozpad zakázky'!D662&amp;IF('Rozpad zakázky'!G662="",""," ("&amp;'Rozpad zakázky'!G662&amp;")"))</f>
        <v/>
      </c>
      <c r="F646" s="709" t="str">
        <f>IF(A646="","",'Rozpad zakázky'!IW662)</f>
        <v/>
      </c>
      <c r="G646" s="711" t="str">
        <f>IF(A646="","",'Rozpad zakázky'!AE662)</f>
        <v/>
      </c>
      <c r="H646" s="717" t="str">
        <f>IF(A646="","",'Rozpad zakázky'!AJ662)</f>
        <v/>
      </c>
      <c r="I646" s="748" t="str">
        <f>IF(A646="","",'Rozpad zakázky'!Q662)</f>
        <v/>
      </c>
      <c r="J646" s="717" t="str">
        <f>IF(A646="","",ROUNDDOWN('Rozpad zakázky'!L662,1))</f>
        <v/>
      </c>
      <c r="K646" s="745" t="str">
        <f>IF(A646="","",Tabulka_nakup_Vonka[[#This Row],[Počet MJHR v rozpadu]]*Tabulka_nakup_Vonka[[#This Row],[Jedn. hmotnost '[kg/MJHR']]])</f>
        <v/>
      </c>
    </row>
    <row r="647" spans="1:11" x14ac:dyDescent="0.35">
      <c r="A647" s="709" t="str">
        <f>IF('Rozpad zakázky'!E663=0,"",IF('Rozpad zakázky'!E663="-","",'Rozpad zakázky'!E663))</f>
        <v/>
      </c>
      <c r="B647" s="708" t="str">
        <f>IF(A647="","",IF(A647="","",VLOOKUP(A:A,Pomocna_Nakup[],3,0))&amp;" | "&amp;IF(A647="","",VLOOKUP(A:A,Pomocna_Nakup[],4,0)))</f>
        <v/>
      </c>
      <c r="C647" s="710" t="str">
        <f>IF(Tabulka_nakup_Vonka[[#This Row],[Zkratka kalkulační položky]]="","",Tabulka_nakup_Vonka[[#This Row],[Zkratka kalkulační položky]]&amp;" | "&amp;IF(A647="","",VLOOKUP(A:A,Pomocna_Nakup[],2,0)))</f>
        <v/>
      </c>
      <c r="D647" s="710" t="str">
        <f>IF(A647="","",'Rozpad zakázky'!F663)</f>
        <v/>
      </c>
      <c r="E647" s="710" t="str">
        <f>IF(A647="","",'Rozpad zakázky'!D663&amp;IF('Rozpad zakázky'!G663="",""," ("&amp;'Rozpad zakázky'!G663&amp;")"))</f>
        <v/>
      </c>
      <c r="F647" s="709" t="str">
        <f>IF(A647="","",'Rozpad zakázky'!IW663)</f>
        <v/>
      </c>
      <c r="G647" s="711" t="str">
        <f>IF(A647="","",'Rozpad zakázky'!AE663)</f>
        <v/>
      </c>
      <c r="H647" s="717" t="str">
        <f>IF(A647="","",'Rozpad zakázky'!AJ663)</f>
        <v/>
      </c>
      <c r="I647" s="748" t="str">
        <f>IF(A647="","",'Rozpad zakázky'!Q663)</f>
        <v/>
      </c>
      <c r="J647" s="717" t="str">
        <f>IF(A647="","",ROUNDDOWN('Rozpad zakázky'!L663,1))</f>
        <v/>
      </c>
      <c r="K647" s="745" t="str">
        <f>IF(A647="","",Tabulka_nakup_Vonka[[#This Row],[Počet MJHR v rozpadu]]*Tabulka_nakup_Vonka[[#This Row],[Jedn. hmotnost '[kg/MJHR']]])</f>
        <v/>
      </c>
    </row>
    <row r="648" spans="1:11" x14ac:dyDescent="0.35">
      <c r="A648" s="709" t="str">
        <f>IF('Rozpad zakázky'!E664=0,"",IF('Rozpad zakázky'!E664="-","",'Rozpad zakázky'!E664))</f>
        <v/>
      </c>
      <c r="B648" s="708" t="str">
        <f>IF(A648="","",IF(A648="","",VLOOKUP(A:A,Pomocna_Nakup[],3,0))&amp;" | "&amp;IF(A648="","",VLOOKUP(A:A,Pomocna_Nakup[],4,0)))</f>
        <v/>
      </c>
      <c r="C648" s="710" t="str">
        <f>IF(Tabulka_nakup_Vonka[[#This Row],[Zkratka kalkulační položky]]="","",Tabulka_nakup_Vonka[[#This Row],[Zkratka kalkulační položky]]&amp;" | "&amp;IF(A648="","",VLOOKUP(A:A,Pomocna_Nakup[],2,0)))</f>
        <v/>
      </c>
      <c r="D648" s="710" t="str">
        <f>IF(A648="","",'Rozpad zakázky'!F664)</f>
        <v/>
      </c>
      <c r="E648" s="710" t="str">
        <f>IF(A648="","",'Rozpad zakázky'!D664&amp;IF('Rozpad zakázky'!G664="",""," ("&amp;'Rozpad zakázky'!G664&amp;")"))</f>
        <v/>
      </c>
      <c r="F648" s="709" t="str">
        <f>IF(A648="","",'Rozpad zakázky'!IW664)</f>
        <v/>
      </c>
      <c r="G648" s="711" t="str">
        <f>IF(A648="","",'Rozpad zakázky'!AE664)</f>
        <v/>
      </c>
      <c r="H648" s="717" t="str">
        <f>IF(A648="","",'Rozpad zakázky'!AJ664)</f>
        <v/>
      </c>
      <c r="I648" s="748" t="str">
        <f>IF(A648="","",'Rozpad zakázky'!Q664)</f>
        <v/>
      </c>
      <c r="J648" s="717" t="str">
        <f>IF(A648="","",ROUNDDOWN('Rozpad zakázky'!L664,1))</f>
        <v/>
      </c>
      <c r="K648" s="745" t="str">
        <f>IF(A648="","",Tabulka_nakup_Vonka[[#This Row],[Počet MJHR v rozpadu]]*Tabulka_nakup_Vonka[[#This Row],[Jedn. hmotnost '[kg/MJHR']]])</f>
        <v/>
      </c>
    </row>
    <row r="649" spans="1:11" x14ac:dyDescent="0.35">
      <c r="A649" s="709" t="str">
        <f>IF('Rozpad zakázky'!E665=0,"",IF('Rozpad zakázky'!E665="-","",'Rozpad zakázky'!E665))</f>
        <v/>
      </c>
      <c r="B649" s="708" t="str">
        <f>IF(A649="","",IF(A649="","",VLOOKUP(A:A,Pomocna_Nakup[],3,0))&amp;" | "&amp;IF(A649="","",VLOOKUP(A:A,Pomocna_Nakup[],4,0)))</f>
        <v/>
      </c>
      <c r="C649" s="710" t="str">
        <f>IF(Tabulka_nakup_Vonka[[#This Row],[Zkratka kalkulační položky]]="","",Tabulka_nakup_Vonka[[#This Row],[Zkratka kalkulační položky]]&amp;" | "&amp;IF(A649="","",VLOOKUP(A:A,Pomocna_Nakup[],2,0)))</f>
        <v/>
      </c>
      <c r="D649" s="710" t="str">
        <f>IF(A649="","",'Rozpad zakázky'!F665)</f>
        <v/>
      </c>
      <c r="E649" s="710" t="str">
        <f>IF(A649="","",'Rozpad zakázky'!D665&amp;IF('Rozpad zakázky'!G665="",""," ("&amp;'Rozpad zakázky'!G665&amp;")"))</f>
        <v/>
      </c>
      <c r="F649" s="709" t="str">
        <f>IF(A649="","",'Rozpad zakázky'!IW665)</f>
        <v/>
      </c>
      <c r="G649" s="711" t="str">
        <f>IF(A649="","",'Rozpad zakázky'!AE665)</f>
        <v/>
      </c>
      <c r="H649" s="717" t="str">
        <f>IF(A649="","",'Rozpad zakázky'!AJ665)</f>
        <v/>
      </c>
      <c r="I649" s="748" t="str">
        <f>IF(A649="","",'Rozpad zakázky'!Q665)</f>
        <v/>
      </c>
      <c r="J649" s="717" t="str">
        <f>IF(A649="","",ROUNDDOWN('Rozpad zakázky'!L665,1))</f>
        <v/>
      </c>
      <c r="K649" s="745" t="str">
        <f>IF(A649="","",Tabulka_nakup_Vonka[[#This Row],[Počet MJHR v rozpadu]]*Tabulka_nakup_Vonka[[#This Row],[Jedn. hmotnost '[kg/MJHR']]])</f>
        <v/>
      </c>
    </row>
    <row r="650" spans="1:11" x14ac:dyDescent="0.35">
      <c r="A650" s="709" t="str">
        <f>IF('Rozpad zakázky'!E666=0,"",IF('Rozpad zakázky'!E666="-","",'Rozpad zakázky'!E666))</f>
        <v/>
      </c>
      <c r="B650" s="708" t="str">
        <f>IF(A650="","",IF(A650="","",VLOOKUP(A:A,Pomocna_Nakup[],3,0))&amp;" | "&amp;IF(A650="","",VLOOKUP(A:A,Pomocna_Nakup[],4,0)))</f>
        <v/>
      </c>
      <c r="C650" s="710" t="str">
        <f>IF(Tabulka_nakup_Vonka[[#This Row],[Zkratka kalkulační položky]]="","",Tabulka_nakup_Vonka[[#This Row],[Zkratka kalkulační položky]]&amp;" | "&amp;IF(A650="","",VLOOKUP(A:A,Pomocna_Nakup[],2,0)))</f>
        <v/>
      </c>
      <c r="D650" s="710" t="str">
        <f>IF(A650="","",'Rozpad zakázky'!F666)</f>
        <v/>
      </c>
      <c r="E650" s="710" t="str">
        <f>IF(A650="","",'Rozpad zakázky'!D666&amp;IF('Rozpad zakázky'!G666="",""," ("&amp;'Rozpad zakázky'!G666&amp;")"))</f>
        <v/>
      </c>
      <c r="F650" s="709" t="str">
        <f>IF(A650="","",'Rozpad zakázky'!IW666)</f>
        <v/>
      </c>
      <c r="G650" s="711" t="str">
        <f>IF(A650="","",'Rozpad zakázky'!AE666)</f>
        <v/>
      </c>
      <c r="H650" s="717" t="str">
        <f>IF(A650="","",'Rozpad zakázky'!AJ666)</f>
        <v/>
      </c>
      <c r="I650" s="748" t="str">
        <f>IF(A650="","",'Rozpad zakázky'!Q666)</f>
        <v/>
      </c>
      <c r="J650" s="717" t="str">
        <f>IF(A650="","",ROUNDDOWN('Rozpad zakázky'!L666,1))</f>
        <v/>
      </c>
      <c r="K650" s="745" t="str">
        <f>IF(A650="","",Tabulka_nakup_Vonka[[#This Row],[Počet MJHR v rozpadu]]*Tabulka_nakup_Vonka[[#This Row],[Jedn. hmotnost '[kg/MJHR']]])</f>
        <v/>
      </c>
    </row>
    <row r="651" spans="1:11" x14ac:dyDescent="0.35">
      <c r="A651" s="709" t="str">
        <f>IF('Rozpad zakázky'!E667=0,"",IF('Rozpad zakázky'!E667="-","",'Rozpad zakázky'!E667))</f>
        <v/>
      </c>
      <c r="B651" s="708" t="str">
        <f>IF(A651="","",IF(A651="","",VLOOKUP(A:A,Pomocna_Nakup[],3,0))&amp;" | "&amp;IF(A651="","",VLOOKUP(A:A,Pomocna_Nakup[],4,0)))</f>
        <v/>
      </c>
      <c r="C651" s="710" t="str">
        <f>IF(Tabulka_nakup_Vonka[[#This Row],[Zkratka kalkulační položky]]="","",Tabulka_nakup_Vonka[[#This Row],[Zkratka kalkulační položky]]&amp;" | "&amp;IF(A651="","",VLOOKUP(A:A,Pomocna_Nakup[],2,0)))</f>
        <v/>
      </c>
      <c r="D651" s="710" t="str">
        <f>IF(A651="","",'Rozpad zakázky'!F667)</f>
        <v/>
      </c>
      <c r="E651" s="710" t="str">
        <f>IF(A651="","",'Rozpad zakázky'!D667&amp;IF('Rozpad zakázky'!G667="",""," ("&amp;'Rozpad zakázky'!G667&amp;")"))</f>
        <v/>
      </c>
      <c r="F651" s="709" t="str">
        <f>IF(A651="","",'Rozpad zakázky'!IW667)</f>
        <v/>
      </c>
      <c r="G651" s="711" t="str">
        <f>IF(A651="","",'Rozpad zakázky'!AE667)</f>
        <v/>
      </c>
      <c r="H651" s="717" t="str">
        <f>IF(A651="","",'Rozpad zakázky'!AJ667)</f>
        <v/>
      </c>
      <c r="I651" s="748" t="str">
        <f>IF(A651="","",'Rozpad zakázky'!Q667)</f>
        <v/>
      </c>
      <c r="J651" s="717" t="str">
        <f>IF(A651="","",ROUNDDOWN('Rozpad zakázky'!L667,1))</f>
        <v/>
      </c>
      <c r="K651" s="745" t="str">
        <f>IF(A651="","",Tabulka_nakup_Vonka[[#This Row],[Počet MJHR v rozpadu]]*Tabulka_nakup_Vonka[[#This Row],[Jedn. hmotnost '[kg/MJHR']]])</f>
        <v/>
      </c>
    </row>
    <row r="652" spans="1:11" x14ac:dyDescent="0.35">
      <c r="A652" s="709" t="str">
        <f>IF('Rozpad zakázky'!E668=0,"",IF('Rozpad zakázky'!E668="-","",'Rozpad zakázky'!E668))</f>
        <v/>
      </c>
      <c r="B652" s="708" t="str">
        <f>IF(A652="","",IF(A652="","",VLOOKUP(A:A,Pomocna_Nakup[],3,0))&amp;" | "&amp;IF(A652="","",VLOOKUP(A:A,Pomocna_Nakup[],4,0)))</f>
        <v/>
      </c>
      <c r="C652" s="710" t="str">
        <f>IF(Tabulka_nakup_Vonka[[#This Row],[Zkratka kalkulační položky]]="","",Tabulka_nakup_Vonka[[#This Row],[Zkratka kalkulační položky]]&amp;" | "&amp;IF(A652="","",VLOOKUP(A:A,Pomocna_Nakup[],2,0)))</f>
        <v/>
      </c>
      <c r="D652" s="710" t="str">
        <f>IF(A652="","",'Rozpad zakázky'!F668)</f>
        <v/>
      </c>
      <c r="E652" s="710" t="str">
        <f>IF(A652="","",'Rozpad zakázky'!D668&amp;IF('Rozpad zakázky'!G668="",""," ("&amp;'Rozpad zakázky'!G668&amp;")"))</f>
        <v/>
      </c>
      <c r="F652" s="709" t="str">
        <f>IF(A652="","",'Rozpad zakázky'!IW668)</f>
        <v/>
      </c>
      <c r="G652" s="711" t="str">
        <f>IF(A652="","",'Rozpad zakázky'!AE668)</f>
        <v/>
      </c>
      <c r="H652" s="717" t="str">
        <f>IF(A652="","",'Rozpad zakázky'!AJ668)</f>
        <v/>
      </c>
      <c r="I652" s="748" t="str">
        <f>IF(A652="","",'Rozpad zakázky'!Q668)</f>
        <v/>
      </c>
      <c r="J652" s="717" t="str">
        <f>IF(A652="","",ROUNDDOWN('Rozpad zakázky'!L668,1))</f>
        <v/>
      </c>
      <c r="K652" s="745" t="str">
        <f>IF(A652="","",Tabulka_nakup_Vonka[[#This Row],[Počet MJHR v rozpadu]]*Tabulka_nakup_Vonka[[#This Row],[Jedn. hmotnost '[kg/MJHR']]])</f>
        <v/>
      </c>
    </row>
    <row r="653" spans="1:11" x14ac:dyDescent="0.35">
      <c r="A653" s="709" t="str">
        <f>IF('Rozpad zakázky'!E669=0,"",IF('Rozpad zakázky'!E669="-","",'Rozpad zakázky'!E669))</f>
        <v/>
      </c>
      <c r="B653" s="708" t="str">
        <f>IF(A653="","",IF(A653="","",VLOOKUP(A:A,Pomocna_Nakup[],3,0))&amp;" | "&amp;IF(A653="","",VLOOKUP(A:A,Pomocna_Nakup[],4,0)))</f>
        <v/>
      </c>
      <c r="C653" s="710" t="str">
        <f>IF(Tabulka_nakup_Vonka[[#This Row],[Zkratka kalkulační položky]]="","",Tabulka_nakup_Vonka[[#This Row],[Zkratka kalkulační položky]]&amp;" | "&amp;IF(A653="","",VLOOKUP(A:A,Pomocna_Nakup[],2,0)))</f>
        <v/>
      </c>
      <c r="D653" s="710" t="str">
        <f>IF(A653="","",'Rozpad zakázky'!F669)</f>
        <v/>
      </c>
      <c r="E653" s="710" t="str">
        <f>IF(A653="","",'Rozpad zakázky'!D669&amp;IF('Rozpad zakázky'!G669="",""," ("&amp;'Rozpad zakázky'!G669&amp;")"))</f>
        <v/>
      </c>
      <c r="F653" s="709" t="str">
        <f>IF(A653="","",'Rozpad zakázky'!IW669)</f>
        <v/>
      </c>
      <c r="G653" s="711" t="str">
        <f>IF(A653="","",'Rozpad zakázky'!AE669)</f>
        <v/>
      </c>
      <c r="H653" s="717" t="str">
        <f>IF(A653="","",'Rozpad zakázky'!AJ669)</f>
        <v/>
      </c>
      <c r="I653" s="748" t="str">
        <f>IF(A653="","",'Rozpad zakázky'!Q669)</f>
        <v/>
      </c>
      <c r="J653" s="717" t="str">
        <f>IF(A653="","",ROUNDDOWN('Rozpad zakázky'!L669,1))</f>
        <v/>
      </c>
      <c r="K653" s="745" t="str">
        <f>IF(A653="","",Tabulka_nakup_Vonka[[#This Row],[Počet MJHR v rozpadu]]*Tabulka_nakup_Vonka[[#This Row],[Jedn. hmotnost '[kg/MJHR']]])</f>
        <v/>
      </c>
    </row>
    <row r="654" spans="1:11" x14ac:dyDescent="0.35">
      <c r="A654" s="709" t="str">
        <f>IF('Rozpad zakázky'!E670=0,"",IF('Rozpad zakázky'!E670="-","",'Rozpad zakázky'!E670))</f>
        <v/>
      </c>
      <c r="B654" s="708" t="str">
        <f>IF(A654="","",IF(A654="","",VLOOKUP(A:A,Pomocna_Nakup[],3,0))&amp;" | "&amp;IF(A654="","",VLOOKUP(A:A,Pomocna_Nakup[],4,0)))</f>
        <v/>
      </c>
      <c r="C654" s="710" t="str">
        <f>IF(Tabulka_nakup_Vonka[[#This Row],[Zkratka kalkulační položky]]="","",Tabulka_nakup_Vonka[[#This Row],[Zkratka kalkulační položky]]&amp;" | "&amp;IF(A654="","",VLOOKUP(A:A,Pomocna_Nakup[],2,0)))</f>
        <v/>
      </c>
      <c r="D654" s="710" t="str">
        <f>IF(A654="","",'Rozpad zakázky'!F670)</f>
        <v/>
      </c>
      <c r="E654" s="710" t="str">
        <f>IF(A654="","",'Rozpad zakázky'!D670&amp;IF('Rozpad zakázky'!G670="",""," ("&amp;'Rozpad zakázky'!G670&amp;")"))</f>
        <v/>
      </c>
      <c r="F654" s="709" t="str">
        <f>IF(A654="","",'Rozpad zakázky'!IW670)</f>
        <v/>
      </c>
      <c r="G654" s="711" t="str">
        <f>IF(A654="","",'Rozpad zakázky'!AE670)</f>
        <v/>
      </c>
      <c r="H654" s="717" t="str">
        <f>IF(A654="","",'Rozpad zakázky'!AJ670)</f>
        <v/>
      </c>
      <c r="I654" s="748" t="str">
        <f>IF(A654="","",'Rozpad zakázky'!Q670)</f>
        <v/>
      </c>
      <c r="J654" s="717" t="str">
        <f>IF(A654="","",ROUNDDOWN('Rozpad zakázky'!L670,1))</f>
        <v/>
      </c>
      <c r="K654" s="745" t="str">
        <f>IF(A654="","",Tabulka_nakup_Vonka[[#This Row],[Počet MJHR v rozpadu]]*Tabulka_nakup_Vonka[[#This Row],[Jedn. hmotnost '[kg/MJHR']]])</f>
        <v/>
      </c>
    </row>
    <row r="655" spans="1:11" x14ac:dyDescent="0.35">
      <c r="A655" s="709" t="str">
        <f>IF('Rozpad zakázky'!E671=0,"",IF('Rozpad zakázky'!E671="-","",'Rozpad zakázky'!E671))</f>
        <v/>
      </c>
      <c r="B655" s="708" t="str">
        <f>IF(A655="","",IF(A655="","",VLOOKUP(A:A,Pomocna_Nakup[],3,0))&amp;" | "&amp;IF(A655="","",VLOOKUP(A:A,Pomocna_Nakup[],4,0)))</f>
        <v/>
      </c>
      <c r="C655" s="710" t="str">
        <f>IF(Tabulka_nakup_Vonka[[#This Row],[Zkratka kalkulační položky]]="","",Tabulka_nakup_Vonka[[#This Row],[Zkratka kalkulační položky]]&amp;" | "&amp;IF(A655="","",VLOOKUP(A:A,Pomocna_Nakup[],2,0)))</f>
        <v/>
      </c>
      <c r="D655" s="710" t="str">
        <f>IF(A655="","",'Rozpad zakázky'!F671)</f>
        <v/>
      </c>
      <c r="E655" s="710" t="str">
        <f>IF(A655="","",'Rozpad zakázky'!D671&amp;IF('Rozpad zakázky'!G671="",""," ("&amp;'Rozpad zakázky'!G671&amp;")"))</f>
        <v/>
      </c>
      <c r="F655" s="709" t="str">
        <f>IF(A655="","",'Rozpad zakázky'!IW671)</f>
        <v/>
      </c>
      <c r="G655" s="711" t="str">
        <f>IF(A655="","",'Rozpad zakázky'!AE671)</f>
        <v/>
      </c>
      <c r="H655" s="717" t="str">
        <f>IF(A655="","",'Rozpad zakázky'!AJ671)</f>
        <v/>
      </c>
      <c r="I655" s="748" t="str">
        <f>IF(A655="","",'Rozpad zakázky'!Q671)</f>
        <v/>
      </c>
      <c r="J655" s="717" t="str">
        <f>IF(A655="","",ROUNDDOWN('Rozpad zakázky'!L671,1))</f>
        <v/>
      </c>
      <c r="K655" s="745" t="str">
        <f>IF(A655="","",Tabulka_nakup_Vonka[[#This Row],[Počet MJHR v rozpadu]]*Tabulka_nakup_Vonka[[#This Row],[Jedn. hmotnost '[kg/MJHR']]])</f>
        <v/>
      </c>
    </row>
    <row r="656" spans="1:11" x14ac:dyDescent="0.35">
      <c r="A656" s="709" t="str">
        <f>IF('Rozpad zakázky'!E672=0,"",IF('Rozpad zakázky'!E672="-","",'Rozpad zakázky'!E672))</f>
        <v/>
      </c>
      <c r="B656" s="708" t="str">
        <f>IF(A656="","",IF(A656="","",VLOOKUP(A:A,Pomocna_Nakup[],3,0))&amp;" | "&amp;IF(A656="","",VLOOKUP(A:A,Pomocna_Nakup[],4,0)))</f>
        <v/>
      </c>
      <c r="C656" s="710" t="str">
        <f>IF(Tabulka_nakup_Vonka[[#This Row],[Zkratka kalkulační položky]]="","",Tabulka_nakup_Vonka[[#This Row],[Zkratka kalkulační položky]]&amp;" | "&amp;IF(A656="","",VLOOKUP(A:A,Pomocna_Nakup[],2,0)))</f>
        <v/>
      </c>
      <c r="D656" s="710" t="str">
        <f>IF(A656="","",'Rozpad zakázky'!F672)</f>
        <v/>
      </c>
      <c r="E656" s="710" t="str">
        <f>IF(A656="","",'Rozpad zakázky'!D672&amp;IF('Rozpad zakázky'!G672="",""," ("&amp;'Rozpad zakázky'!G672&amp;")"))</f>
        <v/>
      </c>
      <c r="F656" s="709" t="str">
        <f>IF(A656="","",'Rozpad zakázky'!IW672)</f>
        <v/>
      </c>
      <c r="G656" s="711" t="str">
        <f>IF(A656="","",'Rozpad zakázky'!AE672)</f>
        <v/>
      </c>
      <c r="H656" s="717" t="str">
        <f>IF(A656="","",'Rozpad zakázky'!AJ672)</f>
        <v/>
      </c>
      <c r="I656" s="748" t="str">
        <f>IF(A656="","",'Rozpad zakázky'!Q672)</f>
        <v/>
      </c>
      <c r="J656" s="717" t="str">
        <f>IF(A656="","",ROUNDDOWN('Rozpad zakázky'!L672,1))</f>
        <v/>
      </c>
      <c r="K656" s="745" t="str">
        <f>IF(A656="","",Tabulka_nakup_Vonka[[#This Row],[Počet MJHR v rozpadu]]*Tabulka_nakup_Vonka[[#This Row],[Jedn. hmotnost '[kg/MJHR']]])</f>
        <v/>
      </c>
    </row>
    <row r="657" spans="1:11" x14ac:dyDescent="0.35">
      <c r="A657" s="709" t="str">
        <f>IF('Rozpad zakázky'!E673=0,"",IF('Rozpad zakázky'!E673="-","",'Rozpad zakázky'!E673))</f>
        <v/>
      </c>
      <c r="B657" s="708" t="str">
        <f>IF(A657="","",IF(A657="","",VLOOKUP(A:A,Pomocna_Nakup[],3,0))&amp;" | "&amp;IF(A657="","",VLOOKUP(A:A,Pomocna_Nakup[],4,0)))</f>
        <v/>
      </c>
      <c r="C657" s="710" t="str">
        <f>IF(Tabulka_nakup_Vonka[[#This Row],[Zkratka kalkulační položky]]="","",Tabulka_nakup_Vonka[[#This Row],[Zkratka kalkulační položky]]&amp;" | "&amp;IF(A657="","",VLOOKUP(A:A,Pomocna_Nakup[],2,0)))</f>
        <v/>
      </c>
      <c r="D657" s="710" t="str">
        <f>IF(A657="","",'Rozpad zakázky'!F673)</f>
        <v/>
      </c>
      <c r="E657" s="710" t="str">
        <f>IF(A657="","",'Rozpad zakázky'!D673&amp;IF('Rozpad zakázky'!G673="",""," ("&amp;'Rozpad zakázky'!G673&amp;")"))</f>
        <v/>
      </c>
      <c r="F657" s="709" t="str">
        <f>IF(A657="","",'Rozpad zakázky'!IW673)</f>
        <v/>
      </c>
      <c r="G657" s="711" t="str">
        <f>IF(A657="","",'Rozpad zakázky'!AE673)</f>
        <v/>
      </c>
      <c r="H657" s="717" t="str">
        <f>IF(A657="","",'Rozpad zakázky'!AJ673)</f>
        <v/>
      </c>
      <c r="I657" s="748" t="str">
        <f>IF(A657="","",'Rozpad zakázky'!Q673)</f>
        <v/>
      </c>
      <c r="J657" s="717" t="str">
        <f>IF(A657="","",ROUNDDOWN('Rozpad zakázky'!L673,1))</f>
        <v/>
      </c>
      <c r="K657" s="745" t="str">
        <f>IF(A657="","",Tabulka_nakup_Vonka[[#This Row],[Počet MJHR v rozpadu]]*Tabulka_nakup_Vonka[[#This Row],[Jedn. hmotnost '[kg/MJHR']]])</f>
        <v/>
      </c>
    </row>
    <row r="658" spans="1:11" x14ac:dyDescent="0.35">
      <c r="A658" s="709" t="str">
        <f>IF('Rozpad zakázky'!E674=0,"",IF('Rozpad zakázky'!E674="-","",'Rozpad zakázky'!E674))</f>
        <v/>
      </c>
      <c r="B658" s="708" t="str">
        <f>IF(A658="","",IF(A658="","",VLOOKUP(A:A,Pomocna_Nakup[],3,0))&amp;" | "&amp;IF(A658="","",VLOOKUP(A:A,Pomocna_Nakup[],4,0)))</f>
        <v/>
      </c>
      <c r="C658" s="710" t="str">
        <f>IF(Tabulka_nakup_Vonka[[#This Row],[Zkratka kalkulační položky]]="","",Tabulka_nakup_Vonka[[#This Row],[Zkratka kalkulační položky]]&amp;" | "&amp;IF(A658="","",VLOOKUP(A:A,Pomocna_Nakup[],2,0)))</f>
        <v/>
      </c>
      <c r="D658" s="710" t="str">
        <f>IF(A658="","",'Rozpad zakázky'!F674)</f>
        <v/>
      </c>
      <c r="E658" s="710" t="str">
        <f>IF(A658="","",'Rozpad zakázky'!D674&amp;IF('Rozpad zakázky'!G674="",""," ("&amp;'Rozpad zakázky'!G674&amp;")"))</f>
        <v/>
      </c>
      <c r="F658" s="709" t="str">
        <f>IF(A658="","",'Rozpad zakázky'!IW674)</f>
        <v/>
      </c>
      <c r="G658" s="711" t="str">
        <f>IF(A658="","",'Rozpad zakázky'!AE674)</f>
        <v/>
      </c>
      <c r="H658" s="717" t="str">
        <f>IF(A658="","",'Rozpad zakázky'!AJ674)</f>
        <v/>
      </c>
      <c r="I658" s="748" t="str">
        <f>IF(A658="","",'Rozpad zakázky'!Q674)</f>
        <v/>
      </c>
      <c r="J658" s="717" t="str">
        <f>IF(A658="","",ROUNDDOWN('Rozpad zakázky'!L674,1))</f>
        <v/>
      </c>
      <c r="K658" s="745" t="str">
        <f>IF(A658="","",Tabulka_nakup_Vonka[[#This Row],[Počet MJHR v rozpadu]]*Tabulka_nakup_Vonka[[#This Row],[Jedn. hmotnost '[kg/MJHR']]])</f>
        <v/>
      </c>
    </row>
    <row r="659" spans="1:11" x14ac:dyDescent="0.35">
      <c r="A659" s="709" t="str">
        <f>IF('Rozpad zakázky'!E675=0,"",IF('Rozpad zakázky'!E675="-","",'Rozpad zakázky'!E675))</f>
        <v/>
      </c>
      <c r="B659" s="708" t="str">
        <f>IF(A659="","",IF(A659="","",VLOOKUP(A:A,Pomocna_Nakup[],3,0))&amp;" | "&amp;IF(A659="","",VLOOKUP(A:A,Pomocna_Nakup[],4,0)))</f>
        <v/>
      </c>
      <c r="C659" s="710" t="str">
        <f>IF(Tabulka_nakup_Vonka[[#This Row],[Zkratka kalkulační položky]]="","",Tabulka_nakup_Vonka[[#This Row],[Zkratka kalkulační položky]]&amp;" | "&amp;IF(A659="","",VLOOKUP(A:A,Pomocna_Nakup[],2,0)))</f>
        <v/>
      </c>
      <c r="D659" s="710" t="str">
        <f>IF(A659="","",'Rozpad zakázky'!F675)</f>
        <v/>
      </c>
      <c r="E659" s="710" t="str">
        <f>IF(A659="","",'Rozpad zakázky'!D675&amp;IF('Rozpad zakázky'!G675="",""," ("&amp;'Rozpad zakázky'!G675&amp;")"))</f>
        <v/>
      </c>
      <c r="F659" s="709" t="str">
        <f>IF(A659="","",'Rozpad zakázky'!IW675)</f>
        <v/>
      </c>
      <c r="G659" s="711" t="str">
        <f>IF(A659="","",'Rozpad zakázky'!AE675)</f>
        <v/>
      </c>
      <c r="H659" s="717" t="str">
        <f>IF(A659="","",'Rozpad zakázky'!AJ675)</f>
        <v/>
      </c>
      <c r="I659" s="748" t="str">
        <f>IF(A659="","",'Rozpad zakázky'!Q675)</f>
        <v/>
      </c>
      <c r="J659" s="717" t="str">
        <f>IF(A659="","",ROUNDDOWN('Rozpad zakázky'!L675,1))</f>
        <v/>
      </c>
      <c r="K659" s="745" t="str">
        <f>IF(A659="","",Tabulka_nakup_Vonka[[#This Row],[Počet MJHR v rozpadu]]*Tabulka_nakup_Vonka[[#This Row],[Jedn. hmotnost '[kg/MJHR']]])</f>
        <v/>
      </c>
    </row>
    <row r="660" spans="1:11" x14ac:dyDescent="0.35">
      <c r="A660" s="709" t="str">
        <f>IF('Rozpad zakázky'!E676=0,"",IF('Rozpad zakázky'!E676="-","",'Rozpad zakázky'!E676))</f>
        <v/>
      </c>
      <c r="B660" s="708" t="str">
        <f>IF(A660="","",IF(A660="","",VLOOKUP(A:A,Pomocna_Nakup[],3,0))&amp;" | "&amp;IF(A660="","",VLOOKUP(A:A,Pomocna_Nakup[],4,0)))</f>
        <v/>
      </c>
      <c r="C660" s="710" t="str">
        <f>IF(Tabulka_nakup_Vonka[[#This Row],[Zkratka kalkulační položky]]="","",Tabulka_nakup_Vonka[[#This Row],[Zkratka kalkulační položky]]&amp;" | "&amp;IF(A660="","",VLOOKUP(A:A,Pomocna_Nakup[],2,0)))</f>
        <v/>
      </c>
      <c r="D660" s="710" t="str">
        <f>IF(A660="","",'Rozpad zakázky'!F676)</f>
        <v/>
      </c>
      <c r="E660" s="710" t="str">
        <f>IF(A660="","",'Rozpad zakázky'!D676&amp;IF('Rozpad zakázky'!G676="",""," ("&amp;'Rozpad zakázky'!G676&amp;")"))</f>
        <v/>
      </c>
      <c r="F660" s="709" t="str">
        <f>IF(A660="","",'Rozpad zakázky'!IW676)</f>
        <v/>
      </c>
      <c r="G660" s="711" t="str">
        <f>IF(A660="","",'Rozpad zakázky'!AE676)</f>
        <v/>
      </c>
      <c r="H660" s="717" t="str">
        <f>IF(A660="","",'Rozpad zakázky'!AJ676)</f>
        <v/>
      </c>
      <c r="I660" s="748" t="str">
        <f>IF(A660="","",'Rozpad zakázky'!Q676)</f>
        <v/>
      </c>
      <c r="J660" s="717" t="str">
        <f>IF(A660="","",ROUNDDOWN('Rozpad zakázky'!L676,1))</f>
        <v/>
      </c>
      <c r="K660" s="745" t="str">
        <f>IF(A660="","",Tabulka_nakup_Vonka[[#This Row],[Počet MJHR v rozpadu]]*Tabulka_nakup_Vonka[[#This Row],[Jedn. hmotnost '[kg/MJHR']]])</f>
        <v/>
      </c>
    </row>
    <row r="661" spans="1:11" x14ac:dyDescent="0.35">
      <c r="A661" s="709" t="str">
        <f>IF('Rozpad zakázky'!E677=0,"",IF('Rozpad zakázky'!E677="-","",'Rozpad zakázky'!E677))</f>
        <v/>
      </c>
      <c r="B661" s="708" t="str">
        <f>IF(A661="","",IF(A661="","",VLOOKUP(A:A,Pomocna_Nakup[],3,0))&amp;" | "&amp;IF(A661="","",VLOOKUP(A:A,Pomocna_Nakup[],4,0)))</f>
        <v/>
      </c>
      <c r="C661" s="710" t="str">
        <f>IF(Tabulka_nakup_Vonka[[#This Row],[Zkratka kalkulační položky]]="","",Tabulka_nakup_Vonka[[#This Row],[Zkratka kalkulační položky]]&amp;" | "&amp;IF(A661="","",VLOOKUP(A:A,Pomocna_Nakup[],2,0)))</f>
        <v/>
      </c>
      <c r="D661" s="710" t="str">
        <f>IF(A661="","",'Rozpad zakázky'!F677)</f>
        <v/>
      </c>
      <c r="E661" s="710" t="str">
        <f>IF(A661="","",'Rozpad zakázky'!D677&amp;IF('Rozpad zakázky'!G677="",""," ("&amp;'Rozpad zakázky'!G677&amp;")"))</f>
        <v/>
      </c>
      <c r="F661" s="709" t="str">
        <f>IF(A661="","",'Rozpad zakázky'!IW677)</f>
        <v/>
      </c>
      <c r="G661" s="711" t="str">
        <f>IF(A661="","",'Rozpad zakázky'!AE677)</f>
        <v/>
      </c>
      <c r="H661" s="717" t="str">
        <f>IF(A661="","",'Rozpad zakázky'!AJ677)</f>
        <v/>
      </c>
      <c r="I661" s="748" t="str">
        <f>IF(A661="","",'Rozpad zakázky'!Q677)</f>
        <v/>
      </c>
      <c r="J661" s="717" t="str">
        <f>IF(A661="","",ROUNDDOWN('Rozpad zakázky'!L677,1))</f>
        <v/>
      </c>
      <c r="K661" s="745" t="str">
        <f>IF(A661="","",Tabulka_nakup_Vonka[[#This Row],[Počet MJHR v rozpadu]]*Tabulka_nakup_Vonka[[#This Row],[Jedn. hmotnost '[kg/MJHR']]])</f>
        <v/>
      </c>
    </row>
    <row r="662" spans="1:11" x14ac:dyDescent="0.35">
      <c r="A662" s="709" t="str">
        <f>IF('Rozpad zakázky'!E678=0,"",IF('Rozpad zakázky'!E678="-","",'Rozpad zakázky'!E678))</f>
        <v/>
      </c>
      <c r="B662" s="708" t="str">
        <f>IF(A662="","",IF(A662="","",VLOOKUP(A:A,Pomocna_Nakup[],3,0))&amp;" | "&amp;IF(A662="","",VLOOKUP(A:A,Pomocna_Nakup[],4,0)))</f>
        <v/>
      </c>
      <c r="C662" s="710" t="str">
        <f>IF(Tabulka_nakup_Vonka[[#This Row],[Zkratka kalkulační položky]]="","",Tabulka_nakup_Vonka[[#This Row],[Zkratka kalkulační položky]]&amp;" | "&amp;IF(A662="","",VLOOKUP(A:A,Pomocna_Nakup[],2,0)))</f>
        <v/>
      </c>
      <c r="D662" s="710" t="str">
        <f>IF(A662="","",'Rozpad zakázky'!F678)</f>
        <v/>
      </c>
      <c r="E662" s="710" t="str">
        <f>IF(A662="","",'Rozpad zakázky'!D678&amp;IF('Rozpad zakázky'!G678="",""," ("&amp;'Rozpad zakázky'!G678&amp;")"))</f>
        <v/>
      </c>
      <c r="F662" s="709" t="str">
        <f>IF(A662="","",'Rozpad zakázky'!IW678)</f>
        <v/>
      </c>
      <c r="G662" s="711" t="str">
        <f>IF(A662="","",'Rozpad zakázky'!AE678)</f>
        <v/>
      </c>
      <c r="H662" s="717" t="str">
        <f>IF(A662="","",'Rozpad zakázky'!AJ678)</f>
        <v/>
      </c>
      <c r="I662" s="748" t="str">
        <f>IF(A662="","",'Rozpad zakázky'!Q678)</f>
        <v/>
      </c>
      <c r="J662" s="717" t="str">
        <f>IF(A662="","",ROUNDDOWN('Rozpad zakázky'!L678,1))</f>
        <v/>
      </c>
      <c r="K662" s="745" t="str">
        <f>IF(A662="","",Tabulka_nakup_Vonka[[#This Row],[Počet MJHR v rozpadu]]*Tabulka_nakup_Vonka[[#This Row],[Jedn. hmotnost '[kg/MJHR']]])</f>
        <v/>
      </c>
    </row>
    <row r="663" spans="1:11" x14ac:dyDescent="0.35">
      <c r="A663" s="709" t="str">
        <f>IF('Rozpad zakázky'!E679=0,"",IF('Rozpad zakázky'!E679="-","",'Rozpad zakázky'!E679))</f>
        <v/>
      </c>
      <c r="B663" s="708" t="str">
        <f>IF(A663="","",IF(A663="","",VLOOKUP(A:A,Pomocna_Nakup[],3,0))&amp;" | "&amp;IF(A663="","",VLOOKUP(A:A,Pomocna_Nakup[],4,0)))</f>
        <v/>
      </c>
      <c r="C663" s="710" t="str">
        <f>IF(Tabulka_nakup_Vonka[[#This Row],[Zkratka kalkulační položky]]="","",Tabulka_nakup_Vonka[[#This Row],[Zkratka kalkulační položky]]&amp;" | "&amp;IF(A663="","",VLOOKUP(A:A,Pomocna_Nakup[],2,0)))</f>
        <v/>
      </c>
      <c r="D663" s="710" t="str">
        <f>IF(A663="","",'Rozpad zakázky'!F679)</f>
        <v/>
      </c>
      <c r="E663" s="710" t="str">
        <f>IF(A663="","",'Rozpad zakázky'!D679&amp;IF('Rozpad zakázky'!G679="",""," ("&amp;'Rozpad zakázky'!G679&amp;")"))</f>
        <v/>
      </c>
      <c r="F663" s="709" t="str">
        <f>IF(A663="","",'Rozpad zakázky'!IW679)</f>
        <v/>
      </c>
      <c r="G663" s="711" t="str">
        <f>IF(A663="","",'Rozpad zakázky'!AE679)</f>
        <v/>
      </c>
      <c r="H663" s="717" t="str">
        <f>IF(A663="","",'Rozpad zakázky'!AJ679)</f>
        <v/>
      </c>
      <c r="I663" s="748" t="str">
        <f>IF(A663="","",'Rozpad zakázky'!Q679)</f>
        <v/>
      </c>
      <c r="J663" s="717" t="str">
        <f>IF(A663="","",ROUNDDOWN('Rozpad zakázky'!L679,1))</f>
        <v/>
      </c>
      <c r="K663" s="745" t="str">
        <f>IF(A663="","",Tabulka_nakup_Vonka[[#This Row],[Počet MJHR v rozpadu]]*Tabulka_nakup_Vonka[[#This Row],[Jedn. hmotnost '[kg/MJHR']]])</f>
        <v/>
      </c>
    </row>
    <row r="664" spans="1:11" x14ac:dyDescent="0.35">
      <c r="A664" s="709" t="str">
        <f>IF('Rozpad zakázky'!E680=0,"",IF('Rozpad zakázky'!E680="-","",'Rozpad zakázky'!E680))</f>
        <v/>
      </c>
      <c r="B664" s="708" t="str">
        <f>IF(A664="","",IF(A664="","",VLOOKUP(A:A,Pomocna_Nakup[],3,0))&amp;" | "&amp;IF(A664="","",VLOOKUP(A:A,Pomocna_Nakup[],4,0)))</f>
        <v/>
      </c>
      <c r="C664" s="710" t="str">
        <f>IF(Tabulka_nakup_Vonka[[#This Row],[Zkratka kalkulační položky]]="","",Tabulka_nakup_Vonka[[#This Row],[Zkratka kalkulační položky]]&amp;" | "&amp;IF(A664="","",VLOOKUP(A:A,Pomocna_Nakup[],2,0)))</f>
        <v/>
      </c>
      <c r="D664" s="710" t="str">
        <f>IF(A664="","",'Rozpad zakázky'!F680)</f>
        <v/>
      </c>
      <c r="E664" s="710" t="str">
        <f>IF(A664="","",'Rozpad zakázky'!D680&amp;IF('Rozpad zakázky'!G680="",""," ("&amp;'Rozpad zakázky'!G680&amp;")"))</f>
        <v/>
      </c>
      <c r="F664" s="709" t="str">
        <f>IF(A664="","",'Rozpad zakázky'!IW680)</f>
        <v/>
      </c>
      <c r="G664" s="711" t="str">
        <f>IF(A664="","",'Rozpad zakázky'!AE680)</f>
        <v/>
      </c>
      <c r="H664" s="717" t="str">
        <f>IF(A664="","",'Rozpad zakázky'!AJ680)</f>
        <v/>
      </c>
      <c r="I664" s="748" t="str">
        <f>IF(A664="","",'Rozpad zakázky'!Q680)</f>
        <v/>
      </c>
      <c r="J664" s="717" t="str">
        <f>IF(A664="","",ROUNDDOWN('Rozpad zakázky'!L680,1))</f>
        <v/>
      </c>
      <c r="K664" s="745" t="str">
        <f>IF(A664="","",Tabulka_nakup_Vonka[[#This Row],[Počet MJHR v rozpadu]]*Tabulka_nakup_Vonka[[#This Row],[Jedn. hmotnost '[kg/MJHR']]])</f>
        <v/>
      </c>
    </row>
    <row r="665" spans="1:11" x14ac:dyDescent="0.35">
      <c r="A665" s="709" t="str">
        <f>IF('Rozpad zakázky'!E681=0,"",IF('Rozpad zakázky'!E681="-","",'Rozpad zakázky'!E681))</f>
        <v/>
      </c>
      <c r="B665" s="708" t="str">
        <f>IF(A665="","",IF(A665="","",VLOOKUP(A:A,Pomocna_Nakup[],3,0))&amp;" | "&amp;IF(A665="","",VLOOKUP(A:A,Pomocna_Nakup[],4,0)))</f>
        <v/>
      </c>
      <c r="C665" s="710" t="str">
        <f>IF(Tabulka_nakup_Vonka[[#This Row],[Zkratka kalkulační položky]]="","",Tabulka_nakup_Vonka[[#This Row],[Zkratka kalkulační položky]]&amp;" | "&amp;IF(A665="","",VLOOKUP(A:A,Pomocna_Nakup[],2,0)))</f>
        <v/>
      </c>
      <c r="D665" s="710" t="str">
        <f>IF(A665="","",'Rozpad zakázky'!F681)</f>
        <v/>
      </c>
      <c r="E665" s="710" t="str">
        <f>IF(A665="","",'Rozpad zakázky'!D681&amp;IF('Rozpad zakázky'!G681="",""," ("&amp;'Rozpad zakázky'!G681&amp;")"))</f>
        <v/>
      </c>
      <c r="F665" s="709" t="str">
        <f>IF(A665="","",'Rozpad zakázky'!IW681)</f>
        <v/>
      </c>
      <c r="G665" s="711" t="str">
        <f>IF(A665="","",'Rozpad zakázky'!AE681)</f>
        <v/>
      </c>
      <c r="H665" s="717" t="str">
        <f>IF(A665="","",'Rozpad zakázky'!AJ681)</f>
        <v/>
      </c>
      <c r="I665" s="748" t="str">
        <f>IF(A665="","",'Rozpad zakázky'!Q681)</f>
        <v/>
      </c>
      <c r="J665" s="717" t="str">
        <f>IF(A665="","",ROUNDDOWN('Rozpad zakázky'!L681,1))</f>
        <v/>
      </c>
      <c r="K665" s="745" t="str">
        <f>IF(A665="","",Tabulka_nakup_Vonka[[#This Row],[Počet MJHR v rozpadu]]*Tabulka_nakup_Vonka[[#This Row],[Jedn. hmotnost '[kg/MJHR']]])</f>
        <v/>
      </c>
    </row>
    <row r="666" spans="1:11" x14ac:dyDescent="0.35">
      <c r="A666" s="709" t="str">
        <f>IF('Rozpad zakázky'!E682=0,"",IF('Rozpad zakázky'!E682="-","",'Rozpad zakázky'!E682))</f>
        <v/>
      </c>
      <c r="B666" s="708" t="str">
        <f>IF(A666="","",IF(A666="","",VLOOKUP(A:A,Pomocna_Nakup[],3,0))&amp;" | "&amp;IF(A666="","",VLOOKUP(A:A,Pomocna_Nakup[],4,0)))</f>
        <v/>
      </c>
      <c r="C666" s="710" t="str">
        <f>IF(Tabulka_nakup_Vonka[[#This Row],[Zkratka kalkulační položky]]="","",Tabulka_nakup_Vonka[[#This Row],[Zkratka kalkulační položky]]&amp;" | "&amp;IF(A666="","",VLOOKUP(A:A,Pomocna_Nakup[],2,0)))</f>
        <v/>
      </c>
      <c r="D666" s="710" t="str">
        <f>IF(A666="","",'Rozpad zakázky'!F682)</f>
        <v/>
      </c>
      <c r="E666" s="710" t="str">
        <f>IF(A666="","",'Rozpad zakázky'!D682&amp;IF('Rozpad zakázky'!G682="",""," ("&amp;'Rozpad zakázky'!G682&amp;")"))</f>
        <v/>
      </c>
      <c r="F666" s="709" t="str">
        <f>IF(A666="","",'Rozpad zakázky'!IW682)</f>
        <v/>
      </c>
      <c r="G666" s="711" t="str">
        <f>IF(A666="","",'Rozpad zakázky'!AE682)</f>
        <v/>
      </c>
      <c r="H666" s="717" t="str">
        <f>IF(A666="","",'Rozpad zakázky'!AJ682)</f>
        <v/>
      </c>
      <c r="I666" s="748" t="str">
        <f>IF(A666="","",'Rozpad zakázky'!Q682)</f>
        <v/>
      </c>
      <c r="J666" s="717" t="str">
        <f>IF(A666="","",ROUNDDOWN('Rozpad zakázky'!L682,1))</f>
        <v/>
      </c>
      <c r="K666" s="745" t="str">
        <f>IF(A666="","",Tabulka_nakup_Vonka[[#This Row],[Počet MJHR v rozpadu]]*Tabulka_nakup_Vonka[[#This Row],[Jedn. hmotnost '[kg/MJHR']]])</f>
        <v/>
      </c>
    </row>
    <row r="667" spans="1:11" x14ac:dyDescent="0.35">
      <c r="A667" s="709" t="str">
        <f>IF('Rozpad zakázky'!E683=0,"",IF('Rozpad zakázky'!E683="-","",'Rozpad zakázky'!E683))</f>
        <v/>
      </c>
      <c r="B667" s="708" t="str">
        <f>IF(A667="","",IF(A667="","",VLOOKUP(A:A,Pomocna_Nakup[],3,0))&amp;" | "&amp;IF(A667="","",VLOOKUP(A:A,Pomocna_Nakup[],4,0)))</f>
        <v/>
      </c>
      <c r="C667" s="710" t="str">
        <f>IF(Tabulka_nakup_Vonka[[#This Row],[Zkratka kalkulační položky]]="","",Tabulka_nakup_Vonka[[#This Row],[Zkratka kalkulační položky]]&amp;" | "&amp;IF(A667="","",VLOOKUP(A:A,Pomocna_Nakup[],2,0)))</f>
        <v/>
      </c>
      <c r="D667" s="710" t="str">
        <f>IF(A667="","",'Rozpad zakázky'!F683)</f>
        <v/>
      </c>
      <c r="E667" s="710" t="str">
        <f>IF(A667="","",'Rozpad zakázky'!D683&amp;IF('Rozpad zakázky'!G683="",""," ("&amp;'Rozpad zakázky'!G683&amp;")"))</f>
        <v/>
      </c>
      <c r="F667" s="709" t="str">
        <f>IF(A667="","",'Rozpad zakázky'!IW683)</f>
        <v/>
      </c>
      <c r="G667" s="711" t="str">
        <f>IF(A667="","",'Rozpad zakázky'!AE683)</f>
        <v/>
      </c>
      <c r="H667" s="717" t="str">
        <f>IF(A667="","",'Rozpad zakázky'!AJ683)</f>
        <v/>
      </c>
      <c r="I667" s="748" t="str">
        <f>IF(A667="","",'Rozpad zakázky'!Q683)</f>
        <v/>
      </c>
      <c r="J667" s="717" t="str">
        <f>IF(A667="","",ROUNDDOWN('Rozpad zakázky'!L683,1))</f>
        <v/>
      </c>
      <c r="K667" s="745" t="str">
        <f>IF(A667="","",Tabulka_nakup_Vonka[[#This Row],[Počet MJHR v rozpadu]]*Tabulka_nakup_Vonka[[#This Row],[Jedn. hmotnost '[kg/MJHR']]])</f>
        <v/>
      </c>
    </row>
    <row r="668" spans="1:11" x14ac:dyDescent="0.35">
      <c r="A668" s="709" t="str">
        <f>IF('Rozpad zakázky'!E684=0,"",IF('Rozpad zakázky'!E684="-","",'Rozpad zakázky'!E684))</f>
        <v/>
      </c>
      <c r="B668" s="708" t="str">
        <f>IF(A668="","",IF(A668="","",VLOOKUP(A:A,Pomocna_Nakup[],3,0))&amp;" | "&amp;IF(A668="","",VLOOKUP(A:A,Pomocna_Nakup[],4,0)))</f>
        <v/>
      </c>
      <c r="C668" s="710" t="str">
        <f>IF(Tabulka_nakup_Vonka[[#This Row],[Zkratka kalkulační položky]]="","",Tabulka_nakup_Vonka[[#This Row],[Zkratka kalkulační položky]]&amp;" | "&amp;IF(A668="","",VLOOKUP(A:A,Pomocna_Nakup[],2,0)))</f>
        <v/>
      </c>
      <c r="D668" s="710" t="str">
        <f>IF(A668="","",'Rozpad zakázky'!F684)</f>
        <v/>
      </c>
      <c r="E668" s="710" t="str">
        <f>IF(A668="","",'Rozpad zakázky'!D684&amp;IF('Rozpad zakázky'!G684="",""," ("&amp;'Rozpad zakázky'!G684&amp;")"))</f>
        <v/>
      </c>
      <c r="F668" s="709" t="str">
        <f>IF(A668="","",'Rozpad zakázky'!IW684)</f>
        <v/>
      </c>
      <c r="G668" s="711" t="str">
        <f>IF(A668="","",'Rozpad zakázky'!AE684)</f>
        <v/>
      </c>
      <c r="H668" s="717" t="str">
        <f>IF(A668="","",'Rozpad zakázky'!AJ684)</f>
        <v/>
      </c>
      <c r="I668" s="748" t="str">
        <f>IF(A668="","",'Rozpad zakázky'!Q684)</f>
        <v/>
      </c>
      <c r="J668" s="717" t="str">
        <f>IF(A668="","",ROUNDDOWN('Rozpad zakázky'!L684,1))</f>
        <v/>
      </c>
      <c r="K668" s="745" t="str">
        <f>IF(A668="","",Tabulka_nakup_Vonka[[#This Row],[Počet MJHR v rozpadu]]*Tabulka_nakup_Vonka[[#This Row],[Jedn. hmotnost '[kg/MJHR']]])</f>
        <v/>
      </c>
    </row>
    <row r="669" spans="1:11" x14ac:dyDescent="0.35">
      <c r="A669" s="709" t="str">
        <f>IF('Rozpad zakázky'!E685=0,"",IF('Rozpad zakázky'!E685="-","",'Rozpad zakázky'!E685))</f>
        <v/>
      </c>
      <c r="B669" s="708" t="str">
        <f>IF(A669="","",IF(A669="","",VLOOKUP(A:A,Pomocna_Nakup[],3,0))&amp;" | "&amp;IF(A669="","",VLOOKUP(A:A,Pomocna_Nakup[],4,0)))</f>
        <v/>
      </c>
      <c r="C669" s="710" t="str">
        <f>IF(Tabulka_nakup_Vonka[[#This Row],[Zkratka kalkulační položky]]="","",Tabulka_nakup_Vonka[[#This Row],[Zkratka kalkulační položky]]&amp;" | "&amp;IF(A669="","",VLOOKUP(A:A,Pomocna_Nakup[],2,0)))</f>
        <v/>
      </c>
      <c r="D669" s="710" t="str">
        <f>IF(A669="","",'Rozpad zakázky'!F685)</f>
        <v/>
      </c>
      <c r="E669" s="710" t="str">
        <f>IF(A669="","",'Rozpad zakázky'!D685&amp;IF('Rozpad zakázky'!G685="",""," ("&amp;'Rozpad zakázky'!G685&amp;")"))</f>
        <v/>
      </c>
      <c r="F669" s="709" t="str">
        <f>IF(A669="","",'Rozpad zakázky'!IW685)</f>
        <v/>
      </c>
      <c r="G669" s="711" t="str">
        <f>IF(A669="","",'Rozpad zakázky'!AE685)</f>
        <v/>
      </c>
      <c r="H669" s="717" t="str">
        <f>IF(A669="","",'Rozpad zakázky'!AJ685)</f>
        <v/>
      </c>
      <c r="I669" s="748" t="str">
        <f>IF(A669="","",'Rozpad zakázky'!Q685)</f>
        <v/>
      </c>
      <c r="J669" s="717" t="str">
        <f>IF(A669="","",ROUNDDOWN('Rozpad zakázky'!L685,1))</f>
        <v/>
      </c>
      <c r="K669" s="745" t="str">
        <f>IF(A669="","",Tabulka_nakup_Vonka[[#This Row],[Počet MJHR v rozpadu]]*Tabulka_nakup_Vonka[[#This Row],[Jedn. hmotnost '[kg/MJHR']]])</f>
        <v/>
      </c>
    </row>
    <row r="670" spans="1:11" x14ac:dyDescent="0.35">
      <c r="A670" s="709" t="str">
        <f>IF('Rozpad zakázky'!E686=0,"",IF('Rozpad zakázky'!E686="-","",'Rozpad zakázky'!E686))</f>
        <v/>
      </c>
      <c r="B670" s="708" t="str">
        <f>IF(A670="","",IF(A670="","",VLOOKUP(A:A,Pomocna_Nakup[],3,0))&amp;" | "&amp;IF(A670="","",VLOOKUP(A:A,Pomocna_Nakup[],4,0)))</f>
        <v/>
      </c>
      <c r="C670" s="710" t="str">
        <f>IF(Tabulka_nakup_Vonka[[#This Row],[Zkratka kalkulační položky]]="","",Tabulka_nakup_Vonka[[#This Row],[Zkratka kalkulační položky]]&amp;" | "&amp;IF(A670="","",VLOOKUP(A:A,Pomocna_Nakup[],2,0)))</f>
        <v/>
      </c>
      <c r="D670" s="710" t="str">
        <f>IF(A670="","",'Rozpad zakázky'!F686)</f>
        <v/>
      </c>
      <c r="E670" s="710" t="str">
        <f>IF(A670="","",'Rozpad zakázky'!D686&amp;IF('Rozpad zakázky'!G686="",""," ("&amp;'Rozpad zakázky'!G686&amp;")"))</f>
        <v/>
      </c>
      <c r="F670" s="709" t="str">
        <f>IF(A670="","",'Rozpad zakázky'!IW686)</f>
        <v/>
      </c>
      <c r="G670" s="711" t="str">
        <f>IF(A670="","",'Rozpad zakázky'!AE686)</f>
        <v/>
      </c>
      <c r="H670" s="717" t="str">
        <f>IF(A670="","",'Rozpad zakázky'!AJ686)</f>
        <v/>
      </c>
      <c r="I670" s="748" t="str">
        <f>IF(A670="","",'Rozpad zakázky'!Q686)</f>
        <v/>
      </c>
      <c r="J670" s="717" t="str">
        <f>IF(A670="","",ROUNDDOWN('Rozpad zakázky'!L686,1))</f>
        <v/>
      </c>
      <c r="K670" s="745" t="str">
        <f>IF(A670="","",Tabulka_nakup_Vonka[[#This Row],[Počet MJHR v rozpadu]]*Tabulka_nakup_Vonka[[#This Row],[Jedn. hmotnost '[kg/MJHR']]])</f>
        <v/>
      </c>
    </row>
    <row r="671" spans="1:11" x14ac:dyDescent="0.35">
      <c r="A671" s="709" t="str">
        <f>IF('Rozpad zakázky'!E687=0,"",IF('Rozpad zakázky'!E687="-","",'Rozpad zakázky'!E687))</f>
        <v/>
      </c>
      <c r="B671" s="708" t="str">
        <f>IF(A671="","",IF(A671="","",VLOOKUP(A:A,Pomocna_Nakup[],3,0))&amp;" | "&amp;IF(A671="","",VLOOKUP(A:A,Pomocna_Nakup[],4,0)))</f>
        <v/>
      </c>
      <c r="C671" s="710" t="str">
        <f>IF(Tabulka_nakup_Vonka[[#This Row],[Zkratka kalkulační položky]]="","",Tabulka_nakup_Vonka[[#This Row],[Zkratka kalkulační položky]]&amp;" | "&amp;IF(A671="","",VLOOKUP(A:A,Pomocna_Nakup[],2,0)))</f>
        <v/>
      </c>
      <c r="D671" s="710" t="str">
        <f>IF(A671="","",'Rozpad zakázky'!F687)</f>
        <v/>
      </c>
      <c r="E671" s="710" t="str">
        <f>IF(A671="","",'Rozpad zakázky'!D687&amp;IF('Rozpad zakázky'!G687="",""," ("&amp;'Rozpad zakázky'!G687&amp;")"))</f>
        <v/>
      </c>
      <c r="F671" s="709" t="str">
        <f>IF(A671="","",'Rozpad zakázky'!IW687)</f>
        <v/>
      </c>
      <c r="G671" s="711" t="str">
        <f>IF(A671="","",'Rozpad zakázky'!AE687)</f>
        <v/>
      </c>
      <c r="H671" s="717" t="str">
        <f>IF(A671="","",'Rozpad zakázky'!AJ687)</f>
        <v/>
      </c>
      <c r="I671" s="748" t="str">
        <f>IF(A671="","",'Rozpad zakázky'!Q687)</f>
        <v/>
      </c>
      <c r="J671" s="717" t="str">
        <f>IF(A671="","",ROUNDDOWN('Rozpad zakázky'!L687,1))</f>
        <v/>
      </c>
      <c r="K671" s="745" t="str">
        <f>IF(A671="","",Tabulka_nakup_Vonka[[#This Row],[Počet MJHR v rozpadu]]*Tabulka_nakup_Vonka[[#This Row],[Jedn. hmotnost '[kg/MJHR']]])</f>
        <v/>
      </c>
    </row>
    <row r="672" spans="1:11" x14ac:dyDescent="0.35">
      <c r="A672" s="709" t="str">
        <f>IF('Rozpad zakázky'!E688=0,"",IF('Rozpad zakázky'!E688="-","",'Rozpad zakázky'!E688))</f>
        <v/>
      </c>
      <c r="B672" s="708" t="str">
        <f>IF(A672="","",IF(A672="","",VLOOKUP(A:A,Pomocna_Nakup[],3,0))&amp;" | "&amp;IF(A672="","",VLOOKUP(A:A,Pomocna_Nakup[],4,0)))</f>
        <v/>
      </c>
      <c r="C672" s="710" t="str">
        <f>IF(Tabulka_nakup_Vonka[[#This Row],[Zkratka kalkulační položky]]="","",Tabulka_nakup_Vonka[[#This Row],[Zkratka kalkulační položky]]&amp;" | "&amp;IF(A672="","",VLOOKUP(A:A,Pomocna_Nakup[],2,0)))</f>
        <v/>
      </c>
      <c r="D672" s="710" t="str">
        <f>IF(A672="","",'Rozpad zakázky'!F688)</f>
        <v/>
      </c>
      <c r="E672" s="710" t="str">
        <f>IF(A672="","",'Rozpad zakázky'!D688&amp;IF('Rozpad zakázky'!G688="",""," ("&amp;'Rozpad zakázky'!G688&amp;")"))</f>
        <v/>
      </c>
      <c r="F672" s="709" t="str">
        <f>IF(A672="","",'Rozpad zakázky'!IW688)</f>
        <v/>
      </c>
      <c r="G672" s="711" t="str">
        <f>IF(A672="","",'Rozpad zakázky'!AE688)</f>
        <v/>
      </c>
      <c r="H672" s="717" t="str">
        <f>IF(A672="","",'Rozpad zakázky'!AJ688)</f>
        <v/>
      </c>
      <c r="I672" s="748" t="str">
        <f>IF(A672="","",'Rozpad zakázky'!Q688)</f>
        <v/>
      </c>
      <c r="J672" s="717" t="str">
        <f>IF(A672="","",ROUNDDOWN('Rozpad zakázky'!L688,1))</f>
        <v/>
      </c>
      <c r="K672" s="745" t="str">
        <f>IF(A672="","",Tabulka_nakup_Vonka[[#This Row],[Počet MJHR v rozpadu]]*Tabulka_nakup_Vonka[[#This Row],[Jedn. hmotnost '[kg/MJHR']]])</f>
        <v/>
      </c>
    </row>
    <row r="673" spans="1:11" x14ac:dyDescent="0.35">
      <c r="A673" s="709" t="str">
        <f>IF('Rozpad zakázky'!E689=0,"",IF('Rozpad zakázky'!E689="-","",'Rozpad zakázky'!E689))</f>
        <v/>
      </c>
      <c r="B673" s="708" t="str">
        <f>IF(A673="","",IF(A673="","",VLOOKUP(A:A,Pomocna_Nakup[],3,0))&amp;" | "&amp;IF(A673="","",VLOOKUP(A:A,Pomocna_Nakup[],4,0)))</f>
        <v/>
      </c>
      <c r="C673" s="710" t="str">
        <f>IF(Tabulka_nakup_Vonka[[#This Row],[Zkratka kalkulační položky]]="","",Tabulka_nakup_Vonka[[#This Row],[Zkratka kalkulační položky]]&amp;" | "&amp;IF(A673="","",VLOOKUP(A:A,Pomocna_Nakup[],2,0)))</f>
        <v/>
      </c>
      <c r="D673" s="710" t="str">
        <f>IF(A673="","",'Rozpad zakázky'!F689)</f>
        <v/>
      </c>
      <c r="E673" s="710" t="str">
        <f>IF(A673="","",'Rozpad zakázky'!D689&amp;IF('Rozpad zakázky'!G689="",""," ("&amp;'Rozpad zakázky'!G689&amp;")"))</f>
        <v/>
      </c>
      <c r="F673" s="709" t="str">
        <f>IF(A673="","",'Rozpad zakázky'!IW689)</f>
        <v/>
      </c>
      <c r="G673" s="711" t="str">
        <f>IF(A673="","",'Rozpad zakázky'!AE689)</f>
        <v/>
      </c>
      <c r="H673" s="717" t="str">
        <f>IF(A673="","",'Rozpad zakázky'!AJ689)</f>
        <v/>
      </c>
      <c r="I673" s="748" t="str">
        <f>IF(A673="","",'Rozpad zakázky'!Q689)</f>
        <v/>
      </c>
      <c r="J673" s="717" t="str">
        <f>IF(A673="","",ROUNDDOWN('Rozpad zakázky'!L689,1))</f>
        <v/>
      </c>
      <c r="K673" s="745" t="str">
        <f>IF(A673="","",Tabulka_nakup_Vonka[[#This Row],[Počet MJHR v rozpadu]]*Tabulka_nakup_Vonka[[#This Row],[Jedn. hmotnost '[kg/MJHR']]])</f>
        <v/>
      </c>
    </row>
    <row r="674" spans="1:11" x14ac:dyDescent="0.35">
      <c r="A674" s="709" t="str">
        <f>IF('Rozpad zakázky'!E690=0,"",IF('Rozpad zakázky'!E690="-","",'Rozpad zakázky'!E690))</f>
        <v/>
      </c>
      <c r="B674" s="708" t="str">
        <f>IF(A674="","",IF(A674="","",VLOOKUP(A:A,Pomocna_Nakup[],3,0))&amp;" | "&amp;IF(A674="","",VLOOKUP(A:A,Pomocna_Nakup[],4,0)))</f>
        <v/>
      </c>
      <c r="C674" s="710" t="str">
        <f>IF(Tabulka_nakup_Vonka[[#This Row],[Zkratka kalkulační položky]]="","",Tabulka_nakup_Vonka[[#This Row],[Zkratka kalkulační položky]]&amp;" | "&amp;IF(A674="","",VLOOKUP(A:A,Pomocna_Nakup[],2,0)))</f>
        <v/>
      </c>
      <c r="D674" s="710" t="str">
        <f>IF(A674="","",'Rozpad zakázky'!F690)</f>
        <v/>
      </c>
      <c r="E674" s="710" t="str">
        <f>IF(A674="","",'Rozpad zakázky'!D690&amp;IF('Rozpad zakázky'!G690="",""," ("&amp;'Rozpad zakázky'!G690&amp;")"))</f>
        <v/>
      </c>
      <c r="F674" s="709" t="str">
        <f>IF(A674="","",'Rozpad zakázky'!IW690)</f>
        <v/>
      </c>
      <c r="G674" s="711" t="str">
        <f>IF(A674="","",'Rozpad zakázky'!AE690)</f>
        <v/>
      </c>
      <c r="H674" s="717" t="str">
        <f>IF(A674="","",'Rozpad zakázky'!AJ690)</f>
        <v/>
      </c>
      <c r="I674" s="748" t="str">
        <f>IF(A674="","",'Rozpad zakázky'!Q690)</f>
        <v/>
      </c>
      <c r="J674" s="717" t="str">
        <f>IF(A674="","",ROUNDDOWN('Rozpad zakázky'!L690,1))</f>
        <v/>
      </c>
      <c r="K674" s="745" t="str">
        <f>IF(A674="","",Tabulka_nakup_Vonka[[#This Row],[Počet MJHR v rozpadu]]*Tabulka_nakup_Vonka[[#This Row],[Jedn. hmotnost '[kg/MJHR']]])</f>
        <v/>
      </c>
    </row>
    <row r="675" spans="1:11" x14ac:dyDescent="0.35">
      <c r="A675" s="709" t="str">
        <f>IF('Rozpad zakázky'!E691=0,"",IF('Rozpad zakázky'!E691="-","",'Rozpad zakázky'!E691))</f>
        <v/>
      </c>
      <c r="B675" s="708" t="str">
        <f>IF(A675="","",IF(A675="","",VLOOKUP(A:A,Pomocna_Nakup[],3,0))&amp;" | "&amp;IF(A675="","",VLOOKUP(A:A,Pomocna_Nakup[],4,0)))</f>
        <v/>
      </c>
      <c r="C675" s="710" t="str">
        <f>IF(Tabulka_nakup_Vonka[[#This Row],[Zkratka kalkulační položky]]="","",Tabulka_nakup_Vonka[[#This Row],[Zkratka kalkulační položky]]&amp;" | "&amp;IF(A675="","",VLOOKUP(A:A,Pomocna_Nakup[],2,0)))</f>
        <v/>
      </c>
      <c r="D675" s="710" t="str">
        <f>IF(A675="","",'Rozpad zakázky'!F691)</f>
        <v/>
      </c>
      <c r="E675" s="710" t="str">
        <f>IF(A675="","",'Rozpad zakázky'!D691&amp;IF('Rozpad zakázky'!G691="",""," ("&amp;'Rozpad zakázky'!G691&amp;")"))</f>
        <v/>
      </c>
      <c r="F675" s="709" t="str">
        <f>IF(A675="","",'Rozpad zakázky'!IW691)</f>
        <v/>
      </c>
      <c r="G675" s="711" t="str">
        <f>IF(A675="","",'Rozpad zakázky'!AE691)</f>
        <v/>
      </c>
      <c r="H675" s="717" t="str">
        <f>IF(A675="","",'Rozpad zakázky'!AJ691)</f>
        <v/>
      </c>
      <c r="I675" s="748" t="str">
        <f>IF(A675="","",'Rozpad zakázky'!Q691)</f>
        <v/>
      </c>
      <c r="J675" s="717" t="str">
        <f>IF(A675="","",ROUNDDOWN('Rozpad zakázky'!L691,1))</f>
        <v/>
      </c>
      <c r="K675" s="745" t="str">
        <f>IF(A675="","",Tabulka_nakup_Vonka[[#This Row],[Počet MJHR v rozpadu]]*Tabulka_nakup_Vonka[[#This Row],[Jedn. hmotnost '[kg/MJHR']]])</f>
        <v/>
      </c>
    </row>
    <row r="676" spans="1:11" x14ac:dyDescent="0.35">
      <c r="A676" s="709" t="str">
        <f>IF('Rozpad zakázky'!E692=0,"",IF('Rozpad zakázky'!E692="-","",'Rozpad zakázky'!E692))</f>
        <v/>
      </c>
      <c r="B676" s="708" t="str">
        <f>IF(A676="","",IF(A676="","",VLOOKUP(A:A,Pomocna_Nakup[],3,0))&amp;" | "&amp;IF(A676="","",VLOOKUP(A:A,Pomocna_Nakup[],4,0)))</f>
        <v/>
      </c>
      <c r="C676" s="710" t="str">
        <f>IF(Tabulka_nakup_Vonka[[#This Row],[Zkratka kalkulační položky]]="","",Tabulka_nakup_Vonka[[#This Row],[Zkratka kalkulační položky]]&amp;" | "&amp;IF(A676="","",VLOOKUP(A:A,Pomocna_Nakup[],2,0)))</f>
        <v/>
      </c>
      <c r="D676" s="710" t="str">
        <f>IF(A676="","",'Rozpad zakázky'!F692)</f>
        <v/>
      </c>
      <c r="E676" s="710" t="str">
        <f>IF(A676="","",'Rozpad zakázky'!D692&amp;IF('Rozpad zakázky'!G692="",""," ("&amp;'Rozpad zakázky'!G692&amp;")"))</f>
        <v/>
      </c>
      <c r="F676" s="709" t="str">
        <f>IF(A676="","",'Rozpad zakázky'!IW692)</f>
        <v/>
      </c>
      <c r="G676" s="711" t="str">
        <f>IF(A676="","",'Rozpad zakázky'!AE692)</f>
        <v/>
      </c>
      <c r="H676" s="717" t="str">
        <f>IF(A676="","",'Rozpad zakázky'!AJ692)</f>
        <v/>
      </c>
      <c r="I676" s="748" t="str">
        <f>IF(A676="","",'Rozpad zakázky'!Q692)</f>
        <v/>
      </c>
      <c r="J676" s="717" t="str">
        <f>IF(A676="","",ROUNDDOWN('Rozpad zakázky'!L692,1))</f>
        <v/>
      </c>
      <c r="K676" s="745" t="str">
        <f>IF(A676="","",Tabulka_nakup_Vonka[[#This Row],[Počet MJHR v rozpadu]]*Tabulka_nakup_Vonka[[#This Row],[Jedn. hmotnost '[kg/MJHR']]])</f>
        <v/>
      </c>
    </row>
    <row r="677" spans="1:11" x14ac:dyDescent="0.35">
      <c r="A677" s="709" t="str">
        <f>IF('Rozpad zakázky'!E693=0,"",IF('Rozpad zakázky'!E693="-","",'Rozpad zakázky'!E693))</f>
        <v/>
      </c>
      <c r="B677" s="708" t="str">
        <f>IF(A677="","",IF(A677="","",VLOOKUP(A:A,Pomocna_Nakup[],3,0))&amp;" | "&amp;IF(A677="","",VLOOKUP(A:A,Pomocna_Nakup[],4,0)))</f>
        <v/>
      </c>
      <c r="C677" s="710" t="str">
        <f>IF(Tabulka_nakup_Vonka[[#This Row],[Zkratka kalkulační položky]]="","",Tabulka_nakup_Vonka[[#This Row],[Zkratka kalkulační položky]]&amp;" | "&amp;IF(A677="","",VLOOKUP(A:A,Pomocna_Nakup[],2,0)))</f>
        <v/>
      </c>
      <c r="D677" s="710" t="str">
        <f>IF(A677="","",'Rozpad zakázky'!F693)</f>
        <v/>
      </c>
      <c r="E677" s="710" t="str">
        <f>IF(A677="","",'Rozpad zakázky'!D693&amp;IF('Rozpad zakázky'!G693="",""," ("&amp;'Rozpad zakázky'!G693&amp;")"))</f>
        <v/>
      </c>
      <c r="F677" s="709" t="str">
        <f>IF(A677="","",'Rozpad zakázky'!IW693)</f>
        <v/>
      </c>
      <c r="G677" s="711" t="str">
        <f>IF(A677="","",'Rozpad zakázky'!AE693)</f>
        <v/>
      </c>
      <c r="H677" s="717" t="str">
        <f>IF(A677="","",'Rozpad zakázky'!AJ693)</f>
        <v/>
      </c>
      <c r="I677" s="748" t="str">
        <f>IF(A677="","",'Rozpad zakázky'!Q693)</f>
        <v/>
      </c>
      <c r="J677" s="717" t="str">
        <f>IF(A677="","",ROUNDDOWN('Rozpad zakázky'!L693,1))</f>
        <v/>
      </c>
      <c r="K677" s="745" t="str">
        <f>IF(A677="","",Tabulka_nakup_Vonka[[#This Row],[Počet MJHR v rozpadu]]*Tabulka_nakup_Vonka[[#This Row],[Jedn. hmotnost '[kg/MJHR']]])</f>
        <v/>
      </c>
    </row>
    <row r="678" spans="1:11" x14ac:dyDescent="0.35">
      <c r="A678" s="709" t="str">
        <f>IF('Rozpad zakázky'!E694=0,"",IF('Rozpad zakázky'!E694="-","",'Rozpad zakázky'!E694))</f>
        <v/>
      </c>
      <c r="B678" s="708" t="str">
        <f>IF(A678="","",IF(A678="","",VLOOKUP(A:A,Pomocna_Nakup[],3,0))&amp;" | "&amp;IF(A678="","",VLOOKUP(A:A,Pomocna_Nakup[],4,0)))</f>
        <v/>
      </c>
      <c r="C678" s="710" t="str">
        <f>IF(Tabulka_nakup_Vonka[[#This Row],[Zkratka kalkulační položky]]="","",Tabulka_nakup_Vonka[[#This Row],[Zkratka kalkulační položky]]&amp;" | "&amp;IF(A678="","",VLOOKUP(A:A,Pomocna_Nakup[],2,0)))</f>
        <v/>
      </c>
      <c r="D678" s="710" t="str">
        <f>IF(A678="","",'Rozpad zakázky'!F694)</f>
        <v/>
      </c>
      <c r="E678" s="710" t="str">
        <f>IF(A678="","",'Rozpad zakázky'!D694&amp;IF('Rozpad zakázky'!G694="",""," ("&amp;'Rozpad zakázky'!G694&amp;")"))</f>
        <v/>
      </c>
      <c r="F678" s="709" t="str">
        <f>IF(A678="","",'Rozpad zakázky'!IW694)</f>
        <v/>
      </c>
      <c r="G678" s="711" t="str">
        <f>IF(A678="","",'Rozpad zakázky'!AE694)</f>
        <v/>
      </c>
      <c r="H678" s="717" t="str">
        <f>IF(A678="","",'Rozpad zakázky'!AJ694)</f>
        <v/>
      </c>
      <c r="I678" s="748" t="str">
        <f>IF(A678="","",'Rozpad zakázky'!Q694)</f>
        <v/>
      </c>
      <c r="J678" s="717" t="str">
        <f>IF(A678="","",ROUNDDOWN('Rozpad zakázky'!L694,1))</f>
        <v/>
      </c>
      <c r="K678" s="745" t="str">
        <f>IF(A678="","",Tabulka_nakup_Vonka[[#This Row],[Počet MJHR v rozpadu]]*Tabulka_nakup_Vonka[[#This Row],[Jedn. hmotnost '[kg/MJHR']]])</f>
        <v/>
      </c>
    </row>
    <row r="679" spans="1:11" x14ac:dyDescent="0.35">
      <c r="A679" s="709" t="str">
        <f>IF('Rozpad zakázky'!E695=0,"",IF('Rozpad zakázky'!E695="-","",'Rozpad zakázky'!E695))</f>
        <v/>
      </c>
      <c r="B679" s="708" t="str">
        <f>IF(A679="","",IF(A679="","",VLOOKUP(A:A,Pomocna_Nakup[],3,0))&amp;" | "&amp;IF(A679="","",VLOOKUP(A:A,Pomocna_Nakup[],4,0)))</f>
        <v/>
      </c>
      <c r="C679" s="710" t="str">
        <f>IF(Tabulka_nakup_Vonka[[#This Row],[Zkratka kalkulační položky]]="","",Tabulka_nakup_Vonka[[#This Row],[Zkratka kalkulační položky]]&amp;" | "&amp;IF(A679="","",VLOOKUP(A:A,Pomocna_Nakup[],2,0)))</f>
        <v/>
      </c>
      <c r="D679" s="710" t="str">
        <f>IF(A679="","",'Rozpad zakázky'!F695)</f>
        <v/>
      </c>
      <c r="E679" s="710" t="str">
        <f>IF(A679="","",'Rozpad zakázky'!D695&amp;IF('Rozpad zakázky'!G695="",""," ("&amp;'Rozpad zakázky'!G695&amp;")"))</f>
        <v/>
      </c>
      <c r="F679" s="709" t="str">
        <f>IF(A679="","",'Rozpad zakázky'!IW695)</f>
        <v/>
      </c>
      <c r="G679" s="711" t="str">
        <f>IF(A679="","",'Rozpad zakázky'!AE695)</f>
        <v/>
      </c>
      <c r="H679" s="717" t="str">
        <f>IF(A679="","",'Rozpad zakázky'!AJ695)</f>
        <v/>
      </c>
      <c r="I679" s="748" t="str">
        <f>IF(A679="","",'Rozpad zakázky'!Q695)</f>
        <v/>
      </c>
      <c r="J679" s="717" t="str">
        <f>IF(A679="","",ROUNDDOWN('Rozpad zakázky'!L695,1))</f>
        <v/>
      </c>
      <c r="K679" s="745" t="str">
        <f>IF(A679="","",Tabulka_nakup_Vonka[[#This Row],[Počet MJHR v rozpadu]]*Tabulka_nakup_Vonka[[#This Row],[Jedn. hmotnost '[kg/MJHR']]])</f>
        <v/>
      </c>
    </row>
    <row r="680" spans="1:11" x14ac:dyDescent="0.35">
      <c r="A680" s="709" t="str">
        <f>IF('Rozpad zakázky'!E696=0,"",IF('Rozpad zakázky'!E696="-","",'Rozpad zakázky'!E696))</f>
        <v/>
      </c>
      <c r="B680" s="708" t="str">
        <f>IF(A680="","",IF(A680="","",VLOOKUP(A:A,Pomocna_Nakup[],3,0))&amp;" | "&amp;IF(A680="","",VLOOKUP(A:A,Pomocna_Nakup[],4,0)))</f>
        <v/>
      </c>
      <c r="C680" s="710" t="str">
        <f>IF(Tabulka_nakup_Vonka[[#This Row],[Zkratka kalkulační položky]]="","",Tabulka_nakup_Vonka[[#This Row],[Zkratka kalkulační položky]]&amp;" | "&amp;IF(A680="","",VLOOKUP(A:A,Pomocna_Nakup[],2,0)))</f>
        <v/>
      </c>
      <c r="D680" s="710" t="str">
        <f>IF(A680="","",'Rozpad zakázky'!F696)</f>
        <v/>
      </c>
      <c r="E680" s="710" t="str">
        <f>IF(A680="","",'Rozpad zakázky'!D696&amp;IF('Rozpad zakázky'!G696="",""," ("&amp;'Rozpad zakázky'!G696&amp;")"))</f>
        <v/>
      </c>
      <c r="F680" s="709" t="str">
        <f>IF(A680="","",'Rozpad zakázky'!IW696)</f>
        <v/>
      </c>
      <c r="G680" s="711" t="str">
        <f>IF(A680="","",'Rozpad zakázky'!AE696)</f>
        <v/>
      </c>
      <c r="H680" s="717" t="str">
        <f>IF(A680="","",'Rozpad zakázky'!AJ696)</f>
        <v/>
      </c>
      <c r="I680" s="748" t="str">
        <f>IF(A680="","",'Rozpad zakázky'!Q696)</f>
        <v/>
      </c>
      <c r="J680" s="717" t="str">
        <f>IF(A680="","",ROUNDDOWN('Rozpad zakázky'!L696,1))</f>
        <v/>
      </c>
      <c r="K680" s="745" t="str">
        <f>IF(A680="","",Tabulka_nakup_Vonka[[#This Row],[Počet MJHR v rozpadu]]*Tabulka_nakup_Vonka[[#This Row],[Jedn. hmotnost '[kg/MJHR']]])</f>
        <v/>
      </c>
    </row>
    <row r="681" spans="1:11" x14ac:dyDescent="0.35">
      <c r="A681" s="709" t="str">
        <f>IF('Rozpad zakázky'!E697=0,"",IF('Rozpad zakázky'!E697="-","",'Rozpad zakázky'!E697))</f>
        <v/>
      </c>
      <c r="B681" s="708" t="str">
        <f>IF(A681="","",IF(A681="","",VLOOKUP(A:A,Pomocna_Nakup[],3,0))&amp;" | "&amp;IF(A681="","",VLOOKUP(A:A,Pomocna_Nakup[],4,0)))</f>
        <v/>
      </c>
      <c r="C681" s="710" t="str">
        <f>IF(Tabulka_nakup_Vonka[[#This Row],[Zkratka kalkulační položky]]="","",Tabulka_nakup_Vonka[[#This Row],[Zkratka kalkulační položky]]&amp;" | "&amp;IF(A681="","",VLOOKUP(A:A,Pomocna_Nakup[],2,0)))</f>
        <v/>
      </c>
      <c r="D681" s="710" t="str">
        <f>IF(A681="","",'Rozpad zakázky'!F697)</f>
        <v/>
      </c>
      <c r="E681" s="710" t="str">
        <f>IF(A681="","",'Rozpad zakázky'!D697&amp;IF('Rozpad zakázky'!G697="",""," ("&amp;'Rozpad zakázky'!G697&amp;")"))</f>
        <v/>
      </c>
      <c r="F681" s="709" t="str">
        <f>IF(A681="","",'Rozpad zakázky'!IW697)</f>
        <v/>
      </c>
      <c r="G681" s="711" t="str">
        <f>IF(A681="","",'Rozpad zakázky'!AE697)</f>
        <v/>
      </c>
      <c r="H681" s="717" t="str">
        <f>IF(A681="","",'Rozpad zakázky'!AJ697)</f>
        <v/>
      </c>
      <c r="I681" s="748" t="str">
        <f>IF(A681="","",'Rozpad zakázky'!Q697)</f>
        <v/>
      </c>
      <c r="J681" s="717" t="str">
        <f>IF(A681="","",ROUNDDOWN('Rozpad zakázky'!L697,1))</f>
        <v/>
      </c>
      <c r="K681" s="745" t="str">
        <f>IF(A681="","",Tabulka_nakup_Vonka[[#This Row],[Počet MJHR v rozpadu]]*Tabulka_nakup_Vonka[[#This Row],[Jedn. hmotnost '[kg/MJHR']]])</f>
        <v/>
      </c>
    </row>
    <row r="682" spans="1:11" x14ac:dyDescent="0.35">
      <c r="A682" s="709" t="str">
        <f>IF('Rozpad zakázky'!E698=0,"",IF('Rozpad zakázky'!E698="-","",'Rozpad zakázky'!E698))</f>
        <v/>
      </c>
      <c r="B682" s="708" t="str">
        <f>IF(A682="","",IF(A682="","",VLOOKUP(A:A,Pomocna_Nakup[],3,0))&amp;" | "&amp;IF(A682="","",VLOOKUP(A:A,Pomocna_Nakup[],4,0)))</f>
        <v/>
      </c>
      <c r="C682" s="710" t="str">
        <f>IF(Tabulka_nakup_Vonka[[#This Row],[Zkratka kalkulační položky]]="","",Tabulka_nakup_Vonka[[#This Row],[Zkratka kalkulační položky]]&amp;" | "&amp;IF(A682="","",VLOOKUP(A:A,Pomocna_Nakup[],2,0)))</f>
        <v/>
      </c>
      <c r="D682" s="710" t="str">
        <f>IF(A682="","",'Rozpad zakázky'!F698)</f>
        <v/>
      </c>
      <c r="E682" s="710" t="str">
        <f>IF(A682="","",'Rozpad zakázky'!D698&amp;IF('Rozpad zakázky'!G698="",""," ("&amp;'Rozpad zakázky'!G698&amp;")"))</f>
        <v/>
      </c>
      <c r="F682" s="709" t="str">
        <f>IF(A682="","",'Rozpad zakázky'!IW698)</f>
        <v/>
      </c>
      <c r="G682" s="711" t="str">
        <f>IF(A682="","",'Rozpad zakázky'!AE698)</f>
        <v/>
      </c>
      <c r="H682" s="717" t="str">
        <f>IF(A682="","",'Rozpad zakázky'!AJ698)</f>
        <v/>
      </c>
      <c r="I682" s="748" t="str">
        <f>IF(A682="","",'Rozpad zakázky'!Q698)</f>
        <v/>
      </c>
      <c r="J682" s="717" t="str">
        <f>IF(A682="","",ROUNDDOWN('Rozpad zakázky'!L698,1))</f>
        <v/>
      </c>
      <c r="K682" s="745" t="str">
        <f>IF(A682="","",Tabulka_nakup_Vonka[[#This Row],[Počet MJHR v rozpadu]]*Tabulka_nakup_Vonka[[#This Row],[Jedn. hmotnost '[kg/MJHR']]])</f>
        <v/>
      </c>
    </row>
    <row r="683" spans="1:11" x14ac:dyDescent="0.35">
      <c r="A683" s="709" t="str">
        <f>IF('Rozpad zakázky'!E699=0,"",IF('Rozpad zakázky'!E699="-","",'Rozpad zakázky'!E699))</f>
        <v/>
      </c>
      <c r="B683" s="708" t="str">
        <f>IF(A683="","",IF(A683="","",VLOOKUP(A:A,Pomocna_Nakup[],3,0))&amp;" | "&amp;IF(A683="","",VLOOKUP(A:A,Pomocna_Nakup[],4,0)))</f>
        <v/>
      </c>
      <c r="C683" s="710" t="str">
        <f>IF(Tabulka_nakup_Vonka[[#This Row],[Zkratka kalkulační položky]]="","",Tabulka_nakup_Vonka[[#This Row],[Zkratka kalkulační položky]]&amp;" | "&amp;IF(A683="","",VLOOKUP(A:A,Pomocna_Nakup[],2,0)))</f>
        <v/>
      </c>
      <c r="D683" s="710" t="str">
        <f>IF(A683="","",'Rozpad zakázky'!F699)</f>
        <v/>
      </c>
      <c r="E683" s="710" t="str">
        <f>IF(A683="","",'Rozpad zakázky'!D699&amp;IF('Rozpad zakázky'!G699="",""," ("&amp;'Rozpad zakázky'!G699&amp;")"))</f>
        <v/>
      </c>
      <c r="F683" s="709" t="str">
        <f>IF(A683="","",'Rozpad zakázky'!IW699)</f>
        <v/>
      </c>
      <c r="G683" s="711" t="str">
        <f>IF(A683="","",'Rozpad zakázky'!AE699)</f>
        <v/>
      </c>
      <c r="H683" s="717" t="str">
        <f>IF(A683="","",'Rozpad zakázky'!AJ699)</f>
        <v/>
      </c>
      <c r="I683" s="748" t="str">
        <f>IF(A683="","",'Rozpad zakázky'!Q699)</f>
        <v/>
      </c>
      <c r="J683" s="717" t="str">
        <f>IF(A683="","",ROUNDDOWN('Rozpad zakázky'!L699,1))</f>
        <v/>
      </c>
      <c r="K683" s="745" t="str">
        <f>IF(A683="","",Tabulka_nakup_Vonka[[#This Row],[Počet MJHR v rozpadu]]*Tabulka_nakup_Vonka[[#This Row],[Jedn. hmotnost '[kg/MJHR']]])</f>
        <v/>
      </c>
    </row>
    <row r="684" spans="1:11" x14ac:dyDescent="0.35">
      <c r="A684" s="709" t="str">
        <f>IF('Rozpad zakázky'!E700=0,"",IF('Rozpad zakázky'!E700="-","",'Rozpad zakázky'!E700))</f>
        <v/>
      </c>
      <c r="B684" s="708" t="str">
        <f>IF(A684="","",IF(A684="","",VLOOKUP(A:A,Pomocna_Nakup[],3,0))&amp;" | "&amp;IF(A684="","",VLOOKUP(A:A,Pomocna_Nakup[],4,0)))</f>
        <v/>
      </c>
      <c r="C684" s="710" t="str">
        <f>IF(Tabulka_nakup_Vonka[[#This Row],[Zkratka kalkulační položky]]="","",Tabulka_nakup_Vonka[[#This Row],[Zkratka kalkulační položky]]&amp;" | "&amp;IF(A684="","",VLOOKUP(A:A,Pomocna_Nakup[],2,0)))</f>
        <v/>
      </c>
      <c r="D684" s="710" t="str">
        <f>IF(A684="","",'Rozpad zakázky'!F700)</f>
        <v/>
      </c>
      <c r="E684" s="710" t="str">
        <f>IF(A684="","",'Rozpad zakázky'!D700&amp;IF('Rozpad zakázky'!G700="",""," ("&amp;'Rozpad zakázky'!G700&amp;")"))</f>
        <v/>
      </c>
      <c r="F684" s="709" t="str">
        <f>IF(A684="","",'Rozpad zakázky'!IW700)</f>
        <v/>
      </c>
      <c r="G684" s="711" t="str">
        <f>IF(A684="","",'Rozpad zakázky'!AE700)</f>
        <v/>
      </c>
      <c r="H684" s="717" t="str">
        <f>IF(A684="","",'Rozpad zakázky'!AJ700)</f>
        <v/>
      </c>
      <c r="I684" s="748" t="str">
        <f>IF(A684="","",'Rozpad zakázky'!Q700)</f>
        <v/>
      </c>
      <c r="J684" s="717" t="str">
        <f>IF(A684="","",ROUNDDOWN('Rozpad zakázky'!L700,1))</f>
        <v/>
      </c>
      <c r="K684" s="745" t="str">
        <f>IF(A684="","",Tabulka_nakup_Vonka[[#This Row],[Počet MJHR v rozpadu]]*Tabulka_nakup_Vonka[[#This Row],[Jedn. hmotnost '[kg/MJHR']]])</f>
        <v/>
      </c>
    </row>
    <row r="685" spans="1:11" x14ac:dyDescent="0.35">
      <c r="A685" s="709" t="str">
        <f>IF('Rozpad zakázky'!E701=0,"",IF('Rozpad zakázky'!E701="-","",'Rozpad zakázky'!E701))</f>
        <v/>
      </c>
      <c r="B685" s="708" t="str">
        <f>IF(A685="","",IF(A685="","",VLOOKUP(A:A,Pomocna_Nakup[],3,0))&amp;" | "&amp;IF(A685="","",VLOOKUP(A:A,Pomocna_Nakup[],4,0)))</f>
        <v/>
      </c>
      <c r="C685" s="710" t="str">
        <f>IF(Tabulka_nakup_Vonka[[#This Row],[Zkratka kalkulační položky]]="","",Tabulka_nakup_Vonka[[#This Row],[Zkratka kalkulační položky]]&amp;" | "&amp;IF(A685="","",VLOOKUP(A:A,Pomocna_Nakup[],2,0)))</f>
        <v/>
      </c>
      <c r="D685" s="710" t="str">
        <f>IF(A685="","",'Rozpad zakázky'!F701)</f>
        <v/>
      </c>
      <c r="E685" s="710" t="str">
        <f>IF(A685="","",'Rozpad zakázky'!D701&amp;IF('Rozpad zakázky'!G701="",""," ("&amp;'Rozpad zakázky'!G701&amp;")"))</f>
        <v/>
      </c>
      <c r="F685" s="709" t="str">
        <f>IF(A685="","",'Rozpad zakázky'!IW701)</f>
        <v/>
      </c>
      <c r="G685" s="711" t="str">
        <f>IF(A685="","",'Rozpad zakázky'!AE701)</f>
        <v/>
      </c>
      <c r="H685" s="717" t="str">
        <f>IF(A685="","",'Rozpad zakázky'!AJ701)</f>
        <v/>
      </c>
      <c r="I685" s="748" t="str">
        <f>IF(A685="","",'Rozpad zakázky'!Q701)</f>
        <v/>
      </c>
      <c r="J685" s="717" t="str">
        <f>IF(A685="","",ROUNDDOWN('Rozpad zakázky'!L701,1))</f>
        <v/>
      </c>
      <c r="K685" s="745" t="str">
        <f>IF(A685="","",Tabulka_nakup_Vonka[[#This Row],[Počet MJHR v rozpadu]]*Tabulka_nakup_Vonka[[#This Row],[Jedn. hmotnost '[kg/MJHR']]])</f>
        <v/>
      </c>
    </row>
    <row r="686" spans="1:11" x14ac:dyDescent="0.35">
      <c r="A686" s="709" t="str">
        <f>IF('Rozpad zakázky'!E702=0,"",IF('Rozpad zakázky'!E702="-","",'Rozpad zakázky'!E702))</f>
        <v/>
      </c>
      <c r="B686" s="708" t="str">
        <f>IF(A686="","",IF(A686="","",VLOOKUP(A:A,Pomocna_Nakup[],3,0))&amp;" | "&amp;IF(A686="","",VLOOKUP(A:A,Pomocna_Nakup[],4,0)))</f>
        <v/>
      </c>
      <c r="C686" s="710" t="str">
        <f>IF(Tabulka_nakup_Vonka[[#This Row],[Zkratka kalkulační položky]]="","",Tabulka_nakup_Vonka[[#This Row],[Zkratka kalkulační položky]]&amp;" | "&amp;IF(A686="","",VLOOKUP(A:A,Pomocna_Nakup[],2,0)))</f>
        <v/>
      </c>
      <c r="D686" s="710" t="str">
        <f>IF(A686="","",'Rozpad zakázky'!F702)</f>
        <v/>
      </c>
      <c r="E686" s="710" t="str">
        <f>IF(A686="","",'Rozpad zakázky'!D702&amp;IF('Rozpad zakázky'!G702="",""," ("&amp;'Rozpad zakázky'!G702&amp;")"))</f>
        <v/>
      </c>
      <c r="F686" s="709" t="str">
        <f>IF(A686="","",'Rozpad zakázky'!IW702)</f>
        <v/>
      </c>
      <c r="G686" s="711" t="str">
        <f>IF(A686="","",'Rozpad zakázky'!AE702)</f>
        <v/>
      </c>
      <c r="H686" s="717" t="str">
        <f>IF(A686="","",'Rozpad zakázky'!AJ702)</f>
        <v/>
      </c>
      <c r="I686" s="748" t="str">
        <f>IF(A686="","",'Rozpad zakázky'!Q702)</f>
        <v/>
      </c>
      <c r="J686" s="717" t="str">
        <f>IF(A686="","",ROUNDDOWN('Rozpad zakázky'!L702,1))</f>
        <v/>
      </c>
      <c r="K686" s="745" t="str">
        <f>IF(A686="","",Tabulka_nakup_Vonka[[#This Row],[Počet MJHR v rozpadu]]*Tabulka_nakup_Vonka[[#This Row],[Jedn. hmotnost '[kg/MJHR']]])</f>
        <v/>
      </c>
    </row>
    <row r="687" spans="1:11" x14ac:dyDescent="0.35">
      <c r="A687" s="709" t="str">
        <f>IF('Rozpad zakázky'!E703=0,"",IF('Rozpad zakázky'!E703="-","",'Rozpad zakázky'!E703))</f>
        <v/>
      </c>
      <c r="B687" s="708" t="str">
        <f>IF(A687="","",IF(A687="","",VLOOKUP(A:A,Pomocna_Nakup[],3,0))&amp;" | "&amp;IF(A687="","",VLOOKUP(A:A,Pomocna_Nakup[],4,0)))</f>
        <v/>
      </c>
      <c r="C687" s="710" t="str">
        <f>IF(Tabulka_nakup_Vonka[[#This Row],[Zkratka kalkulační položky]]="","",Tabulka_nakup_Vonka[[#This Row],[Zkratka kalkulační položky]]&amp;" | "&amp;IF(A687="","",VLOOKUP(A:A,Pomocna_Nakup[],2,0)))</f>
        <v/>
      </c>
      <c r="D687" s="710" t="str">
        <f>IF(A687="","",'Rozpad zakázky'!F703)</f>
        <v/>
      </c>
      <c r="E687" s="710" t="str">
        <f>IF(A687="","",'Rozpad zakázky'!D703&amp;IF('Rozpad zakázky'!G703="",""," ("&amp;'Rozpad zakázky'!G703&amp;")"))</f>
        <v/>
      </c>
      <c r="F687" s="709" t="str">
        <f>IF(A687="","",'Rozpad zakázky'!IW703)</f>
        <v/>
      </c>
      <c r="G687" s="711" t="str">
        <f>IF(A687="","",'Rozpad zakázky'!AE703)</f>
        <v/>
      </c>
      <c r="H687" s="717" t="str">
        <f>IF(A687="","",'Rozpad zakázky'!AJ703)</f>
        <v/>
      </c>
      <c r="I687" s="748" t="str">
        <f>IF(A687="","",'Rozpad zakázky'!Q703)</f>
        <v/>
      </c>
      <c r="J687" s="717" t="str">
        <f>IF(A687="","",ROUNDDOWN('Rozpad zakázky'!L703,1))</f>
        <v/>
      </c>
      <c r="K687" s="745" t="str">
        <f>IF(A687="","",Tabulka_nakup_Vonka[[#This Row],[Počet MJHR v rozpadu]]*Tabulka_nakup_Vonka[[#This Row],[Jedn. hmotnost '[kg/MJHR']]])</f>
        <v/>
      </c>
    </row>
    <row r="688" spans="1:11" x14ac:dyDescent="0.35">
      <c r="A688" s="709" t="str">
        <f>IF('Rozpad zakázky'!E704=0,"",IF('Rozpad zakázky'!E704="-","",'Rozpad zakázky'!E704))</f>
        <v/>
      </c>
      <c r="B688" s="708" t="str">
        <f>IF(A688="","",IF(A688="","",VLOOKUP(A:A,Pomocna_Nakup[],3,0))&amp;" | "&amp;IF(A688="","",VLOOKUP(A:A,Pomocna_Nakup[],4,0)))</f>
        <v/>
      </c>
      <c r="C688" s="710" t="str">
        <f>IF(Tabulka_nakup_Vonka[[#This Row],[Zkratka kalkulační položky]]="","",Tabulka_nakup_Vonka[[#This Row],[Zkratka kalkulační položky]]&amp;" | "&amp;IF(A688="","",VLOOKUP(A:A,Pomocna_Nakup[],2,0)))</f>
        <v/>
      </c>
      <c r="D688" s="710" t="str">
        <f>IF(A688="","",'Rozpad zakázky'!F704)</f>
        <v/>
      </c>
      <c r="E688" s="710" t="str">
        <f>IF(A688="","",'Rozpad zakázky'!D704&amp;IF('Rozpad zakázky'!G704="",""," ("&amp;'Rozpad zakázky'!G704&amp;")"))</f>
        <v/>
      </c>
      <c r="F688" s="709" t="str">
        <f>IF(A688="","",'Rozpad zakázky'!IW704)</f>
        <v/>
      </c>
      <c r="G688" s="711" t="str">
        <f>IF(A688="","",'Rozpad zakázky'!AE704)</f>
        <v/>
      </c>
      <c r="H688" s="717" t="str">
        <f>IF(A688="","",'Rozpad zakázky'!AJ704)</f>
        <v/>
      </c>
      <c r="I688" s="748" t="str">
        <f>IF(A688="","",'Rozpad zakázky'!Q704)</f>
        <v/>
      </c>
      <c r="J688" s="717" t="str">
        <f>IF(A688="","",ROUNDDOWN('Rozpad zakázky'!L704,1))</f>
        <v/>
      </c>
      <c r="K688" s="745" t="str">
        <f>IF(A688="","",Tabulka_nakup_Vonka[[#This Row],[Počet MJHR v rozpadu]]*Tabulka_nakup_Vonka[[#This Row],[Jedn. hmotnost '[kg/MJHR']]])</f>
        <v/>
      </c>
    </row>
    <row r="689" spans="1:11" x14ac:dyDescent="0.35">
      <c r="A689" s="709" t="str">
        <f>IF('Rozpad zakázky'!E705=0,"",IF('Rozpad zakázky'!E705="-","",'Rozpad zakázky'!E705))</f>
        <v/>
      </c>
      <c r="B689" s="708" t="str">
        <f>IF(A689="","",IF(A689="","",VLOOKUP(A:A,Pomocna_Nakup[],3,0))&amp;" | "&amp;IF(A689="","",VLOOKUP(A:A,Pomocna_Nakup[],4,0)))</f>
        <v/>
      </c>
      <c r="C689" s="710" t="str">
        <f>IF(Tabulka_nakup_Vonka[[#This Row],[Zkratka kalkulační položky]]="","",Tabulka_nakup_Vonka[[#This Row],[Zkratka kalkulační položky]]&amp;" | "&amp;IF(A689="","",VLOOKUP(A:A,Pomocna_Nakup[],2,0)))</f>
        <v/>
      </c>
      <c r="D689" s="710" t="str">
        <f>IF(A689="","",'Rozpad zakázky'!F705)</f>
        <v/>
      </c>
      <c r="E689" s="710" t="str">
        <f>IF(A689="","",'Rozpad zakázky'!D705&amp;IF('Rozpad zakázky'!G705="",""," ("&amp;'Rozpad zakázky'!G705&amp;")"))</f>
        <v/>
      </c>
      <c r="F689" s="709" t="str">
        <f>IF(A689="","",'Rozpad zakázky'!IW705)</f>
        <v/>
      </c>
      <c r="G689" s="711" t="str">
        <f>IF(A689="","",'Rozpad zakázky'!AE705)</f>
        <v/>
      </c>
      <c r="H689" s="717" t="str">
        <f>IF(A689="","",'Rozpad zakázky'!AJ705)</f>
        <v/>
      </c>
      <c r="I689" s="748" t="str">
        <f>IF(A689="","",'Rozpad zakázky'!Q705)</f>
        <v/>
      </c>
      <c r="J689" s="717" t="str">
        <f>IF(A689="","",ROUNDDOWN('Rozpad zakázky'!L705,1))</f>
        <v/>
      </c>
      <c r="K689" s="745" t="str">
        <f>IF(A689="","",Tabulka_nakup_Vonka[[#This Row],[Počet MJHR v rozpadu]]*Tabulka_nakup_Vonka[[#This Row],[Jedn. hmotnost '[kg/MJHR']]])</f>
        <v/>
      </c>
    </row>
    <row r="690" spans="1:11" x14ac:dyDescent="0.35">
      <c r="A690" s="709" t="str">
        <f>IF('Rozpad zakázky'!E706=0,"",IF('Rozpad zakázky'!E706="-","",'Rozpad zakázky'!E706))</f>
        <v/>
      </c>
      <c r="B690" s="708" t="str">
        <f>IF(A690="","",IF(A690="","",VLOOKUP(A:A,Pomocna_Nakup[],3,0))&amp;" | "&amp;IF(A690="","",VLOOKUP(A:A,Pomocna_Nakup[],4,0)))</f>
        <v/>
      </c>
      <c r="C690" s="710" t="str">
        <f>IF(Tabulka_nakup_Vonka[[#This Row],[Zkratka kalkulační položky]]="","",Tabulka_nakup_Vonka[[#This Row],[Zkratka kalkulační položky]]&amp;" | "&amp;IF(A690="","",VLOOKUP(A:A,Pomocna_Nakup[],2,0)))</f>
        <v/>
      </c>
      <c r="D690" s="710" t="str">
        <f>IF(A690="","",'Rozpad zakázky'!F706)</f>
        <v/>
      </c>
      <c r="E690" s="710" t="str">
        <f>IF(A690="","",'Rozpad zakázky'!D706&amp;IF('Rozpad zakázky'!G706="",""," ("&amp;'Rozpad zakázky'!G706&amp;")"))</f>
        <v/>
      </c>
      <c r="F690" s="709" t="str">
        <f>IF(A690="","",'Rozpad zakázky'!IW706)</f>
        <v/>
      </c>
      <c r="G690" s="711" t="str">
        <f>IF(A690="","",'Rozpad zakázky'!AE706)</f>
        <v/>
      </c>
      <c r="H690" s="717" t="str">
        <f>IF(A690="","",'Rozpad zakázky'!AJ706)</f>
        <v/>
      </c>
      <c r="I690" s="748" t="str">
        <f>IF(A690="","",'Rozpad zakázky'!Q706)</f>
        <v/>
      </c>
      <c r="J690" s="717" t="str">
        <f>IF(A690="","",ROUNDDOWN('Rozpad zakázky'!L706,1))</f>
        <v/>
      </c>
      <c r="K690" s="745" t="str">
        <f>IF(A690="","",Tabulka_nakup_Vonka[[#This Row],[Počet MJHR v rozpadu]]*Tabulka_nakup_Vonka[[#This Row],[Jedn. hmotnost '[kg/MJHR']]])</f>
        <v/>
      </c>
    </row>
    <row r="691" spans="1:11" x14ac:dyDescent="0.35">
      <c r="A691" s="709" t="str">
        <f>IF('Rozpad zakázky'!E707=0,"",IF('Rozpad zakázky'!E707="-","",'Rozpad zakázky'!E707))</f>
        <v/>
      </c>
      <c r="B691" s="708" t="str">
        <f>IF(A691="","",IF(A691="","",VLOOKUP(A:A,Pomocna_Nakup[],3,0))&amp;" | "&amp;IF(A691="","",VLOOKUP(A:A,Pomocna_Nakup[],4,0)))</f>
        <v/>
      </c>
      <c r="C691" s="710" t="str">
        <f>IF(Tabulka_nakup_Vonka[[#This Row],[Zkratka kalkulační položky]]="","",Tabulka_nakup_Vonka[[#This Row],[Zkratka kalkulační položky]]&amp;" | "&amp;IF(A691="","",VLOOKUP(A:A,Pomocna_Nakup[],2,0)))</f>
        <v/>
      </c>
      <c r="D691" s="710" t="str">
        <f>IF(A691="","",'Rozpad zakázky'!F707)</f>
        <v/>
      </c>
      <c r="E691" s="710" t="str">
        <f>IF(A691="","",'Rozpad zakázky'!D707&amp;IF('Rozpad zakázky'!G707="",""," ("&amp;'Rozpad zakázky'!G707&amp;")"))</f>
        <v/>
      </c>
      <c r="F691" s="709" t="str">
        <f>IF(A691="","",'Rozpad zakázky'!IW707)</f>
        <v/>
      </c>
      <c r="G691" s="711" t="str">
        <f>IF(A691="","",'Rozpad zakázky'!AE707)</f>
        <v/>
      </c>
      <c r="H691" s="717" t="str">
        <f>IF(A691="","",'Rozpad zakázky'!AJ707)</f>
        <v/>
      </c>
      <c r="I691" s="748" t="str">
        <f>IF(A691="","",'Rozpad zakázky'!Q707)</f>
        <v/>
      </c>
      <c r="J691" s="717" t="str">
        <f>IF(A691="","",ROUNDDOWN('Rozpad zakázky'!L707,1))</f>
        <v/>
      </c>
      <c r="K691" s="745" t="str">
        <f>IF(A691="","",Tabulka_nakup_Vonka[[#This Row],[Počet MJHR v rozpadu]]*Tabulka_nakup_Vonka[[#This Row],[Jedn. hmotnost '[kg/MJHR']]])</f>
        <v/>
      </c>
    </row>
    <row r="692" spans="1:11" x14ac:dyDescent="0.35">
      <c r="A692" s="709" t="str">
        <f>IF('Rozpad zakázky'!E708=0,"",IF('Rozpad zakázky'!E708="-","",'Rozpad zakázky'!E708))</f>
        <v/>
      </c>
      <c r="B692" s="708" t="str">
        <f>IF(A692="","",IF(A692="","",VLOOKUP(A:A,Pomocna_Nakup[],3,0))&amp;" | "&amp;IF(A692="","",VLOOKUP(A:A,Pomocna_Nakup[],4,0)))</f>
        <v/>
      </c>
      <c r="C692" s="710" t="str">
        <f>IF(Tabulka_nakup_Vonka[[#This Row],[Zkratka kalkulační položky]]="","",Tabulka_nakup_Vonka[[#This Row],[Zkratka kalkulační položky]]&amp;" | "&amp;IF(A692="","",VLOOKUP(A:A,Pomocna_Nakup[],2,0)))</f>
        <v/>
      </c>
      <c r="D692" s="710" t="str">
        <f>IF(A692="","",'Rozpad zakázky'!F708)</f>
        <v/>
      </c>
      <c r="E692" s="710" t="str">
        <f>IF(A692="","",'Rozpad zakázky'!D708&amp;IF('Rozpad zakázky'!G708="",""," ("&amp;'Rozpad zakázky'!G708&amp;")"))</f>
        <v/>
      </c>
      <c r="F692" s="709" t="str">
        <f>IF(A692="","",'Rozpad zakázky'!IW708)</f>
        <v/>
      </c>
      <c r="G692" s="711" t="str">
        <f>IF(A692="","",'Rozpad zakázky'!AE708)</f>
        <v/>
      </c>
      <c r="H692" s="717" t="str">
        <f>IF(A692="","",'Rozpad zakázky'!AJ708)</f>
        <v/>
      </c>
      <c r="I692" s="748" t="str">
        <f>IF(A692="","",'Rozpad zakázky'!Q708)</f>
        <v/>
      </c>
      <c r="J692" s="717" t="str">
        <f>IF(A692="","",ROUNDDOWN('Rozpad zakázky'!L708,1))</f>
        <v/>
      </c>
      <c r="K692" s="745" t="str">
        <f>IF(A692="","",Tabulka_nakup_Vonka[[#This Row],[Počet MJHR v rozpadu]]*Tabulka_nakup_Vonka[[#This Row],[Jedn. hmotnost '[kg/MJHR']]])</f>
        <v/>
      </c>
    </row>
    <row r="693" spans="1:11" x14ac:dyDescent="0.35">
      <c r="A693" s="709" t="str">
        <f>IF('Rozpad zakázky'!E709=0,"",IF('Rozpad zakázky'!E709="-","",'Rozpad zakázky'!E709))</f>
        <v/>
      </c>
      <c r="B693" s="708" t="str">
        <f>IF(A693="","",IF(A693="","",VLOOKUP(A:A,Pomocna_Nakup[],3,0))&amp;" | "&amp;IF(A693="","",VLOOKUP(A:A,Pomocna_Nakup[],4,0)))</f>
        <v/>
      </c>
      <c r="C693" s="710" t="str">
        <f>IF(Tabulka_nakup_Vonka[[#This Row],[Zkratka kalkulační položky]]="","",Tabulka_nakup_Vonka[[#This Row],[Zkratka kalkulační položky]]&amp;" | "&amp;IF(A693="","",VLOOKUP(A:A,Pomocna_Nakup[],2,0)))</f>
        <v/>
      </c>
      <c r="D693" s="710" t="str">
        <f>IF(A693="","",'Rozpad zakázky'!F709)</f>
        <v/>
      </c>
      <c r="E693" s="710" t="str">
        <f>IF(A693="","",'Rozpad zakázky'!D709&amp;IF('Rozpad zakázky'!G709="",""," ("&amp;'Rozpad zakázky'!G709&amp;")"))</f>
        <v/>
      </c>
      <c r="F693" s="709" t="str">
        <f>IF(A693="","",'Rozpad zakázky'!IW709)</f>
        <v/>
      </c>
      <c r="G693" s="711" t="str">
        <f>IF(A693="","",'Rozpad zakázky'!AE709)</f>
        <v/>
      </c>
      <c r="H693" s="717" t="str">
        <f>IF(A693="","",'Rozpad zakázky'!AJ709)</f>
        <v/>
      </c>
      <c r="I693" s="748" t="str">
        <f>IF(A693="","",'Rozpad zakázky'!Q709)</f>
        <v/>
      </c>
      <c r="J693" s="717" t="str">
        <f>IF(A693="","",ROUNDDOWN('Rozpad zakázky'!L709,1))</f>
        <v/>
      </c>
      <c r="K693" s="745" t="str">
        <f>IF(A693="","",Tabulka_nakup_Vonka[[#This Row],[Počet MJHR v rozpadu]]*Tabulka_nakup_Vonka[[#This Row],[Jedn. hmotnost '[kg/MJHR']]])</f>
        <v/>
      </c>
    </row>
    <row r="694" spans="1:11" x14ac:dyDescent="0.35">
      <c r="A694" s="709" t="str">
        <f>IF('Rozpad zakázky'!E710=0,"",IF('Rozpad zakázky'!E710="-","",'Rozpad zakázky'!E710))</f>
        <v/>
      </c>
      <c r="B694" s="708" t="str">
        <f>IF(A694="","",IF(A694="","",VLOOKUP(A:A,Pomocna_Nakup[],3,0))&amp;" | "&amp;IF(A694="","",VLOOKUP(A:A,Pomocna_Nakup[],4,0)))</f>
        <v/>
      </c>
      <c r="C694" s="710" t="str">
        <f>IF(Tabulka_nakup_Vonka[[#This Row],[Zkratka kalkulační položky]]="","",Tabulka_nakup_Vonka[[#This Row],[Zkratka kalkulační položky]]&amp;" | "&amp;IF(A694="","",VLOOKUP(A:A,Pomocna_Nakup[],2,0)))</f>
        <v/>
      </c>
      <c r="D694" s="710" t="str">
        <f>IF(A694="","",'Rozpad zakázky'!F710)</f>
        <v/>
      </c>
      <c r="E694" s="710" t="str">
        <f>IF(A694="","",'Rozpad zakázky'!D710&amp;IF('Rozpad zakázky'!G710="",""," ("&amp;'Rozpad zakázky'!G710&amp;")"))</f>
        <v/>
      </c>
      <c r="F694" s="709" t="str">
        <f>IF(A694="","",'Rozpad zakázky'!IW710)</f>
        <v/>
      </c>
      <c r="G694" s="711" t="str">
        <f>IF(A694="","",'Rozpad zakázky'!AE710)</f>
        <v/>
      </c>
      <c r="H694" s="717" t="str">
        <f>IF(A694="","",'Rozpad zakázky'!AJ710)</f>
        <v/>
      </c>
      <c r="I694" s="748" t="str">
        <f>IF(A694="","",'Rozpad zakázky'!Q710)</f>
        <v/>
      </c>
      <c r="J694" s="717" t="str">
        <f>IF(A694="","",ROUNDDOWN('Rozpad zakázky'!L710,1))</f>
        <v/>
      </c>
      <c r="K694" s="745" t="str">
        <f>IF(A694="","",Tabulka_nakup_Vonka[[#This Row],[Počet MJHR v rozpadu]]*Tabulka_nakup_Vonka[[#This Row],[Jedn. hmotnost '[kg/MJHR']]])</f>
        <v/>
      </c>
    </row>
    <row r="695" spans="1:11" x14ac:dyDescent="0.35">
      <c r="A695" s="709" t="str">
        <f>IF('Rozpad zakázky'!E711=0,"",IF('Rozpad zakázky'!E711="-","",'Rozpad zakázky'!E711))</f>
        <v/>
      </c>
      <c r="B695" s="708" t="str">
        <f>IF(A695="","",IF(A695="","",VLOOKUP(A:A,Pomocna_Nakup[],3,0))&amp;" | "&amp;IF(A695="","",VLOOKUP(A:A,Pomocna_Nakup[],4,0)))</f>
        <v/>
      </c>
      <c r="C695" s="710" t="str">
        <f>IF(Tabulka_nakup_Vonka[[#This Row],[Zkratka kalkulační položky]]="","",Tabulka_nakup_Vonka[[#This Row],[Zkratka kalkulační položky]]&amp;" | "&amp;IF(A695="","",VLOOKUP(A:A,Pomocna_Nakup[],2,0)))</f>
        <v/>
      </c>
      <c r="D695" s="710" t="str">
        <f>IF(A695="","",'Rozpad zakázky'!F711)</f>
        <v/>
      </c>
      <c r="E695" s="710" t="str">
        <f>IF(A695="","",'Rozpad zakázky'!D711&amp;IF('Rozpad zakázky'!G711="",""," ("&amp;'Rozpad zakázky'!G711&amp;")"))</f>
        <v/>
      </c>
      <c r="F695" s="709" t="str">
        <f>IF(A695="","",'Rozpad zakázky'!IW711)</f>
        <v/>
      </c>
      <c r="G695" s="711" t="str">
        <f>IF(A695="","",'Rozpad zakázky'!AE711)</f>
        <v/>
      </c>
      <c r="H695" s="717" t="str">
        <f>IF(A695="","",'Rozpad zakázky'!AJ711)</f>
        <v/>
      </c>
      <c r="I695" s="748" t="str">
        <f>IF(A695="","",'Rozpad zakázky'!Q711)</f>
        <v/>
      </c>
      <c r="J695" s="717" t="str">
        <f>IF(A695="","",ROUNDDOWN('Rozpad zakázky'!L711,1))</f>
        <v/>
      </c>
      <c r="K695" s="745" t="str">
        <f>IF(A695="","",Tabulka_nakup_Vonka[[#This Row],[Počet MJHR v rozpadu]]*Tabulka_nakup_Vonka[[#This Row],[Jedn. hmotnost '[kg/MJHR']]])</f>
        <v/>
      </c>
    </row>
    <row r="696" spans="1:11" x14ac:dyDescent="0.35">
      <c r="A696" s="709" t="str">
        <f>IF('Rozpad zakázky'!E712=0,"",IF('Rozpad zakázky'!E712="-","",'Rozpad zakázky'!E712))</f>
        <v/>
      </c>
      <c r="B696" s="708" t="str">
        <f>IF(A696="","",IF(A696="","",VLOOKUP(A:A,Pomocna_Nakup[],3,0))&amp;" | "&amp;IF(A696="","",VLOOKUP(A:A,Pomocna_Nakup[],4,0)))</f>
        <v/>
      </c>
      <c r="C696" s="710" t="str">
        <f>IF(Tabulka_nakup_Vonka[[#This Row],[Zkratka kalkulační položky]]="","",Tabulka_nakup_Vonka[[#This Row],[Zkratka kalkulační položky]]&amp;" | "&amp;IF(A696="","",VLOOKUP(A:A,Pomocna_Nakup[],2,0)))</f>
        <v/>
      </c>
      <c r="D696" s="710" t="str">
        <f>IF(A696="","",'Rozpad zakázky'!F712)</f>
        <v/>
      </c>
      <c r="E696" s="710" t="str">
        <f>IF(A696="","",'Rozpad zakázky'!D712&amp;IF('Rozpad zakázky'!G712="",""," ("&amp;'Rozpad zakázky'!G712&amp;")"))</f>
        <v/>
      </c>
      <c r="F696" s="709" t="str">
        <f>IF(A696="","",'Rozpad zakázky'!IW712)</f>
        <v/>
      </c>
      <c r="G696" s="711" t="str">
        <f>IF(A696="","",'Rozpad zakázky'!AE712)</f>
        <v/>
      </c>
      <c r="H696" s="717" t="str">
        <f>IF(A696="","",'Rozpad zakázky'!AJ712)</f>
        <v/>
      </c>
      <c r="I696" s="748" t="str">
        <f>IF(A696="","",'Rozpad zakázky'!Q712)</f>
        <v/>
      </c>
      <c r="J696" s="717" t="str">
        <f>IF(A696="","",ROUNDDOWN('Rozpad zakázky'!L712,1))</f>
        <v/>
      </c>
      <c r="K696" s="745" t="str">
        <f>IF(A696="","",Tabulka_nakup_Vonka[[#This Row],[Počet MJHR v rozpadu]]*Tabulka_nakup_Vonka[[#This Row],[Jedn. hmotnost '[kg/MJHR']]])</f>
        <v/>
      </c>
    </row>
    <row r="697" spans="1:11" x14ac:dyDescent="0.35">
      <c r="A697" s="709" t="str">
        <f>IF('Rozpad zakázky'!E713=0,"",IF('Rozpad zakázky'!E713="-","",'Rozpad zakázky'!E713))</f>
        <v/>
      </c>
      <c r="B697" s="708" t="str">
        <f>IF(A697="","",IF(A697="","",VLOOKUP(A:A,Pomocna_Nakup[],3,0))&amp;" | "&amp;IF(A697="","",VLOOKUP(A:A,Pomocna_Nakup[],4,0)))</f>
        <v/>
      </c>
      <c r="C697" s="710" t="str">
        <f>IF(Tabulka_nakup_Vonka[[#This Row],[Zkratka kalkulační položky]]="","",Tabulka_nakup_Vonka[[#This Row],[Zkratka kalkulační položky]]&amp;" | "&amp;IF(A697="","",VLOOKUP(A:A,Pomocna_Nakup[],2,0)))</f>
        <v/>
      </c>
      <c r="D697" s="710" t="str">
        <f>IF(A697="","",'Rozpad zakázky'!F713)</f>
        <v/>
      </c>
      <c r="E697" s="710" t="str">
        <f>IF(A697="","",'Rozpad zakázky'!D713&amp;IF('Rozpad zakázky'!G713="",""," ("&amp;'Rozpad zakázky'!G713&amp;")"))</f>
        <v/>
      </c>
      <c r="F697" s="709" t="str">
        <f>IF(A697="","",'Rozpad zakázky'!IW713)</f>
        <v/>
      </c>
      <c r="G697" s="711" t="str">
        <f>IF(A697="","",'Rozpad zakázky'!AE713)</f>
        <v/>
      </c>
      <c r="H697" s="717" t="str">
        <f>IF(A697="","",'Rozpad zakázky'!AJ713)</f>
        <v/>
      </c>
      <c r="I697" s="748" t="str">
        <f>IF(A697="","",'Rozpad zakázky'!Q713)</f>
        <v/>
      </c>
      <c r="J697" s="717" t="str">
        <f>IF(A697="","",ROUNDDOWN('Rozpad zakázky'!L713,1))</f>
        <v/>
      </c>
      <c r="K697" s="745" t="str">
        <f>IF(A697="","",Tabulka_nakup_Vonka[[#This Row],[Počet MJHR v rozpadu]]*Tabulka_nakup_Vonka[[#This Row],[Jedn. hmotnost '[kg/MJHR']]])</f>
        <v/>
      </c>
    </row>
    <row r="698" spans="1:11" x14ac:dyDescent="0.35">
      <c r="A698" s="709" t="str">
        <f>IF('Rozpad zakázky'!E714=0,"",IF('Rozpad zakázky'!E714="-","",'Rozpad zakázky'!E714))</f>
        <v/>
      </c>
      <c r="B698" s="708" t="str">
        <f>IF(A698="","",IF(A698="","",VLOOKUP(A:A,Pomocna_Nakup[],3,0))&amp;" | "&amp;IF(A698="","",VLOOKUP(A:A,Pomocna_Nakup[],4,0)))</f>
        <v/>
      </c>
      <c r="C698" s="710" t="str">
        <f>IF(Tabulka_nakup_Vonka[[#This Row],[Zkratka kalkulační položky]]="","",Tabulka_nakup_Vonka[[#This Row],[Zkratka kalkulační položky]]&amp;" | "&amp;IF(A698="","",VLOOKUP(A:A,Pomocna_Nakup[],2,0)))</f>
        <v/>
      </c>
      <c r="D698" s="710" t="str">
        <f>IF(A698="","",'Rozpad zakázky'!F714)</f>
        <v/>
      </c>
      <c r="E698" s="710" t="str">
        <f>IF(A698="","",'Rozpad zakázky'!D714&amp;IF('Rozpad zakázky'!G714="",""," ("&amp;'Rozpad zakázky'!G714&amp;")"))</f>
        <v/>
      </c>
      <c r="F698" s="709" t="str">
        <f>IF(A698="","",'Rozpad zakázky'!IW714)</f>
        <v/>
      </c>
      <c r="G698" s="711" t="str">
        <f>IF(A698="","",'Rozpad zakázky'!AE714)</f>
        <v/>
      </c>
      <c r="H698" s="717" t="str">
        <f>IF(A698="","",'Rozpad zakázky'!AJ714)</f>
        <v/>
      </c>
      <c r="I698" s="748" t="str">
        <f>IF(A698="","",'Rozpad zakázky'!Q714)</f>
        <v/>
      </c>
      <c r="J698" s="717" t="str">
        <f>IF(A698="","",ROUNDDOWN('Rozpad zakázky'!L714,1))</f>
        <v/>
      </c>
      <c r="K698" s="745" t="str">
        <f>IF(A698="","",Tabulka_nakup_Vonka[[#This Row],[Počet MJHR v rozpadu]]*Tabulka_nakup_Vonka[[#This Row],[Jedn. hmotnost '[kg/MJHR']]])</f>
        <v/>
      </c>
    </row>
    <row r="699" spans="1:11" x14ac:dyDescent="0.35">
      <c r="A699" s="709" t="str">
        <f>IF('Rozpad zakázky'!E715=0,"",IF('Rozpad zakázky'!E715="-","",'Rozpad zakázky'!E715))</f>
        <v/>
      </c>
      <c r="B699" s="708" t="str">
        <f>IF(A699="","",IF(A699="","",VLOOKUP(A:A,Pomocna_Nakup[],3,0))&amp;" | "&amp;IF(A699="","",VLOOKUP(A:A,Pomocna_Nakup[],4,0)))</f>
        <v/>
      </c>
      <c r="C699" s="710" t="str">
        <f>IF(Tabulka_nakup_Vonka[[#This Row],[Zkratka kalkulační položky]]="","",Tabulka_nakup_Vonka[[#This Row],[Zkratka kalkulační položky]]&amp;" | "&amp;IF(A699="","",VLOOKUP(A:A,Pomocna_Nakup[],2,0)))</f>
        <v/>
      </c>
      <c r="D699" s="710" t="str">
        <f>IF(A699="","",'Rozpad zakázky'!F715)</f>
        <v/>
      </c>
      <c r="E699" s="710" t="str">
        <f>IF(A699="","",'Rozpad zakázky'!D715&amp;IF('Rozpad zakázky'!G715="",""," ("&amp;'Rozpad zakázky'!G715&amp;")"))</f>
        <v/>
      </c>
      <c r="F699" s="709" t="str">
        <f>IF(A699="","",'Rozpad zakázky'!IW715)</f>
        <v/>
      </c>
      <c r="G699" s="711" t="str">
        <f>IF(A699="","",'Rozpad zakázky'!AE715)</f>
        <v/>
      </c>
      <c r="H699" s="717" t="str">
        <f>IF(A699="","",'Rozpad zakázky'!AJ715)</f>
        <v/>
      </c>
      <c r="I699" s="748" t="str">
        <f>IF(A699="","",'Rozpad zakázky'!Q715)</f>
        <v/>
      </c>
      <c r="J699" s="717" t="str">
        <f>IF(A699="","",ROUNDDOWN('Rozpad zakázky'!L715,1))</f>
        <v/>
      </c>
      <c r="K699" s="745" t="str">
        <f>IF(A699="","",Tabulka_nakup_Vonka[[#This Row],[Počet MJHR v rozpadu]]*Tabulka_nakup_Vonka[[#This Row],[Jedn. hmotnost '[kg/MJHR']]])</f>
        <v/>
      </c>
    </row>
    <row r="700" spans="1:11" x14ac:dyDescent="0.35">
      <c r="A700" s="709" t="str">
        <f>IF('Rozpad zakázky'!E716=0,"",IF('Rozpad zakázky'!E716="-","",'Rozpad zakázky'!E716))</f>
        <v/>
      </c>
      <c r="B700" s="708" t="str">
        <f>IF(A700="","",IF(A700="","",VLOOKUP(A:A,Pomocna_Nakup[],3,0))&amp;" | "&amp;IF(A700="","",VLOOKUP(A:A,Pomocna_Nakup[],4,0)))</f>
        <v/>
      </c>
      <c r="C700" s="710" t="str">
        <f>IF(Tabulka_nakup_Vonka[[#This Row],[Zkratka kalkulační položky]]="","",Tabulka_nakup_Vonka[[#This Row],[Zkratka kalkulační položky]]&amp;" | "&amp;IF(A700="","",VLOOKUP(A:A,Pomocna_Nakup[],2,0)))</f>
        <v/>
      </c>
      <c r="D700" s="710" t="str">
        <f>IF(A700="","",'Rozpad zakázky'!F716)</f>
        <v/>
      </c>
      <c r="E700" s="710" t="str">
        <f>IF(A700="","",'Rozpad zakázky'!D716&amp;IF('Rozpad zakázky'!G716="",""," ("&amp;'Rozpad zakázky'!G716&amp;")"))</f>
        <v/>
      </c>
      <c r="F700" s="709" t="str">
        <f>IF(A700="","",'Rozpad zakázky'!IW716)</f>
        <v/>
      </c>
      <c r="G700" s="711" t="str">
        <f>IF(A700="","",'Rozpad zakázky'!AE716)</f>
        <v/>
      </c>
      <c r="H700" s="717" t="str">
        <f>IF(A700="","",'Rozpad zakázky'!AJ716)</f>
        <v/>
      </c>
      <c r="I700" s="748" t="str">
        <f>IF(A700="","",'Rozpad zakázky'!Q716)</f>
        <v/>
      </c>
      <c r="J700" s="717" t="str">
        <f>IF(A700="","",ROUNDDOWN('Rozpad zakázky'!L716,1))</f>
        <v/>
      </c>
      <c r="K700" s="745" t="str">
        <f>IF(A700="","",Tabulka_nakup_Vonka[[#This Row],[Počet MJHR v rozpadu]]*Tabulka_nakup_Vonka[[#This Row],[Jedn. hmotnost '[kg/MJHR']]])</f>
        <v/>
      </c>
    </row>
    <row r="701" spans="1:11" x14ac:dyDescent="0.35">
      <c r="A701" s="709" t="str">
        <f>IF('Rozpad zakázky'!E717=0,"",IF('Rozpad zakázky'!E717="-","",'Rozpad zakázky'!E717))</f>
        <v/>
      </c>
      <c r="B701" s="708" t="str">
        <f>IF(A701="","",IF(A701="","",VLOOKUP(A:A,Pomocna_Nakup[],3,0))&amp;" | "&amp;IF(A701="","",VLOOKUP(A:A,Pomocna_Nakup[],4,0)))</f>
        <v/>
      </c>
      <c r="C701" s="710" t="str">
        <f>IF(Tabulka_nakup_Vonka[[#This Row],[Zkratka kalkulační položky]]="","",Tabulka_nakup_Vonka[[#This Row],[Zkratka kalkulační položky]]&amp;" | "&amp;IF(A701="","",VLOOKUP(A:A,Pomocna_Nakup[],2,0)))</f>
        <v/>
      </c>
      <c r="D701" s="710" t="str">
        <f>IF(A701="","",'Rozpad zakázky'!F717)</f>
        <v/>
      </c>
      <c r="E701" s="710" t="str">
        <f>IF(A701="","",'Rozpad zakázky'!D717&amp;IF('Rozpad zakázky'!G717="",""," ("&amp;'Rozpad zakázky'!G717&amp;")"))</f>
        <v/>
      </c>
      <c r="F701" s="709" t="str">
        <f>IF(A701="","",'Rozpad zakázky'!IW717)</f>
        <v/>
      </c>
      <c r="G701" s="711" t="str">
        <f>IF(A701="","",'Rozpad zakázky'!AE717)</f>
        <v/>
      </c>
      <c r="H701" s="717" t="str">
        <f>IF(A701="","",'Rozpad zakázky'!AJ717)</f>
        <v/>
      </c>
      <c r="I701" s="748" t="str">
        <f>IF(A701="","",'Rozpad zakázky'!Q717)</f>
        <v/>
      </c>
      <c r="J701" s="717" t="str">
        <f>IF(A701="","",ROUNDDOWN('Rozpad zakázky'!L717,1))</f>
        <v/>
      </c>
      <c r="K701" s="745" t="str">
        <f>IF(A701="","",Tabulka_nakup_Vonka[[#This Row],[Počet MJHR v rozpadu]]*Tabulka_nakup_Vonka[[#This Row],[Jedn. hmotnost '[kg/MJHR']]])</f>
        <v/>
      </c>
    </row>
    <row r="702" spans="1:11" x14ac:dyDescent="0.35">
      <c r="A702" s="709" t="str">
        <f>IF('Rozpad zakázky'!E718=0,"",IF('Rozpad zakázky'!E718="-","",'Rozpad zakázky'!E718))</f>
        <v/>
      </c>
      <c r="B702" s="708" t="str">
        <f>IF(A702="","",IF(A702="","",VLOOKUP(A:A,Pomocna_Nakup[],3,0))&amp;" | "&amp;IF(A702="","",VLOOKUP(A:A,Pomocna_Nakup[],4,0)))</f>
        <v/>
      </c>
      <c r="C702" s="710" t="str">
        <f>IF(Tabulka_nakup_Vonka[[#This Row],[Zkratka kalkulační položky]]="","",Tabulka_nakup_Vonka[[#This Row],[Zkratka kalkulační položky]]&amp;" | "&amp;IF(A702="","",VLOOKUP(A:A,Pomocna_Nakup[],2,0)))</f>
        <v/>
      </c>
      <c r="D702" s="710" t="str">
        <f>IF(A702="","",'Rozpad zakázky'!F718)</f>
        <v/>
      </c>
      <c r="E702" s="710" t="str">
        <f>IF(A702="","",'Rozpad zakázky'!D718&amp;IF('Rozpad zakázky'!G718="",""," ("&amp;'Rozpad zakázky'!G718&amp;")"))</f>
        <v/>
      </c>
      <c r="F702" s="709" t="str">
        <f>IF(A702="","",'Rozpad zakázky'!IW718)</f>
        <v/>
      </c>
      <c r="G702" s="711" t="str">
        <f>IF(A702="","",'Rozpad zakázky'!AE718)</f>
        <v/>
      </c>
      <c r="H702" s="717" t="str">
        <f>IF(A702="","",'Rozpad zakázky'!AJ718)</f>
        <v/>
      </c>
      <c r="I702" s="748" t="str">
        <f>IF(A702="","",'Rozpad zakázky'!Q718)</f>
        <v/>
      </c>
      <c r="J702" s="717" t="str">
        <f>IF(A702="","",ROUNDDOWN('Rozpad zakázky'!L718,1))</f>
        <v/>
      </c>
      <c r="K702" s="745" t="str">
        <f>IF(A702="","",Tabulka_nakup_Vonka[[#This Row],[Počet MJHR v rozpadu]]*Tabulka_nakup_Vonka[[#This Row],[Jedn. hmotnost '[kg/MJHR']]])</f>
        <v/>
      </c>
    </row>
    <row r="703" spans="1:11" x14ac:dyDescent="0.35">
      <c r="A703" s="709" t="str">
        <f>IF('Rozpad zakázky'!E719=0,"",IF('Rozpad zakázky'!E719="-","",'Rozpad zakázky'!E719))</f>
        <v/>
      </c>
      <c r="B703" s="708" t="str">
        <f>IF(A703="","",IF(A703="","",VLOOKUP(A:A,Pomocna_Nakup[],3,0))&amp;" | "&amp;IF(A703="","",VLOOKUP(A:A,Pomocna_Nakup[],4,0)))</f>
        <v/>
      </c>
      <c r="C703" s="710" t="str">
        <f>IF(Tabulka_nakup_Vonka[[#This Row],[Zkratka kalkulační položky]]="","",Tabulka_nakup_Vonka[[#This Row],[Zkratka kalkulační položky]]&amp;" | "&amp;IF(A703="","",VLOOKUP(A:A,Pomocna_Nakup[],2,0)))</f>
        <v/>
      </c>
      <c r="D703" s="710" t="str">
        <f>IF(A703="","",'Rozpad zakázky'!F719)</f>
        <v/>
      </c>
      <c r="E703" s="710" t="str">
        <f>IF(A703="","",'Rozpad zakázky'!D719&amp;IF('Rozpad zakázky'!G719="",""," ("&amp;'Rozpad zakázky'!G719&amp;")"))</f>
        <v/>
      </c>
      <c r="F703" s="709" t="str">
        <f>IF(A703="","",'Rozpad zakázky'!IW719)</f>
        <v/>
      </c>
      <c r="G703" s="711" t="str">
        <f>IF(A703="","",'Rozpad zakázky'!AE719)</f>
        <v/>
      </c>
      <c r="H703" s="717" t="str">
        <f>IF(A703="","",'Rozpad zakázky'!AJ719)</f>
        <v/>
      </c>
      <c r="I703" s="748" t="str">
        <f>IF(A703="","",'Rozpad zakázky'!Q719)</f>
        <v/>
      </c>
      <c r="J703" s="717" t="str">
        <f>IF(A703="","",ROUNDDOWN('Rozpad zakázky'!L719,1))</f>
        <v/>
      </c>
      <c r="K703" s="745" t="str">
        <f>IF(A703="","",Tabulka_nakup_Vonka[[#This Row],[Počet MJHR v rozpadu]]*Tabulka_nakup_Vonka[[#This Row],[Jedn. hmotnost '[kg/MJHR']]])</f>
        <v/>
      </c>
    </row>
    <row r="704" spans="1:11" x14ac:dyDescent="0.35">
      <c r="A704" s="709" t="str">
        <f>IF('Rozpad zakázky'!E720=0,"",IF('Rozpad zakázky'!E720="-","",'Rozpad zakázky'!E720))</f>
        <v/>
      </c>
      <c r="B704" s="708" t="str">
        <f>IF(A704="","",IF(A704="","",VLOOKUP(A:A,Pomocna_Nakup[],3,0))&amp;" | "&amp;IF(A704="","",VLOOKUP(A:A,Pomocna_Nakup[],4,0)))</f>
        <v/>
      </c>
      <c r="C704" s="710" t="str">
        <f>IF(Tabulka_nakup_Vonka[[#This Row],[Zkratka kalkulační položky]]="","",Tabulka_nakup_Vonka[[#This Row],[Zkratka kalkulační položky]]&amp;" | "&amp;IF(A704="","",VLOOKUP(A:A,Pomocna_Nakup[],2,0)))</f>
        <v/>
      </c>
      <c r="D704" s="710" t="str">
        <f>IF(A704="","",'Rozpad zakázky'!F720)</f>
        <v/>
      </c>
      <c r="E704" s="710" t="str">
        <f>IF(A704="","",'Rozpad zakázky'!D720&amp;IF('Rozpad zakázky'!G720="",""," ("&amp;'Rozpad zakázky'!G720&amp;")"))</f>
        <v/>
      </c>
      <c r="F704" s="709" t="str">
        <f>IF(A704="","",'Rozpad zakázky'!IW720)</f>
        <v/>
      </c>
      <c r="G704" s="711" t="str">
        <f>IF(A704="","",'Rozpad zakázky'!AE720)</f>
        <v/>
      </c>
      <c r="H704" s="717" t="str">
        <f>IF(A704="","",'Rozpad zakázky'!AJ720)</f>
        <v/>
      </c>
      <c r="I704" s="748" t="str">
        <f>IF(A704="","",'Rozpad zakázky'!Q720)</f>
        <v/>
      </c>
      <c r="J704" s="717" t="str">
        <f>IF(A704="","",ROUNDDOWN('Rozpad zakázky'!L720,1))</f>
        <v/>
      </c>
      <c r="K704" s="745" t="str">
        <f>IF(A704="","",Tabulka_nakup_Vonka[[#This Row],[Počet MJHR v rozpadu]]*Tabulka_nakup_Vonka[[#This Row],[Jedn. hmotnost '[kg/MJHR']]])</f>
        <v/>
      </c>
    </row>
    <row r="705" spans="1:11" x14ac:dyDescent="0.35">
      <c r="A705" s="709" t="str">
        <f>IF('Rozpad zakázky'!E721=0,"",IF('Rozpad zakázky'!E721="-","",'Rozpad zakázky'!E721))</f>
        <v/>
      </c>
      <c r="B705" s="708" t="str">
        <f>IF(A705="","",IF(A705="","",VLOOKUP(A:A,Pomocna_Nakup[],3,0))&amp;" | "&amp;IF(A705="","",VLOOKUP(A:A,Pomocna_Nakup[],4,0)))</f>
        <v/>
      </c>
      <c r="C705" s="710" t="str">
        <f>IF(Tabulka_nakup_Vonka[[#This Row],[Zkratka kalkulační položky]]="","",Tabulka_nakup_Vonka[[#This Row],[Zkratka kalkulační položky]]&amp;" | "&amp;IF(A705="","",VLOOKUP(A:A,Pomocna_Nakup[],2,0)))</f>
        <v/>
      </c>
      <c r="D705" s="710" t="str">
        <f>IF(A705="","",'Rozpad zakázky'!F721)</f>
        <v/>
      </c>
      <c r="E705" s="710" t="str">
        <f>IF(A705="","",'Rozpad zakázky'!D721&amp;IF('Rozpad zakázky'!G721="",""," ("&amp;'Rozpad zakázky'!G721&amp;")"))</f>
        <v/>
      </c>
      <c r="F705" s="709" t="str">
        <f>IF(A705="","",'Rozpad zakázky'!IW721)</f>
        <v/>
      </c>
      <c r="G705" s="711" t="str">
        <f>IF(A705="","",'Rozpad zakázky'!AE721)</f>
        <v/>
      </c>
      <c r="H705" s="717" t="str">
        <f>IF(A705="","",'Rozpad zakázky'!AJ721)</f>
        <v/>
      </c>
      <c r="I705" s="748" t="str">
        <f>IF(A705="","",'Rozpad zakázky'!Q721)</f>
        <v/>
      </c>
      <c r="J705" s="717" t="str">
        <f>IF(A705="","",ROUNDDOWN('Rozpad zakázky'!L721,1))</f>
        <v/>
      </c>
      <c r="K705" s="745" t="str">
        <f>IF(A705="","",Tabulka_nakup_Vonka[[#This Row],[Počet MJHR v rozpadu]]*Tabulka_nakup_Vonka[[#This Row],[Jedn. hmotnost '[kg/MJHR']]])</f>
        <v/>
      </c>
    </row>
    <row r="706" spans="1:11" x14ac:dyDescent="0.35">
      <c r="A706" s="709" t="str">
        <f>IF('Rozpad zakázky'!E722=0,"",IF('Rozpad zakázky'!E722="-","",'Rozpad zakázky'!E722))</f>
        <v/>
      </c>
      <c r="B706" s="708" t="str">
        <f>IF(A706="","",IF(A706="","",VLOOKUP(A:A,Pomocna_Nakup[],3,0))&amp;" | "&amp;IF(A706="","",VLOOKUP(A:A,Pomocna_Nakup[],4,0)))</f>
        <v/>
      </c>
      <c r="C706" s="710" t="str">
        <f>IF(Tabulka_nakup_Vonka[[#This Row],[Zkratka kalkulační položky]]="","",Tabulka_nakup_Vonka[[#This Row],[Zkratka kalkulační položky]]&amp;" | "&amp;IF(A706="","",VLOOKUP(A:A,Pomocna_Nakup[],2,0)))</f>
        <v/>
      </c>
      <c r="D706" s="710" t="str">
        <f>IF(A706="","",'Rozpad zakázky'!F722)</f>
        <v/>
      </c>
      <c r="E706" s="710" t="str">
        <f>IF(A706="","",'Rozpad zakázky'!D722&amp;IF('Rozpad zakázky'!G722="",""," ("&amp;'Rozpad zakázky'!G722&amp;")"))</f>
        <v/>
      </c>
      <c r="F706" s="709" t="str">
        <f>IF(A706="","",'Rozpad zakázky'!IW722)</f>
        <v/>
      </c>
      <c r="G706" s="711" t="str">
        <f>IF(A706="","",'Rozpad zakázky'!AE722)</f>
        <v/>
      </c>
      <c r="H706" s="717" t="str">
        <f>IF(A706="","",'Rozpad zakázky'!AJ722)</f>
        <v/>
      </c>
      <c r="I706" s="748" t="str">
        <f>IF(A706="","",'Rozpad zakázky'!Q722)</f>
        <v/>
      </c>
      <c r="J706" s="717" t="str">
        <f>IF(A706="","",ROUNDDOWN('Rozpad zakázky'!L722,1))</f>
        <v/>
      </c>
      <c r="K706" s="745" t="str">
        <f>IF(A706="","",Tabulka_nakup_Vonka[[#This Row],[Počet MJHR v rozpadu]]*Tabulka_nakup_Vonka[[#This Row],[Jedn. hmotnost '[kg/MJHR']]])</f>
        <v/>
      </c>
    </row>
    <row r="707" spans="1:11" x14ac:dyDescent="0.35">
      <c r="A707" s="709" t="str">
        <f>IF('Rozpad zakázky'!E723=0,"",IF('Rozpad zakázky'!E723="-","",'Rozpad zakázky'!E723))</f>
        <v/>
      </c>
      <c r="B707" s="708" t="str">
        <f>IF(A707="","",IF(A707="","",VLOOKUP(A:A,Pomocna_Nakup[],3,0))&amp;" | "&amp;IF(A707="","",VLOOKUP(A:A,Pomocna_Nakup[],4,0)))</f>
        <v/>
      </c>
      <c r="C707" s="710" t="str">
        <f>IF(Tabulka_nakup_Vonka[[#This Row],[Zkratka kalkulační položky]]="","",Tabulka_nakup_Vonka[[#This Row],[Zkratka kalkulační položky]]&amp;" | "&amp;IF(A707="","",VLOOKUP(A:A,Pomocna_Nakup[],2,0)))</f>
        <v/>
      </c>
      <c r="D707" s="710" t="str">
        <f>IF(A707="","",'Rozpad zakázky'!F723)</f>
        <v/>
      </c>
      <c r="E707" s="710" t="str">
        <f>IF(A707="","",'Rozpad zakázky'!D723&amp;IF('Rozpad zakázky'!G723="",""," ("&amp;'Rozpad zakázky'!G723&amp;")"))</f>
        <v/>
      </c>
      <c r="F707" s="709" t="str">
        <f>IF(A707="","",'Rozpad zakázky'!IW723)</f>
        <v/>
      </c>
      <c r="G707" s="711" t="str">
        <f>IF(A707="","",'Rozpad zakázky'!AE723)</f>
        <v/>
      </c>
      <c r="H707" s="717" t="str">
        <f>IF(A707="","",'Rozpad zakázky'!AJ723)</f>
        <v/>
      </c>
      <c r="I707" s="748" t="str">
        <f>IF(A707="","",'Rozpad zakázky'!Q723)</f>
        <v/>
      </c>
      <c r="J707" s="717" t="str">
        <f>IF(A707="","",ROUNDDOWN('Rozpad zakázky'!L723,1))</f>
        <v/>
      </c>
      <c r="K707" s="745" t="str">
        <f>IF(A707="","",Tabulka_nakup_Vonka[[#This Row],[Počet MJHR v rozpadu]]*Tabulka_nakup_Vonka[[#This Row],[Jedn. hmotnost '[kg/MJHR']]])</f>
        <v/>
      </c>
    </row>
    <row r="708" spans="1:11" x14ac:dyDescent="0.35">
      <c r="A708" s="709" t="str">
        <f>IF('Rozpad zakázky'!E724=0,"",IF('Rozpad zakázky'!E724="-","",'Rozpad zakázky'!E724))</f>
        <v/>
      </c>
      <c r="B708" s="708" t="str">
        <f>IF(A708="","",IF(A708="","",VLOOKUP(A:A,Pomocna_Nakup[],3,0))&amp;" | "&amp;IF(A708="","",VLOOKUP(A:A,Pomocna_Nakup[],4,0)))</f>
        <v/>
      </c>
      <c r="C708" s="710" t="str">
        <f>IF(Tabulka_nakup_Vonka[[#This Row],[Zkratka kalkulační položky]]="","",Tabulka_nakup_Vonka[[#This Row],[Zkratka kalkulační položky]]&amp;" | "&amp;IF(A708="","",VLOOKUP(A:A,Pomocna_Nakup[],2,0)))</f>
        <v/>
      </c>
      <c r="D708" s="710" t="str">
        <f>IF(A708="","",'Rozpad zakázky'!F724)</f>
        <v/>
      </c>
      <c r="E708" s="710" t="str">
        <f>IF(A708="","",'Rozpad zakázky'!D724&amp;IF('Rozpad zakázky'!G724="",""," ("&amp;'Rozpad zakázky'!G724&amp;")"))</f>
        <v/>
      </c>
      <c r="F708" s="709" t="str">
        <f>IF(A708="","",'Rozpad zakázky'!IW724)</f>
        <v/>
      </c>
      <c r="G708" s="711" t="str">
        <f>IF(A708="","",'Rozpad zakázky'!AE724)</f>
        <v/>
      </c>
      <c r="H708" s="717" t="str">
        <f>IF(A708="","",'Rozpad zakázky'!AJ724)</f>
        <v/>
      </c>
      <c r="I708" s="748" t="str">
        <f>IF(A708="","",'Rozpad zakázky'!Q724)</f>
        <v/>
      </c>
      <c r="J708" s="717" t="str">
        <f>IF(A708="","",ROUNDDOWN('Rozpad zakázky'!L724,1))</f>
        <v/>
      </c>
      <c r="K708" s="745" t="str">
        <f>IF(A708="","",Tabulka_nakup_Vonka[[#This Row],[Počet MJHR v rozpadu]]*Tabulka_nakup_Vonka[[#This Row],[Jedn. hmotnost '[kg/MJHR']]])</f>
        <v/>
      </c>
    </row>
    <row r="709" spans="1:11" x14ac:dyDescent="0.35">
      <c r="A709" s="709" t="str">
        <f>IF('Rozpad zakázky'!E725=0,"",IF('Rozpad zakázky'!E725="-","",'Rozpad zakázky'!E725))</f>
        <v/>
      </c>
      <c r="B709" s="708" t="str">
        <f>IF(A709="","",IF(A709="","",VLOOKUP(A:A,Pomocna_Nakup[],3,0))&amp;" | "&amp;IF(A709="","",VLOOKUP(A:A,Pomocna_Nakup[],4,0)))</f>
        <v/>
      </c>
      <c r="C709" s="710" t="str">
        <f>IF(Tabulka_nakup_Vonka[[#This Row],[Zkratka kalkulační položky]]="","",Tabulka_nakup_Vonka[[#This Row],[Zkratka kalkulační položky]]&amp;" | "&amp;IF(A709="","",VLOOKUP(A:A,Pomocna_Nakup[],2,0)))</f>
        <v/>
      </c>
      <c r="D709" s="710" t="str">
        <f>IF(A709="","",'Rozpad zakázky'!F725)</f>
        <v/>
      </c>
      <c r="E709" s="710" t="str">
        <f>IF(A709="","",'Rozpad zakázky'!D725&amp;IF('Rozpad zakázky'!G725="",""," ("&amp;'Rozpad zakázky'!G725&amp;")"))</f>
        <v/>
      </c>
      <c r="F709" s="709" t="str">
        <f>IF(A709="","",'Rozpad zakázky'!IW725)</f>
        <v/>
      </c>
      <c r="G709" s="711" t="str">
        <f>IF(A709="","",'Rozpad zakázky'!AE725)</f>
        <v/>
      </c>
      <c r="H709" s="717" t="str">
        <f>IF(A709="","",'Rozpad zakázky'!AJ725)</f>
        <v/>
      </c>
      <c r="I709" s="748" t="str">
        <f>IF(A709="","",'Rozpad zakázky'!Q725)</f>
        <v/>
      </c>
      <c r="J709" s="717" t="str">
        <f>IF(A709="","",ROUNDDOWN('Rozpad zakázky'!L725,1))</f>
        <v/>
      </c>
      <c r="K709" s="745" t="str">
        <f>IF(A709="","",Tabulka_nakup_Vonka[[#This Row],[Počet MJHR v rozpadu]]*Tabulka_nakup_Vonka[[#This Row],[Jedn. hmotnost '[kg/MJHR']]])</f>
        <v/>
      </c>
    </row>
    <row r="710" spans="1:11" x14ac:dyDescent="0.35">
      <c r="A710" s="709" t="str">
        <f>IF('Rozpad zakázky'!E726=0,"",IF('Rozpad zakázky'!E726="-","",'Rozpad zakázky'!E726))</f>
        <v/>
      </c>
      <c r="B710" s="708" t="str">
        <f>IF(A710="","",IF(A710="","",VLOOKUP(A:A,Pomocna_Nakup[],3,0))&amp;" | "&amp;IF(A710="","",VLOOKUP(A:A,Pomocna_Nakup[],4,0)))</f>
        <v/>
      </c>
      <c r="C710" s="710" t="str">
        <f>IF(Tabulka_nakup_Vonka[[#This Row],[Zkratka kalkulační položky]]="","",Tabulka_nakup_Vonka[[#This Row],[Zkratka kalkulační položky]]&amp;" | "&amp;IF(A710="","",VLOOKUP(A:A,Pomocna_Nakup[],2,0)))</f>
        <v/>
      </c>
      <c r="D710" s="710" t="str">
        <f>IF(A710="","",'Rozpad zakázky'!F726)</f>
        <v/>
      </c>
      <c r="E710" s="710" t="str">
        <f>IF(A710="","",'Rozpad zakázky'!D726&amp;IF('Rozpad zakázky'!G726="",""," ("&amp;'Rozpad zakázky'!G726&amp;")"))</f>
        <v/>
      </c>
      <c r="F710" s="709" t="str">
        <f>IF(A710="","",'Rozpad zakázky'!IW726)</f>
        <v/>
      </c>
      <c r="G710" s="711" t="str">
        <f>IF(A710="","",'Rozpad zakázky'!AE726)</f>
        <v/>
      </c>
      <c r="H710" s="717" t="str">
        <f>IF(A710="","",'Rozpad zakázky'!AJ726)</f>
        <v/>
      </c>
      <c r="I710" s="748" t="str">
        <f>IF(A710="","",'Rozpad zakázky'!Q726)</f>
        <v/>
      </c>
      <c r="J710" s="717" t="str">
        <f>IF(A710="","",ROUNDDOWN('Rozpad zakázky'!L726,1))</f>
        <v/>
      </c>
      <c r="K710" s="745" t="str">
        <f>IF(A710="","",Tabulka_nakup_Vonka[[#This Row],[Počet MJHR v rozpadu]]*Tabulka_nakup_Vonka[[#This Row],[Jedn. hmotnost '[kg/MJHR']]])</f>
        <v/>
      </c>
    </row>
    <row r="711" spans="1:11" x14ac:dyDescent="0.35">
      <c r="A711" s="709" t="str">
        <f>IF('Rozpad zakázky'!E727=0,"",IF('Rozpad zakázky'!E727="-","",'Rozpad zakázky'!E727))</f>
        <v/>
      </c>
      <c r="B711" s="708" t="str">
        <f>IF(A711="","",IF(A711="","",VLOOKUP(A:A,Pomocna_Nakup[],3,0))&amp;" | "&amp;IF(A711="","",VLOOKUP(A:A,Pomocna_Nakup[],4,0)))</f>
        <v/>
      </c>
      <c r="C711" s="710" t="str">
        <f>IF(Tabulka_nakup_Vonka[[#This Row],[Zkratka kalkulační položky]]="","",Tabulka_nakup_Vonka[[#This Row],[Zkratka kalkulační položky]]&amp;" | "&amp;IF(A711="","",VLOOKUP(A:A,Pomocna_Nakup[],2,0)))</f>
        <v/>
      </c>
      <c r="D711" s="710" t="str">
        <f>IF(A711="","",'Rozpad zakázky'!F727)</f>
        <v/>
      </c>
      <c r="E711" s="710" t="str">
        <f>IF(A711="","",'Rozpad zakázky'!D727&amp;IF('Rozpad zakázky'!G727="",""," ("&amp;'Rozpad zakázky'!G727&amp;")"))</f>
        <v/>
      </c>
      <c r="F711" s="709" t="str">
        <f>IF(A711="","",'Rozpad zakázky'!IW727)</f>
        <v/>
      </c>
      <c r="G711" s="711" t="str">
        <f>IF(A711="","",'Rozpad zakázky'!AE727)</f>
        <v/>
      </c>
      <c r="H711" s="717" t="str">
        <f>IF(A711="","",'Rozpad zakázky'!AJ727)</f>
        <v/>
      </c>
      <c r="I711" s="748" t="str">
        <f>IF(A711="","",'Rozpad zakázky'!Q727)</f>
        <v/>
      </c>
      <c r="J711" s="717" t="str">
        <f>IF(A711="","",ROUNDDOWN('Rozpad zakázky'!L727,1))</f>
        <v/>
      </c>
      <c r="K711" s="745" t="str">
        <f>IF(A711="","",Tabulka_nakup_Vonka[[#This Row],[Počet MJHR v rozpadu]]*Tabulka_nakup_Vonka[[#This Row],[Jedn. hmotnost '[kg/MJHR']]])</f>
        <v/>
      </c>
    </row>
    <row r="712" spans="1:11" x14ac:dyDescent="0.35">
      <c r="A712" s="709" t="str">
        <f>IF('Rozpad zakázky'!E728=0,"",IF('Rozpad zakázky'!E728="-","",'Rozpad zakázky'!E728))</f>
        <v/>
      </c>
      <c r="B712" s="708" t="str">
        <f>IF(A712="","",IF(A712="","",VLOOKUP(A:A,Pomocna_Nakup[],3,0))&amp;" | "&amp;IF(A712="","",VLOOKUP(A:A,Pomocna_Nakup[],4,0)))</f>
        <v/>
      </c>
      <c r="C712" s="710" t="str">
        <f>IF(Tabulka_nakup_Vonka[[#This Row],[Zkratka kalkulační položky]]="","",Tabulka_nakup_Vonka[[#This Row],[Zkratka kalkulační položky]]&amp;" | "&amp;IF(A712="","",VLOOKUP(A:A,Pomocna_Nakup[],2,0)))</f>
        <v/>
      </c>
      <c r="D712" s="710" t="str">
        <f>IF(A712="","",'Rozpad zakázky'!F728)</f>
        <v/>
      </c>
      <c r="E712" s="710" t="str">
        <f>IF(A712="","",'Rozpad zakázky'!D728&amp;IF('Rozpad zakázky'!G728="",""," ("&amp;'Rozpad zakázky'!G728&amp;")"))</f>
        <v/>
      </c>
      <c r="F712" s="709" t="str">
        <f>IF(A712="","",'Rozpad zakázky'!IW728)</f>
        <v/>
      </c>
      <c r="G712" s="711" t="str">
        <f>IF(A712="","",'Rozpad zakázky'!AE728)</f>
        <v/>
      </c>
      <c r="H712" s="717" t="str">
        <f>IF(A712="","",'Rozpad zakázky'!AJ728)</f>
        <v/>
      </c>
      <c r="I712" s="748" t="str">
        <f>IF(A712="","",'Rozpad zakázky'!Q728)</f>
        <v/>
      </c>
      <c r="J712" s="717" t="str">
        <f>IF(A712="","",ROUNDDOWN('Rozpad zakázky'!L728,1))</f>
        <v/>
      </c>
      <c r="K712" s="745" t="str">
        <f>IF(A712="","",Tabulka_nakup_Vonka[[#This Row],[Počet MJHR v rozpadu]]*Tabulka_nakup_Vonka[[#This Row],[Jedn. hmotnost '[kg/MJHR']]])</f>
        <v/>
      </c>
    </row>
    <row r="713" spans="1:11" x14ac:dyDescent="0.35">
      <c r="A713" s="709" t="str">
        <f>IF('Rozpad zakázky'!E729=0,"",IF('Rozpad zakázky'!E729="-","",'Rozpad zakázky'!E729))</f>
        <v/>
      </c>
      <c r="B713" s="708" t="str">
        <f>IF(A713="","",IF(A713="","",VLOOKUP(A:A,Pomocna_Nakup[],3,0))&amp;" | "&amp;IF(A713="","",VLOOKUP(A:A,Pomocna_Nakup[],4,0)))</f>
        <v/>
      </c>
      <c r="C713" s="710" t="str">
        <f>IF(Tabulka_nakup_Vonka[[#This Row],[Zkratka kalkulační položky]]="","",Tabulka_nakup_Vonka[[#This Row],[Zkratka kalkulační položky]]&amp;" | "&amp;IF(A713="","",VLOOKUP(A:A,Pomocna_Nakup[],2,0)))</f>
        <v/>
      </c>
      <c r="D713" s="710" t="str">
        <f>IF(A713="","",'Rozpad zakázky'!F729)</f>
        <v/>
      </c>
      <c r="E713" s="710" t="str">
        <f>IF(A713="","",'Rozpad zakázky'!D729&amp;IF('Rozpad zakázky'!G729="",""," ("&amp;'Rozpad zakázky'!G729&amp;")"))</f>
        <v/>
      </c>
      <c r="F713" s="709" t="str">
        <f>IF(A713="","",'Rozpad zakázky'!IW729)</f>
        <v/>
      </c>
      <c r="G713" s="711" t="str">
        <f>IF(A713="","",'Rozpad zakázky'!AE729)</f>
        <v/>
      </c>
      <c r="H713" s="717" t="str">
        <f>IF(A713="","",'Rozpad zakázky'!AJ729)</f>
        <v/>
      </c>
      <c r="I713" s="748" t="str">
        <f>IF(A713="","",'Rozpad zakázky'!Q729)</f>
        <v/>
      </c>
      <c r="J713" s="717" t="str">
        <f>IF(A713="","",ROUNDDOWN('Rozpad zakázky'!L729,1))</f>
        <v/>
      </c>
      <c r="K713" s="745" t="str">
        <f>IF(A713="","",Tabulka_nakup_Vonka[[#This Row],[Počet MJHR v rozpadu]]*Tabulka_nakup_Vonka[[#This Row],[Jedn. hmotnost '[kg/MJHR']]])</f>
        <v/>
      </c>
    </row>
    <row r="714" spans="1:11" x14ac:dyDescent="0.35">
      <c r="A714" s="709" t="str">
        <f>IF('Rozpad zakázky'!E730=0,"",IF('Rozpad zakázky'!E730="-","",'Rozpad zakázky'!E730))</f>
        <v/>
      </c>
      <c r="B714" s="708" t="str">
        <f>IF(A714="","",IF(A714="","",VLOOKUP(A:A,Pomocna_Nakup[],3,0))&amp;" | "&amp;IF(A714="","",VLOOKUP(A:A,Pomocna_Nakup[],4,0)))</f>
        <v/>
      </c>
      <c r="C714" s="710" t="str">
        <f>IF(Tabulka_nakup_Vonka[[#This Row],[Zkratka kalkulační položky]]="","",Tabulka_nakup_Vonka[[#This Row],[Zkratka kalkulační položky]]&amp;" | "&amp;IF(A714="","",VLOOKUP(A:A,Pomocna_Nakup[],2,0)))</f>
        <v/>
      </c>
      <c r="D714" s="710" t="str">
        <f>IF(A714="","",'Rozpad zakázky'!F730)</f>
        <v/>
      </c>
      <c r="E714" s="710" t="str">
        <f>IF(A714="","",'Rozpad zakázky'!D730&amp;IF('Rozpad zakázky'!G730="",""," ("&amp;'Rozpad zakázky'!G730&amp;")"))</f>
        <v/>
      </c>
      <c r="F714" s="709" t="str">
        <f>IF(A714="","",'Rozpad zakázky'!IW730)</f>
        <v/>
      </c>
      <c r="G714" s="711" t="str">
        <f>IF(A714="","",'Rozpad zakázky'!AE730)</f>
        <v/>
      </c>
      <c r="H714" s="717" t="str">
        <f>IF(A714="","",'Rozpad zakázky'!AJ730)</f>
        <v/>
      </c>
      <c r="I714" s="748" t="str">
        <f>IF(A714="","",'Rozpad zakázky'!Q730)</f>
        <v/>
      </c>
      <c r="J714" s="717" t="str">
        <f>IF(A714="","",ROUNDDOWN('Rozpad zakázky'!L730,1))</f>
        <v/>
      </c>
      <c r="K714" s="745" t="str">
        <f>IF(A714="","",Tabulka_nakup_Vonka[[#This Row],[Počet MJHR v rozpadu]]*Tabulka_nakup_Vonka[[#This Row],[Jedn. hmotnost '[kg/MJHR']]])</f>
        <v/>
      </c>
    </row>
    <row r="715" spans="1:11" x14ac:dyDescent="0.35">
      <c r="A715" s="709" t="str">
        <f>IF('Rozpad zakázky'!E731=0,"",IF('Rozpad zakázky'!E731="-","",'Rozpad zakázky'!E731))</f>
        <v/>
      </c>
      <c r="B715" s="708" t="str">
        <f>IF(A715="","",IF(A715="","",VLOOKUP(A:A,Pomocna_Nakup[],3,0))&amp;" | "&amp;IF(A715="","",VLOOKUP(A:A,Pomocna_Nakup[],4,0)))</f>
        <v/>
      </c>
      <c r="C715" s="710" t="str">
        <f>IF(Tabulka_nakup_Vonka[[#This Row],[Zkratka kalkulační položky]]="","",Tabulka_nakup_Vonka[[#This Row],[Zkratka kalkulační položky]]&amp;" | "&amp;IF(A715="","",VLOOKUP(A:A,Pomocna_Nakup[],2,0)))</f>
        <v/>
      </c>
      <c r="D715" s="710" t="str">
        <f>IF(A715="","",'Rozpad zakázky'!F731)</f>
        <v/>
      </c>
      <c r="E715" s="710" t="str">
        <f>IF(A715="","",'Rozpad zakázky'!D731&amp;IF('Rozpad zakázky'!G731="",""," ("&amp;'Rozpad zakázky'!G731&amp;")"))</f>
        <v/>
      </c>
      <c r="F715" s="709" t="str">
        <f>IF(A715="","",'Rozpad zakázky'!IW731)</f>
        <v/>
      </c>
      <c r="G715" s="711" t="str">
        <f>IF(A715="","",'Rozpad zakázky'!AE731)</f>
        <v/>
      </c>
      <c r="H715" s="717" t="str">
        <f>IF(A715="","",'Rozpad zakázky'!AJ731)</f>
        <v/>
      </c>
      <c r="I715" s="748" t="str">
        <f>IF(A715="","",'Rozpad zakázky'!Q731)</f>
        <v/>
      </c>
      <c r="J715" s="717" t="str">
        <f>IF(A715="","",ROUNDDOWN('Rozpad zakázky'!L731,1))</f>
        <v/>
      </c>
      <c r="K715" s="745" t="str">
        <f>IF(A715="","",Tabulka_nakup_Vonka[[#This Row],[Počet MJHR v rozpadu]]*Tabulka_nakup_Vonka[[#This Row],[Jedn. hmotnost '[kg/MJHR']]])</f>
        <v/>
      </c>
    </row>
    <row r="716" spans="1:11" x14ac:dyDescent="0.35">
      <c r="A716" s="709" t="str">
        <f>IF('Rozpad zakázky'!E732=0,"",IF('Rozpad zakázky'!E732="-","",'Rozpad zakázky'!E732))</f>
        <v/>
      </c>
      <c r="B716" s="708" t="str">
        <f>IF(A716="","",IF(A716="","",VLOOKUP(A:A,Pomocna_Nakup[],3,0))&amp;" | "&amp;IF(A716="","",VLOOKUP(A:A,Pomocna_Nakup[],4,0)))</f>
        <v/>
      </c>
      <c r="C716" s="710" t="str">
        <f>IF(Tabulka_nakup_Vonka[[#This Row],[Zkratka kalkulační položky]]="","",Tabulka_nakup_Vonka[[#This Row],[Zkratka kalkulační položky]]&amp;" | "&amp;IF(A716="","",VLOOKUP(A:A,Pomocna_Nakup[],2,0)))</f>
        <v/>
      </c>
      <c r="D716" s="710" t="str">
        <f>IF(A716="","",'Rozpad zakázky'!F732)</f>
        <v/>
      </c>
      <c r="E716" s="710" t="str">
        <f>IF(A716="","",'Rozpad zakázky'!D732&amp;IF('Rozpad zakázky'!G732="",""," ("&amp;'Rozpad zakázky'!G732&amp;")"))</f>
        <v/>
      </c>
      <c r="F716" s="709" t="str">
        <f>IF(A716="","",'Rozpad zakázky'!IW732)</f>
        <v/>
      </c>
      <c r="G716" s="711" t="str">
        <f>IF(A716="","",'Rozpad zakázky'!AE732)</f>
        <v/>
      </c>
      <c r="H716" s="717" t="str">
        <f>IF(A716="","",'Rozpad zakázky'!AJ732)</f>
        <v/>
      </c>
      <c r="I716" s="748" t="str">
        <f>IF(A716="","",'Rozpad zakázky'!Q732)</f>
        <v/>
      </c>
      <c r="J716" s="717" t="str">
        <f>IF(A716="","",ROUNDDOWN('Rozpad zakázky'!L732,1))</f>
        <v/>
      </c>
      <c r="K716" s="745" t="str">
        <f>IF(A716="","",Tabulka_nakup_Vonka[[#This Row],[Počet MJHR v rozpadu]]*Tabulka_nakup_Vonka[[#This Row],[Jedn. hmotnost '[kg/MJHR']]])</f>
        <v/>
      </c>
    </row>
    <row r="717" spans="1:11" x14ac:dyDescent="0.35">
      <c r="A717" s="709" t="str">
        <f>IF('Rozpad zakázky'!E733=0,"",IF('Rozpad zakázky'!E733="-","",'Rozpad zakázky'!E733))</f>
        <v/>
      </c>
      <c r="B717" s="708" t="str">
        <f>IF(A717="","",IF(A717="","",VLOOKUP(A:A,Pomocna_Nakup[],3,0))&amp;" | "&amp;IF(A717="","",VLOOKUP(A:A,Pomocna_Nakup[],4,0)))</f>
        <v/>
      </c>
      <c r="C717" s="710" t="str">
        <f>IF(Tabulka_nakup_Vonka[[#This Row],[Zkratka kalkulační položky]]="","",Tabulka_nakup_Vonka[[#This Row],[Zkratka kalkulační položky]]&amp;" | "&amp;IF(A717="","",VLOOKUP(A:A,Pomocna_Nakup[],2,0)))</f>
        <v/>
      </c>
      <c r="D717" s="710" t="str">
        <f>IF(A717="","",'Rozpad zakázky'!F733)</f>
        <v/>
      </c>
      <c r="E717" s="710" t="str">
        <f>IF(A717="","",'Rozpad zakázky'!D733&amp;IF('Rozpad zakázky'!G733="",""," ("&amp;'Rozpad zakázky'!G733&amp;")"))</f>
        <v/>
      </c>
      <c r="F717" s="709" t="str">
        <f>IF(A717="","",'Rozpad zakázky'!IW733)</f>
        <v/>
      </c>
      <c r="G717" s="711" t="str">
        <f>IF(A717="","",'Rozpad zakázky'!AE733)</f>
        <v/>
      </c>
      <c r="H717" s="717" t="str">
        <f>IF(A717="","",'Rozpad zakázky'!AJ733)</f>
        <v/>
      </c>
      <c r="I717" s="748" t="str">
        <f>IF(A717="","",'Rozpad zakázky'!Q733)</f>
        <v/>
      </c>
      <c r="J717" s="717" t="str">
        <f>IF(A717="","",ROUNDDOWN('Rozpad zakázky'!L733,1))</f>
        <v/>
      </c>
      <c r="K717" s="745" t="str">
        <f>IF(A717="","",Tabulka_nakup_Vonka[[#This Row],[Počet MJHR v rozpadu]]*Tabulka_nakup_Vonka[[#This Row],[Jedn. hmotnost '[kg/MJHR']]])</f>
        <v/>
      </c>
    </row>
    <row r="718" spans="1:11" x14ac:dyDescent="0.35">
      <c r="A718" s="709" t="str">
        <f>IF('Rozpad zakázky'!E734=0,"",IF('Rozpad zakázky'!E734="-","",'Rozpad zakázky'!E734))</f>
        <v/>
      </c>
      <c r="B718" s="708" t="str">
        <f>IF(A718="","",IF(A718="","",VLOOKUP(A:A,Pomocna_Nakup[],3,0))&amp;" | "&amp;IF(A718="","",VLOOKUP(A:A,Pomocna_Nakup[],4,0)))</f>
        <v/>
      </c>
      <c r="C718" s="710" t="str">
        <f>IF(Tabulka_nakup_Vonka[[#This Row],[Zkratka kalkulační položky]]="","",Tabulka_nakup_Vonka[[#This Row],[Zkratka kalkulační položky]]&amp;" | "&amp;IF(A718="","",VLOOKUP(A:A,Pomocna_Nakup[],2,0)))</f>
        <v/>
      </c>
      <c r="D718" s="710" t="str">
        <f>IF(A718="","",'Rozpad zakázky'!F734)</f>
        <v/>
      </c>
      <c r="E718" s="710" t="str">
        <f>IF(A718="","",'Rozpad zakázky'!D734&amp;IF('Rozpad zakázky'!G734="",""," ("&amp;'Rozpad zakázky'!G734&amp;")"))</f>
        <v/>
      </c>
      <c r="F718" s="709" t="str">
        <f>IF(A718="","",'Rozpad zakázky'!IW734)</f>
        <v/>
      </c>
      <c r="G718" s="711" t="str">
        <f>IF(A718="","",'Rozpad zakázky'!AE734)</f>
        <v/>
      </c>
      <c r="H718" s="717" t="str">
        <f>IF(A718="","",'Rozpad zakázky'!AJ734)</f>
        <v/>
      </c>
      <c r="I718" s="748" t="str">
        <f>IF(A718="","",'Rozpad zakázky'!Q734)</f>
        <v/>
      </c>
      <c r="J718" s="717" t="str">
        <f>IF(A718="","",ROUNDDOWN('Rozpad zakázky'!L734,1))</f>
        <v/>
      </c>
      <c r="K718" s="745" t="str">
        <f>IF(A718="","",Tabulka_nakup_Vonka[[#This Row],[Počet MJHR v rozpadu]]*Tabulka_nakup_Vonka[[#This Row],[Jedn. hmotnost '[kg/MJHR']]])</f>
        <v/>
      </c>
    </row>
    <row r="719" spans="1:11" x14ac:dyDescent="0.35">
      <c r="A719" s="709" t="str">
        <f>IF('Rozpad zakázky'!E735=0,"",IF('Rozpad zakázky'!E735="-","",'Rozpad zakázky'!E735))</f>
        <v/>
      </c>
      <c r="B719" s="708" t="str">
        <f>IF(A719="","",IF(A719="","",VLOOKUP(A:A,Pomocna_Nakup[],3,0))&amp;" | "&amp;IF(A719="","",VLOOKUP(A:A,Pomocna_Nakup[],4,0)))</f>
        <v/>
      </c>
      <c r="C719" s="710" t="str">
        <f>IF(Tabulka_nakup_Vonka[[#This Row],[Zkratka kalkulační položky]]="","",Tabulka_nakup_Vonka[[#This Row],[Zkratka kalkulační položky]]&amp;" | "&amp;IF(A719="","",VLOOKUP(A:A,Pomocna_Nakup[],2,0)))</f>
        <v/>
      </c>
      <c r="D719" s="710" t="str">
        <f>IF(A719="","",'Rozpad zakázky'!F735)</f>
        <v/>
      </c>
      <c r="E719" s="710" t="str">
        <f>IF(A719="","",'Rozpad zakázky'!D735&amp;IF('Rozpad zakázky'!G735="",""," ("&amp;'Rozpad zakázky'!G735&amp;")"))</f>
        <v/>
      </c>
      <c r="F719" s="709" t="str">
        <f>IF(A719="","",'Rozpad zakázky'!IW735)</f>
        <v/>
      </c>
      <c r="G719" s="711" t="str">
        <f>IF(A719="","",'Rozpad zakázky'!AE735)</f>
        <v/>
      </c>
      <c r="H719" s="717" t="str">
        <f>IF(A719="","",'Rozpad zakázky'!AJ735)</f>
        <v/>
      </c>
      <c r="I719" s="748" t="str">
        <f>IF(A719="","",'Rozpad zakázky'!Q735)</f>
        <v/>
      </c>
      <c r="J719" s="717" t="str">
        <f>IF(A719="","",ROUNDDOWN('Rozpad zakázky'!L735,1))</f>
        <v/>
      </c>
      <c r="K719" s="745" t="str">
        <f>IF(A719="","",Tabulka_nakup_Vonka[[#This Row],[Počet MJHR v rozpadu]]*Tabulka_nakup_Vonka[[#This Row],[Jedn. hmotnost '[kg/MJHR']]])</f>
        <v/>
      </c>
    </row>
    <row r="720" spans="1:11" x14ac:dyDescent="0.35">
      <c r="A720" s="709" t="str">
        <f>IF('Rozpad zakázky'!E736=0,"",IF('Rozpad zakázky'!E736="-","",'Rozpad zakázky'!E736))</f>
        <v/>
      </c>
      <c r="B720" s="708" t="str">
        <f>IF(A720="","",IF(A720="","",VLOOKUP(A:A,Pomocna_Nakup[],3,0))&amp;" | "&amp;IF(A720="","",VLOOKUP(A:A,Pomocna_Nakup[],4,0)))</f>
        <v/>
      </c>
      <c r="C720" s="710" t="str">
        <f>IF(Tabulka_nakup_Vonka[[#This Row],[Zkratka kalkulační položky]]="","",Tabulka_nakup_Vonka[[#This Row],[Zkratka kalkulační položky]]&amp;" | "&amp;IF(A720="","",VLOOKUP(A:A,Pomocna_Nakup[],2,0)))</f>
        <v/>
      </c>
      <c r="D720" s="710" t="str">
        <f>IF(A720="","",'Rozpad zakázky'!F736)</f>
        <v/>
      </c>
      <c r="E720" s="710" t="str">
        <f>IF(A720="","",'Rozpad zakázky'!D736&amp;IF('Rozpad zakázky'!G736="",""," ("&amp;'Rozpad zakázky'!G736&amp;")"))</f>
        <v/>
      </c>
      <c r="F720" s="709" t="str">
        <f>IF(A720="","",'Rozpad zakázky'!IW736)</f>
        <v/>
      </c>
      <c r="G720" s="711" t="str">
        <f>IF(A720="","",'Rozpad zakázky'!AE736)</f>
        <v/>
      </c>
      <c r="H720" s="717" t="str">
        <f>IF(A720="","",'Rozpad zakázky'!AJ736)</f>
        <v/>
      </c>
      <c r="I720" s="748" t="str">
        <f>IF(A720="","",'Rozpad zakázky'!Q736)</f>
        <v/>
      </c>
      <c r="J720" s="717" t="str">
        <f>IF(A720="","",ROUNDDOWN('Rozpad zakázky'!L736,1))</f>
        <v/>
      </c>
      <c r="K720" s="745" t="str">
        <f>IF(A720="","",Tabulka_nakup_Vonka[[#This Row],[Počet MJHR v rozpadu]]*Tabulka_nakup_Vonka[[#This Row],[Jedn. hmotnost '[kg/MJHR']]])</f>
        <v/>
      </c>
    </row>
    <row r="721" spans="1:11" x14ac:dyDescent="0.35">
      <c r="A721" s="709" t="str">
        <f>IF('Rozpad zakázky'!E737=0,"",IF('Rozpad zakázky'!E737="-","",'Rozpad zakázky'!E737))</f>
        <v/>
      </c>
      <c r="B721" s="708" t="str">
        <f>IF(A721="","",IF(A721="","",VLOOKUP(A:A,Pomocna_Nakup[],3,0))&amp;" | "&amp;IF(A721="","",VLOOKUP(A:A,Pomocna_Nakup[],4,0)))</f>
        <v/>
      </c>
      <c r="C721" s="710" t="str">
        <f>IF(Tabulka_nakup_Vonka[[#This Row],[Zkratka kalkulační položky]]="","",Tabulka_nakup_Vonka[[#This Row],[Zkratka kalkulační položky]]&amp;" | "&amp;IF(A721="","",VLOOKUP(A:A,Pomocna_Nakup[],2,0)))</f>
        <v/>
      </c>
      <c r="D721" s="710" t="str">
        <f>IF(A721="","",'Rozpad zakázky'!F737)</f>
        <v/>
      </c>
      <c r="E721" s="710" t="str">
        <f>IF(A721="","",'Rozpad zakázky'!D737&amp;IF('Rozpad zakázky'!G737="",""," ("&amp;'Rozpad zakázky'!G737&amp;")"))</f>
        <v/>
      </c>
      <c r="F721" s="709" t="str">
        <f>IF(A721="","",'Rozpad zakázky'!IW737)</f>
        <v/>
      </c>
      <c r="G721" s="711" t="str">
        <f>IF(A721="","",'Rozpad zakázky'!AE737)</f>
        <v/>
      </c>
      <c r="H721" s="717" t="str">
        <f>IF(A721="","",'Rozpad zakázky'!AJ737)</f>
        <v/>
      </c>
      <c r="I721" s="748" t="str">
        <f>IF(A721="","",'Rozpad zakázky'!Q737)</f>
        <v/>
      </c>
      <c r="J721" s="717" t="str">
        <f>IF(A721="","",ROUNDDOWN('Rozpad zakázky'!L737,1))</f>
        <v/>
      </c>
      <c r="K721" s="745" t="str">
        <f>IF(A721="","",Tabulka_nakup_Vonka[[#This Row],[Počet MJHR v rozpadu]]*Tabulka_nakup_Vonka[[#This Row],[Jedn. hmotnost '[kg/MJHR']]])</f>
        <v/>
      </c>
    </row>
    <row r="722" spans="1:11" x14ac:dyDescent="0.35">
      <c r="A722" s="709" t="str">
        <f>IF('Rozpad zakázky'!E738=0,"",IF('Rozpad zakázky'!E738="-","",'Rozpad zakázky'!E738))</f>
        <v/>
      </c>
      <c r="B722" s="708" t="str">
        <f>IF(A722="","",IF(A722="","",VLOOKUP(A:A,Pomocna_Nakup[],3,0))&amp;" | "&amp;IF(A722="","",VLOOKUP(A:A,Pomocna_Nakup[],4,0)))</f>
        <v/>
      </c>
      <c r="C722" s="710" t="str">
        <f>IF(Tabulka_nakup_Vonka[[#This Row],[Zkratka kalkulační položky]]="","",Tabulka_nakup_Vonka[[#This Row],[Zkratka kalkulační položky]]&amp;" | "&amp;IF(A722="","",VLOOKUP(A:A,Pomocna_Nakup[],2,0)))</f>
        <v/>
      </c>
      <c r="D722" s="710" t="str">
        <f>IF(A722="","",'Rozpad zakázky'!F738)</f>
        <v/>
      </c>
      <c r="E722" s="710" t="str">
        <f>IF(A722="","",'Rozpad zakázky'!D738&amp;IF('Rozpad zakázky'!G738="",""," ("&amp;'Rozpad zakázky'!G738&amp;")"))</f>
        <v/>
      </c>
      <c r="F722" s="709" t="str">
        <f>IF(A722="","",'Rozpad zakázky'!IW738)</f>
        <v/>
      </c>
      <c r="G722" s="711" t="str">
        <f>IF(A722="","",'Rozpad zakázky'!AE738)</f>
        <v/>
      </c>
      <c r="H722" s="717" t="str">
        <f>IF(A722="","",'Rozpad zakázky'!AJ738)</f>
        <v/>
      </c>
      <c r="I722" s="748" t="str">
        <f>IF(A722="","",'Rozpad zakázky'!Q738)</f>
        <v/>
      </c>
      <c r="J722" s="717" t="str">
        <f>IF(A722="","",ROUNDDOWN('Rozpad zakázky'!L738,1))</f>
        <v/>
      </c>
      <c r="K722" s="745" t="str">
        <f>IF(A722="","",Tabulka_nakup_Vonka[[#This Row],[Počet MJHR v rozpadu]]*Tabulka_nakup_Vonka[[#This Row],[Jedn. hmotnost '[kg/MJHR']]])</f>
        <v/>
      </c>
    </row>
    <row r="723" spans="1:11" x14ac:dyDescent="0.35">
      <c r="A723" s="709" t="str">
        <f>IF('Rozpad zakázky'!E739=0,"",IF('Rozpad zakázky'!E739="-","",'Rozpad zakázky'!E739))</f>
        <v/>
      </c>
      <c r="B723" s="708" t="str">
        <f>IF(A723="","",IF(A723="","",VLOOKUP(A:A,Pomocna_Nakup[],3,0))&amp;" | "&amp;IF(A723="","",VLOOKUP(A:A,Pomocna_Nakup[],4,0)))</f>
        <v/>
      </c>
      <c r="C723" s="710" t="str">
        <f>IF(Tabulka_nakup_Vonka[[#This Row],[Zkratka kalkulační položky]]="","",Tabulka_nakup_Vonka[[#This Row],[Zkratka kalkulační položky]]&amp;" | "&amp;IF(A723="","",VLOOKUP(A:A,Pomocna_Nakup[],2,0)))</f>
        <v/>
      </c>
      <c r="D723" s="710" t="str">
        <f>IF(A723="","",'Rozpad zakázky'!F739)</f>
        <v/>
      </c>
      <c r="E723" s="710" t="str">
        <f>IF(A723="","",'Rozpad zakázky'!D739&amp;IF('Rozpad zakázky'!G739="",""," ("&amp;'Rozpad zakázky'!G739&amp;")"))</f>
        <v/>
      </c>
      <c r="F723" s="709" t="str">
        <f>IF(A723="","",'Rozpad zakázky'!IW739)</f>
        <v/>
      </c>
      <c r="G723" s="711" t="str">
        <f>IF(A723="","",'Rozpad zakázky'!AE739)</f>
        <v/>
      </c>
      <c r="H723" s="717" t="str">
        <f>IF(A723="","",'Rozpad zakázky'!AJ739)</f>
        <v/>
      </c>
      <c r="I723" s="748" t="str">
        <f>IF(A723="","",'Rozpad zakázky'!Q739)</f>
        <v/>
      </c>
      <c r="J723" s="717" t="str">
        <f>IF(A723="","",ROUNDDOWN('Rozpad zakázky'!L739,1))</f>
        <v/>
      </c>
      <c r="K723" s="745" t="str">
        <f>IF(A723="","",Tabulka_nakup_Vonka[[#This Row],[Počet MJHR v rozpadu]]*Tabulka_nakup_Vonka[[#This Row],[Jedn. hmotnost '[kg/MJHR']]])</f>
        <v/>
      </c>
    </row>
    <row r="724" spans="1:11" x14ac:dyDescent="0.35">
      <c r="A724" s="709" t="str">
        <f>IF('Rozpad zakázky'!E740=0,"",IF('Rozpad zakázky'!E740="-","",'Rozpad zakázky'!E740))</f>
        <v/>
      </c>
      <c r="B724" s="708" t="str">
        <f>IF(A724="","",IF(A724="","",VLOOKUP(A:A,Pomocna_Nakup[],3,0))&amp;" | "&amp;IF(A724="","",VLOOKUP(A:A,Pomocna_Nakup[],4,0)))</f>
        <v/>
      </c>
      <c r="C724" s="710" t="str">
        <f>IF(Tabulka_nakup_Vonka[[#This Row],[Zkratka kalkulační položky]]="","",Tabulka_nakup_Vonka[[#This Row],[Zkratka kalkulační položky]]&amp;" | "&amp;IF(A724="","",VLOOKUP(A:A,Pomocna_Nakup[],2,0)))</f>
        <v/>
      </c>
      <c r="D724" s="710" t="str">
        <f>IF(A724="","",'Rozpad zakázky'!F740)</f>
        <v/>
      </c>
      <c r="E724" s="710" t="str">
        <f>IF(A724="","",'Rozpad zakázky'!D740&amp;IF('Rozpad zakázky'!G740="",""," ("&amp;'Rozpad zakázky'!G740&amp;")"))</f>
        <v/>
      </c>
      <c r="F724" s="709" t="str">
        <f>IF(A724="","",'Rozpad zakázky'!IW740)</f>
        <v/>
      </c>
      <c r="G724" s="711" t="str">
        <f>IF(A724="","",'Rozpad zakázky'!AE740)</f>
        <v/>
      </c>
      <c r="H724" s="717" t="str">
        <f>IF(A724="","",'Rozpad zakázky'!AJ740)</f>
        <v/>
      </c>
      <c r="I724" s="748" t="str">
        <f>IF(A724="","",'Rozpad zakázky'!Q740)</f>
        <v/>
      </c>
      <c r="J724" s="717" t="str">
        <f>IF(A724="","",ROUNDDOWN('Rozpad zakázky'!L740,1))</f>
        <v/>
      </c>
      <c r="K724" s="745" t="str">
        <f>IF(A724="","",Tabulka_nakup_Vonka[[#This Row],[Počet MJHR v rozpadu]]*Tabulka_nakup_Vonka[[#This Row],[Jedn. hmotnost '[kg/MJHR']]])</f>
        <v/>
      </c>
    </row>
    <row r="725" spans="1:11" x14ac:dyDescent="0.35">
      <c r="A725" s="709" t="str">
        <f>IF('Rozpad zakázky'!E741=0,"",IF('Rozpad zakázky'!E741="-","",'Rozpad zakázky'!E741))</f>
        <v/>
      </c>
      <c r="B725" s="708" t="str">
        <f>IF(A725="","",IF(A725="","",VLOOKUP(A:A,Pomocna_Nakup[],3,0))&amp;" | "&amp;IF(A725="","",VLOOKUP(A:A,Pomocna_Nakup[],4,0)))</f>
        <v/>
      </c>
      <c r="C725" s="710" t="str">
        <f>IF(Tabulka_nakup_Vonka[[#This Row],[Zkratka kalkulační položky]]="","",Tabulka_nakup_Vonka[[#This Row],[Zkratka kalkulační položky]]&amp;" | "&amp;IF(A725="","",VLOOKUP(A:A,Pomocna_Nakup[],2,0)))</f>
        <v/>
      </c>
      <c r="D725" s="710" t="str">
        <f>IF(A725="","",'Rozpad zakázky'!F741)</f>
        <v/>
      </c>
      <c r="E725" s="710" t="str">
        <f>IF(A725="","",'Rozpad zakázky'!D741&amp;IF('Rozpad zakázky'!G741="",""," ("&amp;'Rozpad zakázky'!G741&amp;")"))</f>
        <v/>
      </c>
      <c r="F725" s="709" t="str">
        <f>IF(A725="","",'Rozpad zakázky'!IW741)</f>
        <v/>
      </c>
      <c r="G725" s="711" t="str">
        <f>IF(A725="","",'Rozpad zakázky'!AE741)</f>
        <v/>
      </c>
      <c r="H725" s="717" t="str">
        <f>IF(A725="","",'Rozpad zakázky'!AJ741)</f>
        <v/>
      </c>
      <c r="I725" s="748" t="str">
        <f>IF(A725="","",'Rozpad zakázky'!Q741)</f>
        <v/>
      </c>
      <c r="J725" s="717" t="str">
        <f>IF(A725="","",ROUNDDOWN('Rozpad zakázky'!L741,1))</f>
        <v/>
      </c>
      <c r="K725" s="745" t="str">
        <f>IF(A725="","",Tabulka_nakup_Vonka[[#This Row],[Počet MJHR v rozpadu]]*Tabulka_nakup_Vonka[[#This Row],[Jedn. hmotnost '[kg/MJHR']]])</f>
        <v/>
      </c>
    </row>
    <row r="726" spans="1:11" x14ac:dyDescent="0.35">
      <c r="A726" s="709" t="str">
        <f>IF('Rozpad zakázky'!E742=0,"",IF('Rozpad zakázky'!E742="-","",'Rozpad zakázky'!E742))</f>
        <v/>
      </c>
      <c r="B726" s="708" t="str">
        <f>IF(A726="","",IF(A726="","",VLOOKUP(A:A,Pomocna_Nakup[],3,0))&amp;" | "&amp;IF(A726="","",VLOOKUP(A:A,Pomocna_Nakup[],4,0)))</f>
        <v/>
      </c>
      <c r="C726" s="710" t="str">
        <f>IF(Tabulka_nakup_Vonka[[#This Row],[Zkratka kalkulační položky]]="","",Tabulka_nakup_Vonka[[#This Row],[Zkratka kalkulační položky]]&amp;" | "&amp;IF(A726="","",VLOOKUP(A:A,Pomocna_Nakup[],2,0)))</f>
        <v/>
      </c>
      <c r="D726" s="710" t="str">
        <f>IF(A726="","",'Rozpad zakázky'!F742)</f>
        <v/>
      </c>
      <c r="E726" s="710" t="str">
        <f>IF(A726="","",'Rozpad zakázky'!D742&amp;IF('Rozpad zakázky'!G742="",""," ("&amp;'Rozpad zakázky'!G742&amp;")"))</f>
        <v/>
      </c>
      <c r="F726" s="709" t="str">
        <f>IF(A726="","",'Rozpad zakázky'!IW742)</f>
        <v/>
      </c>
      <c r="G726" s="711" t="str">
        <f>IF(A726="","",'Rozpad zakázky'!AE742)</f>
        <v/>
      </c>
      <c r="H726" s="717" t="str">
        <f>IF(A726="","",'Rozpad zakázky'!AJ742)</f>
        <v/>
      </c>
      <c r="I726" s="748" t="str">
        <f>IF(A726="","",'Rozpad zakázky'!Q742)</f>
        <v/>
      </c>
      <c r="J726" s="717" t="str">
        <f>IF(A726="","",ROUNDDOWN('Rozpad zakázky'!L742,1))</f>
        <v/>
      </c>
      <c r="K726" s="745" t="str">
        <f>IF(A726="","",Tabulka_nakup_Vonka[[#This Row],[Počet MJHR v rozpadu]]*Tabulka_nakup_Vonka[[#This Row],[Jedn. hmotnost '[kg/MJHR']]])</f>
        <v/>
      </c>
    </row>
    <row r="727" spans="1:11" x14ac:dyDescent="0.35">
      <c r="A727" s="709" t="str">
        <f>IF('Rozpad zakázky'!E743=0,"",IF('Rozpad zakázky'!E743="-","",'Rozpad zakázky'!E743))</f>
        <v/>
      </c>
      <c r="B727" s="708" t="str">
        <f>IF(A727="","",IF(A727="","",VLOOKUP(A:A,Pomocna_Nakup[],3,0))&amp;" | "&amp;IF(A727="","",VLOOKUP(A:A,Pomocna_Nakup[],4,0)))</f>
        <v/>
      </c>
      <c r="C727" s="710" t="str">
        <f>IF(Tabulka_nakup_Vonka[[#This Row],[Zkratka kalkulační položky]]="","",Tabulka_nakup_Vonka[[#This Row],[Zkratka kalkulační položky]]&amp;" | "&amp;IF(A727="","",VLOOKUP(A:A,Pomocna_Nakup[],2,0)))</f>
        <v/>
      </c>
      <c r="D727" s="710" t="str">
        <f>IF(A727="","",'Rozpad zakázky'!F743)</f>
        <v/>
      </c>
      <c r="E727" s="710" t="str">
        <f>IF(A727="","",'Rozpad zakázky'!D743&amp;IF('Rozpad zakázky'!G743="",""," ("&amp;'Rozpad zakázky'!G743&amp;")"))</f>
        <v/>
      </c>
      <c r="F727" s="709" t="str">
        <f>IF(A727="","",'Rozpad zakázky'!IW743)</f>
        <v/>
      </c>
      <c r="G727" s="711" t="str">
        <f>IF(A727="","",'Rozpad zakázky'!AE743)</f>
        <v/>
      </c>
      <c r="H727" s="717" t="str">
        <f>IF(A727="","",'Rozpad zakázky'!AJ743)</f>
        <v/>
      </c>
      <c r="I727" s="748" t="str">
        <f>IF(A727="","",'Rozpad zakázky'!Q743)</f>
        <v/>
      </c>
      <c r="J727" s="717" t="str">
        <f>IF(A727="","",ROUNDDOWN('Rozpad zakázky'!L743,1))</f>
        <v/>
      </c>
      <c r="K727" s="745" t="str">
        <f>IF(A727="","",Tabulka_nakup_Vonka[[#This Row],[Počet MJHR v rozpadu]]*Tabulka_nakup_Vonka[[#This Row],[Jedn. hmotnost '[kg/MJHR']]])</f>
        <v/>
      </c>
    </row>
    <row r="728" spans="1:11" x14ac:dyDescent="0.35">
      <c r="A728" s="709" t="str">
        <f>IF('Rozpad zakázky'!E744=0,"",IF('Rozpad zakázky'!E744="-","",'Rozpad zakázky'!E744))</f>
        <v/>
      </c>
      <c r="B728" s="708" t="str">
        <f>IF(A728="","",IF(A728="","",VLOOKUP(A:A,Pomocna_Nakup[],3,0))&amp;" | "&amp;IF(A728="","",VLOOKUP(A:A,Pomocna_Nakup[],4,0)))</f>
        <v/>
      </c>
      <c r="C728" s="710" t="str">
        <f>IF(Tabulka_nakup_Vonka[[#This Row],[Zkratka kalkulační položky]]="","",Tabulka_nakup_Vonka[[#This Row],[Zkratka kalkulační položky]]&amp;" | "&amp;IF(A728="","",VLOOKUP(A:A,Pomocna_Nakup[],2,0)))</f>
        <v/>
      </c>
      <c r="D728" s="710" t="str">
        <f>IF(A728="","",'Rozpad zakázky'!F744)</f>
        <v/>
      </c>
      <c r="E728" s="710" t="str">
        <f>IF(A728="","",'Rozpad zakázky'!D744&amp;IF('Rozpad zakázky'!G744="",""," ("&amp;'Rozpad zakázky'!G744&amp;")"))</f>
        <v/>
      </c>
      <c r="F728" s="709" t="str">
        <f>IF(A728="","",'Rozpad zakázky'!IW744)</f>
        <v/>
      </c>
      <c r="G728" s="711" t="str">
        <f>IF(A728="","",'Rozpad zakázky'!AE744)</f>
        <v/>
      </c>
      <c r="H728" s="717" t="str">
        <f>IF(A728="","",'Rozpad zakázky'!AJ744)</f>
        <v/>
      </c>
      <c r="I728" s="748" t="str">
        <f>IF(A728="","",'Rozpad zakázky'!Q744)</f>
        <v/>
      </c>
      <c r="J728" s="717" t="str">
        <f>IF(A728="","",ROUNDDOWN('Rozpad zakázky'!L744,1))</f>
        <v/>
      </c>
      <c r="K728" s="745" t="str">
        <f>IF(A728="","",Tabulka_nakup_Vonka[[#This Row],[Počet MJHR v rozpadu]]*Tabulka_nakup_Vonka[[#This Row],[Jedn. hmotnost '[kg/MJHR']]])</f>
        <v/>
      </c>
    </row>
    <row r="729" spans="1:11" x14ac:dyDescent="0.35">
      <c r="A729" s="709" t="str">
        <f>IF('Rozpad zakázky'!E745=0,"",IF('Rozpad zakázky'!E745="-","",'Rozpad zakázky'!E745))</f>
        <v/>
      </c>
      <c r="B729" s="708" t="str">
        <f>IF(A729="","",IF(A729="","",VLOOKUP(A:A,Pomocna_Nakup[],3,0))&amp;" | "&amp;IF(A729="","",VLOOKUP(A:A,Pomocna_Nakup[],4,0)))</f>
        <v/>
      </c>
      <c r="C729" s="710" t="str">
        <f>IF(Tabulka_nakup_Vonka[[#This Row],[Zkratka kalkulační položky]]="","",Tabulka_nakup_Vonka[[#This Row],[Zkratka kalkulační položky]]&amp;" | "&amp;IF(A729="","",VLOOKUP(A:A,Pomocna_Nakup[],2,0)))</f>
        <v/>
      </c>
      <c r="D729" s="710" t="str">
        <f>IF(A729="","",'Rozpad zakázky'!F745)</f>
        <v/>
      </c>
      <c r="E729" s="710" t="str">
        <f>IF(A729="","",'Rozpad zakázky'!D745&amp;IF('Rozpad zakázky'!G745="",""," ("&amp;'Rozpad zakázky'!G745&amp;")"))</f>
        <v/>
      </c>
      <c r="F729" s="709" t="str">
        <f>IF(A729="","",'Rozpad zakázky'!IW745)</f>
        <v/>
      </c>
      <c r="G729" s="711" t="str">
        <f>IF(A729="","",'Rozpad zakázky'!AE745)</f>
        <v/>
      </c>
      <c r="H729" s="717" t="str">
        <f>IF(A729="","",'Rozpad zakázky'!AJ745)</f>
        <v/>
      </c>
      <c r="I729" s="748" t="str">
        <f>IF(A729="","",'Rozpad zakázky'!Q745)</f>
        <v/>
      </c>
      <c r="J729" s="717" t="str">
        <f>IF(A729="","",ROUNDDOWN('Rozpad zakázky'!L745,1))</f>
        <v/>
      </c>
      <c r="K729" s="745" t="str">
        <f>IF(A729="","",Tabulka_nakup_Vonka[[#This Row],[Počet MJHR v rozpadu]]*Tabulka_nakup_Vonka[[#This Row],[Jedn. hmotnost '[kg/MJHR']]])</f>
        <v/>
      </c>
    </row>
    <row r="730" spans="1:11" x14ac:dyDescent="0.35">
      <c r="A730" s="709" t="str">
        <f>IF('Rozpad zakázky'!E746=0,"",IF('Rozpad zakázky'!E746="-","",'Rozpad zakázky'!E746))</f>
        <v/>
      </c>
      <c r="B730" s="708" t="str">
        <f>IF(A730="","",IF(A730="","",VLOOKUP(A:A,Pomocna_Nakup[],3,0))&amp;" | "&amp;IF(A730="","",VLOOKUP(A:A,Pomocna_Nakup[],4,0)))</f>
        <v/>
      </c>
      <c r="C730" s="710" t="str">
        <f>IF(Tabulka_nakup_Vonka[[#This Row],[Zkratka kalkulační položky]]="","",Tabulka_nakup_Vonka[[#This Row],[Zkratka kalkulační položky]]&amp;" | "&amp;IF(A730="","",VLOOKUP(A:A,Pomocna_Nakup[],2,0)))</f>
        <v/>
      </c>
      <c r="D730" s="710" t="str">
        <f>IF(A730="","",'Rozpad zakázky'!F746)</f>
        <v/>
      </c>
      <c r="E730" s="710" t="str">
        <f>IF(A730="","",'Rozpad zakázky'!D746&amp;IF('Rozpad zakázky'!G746="",""," ("&amp;'Rozpad zakázky'!G746&amp;")"))</f>
        <v/>
      </c>
      <c r="F730" s="709" t="str">
        <f>IF(A730="","",'Rozpad zakázky'!IW746)</f>
        <v/>
      </c>
      <c r="G730" s="711" t="str">
        <f>IF(A730="","",'Rozpad zakázky'!AE746)</f>
        <v/>
      </c>
      <c r="H730" s="717" t="str">
        <f>IF(A730="","",'Rozpad zakázky'!AJ746)</f>
        <v/>
      </c>
      <c r="I730" s="748" t="str">
        <f>IF(A730="","",'Rozpad zakázky'!Q746)</f>
        <v/>
      </c>
      <c r="J730" s="717" t="str">
        <f>IF(A730="","",ROUNDDOWN('Rozpad zakázky'!L746,1))</f>
        <v/>
      </c>
      <c r="K730" s="745" t="str">
        <f>IF(A730="","",Tabulka_nakup_Vonka[[#This Row],[Počet MJHR v rozpadu]]*Tabulka_nakup_Vonka[[#This Row],[Jedn. hmotnost '[kg/MJHR']]])</f>
        <v/>
      </c>
    </row>
    <row r="731" spans="1:11" x14ac:dyDescent="0.35">
      <c r="A731" s="709" t="str">
        <f>IF('Rozpad zakázky'!E747=0,"",IF('Rozpad zakázky'!E747="-","",'Rozpad zakázky'!E747))</f>
        <v/>
      </c>
      <c r="B731" s="708" t="str">
        <f>IF(A731="","",IF(A731="","",VLOOKUP(A:A,Pomocna_Nakup[],3,0))&amp;" | "&amp;IF(A731="","",VLOOKUP(A:A,Pomocna_Nakup[],4,0)))</f>
        <v/>
      </c>
      <c r="C731" s="710" t="str">
        <f>IF(Tabulka_nakup_Vonka[[#This Row],[Zkratka kalkulační položky]]="","",Tabulka_nakup_Vonka[[#This Row],[Zkratka kalkulační položky]]&amp;" | "&amp;IF(A731="","",VLOOKUP(A:A,Pomocna_Nakup[],2,0)))</f>
        <v/>
      </c>
      <c r="D731" s="710" t="str">
        <f>IF(A731="","",'Rozpad zakázky'!F747)</f>
        <v/>
      </c>
      <c r="E731" s="710" t="str">
        <f>IF(A731="","",'Rozpad zakázky'!D747&amp;IF('Rozpad zakázky'!G747="",""," ("&amp;'Rozpad zakázky'!G747&amp;")"))</f>
        <v/>
      </c>
      <c r="F731" s="709" t="str">
        <f>IF(A731="","",'Rozpad zakázky'!IW747)</f>
        <v/>
      </c>
      <c r="G731" s="711" t="str">
        <f>IF(A731="","",'Rozpad zakázky'!AE747)</f>
        <v/>
      </c>
      <c r="H731" s="717" t="str">
        <f>IF(A731="","",'Rozpad zakázky'!AJ747)</f>
        <v/>
      </c>
      <c r="I731" s="748" t="str">
        <f>IF(A731="","",'Rozpad zakázky'!Q747)</f>
        <v/>
      </c>
      <c r="J731" s="717" t="str">
        <f>IF(A731="","",ROUNDDOWN('Rozpad zakázky'!L747,1))</f>
        <v/>
      </c>
      <c r="K731" s="745" t="str">
        <f>IF(A731="","",Tabulka_nakup_Vonka[[#This Row],[Počet MJHR v rozpadu]]*Tabulka_nakup_Vonka[[#This Row],[Jedn. hmotnost '[kg/MJHR']]])</f>
        <v/>
      </c>
    </row>
    <row r="732" spans="1:11" x14ac:dyDescent="0.35">
      <c r="A732" s="709" t="str">
        <f>IF('Rozpad zakázky'!E748=0,"",IF('Rozpad zakázky'!E748="-","",'Rozpad zakázky'!E748))</f>
        <v/>
      </c>
      <c r="B732" s="708" t="str">
        <f>IF(A732="","",IF(A732="","",VLOOKUP(A:A,Pomocna_Nakup[],3,0))&amp;" | "&amp;IF(A732="","",VLOOKUP(A:A,Pomocna_Nakup[],4,0)))</f>
        <v/>
      </c>
      <c r="C732" s="710" t="str">
        <f>IF(Tabulka_nakup_Vonka[[#This Row],[Zkratka kalkulační položky]]="","",Tabulka_nakup_Vonka[[#This Row],[Zkratka kalkulační položky]]&amp;" | "&amp;IF(A732="","",VLOOKUP(A:A,Pomocna_Nakup[],2,0)))</f>
        <v/>
      </c>
      <c r="D732" s="710" t="str">
        <f>IF(A732="","",'Rozpad zakázky'!F748)</f>
        <v/>
      </c>
      <c r="E732" s="710" t="str">
        <f>IF(A732="","",'Rozpad zakázky'!D748&amp;IF('Rozpad zakázky'!G748="",""," ("&amp;'Rozpad zakázky'!G748&amp;")"))</f>
        <v/>
      </c>
      <c r="F732" s="709" t="str">
        <f>IF(A732="","",'Rozpad zakázky'!IW748)</f>
        <v/>
      </c>
      <c r="G732" s="711" t="str">
        <f>IF(A732="","",'Rozpad zakázky'!AE748)</f>
        <v/>
      </c>
      <c r="H732" s="717" t="str">
        <f>IF(A732="","",'Rozpad zakázky'!AJ748)</f>
        <v/>
      </c>
      <c r="I732" s="748" t="str">
        <f>IF(A732="","",'Rozpad zakázky'!Q748)</f>
        <v/>
      </c>
      <c r="J732" s="717" t="str">
        <f>IF(A732="","",ROUNDDOWN('Rozpad zakázky'!L748,1))</f>
        <v/>
      </c>
      <c r="K732" s="745" t="str">
        <f>IF(A732="","",Tabulka_nakup_Vonka[[#This Row],[Počet MJHR v rozpadu]]*Tabulka_nakup_Vonka[[#This Row],[Jedn. hmotnost '[kg/MJHR']]])</f>
        <v/>
      </c>
    </row>
    <row r="733" spans="1:11" x14ac:dyDescent="0.35">
      <c r="A733" s="709" t="str">
        <f>IF('Rozpad zakázky'!E749=0,"",IF('Rozpad zakázky'!E749="-","",'Rozpad zakázky'!E749))</f>
        <v/>
      </c>
      <c r="B733" s="708" t="str">
        <f>IF(A733="","",IF(A733="","",VLOOKUP(A:A,Pomocna_Nakup[],3,0))&amp;" | "&amp;IF(A733="","",VLOOKUP(A:A,Pomocna_Nakup[],4,0)))</f>
        <v/>
      </c>
      <c r="C733" s="710" t="str">
        <f>IF(Tabulka_nakup_Vonka[[#This Row],[Zkratka kalkulační položky]]="","",Tabulka_nakup_Vonka[[#This Row],[Zkratka kalkulační položky]]&amp;" | "&amp;IF(A733="","",VLOOKUP(A:A,Pomocna_Nakup[],2,0)))</f>
        <v/>
      </c>
      <c r="D733" s="710" t="str">
        <f>IF(A733="","",'Rozpad zakázky'!F749)</f>
        <v/>
      </c>
      <c r="E733" s="710" t="str">
        <f>IF(A733="","",'Rozpad zakázky'!D749&amp;IF('Rozpad zakázky'!G749="",""," ("&amp;'Rozpad zakázky'!G749&amp;")"))</f>
        <v/>
      </c>
      <c r="F733" s="709" t="str">
        <f>IF(A733="","",'Rozpad zakázky'!IW749)</f>
        <v/>
      </c>
      <c r="G733" s="711" t="str">
        <f>IF(A733="","",'Rozpad zakázky'!AE749)</f>
        <v/>
      </c>
      <c r="H733" s="717" t="str">
        <f>IF(A733="","",'Rozpad zakázky'!AJ749)</f>
        <v/>
      </c>
      <c r="I733" s="748" t="str">
        <f>IF(A733="","",'Rozpad zakázky'!Q749)</f>
        <v/>
      </c>
      <c r="J733" s="717" t="str">
        <f>IF(A733="","",ROUNDDOWN('Rozpad zakázky'!L749,1))</f>
        <v/>
      </c>
      <c r="K733" s="745" t="str">
        <f>IF(A733="","",Tabulka_nakup_Vonka[[#This Row],[Počet MJHR v rozpadu]]*Tabulka_nakup_Vonka[[#This Row],[Jedn. hmotnost '[kg/MJHR']]])</f>
        <v/>
      </c>
    </row>
    <row r="734" spans="1:11" x14ac:dyDescent="0.35">
      <c r="A734" s="709" t="str">
        <f>IF('Rozpad zakázky'!E750=0,"",IF('Rozpad zakázky'!E750="-","",'Rozpad zakázky'!E750))</f>
        <v/>
      </c>
      <c r="B734" s="708" t="str">
        <f>IF(A734="","",IF(A734="","",VLOOKUP(A:A,Pomocna_Nakup[],3,0))&amp;" | "&amp;IF(A734="","",VLOOKUP(A:A,Pomocna_Nakup[],4,0)))</f>
        <v/>
      </c>
      <c r="C734" s="710" t="str">
        <f>IF(Tabulka_nakup_Vonka[[#This Row],[Zkratka kalkulační položky]]="","",Tabulka_nakup_Vonka[[#This Row],[Zkratka kalkulační položky]]&amp;" | "&amp;IF(A734="","",VLOOKUP(A:A,Pomocna_Nakup[],2,0)))</f>
        <v/>
      </c>
      <c r="D734" s="710" t="str">
        <f>IF(A734="","",'Rozpad zakázky'!F750)</f>
        <v/>
      </c>
      <c r="E734" s="710" t="str">
        <f>IF(A734="","",'Rozpad zakázky'!D750&amp;IF('Rozpad zakázky'!G750="",""," ("&amp;'Rozpad zakázky'!G750&amp;")"))</f>
        <v/>
      </c>
      <c r="F734" s="709" t="str">
        <f>IF(A734="","",'Rozpad zakázky'!IW750)</f>
        <v/>
      </c>
      <c r="G734" s="711" t="str">
        <f>IF(A734="","",'Rozpad zakázky'!AE750)</f>
        <v/>
      </c>
      <c r="H734" s="717" t="str">
        <f>IF(A734="","",'Rozpad zakázky'!AJ750)</f>
        <v/>
      </c>
      <c r="I734" s="748" t="str">
        <f>IF(A734="","",'Rozpad zakázky'!Q750)</f>
        <v/>
      </c>
      <c r="J734" s="717" t="str">
        <f>IF(A734="","",ROUNDDOWN('Rozpad zakázky'!L750,1))</f>
        <v/>
      </c>
      <c r="K734" s="745" t="str">
        <f>IF(A734="","",Tabulka_nakup_Vonka[[#This Row],[Počet MJHR v rozpadu]]*Tabulka_nakup_Vonka[[#This Row],[Jedn. hmotnost '[kg/MJHR']]])</f>
        <v/>
      </c>
    </row>
    <row r="735" spans="1:11" x14ac:dyDescent="0.35">
      <c r="A735" s="709" t="str">
        <f>IF('Rozpad zakázky'!E751=0,"",IF('Rozpad zakázky'!E751="-","",'Rozpad zakázky'!E751))</f>
        <v/>
      </c>
      <c r="B735" s="708" t="str">
        <f>IF(A735="","",IF(A735="","",VLOOKUP(A:A,Pomocna_Nakup[],3,0))&amp;" | "&amp;IF(A735="","",VLOOKUP(A:A,Pomocna_Nakup[],4,0)))</f>
        <v/>
      </c>
      <c r="C735" s="710" t="str">
        <f>IF(Tabulka_nakup_Vonka[[#This Row],[Zkratka kalkulační položky]]="","",Tabulka_nakup_Vonka[[#This Row],[Zkratka kalkulační položky]]&amp;" | "&amp;IF(A735="","",VLOOKUP(A:A,Pomocna_Nakup[],2,0)))</f>
        <v/>
      </c>
      <c r="D735" s="710" t="str">
        <f>IF(A735="","",'Rozpad zakázky'!F751)</f>
        <v/>
      </c>
      <c r="E735" s="710" t="str">
        <f>IF(A735="","",'Rozpad zakázky'!D751&amp;IF('Rozpad zakázky'!G751="",""," ("&amp;'Rozpad zakázky'!G751&amp;")"))</f>
        <v/>
      </c>
      <c r="F735" s="709" t="str">
        <f>IF(A735="","",'Rozpad zakázky'!IW751)</f>
        <v/>
      </c>
      <c r="G735" s="711" t="str">
        <f>IF(A735="","",'Rozpad zakázky'!AE751)</f>
        <v/>
      </c>
      <c r="H735" s="717" t="str">
        <f>IF(A735="","",'Rozpad zakázky'!AJ751)</f>
        <v/>
      </c>
      <c r="I735" s="748" t="str">
        <f>IF(A735="","",'Rozpad zakázky'!Q751)</f>
        <v/>
      </c>
      <c r="J735" s="717" t="str">
        <f>IF(A735="","",ROUNDDOWN('Rozpad zakázky'!L751,1))</f>
        <v/>
      </c>
      <c r="K735" s="745" t="str">
        <f>IF(A735="","",Tabulka_nakup_Vonka[[#This Row],[Počet MJHR v rozpadu]]*Tabulka_nakup_Vonka[[#This Row],[Jedn. hmotnost '[kg/MJHR']]])</f>
        <v/>
      </c>
    </row>
    <row r="736" spans="1:11" x14ac:dyDescent="0.35">
      <c r="A736" s="709" t="str">
        <f>IF('Rozpad zakázky'!E752=0,"",IF('Rozpad zakázky'!E752="-","",'Rozpad zakázky'!E752))</f>
        <v/>
      </c>
      <c r="B736" s="708" t="str">
        <f>IF(A736="","",IF(A736="","",VLOOKUP(A:A,Pomocna_Nakup[],3,0))&amp;" | "&amp;IF(A736="","",VLOOKUP(A:A,Pomocna_Nakup[],4,0)))</f>
        <v/>
      </c>
      <c r="C736" s="710" t="str">
        <f>IF(Tabulka_nakup_Vonka[[#This Row],[Zkratka kalkulační položky]]="","",Tabulka_nakup_Vonka[[#This Row],[Zkratka kalkulační položky]]&amp;" | "&amp;IF(A736="","",VLOOKUP(A:A,Pomocna_Nakup[],2,0)))</f>
        <v/>
      </c>
      <c r="D736" s="710" t="str">
        <f>IF(A736="","",'Rozpad zakázky'!F752)</f>
        <v/>
      </c>
      <c r="E736" s="710" t="str">
        <f>IF(A736="","",'Rozpad zakázky'!D752&amp;IF('Rozpad zakázky'!G752="",""," ("&amp;'Rozpad zakázky'!G752&amp;")"))</f>
        <v/>
      </c>
      <c r="F736" s="709" t="str">
        <f>IF(A736="","",'Rozpad zakázky'!IW752)</f>
        <v/>
      </c>
      <c r="G736" s="711" t="str">
        <f>IF(A736="","",'Rozpad zakázky'!AE752)</f>
        <v/>
      </c>
      <c r="H736" s="717" t="str">
        <f>IF(A736="","",'Rozpad zakázky'!AJ752)</f>
        <v/>
      </c>
      <c r="I736" s="748" t="str">
        <f>IF(A736="","",'Rozpad zakázky'!Q752)</f>
        <v/>
      </c>
      <c r="J736" s="717" t="str">
        <f>IF(A736="","",ROUNDDOWN('Rozpad zakázky'!L752,1))</f>
        <v/>
      </c>
      <c r="K736" s="745" t="str">
        <f>IF(A736="","",Tabulka_nakup_Vonka[[#This Row],[Počet MJHR v rozpadu]]*Tabulka_nakup_Vonka[[#This Row],[Jedn. hmotnost '[kg/MJHR']]])</f>
        <v/>
      </c>
    </row>
    <row r="737" spans="1:11" x14ac:dyDescent="0.35">
      <c r="A737" s="709" t="str">
        <f>IF('Rozpad zakázky'!E753=0,"",IF('Rozpad zakázky'!E753="-","",'Rozpad zakázky'!E753))</f>
        <v/>
      </c>
      <c r="B737" s="708" t="str">
        <f>IF(A737="","",IF(A737="","",VLOOKUP(A:A,Pomocna_Nakup[],3,0))&amp;" | "&amp;IF(A737="","",VLOOKUP(A:A,Pomocna_Nakup[],4,0)))</f>
        <v/>
      </c>
      <c r="C737" s="710" t="str">
        <f>IF(Tabulka_nakup_Vonka[[#This Row],[Zkratka kalkulační položky]]="","",Tabulka_nakup_Vonka[[#This Row],[Zkratka kalkulační položky]]&amp;" | "&amp;IF(A737="","",VLOOKUP(A:A,Pomocna_Nakup[],2,0)))</f>
        <v/>
      </c>
      <c r="D737" s="710" t="str">
        <f>IF(A737="","",'Rozpad zakázky'!F753)</f>
        <v/>
      </c>
      <c r="E737" s="710" t="str">
        <f>IF(A737="","",'Rozpad zakázky'!D753&amp;IF('Rozpad zakázky'!G753="",""," ("&amp;'Rozpad zakázky'!G753&amp;")"))</f>
        <v/>
      </c>
      <c r="F737" s="709" t="str">
        <f>IF(A737="","",'Rozpad zakázky'!IW753)</f>
        <v/>
      </c>
      <c r="G737" s="711" t="str">
        <f>IF(A737="","",'Rozpad zakázky'!AE753)</f>
        <v/>
      </c>
      <c r="H737" s="717" t="str">
        <f>IF(A737="","",'Rozpad zakázky'!AJ753)</f>
        <v/>
      </c>
      <c r="I737" s="748" t="str">
        <f>IF(A737="","",'Rozpad zakázky'!Q753)</f>
        <v/>
      </c>
      <c r="J737" s="717" t="str">
        <f>IF(A737="","",ROUNDDOWN('Rozpad zakázky'!L753,1))</f>
        <v/>
      </c>
      <c r="K737" s="745" t="str">
        <f>IF(A737="","",Tabulka_nakup_Vonka[[#This Row],[Počet MJHR v rozpadu]]*Tabulka_nakup_Vonka[[#This Row],[Jedn. hmotnost '[kg/MJHR']]])</f>
        <v/>
      </c>
    </row>
    <row r="738" spans="1:11" x14ac:dyDescent="0.35">
      <c r="A738" s="709" t="str">
        <f>IF('Rozpad zakázky'!E754=0,"",IF('Rozpad zakázky'!E754="-","",'Rozpad zakázky'!E754))</f>
        <v/>
      </c>
      <c r="B738" s="708" t="str">
        <f>IF(A738="","",IF(A738="","",VLOOKUP(A:A,Pomocna_Nakup[],3,0))&amp;" | "&amp;IF(A738="","",VLOOKUP(A:A,Pomocna_Nakup[],4,0)))</f>
        <v/>
      </c>
      <c r="C738" s="710" t="str">
        <f>IF(Tabulka_nakup_Vonka[[#This Row],[Zkratka kalkulační položky]]="","",Tabulka_nakup_Vonka[[#This Row],[Zkratka kalkulační položky]]&amp;" | "&amp;IF(A738="","",VLOOKUP(A:A,Pomocna_Nakup[],2,0)))</f>
        <v/>
      </c>
      <c r="D738" s="710" t="str">
        <f>IF(A738="","",'Rozpad zakázky'!F754)</f>
        <v/>
      </c>
      <c r="E738" s="710" t="str">
        <f>IF(A738="","",'Rozpad zakázky'!D754&amp;IF('Rozpad zakázky'!G754="",""," ("&amp;'Rozpad zakázky'!G754&amp;")"))</f>
        <v/>
      </c>
      <c r="F738" s="709" t="str">
        <f>IF(A738="","",'Rozpad zakázky'!IW754)</f>
        <v/>
      </c>
      <c r="G738" s="711" t="str">
        <f>IF(A738="","",'Rozpad zakázky'!AE754)</f>
        <v/>
      </c>
      <c r="H738" s="717" t="str">
        <f>IF(A738="","",'Rozpad zakázky'!AJ754)</f>
        <v/>
      </c>
      <c r="I738" s="748" t="str">
        <f>IF(A738="","",'Rozpad zakázky'!Q754)</f>
        <v/>
      </c>
      <c r="J738" s="717" t="str">
        <f>IF(A738="","",ROUNDDOWN('Rozpad zakázky'!L754,1))</f>
        <v/>
      </c>
      <c r="K738" s="745" t="str">
        <f>IF(A738="","",Tabulka_nakup_Vonka[[#This Row],[Počet MJHR v rozpadu]]*Tabulka_nakup_Vonka[[#This Row],[Jedn. hmotnost '[kg/MJHR']]])</f>
        <v/>
      </c>
    </row>
    <row r="739" spans="1:11" x14ac:dyDescent="0.35">
      <c r="A739" s="709" t="str">
        <f>IF('Rozpad zakázky'!E755=0,"",IF('Rozpad zakázky'!E755="-","",'Rozpad zakázky'!E755))</f>
        <v/>
      </c>
      <c r="B739" s="708" t="str">
        <f>IF(A739="","",IF(A739="","",VLOOKUP(A:A,Pomocna_Nakup[],3,0))&amp;" | "&amp;IF(A739="","",VLOOKUP(A:A,Pomocna_Nakup[],4,0)))</f>
        <v/>
      </c>
      <c r="C739" s="710" t="str">
        <f>IF(Tabulka_nakup_Vonka[[#This Row],[Zkratka kalkulační položky]]="","",Tabulka_nakup_Vonka[[#This Row],[Zkratka kalkulační položky]]&amp;" | "&amp;IF(A739="","",VLOOKUP(A:A,Pomocna_Nakup[],2,0)))</f>
        <v/>
      </c>
      <c r="D739" s="710" t="str">
        <f>IF(A739="","",'Rozpad zakázky'!F755)</f>
        <v/>
      </c>
      <c r="E739" s="710" t="str">
        <f>IF(A739="","",'Rozpad zakázky'!D755&amp;IF('Rozpad zakázky'!G755="",""," ("&amp;'Rozpad zakázky'!G755&amp;")"))</f>
        <v/>
      </c>
      <c r="F739" s="709" t="str">
        <f>IF(A739="","",'Rozpad zakázky'!IW755)</f>
        <v/>
      </c>
      <c r="G739" s="711" t="str">
        <f>IF(A739="","",'Rozpad zakázky'!AE755)</f>
        <v/>
      </c>
      <c r="H739" s="717" t="str">
        <f>IF(A739="","",'Rozpad zakázky'!AJ755)</f>
        <v/>
      </c>
      <c r="I739" s="748" t="str">
        <f>IF(A739="","",'Rozpad zakázky'!Q755)</f>
        <v/>
      </c>
      <c r="J739" s="717" t="str">
        <f>IF(A739="","",ROUNDDOWN('Rozpad zakázky'!L755,1))</f>
        <v/>
      </c>
      <c r="K739" s="745" t="str">
        <f>IF(A739="","",Tabulka_nakup_Vonka[[#This Row],[Počet MJHR v rozpadu]]*Tabulka_nakup_Vonka[[#This Row],[Jedn. hmotnost '[kg/MJHR']]])</f>
        <v/>
      </c>
    </row>
    <row r="740" spans="1:11" x14ac:dyDescent="0.35">
      <c r="A740" s="709" t="str">
        <f>IF('Rozpad zakázky'!E756=0,"",IF('Rozpad zakázky'!E756="-","",'Rozpad zakázky'!E756))</f>
        <v/>
      </c>
      <c r="B740" s="708" t="str">
        <f>IF(A740="","",IF(A740="","",VLOOKUP(A:A,Pomocna_Nakup[],3,0))&amp;" | "&amp;IF(A740="","",VLOOKUP(A:A,Pomocna_Nakup[],4,0)))</f>
        <v/>
      </c>
      <c r="C740" s="710" t="str">
        <f>IF(Tabulka_nakup_Vonka[[#This Row],[Zkratka kalkulační položky]]="","",Tabulka_nakup_Vonka[[#This Row],[Zkratka kalkulační položky]]&amp;" | "&amp;IF(A740="","",VLOOKUP(A:A,Pomocna_Nakup[],2,0)))</f>
        <v/>
      </c>
      <c r="D740" s="710" t="str">
        <f>IF(A740="","",'Rozpad zakázky'!F756)</f>
        <v/>
      </c>
      <c r="E740" s="710" t="str">
        <f>IF(A740="","",'Rozpad zakázky'!D756&amp;IF('Rozpad zakázky'!G756="",""," ("&amp;'Rozpad zakázky'!G756&amp;")"))</f>
        <v/>
      </c>
      <c r="F740" s="709" t="str">
        <f>IF(A740="","",'Rozpad zakázky'!IW756)</f>
        <v/>
      </c>
      <c r="G740" s="711" t="str">
        <f>IF(A740="","",'Rozpad zakázky'!AE756)</f>
        <v/>
      </c>
      <c r="H740" s="717" t="str">
        <f>IF(A740="","",'Rozpad zakázky'!AJ756)</f>
        <v/>
      </c>
      <c r="I740" s="748" t="str">
        <f>IF(A740="","",'Rozpad zakázky'!Q756)</f>
        <v/>
      </c>
      <c r="J740" s="717" t="str">
        <f>IF(A740="","",ROUNDDOWN('Rozpad zakázky'!L756,1))</f>
        <v/>
      </c>
      <c r="K740" s="745" t="str">
        <f>IF(A740="","",Tabulka_nakup_Vonka[[#This Row],[Počet MJHR v rozpadu]]*Tabulka_nakup_Vonka[[#This Row],[Jedn. hmotnost '[kg/MJHR']]])</f>
        <v/>
      </c>
    </row>
    <row r="741" spans="1:11" x14ac:dyDescent="0.35">
      <c r="A741" s="709" t="str">
        <f>IF('Rozpad zakázky'!E757=0,"",IF('Rozpad zakázky'!E757="-","",'Rozpad zakázky'!E757))</f>
        <v/>
      </c>
      <c r="B741" s="708" t="str">
        <f>IF(A741="","",IF(A741="","",VLOOKUP(A:A,Pomocna_Nakup[],3,0))&amp;" | "&amp;IF(A741="","",VLOOKUP(A:A,Pomocna_Nakup[],4,0)))</f>
        <v/>
      </c>
      <c r="C741" s="710" t="str">
        <f>IF(Tabulka_nakup_Vonka[[#This Row],[Zkratka kalkulační položky]]="","",Tabulka_nakup_Vonka[[#This Row],[Zkratka kalkulační položky]]&amp;" | "&amp;IF(A741="","",VLOOKUP(A:A,Pomocna_Nakup[],2,0)))</f>
        <v/>
      </c>
      <c r="D741" s="710" t="str">
        <f>IF(A741="","",'Rozpad zakázky'!F757)</f>
        <v/>
      </c>
      <c r="E741" s="710" t="str">
        <f>IF(A741="","",'Rozpad zakázky'!D757&amp;IF('Rozpad zakázky'!G757="",""," ("&amp;'Rozpad zakázky'!G757&amp;")"))</f>
        <v/>
      </c>
      <c r="F741" s="709" t="str">
        <f>IF(A741="","",'Rozpad zakázky'!IW757)</f>
        <v/>
      </c>
      <c r="G741" s="711" t="str">
        <f>IF(A741="","",'Rozpad zakázky'!AE757)</f>
        <v/>
      </c>
      <c r="H741" s="717" t="str">
        <f>IF(A741="","",'Rozpad zakázky'!AJ757)</f>
        <v/>
      </c>
      <c r="I741" s="748" t="str">
        <f>IF(A741="","",'Rozpad zakázky'!Q757)</f>
        <v/>
      </c>
      <c r="J741" s="717" t="str">
        <f>IF(A741="","",ROUNDDOWN('Rozpad zakázky'!L757,1))</f>
        <v/>
      </c>
      <c r="K741" s="745" t="str">
        <f>IF(A741="","",Tabulka_nakup_Vonka[[#This Row],[Počet MJHR v rozpadu]]*Tabulka_nakup_Vonka[[#This Row],[Jedn. hmotnost '[kg/MJHR']]])</f>
        <v/>
      </c>
    </row>
    <row r="742" spans="1:11" x14ac:dyDescent="0.35">
      <c r="A742" s="709" t="str">
        <f>IF('Rozpad zakázky'!E758=0,"",IF('Rozpad zakázky'!E758="-","",'Rozpad zakázky'!E758))</f>
        <v/>
      </c>
      <c r="B742" s="708" t="str">
        <f>IF(A742="","",IF(A742="","",VLOOKUP(A:A,Pomocna_Nakup[],3,0))&amp;" | "&amp;IF(A742="","",VLOOKUP(A:A,Pomocna_Nakup[],4,0)))</f>
        <v/>
      </c>
      <c r="C742" s="710" t="str">
        <f>IF(Tabulka_nakup_Vonka[[#This Row],[Zkratka kalkulační položky]]="","",Tabulka_nakup_Vonka[[#This Row],[Zkratka kalkulační položky]]&amp;" | "&amp;IF(A742="","",VLOOKUP(A:A,Pomocna_Nakup[],2,0)))</f>
        <v/>
      </c>
      <c r="D742" s="710" t="str">
        <f>IF(A742="","",'Rozpad zakázky'!F758)</f>
        <v/>
      </c>
      <c r="E742" s="710" t="str">
        <f>IF(A742="","",'Rozpad zakázky'!D758&amp;IF('Rozpad zakázky'!G758="",""," ("&amp;'Rozpad zakázky'!G758&amp;")"))</f>
        <v/>
      </c>
      <c r="F742" s="709" t="str">
        <f>IF(A742="","",'Rozpad zakázky'!IW758)</f>
        <v/>
      </c>
      <c r="G742" s="711" t="str">
        <f>IF(A742="","",'Rozpad zakázky'!AE758)</f>
        <v/>
      </c>
      <c r="H742" s="717" t="str">
        <f>IF(A742="","",'Rozpad zakázky'!AJ758)</f>
        <v/>
      </c>
      <c r="I742" s="748" t="str">
        <f>IF(A742="","",'Rozpad zakázky'!Q758)</f>
        <v/>
      </c>
      <c r="J742" s="717" t="str">
        <f>IF(A742="","",ROUNDDOWN('Rozpad zakázky'!L758,1))</f>
        <v/>
      </c>
      <c r="K742" s="745" t="str">
        <f>IF(A742="","",Tabulka_nakup_Vonka[[#This Row],[Počet MJHR v rozpadu]]*Tabulka_nakup_Vonka[[#This Row],[Jedn. hmotnost '[kg/MJHR']]])</f>
        <v/>
      </c>
    </row>
    <row r="743" spans="1:11" x14ac:dyDescent="0.35">
      <c r="A743" s="709" t="str">
        <f>IF('Rozpad zakázky'!E759=0,"",IF('Rozpad zakázky'!E759="-","",'Rozpad zakázky'!E759))</f>
        <v/>
      </c>
      <c r="B743" s="708" t="str">
        <f>IF(A743="","",IF(A743="","",VLOOKUP(A:A,Pomocna_Nakup[],3,0))&amp;" | "&amp;IF(A743="","",VLOOKUP(A:A,Pomocna_Nakup[],4,0)))</f>
        <v/>
      </c>
      <c r="C743" s="710" t="str">
        <f>IF(Tabulka_nakup_Vonka[[#This Row],[Zkratka kalkulační položky]]="","",Tabulka_nakup_Vonka[[#This Row],[Zkratka kalkulační položky]]&amp;" | "&amp;IF(A743="","",VLOOKUP(A:A,Pomocna_Nakup[],2,0)))</f>
        <v/>
      </c>
      <c r="D743" s="710" t="str">
        <f>IF(A743="","",'Rozpad zakázky'!F759)</f>
        <v/>
      </c>
      <c r="E743" s="710" t="str">
        <f>IF(A743="","",'Rozpad zakázky'!D759&amp;IF('Rozpad zakázky'!G759="",""," ("&amp;'Rozpad zakázky'!G759&amp;")"))</f>
        <v/>
      </c>
      <c r="F743" s="709" t="str">
        <f>IF(A743="","",'Rozpad zakázky'!IW759)</f>
        <v/>
      </c>
      <c r="G743" s="711" t="str">
        <f>IF(A743="","",'Rozpad zakázky'!AE759)</f>
        <v/>
      </c>
      <c r="H743" s="717" t="str">
        <f>IF(A743="","",'Rozpad zakázky'!AJ759)</f>
        <v/>
      </c>
      <c r="I743" s="748" t="str">
        <f>IF(A743="","",'Rozpad zakázky'!Q759)</f>
        <v/>
      </c>
      <c r="J743" s="717" t="str">
        <f>IF(A743="","",ROUNDDOWN('Rozpad zakázky'!L759,1))</f>
        <v/>
      </c>
      <c r="K743" s="745" t="str">
        <f>IF(A743="","",Tabulka_nakup_Vonka[[#This Row],[Počet MJHR v rozpadu]]*Tabulka_nakup_Vonka[[#This Row],[Jedn. hmotnost '[kg/MJHR']]])</f>
        <v/>
      </c>
    </row>
    <row r="744" spans="1:11" x14ac:dyDescent="0.35">
      <c r="A744" s="709" t="str">
        <f>IF('Rozpad zakázky'!E760=0,"",IF('Rozpad zakázky'!E760="-","",'Rozpad zakázky'!E760))</f>
        <v/>
      </c>
      <c r="B744" s="708" t="str">
        <f>IF(A744="","",IF(A744="","",VLOOKUP(A:A,Pomocna_Nakup[],3,0))&amp;" | "&amp;IF(A744="","",VLOOKUP(A:A,Pomocna_Nakup[],4,0)))</f>
        <v/>
      </c>
      <c r="C744" s="710" t="str">
        <f>IF(Tabulka_nakup_Vonka[[#This Row],[Zkratka kalkulační položky]]="","",Tabulka_nakup_Vonka[[#This Row],[Zkratka kalkulační položky]]&amp;" | "&amp;IF(A744="","",VLOOKUP(A:A,Pomocna_Nakup[],2,0)))</f>
        <v/>
      </c>
      <c r="D744" s="710" t="str">
        <f>IF(A744="","",'Rozpad zakázky'!F760)</f>
        <v/>
      </c>
      <c r="E744" s="710" t="str">
        <f>IF(A744="","",'Rozpad zakázky'!D760&amp;IF('Rozpad zakázky'!G760="",""," ("&amp;'Rozpad zakázky'!G760&amp;")"))</f>
        <v/>
      </c>
      <c r="F744" s="709" t="str">
        <f>IF(A744="","",'Rozpad zakázky'!IW760)</f>
        <v/>
      </c>
      <c r="G744" s="711" t="str">
        <f>IF(A744="","",'Rozpad zakázky'!AE760)</f>
        <v/>
      </c>
      <c r="H744" s="717" t="str">
        <f>IF(A744="","",'Rozpad zakázky'!AJ760)</f>
        <v/>
      </c>
      <c r="I744" s="748" t="str">
        <f>IF(A744="","",'Rozpad zakázky'!Q760)</f>
        <v/>
      </c>
      <c r="J744" s="717" t="str">
        <f>IF(A744="","",ROUNDDOWN('Rozpad zakázky'!L760,1))</f>
        <v/>
      </c>
      <c r="K744" s="745" t="str">
        <f>IF(A744="","",Tabulka_nakup_Vonka[[#This Row],[Počet MJHR v rozpadu]]*Tabulka_nakup_Vonka[[#This Row],[Jedn. hmotnost '[kg/MJHR']]])</f>
        <v/>
      </c>
    </row>
    <row r="745" spans="1:11" x14ac:dyDescent="0.35">
      <c r="A745" s="709" t="str">
        <f>IF('Rozpad zakázky'!E761=0,"",IF('Rozpad zakázky'!E761="-","",'Rozpad zakázky'!E761))</f>
        <v/>
      </c>
      <c r="B745" s="708" t="str">
        <f>IF(A745="","",IF(A745="","",VLOOKUP(A:A,Pomocna_Nakup[],3,0))&amp;" | "&amp;IF(A745="","",VLOOKUP(A:A,Pomocna_Nakup[],4,0)))</f>
        <v/>
      </c>
      <c r="C745" s="710" t="str">
        <f>IF(Tabulka_nakup_Vonka[[#This Row],[Zkratka kalkulační položky]]="","",Tabulka_nakup_Vonka[[#This Row],[Zkratka kalkulační položky]]&amp;" | "&amp;IF(A745="","",VLOOKUP(A:A,Pomocna_Nakup[],2,0)))</f>
        <v/>
      </c>
      <c r="D745" s="710" t="str">
        <f>IF(A745="","",'Rozpad zakázky'!F761)</f>
        <v/>
      </c>
      <c r="E745" s="710" t="str">
        <f>IF(A745="","",'Rozpad zakázky'!D761&amp;IF('Rozpad zakázky'!G761="",""," ("&amp;'Rozpad zakázky'!G761&amp;")"))</f>
        <v/>
      </c>
      <c r="F745" s="709" t="str">
        <f>IF(A745="","",'Rozpad zakázky'!IW761)</f>
        <v/>
      </c>
      <c r="G745" s="711" t="str">
        <f>IF(A745="","",'Rozpad zakázky'!AE761)</f>
        <v/>
      </c>
      <c r="H745" s="717" t="str">
        <f>IF(A745="","",'Rozpad zakázky'!AJ761)</f>
        <v/>
      </c>
      <c r="I745" s="748" t="str">
        <f>IF(A745="","",'Rozpad zakázky'!Q761)</f>
        <v/>
      </c>
      <c r="J745" s="717" t="str">
        <f>IF(A745="","",ROUNDDOWN('Rozpad zakázky'!L761,1))</f>
        <v/>
      </c>
      <c r="K745" s="745" t="str">
        <f>IF(A745="","",Tabulka_nakup_Vonka[[#This Row],[Počet MJHR v rozpadu]]*Tabulka_nakup_Vonka[[#This Row],[Jedn. hmotnost '[kg/MJHR']]])</f>
        <v/>
      </c>
    </row>
    <row r="746" spans="1:11" x14ac:dyDescent="0.35">
      <c r="A746" s="709" t="str">
        <f>IF('Rozpad zakázky'!E762=0,"",IF('Rozpad zakázky'!E762="-","",'Rozpad zakázky'!E762))</f>
        <v/>
      </c>
      <c r="B746" s="708" t="str">
        <f>IF(A746="","",IF(A746="","",VLOOKUP(A:A,Pomocna_Nakup[],3,0))&amp;" | "&amp;IF(A746="","",VLOOKUP(A:A,Pomocna_Nakup[],4,0)))</f>
        <v/>
      </c>
      <c r="C746" s="710" t="str">
        <f>IF(Tabulka_nakup_Vonka[[#This Row],[Zkratka kalkulační položky]]="","",Tabulka_nakup_Vonka[[#This Row],[Zkratka kalkulační položky]]&amp;" | "&amp;IF(A746="","",VLOOKUP(A:A,Pomocna_Nakup[],2,0)))</f>
        <v/>
      </c>
      <c r="D746" s="710" t="str">
        <f>IF(A746="","",'Rozpad zakázky'!F762)</f>
        <v/>
      </c>
      <c r="E746" s="710" t="str">
        <f>IF(A746="","",'Rozpad zakázky'!D762&amp;IF('Rozpad zakázky'!G762="",""," ("&amp;'Rozpad zakázky'!G762&amp;")"))</f>
        <v/>
      </c>
      <c r="F746" s="709" t="str">
        <f>IF(A746="","",'Rozpad zakázky'!IW762)</f>
        <v/>
      </c>
      <c r="G746" s="711" t="str">
        <f>IF(A746="","",'Rozpad zakázky'!AE762)</f>
        <v/>
      </c>
      <c r="H746" s="717" t="str">
        <f>IF(A746="","",'Rozpad zakázky'!AJ762)</f>
        <v/>
      </c>
      <c r="I746" s="748" t="str">
        <f>IF(A746="","",'Rozpad zakázky'!Q762)</f>
        <v/>
      </c>
      <c r="J746" s="717" t="str">
        <f>IF(A746="","",ROUNDDOWN('Rozpad zakázky'!L762,1))</f>
        <v/>
      </c>
      <c r="K746" s="745" t="str">
        <f>IF(A746="","",Tabulka_nakup_Vonka[[#This Row],[Počet MJHR v rozpadu]]*Tabulka_nakup_Vonka[[#This Row],[Jedn. hmotnost '[kg/MJHR']]])</f>
        <v/>
      </c>
    </row>
    <row r="747" spans="1:11" x14ac:dyDescent="0.35">
      <c r="A747" s="709" t="str">
        <f>IF('Rozpad zakázky'!E763=0,"",IF('Rozpad zakázky'!E763="-","",'Rozpad zakázky'!E763))</f>
        <v/>
      </c>
      <c r="B747" s="708" t="str">
        <f>IF(A747="","",IF(A747="","",VLOOKUP(A:A,Pomocna_Nakup[],3,0))&amp;" | "&amp;IF(A747="","",VLOOKUP(A:A,Pomocna_Nakup[],4,0)))</f>
        <v/>
      </c>
      <c r="C747" s="710" t="str">
        <f>IF(Tabulka_nakup_Vonka[[#This Row],[Zkratka kalkulační položky]]="","",Tabulka_nakup_Vonka[[#This Row],[Zkratka kalkulační položky]]&amp;" | "&amp;IF(A747="","",VLOOKUP(A:A,Pomocna_Nakup[],2,0)))</f>
        <v/>
      </c>
      <c r="D747" s="710" t="str">
        <f>IF(A747="","",'Rozpad zakázky'!F763)</f>
        <v/>
      </c>
      <c r="E747" s="710" t="str">
        <f>IF(A747="","",'Rozpad zakázky'!D763&amp;IF('Rozpad zakázky'!G763="",""," ("&amp;'Rozpad zakázky'!G763&amp;")"))</f>
        <v/>
      </c>
      <c r="F747" s="709" t="str">
        <f>IF(A747="","",'Rozpad zakázky'!IW763)</f>
        <v/>
      </c>
      <c r="G747" s="711" t="str">
        <f>IF(A747="","",'Rozpad zakázky'!AE763)</f>
        <v/>
      </c>
      <c r="H747" s="717" t="str">
        <f>IF(A747="","",'Rozpad zakázky'!AJ763)</f>
        <v/>
      </c>
      <c r="I747" s="748" t="str">
        <f>IF(A747="","",'Rozpad zakázky'!Q763)</f>
        <v/>
      </c>
      <c r="J747" s="717" t="str">
        <f>IF(A747="","",ROUNDDOWN('Rozpad zakázky'!L763,1))</f>
        <v/>
      </c>
      <c r="K747" s="745" t="str">
        <f>IF(A747="","",Tabulka_nakup_Vonka[[#This Row],[Počet MJHR v rozpadu]]*Tabulka_nakup_Vonka[[#This Row],[Jedn. hmotnost '[kg/MJHR']]])</f>
        <v/>
      </c>
    </row>
    <row r="748" spans="1:11" x14ac:dyDescent="0.35">
      <c r="A748" s="709" t="str">
        <f>IF('Rozpad zakázky'!E764=0,"",IF('Rozpad zakázky'!E764="-","",'Rozpad zakázky'!E764))</f>
        <v/>
      </c>
      <c r="B748" s="708" t="str">
        <f>IF(A748="","",IF(A748="","",VLOOKUP(A:A,Pomocna_Nakup[],3,0))&amp;" | "&amp;IF(A748="","",VLOOKUP(A:A,Pomocna_Nakup[],4,0)))</f>
        <v/>
      </c>
      <c r="C748" s="710" t="str">
        <f>IF(Tabulka_nakup_Vonka[[#This Row],[Zkratka kalkulační položky]]="","",Tabulka_nakup_Vonka[[#This Row],[Zkratka kalkulační položky]]&amp;" | "&amp;IF(A748="","",VLOOKUP(A:A,Pomocna_Nakup[],2,0)))</f>
        <v/>
      </c>
      <c r="D748" s="710" t="str">
        <f>IF(A748="","",'Rozpad zakázky'!F764)</f>
        <v/>
      </c>
      <c r="E748" s="710" t="str">
        <f>IF(A748="","",'Rozpad zakázky'!D764&amp;IF('Rozpad zakázky'!G764="",""," ("&amp;'Rozpad zakázky'!G764&amp;")"))</f>
        <v/>
      </c>
      <c r="F748" s="709" t="str">
        <f>IF(A748="","",'Rozpad zakázky'!IW764)</f>
        <v/>
      </c>
      <c r="G748" s="711" t="str">
        <f>IF(A748="","",'Rozpad zakázky'!AE764)</f>
        <v/>
      </c>
      <c r="H748" s="717" t="str">
        <f>IF(A748="","",'Rozpad zakázky'!AJ764)</f>
        <v/>
      </c>
      <c r="I748" s="748" t="str">
        <f>IF(A748="","",'Rozpad zakázky'!Q764)</f>
        <v/>
      </c>
      <c r="J748" s="717" t="str">
        <f>IF(A748="","",ROUNDDOWN('Rozpad zakázky'!L764,1))</f>
        <v/>
      </c>
      <c r="K748" s="745" t="str">
        <f>IF(A748="","",Tabulka_nakup_Vonka[[#This Row],[Počet MJHR v rozpadu]]*Tabulka_nakup_Vonka[[#This Row],[Jedn. hmotnost '[kg/MJHR']]])</f>
        <v/>
      </c>
    </row>
    <row r="749" spans="1:11" x14ac:dyDescent="0.35">
      <c r="A749" s="709" t="str">
        <f>IF('Rozpad zakázky'!E765=0,"",IF('Rozpad zakázky'!E765="-","",'Rozpad zakázky'!E765))</f>
        <v/>
      </c>
      <c r="B749" s="708" t="str">
        <f>IF(A749="","",IF(A749="","",VLOOKUP(A:A,Pomocna_Nakup[],3,0))&amp;" | "&amp;IF(A749="","",VLOOKUP(A:A,Pomocna_Nakup[],4,0)))</f>
        <v/>
      </c>
      <c r="C749" s="710" t="str">
        <f>IF(Tabulka_nakup_Vonka[[#This Row],[Zkratka kalkulační položky]]="","",Tabulka_nakup_Vonka[[#This Row],[Zkratka kalkulační položky]]&amp;" | "&amp;IF(A749="","",VLOOKUP(A:A,Pomocna_Nakup[],2,0)))</f>
        <v/>
      </c>
      <c r="D749" s="710" t="str">
        <f>IF(A749="","",'Rozpad zakázky'!F765)</f>
        <v/>
      </c>
      <c r="E749" s="710" t="str">
        <f>IF(A749="","",'Rozpad zakázky'!D765&amp;IF('Rozpad zakázky'!G765="",""," ("&amp;'Rozpad zakázky'!G765&amp;")"))</f>
        <v/>
      </c>
      <c r="F749" s="709" t="str">
        <f>IF(A749="","",'Rozpad zakázky'!IW765)</f>
        <v/>
      </c>
      <c r="G749" s="711" t="str">
        <f>IF(A749="","",'Rozpad zakázky'!AE765)</f>
        <v/>
      </c>
      <c r="H749" s="717" t="str">
        <f>IF(A749="","",'Rozpad zakázky'!AJ765)</f>
        <v/>
      </c>
      <c r="I749" s="748" t="str">
        <f>IF(A749="","",'Rozpad zakázky'!Q765)</f>
        <v/>
      </c>
      <c r="J749" s="717" t="str">
        <f>IF(A749="","",ROUNDDOWN('Rozpad zakázky'!L765,1))</f>
        <v/>
      </c>
      <c r="K749" s="745" t="str">
        <f>IF(A749="","",Tabulka_nakup_Vonka[[#This Row],[Počet MJHR v rozpadu]]*Tabulka_nakup_Vonka[[#This Row],[Jedn. hmotnost '[kg/MJHR']]])</f>
        <v/>
      </c>
    </row>
    <row r="750" spans="1:11" x14ac:dyDescent="0.35">
      <c r="A750" s="709" t="str">
        <f>IF('Rozpad zakázky'!E766=0,"",IF('Rozpad zakázky'!E766="-","",'Rozpad zakázky'!E766))</f>
        <v/>
      </c>
      <c r="B750" s="708" t="str">
        <f>IF(A750="","",IF(A750="","",VLOOKUP(A:A,Pomocna_Nakup[],3,0))&amp;" | "&amp;IF(A750="","",VLOOKUP(A:A,Pomocna_Nakup[],4,0)))</f>
        <v/>
      </c>
      <c r="C750" s="710" t="str">
        <f>IF(Tabulka_nakup_Vonka[[#This Row],[Zkratka kalkulační položky]]="","",Tabulka_nakup_Vonka[[#This Row],[Zkratka kalkulační položky]]&amp;" | "&amp;IF(A750="","",VLOOKUP(A:A,Pomocna_Nakup[],2,0)))</f>
        <v/>
      </c>
      <c r="D750" s="710" t="str">
        <f>IF(A750="","",'Rozpad zakázky'!F766)</f>
        <v/>
      </c>
      <c r="E750" s="710" t="str">
        <f>IF(A750="","",'Rozpad zakázky'!D766&amp;IF('Rozpad zakázky'!G766="",""," ("&amp;'Rozpad zakázky'!G766&amp;")"))</f>
        <v/>
      </c>
      <c r="F750" s="709" t="str">
        <f>IF(A750="","",'Rozpad zakázky'!IW766)</f>
        <v/>
      </c>
      <c r="G750" s="711" t="str">
        <f>IF(A750="","",'Rozpad zakázky'!AE766)</f>
        <v/>
      </c>
      <c r="H750" s="717" t="str">
        <f>IF(A750="","",'Rozpad zakázky'!AJ766)</f>
        <v/>
      </c>
      <c r="I750" s="748" t="str">
        <f>IF(A750="","",'Rozpad zakázky'!Q766)</f>
        <v/>
      </c>
      <c r="J750" s="717" t="str">
        <f>IF(A750="","",ROUNDDOWN('Rozpad zakázky'!L766,1))</f>
        <v/>
      </c>
      <c r="K750" s="745" t="str">
        <f>IF(A750="","",Tabulka_nakup_Vonka[[#This Row],[Počet MJHR v rozpadu]]*Tabulka_nakup_Vonka[[#This Row],[Jedn. hmotnost '[kg/MJHR']]])</f>
        <v/>
      </c>
    </row>
    <row r="751" spans="1:11" x14ac:dyDescent="0.35">
      <c r="A751" s="709" t="str">
        <f>IF('Rozpad zakázky'!E767=0,"",IF('Rozpad zakázky'!E767="-","",'Rozpad zakázky'!E767))</f>
        <v/>
      </c>
      <c r="B751" s="708" t="str">
        <f>IF(A751="","",IF(A751="","",VLOOKUP(A:A,Pomocna_Nakup[],3,0))&amp;" | "&amp;IF(A751="","",VLOOKUP(A:A,Pomocna_Nakup[],4,0)))</f>
        <v/>
      </c>
      <c r="C751" s="710" t="str">
        <f>IF(Tabulka_nakup_Vonka[[#This Row],[Zkratka kalkulační položky]]="","",Tabulka_nakup_Vonka[[#This Row],[Zkratka kalkulační položky]]&amp;" | "&amp;IF(A751="","",VLOOKUP(A:A,Pomocna_Nakup[],2,0)))</f>
        <v/>
      </c>
      <c r="D751" s="710" t="str">
        <f>IF(A751="","",'Rozpad zakázky'!F767)</f>
        <v/>
      </c>
      <c r="E751" s="710" t="str">
        <f>IF(A751="","",'Rozpad zakázky'!D767&amp;IF('Rozpad zakázky'!G767="",""," ("&amp;'Rozpad zakázky'!G767&amp;")"))</f>
        <v/>
      </c>
      <c r="F751" s="709" t="str">
        <f>IF(A751="","",'Rozpad zakázky'!IW767)</f>
        <v/>
      </c>
      <c r="G751" s="711" t="str">
        <f>IF(A751="","",'Rozpad zakázky'!AE767)</f>
        <v/>
      </c>
      <c r="H751" s="717" t="str">
        <f>IF(A751="","",'Rozpad zakázky'!AJ767)</f>
        <v/>
      </c>
      <c r="I751" s="748" t="str">
        <f>IF(A751="","",'Rozpad zakázky'!Q767)</f>
        <v/>
      </c>
      <c r="J751" s="717" t="str">
        <f>IF(A751="","",ROUNDDOWN('Rozpad zakázky'!L767,1))</f>
        <v/>
      </c>
      <c r="K751" s="745" t="str">
        <f>IF(A751="","",Tabulka_nakup_Vonka[[#This Row],[Počet MJHR v rozpadu]]*Tabulka_nakup_Vonka[[#This Row],[Jedn. hmotnost '[kg/MJHR']]])</f>
        <v/>
      </c>
    </row>
    <row r="752" spans="1:11" x14ac:dyDescent="0.35">
      <c r="A752" s="709" t="str">
        <f>IF('Rozpad zakázky'!E768=0,"",IF('Rozpad zakázky'!E768="-","",'Rozpad zakázky'!E768))</f>
        <v/>
      </c>
      <c r="B752" s="708" t="str">
        <f>IF(A752="","",IF(A752="","",VLOOKUP(A:A,Pomocna_Nakup[],3,0))&amp;" | "&amp;IF(A752="","",VLOOKUP(A:A,Pomocna_Nakup[],4,0)))</f>
        <v/>
      </c>
      <c r="C752" s="710" t="str">
        <f>IF(Tabulka_nakup_Vonka[[#This Row],[Zkratka kalkulační položky]]="","",Tabulka_nakup_Vonka[[#This Row],[Zkratka kalkulační položky]]&amp;" | "&amp;IF(A752="","",VLOOKUP(A:A,Pomocna_Nakup[],2,0)))</f>
        <v/>
      </c>
      <c r="D752" s="710" t="str">
        <f>IF(A752="","",'Rozpad zakázky'!F768)</f>
        <v/>
      </c>
      <c r="E752" s="710" t="str">
        <f>IF(A752="","",'Rozpad zakázky'!D768&amp;IF('Rozpad zakázky'!G768="",""," ("&amp;'Rozpad zakázky'!G768&amp;")"))</f>
        <v/>
      </c>
      <c r="F752" s="709" t="str">
        <f>IF(A752="","",'Rozpad zakázky'!IW768)</f>
        <v/>
      </c>
      <c r="G752" s="711" t="str">
        <f>IF(A752="","",'Rozpad zakázky'!AE768)</f>
        <v/>
      </c>
      <c r="H752" s="717" t="str">
        <f>IF(A752="","",'Rozpad zakázky'!AJ768)</f>
        <v/>
      </c>
      <c r="I752" s="748" t="str">
        <f>IF(A752="","",'Rozpad zakázky'!Q768)</f>
        <v/>
      </c>
      <c r="J752" s="717" t="str">
        <f>IF(A752="","",ROUNDDOWN('Rozpad zakázky'!L768,1))</f>
        <v/>
      </c>
      <c r="K752" s="745" t="str">
        <f>IF(A752="","",Tabulka_nakup_Vonka[[#This Row],[Počet MJHR v rozpadu]]*Tabulka_nakup_Vonka[[#This Row],[Jedn. hmotnost '[kg/MJHR']]])</f>
        <v/>
      </c>
    </row>
    <row r="753" spans="1:11" x14ac:dyDescent="0.35">
      <c r="A753" s="709" t="str">
        <f>IF('Rozpad zakázky'!E769=0,"",IF('Rozpad zakázky'!E769="-","",'Rozpad zakázky'!E769))</f>
        <v/>
      </c>
      <c r="B753" s="708" t="str">
        <f>IF(A753="","",IF(A753="","",VLOOKUP(A:A,Pomocna_Nakup[],3,0))&amp;" | "&amp;IF(A753="","",VLOOKUP(A:A,Pomocna_Nakup[],4,0)))</f>
        <v/>
      </c>
      <c r="C753" s="710" t="str">
        <f>IF(Tabulka_nakup_Vonka[[#This Row],[Zkratka kalkulační položky]]="","",Tabulka_nakup_Vonka[[#This Row],[Zkratka kalkulační položky]]&amp;" | "&amp;IF(A753="","",VLOOKUP(A:A,Pomocna_Nakup[],2,0)))</f>
        <v/>
      </c>
      <c r="D753" s="710" t="str">
        <f>IF(A753="","",'Rozpad zakázky'!F769)</f>
        <v/>
      </c>
      <c r="E753" s="710" t="str">
        <f>IF(A753="","",'Rozpad zakázky'!D769&amp;IF('Rozpad zakázky'!G769="",""," ("&amp;'Rozpad zakázky'!G769&amp;")"))</f>
        <v/>
      </c>
      <c r="F753" s="709" t="str">
        <f>IF(A753="","",'Rozpad zakázky'!IW769)</f>
        <v/>
      </c>
      <c r="G753" s="711" t="str">
        <f>IF(A753="","",'Rozpad zakázky'!AE769)</f>
        <v/>
      </c>
      <c r="H753" s="717" t="str">
        <f>IF(A753="","",'Rozpad zakázky'!AJ769)</f>
        <v/>
      </c>
      <c r="I753" s="748" t="str">
        <f>IF(A753="","",'Rozpad zakázky'!Q769)</f>
        <v/>
      </c>
      <c r="J753" s="717" t="str">
        <f>IF(A753="","",ROUNDDOWN('Rozpad zakázky'!L769,1))</f>
        <v/>
      </c>
      <c r="K753" s="745" t="str">
        <f>IF(A753="","",Tabulka_nakup_Vonka[[#This Row],[Počet MJHR v rozpadu]]*Tabulka_nakup_Vonka[[#This Row],[Jedn. hmotnost '[kg/MJHR']]])</f>
        <v/>
      </c>
    </row>
    <row r="754" spans="1:11" x14ac:dyDescent="0.35">
      <c r="A754" s="709" t="str">
        <f>IF('Rozpad zakázky'!E770=0,"",IF('Rozpad zakázky'!E770="-","",'Rozpad zakázky'!E770))</f>
        <v/>
      </c>
      <c r="B754" s="708" t="str">
        <f>IF(A754="","",IF(A754="","",VLOOKUP(A:A,Pomocna_Nakup[],3,0))&amp;" | "&amp;IF(A754="","",VLOOKUP(A:A,Pomocna_Nakup[],4,0)))</f>
        <v/>
      </c>
      <c r="C754" s="710" t="str">
        <f>IF(Tabulka_nakup_Vonka[[#This Row],[Zkratka kalkulační položky]]="","",Tabulka_nakup_Vonka[[#This Row],[Zkratka kalkulační položky]]&amp;" | "&amp;IF(A754="","",VLOOKUP(A:A,Pomocna_Nakup[],2,0)))</f>
        <v/>
      </c>
      <c r="D754" s="710" t="str">
        <f>IF(A754="","",'Rozpad zakázky'!F770)</f>
        <v/>
      </c>
      <c r="E754" s="710" t="str">
        <f>IF(A754="","",'Rozpad zakázky'!D770&amp;IF('Rozpad zakázky'!G770="",""," ("&amp;'Rozpad zakázky'!G770&amp;")"))</f>
        <v/>
      </c>
      <c r="F754" s="709" t="str">
        <f>IF(A754="","",'Rozpad zakázky'!IW770)</f>
        <v/>
      </c>
      <c r="G754" s="711" t="str">
        <f>IF(A754="","",'Rozpad zakázky'!AE770)</f>
        <v/>
      </c>
      <c r="H754" s="717" t="str">
        <f>IF(A754="","",'Rozpad zakázky'!AJ770)</f>
        <v/>
      </c>
      <c r="I754" s="748" t="str">
        <f>IF(A754="","",'Rozpad zakázky'!Q770)</f>
        <v/>
      </c>
      <c r="J754" s="717" t="str">
        <f>IF(A754="","",ROUNDDOWN('Rozpad zakázky'!L770,1))</f>
        <v/>
      </c>
      <c r="K754" s="745" t="str">
        <f>IF(A754="","",Tabulka_nakup_Vonka[[#This Row],[Počet MJHR v rozpadu]]*Tabulka_nakup_Vonka[[#This Row],[Jedn. hmotnost '[kg/MJHR']]])</f>
        <v/>
      </c>
    </row>
    <row r="755" spans="1:11" x14ac:dyDescent="0.35">
      <c r="A755" s="709" t="str">
        <f>IF('Rozpad zakázky'!E771=0,"",IF('Rozpad zakázky'!E771="-","",'Rozpad zakázky'!E771))</f>
        <v/>
      </c>
      <c r="B755" s="708" t="str">
        <f>IF(A755="","",IF(A755="","",VLOOKUP(A:A,Pomocna_Nakup[],3,0))&amp;" | "&amp;IF(A755="","",VLOOKUP(A:A,Pomocna_Nakup[],4,0)))</f>
        <v/>
      </c>
      <c r="C755" s="710" t="str">
        <f>IF(Tabulka_nakup_Vonka[[#This Row],[Zkratka kalkulační položky]]="","",Tabulka_nakup_Vonka[[#This Row],[Zkratka kalkulační položky]]&amp;" | "&amp;IF(A755="","",VLOOKUP(A:A,Pomocna_Nakup[],2,0)))</f>
        <v/>
      </c>
      <c r="D755" s="710" t="str">
        <f>IF(A755="","",'Rozpad zakázky'!F771)</f>
        <v/>
      </c>
      <c r="E755" s="710" t="str">
        <f>IF(A755="","",'Rozpad zakázky'!D771&amp;IF('Rozpad zakázky'!G771="",""," ("&amp;'Rozpad zakázky'!G771&amp;")"))</f>
        <v/>
      </c>
      <c r="F755" s="709" t="str">
        <f>IF(A755="","",'Rozpad zakázky'!IW771)</f>
        <v/>
      </c>
      <c r="G755" s="711" t="str">
        <f>IF(A755="","",'Rozpad zakázky'!AE771)</f>
        <v/>
      </c>
      <c r="H755" s="717" t="str">
        <f>IF(A755="","",'Rozpad zakázky'!AJ771)</f>
        <v/>
      </c>
      <c r="I755" s="748" t="str">
        <f>IF(A755="","",'Rozpad zakázky'!Q771)</f>
        <v/>
      </c>
      <c r="J755" s="717" t="str">
        <f>IF(A755="","",ROUNDDOWN('Rozpad zakázky'!L771,1))</f>
        <v/>
      </c>
      <c r="K755" s="745" t="str">
        <f>IF(A755="","",Tabulka_nakup_Vonka[[#This Row],[Počet MJHR v rozpadu]]*Tabulka_nakup_Vonka[[#This Row],[Jedn. hmotnost '[kg/MJHR']]])</f>
        <v/>
      </c>
    </row>
    <row r="756" spans="1:11" x14ac:dyDescent="0.35">
      <c r="A756" s="709" t="str">
        <f>IF('Rozpad zakázky'!E772=0,"",IF('Rozpad zakázky'!E772="-","",'Rozpad zakázky'!E772))</f>
        <v/>
      </c>
      <c r="B756" s="708" t="str">
        <f>IF(A756="","",IF(A756="","",VLOOKUP(A:A,Pomocna_Nakup[],3,0))&amp;" | "&amp;IF(A756="","",VLOOKUP(A:A,Pomocna_Nakup[],4,0)))</f>
        <v/>
      </c>
      <c r="C756" s="710" t="str">
        <f>IF(Tabulka_nakup_Vonka[[#This Row],[Zkratka kalkulační položky]]="","",Tabulka_nakup_Vonka[[#This Row],[Zkratka kalkulační položky]]&amp;" | "&amp;IF(A756="","",VLOOKUP(A:A,Pomocna_Nakup[],2,0)))</f>
        <v/>
      </c>
      <c r="D756" s="710" t="str">
        <f>IF(A756="","",'Rozpad zakázky'!F772)</f>
        <v/>
      </c>
      <c r="E756" s="710" t="str">
        <f>IF(A756="","",'Rozpad zakázky'!D772&amp;IF('Rozpad zakázky'!G772="",""," ("&amp;'Rozpad zakázky'!G772&amp;")"))</f>
        <v/>
      </c>
      <c r="F756" s="709" t="str">
        <f>IF(A756="","",'Rozpad zakázky'!IW772)</f>
        <v/>
      </c>
      <c r="G756" s="711" t="str">
        <f>IF(A756="","",'Rozpad zakázky'!AE772)</f>
        <v/>
      </c>
      <c r="H756" s="717" t="str">
        <f>IF(A756="","",'Rozpad zakázky'!AJ772)</f>
        <v/>
      </c>
      <c r="I756" s="748" t="str">
        <f>IF(A756="","",'Rozpad zakázky'!Q772)</f>
        <v/>
      </c>
      <c r="J756" s="717" t="str">
        <f>IF(A756="","",ROUNDDOWN('Rozpad zakázky'!L772,1))</f>
        <v/>
      </c>
      <c r="K756" s="745" t="str">
        <f>IF(A756="","",Tabulka_nakup_Vonka[[#This Row],[Počet MJHR v rozpadu]]*Tabulka_nakup_Vonka[[#This Row],[Jedn. hmotnost '[kg/MJHR']]])</f>
        <v/>
      </c>
    </row>
    <row r="757" spans="1:11" x14ac:dyDescent="0.35">
      <c r="A757" s="709" t="str">
        <f>IF('Rozpad zakázky'!E773=0,"",IF('Rozpad zakázky'!E773="-","",'Rozpad zakázky'!E773))</f>
        <v/>
      </c>
      <c r="B757" s="708" t="str">
        <f>IF(A757="","",IF(A757="","",VLOOKUP(A:A,Pomocna_Nakup[],3,0))&amp;" | "&amp;IF(A757="","",VLOOKUP(A:A,Pomocna_Nakup[],4,0)))</f>
        <v/>
      </c>
      <c r="C757" s="710" t="str">
        <f>IF(Tabulka_nakup_Vonka[[#This Row],[Zkratka kalkulační položky]]="","",Tabulka_nakup_Vonka[[#This Row],[Zkratka kalkulační položky]]&amp;" | "&amp;IF(A757="","",VLOOKUP(A:A,Pomocna_Nakup[],2,0)))</f>
        <v/>
      </c>
      <c r="D757" s="710" t="str">
        <f>IF(A757="","",'Rozpad zakázky'!F773)</f>
        <v/>
      </c>
      <c r="E757" s="710" t="str">
        <f>IF(A757="","",'Rozpad zakázky'!D773&amp;IF('Rozpad zakázky'!G773="",""," ("&amp;'Rozpad zakázky'!G773&amp;")"))</f>
        <v/>
      </c>
      <c r="F757" s="709" t="str">
        <f>IF(A757="","",'Rozpad zakázky'!IW773)</f>
        <v/>
      </c>
      <c r="G757" s="711" t="str">
        <f>IF(A757="","",'Rozpad zakázky'!AE773)</f>
        <v/>
      </c>
      <c r="H757" s="717" t="str">
        <f>IF(A757="","",'Rozpad zakázky'!AJ773)</f>
        <v/>
      </c>
      <c r="I757" s="748" t="str">
        <f>IF(A757="","",'Rozpad zakázky'!Q773)</f>
        <v/>
      </c>
      <c r="J757" s="717" t="str">
        <f>IF(A757="","",ROUNDDOWN('Rozpad zakázky'!L773,1))</f>
        <v/>
      </c>
      <c r="K757" s="745" t="str">
        <f>IF(A757="","",Tabulka_nakup_Vonka[[#This Row],[Počet MJHR v rozpadu]]*Tabulka_nakup_Vonka[[#This Row],[Jedn. hmotnost '[kg/MJHR']]])</f>
        <v/>
      </c>
    </row>
    <row r="758" spans="1:11" x14ac:dyDescent="0.35">
      <c r="A758" s="709" t="str">
        <f>IF('Rozpad zakázky'!E774=0,"",IF('Rozpad zakázky'!E774="-","",'Rozpad zakázky'!E774))</f>
        <v/>
      </c>
      <c r="B758" s="708" t="str">
        <f>IF(A758="","",IF(A758="","",VLOOKUP(A:A,Pomocna_Nakup[],3,0))&amp;" | "&amp;IF(A758="","",VLOOKUP(A:A,Pomocna_Nakup[],4,0)))</f>
        <v/>
      </c>
      <c r="C758" s="710" t="str">
        <f>IF(Tabulka_nakup_Vonka[[#This Row],[Zkratka kalkulační položky]]="","",Tabulka_nakup_Vonka[[#This Row],[Zkratka kalkulační položky]]&amp;" | "&amp;IF(A758="","",VLOOKUP(A:A,Pomocna_Nakup[],2,0)))</f>
        <v/>
      </c>
      <c r="D758" s="710" t="str">
        <f>IF(A758="","",'Rozpad zakázky'!F774)</f>
        <v/>
      </c>
      <c r="E758" s="710" t="str">
        <f>IF(A758="","",'Rozpad zakázky'!D774&amp;IF('Rozpad zakázky'!G774="",""," ("&amp;'Rozpad zakázky'!G774&amp;")"))</f>
        <v/>
      </c>
      <c r="F758" s="709" t="str">
        <f>IF(A758="","",'Rozpad zakázky'!IW774)</f>
        <v/>
      </c>
      <c r="G758" s="711" t="str">
        <f>IF(A758="","",'Rozpad zakázky'!AE774)</f>
        <v/>
      </c>
      <c r="H758" s="717" t="str">
        <f>IF(A758="","",'Rozpad zakázky'!AJ774)</f>
        <v/>
      </c>
      <c r="I758" s="748" t="str">
        <f>IF(A758="","",'Rozpad zakázky'!Q774)</f>
        <v/>
      </c>
      <c r="J758" s="717" t="str">
        <f>IF(A758="","",ROUNDDOWN('Rozpad zakázky'!L774,1))</f>
        <v/>
      </c>
      <c r="K758" s="745" t="str">
        <f>IF(A758="","",Tabulka_nakup_Vonka[[#This Row],[Počet MJHR v rozpadu]]*Tabulka_nakup_Vonka[[#This Row],[Jedn. hmotnost '[kg/MJHR']]])</f>
        <v/>
      </c>
    </row>
    <row r="759" spans="1:11" x14ac:dyDescent="0.35">
      <c r="A759" s="709" t="str">
        <f>IF('Rozpad zakázky'!E775=0,"",IF('Rozpad zakázky'!E775="-","",'Rozpad zakázky'!E775))</f>
        <v/>
      </c>
      <c r="B759" s="708" t="str">
        <f>IF(A759="","",IF(A759="","",VLOOKUP(A:A,Pomocna_Nakup[],3,0))&amp;" | "&amp;IF(A759="","",VLOOKUP(A:A,Pomocna_Nakup[],4,0)))</f>
        <v/>
      </c>
      <c r="C759" s="710" t="str">
        <f>IF(Tabulka_nakup_Vonka[[#This Row],[Zkratka kalkulační položky]]="","",Tabulka_nakup_Vonka[[#This Row],[Zkratka kalkulační položky]]&amp;" | "&amp;IF(A759="","",VLOOKUP(A:A,Pomocna_Nakup[],2,0)))</f>
        <v/>
      </c>
      <c r="D759" s="710" t="str">
        <f>IF(A759="","",'Rozpad zakázky'!F775)</f>
        <v/>
      </c>
      <c r="E759" s="710" t="str">
        <f>IF(A759="","",'Rozpad zakázky'!D775&amp;IF('Rozpad zakázky'!G775="",""," ("&amp;'Rozpad zakázky'!G775&amp;")"))</f>
        <v/>
      </c>
      <c r="F759" s="709" t="str">
        <f>IF(A759="","",'Rozpad zakázky'!IW775)</f>
        <v/>
      </c>
      <c r="G759" s="711" t="str">
        <f>IF(A759="","",'Rozpad zakázky'!AE775)</f>
        <v/>
      </c>
      <c r="H759" s="717" t="str">
        <f>IF(A759="","",'Rozpad zakázky'!AJ775)</f>
        <v/>
      </c>
      <c r="I759" s="748" t="str">
        <f>IF(A759="","",'Rozpad zakázky'!Q775)</f>
        <v/>
      </c>
      <c r="J759" s="717" t="str">
        <f>IF(A759="","",ROUNDDOWN('Rozpad zakázky'!L775,1))</f>
        <v/>
      </c>
      <c r="K759" s="745" t="str">
        <f>IF(A759="","",Tabulka_nakup_Vonka[[#This Row],[Počet MJHR v rozpadu]]*Tabulka_nakup_Vonka[[#This Row],[Jedn. hmotnost '[kg/MJHR']]])</f>
        <v/>
      </c>
    </row>
    <row r="760" spans="1:11" x14ac:dyDescent="0.35">
      <c r="A760" s="709" t="str">
        <f>IF('Rozpad zakázky'!E776=0,"",IF('Rozpad zakázky'!E776="-","",'Rozpad zakázky'!E776))</f>
        <v/>
      </c>
      <c r="B760" s="708" t="str">
        <f>IF(A760="","",IF(A760="","",VLOOKUP(A:A,Pomocna_Nakup[],3,0))&amp;" | "&amp;IF(A760="","",VLOOKUP(A:A,Pomocna_Nakup[],4,0)))</f>
        <v/>
      </c>
      <c r="C760" s="710" t="str">
        <f>IF(Tabulka_nakup_Vonka[[#This Row],[Zkratka kalkulační položky]]="","",Tabulka_nakup_Vonka[[#This Row],[Zkratka kalkulační položky]]&amp;" | "&amp;IF(A760="","",VLOOKUP(A:A,Pomocna_Nakup[],2,0)))</f>
        <v/>
      </c>
      <c r="D760" s="710" t="str">
        <f>IF(A760="","",'Rozpad zakázky'!F776)</f>
        <v/>
      </c>
      <c r="E760" s="710" t="str">
        <f>IF(A760="","",'Rozpad zakázky'!D776&amp;IF('Rozpad zakázky'!G776="",""," ("&amp;'Rozpad zakázky'!G776&amp;")"))</f>
        <v/>
      </c>
      <c r="F760" s="709" t="str">
        <f>IF(A760="","",'Rozpad zakázky'!IW776)</f>
        <v/>
      </c>
      <c r="G760" s="711" t="str">
        <f>IF(A760="","",'Rozpad zakázky'!AE776)</f>
        <v/>
      </c>
      <c r="H760" s="717" t="str">
        <f>IF(A760="","",'Rozpad zakázky'!AJ776)</f>
        <v/>
      </c>
      <c r="I760" s="748" t="str">
        <f>IF(A760="","",'Rozpad zakázky'!Q776)</f>
        <v/>
      </c>
      <c r="J760" s="717" t="str">
        <f>IF(A760="","",ROUNDDOWN('Rozpad zakázky'!L776,1))</f>
        <v/>
      </c>
      <c r="K760" s="745" t="str">
        <f>IF(A760="","",Tabulka_nakup_Vonka[[#This Row],[Počet MJHR v rozpadu]]*Tabulka_nakup_Vonka[[#This Row],[Jedn. hmotnost '[kg/MJHR']]])</f>
        <v/>
      </c>
    </row>
    <row r="761" spans="1:11" x14ac:dyDescent="0.35">
      <c r="A761" s="709" t="str">
        <f>IF('Rozpad zakázky'!E777=0,"",IF('Rozpad zakázky'!E777="-","",'Rozpad zakázky'!E777))</f>
        <v/>
      </c>
      <c r="B761" s="708" t="str">
        <f>IF(A761="","",IF(A761="","",VLOOKUP(A:A,Pomocna_Nakup[],3,0))&amp;" | "&amp;IF(A761="","",VLOOKUP(A:A,Pomocna_Nakup[],4,0)))</f>
        <v/>
      </c>
      <c r="C761" s="710" t="str">
        <f>IF(Tabulka_nakup_Vonka[[#This Row],[Zkratka kalkulační položky]]="","",Tabulka_nakup_Vonka[[#This Row],[Zkratka kalkulační položky]]&amp;" | "&amp;IF(A761="","",VLOOKUP(A:A,Pomocna_Nakup[],2,0)))</f>
        <v/>
      </c>
      <c r="D761" s="710" t="str">
        <f>IF(A761="","",'Rozpad zakázky'!F777)</f>
        <v/>
      </c>
      <c r="E761" s="710" t="str">
        <f>IF(A761="","",'Rozpad zakázky'!D777&amp;IF('Rozpad zakázky'!G777="",""," ("&amp;'Rozpad zakázky'!G777&amp;")"))</f>
        <v/>
      </c>
      <c r="F761" s="709" t="str">
        <f>IF(A761="","",'Rozpad zakázky'!IW777)</f>
        <v/>
      </c>
      <c r="G761" s="711" t="str">
        <f>IF(A761="","",'Rozpad zakázky'!AE777)</f>
        <v/>
      </c>
      <c r="H761" s="717" t="str">
        <f>IF(A761="","",'Rozpad zakázky'!AJ777)</f>
        <v/>
      </c>
      <c r="I761" s="748" t="str">
        <f>IF(A761="","",'Rozpad zakázky'!Q777)</f>
        <v/>
      </c>
      <c r="J761" s="717" t="str">
        <f>IF(A761="","",ROUNDDOWN('Rozpad zakázky'!L777,1))</f>
        <v/>
      </c>
      <c r="K761" s="745" t="str">
        <f>IF(A761="","",Tabulka_nakup_Vonka[[#This Row],[Počet MJHR v rozpadu]]*Tabulka_nakup_Vonka[[#This Row],[Jedn. hmotnost '[kg/MJHR']]])</f>
        <v/>
      </c>
    </row>
    <row r="762" spans="1:11" x14ac:dyDescent="0.35">
      <c r="A762" s="709" t="str">
        <f>IF('Rozpad zakázky'!E778=0,"",IF('Rozpad zakázky'!E778="-","",'Rozpad zakázky'!E778))</f>
        <v/>
      </c>
      <c r="B762" s="708" t="str">
        <f>IF(A762="","",IF(A762="","",VLOOKUP(A:A,Pomocna_Nakup[],3,0))&amp;" | "&amp;IF(A762="","",VLOOKUP(A:A,Pomocna_Nakup[],4,0)))</f>
        <v/>
      </c>
      <c r="C762" s="710" t="str">
        <f>IF(Tabulka_nakup_Vonka[[#This Row],[Zkratka kalkulační položky]]="","",Tabulka_nakup_Vonka[[#This Row],[Zkratka kalkulační položky]]&amp;" | "&amp;IF(A762="","",VLOOKUP(A:A,Pomocna_Nakup[],2,0)))</f>
        <v/>
      </c>
      <c r="D762" s="710" t="str">
        <f>IF(A762="","",'Rozpad zakázky'!F778)</f>
        <v/>
      </c>
      <c r="E762" s="710" t="str">
        <f>IF(A762="","",'Rozpad zakázky'!D778&amp;IF('Rozpad zakázky'!G778="",""," ("&amp;'Rozpad zakázky'!G778&amp;")"))</f>
        <v/>
      </c>
      <c r="F762" s="709" t="str">
        <f>IF(A762="","",'Rozpad zakázky'!IW778)</f>
        <v/>
      </c>
      <c r="G762" s="711" t="str">
        <f>IF(A762="","",'Rozpad zakázky'!AE778)</f>
        <v/>
      </c>
      <c r="H762" s="717" t="str">
        <f>IF(A762="","",'Rozpad zakázky'!AJ778)</f>
        <v/>
      </c>
      <c r="I762" s="748" t="str">
        <f>IF(A762="","",'Rozpad zakázky'!Q778)</f>
        <v/>
      </c>
      <c r="J762" s="717" t="str">
        <f>IF(A762="","",ROUNDDOWN('Rozpad zakázky'!L778,1))</f>
        <v/>
      </c>
      <c r="K762" s="745" t="str">
        <f>IF(A762="","",Tabulka_nakup_Vonka[[#This Row],[Počet MJHR v rozpadu]]*Tabulka_nakup_Vonka[[#This Row],[Jedn. hmotnost '[kg/MJHR']]])</f>
        <v/>
      </c>
    </row>
    <row r="763" spans="1:11" x14ac:dyDescent="0.35">
      <c r="A763" s="709" t="str">
        <f>IF('Rozpad zakázky'!E779=0,"",IF('Rozpad zakázky'!E779="-","",'Rozpad zakázky'!E779))</f>
        <v/>
      </c>
      <c r="B763" s="708" t="str">
        <f>IF(A763="","",IF(A763="","",VLOOKUP(A:A,Pomocna_Nakup[],3,0))&amp;" | "&amp;IF(A763="","",VLOOKUP(A:A,Pomocna_Nakup[],4,0)))</f>
        <v/>
      </c>
      <c r="C763" s="710" t="str">
        <f>IF(Tabulka_nakup_Vonka[[#This Row],[Zkratka kalkulační položky]]="","",Tabulka_nakup_Vonka[[#This Row],[Zkratka kalkulační položky]]&amp;" | "&amp;IF(A763="","",VLOOKUP(A:A,Pomocna_Nakup[],2,0)))</f>
        <v/>
      </c>
      <c r="D763" s="710" t="str">
        <f>IF(A763="","",'Rozpad zakázky'!F779)</f>
        <v/>
      </c>
      <c r="E763" s="710" t="str">
        <f>IF(A763="","",'Rozpad zakázky'!D779&amp;IF('Rozpad zakázky'!G779="",""," ("&amp;'Rozpad zakázky'!G779&amp;")"))</f>
        <v/>
      </c>
      <c r="F763" s="709" t="str">
        <f>IF(A763="","",'Rozpad zakázky'!IW779)</f>
        <v/>
      </c>
      <c r="G763" s="711" t="str">
        <f>IF(A763="","",'Rozpad zakázky'!AE779)</f>
        <v/>
      </c>
      <c r="H763" s="717" t="str">
        <f>IF(A763="","",'Rozpad zakázky'!AJ779)</f>
        <v/>
      </c>
      <c r="I763" s="748" t="str">
        <f>IF(A763="","",'Rozpad zakázky'!Q779)</f>
        <v/>
      </c>
      <c r="J763" s="717" t="str">
        <f>IF(A763="","",ROUNDDOWN('Rozpad zakázky'!L779,1))</f>
        <v/>
      </c>
      <c r="K763" s="745" t="str">
        <f>IF(A763="","",Tabulka_nakup_Vonka[[#This Row],[Počet MJHR v rozpadu]]*Tabulka_nakup_Vonka[[#This Row],[Jedn. hmotnost '[kg/MJHR']]])</f>
        <v/>
      </c>
    </row>
    <row r="764" spans="1:11" x14ac:dyDescent="0.35">
      <c r="A764" s="709" t="str">
        <f>IF('Rozpad zakázky'!E780=0,"",IF('Rozpad zakázky'!E780="-","",'Rozpad zakázky'!E780))</f>
        <v/>
      </c>
      <c r="B764" s="708" t="str">
        <f>IF(A764="","",IF(A764="","",VLOOKUP(A:A,Pomocna_Nakup[],3,0))&amp;" | "&amp;IF(A764="","",VLOOKUP(A:A,Pomocna_Nakup[],4,0)))</f>
        <v/>
      </c>
      <c r="C764" s="710" t="str">
        <f>IF(Tabulka_nakup_Vonka[[#This Row],[Zkratka kalkulační položky]]="","",Tabulka_nakup_Vonka[[#This Row],[Zkratka kalkulační položky]]&amp;" | "&amp;IF(A764="","",VLOOKUP(A:A,Pomocna_Nakup[],2,0)))</f>
        <v/>
      </c>
      <c r="D764" s="710" t="str">
        <f>IF(A764="","",'Rozpad zakázky'!F780)</f>
        <v/>
      </c>
      <c r="E764" s="710" t="str">
        <f>IF(A764="","",'Rozpad zakázky'!D780&amp;IF('Rozpad zakázky'!G780="",""," ("&amp;'Rozpad zakázky'!G780&amp;")"))</f>
        <v/>
      </c>
      <c r="F764" s="709" t="str">
        <f>IF(A764="","",'Rozpad zakázky'!IW780)</f>
        <v/>
      </c>
      <c r="G764" s="711" t="str">
        <f>IF(A764="","",'Rozpad zakázky'!AE780)</f>
        <v/>
      </c>
      <c r="H764" s="717" t="str">
        <f>IF(A764="","",'Rozpad zakázky'!AJ780)</f>
        <v/>
      </c>
      <c r="I764" s="748" t="str">
        <f>IF(A764="","",'Rozpad zakázky'!Q780)</f>
        <v/>
      </c>
      <c r="J764" s="717" t="str">
        <f>IF(A764="","",ROUNDDOWN('Rozpad zakázky'!L780,1))</f>
        <v/>
      </c>
      <c r="K764" s="745" t="str">
        <f>IF(A764="","",Tabulka_nakup_Vonka[[#This Row],[Počet MJHR v rozpadu]]*Tabulka_nakup_Vonka[[#This Row],[Jedn. hmotnost '[kg/MJHR']]])</f>
        <v/>
      </c>
    </row>
    <row r="765" spans="1:11" x14ac:dyDescent="0.35">
      <c r="A765" s="709" t="str">
        <f>IF('Rozpad zakázky'!E781=0,"",IF('Rozpad zakázky'!E781="-","",'Rozpad zakázky'!E781))</f>
        <v/>
      </c>
      <c r="B765" s="708" t="str">
        <f>IF(A765="","",IF(A765="","",VLOOKUP(A:A,Pomocna_Nakup[],3,0))&amp;" | "&amp;IF(A765="","",VLOOKUP(A:A,Pomocna_Nakup[],4,0)))</f>
        <v/>
      </c>
      <c r="C765" s="710" t="str">
        <f>IF(Tabulka_nakup_Vonka[[#This Row],[Zkratka kalkulační položky]]="","",Tabulka_nakup_Vonka[[#This Row],[Zkratka kalkulační položky]]&amp;" | "&amp;IF(A765="","",VLOOKUP(A:A,Pomocna_Nakup[],2,0)))</f>
        <v/>
      </c>
      <c r="D765" s="710" t="str">
        <f>IF(A765="","",'Rozpad zakázky'!F781)</f>
        <v/>
      </c>
      <c r="E765" s="710" t="str">
        <f>IF(A765="","",'Rozpad zakázky'!D781&amp;IF('Rozpad zakázky'!G781="",""," ("&amp;'Rozpad zakázky'!G781&amp;")"))</f>
        <v/>
      </c>
      <c r="F765" s="709" t="str">
        <f>IF(A765="","",'Rozpad zakázky'!IW781)</f>
        <v/>
      </c>
      <c r="G765" s="711" t="str">
        <f>IF(A765="","",'Rozpad zakázky'!AE781)</f>
        <v/>
      </c>
      <c r="H765" s="717" t="str">
        <f>IF(A765="","",'Rozpad zakázky'!AJ781)</f>
        <v/>
      </c>
      <c r="I765" s="748" t="str">
        <f>IF(A765="","",'Rozpad zakázky'!Q781)</f>
        <v/>
      </c>
      <c r="J765" s="717" t="str">
        <f>IF(A765="","",ROUNDDOWN('Rozpad zakázky'!L781,1))</f>
        <v/>
      </c>
      <c r="K765" s="745" t="str">
        <f>IF(A765="","",Tabulka_nakup_Vonka[[#This Row],[Počet MJHR v rozpadu]]*Tabulka_nakup_Vonka[[#This Row],[Jedn. hmotnost '[kg/MJHR']]])</f>
        <v/>
      </c>
    </row>
    <row r="766" spans="1:11" x14ac:dyDescent="0.35">
      <c r="A766" s="709" t="str">
        <f>IF('Rozpad zakázky'!E782=0,"",IF('Rozpad zakázky'!E782="-","",'Rozpad zakázky'!E782))</f>
        <v/>
      </c>
      <c r="B766" s="708" t="str">
        <f>IF(A766="","",IF(A766="","",VLOOKUP(A:A,Pomocna_Nakup[],3,0))&amp;" | "&amp;IF(A766="","",VLOOKUP(A:A,Pomocna_Nakup[],4,0)))</f>
        <v/>
      </c>
      <c r="C766" s="710" t="str">
        <f>IF(Tabulka_nakup_Vonka[[#This Row],[Zkratka kalkulační položky]]="","",Tabulka_nakup_Vonka[[#This Row],[Zkratka kalkulační položky]]&amp;" | "&amp;IF(A766="","",VLOOKUP(A:A,Pomocna_Nakup[],2,0)))</f>
        <v/>
      </c>
      <c r="D766" s="710" t="str">
        <f>IF(A766="","",'Rozpad zakázky'!F782)</f>
        <v/>
      </c>
      <c r="E766" s="710" t="str">
        <f>IF(A766="","",'Rozpad zakázky'!D782&amp;IF('Rozpad zakázky'!G782="",""," ("&amp;'Rozpad zakázky'!G782&amp;")"))</f>
        <v/>
      </c>
      <c r="F766" s="709" t="str">
        <f>IF(A766="","",'Rozpad zakázky'!IW782)</f>
        <v/>
      </c>
      <c r="G766" s="711" t="str">
        <f>IF(A766="","",'Rozpad zakázky'!AE782)</f>
        <v/>
      </c>
      <c r="H766" s="717" t="str">
        <f>IF(A766="","",'Rozpad zakázky'!AJ782)</f>
        <v/>
      </c>
      <c r="I766" s="748" t="str">
        <f>IF(A766="","",'Rozpad zakázky'!Q782)</f>
        <v/>
      </c>
      <c r="J766" s="717" t="str">
        <f>IF(A766="","",ROUNDDOWN('Rozpad zakázky'!L782,1))</f>
        <v/>
      </c>
      <c r="K766" s="745" t="str">
        <f>IF(A766="","",Tabulka_nakup_Vonka[[#This Row],[Počet MJHR v rozpadu]]*Tabulka_nakup_Vonka[[#This Row],[Jedn. hmotnost '[kg/MJHR']]])</f>
        <v/>
      </c>
    </row>
    <row r="767" spans="1:11" x14ac:dyDescent="0.35">
      <c r="A767" s="709" t="str">
        <f>IF('Rozpad zakázky'!E783=0,"",IF('Rozpad zakázky'!E783="-","",'Rozpad zakázky'!E783))</f>
        <v/>
      </c>
      <c r="B767" s="708" t="str">
        <f>IF(A767="","",IF(A767="","",VLOOKUP(A:A,Pomocna_Nakup[],3,0))&amp;" | "&amp;IF(A767="","",VLOOKUP(A:A,Pomocna_Nakup[],4,0)))</f>
        <v/>
      </c>
      <c r="C767" s="710" t="str">
        <f>IF(Tabulka_nakup_Vonka[[#This Row],[Zkratka kalkulační položky]]="","",Tabulka_nakup_Vonka[[#This Row],[Zkratka kalkulační položky]]&amp;" | "&amp;IF(A767="","",VLOOKUP(A:A,Pomocna_Nakup[],2,0)))</f>
        <v/>
      </c>
      <c r="D767" s="710" t="str">
        <f>IF(A767="","",'Rozpad zakázky'!F783)</f>
        <v/>
      </c>
      <c r="E767" s="710" t="str">
        <f>IF(A767="","",'Rozpad zakázky'!D783&amp;IF('Rozpad zakázky'!G783="",""," ("&amp;'Rozpad zakázky'!G783&amp;")"))</f>
        <v/>
      </c>
      <c r="F767" s="709" t="str">
        <f>IF(A767="","",'Rozpad zakázky'!IW783)</f>
        <v/>
      </c>
      <c r="G767" s="711" t="str">
        <f>IF(A767="","",'Rozpad zakázky'!AE783)</f>
        <v/>
      </c>
      <c r="H767" s="717" t="str">
        <f>IF(A767="","",'Rozpad zakázky'!AJ783)</f>
        <v/>
      </c>
      <c r="I767" s="748" t="str">
        <f>IF(A767="","",'Rozpad zakázky'!Q783)</f>
        <v/>
      </c>
      <c r="J767" s="717" t="str">
        <f>IF(A767="","",ROUNDDOWN('Rozpad zakázky'!L783,1))</f>
        <v/>
      </c>
      <c r="K767" s="745" t="str">
        <f>IF(A767="","",Tabulka_nakup_Vonka[[#This Row],[Počet MJHR v rozpadu]]*Tabulka_nakup_Vonka[[#This Row],[Jedn. hmotnost '[kg/MJHR']]])</f>
        <v/>
      </c>
    </row>
    <row r="768" spans="1:11" x14ac:dyDescent="0.35">
      <c r="A768" s="709" t="str">
        <f>IF('Rozpad zakázky'!E784=0,"",IF('Rozpad zakázky'!E784="-","",'Rozpad zakázky'!E784))</f>
        <v/>
      </c>
      <c r="B768" s="708" t="str">
        <f>IF(A768="","",IF(A768="","",VLOOKUP(A:A,Pomocna_Nakup[],3,0))&amp;" | "&amp;IF(A768="","",VLOOKUP(A:A,Pomocna_Nakup[],4,0)))</f>
        <v/>
      </c>
      <c r="C768" s="710" t="str">
        <f>IF(Tabulka_nakup_Vonka[[#This Row],[Zkratka kalkulační položky]]="","",Tabulka_nakup_Vonka[[#This Row],[Zkratka kalkulační položky]]&amp;" | "&amp;IF(A768="","",VLOOKUP(A:A,Pomocna_Nakup[],2,0)))</f>
        <v/>
      </c>
      <c r="D768" s="710" t="str">
        <f>IF(A768="","",'Rozpad zakázky'!F784)</f>
        <v/>
      </c>
      <c r="E768" s="710" t="str">
        <f>IF(A768="","",'Rozpad zakázky'!D784&amp;IF('Rozpad zakázky'!G784="",""," ("&amp;'Rozpad zakázky'!G784&amp;")"))</f>
        <v/>
      </c>
      <c r="F768" s="709" t="str">
        <f>IF(A768="","",'Rozpad zakázky'!IW784)</f>
        <v/>
      </c>
      <c r="G768" s="711" t="str">
        <f>IF(A768="","",'Rozpad zakázky'!AE784)</f>
        <v/>
      </c>
      <c r="H768" s="717" t="str">
        <f>IF(A768="","",'Rozpad zakázky'!AJ784)</f>
        <v/>
      </c>
      <c r="I768" s="748" t="str">
        <f>IF(A768="","",'Rozpad zakázky'!Q784)</f>
        <v/>
      </c>
      <c r="J768" s="717" t="str">
        <f>IF(A768="","",ROUNDDOWN('Rozpad zakázky'!L784,1))</f>
        <v/>
      </c>
      <c r="K768" s="745" t="str">
        <f>IF(A768="","",Tabulka_nakup_Vonka[[#This Row],[Počet MJHR v rozpadu]]*Tabulka_nakup_Vonka[[#This Row],[Jedn. hmotnost '[kg/MJHR']]])</f>
        <v/>
      </c>
    </row>
    <row r="769" spans="1:11" x14ac:dyDescent="0.35">
      <c r="A769" s="709" t="str">
        <f>IF('Rozpad zakázky'!E785=0,"",IF('Rozpad zakázky'!E785="-","",'Rozpad zakázky'!E785))</f>
        <v/>
      </c>
      <c r="B769" s="708" t="str">
        <f>IF(A769="","",IF(A769="","",VLOOKUP(A:A,Pomocna_Nakup[],3,0))&amp;" | "&amp;IF(A769="","",VLOOKUP(A:A,Pomocna_Nakup[],4,0)))</f>
        <v/>
      </c>
      <c r="C769" s="710" t="str">
        <f>IF(Tabulka_nakup_Vonka[[#This Row],[Zkratka kalkulační položky]]="","",Tabulka_nakup_Vonka[[#This Row],[Zkratka kalkulační položky]]&amp;" | "&amp;IF(A769="","",VLOOKUP(A:A,Pomocna_Nakup[],2,0)))</f>
        <v/>
      </c>
      <c r="D769" s="710" t="str">
        <f>IF(A769="","",'Rozpad zakázky'!F785)</f>
        <v/>
      </c>
      <c r="E769" s="710" t="str">
        <f>IF(A769="","",'Rozpad zakázky'!D785&amp;IF('Rozpad zakázky'!G785="",""," ("&amp;'Rozpad zakázky'!G785&amp;")"))</f>
        <v/>
      </c>
      <c r="F769" s="709" t="str">
        <f>IF(A769="","",'Rozpad zakázky'!IW785)</f>
        <v/>
      </c>
      <c r="G769" s="711" t="str">
        <f>IF(A769="","",'Rozpad zakázky'!AE785)</f>
        <v/>
      </c>
      <c r="H769" s="717" t="str">
        <f>IF(A769="","",'Rozpad zakázky'!AJ785)</f>
        <v/>
      </c>
      <c r="I769" s="748" t="str">
        <f>IF(A769="","",'Rozpad zakázky'!Q785)</f>
        <v/>
      </c>
      <c r="J769" s="717" t="str">
        <f>IF(A769="","",ROUNDDOWN('Rozpad zakázky'!L785,1))</f>
        <v/>
      </c>
      <c r="K769" s="745" t="str">
        <f>IF(A769="","",Tabulka_nakup_Vonka[[#This Row],[Počet MJHR v rozpadu]]*Tabulka_nakup_Vonka[[#This Row],[Jedn. hmotnost '[kg/MJHR']]])</f>
        <v/>
      </c>
    </row>
    <row r="770" spans="1:11" x14ac:dyDescent="0.35">
      <c r="A770" s="709" t="str">
        <f>IF('Rozpad zakázky'!E786=0,"",IF('Rozpad zakázky'!E786="-","",'Rozpad zakázky'!E786))</f>
        <v/>
      </c>
      <c r="B770" s="708" t="str">
        <f>IF(A770="","",IF(A770="","",VLOOKUP(A:A,Pomocna_Nakup[],3,0))&amp;" | "&amp;IF(A770="","",VLOOKUP(A:A,Pomocna_Nakup[],4,0)))</f>
        <v/>
      </c>
      <c r="C770" s="710" t="str">
        <f>IF(Tabulka_nakup_Vonka[[#This Row],[Zkratka kalkulační položky]]="","",Tabulka_nakup_Vonka[[#This Row],[Zkratka kalkulační položky]]&amp;" | "&amp;IF(A770="","",VLOOKUP(A:A,Pomocna_Nakup[],2,0)))</f>
        <v/>
      </c>
      <c r="D770" s="710" t="str">
        <f>IF(A770="","",'Rozpad zakázky'!F786)</f>
        <v/>
      </c>
      <c r="E770" s="710" t="str">
        <f>IF(A770="","",'Rozpad zakázky'!D786&amp;IF('Rozpad zakázky'!G786="",""," ("&amp;'Rozpad zakázky'!G786&amp;")"))</f>
        <v/>
      </c>
      <c r="F770" s="709" t="str">
        <f>IF(A770="","",'Rozpad zakázky'!IW786)</f>
        <v/>
      </c>
      <c r="G770" s="711" t="str">
        <f>IF(A770="","",'Rozpad zakázky'!AE786)</f>
        <v/>
      </c>
      <c r="H770" s="717" t="str">
        <f>IF(A770="","",'Rozpad zakázky'!AJ786)</f>
        <v/>
      </c>
      <c r="I770" s="748" t="str">
        <f>IF(A770="","",'Rozpad zakázky'!Q786)</f>
        <v/>
      </c>
      <c r="J770" s="717" t="str">
        <f>IF(A770="","",ROUNDDOWN('Rozpad zakázky'!L786,1))</f>
        <v/>
      </c>
      <c r="K770" s="745" t="str">
        <f>IF(A770="","",Tabulka_nakup_Vonka[[#This Row],[Počet MJHR v rozpadu]]*Tabulka_nakup_Vonka[[#This Row],[Jedn. hmotnost '[kg/MJHR']]])</f>
        <v/>
      </c>
    </row>
    <row r="771" spans="1:11" x14ac:dyDescent="0.35">
      <c r="A771" s="709" t="str">
        <f>IF('Rozpad zakázky'!E787=0,"",IF('Rozpad zakázky'!E787="-","",'Rozpad zakázky'!E787))</f>
        <v/>
      </c>
      <c r="B771" s="708" t="str">
        <f>IF(A771="","",IF(A771="","",VLOOKUP(A:A,Pomocna_Nakup[],3,0))&amp;" | "&amp;IF(A771="","",VLOOKUP(A:A,Pomocna_Nakup[],4,0)))</f>
        <v/>
      </c>
      <c r="C771" s="710" t="str">
        <f>IF(Tabulka_nakup_Vonka[[#This Row],[Zkratka kalkulační položky]]="","",Tabulka_nakup_Vonka[[#This Row],[Zkratka kalkulační položky]]&amp;" | "&amp;IF(A771="","",VLOOKUP(A:A,Pomocna_Nakup[],2,0)))</f>
        <v/>
      </c>
      <c r="D771" s="710" t="str">
        <f>IF(A771="","",'Rozpad zakázky'!F787)</f>
        <v/>
      </c>
      <c r="E771" s="710" t="str">
        <f>IF(A771="","",'Rozpad zakázky'!D787&amp;IF('Rozpad zakázky'!G787="",""," ("&amp;'Rozpad zakázky'!G787&amp;")"))</f>
        <v/>
      </c>
      <c r="F771" s="709" t="str">
        <f>IF(A771="","",'Rozpad zakázky'!IW787)</f>
        <v/>
      </c>
      <c r="G771" s="711" t="str">
        <f>IF(A771="","",'Rozpad zakázky'!AE787)</f>
        <v/>
      </c>
      <c r="H771" s="717" t="str">
        <f>IF(A771="","",'Rozpad zakázky'!AJ787)</f>
        <v/>
      </c>
      <c r="I771" s="748" t="str">
        <f>IF(A771="","",'Rozpad zakázky'!Q787)</f>
        <v/>
      </c>
      <c r="J771" s="717" t="str">
        <f>IF(A771="","",ROUNDDOWN('Rozpad zakázky'!L787,1))</f>
        <v/>
      </c>
      <c r="K771" s="745" t="str">
        <f>IF(A771="","",Tabulka_nakup_Vonka[[#This Row],[Počet MJHR v rozpadu]]*Tabulka_nakup_Vonka[[#This Row],[Jedn. hmotnost '[kg/MJHR']]])</f>
        <v/>
      </c>
    </row>
    <row r="772" spans="1:11" x14ac:dyDescent="0.35">
      <c r="A772" s="709" t="str">
        <f>IF('Rozpad zakázky'!E788=0,"",IF('Rozpad zakázky'!E788="-","",'Rozpad zakázky'!E788))</f>
        <v/>
      </c>
      <c r="B772" s="708" t="str">
        <f>IF(A772="","",IF(A772="","",VLOOKUP(A:A,Pomocna_Nakup[],3,0))&amp;" | "&amp;IF(A772="","",VLOOKUP(A:A,Pomocna_Nakup[],4,0)))</f>
        <v/>
      </c>
      <c r="C772" s="710" t="str">
        <f>IF(Tabulka_nakup_Vonka[[#This Row],[Zkratka kalkulační položky]]="","",Tabulka_nakup_Vonka[[#This Row],[Zkratka kalkulační položky]]&amp;" | "&amp;IF(A772="","",VLOOKUP(A:A,Pomocna_Nakup[],2,0)))</f>
        <v/>
      </c>
      <c r="D772" s="710" t="str">
        <f>IF(A772="","",'Rozpad zakázky'!F788)</f>
        <v/>
      </c>
      <c r="E772" s="710" t="str">
        <f>IF(A772="","",'Rozpad zakázky'!D788&amp;IF('Rozpad zakázky'!G788="",""," ("&amp;'Rozpad zakázky'!G788&amp;")"))</f>
        <v/>
      </c>
      <c r="F772" s="709" t="str">
        <f>IF(A772="","",'Rozpad zakázky'!IW788)</f>
        <v/>
      </c>
      <c r="G772" s="711" t="str">
        <f>IF(A772="","",'Rozpad zakázky'!AE788)</f>
        <v/>
      </c>
      <c r="H772" s="717" t="str">
        <f>IF(A772="","",'Rozpad zakázky'!AJ788)</f>
        <v/>
      </c>
      <c r="I772" s="748" t="str">
        <f>IF(A772="","",'Rozpad zakázky'!Q788)</f>
        <v/>
      </c>
      <c r="J772" s="717" t="str">
        <f>IF(A772="","",ROUNDDOWN('Rozpad zakázky'!L788,1))</f>
        <v/>
      </c>
      <c r="K772" s="745" t="str">
        <f>IF(A772="","",Tabulka_nakup_Vonka[[#This Row],[Počet MJHR v rozpadu]]*Tabulka_nakup_Vonka[[#This Row],[Jedn. hmotnost '[kg/MJHR']]])</f>
        <v/>
      </c>
    </row>
    <row r="773" spans="1:11" x14ac:dyDescent="0.35">
      <c r="A773" s="709" t="str">
        <f>IF('Rozpad zakázky'!E789=0,"",IF('Rozpad zakázky'!E789="-","",'Rozpad zakázky'!E789))</f>
        <v/>
      </c>
      <c r="B773" s="708" t="str">
        <f>IF(A773="","",IF(A773="","",VLOOKUP(A:A,Pomocna_Nakup[],3,0))&amp;" | "&amp;IF(A773="","",VLOOKUP(A:A,Pomocna_Nakup[],4,0)))</f>
        <v/>
      </c>
      <c r="C773" s="710" t="str">
        <f>IF(Tabulka_nakup_Vonka[[#This Row],[Zkratka kalkulační položky]]="","",Tabulka_nakup_Vonka[[#This Row],[Zkratka kalkulační položky]]&amp;" | "&amp;IF(A773="","",VLOOKUP(A:A,Pomocna_Nakup[],2,0)))</f>
        <v/>
      </c>
      <c r="D773" s="710" t="str">
        <f>IF(A773="","",'Rozpad zakázky'!F789)</f>
        <v/>
      </c>
      <c r="E773" s="710" t="str">
        <f>IF(A773="","",'Rozpad zakázky'!D789&amp;IF('Rozpad zakázky'!G789="",""," ("&amp;'Rozpad zakázky'!G789&amp;")"))</f>
        <v/>
      </c>
      <c r="F773" s="709" t="str">
        <f>IF(A773="","",'Rozpad zakázky'!IW789)</f>
        <v/>
      </c>
      <c r="G773" s="711" t="str">
        <f>IF(A773="","",'Rozpad zakázky'!AE789)</f>
        <v/>
      </c>
      <c r="H773" s="717" t="str">
        <f>IF(A773="","",'Rozpad zakázky'!AJ789)</f>
        <v/>
      </c>
      <c r="I773" s="748" t="str">
        <f>IF(A773="","",'Rozpad zakázky'!Q789)</f>
        <v/>
      </c>
      <c r="J773" s="717" t="str">
        <f>IF(A773="","",ROUNDDOWN('Rozpad zakázky'!L789,1))</f>
        <v/>
      </c>
      <c r="K773" s="745" t="str">
        <f>IF(A773="","",Tabulka_nakup_Vonka[[#This Row],[Počet MJHR v rozpadu]]*Tabulka_nakup_Vonka[[#This Row],[Jedn. hmotnost '[kg/MJHR']]])</f>
        <v/>
      </c>
    </row>
    <row r="774" spans="1:11" x14ac:dyDescent="0.35">
      <c r="A774" s="709" t="str">
        <f>IF('Rozpad zakázky'!E790=0,"",IF('Rozpad zakázky'!E790="-","",'Rozpad zakázky'!E790))</f>
        <v/>
      </c>
      <c r="B774" s="708" t="str">
        <f>IF(A774="","",IF(A774="","",VLOOKUP(A:A,Pomocna_Nakup[],3,0))&amp;" | "&amp;IF(A774="","",VLOOKUP(A:A,Pomocna_Nakup[],4,0)))</f>
        <v/>
      </c>
      <c r="C774" s="710" t="str">
        <f>IF(Tabulka_nakup_Vonka[[#This Row],[Zkratka kalkulační položky]]="","",Tabulka_nakup_Vonka[[#This Row],[Zkratka kalkulační položky]]&amp;" | "&amp;IF(A774="","",VLOOKUP(A:A,Pomocna_Nakup[],2,0)))</f>
        <v/>
      </c>
      <c r="D774" s="710" t="str">
        <f>IF(A774="","",'Rozpad zakázky'!F790)</f>
        <v/>
      </c>
      <c r="E774" s="710" t="str">
        <f>IF(A774="","",'Rozpad zakázky'!D790&amp;IF('Rozpad zakázky'!G790="",""," ("&amp;'Rozpad zakázky'!G790&amp;")"))</f>
        <v/>
      </c>
      <c r="F774" s="709" t="str">
        <f>IF(A774="","",'Rozpad zakázky'!IW790)</f>
        <v/>
      </c>
      <c r="G774" s="711" t="str">
        <f>IF(A774="","",'Rozpad zakázky'!AE790)</f>
        <v/>
      </c>
      <c r="H774" s="717" t="str">
        <f>IF(A774="","",'Rozpad zakázky'!AJ790)</f>
        <v/>
      </c>
      <c r="I774" s="748" t="str">
        <f>IF(A774="","",'Rozpad zakázky'!Q790)</f>
        <v/>
      </c>
      <c r="J774" s="717" t="str">
        <f>IF(A774="","",ROUNDDOWN('Rozpad zakázky'!L790,1))</f>
        <v/>
      </c>
      <c r="K774" s="745" t="str">
        <f>IF(A774="","",Tabulka_nakup_Vonka[[#This Row],[Počet MJHR v rozpadu]]*Tabulka_nakup_Vonka[[#This Row],[Jedn. hmotnost '[kg/MJHR']]])</f>
        <v/>
      </c>
    </row>
    <row r="775" spans="1:11" x14ac:dyDescent="0.35">
      <c r="A775" s="709" t="str">
        <f>IF('Rozpad zakázky'!E791=0,"",IF('Rozpad zakázky'!E791="-","",'Rozpad zakázky'!E791))</f>
        <v/>
      </c>
      <c r="B775" s="708" t="str">
        <f>IF(A775="","",IF(A775="","",VLOOKUP(A:A,Pomocna_Nakup[],3,0))&amp;" | "&amp;IF(A775="","",VLOOKUP(A:A,Pomocna_Nakup[],4,0)))</f>
        <v/>
      </c>
      <c r="C775" s="710" t="str">
        <f>IF(Tabulka_nakup_Vonka[[#This Row],[Zkratka kalkulační položky]]="","",Tabulka_nakup_Vonka[[#This Row],[Zkratka kalkulační položky]]&amp;" | "&amp;IF(A775="","",VLOOKUP(A:A,Pomocna_Nakup[],2,0)))</f>
        <v/>
      </c>
      <c r="D775" s="710" t="str">
        <f>IF(A775="","",'Rozpad zakázky'!F791)</f>
        <v/>
      </c>
      <c r="E775" s="710" t="str">
        <f>IF(A775="","",'Rozpad zakázky'!D791&amp;IF('Rozpad zakázky'!G791="",""," ("&amp;'Rozpad zakázky'!G791&amp;")"))</f>
        <v/>
      </c>
      <c r="F775" s="709" t="str">
        <f>IF(A775="","",'Rozpad zakázky'!IW791)</f>
        <v/>
      </c>
      <c r="G775" s="711" t="str">
        <f>IF(A775="","",'Rozpad zakázky'!AE791)</f>
        <v/>
      </c>
      <c r="H775" s="717" t="str">
        <f>IF(A775="","",'Rozpad zakázky'!AJ791)</f>
        <v/>
      </c>
      <c r="I775" s="748" t="str">
        <f>IF(A775="","",'Rozpad zakázky'!Q791)</f>
        <v/>
      </c>
      <c r="J775" s="717" t="str">
        <f>IF(A775="","",ROUNDDOWN('Rozpad zakázky'!L791,1))</f>
        <v/>
      </c>
      <c r="K775" s="745" t="str">
        <f>IF(A775="","",Tabulka_nakup_Vonka[[#This Row],[Počet MJHR v rozpadu]]*Tabulka_nakup_Vonka[[#This Row],[Jedn. hmotnost '[kg/MJHR']]])</f>
        <v/>
      </c>
    </row>
    <row r="776" spans="1:11" x14ac:dyDescent="0.35">
      <c r="A776" s="709" t="str">
        <f>IF('Rozpad zakázky'!E792=0,"",IF('Rozpad zakázky'!E792="-","",'Rozpad zakázky'!E792))</f>
        <v/>
      </c>
      <c r="B776" s="708" t="str">
        <f>IF(A776="","",IF(A776="","",VLOOKUP(A:A,Pomocna_Nakup[],3,0))&amp;" | "&amp;IF(A776="","",VLOOKUP(A:A,Pomocna_Nakup[],4,0)))</f>
        <v/>
      </c>
      <c r="C776" s="710" t="str">
        <f>IF(Tabulka_nakup_Vonka[[#This Row],[Zkratka kalkulační položky]]="","",Tabulka_nakup_Vonka[[#This Row],[Zkratka kalkulační položky]]&amp;" | "&amp;IF(A776="","",VLOOKUP(A:A,Pomocna_Nakup[],2,0)))</f>
        <v/>
      </c>
      <c r="D776" s="710" t="str">
        <f>IF(A776="","",'Rozpad zakázky'!F792)</f>
        <v/>
      </c>
      <c r="E776" s="710" t="str">
        <f>IF(A776="","",'Rozpad zakázky'!D792&amp;IF('Rozpad zakázky'!G792="",""," ("&amp;'Rozpad zakázky'!G792&amp;")"))</f>
        <v/>
      </c>
      <c r="F776" s="709" t="str">
        <f>IF(A776="","",'Rozpad zakázky'!IW792)</f>
        <v/>
      </c>
      <c r="G776" s="711" t="str">
        <f>IF(A776="","",'Rozpad zakázky'!AE792)</f>
        <v/>
      </c>
      <c r="H776" s="717" t="str">
        <f>IF(A776="","",'Rozpad zakázky'!AJ792)</f>
        <v/>
      </c>
      <c r="I776" s="748" t="str">
        <f>IF(A776="","",'Rozpad zakázky'!Q792)</f>
        <v/>
      </c>
      <c r="J776" s="717" t="str">
        <f>IF(A776="","",ROUNDDOWN('Rozpad zakázky'!L792,1))</f>
        <v/>
      </c>
      <c r="K776" s="745" t="str">
        <f>IF(A776="","",Tabulka_nakup_Vonka[[#This Row],[Počet MJHR v rozpadu]]*Tabulka_nakup_Vonka[[#This Row],[Jedn. hmotnost '[kg/MJHR']]])</f>
        <v/>
      </c>
    </row>
    <row r="777" spans="1:11" x14ac:dyDescent="0.35">
      <c r="A777" s="709" t="str">
        <f>IF('Rozpad zakázky'!E793=0,"",IF('Rozpad zakázky'!E793="-","",'Rozpad zakázky'!E793))</f>
        <v/>
      </c>
      <c r="B777" s="708" t="str">
        <f>IF(A777="","",IF(A777="","",VLOOKUP(A:A,Pomocna_Nakup[],3,0))&amp;" | "&amp;IF(A777="","",VLOOKUP(A:A,Pomocna_Nakup[],4,0)))</f>
        <v/>
      </c>
      <c r="C777" s="710" t="str">
        <f>IF(Tabulka_nakup_Vonka[[#This Row],[Zkratka kalkulační položky]]="","",Tabulka_nakup_Vonka[[#This Row],[Zkratka kalkulační položky]]&amp;" | "&amp;IF(A777="","",VLOOKUP(A:A,Pomocna_Nakup[],2,0)))</f>
        <v/>
      </c>
      <c r="D777" s="710" t="str">
        <f>IF(A777="","",'Rozpad zakázky'!F793)</f>
        <v/>
      </c>
      <c r="E777" s="710" t="str">
        <f>IF(A777="","",'Rozpad zakázky'!D793&amp;IF('Rozpad zakázky'!G793="",""," ("&amp;'Rozpad zakázky'!G793&amp;")"))</f>
        <v/>
      </c>
      <c r="F777" s="709" t="str">
        <f>IF(A777="","",'Rozpad zakázky'!IW793)</f>
        <v/>
      </c>
      <c r="G777" s="711" t="str">
        <f>IF(A777="","",'Rozpad zakázky'!AE793)</f>
        <v/>
      </c>
      <c r="H777" s="717" t="str">
        <f>IF(A777="","",'Rozpad zakázky'!AJ793)</f>
        <v/>
      </c>
      <c r="I777" s="748" t="str">
        <f>IF(A777="","",'Rozpad zakázky'!Q793)</f>
        <v/>
      </c>
      <c r="J777" s="717" t="str">
        <f>IF(A777="","",ROUNDDOWN('Rozpad zakázky'!L793,1))</f>
        <v/>
      </c>
      <c r="K777" s="745" t="str">
        <f>IF(A777="","",Tabulka_nakup_Vonka[[#This Row],[Počet MJHR v rozpadu]]*Tabulka_nakup_Vonka[[#This Row],[Jedn. hmotnost '[kg/MJHR']]])</f>
        <v/>
      </c>
    </row>
    <row r="778" spans="1:11" x14ac:dyDescent="0.35">
      <c r="A778" s="709" t="str">
        <f>IF('Rozpad zakázky'!E794=0,"",IF('Rozpad zakázky'!E794="-","",'Rozpad zakázky'!E794))</f>
        <v/>
      </c>
      <c r="B778" s="708" t="str">
        <f>IF(A778="","",IF(A778="","",VLOOKUP(A:A,Pomocna_Nakup[],3,0))&amp;" | "&amp;IF(A778="","",VLOOKUP(A:A,Pomocna_Nakup[],4,0)))</f>
        <v/>
      </c>
      <c r="C778" s="710" t="str">
        <f>IF(Tabulka_nakup_Vonka[[#This Row],[Zkratka kalkulační položky]]="","",Tabulka_nakup_Vonka[[#This Row],[Zkratka kalkulační položky]]&amp;" | "&amp;IF(A778="","",VLOOKUP(A:A,Pomocna_Nakup[],2,0)))</f>
        <v/>
      </c>
      <c r="D778" s="710" t="str">
        <f>IF(A778="","",'Rozpad zakázky'!F794)</f>
        <v/>
      </c>
      <c r="E778" s="710" t="str">
        <f>IF(A778="","",'Rozpad zakázky'!D794&amp;IF('Rozpad zakázky'!G794="",""," ("&amp;'Rozpad zakázky'!G794&amp;")"))</f>
        <v/>
      </c>
      <c r="F778" s="709" t="str">
        <f>IF(A778="","",'Rozpad zakázky'!IW794)</f>
        <v/>
      </c>
      <c r="G778" s="711" t="str">
        <f>IF(A778="","",'Rozpad zakázky'!AE794)</f>
        <v/>
      </c>
      <c r="H778" s="717" t="str">
        <f>IF(A778="","",'Rozpad zakázky'!AJ794)</f>
        <v/>
      </c>
      <c r="I778" s="748" t="str">
        <f>IF(A778="","",'Rozpad zakázky'!Q794)</f>
        <v/>
      </c>
      <c r="J778" s="717" t="str">
        <f>IF(A778="","",ROUNDDOWN('Rozpad zakázky'!L794,1))</f>
        <v/>
      </c>
      <c r="K778" s="745" t="str">
        <f>IF(A778="","",Tabulka_nakup_Vonka[[#This Row],[Počet MJHR v rozpadu]]*Tabulka_nakup_Vonka[[#This Row],[Jedn. hmotnost '[kg/MJHR']]])</f>
        <v/>
      </c>
    </row>
    <row r="779" spans="1:11" x14ac:dyDescent="0.35">
      <c r="A779" s="709" t="str">
        <f>IF('Rozpad zakázky'!E795=0,"",IF('Rozpad zakázky'!E795="-","",'Rozpad zakázky'!E795))</f>
        <v/>
      </c>
      <c r="B779" s="708" t="str">
        <f>IF(A779="","",IF(A779="","",VLOOKUP(A:A,Pomocna_Nakup[],3,0))&amp;" | "&amp;IF(A779="","",VLOOKUP(A:A,Pomocna_Nakup[],4,0)))</f>
        <v/>
      </c>
      <c r="C779" s="710" t="str">
        <f>IF(Tabulka_nakup_Vonka[[#This Row],[Zkratka kalkulační položky]]="","",Tabulka_nakup_Vonka[[#This Row],[Zkratka kalkulační položky]]&amp;" | "&amp;IF(A779="","",VLOOKUP(A:A,Pomocna_Nakup[],2,0)))</f>
        <v/>
      </c>
      <c r="D779" s="710" t="str">
        <f>IF(A779="","",'Rozpad zakázky'!F795)</f>
        <v/>
      </c>
      <c r="E779" s="710" t="str">
        <f>IF(A779="","",'Rozpad zakázky'!D795&amp;IF('Rozpad zakázky'!G795="",""," ("&amp;'Rozpad zakázky'!G795&amp;")"))</f>
        <v/>
      </c>
      <c r="F779" s="709" t="str">
        <f>IF(A779="","",'Rozpad zakázky'!IW795)</f>
        <v/>
      </c>
      <c r="G779" s="711" t="str">
        <f>IF(A779="","",'Rozpad zakázky'!AE795)</f>
        <v/>
      </c>
      <c r="H779" s="717" t="str">
        <f>IF(A779="","",'Rozpad zakázky'!AJ795)</f>
        <v/>
      </c>
      <c r="I779" s="748" t="str">
        <f>IF(A779="","",'Rozpad zakázky'!Q795)</f>
        <v/>
      </c>
      <c r="J779" s="717" t="str">
        <f>IF(A779="","",ROUNDDOWN('Rozpad zakázky'!L795,1))</f>
        <v/>
      </c>
      <c r="K779" s="745" t="str">
        <f>IF(A779="","",Tabulka_nakup_Vonka[[#This Row],[Počet MJHR v rozpadu]]*Tabulka_nakup_Vonka[[#This Row],[Jedn. hmotnost '[kg/MJHR']]])</f>
        <v/>
      </c>
    </row>
    <row r="780" spans="1:11" x14ac:dyDescent="0.35">
      <c r="A780" s="709" t="str">
        <f>IF('Rozpad zakázky'!E796=0,"",IF('Rozpad zakázky'!E796="-","",'Rozpad zakázky'!E796))</f>
        <v/>
      </c>
      <c r="B780" s="708" t="str">
        <f>IF(A780="","",IF(A780="","",VLOOKUP(A:A,Pomocna_Nakup[],3,0))&amp;" | "&amp;IF(A780="","",VLOOKUP(A:A,Pomocna_Nakup[],4,0)))</f>
        <v/>
      </c>
      <c r="C780" s="710" t="str">
        <f>IF(Tabulka_nakup_Vonka[[#This Row],[Zkratka kalkulační položky]]="","",Tabulka_nakup_Vonka[[#This Row],[Zkratka kalkulační položky]]&amp;" | "&amp;IF(A780="","",VLOOKUP(A:A,Pomocna_Nakup[],2,0)))</f>
        <v/>
      </c>
      <c r="D780" s="710" t="str">
        <f>IF(A780="","",'Rozpad zakázky'!F796)</f>
        <v/>
      </c>
      <c r="E780" s="710" t="str">
        <f>IF(A780="","",'Rozpad zakázky'!D796&amp;IF('Rozpad zakázky'!G796="",""," ("&amp;'Rozpad zakázky'!G796&amp;")"))</f>
        <v/>
      </c>
      <c r="F780" s="709" t="str">
        <f>IF(A780="","",'Rozpad zakázky'!IW796)</f>
        <v/>
      </c>
      <c r="G780" s="711" t="str">
        <f>IF(A780="","",'Rozpad zakázky'!AE796)</f>
        <v/>
      </c>
      <c r="H780" s="717" t="str">
        <f>IF(A780="","",'Rozpad zakázky'!AJ796)</f>
        <v/>
      </c>
      <c r="I780" s="748" t="str">
        <f>IF(A780="","",'Rozpad zakázky'!Q796)</f>
        <v/>
      </c>
      <c r="J780" s="717" t="str">
        <f>IF(A780="","",ROUNDDOWN('Rozpad zakázky'!L796,1))</f>
        <v/>
      </c>
      <c r="K780" s="745" t="str">
        <f>IF(A780="","",Tabulka_nakup_Vonka[[#This Row],[Počet MJHR v rozpadu]]*Tabulka_nakup_Vonka[[#This Row],[Jedn. hmotnost '[kg/MJHR']]])</f>
        <v/>
      </c>
    </row>
    <row r="781" spans="1:11" x14ac:dyDescent="0.35">
      <c r="A781" s="709" t="str">
        <f>IF('Rozpad zakázky'!E797=0,"",IF('Rozpad zakázky'!E797="-","",'Rozpad zakázky'!E797))</f>
        <v/>
      </c>
      <c r="B781" s="708" t="str">
        <f>IF(A781="","",IF(A781="","",VLOOKUP(A:A,Pomocna_Nakup[],3,0))&amp;" | "&amp;IF(A781="","",VLOOKUP(A:A,Pomocna_Nakup[],4,0)))</f>
        <v/>
      </c>
      <c r="C781" s="710" t="str">
        <f>IF(Tabulka_nakup_Vonka[[#This Row],[Zkratka kalkulační položky]]="","",Tabulka_nakup_Vonka[[#This Row],[Zkratka kalkulační položky]]&amp;" | "&amp;IF(A781="","",VLOOKUP(A:A,Pomocna_Nakup[],2,0)))</f>
        <v/>
      </c>
      <c r="D781" s="710" t="str">
        <f>IF(A781="","",'Rozpad zakázky'!F797)</f>
        <v/>
      </c>
      <c r="E781" s="710" t="str">
        <f>IF(A781="","",'Rozpad zakázky'!D797&amp;IF('Rozpad zakázky'!G797="",""," ("&amp;'Rozpad zakázky'!G797&amp;")"))</f>
        <v/>
      </c>
      <c r="F781" s="709" t="str">
        <f>IF(A781="","",'Rozpad zakázky'!IW797)</f>
        <v/>
      </c>
      <c r="G781" s="711" t="str">
        <f>IF(A781="","",'Rozpad zakázky'!AE797)</f>
        <v/>
      </c>
      <c r="H781" s="717" t="str">
        <f>IF(A781="","",'Rozpad zakázky'!AJ797)</f>
        <v/>
      </c>
      <c r="I781" s="748" t="str">
        <f>IF(A781="","",'Rozpad zakázky'!Q797)</f>
        <v/>
      </c>
      <c r="J781" s="717" t="str">
        <f>IF(A781="","",ROUNDDOWN('Rozpad zakázky'!L797,1))</f>
        <v/>
      </c>
      <c r="K781" s="745" t="str">
        <f>IF(A781="","",Tabulka_nakup_Vonka[[#This Row],[Počet MJHR v rozpadu]]*Tabulka_nakup_Vonka[[#This Row],[Jedn. hmotnost '[kg/MJHR']]])</f>
        <v/>
      </c>
    </row>
    <row r="782" spans="1:11" x14ac:dyDescent="0.35">
      <c r="A782" s="709" t="str">
        <f>IF('Rozpad zakázky'!E798=0,"",IF('Rozpad zakázky'!E798="-","",'Rozpad zakázky'!E798))</f>
        <v/>
      </c>
      <c r="B782" s="708" t="str">
        <f>IF(A782="","",IF(A782="","",VLOOKUP(A:A,Pomocna_Nakup[],3,0))&amp;" | "&amp;IF(A782="","",VLOOKUP(A:A,Pomocna_Nakup[],4,0)))</f>
        <v/>
      </c>
      <c r="C782" s="710" t="str">
        <f>IF(Tabulka_nakup_Vonka[[#This Row],[Zkratka kalkulační položky]]="","",Tabulka_nakup_Vonka[[#This Row],[Zkratka kalkulační položky]]&amp;" | "&amp;IF(A782="","",VLOOKUP(A:A,Pomocna_Nakup[],2,0)))</f>
        <v/>
      </c>
      <c r="D782" s="710" t="str">
        <f>IF(A782="","",'Rozpad zakázky'!F798)</f>
        <v/>
      </c>
      <c r="E782" s="710" t="str">
        <f>IF(A782="","",'Rozpad zakázky'!D798&amp;IF('Rozpad zakázky'!G798="",""," ("&amp;'Rozpad zakázky'!G798&amp;")"))</f>
        <v/>
      </c>
      <c r="F782" s="709" t="str">
        <f>IF(A782="","",'Rozpad zakázky'!IW798)</f>
        <v/>
      </c>
      <c r="G782" s="711" t="str">
        <f>IF(A782="","",'Rozpad zakázky'!AE798)</f>
        <v/>
      </c>
      <c r="H782" s="717" t="str">
        <f>IF(A782="","",'Rozpad zakázky'!AJ798)</f>
        <v/>
      </c>
      <c r="I782" s="748" t="str">
        <f>IF(A782="","",'Rozpad zakázky'!Q798)</f>
        <v/>
      </c>
      <c r="J782" s="717" t="str">
        <f>IF(A782="","",ROUNDDOWN('Rozpad zakázky'!L798,1))</f>
        <v/>
      </c>
      <c r="K782" s="745" t="str">
        <f>IF(A782="","",Tabulka_nakup_Vonka[[#This Row],[Počet MJHR v rozpadu]]*Tabulka_nakup_Vonka[[#This Row],[Jedn. hmotnost '[kg/MJHR']]])</f>
        <v/>
      </c>
    </row>
    <row r="783" spans="1:11" x14ac:dyDescent="0.35">
      <c r="A783" s="709" t="str">
        <f>IF('Rozpad zakázky'!E799=0,"",IF('Rozpad zakázky'!E799="-","",'Rozpad zakázky'!E799))</f>
        <v/>
      </c>
      <c r="B783" s="708" t="str">
        <f>IF(A783="","",IF(A783="","",VLOOKUP(A:A,Pomocna_Nakup[],3,0))&amp;" | "&amp;IF(A783="","",VLOOKUP(A:A,Pomocna_Nakup[],4,0)))</f>
        <v/>
      </c>
      <c r="C783" s="710" t="str">
        <f>IF(Tabulka_nakup_Vonka[[#This Row],[Zkratka kalkulační položky]]="","",Tabulka_nakup_Vonka[[#This Row],[Zkratka kalkulační položky]]&amp;" | "&amp;IF(A783="","",VLOOKUP(A:A,Pomocna_Nakup[],2,0)))</f>
        <v/>
      </c>
      <c r="D783" s="710" t="str">
        <f>IF(A783="","",'Rozpad zakázky'!F799)</f>
        <v/>
      </c>
      <c r="E783" s="710" t="str">
        <f>IF(A783="","",'Rozpad zakázky'!D799&amp;IF('Rozpad zakázky'!G799="",""," ("&amp;'Rozpad zakázky'!G799&amp;")"))</f>
        <v/>
      </c>
      <c r="F783" s="709" t="str">
        <f>IF(A783="","",'Rozpad zakázky'!IW799)</f>
        <v/>
      </c>
      <c r="G783" s="711" t="str">
        <f>IF(A783="","",'Rozpad zakázky'!AE799)</f>
        <v/>
      </c>
      <c r="H783" s="717" t="str">
        <f>IF(A783="","",'Rozpad zakázky'!AJ799)</f>
        <v/>
      </c>
      <c r="I783" s="748" t="str">
        <f>IF(A783="","",'Rozpad zakázky'!Q799)</f>
        <v/>
      </c>
      <c r="J783" s="717" t="str">
        <f>IF(A783="","",ROUNDDOWN('Rozpad zakázky'!L799,1))</f>
        <v/>
      </c>
      <c r="K783" s="745" t="str">
        <f>IF(A783="","",Tabulka_nakup_Vonka[[#This Row],[Počet MJHR v rozpadu]]*Tabulka_nakup_Vonka[[#This Row],[Jedn. hmotnost '[kg/MJHR']]])</f>
        <v/>
      </c>
    </row>
    <row r="784" spans="1:11" x14ac:dyDescent="0.35">
      <c r="A784" s="709" t="str">
        <f>IF('Rozpad zakázky'!E800=0,"",IF('Rozpad zakázky'!E800="-","",'Rozpad zakázky'!E800))</f>
        <v/>
      </c>
      <c r="B784" s="708" t="str">
        <f>IF(A784="","",IF(A784="","",VLOOKUP(A:A,Pomocna_Nakup[],3,0))&amp;" | "&amp;IF(A784="","",VLOOKUP(A:A,Pomocna_Nakup[],4,0)))</f>
        <v/>
      </c>
      <c r="C784" s="710" t="str">
        <f>IF(Tabulka_nakup_Vonka[[#This Row],[Zkratka kalkulační položky]]="","",Tabulka_nakup_Vonka[[#This Row],[Zkratka kalkulační položky]]&amp;" | "&amp;IF(A784="","",VLOOKUP(A:A,Pomocna_Nakup[],2,0)))</f>
        <v/>
      </c>
      <c r="D784" s="710" t="str">
        <f>IF(A784="","",'Rozpad zakázky'!F800)</f>
        <v/>
      </c>
      <c r="E784" s="710" t="str">
        <f>IF(A784="","",'Rozpad zakázky'!D800&amp;IF('Rozpad zakázky'!G800="",""," ("&amp;'Rozpad zakázky'!G800&amp;")"))</f>
        <v/>
      </c>
      <c r="F784" s="709" t="str">
        <f>IF(A784="","",'Rozpad zakázky'!IW800)</f>
        <v/>
      </c>
      <c r="G784" s="711" t="str">
        <f>IF(A784="","",'Rozpad zakázky'!AE800)</f>
        <v/>
      </c>
      <c r="H784" s="717" t="str">
        <f>IF(A784="","",'Rozpad zakázky'!AJ800)</f>
        <v/>
      </c>
      <c r="I784" s="748" t="str">
        <f>IF(A784="","",'Rozpad zakázky'!Q800)</f>
        <v/>
      </c>
      <c r="J784" s="717" t="str">
        <f>IF(A784="","",ROUNDDOWN('Rozpad zakázky'!L800,1))</f>
        <v/>
      </c>
      <c r="K784" s="745" t="str">
        <f>IF(A784="","",Tabulka_nakup_Vonka[[#This Row],[Počet MJHR v rozpadu]]*Tabulka_nakup_Vonka[[#This Row],[Jedn. hmotnost '[kg/MJHR']]])</f>
        <v/>
      </c>
    </row>
    <row r="785" spans="1:11" x14ac:dyDescent="0.35">
      <c r="A785" s="709" t="str">
        <f>IF('Rozpad zakázky'!E801=0,"",IF('Rozpad zakázky'!E801="-","",'Rozpad zakázky'!E801))</f>
        <v/>
      </c>
      <c r="B785" s="708" t="str">
        <f>IF(A785="","",IF(A785="","",VLOOKUP(A:A,Pomocna_Nakup[],3,0))&amp;" | "&amp;IF(A785="","",VLOOKUP(A:A,Pomocna_Nakup[],4,0)))</f>
        <v/>
      </c>
      <c r="C785" s="710" t="str">
        <f>IF(Tabulka_nakup_Vonka[[#This Row],[Zkratka kalkulační položky]]="","",Tabulka_nakup_Vonka[[#This Row],[Zkratka kalkulační položky]]&amp;" | "&amp;IF(A785="","",VLOOKUP(A:A,Pomocna_Nakup[],2,0)))</f>
        <v/>
      </c>
      <c r="D785" s="710" t="str">
        <f>IF(A785="","",'Rozpad zakázky'!F801)</f>
        <v/>
      </c>
      <c r="E785" s="710" t="str">
        <f>IF(A785="","",'Rozpad zakázky'!D801&amp;IF('Rozpad zakázky'!G801="",""," ("&amp;'Rozpad zakázky'!G801&amp;")"))</f>
        <v/>
      </c>
      <c r="F785" s="709" t="str">
        <f>IF(A785="","",'Rozpad zakázky'!IW801)</f>
        <v/>
      </c>
      <c r="G785" s="711" t="str">
        <f>IF(A785="","",'Rozpad zakázky'!AE801)</f>
        <v/>
      </c>
      <c r="H785" s="717" t="str">
        <f>IF(A785="","",'Rozpad zakázky'!AJ801)</f>
        <v/>
      </c>
      <c r="I785" s="748" t="str">
        <f>IF(A785="","",'Rozpad zakázky'!Q801)</f>
        <v/>
      </c>
      <c r="J785" s="717" t="str">
        <f>IF(A785="","",ROUNDDOWN('Rozpad zakázky'!L801,1))</f>
        <v/>
      </c>
      <c r="K785" s="745" t="str">
        <f>IF(A785="","",Tabulka_nakup_Vonka[[#This Row],[Počet MJHR v rozpadu]]*Tabulka_nakup_Vonka[[#This Row],[Jedn. hmotnost '[kg/MJHR']]])</f>
        <v/>
      </c>
    </row>
    <row r="786" spans="1:11" x14ac:dyDescent="0.35">
      <c r="A786" s="709" t="str">
        <f>IF('Rozpad zakázky'!E802=0,"",IF('Rozpad zakázky'!E802="-","",'Rozpad zakázky'!E802))</f>
        <v/>
      </c>
      <c r="B786" s="708" t="str">
        <f>IF(A786="","",IF(A786="","",VLOOKUP(A:A,Pomocna_Nakup[],3,0))&amp;" | "&amp;IF(A786="","",VLOOKUP(A:A,Pomocna_Nakup[],4,0)))</f>
        <v/>
      </c>
      <c r="C786" s="710" t="str">
        <f>IF(Tabulka_nakup_Vonka[[#This Row],[Zkratka kalkulační položky]]="","",Tabulka_nakup_Vonka[[#This Row],[Zkratka kalkulační položky]]&amp;" | "&amp;IF(A786="","",VLOOKUP(A:A,Pomocna_Nakup[],2,0)))</f>
        <v/>
      </c>
      <c r="D786" s="710" t="str">
        <f>IF(A786="","",'Rozpad zakázky'!F802)</f>
        <v/>
      </c>
      <c r="E786" s="710" t="str">
        <f>IF(A786="","",'Rozpad zakázky'!D802&amp;IF('Rozpad zakázky'!G802="",""," ("&amp;'Rozpad zakázky'!G802&amp;")"))</f>
        <v/>
      </c>
      <c r="F786" s="709" t="str">
        <f>IF(A786="","",'Rozpad zakázky'!IW802)</f>
        <v/>
      </c>
      <c r="G786" s="711" t="str">
        <f>IF(A786="","",'Rozpad zakázky'!AE802)</f>
        <v/>
      </c>
      <c r="H786" s="717" t="str">
        <f>IF(A786="","",'Rozpad zakázky'!AJ802)</f>
        <v/>
      </c>
      <c r="I786" s="748" t="str">
        <f>IF(A786="","",'Rozpad zakázky'!Q802)</f>
        <v/>
      </c>
      <c r="J786" s="717" t="str">
        <f>IF(A786="","",ROUNDDOWN('Rozpad zakázky'!L802,1))</f>
        <v/>
      </c>
      <c r="K786" s="745" t="str">
        <f>IF(A786="","",Tabulka_nakup_Vonka[[#This Row],[Počet MJHR v rozpadu]]*Tabulka_nakup_Vonka[[#This Row],[Jedn. hmotnost '[kg/MJHR']]])</f>
        <v/>
      </c>
    </row>
    <row r="787" spans="1:11" x14ac:dyDescent="0.35">
      <c r="A787" s="709" t="str">
        <f>IF('Rozpad zakázky'!E803=0,"",IF('Rozpad zakázky'!E803="-","",'Rozpad zakázky'!E803))</f>
        <v/>
      </c>
      <c r="B787" s="708" t="str">
        <f>IF(A787="","",IF(A787="","",VLOOKUP(A:A,Pomocna_Nakup[],3,0))&amp;" | "&amp;IF(A787="","",VLOOKUP(A:A,Pomocna_Nakup[],4,0)))</f>
        <v/>
      </c>
      <c r="C787" s="710" t="str">
        <f>IF(Tabulka_nakup_Vonka[[#This Row],[Zkratka kalkulační položky]]="","",Tabulka_nakup_Vonka[[#This Row],[Zkratka kalkulační položky]]&amp;" | "&amp;IF(A787="","",VLOOKUP(A:A,Pomocna_Nakup[],2,0)))</f>
        <v/>
      </c>
      <c r="D787" s="710" t="str">
        <f>IF(A787="","",'Rozpad zakázky'!F803)</f>
        <v/>
      </c>
      <c r="E787" s="710" t="str">
        <f>IF(A787="","",'Rozpad zakázky'!D803&amp;IF('Rozpad zakázky'!G803="",""," ("&amp;'Rozpad zakázky'!G803&amp;")"))</f>
        <v/>
      </c>
      <c r="F787" s="709" t="str">
        <f>IF(A787="","",'Rozpad zakázky'!IW803)</f>
        <v/>
      </c>
      <c r="G787" s="711" t="str">
        <f>IF(A787="","",'Rozpad zakázky'!AE803)</f>
        <v/>
      </c>
      <c r="H787" s="717" t="str">
        <f>IF(A787="","",'Rozpad zakázky'!AJ803)</f>
        <v/>
      </c>
      <c r="I787" s="748" t="str">
        <f>IF(A787="","",'Rozpad zakázky'!Q803)</f>
        <v/>
      </c>
      <c r="J787" s="717" t="str">
        <f>IF(A787="","",ROUNDDOWN('Rozpad zakázky'!L803,1))</f>
        <v/>
      </c>
      <c r="K787" s="745" t="str">
        <f>IF(A787="","",Tabulka_nakup_Vonka[[#This Row],[Počet MJHR v rozpadu]]*Tabulka_nakup_Vonka[[#This Row],[Jedn. hmotnost '[kg/MJHR']]])</f>
        <v/>
      </c>
    </row>
    <row r="788" spans="1:11" x14ac:dyDescent="0.35">
      <c r="A788" s="709" t="str">
        <f>IF('Rozpad zakázky'!E804=0,"",IF('Rozpad zakázky'!E804="-","",'Rozpad zakázky'!E804))</f>
        <v/>
      </c>
      <c r="B788" s="708" t="str">
        <f>IF(A788="","",IF(A788="","",VLOOKUP(A:A,Pomocna_Nakup[],3,0))&amp;" | "&amp;IF(A788="","",VLOOKUP(A:A,Pomocna_Nakup[],4,0)))</f>
        <v/>
      </c>
      <c r="C788" s="710" t="str">
        <f>IF(Tabulka_nakup_Vonka[[#This Row],[Zkratka kalkulační položky]]="","",Tabulka_nakup_Vonka[[#This Row],[Zkratka kalkulační položky]]&amp;" | "&amp;IF(A788="","",VLOOKUP(A:A,Pomocna_Nakup[],2,0)))</f>
        <v/>
      </c>
      <c r="D788" s="710" t="str">
        <f>IF(A788="","",'Rozpad zakázky'!F804)</f>
        <v/>
      </c>
      <c r="E788" s="710" t="str">
        <f>IF(A788="","",'Rozpad zakázky'!D804&amp;IF('Rozpad zakázky'!G804="",""," ("&amp;'Rozpad zakázky'!G804&amp;")"))</f>
        <v/>
      </c>
      <c r="F788" s="709" t="str">
        <f>IF(A788="","",'Rozpad zakázky'!IW804)</f>
        <v/>
      </c>
      <c r="G788" s="711" t="str">
        <f>IF(A788="","",'Rozpad zakázky'!AE804)</f>
        <v/>
      </c>
      <c r="H788" s="717" t="str">
        <f>IF(A788="","",'Rozpad zakázky'!AJ804)</f>
        <v/>
      </c>
      <c r="I788" s="748" t="str">
        <f>IF(A788="","",'Rozpad zakázky'!Q804)</f>
        <v/>
      </c>
      <c r="J788" s="717" t="str">
        <f>IF(A788="","",ROUNDDOWN('Rozpad zakázky'!L804,1))</f>
        <v/>
      </c>
      <c r="K788" s="745" t="str">
        <f>IF(A788="","",Tabulka_nakup_Vonka[[#This Row],[Počet MJHR v rozpadu]]*Tabulka_nakup_Vonka[[#This Row],[Jedn. hmotnost '[kg/MJHR']]])</f>
        <v/>
      </c>
    </row>
    <row r="789" spans="1:11" x14ac:dyDescent="0.35">
      <c r="A789" s="709" t="str">
        <f>IF('Rozpad zakázky'!E805=0,"",IF('Rozpad zakázky'!E805="-","",'Rozpad zakázky'!E805))</f>
        <v/>
      </c>
      <c r="B789" s="708" t="str">
        <f>IF(A789="","",IF(A789="","",VLOOKUP(A:A,Pomocna_Nakup[],3,0))&amp;" | "&amp;IF(A789="","",VLOOKUP(A:A,Pomocna_Nakup[],4,0)))</f>
        <v/>
      </c>
      <c r="C789" s="710" t="str">
        <f>IF(Tabulka_nakup_Vonka[[#This Row],[Zkratka kalkulační položky]]="","",Tabulka_nakup_Vonka[[#This Row],[Zkratka kalkulační položky]]&amp;" | "&amp;IF(A789="","",VLOOKUP(A:A,Pomocna_Nakup[],2,0)))</f>
        <v/>
      </c>
      <c r="D789" s="710" t="str">
        <f>IF(A789="","",'Rozpad zakázky'!F805)</f>
        <v/>
      </c>
      <c r="E789" s="710" t="str">
        <f>IF(A789="","",'Rozpad zakázky'!D805&amp;IF('Rozpad zakázky'!G805="",""," ("&amp;'Rozpad zakázky'!G805&amp;")"))</f>
        <v/>
      </c>
      <c r="F789" s="709" t="str">
        <f>IF(A789="","",'Rozpad zakázky'!IW805)</f>
        <v/>
      </c>
      <c r="G789" s="711" t="str">
        <f>IF(A789="","",'Rozpad zakázky'!AE805)</f>
        <v/>
      </c>
      <c r="H789" s="717" t="str">
        <f>IF(A789="","",'Rozpad zakázky'!AJ805)</f>
        <v/>
      </c>
      <c r="I789" s="748" t="str">
        <f>IF(A789="","",'Rozpad zakázky'!Q805)</f>
        <v/>
      </c>
      <c r="J789" s="717" t="str">
        <f>IF(A789="","",ROUNDDOWN('Rozpad zakázky'!L805,1))</f>
        <v/>
      </c>
      <c r="K789" s="745" t="str">
        <f>IF(A789="","",Tabulka_nakup_Vonka[[#This Row],[Počet MJHR v rozpadu]]*Tabulka_nakup_Vonka[[#This Row],[Jedn. hmotnost '[kg/MJHR']]])</f>
        <v/>
      </c>
    </row>
    <row r="790" spans="1:11" x14ac:dyDescent="0.35">
      <c r="A790" s="709" t="str">
        <f>IF('Rozpad zakázky'!E806=0,"",IF('Rozpad zakázky'!E806="-","",'Rozpad zakázky'!E806))</f>
        <v/>
      </c>
      <c r="B790" s="708" t="str">
        <f>IF(A790="","",IF(A790="","",VLOOKUP(A:A,Pomocna_Nakup[],3,0))&amp;" | "&amp;IF(A790="","",VLOOKUP(A:A,Pomocna_Nakup[],4,0)))</f>
        <v/>
      </c>
      <c r="C790" s="710" t="str">
        <f>IF(Tabulka_nakup_Vonka[[#This Row],[Zkratka kalkulační položky]]="","",Tabulka_nakup_Vonka[[#This Row],[Zkratka kalkulační položky]]&amp;" | "&amp;IF(A790="","",VLOOKUP(A:A,Pomocna_Nakup[],2,0)))</f>
        <v/>
      </c>
      <c r="D790" s="710" t="str">
        <f>IF(A790="","",'Rozpad zakázky'!F806)</f>
        <v/>
      </c>
      <c r="E790" s="710" t="str">
        <f>IF(A790="","",'Rozpad zakázky'!D806&amp;IF('Rozpad zakázky'!G806="",""," ("&amp;'Rozpad zakázky'!G806&amp;")"))</f>
        <v/>
      </c>
      <c r="F790" s="709" t="str">
        <f>IF(A790="","",'Rozpad zakázky'!IW806)</f>
        <v/>
      </c>
      <c r="G790" s="711" t="str">
        <f>IF(A790="","",'Rozpad zakázky'!AE806)</f>
        <v/>
      </c>
      <c r="H790" s="717" t="str">
        <f>IF(A790="","",'Rozpad zakázky'!AJ806)</f>
        <v/>
      </c>
      <c r="I790" s="748" t="str">
        <f>IF(A790="","",'Rozpad zakázky'!Q806)</f>
        <v/>
      </c>
      <c r="J790" s="717" t="str">
        <f>IF(A790="","",ROUNDDOWN('Rozpad zakázky'!L806,1))</f>
        <v/>
      </c>
      <c r="K790" s="745" t="str">
        <f>IF(A790="","",Tabulka_nakup_Vonka[[#This Row],[Počet MJHR v rozpadu]]*Tabulka_nakup_Vonka[[#This Row],[Jedn. hmotnost '[kg/MJHR']]])</f>
        <v/>
      </c>
    </row>
    <row r="791" spans="1:11" x14ac:dyDescent="0.35">
      <c r="A791" s="709" t="str">
        <f>IF('Rozpad zakázky'!E807=0,"",IF('Rozpad zakázky'!E807="-","",'Rozpad zakázky'!E807))</f>
        <v/>
      </c>
      <c r="B791" s="708" t="str">
        <f>IF(A791="","",IF(A791="","",VLOOKUP(A:A,Pomocna_Nakup[],3,0))&amp;" | "&amp;IF(A791="","",VLOOKUP(A:A,Pomocna_Nakup[],4,0)))</f>
        <v/>
      </c>
      <c r="C791" s="710" t="str">
        <f>IF(Tabulka_nakup_Vonka[[#This Row],[Zkratka kalkulační položky]]="","",Tabulka_nakup_Vonka[[#This Row],[Zkratka kalkulační položky]]&amp;" | "&amp;IF(A791="","",VLOOKUP(A:A,Pomocna_Nakup[],2,0)))</f>
        <v/>
      </c>
      <c r="D791" s="710" t="str">
        <f>IF(A791="","",'Rozpad zakázky'!F807)</f>
        <v/>
      </c>
      <c r="E791" s="710" t="str">
        <f>IF(A791="","",'Rozpad zakázky'!D807&amp;IF('Rozpad zakázky'!G807="",""," ("&amp;'Rozpad zakázky'!G807&amp;")"))</f>
        <v/>
      </c>
      <c r="F791" s="709" t="str">
        <f>IF(A791="","",'Rozpad zakázky'!IW807)</f>
        <v/>
      </c>
      <c r="G791" s="711" t="str">
        <f>IF(A791="","",'Rozpad zakázky'!AE807)</f>
        <v/>
      </c>
      <c r="H791" s="717" t="str">
        <f>IF(A791="","",'Rozpad zakázky'!AJ807)</f>
        <v/>
      </c>
      <c r="I791" s="748" t="str">
        <f>IF(A791="","",'Rozpad zakázky'!Q807)</f>
        <v/>
      </c>
      <c r="J791" s="717" t="str">
        <f>IF(A791="","",ROUNDDOWN('Rozpad zakázky'!L807,1))</f>
        <v/>
      </c>
      <c r="K791" s="745" t="str">
        <f>IF(A791="","",Tabulka_nakup_Vonka[[#This Row],[Počet MJHR v rozpadu]]*Tabulka_nakup_Vonka[[#This Row],[Jedn. hmotnost '[kg/MJHR']]])</f>
        <v/>
      </c>
    </row>
    <row r="792" spans="1:11" x14ac:dyDescent="0.35">
      <c r="A792" s="709" t="str">
        <f>IF('Rozpad zakázky'!E808=0,"",IF('Rozpad zakázky'!E808="-","",'Rozpad zakázky'!E808))</f>
        <v/>
      </c>
      <c r="B792" s="708" t="str">
        <f>IF(A792="","",IF(A792="","",VLOOKUP(A:A,Pomocna_Nakup[],3,0))&amp;" | "&amp;IF(A792="","",VLOOKUP(A:A,Pomocna_Nakup[],4,0)))</f>
        <v/>
      </c>
      <c r="C792" s="710" t="str">
        <f>IF(Tabulka_nakup_Vonka[[#This Row],[Zkratka kalkulační položky]]="","",Tabulka_nakup_Vonka[[#This Row],[Zkratka kalkulační položky]]&amp;" | "&amp;IF(A792="","",VLOOKUP(A:A,Pomocna_Nakup[],2,0)))</f>
        <v/>
      </c>
      <c r="D792" s="710" t="str">
        <f>IF(A792="","",'Rozpad zakázky'!F808)</f>
        <v/>
      </c>
      <c r="E792" s="710" t="str">
        <f>IF(A792="","",'Rozpad zakázky'!D808&amp;IF('Rozpad zakázky'!G808="",""," ("&amp;'Rozpad zakázky'!G808&amp;")"))</f>
        <v/>
      </c>
      <c r="F792" s="709" t="str">
        <f>IF(A792="","",'Rozpad zakázky'!IW808)</f>
        <v/>
      </c>
      <c r="G792" s="711" t="str">
        <f>IF(A792="","",'Rozpad zakázky'!AE808)</f>
        <v/>
      </c>
      <c r="H792" s="717" t="str">
        <f>IF(A792="","",'Rozpad zakázky'!AJ808)</f>
        <v/>
      </c>
      <c r="I792" s="748" t="str">
        <f>IF(A792="","",'Rozpad zakázky'!Q808)</f>
        <v/>
      </c>
      <c r="J792" s="717" t="str">
        <f>IF(A792="","",ROUNDDOWN('Rozpad zakázky'!L808,1))</f>
        <v/>
      </c>
      <c r="K792" s="745" t="str">
        <f>IF(A792="","",Tabulka_nakup_Vonka[[#This Row],[Počet MJHR v rozpadu]]*Tabulka_nakup_Vonka[[#This Row],[Jedn. hmotnost '[kg/MJHR']]])</f>
        <v/>
      </c>
    </row>
    <row r="793" spans="1:11" x14ac:dyDescent="0.35">
      <c r="A793" s="709" t="str">
        <f>IF('Rozpad zakázky'!E809=0,"",IF('Rozpad zakázky'!E809="-","",'Rozpad zakázky'!E809))</f>
        <v/>
      </c>
      <c r="B793" s="708" t="str">
        <f>IF(A793="","",IF(A793="","",VLOOKUP(A:A,Pomocna_Nakup[],3,0))&amp;" | "&amp;IF(A793="","",VLOOKUP(A:A,Pomocna_Nakup[],4,0)))</f>
        <v/>
      </c>
      <c r="C793" s="710" t="str">
        <f>IF(Tabulka_nakup_Vonka[[#This Row],[Zkratka kalkulační položky]]="","",Tabulka_nakup_Vonka[[#This Row],[Zkratka kalkulační položky]]&amp;" | "&amp;IF(A793="","",VLOOKUP(A:A,Pomocna_Nakup[],2,0)))</f>
        <v/>
      </c>
      <c r="D793" s="710" t="str">
        <f>IF(A793="","",'Rozpad zakázky'!F809)</f>
        <v/>
      </c>
      <c r="E793" s="710" t="str">
        <f>IF(A793="","",'Rozpad zakázky'!D809&amp;IF('Rozpad zakázky'!G809="",""," ("&amp;'Rozpad zakázky'!G809&amp;")"))</f>
        <v/>
      </c>
      <c r="F793" s="709" t="str">
        <f>IF(A793="","",'Rozpad zakázky'!IW809)</f>
        <v/>
      </c>
      <c r="G793" s="711" t="str">
        <f>IF(A793="","",'Rozpad zakázky'!AE809)</f>
        <v/>
      </c>
      <c r="H793" s="717" t="str">
        <f>IF(A793="","",'Rozpad zakázky'!AJ809)</f>
        <v/>
      </c>
      <c r="I793" s="748" t="str">
        <f>IF(A793="","",'Rozpad zakázky'!Q809)</f>
        <v/>
      </c>
      <c r="J793" s="717" t="str">
        <f>IF(A793="","",ROUNDDOWN('Rozpad zakázky'!L809,1))</f>
        <v/>
      </c>
      <c r="K793" s="745" t="str">
        <f>IF(A793="","",Tabulka_nakup_Vonka[[#This Row],[Počet MJHR v rozpadu]]*Tabulka_nakup_Vonka[[#This Row],[Jedn. hmotnost '[kg/MJHR']]])</f>
        <v/>
      </c>
    </row>
    <row r="794" spans="1:11" x14ac:dyDescent="0.35">
      <c r="A794" s="709" t="str">
        <f>IF('Rozpad zakázky'!E810=0,"",IF('Rozpad zakázky'!E810="-","",'Rozpad zakázky'!E810))</f>
        <v/>
      </c>
      <c r="B794" s="708" t="str">
        <f>IF(A794="","",IF(A794="","",VLOOKUP(A:A,Pomocna_Nakup[],3,0))&amp;" | "&amp;IF(A794="","",VLOOKUP(A:A,Pomocna_Nakup[],4,0)))</f>
        <v/>
      </c>
      <c r="C794" s="710" t="str">
        <f>IF(Tabulka_nakup_Vonka[[#This Row],[Zkratka kalkulační položky]]="","",Tabulka_nakup_Vonka[[#This Row],[Zkratka kalkulační položky]]&amp;" | "&amp;IF(A794="","",VLOOKUP(A:A,Pomocna_Nakup[],2,0)))</f>
        <v/>
      </c>
      <c r="D794" s="710" t="str">
        <f>IF(A794="","",'Rozpad zakázky'!F810)</f>
        <v/>
      </c>
      <c r="E794" s="710" t="str">
        <f>IF(A794="","",'Rozpad zakázky'!D810&amp;IF('Rozpad zakázky'!G810="",""," ("&amp;'Rozpad zakázky'!G810&amp;")"))</f>
        <v/>
      </c>
      <c r="F794" s="709" t="str">
        <f>IF(A794="","",'Rozpad zakázky'!IW810)</f>
        <v/>
      </c>
      <c r="G794" s="711" t="str">
        <f>IF(A794="","",'Rozpad zakázky'!AE810)</f>
        <v/>
      </c>
      <c r="H794" s="717" t="str">
        <f>IF(A794="","",'Rozpad zakázky'!AJ810)</f>
        <v/>
      </c>
      <c r="I794" s="748" t="str">
        <f>IF(A794="","",'Rozpad zakázky'!Q810)</f>
        <v/>
      </c>
      <c r="J794" s="717" t="str">
        <f>IF(A794="","",ROUNDDOWN('Rozpad zakázky'!L810,1))</f>
        <v/>
      </c>
      <c r="K794" s="745" t="str">
        <f>IF(A794="","",Tabulka_nakup_Vonka[[#This Row],[Počet MJHR v rozpadu]]*Tabulka_nakup_Vonka[[#This Row],[Jedn. hmotnost '[kg/MJHR']]])</f>
        <v/>
      </c>
    </row>
    <row r="795" spans="1:11" x14ac:dyDescent="0.35">
      <c r="A795" s="709" t="str">
        <f>IF('Rozpad zakázky'!E811=0,"",IF('Rozpad zakázky'!E811="-","",'Rozpad zakázky'!E811))</f>
        <v/>
      </c>
      <c r="B795" s="708" t="str">
        <f>IF(A795="","",IF(A795="","",VLOOKUP(A:A,Pomocna_Nakup[],3,0))&amp;" | "&amp;IF(A795="","",VLOOKUP(A:A,Pomocna_Nakup[],4,0)))</f>
        <v/>
      </c>
      <c r="C795" s="710" t="str">
        <f>IF(Tabulka_nakup_Vonka[[#This Row],[Zkratka kalkulační položky]]="","",Tabulka_nakup_Vonka[[#This Row],[Zkratka kalkulační položky]]&amp;" | "&amp;IF(A795="","",VLOOKUP(A:A,Pomocna_Nakup[],2,0)))</f>
        <v/>
      </c>
      <c r="D795" s="710" t="str">
        <f>IF(A795="","",'Rozpad zakázky'!F811)</f>
        <v/>
      </c>
      <c r="E795" s="710" t="str">
        <f>IF(A795="","",'Rozpad zakázky'!D811&amp;IF('Rozpad zakázky'!G811="",""," ("&amp;'Rozpad zakázky'!G811&amp;")"))</f>
        <v/>
      </c>
      <c r="F795" s="709" t="str">
        <f>IF(A795="","",'Rozpad zakázky'!IW811)</f>
        <v/>
      </c>
      <c r="G795" s="711" t="str">
        <f>IF(A795="","",'Rozpad zakázky'!AE811)</f>
        <v/>
      </c>
      <c r="H795" s="717" t="str">
        <f>IF(A795="","",'Rozpad zakázky'!AJ811)</f>
        <v/>
      </c>
      <c r="I795" s="748" t="str">
        <f>IF(A795="","",'Rozpad zakázky'!Q811)</f>
        <v/>
      </c>
      <c r="J795" s="717" t="str">
        <f>IF(A795="","",ROUNDDOWN('Rozpad zakázky'!L811,1))</f>
        <v/>
      </c>
      <c r="K795" s="745" t="str">
        <f>IF(A795="","",Tabulka_nakup_Vonka[[#This Row],[Počet MJHR v rozpadu]]*Tabulka_nakup_Vonka[[#This Row],[Jedn. hmotnost '[kg/MJHR']]])</f>
        <v/>
      </c>
    </row>
    <row r="796" spans="1:11" x14ac:dyDescent="0.35">
      <c r="A796" s="709" t="str">
        <f>IF('Rozpad zakázky'!E812=0,"",IF('Rozpad zakázky'!E812="-","",'Rozpad zakázky'!E812))</f>
        <v/>
      </c>
      <c r="B796" s="708" t="str">
        <f>IF(A796="","",IF(A796="","",VLOOKUP(A:A,Pomocna_Nakup[],3,0))&amp;" | "&amp;IF(A796="","",VLOOKUP(A:A,Pomocna_Nakup[],4,0)))</f>
        <v/>
      </c>
      <c r="C796" s="710" t="str">
        <f>IF(Tabulka_nakup_Vonka[[#This Row],[Zkratka kalkulační položky]]="","",Tabulka_nakup_Vonka[[#This Row],[Zkratka kalkulační položky]]&amp;" | "&amp;IF(A796="","",VLOOKUP(A:A,Pomocna_Nakup[],2,0)))</f>
        <v/>
      </c>
      <c r="D796" s="710" t="str">
        <f>IF(A796="","",'Rozpad zakázky'!F812)</f>
        <v/>
      </c>
      <c r="E796" s="710" t="str">
        <f>IF(A796="","",'Rozpad zakázky'!D812&amp;IF('Rozpad zakázky'!G812="",""," ("&amp;'Rozpad zakázky'!G812&amp;")"))</f>
        <v/>
      </c>
      <c r="F796" s="709" t="str">
        <f>IF(A796="","",'Rozpad zakázky'!IW812)</f>
        <v/>
      </c>
      <c r="G796" s="711" t="str">
        <f>IF(A796="","",'Rozpad zakázky'!AE812)</f>
        <v/>
      </c>
      <c r="H796" s="717" t="str">
        <f>IF(A796="","",'Rozpad zakázky'!AJ812)</f>
        <v/>
      </c>
      <c r="I796" s="748" t="str">
        <f>IF(A796="","",'Rozpad zakázky'!Q812)</f>
        <v/>
      </c>
      <c r="J796" s="717" t="str">
        <f>IF(A796="","",ROUNDDOWN('Rozpad zakázky'!L812,1))</f>
        <v/>
      </c>
      <c r="K796" s="745" t="str">
        <f>IF(A796="","",Tabulka_nakup_Vonka[[#This Row],[Počet MJHR v rozpadu]]*Tabulka_nakup_Vonka[[#This Row],[Jedn. hmotnost '[kg/MJHR']]])</f>
        <v/>
      </c>
    </row>
    <row r="797" spans="1:11" x14ac:dyDescent="0.35">
      <c r="A797" s="709" t="str">
        <f>IF('Rozpad zakázky'!E813=0,"",IF('Rozpad zakázky'!E813="-","",'Rozpad zakázky'!E813))</f>
        <v/>
      </c>
      <c r="B797" s="708" t="str">
        <f>IF(A797="","",IF(A797="","",VLOOKUP(A:A,Pomocna_Nakup[],3,0))&amp;" | "&amp;IF(A797="","",VLOOKUP(A:A,Pomocna_Nakup[],4,0)))</f>
        <v/>
      </c>
      <c r="C797" s="710" t="str">
        <f>IF(Tabulka_nakup_Vonka[[#This Row],[Zkratka kalkulační položky]]="","",Tabulka_nakup_Vonka[[#This Row],[Zkratka kalkulační položky]]&amp;" | "&amp;IF(A797="","",VLOOKUP(A:A,Pomocna_Nakup[],2,0)))</f>
        <v/>
      </c>
      <c r="D797" s="710" t="str">
        <f>IF(A797="","",'Rozpad zakázky'!F813)</f>
        <v/>
      </c>
      <c r="E797" s="710" t="str">
        <f>IF(A797="","",'Rozpad zakázky'!D813&amp;IF('Rozpad zakázky'!G813="",""," ("&amp;'Rozpad zakázky'!G813&amp;")"))</f>
        <v/>
      </c>
      <c r="F797" s="709" t="str">
        <f>IF(A797="","",'Rozpad zakázky'!IW813)</f>
        <v/>
      </c>
      <c r="G797" s="711" t="str">
        <f>IF(A797="","",'Rozpad zakázky'!AE813)</f>
        <v/>
      </c>
      <c r="H797" s="717" t="str">
        <f>IF(A797="","",'Rozpad zakázky'!AJ813)</f>
        <v/>
      </c>
      <c r="I797" s="748" t="str">
        <f>IF(A797="","",'Rozpad zakázky'!Q813)</f>
        <v/>
      </c>
      <c r="J797" s="717" t="str">
        <f>IF(A797="","",ROUNDDOWN('Rozpad zakázky'!L813,1))</f>
        <v/>
      </c>
      <c r="K797" s="745" t="str">
        <f>IF(A797="","",Tabulka_nakup_Vonka[[#This Row],[Počet MJHR v rozpadu]]*Tabulka_nakup_Vonka[[#This Row],[Jedn. hmotnost '[kg/MJHR']]])</f>
        <v/>
      </c>
    </row>
    <row r="798" spans="1:11" x14ac:dyDescent="0.35">
      <c r="A798" s="709" t="str">
        <f>IF('Rozpad zakázky'!E814=0,"",IF('Rozpad zakázky'!E814="-","",'Rozpad zakázky'!E814))</f>
        <v/>
      </c>
      <c r="B798" s="708" t="str">
        <f>IF(A798="","",IF(A798="","",VLOOKUP(A:A,Pomocna_Nakup[],3,0))&amp;" | "&amp;IF(A798="","",VLOOKUP(A:A,Pomocna_Nakup[],4,0)))</f>
        <v/>
      </c>
      <c r="C798" s="710" t="str">
        <f>IF(Tabulka_nakup_Vonka[[#This Row],[Zkratka kalkulační položky]]="","",Tabulka_nakup_Vonka[[#This Row],[Zkratka kalkulační položky]]&amp;" | "&amp;IF(A798="","",VLOOKUP(A:A,Pomocna_Nakup[],2,0)))</f>
        <v/>
      </c>
      <c r="D798" s="710" t="str">
        <f>IF(A798="","",'Rozpad zakázky'!F814)</f>
        <v/>
      </c>
      <c r="E798" s="710" t="str">
        <f>IF(A798="","",'Rozpad zakázky'!D814&amp;IF('Rozpad zakázky'!G814="",""," ("&amp;'Rozpad zakázky'!G814&amp;")"))</f>
        <v/>
      </c>
      <c r="F798" s="709" t="str">
        <f>IF(A798="","",'Rozpad zakázky'!IW814)</f>
        <v/>
      </c>
      <c r="G798" s="711" t="str">
        <f>IF(A798="","",'Rozpad zakázky'!AE814)</f>
        <v/>
      </c>
      <c r="H798" s="717" t="str">
        <f>IF(A798="","",'Rozpad zakázky'!AJ814)</f>
        <v/>
      </c>
      <c r="I798" s="748" t="str">
        <f>IF(A798="","",'Rozpad zakázky'!Q814)</f>
        <v/>
      </c>
      <c r="J798" s="717" t="str">
        <f>IF(A798="","",ROUNDDOWN('Rozpad zakázky'!L814,1))</f>
        <v/>
      </c>
      <c r="K798" s="745" t="str">
        <f>IF(A798="","",Tabulka_nakup_Vonka[[#This Row],[Počet MJHR v rozpadu]]*Tabulka_nakup_Vonka[[#This Row],[Jedn. hmotnost '[kg/MJHR']]])</f>
        <v/>
      </c>
    </row>
    <row r="799" spans="1:11" x14ac:dyDescent="0.35">
      <c r="A799" s="709" t="str">
        <f>IF('Rozpad zakázky'!E815=0,"",IF('Rozpad zakázky'!E815="-","",'Rozpad zakázky'!E815))</f>
        <v/>
      </c>
      <c r="B799" s="708" t="str">
        <f>IF(A799="","",IF(A799="","",VLOOKUP(A:A,Pomocna_Nakup[],3,0))&amp;" | "&amp;IF(A799="","",VLOOKUP(A:A,Pomocna_Nakup[],4,0)))</f>
        <v/>
      </c>
      <c r="C799" s="710" t="str">
        <f>IF(Tabulka_nakup_Vonka[[#This Row],[Zkratka kalkulační položky]]="","",Tabulka_nakup_Vonka[[#This Row],[Zkratka kalkulační položky]]&amp;" | "&amp;IF(A799="","",VLOOKUP(A:A,Pomocna_Nakup[],2,0)))</f>
        <v/>
      </c>
      <c r="D799" s="710" t="str">
        <f>IF(A799="","",'Rozpad zakázky'!F815)</f>
        <v/>
      </c>
      <c r="E799" s="710" t="str">
        <f>IF(A799="","",'Rozpad zakázky'!D815&amp;IF('Rozpad zakázky'!G815="",""," ("&amp;'Rozpad zakázky'!G815&amp;")"))</f>
        <v/>
      </c>
      <c r="F799" s="709" t="str">
        <f>IF(A799="","",'Rozpad zakázky'!IW815)</f>
        <v/>
      </c>
      <c r="G799" s="711" t="str">
        <f>IF(A799="","",'Rozpad zakázky'!AE815)</f>
        <v/>
      </c>
      <c r="H799" s="717" t="str">
        <f>IF(A799="","",'Rozpad zakázky'!AJ815)</f>
        <v/>
      </c>
      <c r="I799" s="748" t="str">
        <f>IF(A799="","",'Rozpad zakázky'!Q815)</f>
        <v/>
      </c>
      <c r="J799" s="717" t="str">
        <f>IF(A799="","",ROUNDDOWN('Rozpad zakázky'!L815,1))</f>
        <v/>
      </c>
      <c r="K799" s="745" t="str">
        <f>IF(A799="","",Tabulka_nakup_Vonka[[#This Row],[Počet MJHR v rozpadu]]*Tabulka_nakup_Vonka[[#This Row],[Jedn. hmotnost '[kg/MJHR']]])</f>
        <v/>
      </c>
    </row>
    <row r="800" spans="1:11" x14ac:dyDescent="0.35">
      <c r="A800" s="709" t="str">
        <f>IF('Rozpad zakázky'!E816=0,"",IF('Rozpad zakázky'!E816="-","",'Rozpad zakázky'!E816))</f>
        <v/>
      </c>
      <c r="B800" s="708" t="str">
        <f>IF(A800="","",IF(A800="","",VLOOKUP(A:A,Pomocna_Nakup[],3,0))&amp;" | "&amp;IF(A800="","",VLOOKUP(A:A,Pomocna_Nakup[],4,0)))</f>
        <v/>
      </c>
      <c r="C800" s="710" t="str">
        <f>IF(Tabulka_nakup_Vonka[[#This Row],[Zkratka kalkulační položky]]="","",Tabulka_nakup_Vonka[[#This Row],[Zkratka kalkulační položky]]&amp;" | "&amp;IF(A800="","",VLOOKUP(A:A,Pomocna_Nakup[],2,0)))</f>
        <v/>
      </c>
      <c r="D800" s="710" t="str">
        <f>IF(A800="","",'Rozpad zakázky'!F816)</f>
        <v/>
      </c>
      <c r="E800" s="710" t="str">
        <f>IF(A800="","",'Rozpad zakázky'!D816&amp;IF('Rozpad zakázky'!G816="",""," ("&amp;'Rozpad zakázky'!G816&amp;")"))</f>
        <v/>
      </c>
      <c r="F800" s="709" t="str">
        <f>IF(A800="","",'Rozpad zakázky'!IW816)</f>
        <v/>
      </c>
      <c r="G800" s="711" t="str">
        <f>IF(A800="","",'Rozpad zakázky'!AE816)</f>
        <v/>
      </c>
      <c r="H800" s="717" t="str">
        <f>IF(A800="","",'Rozpad zakázky'!AJ816)</f>
        <v/>
      </c>
      <c r="I800" s="748" t="str">
        <f>IF(A800="","",'Rozpad zakázky'!Q816)</f>
        <v/>
      </c>
      <c r="J800" s="717" t="str">
        <f>IF(A800="","",ROUNDDOWN('Rozpad zakázky'!L816,1))</f>
        <v/>
      </c>
      <c r="K800" s="745" t="str">
        <f>IF(A800="","",Tabulka_nakup_Vonka[[#This Row],[Počet MJHR v rozpadu]]*Tabulka_nakup_Vonka[[#This Row],[Jedn. hmotnost '[kg/MJHR']]])</f>
        <v/>
      </c>
    </row>
    <row r="801" spans="1:11" x14ac:dyDescent="0.35">
      <c r="A801" s="709" t="str">
        <f>IF('Rozpad zakázky'!E817=0,"",IF('Rozpad zakázky'!E817="-","",'Rozpad zakázky'!E817))</f>
        <v/>
      </c>
      <c r="B801" s="708" t="str">
        <f>IF(A801="","",IF(A801="","",VLOOKUP(A:A,Pomocna_Nakup[],3,0))&amp;" | "&amp;IF(A801="","",VLOOKUP(A:A,Pomocna_Nakup[],4,0)))</f>
        <v/>
      </c>
      <c r="C801" s="710" t="str">
        <f>IF(Tabulka_nakup_Vonka[[#This Row],[Zkratka kalkulační položky]]="","",Tabulka_nakup_Vonka[[#This Row],[Zkratka kalkulační položky]]&amp;" | "&amp;IF(A801="","",VLOOKUP(A:A,Pomocna_Nakup[],2,0)))</f>
        <v/>
      </c>
      <c r="D801" s="710" t="str">
        <f>IF(A801="","",'Rozpad zakázky'!F817)</f>
        <v/>
      </c>
      <c r="E801" s="710" t="str">
        <f>IF(A801="","",'Rozpad zakázky'!D817&amp;IF('Rozpad zakázky'!G817="",""," ("&amp;'Rozpad zakázky'!G817&amp;")"))</f>
        <v/>
      </c>
      <c r="F801" s="709" t="str">
        <f>IF(A801="","",'Rozpad zakázky'!IW817)</f>
        <v/>
      </c>
      <c r="G801" s="711" t="str">
        <f>IF(A801="","",'Rozpad zakázky'!AE817)</f>
        <v/>
      </c>
      <c r="H801" s="717" t="str">
        <f>IF(A801="","",'Rozpad zakázky'!AJ817)</f>
        <v/>
      </c>
      <c r="I801" s="748" t="str">
        <f>IF(A801="","",'Rozpad zakázky'!Q817)</f>
        <v/>
      </c>
      <c r="J801" s="717" t="str">
        <f>IF(A801="","",ROUNDDOWN('Rozpad zakázky'!L817,1))</f>
        <v/>
      </c>
      <c r="K801" s="745" t="str">
        <f>IF(A801="","",Tabulka_nakup_Vonka[[#This Row],[Počet MJHR v rozpadu]]*Tabulka_nakup_Vonka[[#This Row],[Jedn. hmotnost '[kg/MJHR']]])</f>
        <v/>
      </c>
    </row>
    <row r="802" spans="1:11" x14ac:dyDescent="0.35">
      <c r="A802" s="709" t="str">
        <f>IF('Rozpad zakázky'!E818=0,"",IF('Rozpad zakázky'!E818="-","",'Rozpad zakázky'!E818))</f>
        <v/>
      </c>
      <c r="B802" s="708" t="str">
        <f>IF(A802="","",IF(A802="","",VLOOKUP(A:A,Pomocna_Nakup[],3,0))&amp;" | "&amp;IF(A802="","",VLOOKUP(A:A,Pomocna_Nakup[],4,0)))</f>
        <v/>
      </c>
      <c r="C802" s="710" t="str">
        <f>IF(Tabulka_nakup_Vonka[[#This Row],[Zkratka kalkulační položky]]="","",Tabulka_nakup_Vonka[[#This Row],[Zkratka kalkulační položky]]&amp;" | "&amp;IF(A802="","",VLOOKUP(A:A,Pomocna_Nakup[],2,0)))</f>
        <v/>
      </c>
      <c r="D802" s="710" t="str">
        <f>IF(A802="","",'Rozpad zakázky'!F818)</f>
        <v/>
      </c>
      <c r="E802" s="710" t="str">
        <f>IF(A802="","",'Rozpad zakázky'!D818&amp;IF('Rozpad zakázky'!G818="",""," ("&amp;'Rozpad zakázky'!G818&amp;")"))</f>
        <v/>
      </c>
      <c r="F802" s="709" t="str">
        <f>IF(A802="","",'Rozpad zakázky'!IW818)</f>
        <v/>
      </c>
      <c r="G802" s="711" t="str">
        <f>IF(A802="","",'Rozpad zakázky'!AE818)</f>
        <v/>
      </c>
      <c r="H802" s="717" t="str">
        <f>IF(A802="","",'Rozpad zakázky'!AJ818)</f>
        <v/>
      </c>
      <c r="I802" s="748" t="str">
        <f>IF(A802="","",'Rozpad zakázky'!Q818)</f>
        <v/>
      </c>
      <c r="J802" s="717" t="str">
        <f>IF(A802="","",ROUNDDOWN('Rozpad zakázky'!L818,1))</f>
        <v/>
      </c>
      <c r="K802" s="745" t="str">
        <f>IF(A802="","",Tabulka_nakup_Vonka[[#This Row],[Počet MJHR v rozpadu]]*Tabulka_nakup_Vonka[[#This Row],[Jedn. hmotnost '[kg/MJHR']]])</f>
        <v/>
      </c>
    </row>
    <row r="803" spans="1:11" x14ac:dyDescent="0.35">
      <c r="A803" s="709" t="str">
        <f>IF('Rozpad zakázky'!E819=0,"",IF('Rozpad zakázky'!E819="-","",'Rozpad zakázky'!E819))</f>
        <v/>
      </c>
      <c r="B803" s="708" t="str">
        <f>IF(A803="","",IF(A803="","",VLOOKUP(A:A,Pomocna_Nakup[],3,0))&amp;" | "&amp;IF(A803="","",VLOOKUP(A:A,Pomocna_Nakup[],4,0)))</f>
        <v/>
      </c>
      <c r="C803" s="710" t="str">
        <f>IF(Tabulka_nakup_Vonka[[#This Row],[Zkratka kalkulační položky]]="","",Tabulka_nakup_Vonka[[#This Row],[Zkratka kalkulační položky]]&amp;" | "&amp;IF(A803="","",VLOOKUP(A:A,Pomocna_Nakup[],2,0)))</f>
        <v/>
      </c>
      <c r="D803" s="710" t="str">
        <f>IF(A803="","",'Rozpad zakázky'!F819)</f>
        <v/>
      </c>
      <c r="E803" s="710" t="str">
        <f>IF(A803="","",'Rozpad zakázky'!D819&amp;IF('Rozpad zakázky'!G819="",""," ("&amp;'Rozpad zakázky'!G819&amp;")"))</f>
        <v/>
      </c>
      <c r="F803" s="709" t="str">
        <f>IF(A803="","",'Rozpad zakázky'!IW819)</f>
        <v/>
      </c>
      <c r="G803" s="711" t="str">
        <f>IF(A803="","",'Rozpad zakázky'!AE819)</f>
        <v/>
      </c>
      <c r="H803" s="717" t="str">
        <f>IF(A803="","",'Rozpad zakázky'!AJ819)</f>
        <v/>
      </c>
      <c r="I803" s="748" t="str">
        <f>IF(A803="","",'Rozpad zakázky'!Q819)</f>
        <v/>
      </c>
      <c r="J803" s="717" t="str">
        <f>IF(A803="","",ROUNDDOWN('Rozpad zakázky'!L819,1))</f>
        <v/>
      </c>
      <c r="K803" s="745" t="str">
        <f>IF(A803="","",Tabulka_nakup_Vonka[[#This Row],[Počet MJHR v rozpadu]]*Tabulka_nakup_Vonka[[#This Row],[Jedn. hmotnost '[kg/MJHR']]])</f>
        <v/>
      </c>
    </row>
    <row r="804" spans="1:11" x14ac:dyDescent="0.35">
      <c r="A804" s="709" t="str">
        <f>IF('Rozpad zakázky'!E820=0,"",IF('Rozpad zakázky'!E820="-","",'Rozpad zakázky'!E820))</f>
        <v/>
      </c>
      <c r="B804" s="708" t="str">
        <f>IF(A804="","",IF(A804="","",VLOOKUP(A:A,Pomocna_Nakup[],3,0))&amp;" | "&amp;IF(A804="","",VLOOKUP(A:A,Pomocna_Nakup[],4,0)))</f>
        <v/>
      </c>
      <c r="C804" s="710" t="str">
        <f>IF(Tabulka_nakup_Vonka[[#This Row],[Zkratka kalkulační položky]]="","",Tabulka_nakup_Vonka[[#This Row],[Zkratka kalkulační položky]]&amp;" | "&amp;IF(A804="","",VLOOKUP(A:A,Pomocna_Nakup[],2,0)))</f>
        <v/>
      </c>
      <c r="D804" s="710" t="str">
        <f>IF(A804="","",'Rozpad zakázky'!F820)</f>
        <v/>
      </c>
      <c r="E804" s="710" t="str">
        <f>IF(A804="","",'Rozpad zakázky'!D820&amp;IF('Rozpad zakázky'!G820="",""," ("&amp;'Rozpad zakázky'!G820&amp;")"))</f>
        <v/>
      </c>
      <c r="F804" s="709" t="str">
        <f>IF(A804="","",'Rozpad zakázky'!IW820)</f>
        <v/>
      </c>
      <c r="G804" s="711" t="str">
        <f>IF(A804="","",'Rozpad zakázky'!AE820)</f>
        <v/>
      </c>
      <c r="H804" s="717" t="str">
        <f>IF(A804="","",'Rozpad zakázky'!AJ820)</f>
        <v/>
      </c>
      <c r="I804" s="748" t="str">
        <f>IF(A804="","",'Rozpad zakázky'!Q820)</f>
        <v/>
      </c>
      <c r="J804" s="717" t="str">
        <f>IF(A804="","",ROUNDDOWN('Rozpad zakázky'!L820,1))</f>
        <v/>
      </c>
      <c r="K804" s="745" t="str">
        <f>IF(A804="","",Tabulka_nakup_Vonka[[#This Row],[Počet MJHR v rozpadu]]*Tabulka_nakup_Vonka[[#This Row],[Jedn. hmotnost '[kg/MJHR']]])</f>
        <v/>
      </c>
    </row>
    <row r="805" spans="1:11" x14ac:dyDescent="0.35">
      <c r="A805" s="709" t="str">
        <f>IF('Rozpad zakázky'!E821=0,"",IF('Rozpad zakázky'!E821="-","",'Rozpad zakázky'!E821))</f>
        <v/>
      </c>
      <c r="B805" s="708" t="str">
        <f>IF(A805="","",IF(A805="","",VLOOKUP(A:A,Pomocna_Nakup[],3,0))&amp;" | "&amp;IF(A805="","",VLOOKUP(A:A,Pomocna_Nakup[],4,0)))</f>
        <v/>
      </c>
      <c r="C805" s="710" t="str">
        <f>IF(Tabulka_nakup_Vonka[[#This Row],[Zkratka kalkulační položky]]="","",Tabulka_nakup_Vonka[[#This Row],[Zkratka kalkulační položky]]&amp;" | "&amp;IF(A805="","",VLOOKUP(A:A,Pomocna_Nakup[],2,0)))</f>
        <v/>
      </c>
      <c r="D805" s="710" t="str">
        <f>IF(A805="","",'Rozpad zakázky'!F821)</f>
        <v/>
      </c>
      <c r="E805" s="710" t="str">
        <f>IF(A805="","",'Rozpad zakázky'!D821&amp;IF('Rozpad zakázky'!G821="",""," ("&amp;'Rozpad zakázky'!G821&amp;")"))</f>
        <v/>
      </c>
      <c r="F805" s="709" t="str">
        <f>IF(A805="","",'Rozpad zakázky'!IW821)</f>
        <v/>
      </c>
      <c r="G805" s="711" t="str">
        <f>IF(A805="","",'Rozpad zakázky'!AE821)</f>
        <v/>
      </c>
      <c r="H805" s="717" t="str">
        <f>IF(A805="","",'Rozpad zakázky'!AJ821)</f>
        <v/>
      </c>
      <c r="I805" s="748" t="str">
        <f>IF(A805="","",'Rozpad zakázky'!Q821)</f>
        <v/>
      </c>
      <c r="J805" s="717" t="str">
        <f>IF(A805="","",ROUNDDOWN('Rozpad zakázky'!L821,1))</f>
        <v/>
      </c>
      <c r="K805" s="745" t="str">
        <f>IF(A805="","",Tabulka_nakup_Vonka[[#This Row],[Počet MJHR v rozpadu]]*Tabulka_nakup_Vonka[[#This Row],[Jedn. hmotnost '[kg/MJHR']]])</f>
        <v/>
      </c>
    </row>
    <row r="806" spans="1:11" x14ac:dyDescent="0.35">
      <c r="A806" s="709" t="str">
        <f>IF('Rozpad zakázky'!E822=0,"",IF('Rozpad zakázky'!E822="-","",'Rozpad zakázky'!E822))</f>
        <v/>
      </c>
      <c r="B806" s="708" t="str">
        <f>IF(A806="","",IF(A806="","",VLOOKUP(A:A,Pomocna_Nakup[],3,0))&amp;" | "&amp;IF(A806="","",VLOOKUP(A:A,Pomocna_Nakup[],4,0)))</f>
        <v/>
      </c>
      <c r="C806" s="710" t="str">
        <f>IF(Tabulka_nakup_Vonka[[#This Row],[Zkratka kalkulační položky]]="","",Tabulka_nakup_Vonka[[#This Row],[Zkratka kalkulační položky]]&amp;" | "&amp;IF(A806="","",VLOOKUP(A:A,Pomocna_Nakup[],2,0)))</f>
        <v/>
      </c>
      <c r="D806" s="710" t="str">
        <f>IF(A806="","",'Rozpad zakázky'!F822)</f>
        <v/>
      </c>
      <c r="E806" s="710" t="str">
        <f>IF(A806="","",'Rozpad zakázky'!D822&amp;IF('Rozpad zakázky'!G822="",""," ("&amp;'Rozpad zakázky'!G822&amp;")"))</f>
        <v/>
      </c>
      <c r="F806" s="709" t="str">
        <f>IF(A806="","",'Rozpad zakázky'!IW822)</f>
        <v/>
      </c>
      <c r="G806" s="711" t="str">
        <f>IF(A806="","",'Rozpad zakázky'!AE822)</f>
        <v/>
      </c>
      <c r="H806" s="717" t="str">
        <f>IF(A806="","",'Rozpad zakázky'!AJ822)</f>
        <v/>
      </c>
      <c r="I806" s="748" t="str">
        <f>IF(A806="","",'Rozpad zakázky'!Q822)</f>
        <v/>
      </c>
      <c r="J806" s="717" t="str">
        <f>IF(A806="","",ROUNDDOWN('Rozpad zakázky'!L822,1))</f>
        <v/>
      </c>
      <c r="K806" s="745" t="str">
        <f>IF(A806="","",Tabulka_nakup_Vonka[[#This Row],[Počet MJHR v rozpadu]]*Tabulka_nakup_Vonka[[#This Row],[Jedn. hmotnost '[kg/MJHR']]])</f>
        <v/>
      </c>
    </row>
    <row r="807" spans="1:11" x14ac:dyDescent="0.35">
      <c r="A807" s="709" t="str">
        <f>IF('Rozpad zakázky'!E823=0,"",IF('Rozpad zakázky'!E823="-","",'Rozpad zakázky'!E823))</f>
        <v/>
      </c>
      <c r="B807" s="708" t="str">
        <f>IF(A807="","",IF(A807="","",VLOOKUP(A:A,Pomocna_Nakup[],3,0))&amp;" | "&amp;IF(A807="","",VLOOKUP(A:A,Pomocna_Nakup[],4,0)))</f>
        <v/>
      </c>
      <c r="C807" s="710" t="str">
        <f>IF(Tabulka_nakup_Vonka[[#This Row],[Zkratka kalkulační položky]]="","",Tabulka_nakup_Vonka[[#This Row],[Zkratka kalkulační položky]]&amp;" | "&amp;IF(A807="","",VLOOKUP(A:A,Pomocna_Nakup[],2,0)))</f>
        <v/>
      </c>
      <c r="D807" s="710" t="str">
        <f>IF(A807="","",'Rozpad zakázky'!F823)</f>
        <v/>
      </c>
      <c r="E807" s="710" t="str">
        <f>IF(A807="","",'Rozpad zakázky'!D823&amp;IF('Rozpad zakázky'!G823="",""," ("&amp;'Rozpad zakázky'!G823&amp;")"))</f>
        <v/>
      </c>
      <c r="F807" s="709" t="str">
        <f>IF(A807="","",'Rozpad zakázky'!IW823)</f>
        <v/>
      </c>
      <c r="G807" s="711" t="str">
        <f>IF(A807="","",'Rozpad zakázky'!AE823)</f>
        <v/>
      </c>
      <c r="H807" s="717" t="str">
        <f>IF(A807="","",'Rozpad zakázky'!AJ823)</f>
        <v/>
      </c>
      <c r="I807" s="748" t="str">
        <f>IF(A807="","",'Rozpad zakázky'!Q823)</f>
        <v/>
      </c>
      <c r="J807" s="717" t="str">
        <f>IF(A807="","",ROUNDDOWN('Rozpad zakázky'!L823,1))</f>
        <v/>
      </c>
      <c r="K807" s="745" t="str">
        <f>IF(A807="","",Tabulka_nakup_Vonka[[#This Row],[Počet MJHR v rozpadu]]*Tabulka_nakup_Vonka[[#This Row],[Jedn. hmotnost '[kg/MJHR']]])</f>
        <v/>
      </c>
    </row>
    <row r="808" spans="1:11" x14ac:dyDescent="0.35">
      <c r="A808" s="709" t="str">
        <f>IF('Rozpad zakázky'!E824=0,"",IF('Rozpad zakázky'!E824="-","",'Rozpad zakázky'!E824))</f>
        <v/>
      </c>
      <c r="B808" s="708" t="str">
        <f>IF(A808="","",IF(A808="","",VLOOKUP(A:A,Pomocna_Nakup[],3,0))&amp;" | "&amp;IF(A808="","",VLOOKUP(A:A,Pomocna_Nakup[],4,0)))</f>
        <v/>
      </c>
      <c r="C808" s="710" t="str">
        <f>IF(Tabulka_nakup_Vonka[[#This Row],[Zkratka kalkulační položky]]="","",Tabulka_nakup_Vonka[[#This Row],[Zkratka kalkulační položky]]&amp;" | "&amp;IF(A808="","",VLOOKUP(A:A,Pomocna_Nakup[],2,0)))</f>
        <v/>
      </c>
      <c r="D808" s="710" t="str">
        <f>IF(A808="","",'Rozpad zakázky'!F824)</f>
        <v/>
      </c>
      <c r="E808" s="710" t="str">
        <f>IF(A808="","",'Rozpad zakázky'!D824&amp;IF('Rozpad zakázky'!G824="",""," ("&amp;'Rozpad zakázky'!G824&amp;")"))</f>
        <v/>
      </c>
      <c r="F808" s="709" t="str">
        <f>IF(A808="","",'Rozpad zakázky'!IW824)</f>
        <v/>
      </c>
      <c r="G808" s="711" t="str">
        <f>IF(A808="","",'Rozpad zakázky'!AE824)</f>
        <v/>
      </c>
      <c r="H808" s="717" t="str">
        <f>IF(A808="","",'Rozpad zakázky'!AJ824)</f>
        <v/>
      </c>
      <c r="I808" s="748" t="str">
        <f>IF(A808="","",'Rozpad zakázky'!Q824)</f>
        <v/>
      </c>
      <c r="J808" s="717" t="str">
        <f>IF(A808="","",ROUNDDOWN('Rozpad zakázky'!L824,1))</f>
        <v/>
      </c>
      <c r="K808" s="745" t="str">
        <f>IF(A808="","",Tabulka_nakup_Vonka[[#This Row],[Počet MJHR v rozpadu]]*Tabulka_nakup_Vonka[[#This Row],[Jedn. hmotnost '[kg/MJHR']]])</f>
        <v/>
      </c>
    </row>
    <row r="809" spans="1:11" x14ac:dyDescent="0.35">
      <c r="A809" s="709" t="str">
        <f>IF('Rozpad zakázky'!E825=0,"",IF('Rozpad zakázky'!E825="-","",'Rozpad zakázky'!E825))</f>
        <v/>
      </c>
      <c r="B809" s="708" t="str">
        <f>IF(A809="","",IF(A809="","",VLOOKUP(A:A,Pomocna_Nakup[],3,0))&amp;" | "&amp;IF(A809="","",VLOOKUP(A:A,Pomocna_Nakup[],4,0)))</f>
        <v/>
      </c>
      <c r="C809" s="710" t="str">
        <f>IF(Tabulka_nakup_Vonka[[#This Row],[Zkratka kalkulační položky]]="","",Tabulka_nakup_Vonka[[#This Row],[Zkratka kalkulační položky]]&amp;" | "&amp;IF(A809="","",VLOOKUP(A:A,Pomocna_Nakup[],2,0)))</f>
        <v/>
      </c>
      <c r="D809" s="710" t="str">
        <f>IF(A809="","",'Rozpad zakázky'!F825)</f>
        <v/>
      </c>
      <c r="E809" s="710" t="str">
        <f>IF(A809="","",'Rozpad zakázky'!D825&amp;IF('Rozpad zakázky'!G825="",""," ("&amp;'Rozpad zakázky'!G825&amp;")"))</f>
        <v/>
      </c>
      <c r="F809" s="709" t="str">
        <f>IF(A809="","",'Rozpad zakázky'!IW825)</f>
        <v/>
      </c>
      <c r="G809" s="711" t="str">
        <f>IF(A809="","",'Rozpad zakázky'!AE825)</f>
        <v/>
      </c>
      <c r="H809" s="717" t="str">
        <f>IF(A809="","",'Rozpad zakázky'!AJ825)</f>
        <v/>
      </c>
      <c r="I809" s="748" t="str">
        <f>IF(A809="","",'Rozpad zakázky'!Q825)</f>
        <v/>
      </c>
      <c r="J809" s="717" t="str">
        <f>IF(A809="","",ROUNDDOWN('Rozpad zakázky'!L825,1))</f>
        <v/>
      </c>
      <c r="K809" s="745" t="str">
        <f>IF(A809="","",Tabulka_nakup_Vonka[[#This Row],[Počet MJHR v rozpadu]]*Tabulka_nakup_Vonka[[#This Row],[Jedn. hmotnost '[kg/MJHR']]])</f>
        <v/>
      </c>
    </row>
    <row r="810" spans="1:11" x14ac:dyDescent="0.35">
      <c r="A810" s="709" t="str">
        <f>IF('Rozpad zakázky'!E826=0,"",IF('Rozpad zakázky'!E826="-","",'Rozpad zakázky'!E826))</f>
        <v/>
      </c>
      <c r="B810" s="708" t="str">
        <f>IF(A810="","",IF(A810="","",VLOOKUP(A:A,Pomocna_Nakup[],3,0))&amp;" | "&amp;IF(A810="","",VLOOKUP(A:A,Pomocna_Nakup[],4,0)))</f>
        <v/>
      </c>
      <c r="C810" s="710" t="str">
        <f>IF(Tabulka_nakup_Vonka[[#This Row],[Zkratka kalkulační položky]]="","",Tabulka_nakup_Vonka[[#This Row],[Zkratka kalkulační položky]]&amp;" | "&amp;IF(A810="","",VLOOKUP(A:A,Pomocna_Nakup[],2,0)))</f>
        <v/>
      </c>
      <c r="D810" s="710" t="str">
        <f>IF(A810="","",'Rozpad zakázky'!F826)</f>
        <v/>
      </c>
      <c r="E810" s="710" t="str">
        <f>IF(A810="","",'Rozpad zakázky'!D826&amp;IF('Rozpad zakázky'!G826="",""," ("&amp;'Rozpad zakázky'!G826&amp;")"))</f>
        <v/>
      </c>
      <c r="F810" s="709" t="str">
        <f>IF(A810="","",'Rozpad zakázky'!IW826)</f>
        <v/>
      </c>
      <c r="G810" s="711" t="str">
        <f>IF(A810="","",'Rozpad zakázky'!AE826)</f>
        <v/>
      </c>
      <c r="H810" s="717" t="str">
        <f>IF(A810="","",'Rozpad zakázky'!AJ826)</f>
        <v/>
      </c>
      <c r="I810" s="748" t="str">
        <f>IF(A810="","",'Rozpad zakázky'!Q826)</f>
        <v/>
      </c>
      <c r="J810" s="717" t="str">
        <f>IF(A810="","",ROUNDDOWN('Rozpad zakázky'!L826,1))</f>
        <v/>
      </c>
      <c r="K810" s="745" t="str">
        <f>IF(A810="","",Tabulka_nakup_Vonka[[#This Row],[Počet MJHR v rozpadu]]*Tabulka_nakup_Vonka[[#This Row],[Jedn. hmotnost '[kg/MJHR']]])</f>
        <v/>
      </c>
    </row>
    <row r="811" spans="1:11" x14ac:dyDescent="0.35">
      <c r="A811" s="709" t="str">
        <f>IF('Rozpad zakázky'!E827=0,"",IF('Rozpad zakázky'!E827="-","",'Rozpad zakázky'!E827))</f>
        <v/>
      </c>
      <c r="B811" s="708" t="str">
        <f>IF(A811="","",IF(A811="","",VLOOKUP(A:A,Pomocna_Nakup[],3,0))&amp;" | "&amp;IF(A811="","",VLOOKUP(A:A,Pomocna_Nakup[],4,0)))</f>
        <v/>
      </c>
      <c r="C811" s="710" t="str">
        <f>IF(Tabulka_nakup_Vonka[[#This Row],[Zkratka kalkulační položky]]="","",Tabulka_nakup_Vonka[[#This Row],[Zkratka kalkulační položky]]&amp;" | "&amp;IF(A811="","",VLOOKUP(A:A,Pomocna_Nakup[],2,0)))</f>
        <v/>
      </c>
      <c r="D811" s="710" t="str">
        <f>IF(A811="","",'Rozpad zakázky'!F827)</f>
        <v/>
      </c>
      <c r="E811" s="710" t="str">
        <f>IF(A811="","",'Rozpad zakázky'!D827&amp;IF('Rozpad zakázky'!G827="",""," ("&amp;'Rozpad zakázky'!G827&amp;")"))</f>
        <v/>
      </c>
      <c r="F811" s="709" t="str">
        <f>IF(A811="","",'Rozpad zakázky'!IW827)</f>
        <v/>
      </c>
      <c r="G811" s="711" t="str">
        <f>IF(A811="","",'Rozpad zakázky'!AE827)</f>
        <v/>
      </c>
      <c r="H811" s="717" t="str">
        <f>IF(A811="","",'Rozpad zakázky'!AJ827)</f>
        <v/>
      </c>
      <c r="I811" s="748" t="str">
        <f>IF(A811="","",'Rozpad zakázky'!Q827)</f>
        <v/>
      </c>
      <c r="J811" s="717" t="str">
        <f>IF(A811="","",ROUNDDOWN('Rozpad zakázky'!L827,1))</f>
        <v/>
      </c>
      <c r="K811" s="745" t="str">
        <f>IF(A811="","",Tabulka_nakup_Vonka[[#This Row],[Počet MJHR v rozpadu]]*Tabulka_nakup_Vonka[[#This Row],[Jedn. hmotnost '[kg/MJHR']]])</f>
        <v/>
      </c>
    </row>
    <row r="812" spans="1:11" x14ac:dyDescent="0.35">
      <c r="A812" s="709" t="str">
        <f>IF('Rozpad zakázky'!E828=0,"",IF('Rozpad zakázky'!E828="-","",'Rozpad zakázky'!E828))</f>
        <v/>
      </c>
      <c r="B812" s="708" t="str">
        <f>IF(A812="","",IF(A812="","",VLOOKUP(A:A,Pomocna_Nakup[],3,0))&amp;" | "&amp;IF(A812="","",VLOOKUP(A:A,Pomocna_Nakup[],4,0)))</f>
        <v/>
      </c>
      <c r="C812" s="710" t="str">
        <f>IF(Tabulka_nakup_Vonka[[#This Row],[Zkratka kalkulační položky]]="","",Tabulka_nakup_Vonka[[#This Row],[Zkratka kalkulační položky]]&amp;" | "&amp;IF(A812="","",VLOOKUP(A:A,Pomocna_Nakup[],2,0)))</f>
        <v/>
      </c>
      <c r="D812" s="710" t="str">
        <f>IF(A812="","",'Rozpad zakázky'!F828)</f>
        <v/>
      </c>
      <c r="E812" s="710" t="str">
        <f>IF(A812="","",'Rozpad zakázky'!D828&amp;IF('Rozpad zakázky'!G828="",""," ("&amp;'Rozpad zakázky'!G828&amp;")"))</f>
        <v/>
      </c>
      <c r="F812" s="709" t="str">
        <f>IF(A812="","",'Rozpad zakázky'!IW828)</f>
        <v/>
      </c>
      <c r="G812" s="711" t="str">
        <f>IF(A812="","",'Rozpad zakázky'!AE828)</f>
        <v/>
      </c>
      <c r="H812" s="717" t="str">
        <f>IF(A812="","",'Rozpad zakázky'!AJ828)</f>
        <v/>
      </c>
      <c r="I812" s="748" t="str">
        <f>IF(A812="","",'Rozpad zakázky'!Q828)</f>
        <v/>
      </c>
      <c r="J812" s="717" t="str">
        <f>IF(A812="","",ROUNDDOWN('Rozpad zakázky'!L828,1))</f>
        <v/>
      </c>
      <c r="K812" s="745" t="str">
        <f>IF(A812="","",Tabulka_nakup_Vonka[[#This Row],[Počet MJHR v rozpadu]]*Tabulka_nakup_Vonka[[#This Row],[Jedn. hmotnost '[kg/MJHR']]])</f>
        <v/>
      </c>
    </row>
    <row r="813" spans="1:11" x14ac:dyDescent="0.35">
      <c r="A813" s="709" t="str">
        <f>IF('Rozpad zakázky'!E829=0,"",IF('Rozpad zakázky'!E829="-","",'Rozpad zakázky'!E829))</f>
        <v/>
      </c>
      <c r="B813" s="708" t="str">
        <f>IF(A813="","",IF(A813="","",VLOOKUP(A:A,Pomocna_Nakup[],3,0))&amp;" | "&amp;IF(A813="","",VLOOKUP(A:A,Pomocna_Nakup[],4,0)))</f>
        <v/>
      </c>
      <c r="C813" s="710" t="str">
        <f>IF(Tabulka_nakup_Vonka[[#This Row],[Zkratka kalkulační položky]]="","",Tabulka_nakup_Vonka[[#This Row],[Zkratka kalkulační položky]]&amp;" | "&amp;IF(A813="","",VLOOKUP(A:A,Pomocna_Nakup[],2,0)))</f>
        <v/>
      </c>
      <c r="D813" s="710" t="str">
        <f>IF(A813="","",'Rozpad zakázky'!F829)</f>
        <v/>
      </c>
      <c r="E813" s="710" t="str">
        <f>IF(A813="","",'Rozpad zakázky'!D829&amp;IF('Rozpad zakázky'!G829="",""," ("&amp;'Rozpad zakázky'!G829&amp;")"))</f>
        <v/>
      </c>
      <c r="F813" s="709" t="str">
        <f>IF(A813="","",'Rozpad zakázky'!IW829)</f>
        <v/>
      </c>
      <c r="G813" s="711" t="str">
        <f>IF(A813="","",'Rozpad zakázky'!AE829)</f>
        <v/>
      </c>
      <c r="H813" s="717" t="str">
        <f>IF(A813="","",'Rozpad zakázky'!AJ829)</f>
        <v/>
      </c>
      <c r="I813" s="748" t="str">
        <f>IF(A813="","",'Rozpad zakázky'!Q829)</f>
        <v/>
      </c>
      <c r="J813" s="717" t="str">
        <f>IF(A813="","",ROUNDDOWN('Rozpad zakázky'!L829,1))</f>
        <v/>
      </c>
      <c r="K813" s="745" t="str">
        <f>IF(A813="","",Tabulka_nakup_Vonka[[#This Row],[Počet MJHR v rozpadu]]*Tabulka_nakup_Vonka[[#This Row],[Jedn. hmotnost '[kg/MJHR']]])</f>
        <v/>
      </c>
    </row>
    <row r="814" spans="1:11" x14ac:dyDescent="0.35">
      <c r="A814" s="709" t="str">
        <f>IF('Rozpad zakázky'!E830=0,"",IF('Rozpad zakázky'!E830="-","",'Rozpad zakázky'!E830))</f>
        <v/>
      </c>
      <c r="B814" s="708" t="str">
        <f>IF(A814="","",IF(A814="","",VLOOKUP(A:A,Pomocna_Nakup[],3,0))&amp;" | "&amp;IF(A814="","",VLOOKUP(A:A,Pomocna_Nakup[],4,0)))</f>
        <v/>
      </c>
      <c r="C814" s="710" t="str">
        <f>IF(Tabulka_nakup_Vonka[[#This Row],[Zkratka kalkulační položky]]="","",Tabulka_nakup_Vonka[[#This Row],[Zkratka kalkulační položky]]&amp;" | "&amp;IF(A814="","",VLOOKUP(A:A,Pomocna_Nakup[],2,0)))</f>
        <v/>
      </c>
      <c r="D814" s="710" t="str">
        <f>IF(A814="","",'Rozpad zakázky'!F830)</f>
        <v/>
      </c>
      <c r="E814" s="710" t="str">
        <f>IF(A814="","",'Rozpad zakázky'!D830&amp;IF('Rozpad zakázky'!G830="",""," ("&amp;'Rozpad zakázky'!G830&amp;")"))</f>
        <v/>
      </c>
      <c r="F814" s="709" t="str">
        <f>IF(A814="","",'Rozpad zakázky'!IW830)</f>
        <v/>
      </c>
      <c r="G814" s="711" t="str">
        <f>IF(A814="","",'Rozpad zakázky'!AE830)</f>
        <v/>
      </c>
      <c r="H814" s="717" t="str">
        <f>IF(A814="","",'Rozpad zakázky'!AJ830)</f>
        <v/>
      </c>
      <c r="I814" s="748" t="str">
        <f>IF(A814="","",'Rozpad zakázky'!Q830)</f>
        <v/>
      </c>
      <c r="J814" s="717" t="str">
        <f>IF(A814="","",ROUNDDOWN('Rozpad zakázky'!L830,1))</f>
        <v/>
      </c>
      <c r="K814" s="745" t="str">
        <f>IF(A814="","",Tabulka_nakup_Vonka[[#This Row],[Počet MJHR v rozpadu]]*Tabulka_nakup_Vonka[[#This Row],[Jedn. hmotnost '[kg/MJHR']]])</f>
        <v/>
      </c>
    </row>
    <row r="815" spans="1:11" x14ac:dyDescent="0.35">
      <c r="A815" s="709" t="str">
        <f>IF('Rozpad zakázky'!E831=0,"",IF('Rozpad zakázky'!E831="-","",'Rozpad zakázky'!E831))</f>
        <v/>
      </c>
      <c r="B815" s="708" t="str">
        <f>IF(A815="","",IF(A815="","",VLOOKUP(A:A,Pomocna_Nakup[],3,0))&amp;" | "&amp;IF(A815="","",VLOOKUP(A:A,Pomocna_Nakup[],4,0)))</f>
        <v/>
      </c>
      <c r="C815" s="710" t="str">
        <f>IF(Tabulka_nakup_Vonka[[#This Row],[Zkratka kalkulační položky]]="","",Tabulka_nakup_Vonka[[#This Row],[Zkratka kalkulační položky]]&amp;" | "&amp;IF(A815="","",VLOOKUP(A:A,Pomocna_Nakup[],2,0)))</f>
        <v/>
      </c>
      <c r="D815" s="710" t="str">
        <f>IF(A815="","",'Rozpad zakázky'!F831)</f>
        <v/>
      </c>
      <c r="E815" s="710" t="str">
        <f>IF(A815="","",'Rozpad zakázky'!D831&amp;IF('Rozpad zakázky'!G831="",""," ("&amp;'Rozpad zakázky'!G831&amp;")"))</f>
        <v/>
      </c>
      <c r="F815" s="709" t="str">
        <f>IF(A815="","",'Rozpad zakázky'!IW831)</f>
        <v/>
      </c>
      <c r="G815" s="711" t="str">
        <f>IF(A815="","",'Rozpad zakázky'!AE831)</f>
        <v/>
      </c>
      <c r="H815" s="717" t="str">
        <f>IF(A815="","",'Rozpad zakázky'!AJ831)</f>
        <v/>
      </c>
      <c r="I815" s="748" t="str">
        <f>IF(A815="","",'Rozpad zakázky'!Q831)</f>
        <v/>
      </c>
      <c r="J815" s="717" t="str">
        <f>IF(A815="","",ROUNDDOWN('Rozpad zakázky'!L831,1))</f>
        <v/>
      </c>
      <c r="K815" s="745" t="str">
        <f>IF(A815="","",Tabulka_nakup_Vonka[[#This Row],[Počet MJHR v rozpadu]]*Tabulka_nakup_Vonka[[#This Row],[Jedn. hmotnost '[kg/MJHR']]])</f>
        <v/>
      </c>
    </row>
    <row r="816" spans="1:11" x14ac:dyDescent="0.35">
      <c r="A816" s="709" t="str">
        <f>IF('Rozpad zakázky'!E832=0,"",IF('Rozpad zakázky'!E832="-","",'Rozpad zakázky'!E832))</f>
        <v/>
      </c>
      <c r="B816" s="708" t="str">
        <f>IF(A816="","",IF(A816="","",VLOOKUP(A:A,Pomocna_Nakup[],3,0))&amp;" | "&amp;IF(A816="","",VLOOKUP(A:A,Pomocna_Nakup[],4,0)))</f>
        <v/>
      </c>
      <c r="C816" s="710" t="str">
        <f>IF(Tabulka_nakup_Vonka[[#This Row],[Zkratka kalkulační položky]]="","",Tabulka_nakup_Vonka[[#This Row],[Zkratka kalkulační položky]]&amp;" | "&amp;IF(A816="","",VLOOKUP(A:A,Pomocna_Nakup[],2,0)))</f>
        <v/>
      </c>
      <c r="D816" s="710" t="str">
        <f>IF(A816="","",'Rozpad zakázky'!F832)</f>
        <v/>
      </c>
      <c r="E816" s="710" t="str">
        <f>IF(A816="","",'Rozpad zakázky'!D832&amp;IF('Rozpad zakázky'!G832="",""," ("&amp;'Rozpad zakázky'!G832&amp;")"))</f>
        <v/>
      </c>
      <c r="F816" s="709" t="str">
        <f>IF(A816="","",'Rozpad zakázky'!IW832)</f>
        <v/>
      </c>
      <c r="G816" s="711" t="str">
        <f>IF(A816="","",'Rozpad zakázky'!AE832)</f>
        <v/>
      </c>
      <c r="H816" s="717" t="str">
        <f>IF(A816="","",'Rozpad zakázky'!AJ832)</f>
        <v/>
      </c>
      <c r="I816" s="748" t="str">
        <f>IF(A816="","",'Rozpad zakázky'!Q832)</f>
        <v/>
      </c>
      <c r="J816" s="717" t="str">
        <f>IF(A816="","",ROUNDDOWN('Rozpad zakázky'!L832,1))</f>
        <v/>
      </c>
      <c r="K816" s="745" t="str">
        <f>IF(A816="","",Tabulka_nakup_Vonka[[#This Row],[Počet MJHR v rozpadu]]*Tabulka_nakup_Vonka[[#This Row],[Jedn. hmotnost '[kg/MJHR']]])</f>
        <v/>
      </c>
    </row>
    <row r="817" spans="1:11" x14ac:dyDescent="0.35">
      <c r="A817" s="709" t="str">
        <f>IF('Rozpad zakázky'!E833=0,"",IF('Rozpad zakázky'!E833="-","",'Rozpad zakázky'!E833))</f>
        <v/>
      </c>
      <c r="B817" s="708" t="str">
        <f>IF(A817="","",IF(A817="","",VLOOKUP(A:A,Pomocna_Nakup[],3,0))&amp;" | "&amp;IF(A817="","",VLOOKUP(A:A,Pomocna_Nakup[],4,0)))</f>
        <v/>
      </c>
      <c r="C817" s="710" t="str">
        <f>IF(Tabulka_nakup_Vonka[[#This Row],[Zkratka kalkulační položky]]="","",Tabulka_nakup_Vonka[[#This Row],[Zkratka kalkulační položky]]&amp;" | "&amp;IF(A817="","",VLOOKUP(A:A,Pomocna_Nakup[],2,0)))</f>
        <v/>
      </c>
      <c r="D817" s="710" t="str">
        <f>IF(A817="","",'Rozpad zakázky'!F833)</f>
        <v/>
      </c>
      <c r="E817" s="710" t="str">
        <f>IF(A817="","",'Rozpad zakázky'!D833&amp;IF('Rozpad zakázky'!G833="",""," ("&amp;'Rozpad zakázky'!G833&amp;")"))</f>
        <v/>
      </c>
      <c r="F817" s="709" t="str">
        <f>IF(A817="","",'Rozpad zakázky'!IW833)</f>
        <v/>
      </c>
      <c r="G817" s="711" t="str">
        <f>IF(A817="","",'Rozpad zakázky'!AE833)</f>
        <v/>
      </c>
      <c r="H817" s="717" t="str">
        <f>IF(A817="","",'Rozpad zakázky'!AJ833)</f>
        <v/>
      </c>
      <c r="I817" s="748" t="str">
        <f>IF(A817="","",'Rozpad zakázky'!Q833)</f>
        <v/>
      </c>
      <c r="J817" s="717" t="str">
        <f>IF(A817="","",ROUNDDOWN('Rozpad zakázky'!L833,1))</f>
        <v/>
      </c>
      <c r="K817" s="745" t="str">
        <f>IF(A817="","",Tabulka_nakup_Vonka[[#This Row],[Počet MJHR v rozpadu]]*Tabulka_nakup_Vonka[[#This Row],[Jedn. hmotnost '[kg/MJHR']]])</f>
        <v/>
      </c>
    </row>
    <row r="818" spans="1:11" x14ac:dyDescent="0.35">
      <c r="A818" s="709" t="str">
        <f>IF('Rozpad zakázky'!E834=0,"",IF('Rozpad zakázky'!E834="-","",'Rozpad zakázky'!E834))</f>
        <v/>
      </c>
      <c r="B818" s="708" t="str">
        <f>IF(A818="","",IF(A818="","",VLOOKUP(A:A,Pomocna_Nakup[],3,0))&amp;" | "&amp;IF(A818="","",VLOOKUP(A:A,Pomocna_Nakup[],4,0)))</f>
        <v/>
      </c>
      <c r="C818" s="710" t="str">
        <f>IF(Tabulka_nakup_Vonka[[#This Row],[Zkratka kalkulační položky]]="","",Tabulka_nakup_Vonka[[#This Row],[Zkratka kalkulační položky]]&amp;" | "&amp;IF(A818="","",VLOOKUP(A:A,Pomocna_Nakup[],2,0)))</f>
        <v/>
      </c>
      <c r="D818" s="710" t="str">
        <f>IF(A818="","",'Rozpad zakázky'!F834)</f>
        <v/>
      </c>
      <c r="E818" s="710" t="str">
        <f>IF(A818="","",'Rozpad zakázky'!D834&amp;IF('Rozpad zakázky'!G834="",""," ("&amp;'Rozpad zakázky'!G834&amp;")"))</f>
        <v/>
      </c>
      <c r="F818" s="709" t="str">
        <f>IF(A818="","",'Rozpad zakázky'!IW834)</f>
        <v/>
      </c>
      <c r="G818" s="711" t="str">
        <f>IF(A818="","",'Rozpad zakázky'!AE834)</f>
        <v/>
      </c>
      <c r="H818" s="717" t="str">
        <f>IF(A818="","",'Rozpad zakázky'!AJ834)</f>
        <v/>
      </c>
      <c r="I818" s="748" t="str">
        <f>IF(A818="","",'Rozpad zakázky'!Q834)</f>
        <v/>
      </c>
      <c r="J818" s="717" t="str">
        <f>IF(A818="","",ROUNDDOWN('Rozpad zakázky'!L834,1))</f>
        <v/>
      </c>
      <c r="K818" s="745" t="str">
        <f>IF(A818="","",Tabulka_nakup_Vonka[[#This Row],[Počet MJHR v rozpadu]]*Tabulka_nakup_Vonka[[#This Row],[Jedn. hmotnost '[kg/MJHR']]])</f>
        <v/>
      </c>
    </row>
    <row r="819" spans="1:11" x14ac:dyDescent="0.35">
      <c r="A819" s="709" t="str">
        <f>IF('Rozpad zakázky'!E835=0,"",IF('Rozpad zakázky'!E835="-","",'Rozpad zakázky'!E835))</f>
        <v/>
      </c>
      <c r="B819" s="708" t="str">
        <f>IF(A819="","",IF(A819="","",VLOOKUP(A:A,Pomocna_Nakup[],3,0))&amp;" | "&amp;IF(A819="","",VLOOKUP(A:A,Pomocna_Nakup[],4,0)))</f>
        <v/>
      </c>
      <c r="C819" s="710" t="str">
        <f>IF(Tabulka_nakup_Vonka[[#This Row],[Zkratka kalkulační položky]]="","",Tabulka_nakup_Vonka[[#This Row],[Zkratka kalkulační položky]]&amp;" | "&amp;IF(A819="","",VLOOKUP(A:A,Pomocna_Nakup[],2,0)))</f>
        <v/>
      </c>
      <c r="D819" s="710" t="str">
        <f>IF(A819="","",'Rozpad zakázky'!F835)</f>
        <v/>
      </c>
      <c r="E819" s="710" t="str">
        <f>IF(A819="","",'Rozpad zakázky'!D835&amp;IF('Rozpad zakázky'!G835="",""," ("&amp;'Rozpad zakázky'!G835&amp;")"))</f>
        <v/>
      </c>
      <c r="F819" s="709" t="str">
        <f>IF(A819="","",'Rozpad zakázky'!IW835)</f>
        <v/>
      </c>
      <c r="G819" s="711" t="str">
        <f>IF(A819="","",'Rozpad zakázky'!AE835)</f>
        <v/>
      </c>
      <c r="H819" s="717" t="str">
        <f>IF(A819="","",'Rozpad zakázky'!AJ835)</f>
        <v/>
      </c>
      <c r="I819" s="748" t="str">
        <f>IF(A819="","",'Rozpad zakázky'!Q835)</f>
        <v/>
      </c>
      <c r="J819" s="717" t="str">
        <f>IF(A819="","",ROUNDDOWN('Rozpad zakázky'!L835,1))</f>
        <v/>
      </c>
      <c r="K819" s="745" t="str">
        <f>IF(A819="","",Tabulka_nakup_Vonka[[#This Row],[Počet MJHR v rozpadu]]*Tabulka_nakup_Vonka[[#This Row],[Jedn. hmotnost '[kg/MJHR']]])</f>
        <v/>
      </c>
    </row>
    <row r="820" spans="1:11" x14ac:dyDescent="0.35">
      <c r="A820" s="709" t="str">
        <f>IF('Rozpad zakázky'!E836=0,"",IF('Rozpad zakázky'!E836="-","",'Rozpad zakázky'!E836))</f>
        <v/>
      </c>
      <c r="B820" s="708" t="str">
        <f>IF(A820="","",IF(A820="","",VLOOKUP(A:A,Pomocna_Nakup[],3,0))&amp;" | "&amp;IF(A820="","",VLOOKUP(A:A,Pomocna_Nakup[],4,0)))</f>
        <v/>
      </c>
      <c r="C820" s="710" t="str">
        <f>IF(Tabulka_nakup_Vonka[[#This Row],[Zkratka kalkulační položky]]="","",Tabulka_nakup_Vonka[[#This Row],[Zkratka kalkulační položky]]&amp;" | "&amp;IF(A820="","",VLOOKUP(A:A,Pomocna_Nakup[],2,0)))</f>
        <v/>
      </c>
      <c r="D820" s="710" t="str">
        <f>IF(A820="","",'Rozpad zakázky'!F836)</f>
        <v/>
      </c>
      <c r="E820" s="710" t="str">
        <f>IF(A820="","",'Rozpad zakázky'!D836&amp;IF('Rozpad zakázky'!G836="",""," ("&amp;'Rozpad zakázky'!G836&amp;")"))</f>
        <v/>
      </c>
      <c r="F820" s="709" t="str">
        <f>IF(A820="","",'Rozpad zakázky'!IW836)</f>
        <v/>
      </c>
      <c r="G820" s="711" t="str">
        <f>IF(A820="","",'Rozpad zakázky'!AE836)</f>
        <v/>
      </c>
      <c r="H820" s="717" t="str">
        <f>IF(A820="","",'Rozpad zakázky'!AJ836)</f>
        <v/>
      </c>
      <c r="I820" s="748" t="str">
        <f>IF(A820="","",'Rozpad zakázky'!Q836)</f>
        <v/>
      </c>
      <c r="J820" s="717" t="str">
        <f>IF(A820="","",ROUNDDOWN('Rozpad zakázky'!L836,1))</f>
        <v/>
      </c>
      <c r="K820" s="745" t="str">
        <f>IF(A820="","",Tabulka_nakup_Vonka[[#This Row],[Počet MJHR v rozpadu]]*Tabulka_nakup_Vonka[[#This Row],[Jedn. hmotnost '[kg/MJHR']]])</f>
        <v/>
      </c>
    </row>
    <row r="821" spans="1:11" x14ac:dyDescent="0.35">
      <c r="A821" s="709" t="str">
        <f>IF('Rozpad zakázky'!E837=0,"",IF('Rozpad zakázky'!E837="-","",'Rozpad zakázky'!E837))</f>
        <v/>
      </c>
      <c r="B821" s="708" t="str">
        <f>IF(A821="","",IF(A821="","",VLOOKUP(A:A,Pomocna_Nakup[],3,0))&amp;" | "&amp;IF(A821="","",VLOOKUP(A:A,Pomocna_Nakup[],4,0)))</f>
        <v/>
      </c>
      <c r="C821" s="710" t="str">
        <f>IF(Tabulka_nakup_Vonka[[#This Row],[Zkratka kalkulační položky]]="","",Tabulka_nakup_Vonka[[#This Row],[Zkratka kalkulační položky]]&amp;" | "&amp;IF(A821="","",VLOOKUP(A:A,Pomocna_Nakup[],2,0)))</f>
        <v/>
      </c>
      <c r="D821" s="710" t="str">
        <f>IF(A821="","",'Rozpad zakázky'!F837)</f>
        <v/>
      </c>
      <c r="E821" s="710" t="str">
        <f>IF(A821="","",'Rozpad zakázky'!D837&amp;IF('Rozpad zakázky'!G837="",""," ("&amp;'Rozpad zakázky'!G837&amp;")"))</f>
        <v/>
      </c>
      <c r="F821" s="709" t="str">
        <f>IF(A821="","",'Rozpad zakázky'!IW837)</f>
        <v/>
      </c>
      <c r="G821" s="711" t="str">
        <f>IF(A821="","",'Rozpad zakázky'!AE837)</f>
        <v/>
      </c>
      <c r="H821" s="717" t="str">
        <f>IF(A821="","",'Rozpad zakázky'!AJ837)</f>
        <v/>
      </c>
      <c r="I821" s="748" t="str">
        <f>IF(A821="","",'Rozpad zakázky'!Q837)</f>
        <v/>
      </c>
      <c r="J821" s="717" t="str">
        <f>IF(A821="","",ROUNDDOWN('Rozpad zakázky'!L837,1))</f>
        <v/>
      </c>
      <c r="K821" s="745" t="str">
        <f>IF(A821="","",Tabulka_nakup_Vonka[[#This Row],[Počet MJHR v rozpadu]]*Tabulka_nakup_Vonka[[#This Row],[Jedn. hmotnost '[kg/MJHR']]])</f>
        <v/>
      </c>
    </row>
    <row r="822" spans="1:11" x14ac:dyDescent="0.35">
      <c r="A822" s="709" t="str">
        <f>IF('Rozpad zakázky'!E838=0,"",IF('Rozpad zakázky'!E838="-","",'Rozpad zakázky'!E838))</f>
        <v/>
      </c>
      <c r="B822" s="708" t="str">
        <f>IF(A822="","",IF(A822="","",VLOOKUP(A:A,Pomocna_Nakup[],3,0))&amp;" | "&amp;IF(A822="","",VLOOKUP(A:A,Pomocna_Nakup[],4,0)))</f>
        <v/>
      </c>
      <c r="C822" s="710" t="str">
        <f>IF(Tabulka_nakup_Vonka[[#This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zakázky'!F838)</f>
        <v/>
      </c>
      <c r="E822" s="710" t="str">
        <f>IF(A822="","",'Rozpad zakázky'!D838&amp;IF('Rozpad zakázky'!G838="",""," ("&amp;'Rozpad zakázky'!G838&amp;")"))</f>
        <v/>
      </c>
      <c r="F822" s="709" t="str">
        <f>IF(A822="","",'Rozpad zakázky'!IW838)</f>
        <v/>
      </c>
      <c r="G822" s="711" t="str">
        <f>IF(A822="","",'Rozpad zakázky'!AE838)</f>
        <v/>
      </c>
      <c r="H822" s="717" t="str">
        <f>IF(A822="","",'Rozpad zakázky'!AJ838)</f>
        <v/>
      </c>
      <c r="I822" s="748" t="str">
        <f>IF(A822="","",'Rozpad zakázky'!Q838)</f>
        <v/>
      </c>
      <c r="J822" s="717" t="str">
        <f>IF(A822="","",ROUNDDOWN('Rozpad zakázky'!L838,1))</f>
        <v/>
      </c>
      <c r="K822" s="745" t="str">
        <f>IF(A822="","",Tabulka_nakup_Vonka[[#This Row],[Počet MJHR v rozpadu]]*Tabulka_nakup_Vonka[[#This Row],[Jedn. hmotnost '[kg/MJHR']]])</f>
        <v/>
      </c>
    </row>
    <row r="823" spans="1:11" x14ac:dyDescent="0.35">
      <c r="A823" s="709" t="str">
        <f>IF('Rozpad zakázky'!E839=0,"",IF('Rozpad zakázky'!E839="-","",'Rozpad zakázky'!E839))</f>
        <v/>
      </c>
      <c r="B823" s="708" t="str">
        <f>IF(A823="","",IF(A823="","",VLOOKUP(A:A,Pomocna_Nakup[],3,0))&amp;" | "&amp;IF(A823="","",VLOOKUP(A:A,Pomocna_Nakup[],4,0)))</f>
        <v/>
      </c>
      <c r="C823" s="710" t="str">
        <f>IF(Tabulka_nakup_Vonka[[#This Row],[Zkratka kalkulační položky]]="","",Tabulka_nakup_Vonka[[#This Row],[Zkratka kalkulační položky]]&amp;" | "&amp;IF(A823="","",VLOOKUP(A:A,Pomocna_Nakup[],2,0)))</f>
        <v/>
      </c>
      <c r="D823" s="710" t="str">
        <f>IF(A823="","",'Rozpad zakázky'!F839)</f>
        <v/>
      </c>
      <c r="E823" s="710" t="str">
        <f>IF(A823="","",'Rozpad zakázky'!D839&amp;IF('Rozpad zakázky'!G839="",""," ("&amp;'Rozpad zakázky'!G839&amp;")"))</f>
        <v/>
      </c>
      <c r="F823" s="709" t="str">
        <f>IF(A823="","",'Rozpad zakázky'!IW839)</f>
        <v/>
      </c>
      <c r="G823" s="711" t="str">
        <f>IF(A823="","",'Rozpad zakázky'!AE839)</f>
        <v/>
      </c>
      <c r="H823" s="717" t="str">
        <f>IF(A823="","",'Rozpad zakázky'!AJ839)</f>
        <v/>
      </c>
      <c r="I823" s="748" t="str">
        <f>IF(A823="","",'Rozpad zakázky'!Q839)</f>
        <v/>
      </c>
      <c r="J823" s="717" t="str">
        <f>IF(A823="","",ROUNDDOWN('Rozpad zakázky'!L839,1))</f>
        <v/>
      </c>
      <c r="K823" s="745" t="str">
        <f>IF(A823="","",Tabulka_nakup_Vonka[[#This Row],[Počet MJHR v rozpadu]]*Tabulka_nakup_Vonka[[#This Row],[Jedn. hmotnost '[kg/MJHR']]])</f>
        <v/>
      </c>
    </row>
    <row r="824" spans="1:11" x14ac:dyDescent="0.35">
      <c r="A824" s="709" t="str">
        <f>IF('Rozpad zakázky'!E840=0,"",IF('Rozpad zakázky'!E840="-","",'Rozpad zakázky'!E840))</f>
        <v/>
      </c>
      <c r="B824" s="708" t="str">
        <f>IF(A824="","",IF(A824="","",VLOOKUP(A:A,Pomocna_Nakup[],3,0))&amp;" | "&amp;IF(A824="","",VLOOKUP(A:A,Pomocna_Nakup[],4,0)))</f>
        <v/>
      </c>
      <c r="C824" s="710" t="str">
        <f>IF(Tabulka_nakup_Vonka[[#This Row],[Zkratka kalkulační položky]]="","",Tabulka_nakup_Vonka[[#This Row],[Zkratka kalkulační položky]]&amp;" | "&amp;IF(A824="","",VLOOKUP(A:A,Pomocna_Nakup[],2,0)))</f>
        <v/>
      </c>
      <c r="D824" s="710" t="str">
        <f>IF(A824="","",'Rozpad zakázky'!F840)</f>
        <v/>
      </c>
      <c r="E824" s="710" t="str">
        <f>IF(A824="","",'Rozpad zakázky'!D840&amp;IF('Rozpad zakázky'!G840="",""," ("&amp;'Rozpad zakázky'!G840&amp;")"))</f>
        <v/>
      </c>
      <c r="F824" s="709" t="str">
        <f>IF(A824="","",'Rozpad zakázky'!IW840)</f>
        <v/>
      </c>
      <c r="G824" s="711" t="str">
        <f>IF(A824="","",'Rozpad zakázky'!AE840)</f>
        <v/>
      </c>
      <c r="H824" s="717" t="str">
        <f>IF(A824="","",'Rozpad zakázky'!AJ840)</f>
        <v/>
      </c>
      <c r="I824" s="748" t="str">
        <f>IF(A824="","",'Rozpad zakázky'!Q840)</f>
        <v/>
      </c>
      <c r="J824" s="717" t="str">
        <f>IF(A824="","",ROUNDDOWN('Rozpad zakázky'!L840,1))</f>
        <v/>
      </c>
      <c r="K824" s="745" t="str">
        <f>IF(A824="","",Tabulka_nakup_Vonka[[#This Row],[Počet MJHR v rozpadu]]*Tabulka_nakup_Vonka[[#This Row],[Jedn. hmotnost '[kg/MJHR']]])</f>
        <v/>
      </c>
    </row>
    <row r="825" spans="1:11" x14ac:dyDescent="0.35">
      <c r="A825" s="709" t="str">
        <f>IF('Rozpad zakázky'!E841=0,"",IF('Rozpad zakázky'!E841="-","",'Rozpad zakázky'!E841))</f>
        <v/>
      </c>
      <c r="B825" s="708" t="str">
        <f>IF(A825="","",IF(A825="","",VLOOKUP(A:A,Pomocna_Nakup[],3,0))&amp;" | "&amp;IF(A825="","",VLOOKUP(A:A,Pomocna_Nakup[],4,0)))</f>
        <v/>
      </c>
      <c r="C825" s="710" t="str">
        <f>IF(Tabulka_nakup_Vonka[[#This Row],[Zkratka kalkulační položky]]="","",Tabulka_nakup_Vonka[[#This Row],[Zkratka kalkulační položky]]&amp;" | "&amp;IF(A825="","",VLOOKUP(A:A,Pomocna_Nakup[],2,0)))</f>
        <v/>
      </c>
      <c r="D825" s="710" t="str">
        <f>IF(A825="","",'Rozpad zakázky'!F841)</f>
        <v/>
      </c>
      <c r="E825" s="710" t="str">
        <f>IF(A825="","",'Rozpad zakázky'!D841&amp;IF('Rozpad zakázky'!G841="",""," ("&amp;'Rozpad zakázky'!G841&amp;")"))</f>
        <v/>
      </c>
      <c r="F825" s="709" t="str">
        <f>IF(A825="","",'Rozpad zakázky'!IW841)</f>
        <v/>
      </c>
      <c r="G825" s="711" t="str">
        <f>IF(A825="","",'Rozpad zakázky'!AE841)</f>
        <v/>
      </c>
      <c r="H825" s="717" t="str">
        <f>IF(A825="","",'Rozpad zakázky'!AJ841)</f>
        <v/>
      </c>
      <c r="I825" s="748" t="str">
        <f>IF(A825="","",'Rozpad zakázky'!Q841)</f>
        <v/>
      </c>
      <c r="J825" s="717" t="str">
        <f>IF(A825="","",ROUNDDOWN('Rozpad zakázky'!L841,1))</f>
        <v/>
      </c>
      <c r="K825" s="745" t="str">
        <f>IF(A825="","",Tabulka_nakup_Vonka[[#This Row],[Počet MJHR v rozpadu]]*Tabulka_nakup_Vonka[[#This Row],[Jedn. hmotnost '[kg/MJHR']]])</f>
        <v/>
      </c>
    </row>
    <row r="826" spans="1:11" x14ac:dyDescent="0.35">
      <c r="A826" s="709" t="str">
        <f>IF('Rozpad zakázky'!E842=0,"",IF('Rozpad zakázky'!E842="-","",'Rozpad zakázky'!E842))</f>
        <v/>
      </c>
      <c r="B826" s="708" t="str">
        <f>IF(A826="","",IF(A826="","",VLOOKUP(A:A,Pomocna_Nakup[],3,0))&amp;" | "&amp;IF(A826="","",VLOOKUP(A:A,Pomocna_Nakup[],4,0)))</f>
        <v/>
      </c>
      <c r="C826" s="710" t="str">
        <f>IF(Tabulka_nakup_Vonka[[#This Row],[Zkratka kalkulační položky]]="","",Tabulka_nakup_Vonka[[#This Row],[Zkratka kalkulační položky]]&amp;" | "&amp;IF(A826="","",VLOOKUP(A:A,Pomocna_Nakup[],2,0)))</f>
        <v/>
      </c>
      <c r="D826" s="710" t="str">
        <f>IF(A826="","",'Rozpad zakázky'!F842)</f>
        <v/>
      </c>
      <c r="E826" s="710" t="str">
        <f>IF(A826="","",'Rozpad zakázky'!D842&amp;IF('Rozpad zakázky'!G842="",""," ("&amp;'Rozpad zakázky'!G842&amp;")"))</f>
        <v/>
      </c>
      <c r="F826" s="709" t="str">
        <f>IF(A826="","",'Rozpad zakázky'!IW842)</f>
        <v/>
      </c>
      <c r="G826" s="711" t="str">
        <f>IF(A826="","",'Rozpad zakázky'!AE842)</f>
        <v/>
      </c>
      <c r="H826" s="717" t="str">
        <f>IF(A826="","",'Rozpad zakázky'!AJ842)</f>
        <v/>
      </c>
      <c r="I826" s="748" t="str">
        <f>IF(A826="","",'Rozpad zakázky'!Q842)</f>
        <v/>
      </c>
      <c r="J826" s="717" t="str">
        <f>IF(A826="","",ROUNDDOWN('Rozpad zakázky'!L842,1))</f>
        <v/>
      </c>
      <c r="K826" s="745" t="str">
        <f>IF(A826="","",Tabulka_nakup_Vonka[[#This Row],[Počet MJHR v rozpadu]]*Tabulka_nakup_Vonka[[#This Row],[Jedn. hmotnost '[kg/MJHR']]])</f>
        <v/>
      </c>
    </row>
    <row r="827" spans="1:11" x14ac:dyDescent="0.35">
      <c r="A827" s="709" t="str">
        <f>IF('Rozpad zakázky'!E843=0,"",IF('Rozpad zakázky'!E843="-","",'Rozpad zakázky'!E843))</f>
        <v/>
      </c>
      <c r="B827" s="708" t="str">
        <f>IF(A827="","",IF(A827="","",VLOOKUP(A:A,Pomocna_Nakup[],3,0))&amp;" | "&amp;IF(A827="","",VLOOKUP(A:A,Pomocna_Nakup[],4,0)))</f>
        <v/>
      </c>
      <c r="C827" s="710" t="str">
        <f>IF(Tabulka_nakup_Vonka[[#This Row],[Zkratka kalkulační položky]]="","",Tabulka_nakup_Vonka[[#This Row],[Zkratka kalkulační položky]]&amp;" | "&amp;IF(A827="","",VLOOKUP(A:A,Pomocna_Nakup[],2,0)))</f>
        <v/>
      </c>
      <c r="D827" s="710" t="str">
        <f>IF(A827="","",'Rozpad zakázky'!F843)</f>
        <v/>
      </c>
      <c r="E827" s="710" t="str">
        <f>IF(A827="","",'Rozpad zakázky'!D843&amp;IF('Rozpad zakázky'!G843="",""," ("&amp;'Rozpad zakázky'!G843&amp;")"))</f>
        <v/>
      </c>
      <c r="F827" s="709" t="str">
        <f>IF(A827="","",'Rozpad zakázky'!IW843)</f>
        <v/>
      </c>
      <c r="G827" s="711" t="str">
        <f>IF(A827="","",'Rozpad zakázky'!AE843)</f>
        <v/>
      </c>
      <c r="H827" s="717" t="str">
        <f>IF(A827="","",'Rozpad zakázky'!AJ843)</f>
        <v/>
      </c>
      <c r="I827" s="748" t="str">
        <f>IF(A827="","",'Rozpad zakázky'!Q843)</f>
        <v/>
      </c>
      <c r="J827" s="717" t="str">
        <f>IF(A827="","",ROUNDDOWN('Rozpad zakázky'!L843,1))</f>
        <v/>
      </c>
      <c r="K827" s="745" t="str">
        <f>IF(A827="","",Tabulka_nakup_Vonka[[#This Row],[Počet MJHR v rozpadu]]*Tabulka_nakup_Vonka[[#This Row],[Jedn. hmotnost '[kg/MJHR']]])</f>
        <v/>
      </c>
    </row>
    <row r="828" spans="1:11" x14ac:dyDescent="0.35">
      <c r="A828" s="709" t="str">
        <f>IF('Rozpad zakázky'!E844=0,"",IF('Rozpad zakázky'!E844="-","",'Rozpad zakázky'!E844))</f>
        <v/>
      </c>
      <c r="B828" s="708" t="str">
        <f>IF(A828="","",IF(A828="","",VLOOKUP(A:A,Pomocna_Nakup[],3,0))&amp;" | "&amp;IF(A828="","",VLOOKUP(A:A,Pomocna_Nakup[],4,0)))</f>
        <v/>
      </c>
      <c r="C828" s="710" t="str">
        <f>IF(Tabulka_nakup_Vonka[[#This Row],[Zkratka kalkulační položky]]="","",Tabulka_nakup_Vonka[[#This Row],[Zkratka kalkulační položky]]&amp;" | "&amp;IF(A828="","",VLOOKUP(A:A,Pomocna_Nakup[],2,0)))</f>
        <v/>
      </c>
      <c r="D828" s="710" t="str">
        <f>IF(A828="","",'Rozpad zakázky'!F844)</f>
        <v/>
      </c>
      <c r="E828" s="710" t="str">
        <f>IF(A828="","",'Rozpad zakázky'!D844&amp;IF('Rozpad zakázky'!G844="",""," ("&amp;'Rozpad zakázky'!G844&amp;")"))</f>
        <v/>
      </c>
      <c r="F828" s="709" t="str">
        <f>IF(A828="","",'Rozpad zakázky'!IW844)</f>
        <v/>
      </c>
      <c r="G828" s="711" t="str">
        <f>IF(A828="","",'Rozpad zakázky'!AE844)</f>
        <v/>
      </c>
      <c r="H828" s="717" t="str">
        <f>IF(A828="","",'Rozpad zakázky'!AJ844)</f>
        <v/>
      </c>
      <c r="I828" s="748" t="str">
        <f>IF(A828="","",'Rozpad zakázky'!Q844)</f>
        <v/>
      </c>
      <c r="J828" s="717" t="str">
        <f>IF(A828="","",ROUNDDOWN('Rozpad zakázky'!L844,1))</f>
        <v/>
      </c>
      <c r="K828" s="745" t="str">
        <f>IF(A828="","",Tabulka_nakup_Vonka[[#This Row],[Počet MJHR v rozpadu]]*Tabulka_nakup_Vonka[[#This Row],[Jedn. hmotnost '[kg/MJHR']]])</f>
        <v/>
      </c>
    </row>
    <row r="829" spans="1:11" x14ac:dyDescent="0.35">
      <c r="A829" s="709" t="str">
        <f>IF('Rozpad zakázky'!E845=0,"",IF('Rozpad zakázky'!E845="-","",'Rozpad zakázky'!E845))</f>
        <v/>
      </c>
      <c r="B829" s="708" t="str">
        <f>IF(A829="","",IF(A829="","",VLOOKUP(A:A,Pomocna_Nakup[],3,0))&amp;" | "&amp;IF(A829="","",VLOOKUP(A:A,Pomocna_Nakup[],4,0)))</f>
        <v/>
      </c>
      <c r="C829" s="710" t="str">
        <f>IF(Tabulka_nakup_Vonka[[#This Row],[Zkratka kalkulační položky]]="","",Tabulka_nakup_Vonka[[#This Row],[Zkratka kalkulační položky]]&amp;" | "&amp;IF(A829="","",VLOOKUP(A:A,Pomocna_Nakup[],2,0)))</f>
        <v/>
      </c>
      <c r="D829" s="710" t="str">
        <f>IF(A829="","",'Rozpad zakázky'!F845)</f>
        <v/>
      </c>
      <c r="E829" s="710" t="str">
        <f>IF(A829="","",'Rozpad zakázky'!D845&amp;IF('Rozpad zakázky'!G845="",""," ("&amp;'Rozpad zakázky'!G845&amp;")"))</f>
        <v/>
      </c>
      <c r="F829" s="709" t="str">
        <f>IF(A829="","",'Rozpad zakázky'!IW845)</f>
        <v/>
      </c>
      <c r="G829" s="711" t="str">
        <f>IF(A829="","",'Rozpad zakázky'!AE845)</f>
        <v/>
      </c>
      <c r="H829" s="717" t="str">
        <f>IF(A829="","",'Rozpad zakázky'!AJ845)</f>
        <v/>
      </c>
      <c r="I829" s="748" t="str">
        <f>IF(A829="","",'Rozpad zakázky'!Q845)</f>
        <v/>
      </c>
      <c r="J829" s="717" t="str">
        <f>IF(A829="","",ROUNDDOWN('Rozpad zakázky'!L845,1))</f>
        <v/>
      </c>
      <c r="K829" s="745" t="str">
        <f>IF(A829="","",Tabulka_nakup_Vonka[[#This Row],[Počet MJHR v rozpadu]]*Tabulka_nakup_Vonka[[#This Row],[Jedn. hmotnost '[kg/MJHR']]])</f>
        <v/>
      </c>
    </row>
    <row r="830" spans="1:11" x14ac:dyDescent="0.35">
      <c r="A830" s="709" t="str">
        <f>IF('Rozpad zakázky'!E846=0,"",IF('Rozpad zakázky'!E846="-","",'Rozpad zakázky'!E846))</f>
        <v/>
      </c>
      <c r="B830" s="708" t="str">
        <f>IF(A830="","",IF(A830="","",VLOOKUP(A:A,Pomocna_Nakup[],3,0))&amp;" | "&amp;IF(A830="","",VLOOKUP(A:A,Pomocna_Nakup[],4,0)))</f>
        <v/>
      </c>
      <c r="C830" s="710" t="str">
        <f>IF(Tabulka_nakup_Vonka[[#This Row],[Zkratka kalkulační položky]]="","",Tabulka_nakup_Vonka[[#This Row],[Zkratka kalkulační položky]]&amp;" | "&amp;IF(A830="","",VLOOKUP(A:A,Pomocna_Nakup[],2,0)))</f>
        <v/>
      </c>
      <c r="D830" s="710" t="str">
        <f>IF(A830="","",'Rozpad zakázky'!F846)</f>
        <v/>
      </c>
      <c r="E830" s="710" t="str">
        <f>IF(A830="","",'Rozpad zakázky'!D846&amp;IF('Rozpad zakázky'!G846="",""," ("&amp;'Rozpad zakázky'!G846&amp;")"))</f>
        <v/>
      </c>
      <c r="F830" s="709" t="str">
        <f>IF(A830="","",'Rozpad zakázky'!IW846)</f>
        <v/>
      </c>
      <c r="G830" s="711" t="str">
        <f>IF(A830="","",'Rozpad zakázky'!AE846)</f>
        <v/>
      </c>
      <c r="H830" s="717" t="str">
        <f>IF(A830="","",'Rozpad zakázky'!AJ846)</f>
        <v/>
      </c>
      <c r="I830" s="748" t="str">
        <f>IF(A830="","",'Rozpad zakázky'!Q846)</f>
        <v/>
      </c>
      <c r="J830" s="717" t="str">
        <f>IF(A830="","",ROUNDDOWN('Rozpad zakázky'!L846,1))</f>
        <v/>
      </c>
      <c r="K830" s="745" t="str">
        <f>IF(A830="","",Tabulka_nakup_Vonka[[#This Row],[Počet MJHR v rozpadu]]*Tabulka_nakup_Vonka[[#This Row],[Jedn. hmotnost '[kg/MJHR']]])</f>
        <v/>
      </c>
    </row>
    <row r="831" spans="1:11" x14ac:dyDescent="0.35">
      <c r="A831" s="709" t="str">
        <f>IF('Rozpad zakázky'!E847=0,"",IF('Rozpad zakázky'!E847="-","",'Rozpad zakázky'!E847))</f>
        <v/>
      </c>
      <c r="B831" s="708" t="str">
        <f>IF(A831="","",IF(A831="","",VLOOKUP(A:A,Pomocna_Nakup[],3,0))&amp;" | "&amp;IF(A831="","",VLOOKUP(A:A,Pomocna_Nakup[],4,0)))</f>
        <v/>
      </c>
      <c r="C831" s="710" t="str">
        <f>IF(Tabulka_nakup_Vonka[[#This Row],[Zkratka kalkulační položky]]="","",Tabulka_nakup_Vonka[[#This Row],[Zkratka kalkulační položky]]&amp;" | "&amp;IF(A831="","",VLOOKUP(A:A,Pomocna_Nakup[],2,0)))</f>
        <v/>
      </c>
      <c r="D831" s="710" t="str">
        <f>IF(A831="","",'Rozpad zakázky'!F847)</f>
        <v/>
      </c>
      <c r="E831" s="710" t="str">
        <f>IF(A831="","",'Rozpad zakázky'!D847&amp;IF('Rozpad zakázky'!G847="",""," ("&amp;'Rozpad zakázky'!G847&amp;")"))</f>
        <v/>
      </c>
      <c r="F831" s="709" t="str">
        <f>IF(A831="","",'Rozpad zakázky'!IW847)</f>
        <v/>
      </c>
      <c r="G831" s="711" t="str">
        <f>IF(A831="","",'Rozpad zakázky'!AE847)</f>
        <v/>
      </c>
      <c r="H831" s="717" t="str">
        <f>IF(A831="","",'Rozpad zakázky'!AJ847)</f>
        <v/>
      </c>
      <c r="I831" s="748" t="str">
        <f>IF(A831="","",'Rozpad zakázky'!Q847)</f>
        <v/>
      </c>
      <c r="J831" s="717" t="str">
        <f>IF(A831="","",ROUNDDOWN('Rozpad zakázky'!L847,1))</f>
        <v/>
      </c>
      <c r="K831" s="745" t="str">
        <f>IF(A831="","",Tabulka_nakup_Vonka[[#This Row],[Počet MJHR v rozpadu]]*Tabulka_nakup_Vonka[[#This Row],[Jedn. hmotnost '[kg/MJHR']]])</f>
        <v/>
      </c>
    </row>
    <row r="832" spans="1:11" x14ac:dyDescent="0.35">
      <c r="A832" s="709" t="str">
        <f>IF('Rozpad zakázky'!E848=0,"",IF('Rozpad zakázky'!E848="-","",'Rozpad zakázky'!E848))</f>
        <v/>
      </c>
      <c r="B832" s="708" t="str">
        <f>IF(A832="","",IF(A832="","",VLOOKUP(A:A,Pomocna_Nakup[],3,0))&amp;" | "&amp;IF(A832="","",VLOOKUP(A:A,Pomocna_Nakup[],4,0)))</f>
        <v/>
      </c>
      <c r="C832" s="710" t="str">
        <f>IF(Tabulka_nakup_Vonka[[#This Row],[Zkratka kalkulační položky]]="","",Tabulka_nakup_Vonka[[#This Row],[Zkratka kalkulační položky]]&amp;" | "&amp;IF(A832="","",VLOOKUP(A:A,Pomocna_Nakup[],2,0)))</f>
        <v/>
      </c>
      <c r="D832" s="710" t="str">
        <f>IF(A832="","",'Rozpad zakázky'!F848)</f>
        <v/>
      </c>
      <c r="E832" s="710" t="str">
        <f>IF(A832="","",'Rozpad zakázky'!D848&amp;IF('Rozpad zakázky'!G848="",""," ("&amp;'Rozpad zakázky'!G848&amp;")"))</f>
        <v/>
      </c>
      <c r="F832" s="709" t="str">
        <f>IF(A832="","",'Rozpad zakázky'!IW848)</f>
        <v/>
      </c>
      <c r="G832" s="711" t="str">
        <f>IF(A832="","",'Rozpad zakázky'!AE848)</f>
        <v/>
      </c>
      <c r="H832" s="717" t="str">
        <f>IF(A832="","",'Rozpad zakázky'!AJ848)</f>
        <v/>
      </c>
      <c r="I832" s="748" t="str">
        <f>IF(A832="","",'Rozpad zakázky'!Q848)</f>
        <v/>
      </c>
      <c r="J832" s="717" t="str">
        <f>IF(A832="","",ROUNDDOWN('Rozpad zakázky'!L848,1))</f>
        <v/>
      </c>
      <c r="K832" s="745" t="str">
        <f>IF(A832="","",Tabulka_nakup_Vonka[[#This Row],[Počet MJHR v rozpadu]]*Tabulka_nakup_Vonka[[#This Row],[Jedn. hmotnost '[kg/MJHR']]])</f>
        <v/>
      </c>
    </row>
    <row r="833" spans="1:11" x14ac:dyDescent="0.35">
      <c r="A833" s="709" t="str">
        <f>IF('Rozpad zakázky'!E849=0,"",IF('Rozpad zakázky'!E849="-","",'Rozpad zakázky'!E849))</f>
        <v/>
      </c>
      <c r="B833" s="708" t="str">
        <f>IF(A833="","",IF(A833="","",VLOOKUP(A:A,Pomocna_Nakup[],3,0))&amp;" | "&amp;IF(A833="","",VLOOKUP(A:A,Pomocna_Nakup[],4,0)))</f>
        <v/>
      </c>
      <c r="C833" s="710" t="str">
        <f>IF(Tabulka_nakup_Vonka[[#This Row],[Zkratka kalkulační položky]]="","",Tabulka_nakup_Vonka[[#This Row],[Zkratka kalkulační položky]]&amp;" | "&amp;IF(A833="","",VLOOKUP(A:A,Pomocna_Nakup[],2,0)))</f>
        <v/>
      </c>
      <c r="D833" s="710" t="str">
        <f>IF(A833="","",'Rozpad zakázky'!F849)</f>
        <v/>
      </c>
      <c r="E833" s="710" t="str">
        <f>IF(A833="","",'Rozpad zakázky'!D849&amp;IF('Rozpad zakázky'!G849="",""," ("&amp;'Rozpad zakázky'!G849&amp;")"))</f>
        <v/>
      </c>
      <c r="F833" s="709" t="str">
        <f>IF(A833="","",'Rozpad zakázky'!IW849)</f>
        <v/>
      </c>
      <c r="G833" s="711" t="str">
        <f>IF(A833="","",'Rozpad zakázky'!AE849)</f>
        <v/>
      </c>
      <c r="H833" s="717" t="str">
        <f>IF(A833="","",'Rozpad zakázky'!AJ849)</f>
        <v/>
      </c>
      <c r="I833" s="748" t="str">
        <f>IF(A833="","",'Rozpad zakázky'!Q849)</f>
        <v/>
      </c>
      <c r="J833" s="717" t="str">
        <f>IF(A833="","",ROUNDDOWN('Rozpad zakázky'!L849,1))</f>
        <v/>
      </c>
      <c r="K833" s="745" t="str">
        <f>IF(A833="","",Tabulka_nakup_Vonka[[#This Row],[Počet MJHR v rozpadu]]*Tabulka_nakup_Vonka[[#This Row],[Jedn. hmotnost '[kg/MJHR']]])</f>
        <v/>
      </c>
    </row>
    <row r="834" spans="1:11" x14ac:dyDescent="0.35">
      <c r="A834" s="709" t="str">
        <f>IF('Rozpad zakázky'!E850=0,"",IF('Rozpad zakázky'!E850="-","",'Rozpad zakázky'!E850))</f>
        <v/>
      </c>
      <c r="B834" s="708" t="str">
        <f>IF(A834="","",IF(A834="","",VLOOKUP(A:A,Pomocna_Nakup[],3,0))&amp;" | "&amp;IF(A834="","",VLOOKUP(A:A,Pomocna_Nakup[],4,0)))</f>
        <v/>
      </c>
      <c r="C834" s="710" t="str">
        <f>IF(Tabulka_nakup_Vonka[[#This Row],[Zkratka kalkulační položky]]="","",Tabulka_nakup_Vonka[[#This Row],[Zkratka kalkulační položky]]&amp;" | "&amp;IF(A834="","",VLOOKUP(A:A,Pomocna_Nakup[],2,0)))</f>
        <v/>
      </c>
      <c r="D834" s="710" t="str">
        <f>IF(A834="","",'Rozpad zakázky'!F850)</f>
        <v/>
      </c>
      <c r="E834" s="710" t="str">
        <f>IF(A834="","",'Rozpad zakázky'!D850&amp;IF('Rozpad zakázky'!G850="",""," ("&amp;'Rozpad zakázky'!G850&amp;")"))</f>
        <v/>
      </c>
      <c r="F834" s="709" t="str">
        <f>IF(A834="","",'Rozpad zakázky'!IW850)</f>
        <v/>
      </c>
      <c r="G834" s="711" t="str">
        <f>IF(A834="","",'Rozpad zakázky'!AE850)</f>
        <v/>
      </c>
      <c r="H834" s="717" t="str">
        <f>IF(A834="","",'Rozpad zakázky'!AJ850)</f>
        <v/>
      </c>
      <c r="I834" s="748" t="str">
        <f>IF(A834="","",'Rozpad zakázky'!Q850)</f>
        <v/>
      </c>
      <c r="J834" s="717" t="str">
        <f>IF(A834="","",ROUNDDOWN('Rozpad zakázky'!L850,1))</f>
        <v/>
      </c>
      <c r="K834" s="745" t="str">
        <f>IF(A834="","",Tabulka_nakup_Vonka[[#This Row],[Počet MJHR v rozpadu]]*Tabulka_nakup_Vonka[[#This Row],[Jedn. hmotnost '[kg/MJHR']]])</f>
        <v/>
      </c>
    </row>
    <row r="835" spans="1:11" x14ac:dyDescent="0.35">
      <c r="A835" s="709" t="str">
        <f>IF('Rozpad zakázky'!E851=0,"",IF('Rozpad zakázky'!E851="-","",'Rozpad zakázky'!E851))</f>
        <v/>
      </c>
      <c r="B835" s="708" t="str">
        <f>IF(A835="","",IF(A835="","",VLOOKUP(A:A,Pomocna_Nakup[],3,0))&amp;" | "&amp;IF(A835="","",VLOOKUP(A:A,Pomocna_Nakup[],4,0)))</f>
        <v/>
      </c>
      <c r="C835" s="710" t="str">
        <f>IF(Tabulka_nakup_Vonka[[#This Row],[Zkratka kalkulační položky]]="","",Tabulka_nakup_Vonka[[#This Row],[Zkratka kalkulační položky]]&amp;" | "&amp;IF(A835="","",VLOOKUP(A:A,Pomocna_Nakup[],2,0)))</f>
        <v/>
      </c>
      <c r="D835" s="710" t="str">
        <f>IF(A835="","",'Rozpad zakázky'!F851)</f>
        <v/>
      </c>
      <c r="E835" s="710" t="str">
        <f>IF(A835="","",'Rozpad zakázky'!D851&amp;IF('Rozpad zakázky'!G851="",""," ("&amp;'Rozpad zakázky'!G851&amp;")"))</f>
        <v/>
      </c>
      <c r="F835" s="709" t="str">
        <f>IF(A835="","",'Rozpad zakázky'!IW851)</f>
        <v/>
      </c>
      <c r="G835" s="711" t="str">
        <f>IF(A835="","",'Rozpad zakázky'!AE851)</f>
        <v/>
      </c>
      <c r="H835" s="717" t="str">
        <f>IF(A835="","",'Rozpad zakázky'!AJ851)</f>
        <v/>
      </c>
      <c r="I835" s="748" t="str">
        <f>IF(A835="","",'Rozpad zakázky'!Q851)</f>
        <v/>
      </c>
      <c r="J835" s="717" t="str">
        <f>IF(A835="","",ROUNDDOWN('Rozpad zakázky'!L851,1))</f>
        <v/>
      </c>
      <c r="K835" s="745" t="str">
        <f>IF(A835="","",Tabulka_nakup_Vonka[[#This Row],[Počet MJHR v rozpadu]]*Tabulka_nakup_Vonka[[#This Row],[Jedn. hmotnost '[kg/MJHR']]])</f>
        <v/>
      </c>
    </row>
    <row r="836" spans="1:11" x14ac:dyDescent="0.35">
      <c r="A836" s="709" t="str">
        <f>IF('Rozpad zakázky'!E852=0,"",IF('Rozpad zakázky'!E852="-","",'Rozpad zakázky'!E852))</f>
        <v/>
      </c>
      <c r="B836" s="708" t="str">
        <f>IF(A836="","",IF(A836="","",VLOOKUP(A:A,Pomocna_Nakup[],3,0))&amp;" | "&amp;IF(A836="","",VLOOKUP(A:A,Pomocna_Nakup[],4,0)))</f>
        <v/>
      </c>
      <c r="C836" s="710" t="str">
        <f>IF(Tabulka_nakup_Vonka[[#This Row],[Zkratka kalkulační položky]]="","",Tabulka_nakup_Vonka[[#This Row],[Zkratka kalkulační položky]]&amp;" | "&amp;IF(A836="","",VLOOKUP(A:A,Pomocna_Nakup[],2,0)))</f>
        <v/>
      </c>
      <c r="D836" s="710" t="str">
        <f>IF(A836="","",'Rozpad zakázky'!F852)</f>
        <v/>
      </c>
      <c r="E836" s="710" t="str">
        <f>IF(A836="","",'Rozpad zakázky'!D852&amp;IF('Rozpad zakázky'!G852="",""," ("&amp;'Rozpad zakázky'!G852&amp;")"))</f>
        <v/>
      </c>
      <c r="F836" s="709" t="str">
        <f>IF(A836="","",'Rozpad zakázky'!IW852)</f>
        <v/>
      </c>
      <c r="G836" s="711" t="str">
        <f>IF(A836="","",'Rozpad zakázky'!AE852)</f>
        <v/>
      </c>
      <c r="H836" s="717" t="str">
        <f>IF(A836="","",'Rozpad zakázky'!AJ852)</f>
        <v/>
      </c>
      <c r="I836" s="748" t="str">
        <f>IF(A836="","",'Rozpad zakázky'!Q852)</f>
        <v/>
      </c>
      <c r="J836" s="717" t="str">
        <f>IF(A836="","",ROUNDDOWN('Rozpad zakázky'!L852,1))</f>
        <v/>
      </c>
      <c r="K836" s="745" t="str">
        <f>IF(A836="","",Tabulka_nakup_Vonka[[#This Row],[Počet MJHR v rozpadu]]*Tabulka_nakup_Vonka[[#This Row],[Jedn. hmotnost '[kg/MJHR']]])</f>
        <v/>
      </c>
    </row>
    <row r="837" spans="1:11" x14ac:dyDescent="0.35">
      <c r="A837" s="709" t="str">
        <f>IF('Rozpad zakázky'!E853=0,"",IF('Rozpad zakázky'!E853="-","",'Rozpad zakázky'!E853))</f>
        <v/>
      </c>
      <c r="B837" s="708" t="str">
        <f>IF(A837="","",IF(A837="","",VLOOKUP(A:A,Pomocna_Nakup[],3,0))&amp;" | "&amp;IF(A837="","",VLOOKUP(A:A,Pomocna_Nakup[],4,0)))</f>
        <v/>
      </c>
      <c r="C837" s="710" t="str">
        <f>IF(Tabulka_nakup_Vonka[[#This Row],[Zkratka kalkulační položky]]="","",Tabulka_nakup_Vonka[[#This Row],[Zkratka kalkulační položky]]&amp;" | "&amp;IF(A837="","",VLOOKUP(A:A,Pomocna_Nakup[],2,0)))</f>
        <v/>
      </c>
      <c r="D837" s="710" t="str">
        <f>IF(A837="","",'Rozpad zakázky'!F853)</f>
        <v/>
      </c>
      <c r="E837" s="710" t="str">
        <f>IF(A837="","",'Rozpad zakázky'!D853&amp;IF('Rozpad zakázky'!G853="",""," ("&amp;'Rozpad zakázky'!G853&amp;")"))</f>
        <v/>
      </c>
      <c r="F837" s="709" t="str">
        <f>IF(A837="","",'Rozpad zakázky'!IW853)</f>
        <v/>
      </c>
      <c r="G837" s="711" t="str">
        <f>IF(A837="","",'Rozpad zakázky'!AE853)</f>
        <v/>
      </c>
      <c r="H837" s="717" t="str">
        <f>IF(A837="","",'Rozpad zakázky'!AJ853)</f>
        <v/>
      </c>
      <c r="I837" s="748" t="str">
        <f>IF(A837="","",'Rozpad zakázky'!Q853)</f>
        <v/>
      </c>
      <c r="J837" s="717" t="str">
        <f>IF(A837="","",ROUNDDOWN('Rozpad zakázky'!L853,1))</f>
        <v/>
      </c>
      <c r="K837" s="745" t="str">
        <f>IF(A837="","",Tabulka_nakup_Vonka[[#This Row],[Počet MJHR v rozpadu]]*Tabulka_nakup_Vonka[[#This Row],[Jedn. hmotnost '[kg/MJHR']]])</f>
        <v/>
      </c>
    </row>
    <row r="838" spans="1:11" x14ac:dyDescent="0.35">
      <c r="A838" s="709" t="str">
        <f>IF('Rozpad zakázky'!E854=0,"",IF('Rozpad zakázky'!E854="-","",'Rozpad zakázky'!E854))</f>
        <v/>
      </c>
      <c r="B838" s="708" t="str">
        <f>IF(A838="","",IF(A838="","",VLOOKUP(A:A,Pomocna_Nakup[],3,0))&amp;" | "&amp;IF(A838="","",VLOOKUP(A:A,Pomocna_Nakup[],4,0)))</f>
        <v/>
      </c>
      <c r="C838" s="710" t="str">
        <f>IF(Tabulka_nakup_Vonka[[#This Row],[Zkratka kalkulační položky]]="","",Tabulka_nakup_Vonka[[#This Row],[Zkratka kalkulační položky]]&amp;" | "&amp;IF(A838="","",VLOOKUP(A:A,Pomocna_Nakup[],2,0)))</f>
        <v/>
      </c>
      <c r="D838" s="710" t="str">
        <f>IF(A838="","",'Rozpad zakázky'!F854)</f>
        <v/>
      </c>
      <c r="E838" s="710" t="str">
        <f>IF(A838="","",'Rozpad zakázky'!D854&amp;IF('Rozpad zakázky'!G854="",""," ("&amp;'Rozpad zakázky'!G854&amp;")"))</f>
        <v/>
      </c>
      <c r="F838" s="709" t="str">
        <f>IF(A838="","",'Rozpad zakázky'!IW854)</f>
        <v/>
      </c>
      <c r="G838" s="711" t="str">
        <f>IF(A838="","",'Rozpad zakázky'!AE854)</f>
        <v/>
      </c>
      <c r="H838" s="717" t="str">
        <f>IF(A838="","",'Rozpad zakázky'!AJ854)</f>
        <v/>
      </c>
      <c r="I838" s="748" t="str">
        <f>IF(A838="","",'Rozpad zakázky'!Q854)</f>
        <v/>
      </c>
      <c r="J838" s="717" t="str">
        <f>IF(A838="","",ROUNDDOWN('Rozpad zakázky'!L854,1))</f>
        <v/>
      </c>
      <c r="K838" s="745" t="str">
        <f>IF(A838="","",Tabulka_nakup_Vonka[[#This Row],[Počet MJHR v rozpadu]]*Tabulka_nakup_Vonka[[#This Row],[Jedn. hmotnost '[kg/MJHR']]])</f>
        <v/>
      </c>
    </row>
    <row r="839" spans="1:11" x14ac:dyDescent="0.35">
      <c r="A839" s="709" t="str">
        <f>IF('Rozpad zakázky'!E855=0,"",IF('Rozpad zakázky'!E855="-","",'Rozpad zakázky'!E855))</f>
        <v/>
      </c>
      <c r="B839" s="708" t="str">
        <f>IF(A839="","",IF(A839="","",VLOOKUP(A:A,Pomocna_Nakup[],3,0))&amp;" | "&amp;IF(A839="","",VLOOKUP(A:A,Pomocna_Nakup[],4,0)))</f>
        <v/>
      </c>
      <c r="C839" s="710" t="str">
        <f>IF(Tabulka_nakup_Vonka[[#This Row],[Zkratka kalkulační položky]]="","",Tabulka_nakup_Vonka[[#This Row],[Zkratka kalkulační položky]]&amp;" | "&amp;IF(A839="","",VLOOKUP(A:A,Pomocna_Nakup[],2,0)))</f>
        <v/>
      </c>
      <c r="D839" s="710" t="str">
        <f>IF(A839="","",'Rozpad zakázky'!F855)</f>
        <v/>
      </c>
      <c r="E839" s="710" t="str">
        <f>IF(A839="","",'Rozpad zakázky'!D855&amp;IF('Rozpad zakázky'!G855="",""," ("&amp;'Rozpad zakázky'!G855&amp;")"))</f>
        <v/>
      </c>
      <c r="F839" s="709" t="str">
        <f>IF(A839="","",'Rozpad zakázky'!IW855)</f>
        <v/>
      </c>
      <c r="G839" s="711" t="str">
        <f>IF(A839="","",'Rozpad zakázky'!AE855)</f>
        <v/>
      </c>
      <c r="H839" s="717" t="str">
        <f>IF(A839="","",'Rozpad zakázky'!AJ855)</f>
        <v/>
      </c>
      <c r="I839" s="748" t="str">
        <f>IF(A839="","",'Rozpad zakázky'!Q855)</f>
        <v/>
      </c>
      <c r="J839" s="717" t="str">
        <f>IF(A839="","",ROUNDDOWN('Rozpad zakázky'!L855,1))</f>
        <v/>
      </c>
      <c r="K839" s="745" t="str">
        <f>IF(A839="","",Tabulka_nakup_Vonka[[#This Row],[Počet MJHR v rozpadu]]*Tabulka_nakup_Vonka[[#This Row],[Jedn. hmotnost '[kg/MJHR']]])</f>
        <v/>
      </c>
    </row>
    <row r="840" spans="1:11" x14ac:dyDescent="0.35">
      <c r="A840" s="709" t="str">
        <f>IF('Rozpad zakázky'!E856=0,"",IF('Rozpad zakázky'!E856="-","",'Rozpad zakázky'!E856))</f>
        <v/>
      </c>
      <c r="B840" s="708" t="str">
        <f>IF(A840="","",IF(A840="","",VLOOKUP(A:A,Pomocna_Nakup[],3,0))&amp;" | "&amp;IF(A840="","",VLOOKUP(A:A,Pomocna_Nakup[],4,0)))</f>
        <v/>
      </c>
      <c r="C840" s="710" t="str">
        <f>IF(Tabulka_nakup_Vonka[[#This Row],[Zkratka kalkulační položky]]="","",Tabulka_nakup_Vonka[[#This Row],[Zkratka kalkulační položky]]&amp;" | "&amp;IF(A840="","",VLOOKUP(A:A,Pomocna_Nakup[],2,0)))</f>
        <v/>
      </c>
      <c r="D840" s="710" t="str">
        <f>IF(A840="","",'Rozpad zakázky'!F856)</f>
        <v/>
      </c>
      <c r="E840" s="710" t="str">
        <f>IF(A840="","",'Rozpad zakázky'!D856&amp;IF('Rozpad zakázky'!G856="",""," ("&amp;'Rozpad zakázky'!G856&amp;")"))</f>
        <v/>
      </c>
      <c r="F840" s="709" t="str">
        <f>IF(A840="","",'Rozpad zakázky'!IW856)</f>
        <v/>
      </c>
      <c r="G840" s="711" t="str">
        <f>IF(A840="","",'Rozpad zakázky'!AE856)</f>
        <v/>
      </c>
      <c r="H840" s="717" t="str">
        <f>IF(A840="","",'Rozpad zakázky'!AJ856)</f>
        <v/>
      </c>
      <c r="I840" s="748" t="str">
        <f>IF(A840="","",'Rozpad zakázky'!Q856)</f>
        <v/>
      </c>
      <c r="J840" s="717" t="str">
        <f>IF(A840="","",ROUNDDOWN('Rozpad zakázky'!L856,1))</f>
        <v/>
      </c>
      <c r="K840" s="745" t="str">
        <f>IF(A840="","",Tabulka_nakup_Vonka[[#This Row],[Počet MJHR v rozpadu]]*Tabulka_nakup_Vonka[[#This Row],[Jedn. hmotnost '[kg/MJHR']]])</f>
        <v/>
      </c>
    </row>
    <row r="841" spans="1:11" x14ac:dyDescent="0.35">
      <c r="A841" s="709" t="str">
        <f>IF('Rozpad zakázky'!E857=0,"",IF('Rozpad zakázky'!E857="-","",'Rozpad zakázky'!E857))</f>
        <v/>
      </c>
      <c r="B841" s="708" t="str">
        <f>IF(A841="","",IF(A841="","",VLOOKUP(A:A,Pomocna_Nakup[],3,0))&amp;" | "&amp;IF(A841="","",VLOOKUP(A:A,Pomocna_Nakup[],4,0)))</f>
        <v/>
      </c>
      <c r="C841" s="710" t="str">
        <f>IF(Tabulka_nakup_Vonka[[#This Row],[Zkratka kalkulační položky]]="","",Tabulka_nakup_Vonka[[#This Row],[Zkratka kalkulační položky]]&amp;" | "&amp;IF(A841="","",VLOOKUP(A:A,Pomocna_Nakup[],2,0)))</f>
        <v/>
      </c>
      <c r="D841" s="710" t="str">
        <f>IF(A841="","",'Rozpad zakázky'!F857)</f>
        <v/>
      </c>
      <c r="E841" s="710" t="str">
        <f>IF(A841="","",'Rozpad zakázky'!D857&amp;IF('Rozpad zakázky'!G857="",""," ("&amp;'Rozpad zakázky'!G857&amp;")"))</f>
        <v/>
      </c>
      <c r="F841" s="709" t="str">
        <f>IF(A841="","",'Rozpad zakázky'!IW857)</f>
        <v/>
      </c>
      <c r="G841" s="711" t="str">
        <f>IF(A841="","",'Rozpad zakázky'!AE857)</f>
        <v/>
      </c>
      <c r="H841" s="717" t="str">
        <f>IF(A841="","",'Rozpad zakázky'!AJ857)</f>
        <v/>
      </c>
      <c r="I841" s="748" t="str">
        <f>IF(A841="","",'Rozpad zakázky'!Q857)</f>
        <v/>
      </c>
      <c r="J841" s="717" t="str">
        <f>IF(A841="","",ROUNDDOWN('Rozpad zakázky'!L857,1))</f>
        <v/>
      </c>
      <c r="K841" s="745" t="str">
        <f>IF(A841="","",Tabulka_nakup_Vonka[[#This Row],[Počet MJHR v rozpadu]]*Tabulka_nakup_Vonka[[#This Row],[Jedn. hmotnost '[kg/MJHR']]])</f>
        <v/>
      </c>
    </row>
    <row r="842" spans="1:11" x14ac:dyDescent="0.35">
      <c r="A842" s="709" t="str">
        <f>IF('Rozpad zakázky'!E858=0,"",IF('Rozpad zakázky'!E858="-","",'Rozpad zakázky'!E858))</f>
        <v/>
      </c>
      <c r="B842" s="708" t="str">
        <f>IF(A842="","",IF(A842="","",VLOOKUP(A:A,Pomocna_Nakup[],3,0))&amp;" | "&amp;IF(A842="","",VLOOKUP(A:A,Pomocna_Nakup[],4,0)))</f>
        <v/>
      </c>
      <c r="C842" s="710" t="str">
        <f>IF(Tabulka_nakup_Vonka[[#This Row],[Zkratka kalkulační položky]]="","",Tabulka_nakup_Vonka[[#This Row],[Zkratka kalkulační položky]]&amp;" | "&amp;IF(A842="","",VLOOKUP(A:A,Pomocna_Nakup[],2,0)))</f>
        <v/>
      </c>
      <c r="D842" s="710" t="str">
        <f>IF(A842="","",'Rozpad zakázky'!F858)</f>
        <v/>
      </c>
      <c r="E842" s="710" t="str">
        <f>IF(A842="","",'Rozpad zakázky'!D858&amp;IF('Rozpad zakázky'!G858="",""," ("&amp;'Rozpad zakázky'!G858&amp;")"))</f>
        <v/>
      </c>
      <c r="F842" s="709" t="str">
        <f>IF(A842="","",'Rozpad zakázky'!IW858)</f>
        <v/>
      </c>
      <c r="G842" s="711" t="str">
        <f>IF(A842="","",'Rozpad zakázky'!AE858)</f>
        <v/>
      </c>
      <c r="H842" s="717" t="str">
        <f>IF(A842="","",'Rozpad zakázky'!AJ858)</f>
        <v/>
      </c>
      <c r="I842" s="748" t="str">
        <f>IF(A842="","",'Rozpad zakázky'!Q858)</f>
        <v/>
      </c>
      <c r="J842" s="717" t="str">
        <f>IF(A842="","",ROUNDDOWN('Rozpad zakázky'!L858,1))</f>
        <v/>
      </c>
      <c r="K842" s="745" t="str">
        <f>IF(A842="","",Tabulka_nakup_Vonka[[#This Row],[Počet MJHR v rozpadu]]*Tabulka_nakup_Vonka[[#This Row],[Jedn. hmotnost '[kg/MJHR']]])</f>
        <v/>
      </c>
    </row>
    <row r="843" spans="1:11" x14ac:dyDescent="0.35">
      <c r="A843" s="709" t="str">
        <f>IF('Rozpad zakázky'!E859=0,"",IF('Rozpad zakázky'!E859="-","",'Rozpad zakázky'!E859))</f>
        <v/>
      </c>
      <c r="B843" s="708" t="str">
        <f>IF(A843="","",IF(A843="","",VLOOKUP(A:A,Pomocna_Nakup[],3,0))&amp;" | "&amp;IF(A843="","",VLOOKUP(A:A,Pomocna_Nakup[],4,0)))</f>
        <v/>
      </c>
      <c r="C843" s="710" t="str">
        <f>IF(Tabulka_nakup_Vonka[[#This Row],[Zkratka kalkulační položky]]="","",Tabulka_nakup_Vonka[[#This Row],[Zkratka kalkulační položky]]&amp;" | "&amp;IF(A843="","",VLOOKUP(A:A,Pomocna_Nakup[],2,0)))</f>
        <v/>
      </c>
      <c r="D843" s="710" t="str">
        <f>IF(A843="","",'Rozpad zakázky'!F859)</f>
        <v/>
      </c>
      <c r="E843" s="710" t="str">
        <f>IF(A843="","",'Rozpad zakázky'!D859&amp;IF('Rozpad zakázky'!G859="",""," ("&amp;'Rozpad zakázky'!G859&amp;")"))</f>
        <v/>
      </c>
      <c r="F843" s="709" t="str">
        <f>IF(A843="","",'Rozpad zakázky'!IW859)</f>
        <v/>
      </c>
      <c r="G843" s="711" t="str">
        <f>IF(A843="","",'Rozpad zakázky'!AE859)</f>
        <v/>
      </c>
      <c r="H843" s="717" t="str">
        <f>IF(A843="","",'Rozpad zakázky'!AJ859)</f>
        <v/>
      </c>
      <c r="I843" s="748" t="str">
        <f>IF(A843="","",'Rozpad zakázky'!Q859)</f>
        <v/>
      </c>
      <c r="J843" s="717" t="str">
        <f>IF(A843="","",ROUNDDOWN('Rozpad zakázky'!L859,1))</f>
        <v/>
      </c>
      <c r="K843" s="745" t="str">
        <f>IF(A843="","",Tabulka_nakup_Vonka[[#This Row],[Počet MJHR v rozpadu]]*Tabulka_nakup_Vonka[[#This Row],[Jedn. hmotnost '[kg/MJHR']]])</f>
        <v/>
      </c>
    </row>
    <row r="844" spans="1:11" x14ac:dyDescent="0.35">
      <c r="A844" s="709" t="str">
        <f>IF('Rozpad zakázky'!E860=0,"",IF('Rozpad zakázky'!E860="-","",'Rozpad zakázky'!E860))</f>
        <v/>
      </c>
      <c r="B844" s="708" t="str">
        <f>IF(A844="","",IF(A844="","",VLOOKUP(A:A,Pomocna_Nakup[],3,0))&amp;" | "&amp;IF(A844="","",VLOOKUP(A:A,Pomocna_Nakup[],4,0)))</f>
        <v/>
      </c>
      <c r="C844" s="710" t="str">
        <f>IF(Tabulka_nakup_Vonka[[#This Row],[Zkratka kalkulační položky]]="","",Tabulka_nakup_Vonka[[#This Row],[Zkratka kalkulační položky]]&amp;" | "&amp;IF(A844="","",VLOOKUP(A:A,Pomocna_Nakup[],2,0)))</f>
        <v/>
      </c>
      <c r="D844" s="710" t="str">
        <f>IF(A844="","",'Rozpad zakázky'!F860)</f>
        <v/>
      </c>
      <c r="E844" s="710" t="str">
        <f>IF(A844="","",'Rozpad zakázky'!D860&amp;IF('Rozpad zakázky'!G860="",""," ("&amp;'Rozpad zakázky'!G860&amp;")"))</f>
        <v/>
      </c>
      <c r="F844" s="709" t="str">
        <f>IF(A844="","",'Rozpad zakázky'!IW860)</f>
        <v/>
      </c>
      <c r="G844" s="711" t="str">
        <f>IF(A844="","",'Rozpad zakázky'!AE860)</f>
        <v/>
      </c>
      <c r="H844" s="717" t="str">
        <f>IF(A844="","",'Rozpad zakázky'!AJ860)</f>
        <v/>
      </c>
      <c r="I844" s="748" t="str">
        <f>IF(A844="","",'Rozpad zakázky'!Q860)</f>
        <v/>
      </c>
      <c r="J844" s="717" t="str">
        <f>IF(A844="","",ROUNDDOWN('Rozpad zakázky'!L860,1))</f>
        <v/>
      </c>
      <c r="K844" s="745" t="str">
        <f>IF(A844="","",Tabulka_nakup_Vonka[[#This Row],[Počet MJHR v rozpadu]]*Tabulka_nakup_Vonka[[#This Row],[Jedn. hmotnost '[kg/MJHR']]])</f>
        <v/>
      </c>
    </row>
    <row r="845" spans="1:11" x14ac:dyDescent="0.35">
      <c r="A845" s="709" t="str">
        <f>IF('Rozpad zakázky'!E861=0,"",IF('Rozpad zakázky'!E861="-","",'Rozpad zakázky'!E861))</f>
        <v/>
      </c>
      <c r="B845" s="708" t="str">
        <f>IF(A845="","",IF(A845="","",VLOOKUP(A:A,Pomocna_Nakup[],3,0))&amp;" | "&amp;IF(A845="","",VLOOKUP(A:A,Pomocna_Nakup[],4,0)))</f>
        <v/>
      </c>
      <c r="C845" s="710" t="str">
        <f>IF(Tabulka_nakup_Vonka[[#This Row],[Zkratka kalkulační položky]]="","",Tabulka_nakup_Vonka[[#This Row],[Zkratka kalkulační položky]]&amp;" | "&amp;IF(A845="","",VLOOKUP(A:A,Pomocna_Nakup[],2,0)))</f>
        <v/>
      </c>
      <c r="D845" s="710" t="str">
        <f>IF(A845="","",'Rozpad zakázky'!F861)</f>
        <v/>
      </c>
      <c r="E845" s="710" t="str">
        <f>IF(A845="","",'Rozpad zakázky'!D861&amp;IF('Rozpad zakázky'!G861="",""," ("&amp;'Rozpad zakázky'!G861&amp;")"))</f>
        <v/>
      </c>
      <c r="F845" s="709" t="str">
        <f>IF(A845="","",'Rozpad zakázky'!IW861)</f>
        <v/>
      </c>
      <c r="G845" s="711" t="str">
        <f>IF(A845="","",'Rozpad zakázky'!AE861)</f>
        <v/>
      </c>
      <c r="H845" s="717" t="str">
        <f>IF(A845="","",'Rozpad zakázky'!AJ861)</f>
        <v/>
      </c>
      <c r="I845" s="748" t="str">
        <f>IF(A845="","",'Rozpad zakázky'!Q861)</f>
        <v/>
      </c>
      <c r="J845" s="717" t="str">
        <f>IF(A845="","",ROUNDDOWN('Rozpad zakázky'!L861,1))</f>
        <v/>
      </c>
      <c r="K845" s="745" t="str">
        <f>IF(A845="","",Tabulka_nakup_Vonka[[#This Row],[Počet MJHR v rozpadu]]*Tabulka_nakup_Vonka[[#This Row],[Jedn. hmotnost '[kg/MJHR']]])</f>
        <v/>
      </c>
    </row>
    <row r="846" spans="1:11" x14ac:dyDescent="0.35">
      <c r="A846" s="709" t="str">
        <f>IF('Rozpad zakázky'!E862=0,"",IF('Rozpad zakázky'!E862="-","",'Rozpad zakázky'!E862))</f>
        <v/>
      </c>
      <c r="B846" s="708" t="str">
        <f>IF(A846="","",IF(A846="","",VLOOKUP(A:A,Pomocna_Nakup[],3,0))&amp;" | "&amp;IF(A846="","",VLOOKUP(A:A,Pomocna_Nakup[],4,0)))</f>
        <v/>
      </c>
      <c r="C846" s="710" t="str">
        <f>IF(Tabulka_nakup_Vonka[[#This Row],[Zkratka kalkulační položky]]="","",Tabulka_nakup_Vonka[[#This Row],[Zkratka kalkulační položky]]&amp;" | "&amp;IF(A846="","",VLOOKUP(A:A,Pomocna_Nakup[],2,0)))</f>
        <v/>
      </c>
      <c r="D846" s="710" t="str">
        <f>IF(A846="","",'Rozpad zakázky'!F862)</f>
        <v/>
      </c>
      <c r="E846" s="710" t="str">
        <f>IF(A846="","",'Rozpad zakázky'!D862&amp;IF('Rozpad zakázky'!G862="",""," ("&amp;'Rozpad zakázky'!G862&amp;")"))</f>
        <v/>
      </c>
      <c r="F846" s="709" t="str">
        <f>IF(A846="","",'Rozpad zakázky'!IW862)</f>
        <v/>
      </c>
      <c r="G846" s="711" t="str">
        <f>IF(A846="","",'Rozpad zakázky'!AE862)</f>
        <v/>
      </c>
      <c r="H846" s="717" t="str">
        <f>IF(A846="","",'Rozpad zakázky'!AJ862)</f>
        <v/>
      </c>
      <c r="I846" s="748" t="str">
        <f>IF(A846="","",'Rozpad zakázky'!Q862)</f>
        <v/>
      </c>
      <c r="J846" s="717" t="str">
        <f>IF(A846="","",ROUNDDOWN('Rozpad zakázky'!L862,1))</f>
        <v/>
      </c>
      <c r="K846" s="745" t="str">
        <f>IF(A846="","",Tabulka_nakup_Vonka[[#This Row],[Počet MJHR v rozpadu]]*Tabulka_nakup_Vonka[[#This Row],[Jedn. hmotnost '[kg/MJHR']]])</f>
        <v/>
      </c>
    </row>
    <row r="847" spans="1:11" x14ac:dyDescent="0.35">
      <c r="A847" s="709" t="str">
        <f>IF('Rozpad zakázky'!E863=0,"",IF('Rozpad zakázky'!E863="-","",'Rozpad zakázky'!E863))</f>
        <v/>
      </c>
      <c r="B847" s="708" t="str">
        <f>IF(A847="","",IF(A847="","",VLOOKUP(A:A,Pomocna_Nakup[],3,0))&amp;" | "&amp;IF(A847="","",VLOOKUP(A:A,Pomocna_Nakup[],4,0)))</f>
        <v/>
      </c>
      <c r="C847" s="710" t="str">
        <f>IF(Tabulka_nakup_Vonka[[#This Row],[Zkratka kalkulační položky]]="","",Tabulka_nakup_Vonka[[#This Row],[Zkratka kalkulační položky]]&amp;" | "&amp;IF(A847="","",VLOOKUP(A:A,Pomocna_Nakup[],2,0)))</f>
        <v/>
      </c>
      <c r="D847" s="710" t="str">
        <f>IF(A847="","",'Rozpad zakázky'!F863)</f>
        <v/>
      </c>
      <c r="E847" s="710" t="str">
        <f>IF(A847="","",'Rozpad zakázky'!D863&amp;IF('Rozpad zakázky'!G863="",""," ("&amp;'Rozpad zakázky'!G863&amp;")"))</f>
        <v/>
      </c>
      <c r="F847" s="709" t="str">
        <f>IF(A847="","",'Rozpad zakázky'!IW863)</f>
        <v/>
      </c>
      <c r="G847" s="711" t="str">
        <f>IF(A847="","",'Rozpad zakázky'!AE863)</f>
        <v/>
      </c>
      <c r="H847" s="717" t="str">
        <f>IF(A847="","",'Rozpad zakázky'!AJ863)</f>
        <v/>
      </c>
      <c r="I847" s="748" t="str">
        <f>IF(A847="","",'Rozpad zakázky'!Q863)</f>
        <v/>
      </c>
      <c r="J847" s="717" t="str">
        <f>IF(A847="","",ROUNDDOWN('Rozpad zakázky'!L863,1))</f>
        <v/>
      </c>
      <c r="K847" s="745" t="str">
        <f>IF(A847="","",Tabulka_nakup_Vonka[[#This Row],[Počet MJHR v rozpadu]]*Tabulka_nakup_Vonka[[#This Row],[Jedn. hmotnost '[kg/MJHR']]])</f>
        <v/>
      </c>
    </row>
    <row r="848" spans="1:11" x14ac:dyDescent="0.35">
      <c r="A848" s="709" t="str">
        <f>IF('Rozpad zakázky'!E864=0,"",IF('Rozpad zakázky'!E864="-","",'Rozpad zakázky'!E864))</f>
        <v/>
      </c>
      <c r="B848" s="708" t="str">
        <f>IF(A848="","",IF(A848="","",VLOOKUP(A:A,Pomocna_Nakup[],3,0))&amp;" | "&amp;IF(A848="","",VLOOKUP(A:A,Pomocna_Nakup[],4,0)))</f>
        <v/>
      </c>
      <c r="C848" s="710" t="str">
        <f>IF(Tabulka_nakup_Vonka[[#This Row],[Zkratka kalkulační položky]]="","",Tabulka_nakup_Vonka[[#This Row],[Zkratka kalkulační položky]]&amp;" | "&amp;IF(A848="","",VLOOKUP(A:A,Pomocna_Nakup[],2,0)))</f>
        <v/>
      </c>
      <c r="D848" s="710" t="str">
        <f>IF(A848="","",'Rozpad zakázky'!F864)</f>
        <v/>
      </c>
      <c r="E848" s="710" t="str">
        <f>IF(A848="","",'Rozpad zakázky'!D864&amp;IF('Rozpad zakázky'!G864="",""," ("&amp;'Rozpad zakázky'!G864&amp;")"))</f>
        <v/>
      </c>
      <c r="F848" s="709" t="str">
        <f>IF(A848="","",'Rozpad zakázky'!IW864)</f>
        <v/>
      </c>
      <c r="G848" s="711" t="str">
        <f>IF(A848="","",'Rozpad zakázky'!AE864)</f>
        <v/>
      </c>
      <c r="H848" s="717" t="str">
        <f>IF(A848="","",'Rozpad zakázky'!AJ864)</f>
        <v/>
      </c>
      <c r="I848" s="748" t="str">
        <f>IF(A848="","",'Rozpad zakázky'!Q864)</f>
        <v/>
      </c>
      <c r="J848" s="717" t="str">
        <f>IF(A848="","",ROUNDDOWN('Rozpad zakázky'!L864,1))</f>
        <v/>
      </c>
      <c r="K848" s="745" t="str">
        <f>IF(A848="","",Tabulka_nakup_Vonka[[#This Row],[Počet MJHR v rozpadu]]*Tabulka_nakup_Vonka[[#This Row],[Jedn. hmotnost '[kg/MJHR']]])</f>
        <v/>
      </c>
    </row>
    <row r="849" spans="1:11" x14ac:dyDescent="0.35">
      <c r="A849" s="709" t="str">
        <f>IF('Rozpad zakázky'!E865=0,"",IF('Rozpad zakázky'!E865="-","",'Rozpad zakázky'!E865))</f>
        <v/>
      </c>
      <c r="B849" s="708" t="str">
        <f>IF(A849="","",IF(A849="","",VLOOKUP(A:A,Pomocna_Nakup[],3,0))&amp;" | "&amp;IF(A849="","",VLOOKUP(A:A,Pomocna_Nakup[],4,0)))</f>
        <v/>
      </c>
      <c r="C849" s="710" t="str">
        <f>IF(Tabulka_nakup_Vonka[[#This Row],[Zkratka kalkulační položky]]="","",Tabulka_nakup_Vonka[[#This Row],[Zkratka kalkulační položky]]&amp;" | "&amp;IF(A849="","",VLOOKUP(A:A,Pomocna_Nakup[],2,0)))</f>
        <v/>
      </c>
      <c r="D849" s="710" t="str">
        <f>IF(A849="","",'Rozpad zakázky'!F865)</f>
        <v/>
      </c>
      <c r="E849" s="710" t="str">
        <f>IF(A849="","",'Rozpad zakázky'!D865&amp;IF('Rozpad zakázky'!G865="",""," ("&amp;'Rozpad zakázky'!G865&amp;")"))</f>
        <v/>
      </c>
      <c r="F849" s="709" t="str">
        <f>IF(A849="","",'Rozpad zakázky'!IW865)</f>
        <v/>
      </c>
      <c r="G849" s="711" t="str">
        <f>IF(A849="","",'Rozpad zakázky'!AE865)</f>
        <v/>
      </c>
      <c r="H849" s="717" t="str">
        <f>IF(A849="","",'Rozpad zakázky'!AJ865)</f>
        <v/>
      </c>
      <c r="I849" s="748" t="str">
        <f>IF(A849="","",'Rozpad zakázky'!Q865)</f>
        <v/>
      </c>
      <c r="J849" s="717" t="str">
        <f>IF(A849="","",ROUNDDOWN('Rozpad zakázky'!L865,1))</f>
        <v/>
      </c>
      <c r="K849" s="745" t="str">
        <f>IF(A849="","",Tabulka_nakup_Vonka[[#This Row],[Počet MJHR v rozpadu]]*Tabulka_nakup_Vonka[[#This Row],[Jedn. hmotnost '[kg/MJHR']]])</f>
        <v/>
      </c>
    </row>
    <row r="850" spans="1:11" x14ac:dyDescent="0.35">
      <c r="A850" s="709" t="str">
        <f>IF('Rozpad zakázky'!E866=0,"",IF('Rozpad zakázky'!E866="-","",'Rozpad zakázky'!E866))</f>
        <v/>
      </c>
      <c r="B850" s="708" t="str">
        <f>IF(A850="","",IF(A850="","",VLOOKUP(A:A,Pomocna_Nakup[],3,0))&amp;" | "&amp;IF(A850="","",VLOOKUP(A:A,Pomocna_Nakup[],4,0)))</f>
        <v/>
      </c>
      <c r="C850" s="710" t="str">
        <f>IF(Tabulka_nakup_Vonka[[#This Row],[Zkratka kalkulační položky]]="","",Tabulka_nakup_Vonka[[#This Row],[Zkratka kalkulační položky]]&amp;" | "&amp;IF(A850="","",VLOOKUP(A:A,Pomocna_Nakup[],2,0)))</f>
        <v/>
      </c>
      <c r="D850" s="710" t="str">
        <f>IF(A850="","",'Rozpad zakázky'!F866)</f>
        <v/>
      </c>
      <c r="E850" s="710" t="str">
        <f>IF(A850="","",'Rozpad zakázky'!D866&amp;IF('Rozpad zakázky'!G866="",""," ("&amp;'Rozpad zakázky'!G866&amp;")"))</f>
        <v/>
      </c>
      <c r="F850" s="709" t="str">
        <f>IF(A850="","",'Rozpad zakázky'!IW866)</f>
        <v/>
      </c>
      <c r="G850" s="711" t="str">
        <f>IF(A850="","",'Rozpad zakázky'!AE866)</f>
        <v/>
      </c>
      <c r="H850" s="717" t="str">
        <f>IF(A850="","",'Rozpad zakázky'!AJ866)</f>
        <v/>
      </c>
      <c r="I850" s="748" t="str">
        <f>IF(A850="","",'Rozpad zakázky'!Q866)</f>
        <v/>
      </c>
      <c r="J850" s="717" t="str">
        <f>IF(A850="","",ROUNDDOWN('Rozpad zakázky'!L866,1))</f>
        <v/>
      </c>
      <c r="K850" s="745" t="str">
        <f>IF(A850="","",Tabulka_nakup_Vonka[[#This Row],[Počet MJHR v rozpadu]]*Tabulka_nakup_Vonka[[#This Row],[Jedn. hmotnost '[kg/MJHR']]])</f>
        <v/>
      </c>
    </row>
    <row r="851" spans="1:11" x14ac:dyDescent="0.35">
      <c r="A851" s="709" t="str">
        <f>IF('Rozpad zakázky'!E867=0,"",IF('Rozpad zakázky'!E867="-","",'Rozpad zakázky'!E867))</f>
        <v/>
      </c>
      <c r="B851" s="708" t="str">
        <f>IF(A851="","",IF(A851="","",VLOOKUP(A:A,Pomocna_Nakup[],3,0))&amp;" | "&amp;IF(A851="","",VLOOKUP(A:A,Pomocna_Nakup[],4,0)))</f>
        <v/>
      </c>
      <c r="C851" s="710" t="str">
        <f>IF(Tabulka_nakup_Vonka[[#This Row],[Zkratka kalkulační položky]]="","",Tabulka_nakup_Vonka[[#This Row],[Zkratka kalkulační položky]]&amp;" | "&amp;IF(A851="","",VLOOKUP(A:A,Pomocna_Nakup[],2,0)))</f>
        <v/>
      </c>
      <c r="D851" s="710" t="str">
        <f>IF(A851="","",'Rozpad zakázky'!F867)</f>
        <v/>
      </c>
      <c r="E851" s="710" t="str">
        <f>IF(A851="","",'Rozpad zakázky'!D867&amp;IF('Rozpad zakázky'!G867="",""," ("&amp;'Rozpad zakázky'!G867&amp;")"))</f>
        <v/>
      </c>
      <c r="F851" s="709" t="str">
        <f>IF(A851="","",'Rozpad zakázky'!IW867)</f>
        <v/>
      </c>
      <c r="G851" s="711" t="str">
        <f>IF(A851="","",'Rozpad zakázky'!AE867)</f>
        <v/>
      </c>
      <c r="H851" s="717" t="str">
        <f>IF(A851="","",'Rozpad zakázky'!AJ867)</f>
        <v/>
      </c>
      <c r="I851" s="748" t="str">
        <f>IF(A851="","",'Rozpad zakázky'!Q867)</f>
        <v/>
      </c>
      <c r="J851" s="717" t="str">
        <f>IF(A851="","",ROUNDDOWN('Rozpad zakázky'!L867,1))</f>
        <v/>
      </c>
      <c r="K851" s="745" t="str">
        <f>IF(A851="","",Tabulka_nakup_Vonka[[#This Row],[Počet MJHR v rozpadu]]*Tabulka_nakup_Vonka[[#This Row],[Jedn. hmotnost '[kg/MJHR']]])</f>
        <v/>
      </c>
    </row>
    <row r="852" spans="1:11" x14ac:dyDescent="0.35">
      <c r="A852" s="709" t="str">
        <f>IF('Rozpad zakázky'!E868=0,"",IF('Rozpad zakázky'!E868="-","",'Rozpad zakázky'!E868))</f>
        <v/>
      </c>
      <c r="B852" s="708" t="str">
        <f>IF(A852="","",IF(A852="","",VLOOKUP(A:A,Pomocna_Nakup[],3,0))&amp;" | "&amp;IF(A852="","",VLOOKUP(A:A,Pomocna_Nakup[],4,0)))</f>
        <v/>
      </c>
      <c r="C852" s="710" t="str">
        <f>IF(Tabulka_nakup_Vonka[[#This Row],[Zkratka kalkulační položky]]="","",Tabulka_nakup_Vonka[[#This Row],[Zkratka kalkulační položky]]&amp;" | "&amp;IF(A852="","",VLOOKUP(A:A,Pomocna_Nakup[],2,0)))</f>
        <v/>
      </c>
      <c r="D852" s="710" t="str">
        <f>IF(A852="","",'Rozpad zakázky'!F868)</f>
        <v/>
      </c>
      <c r="E852" s="710" t="str">
        <f>IF(A852="","",'Rozpad zakázky'!D868&amp;IF('Rozpad zakázky'!G868="",""," ("&amp;'Rozpad zakázky'!G868&amp;")"))</f>
        <v/>
      </c>
      <c r="F852" s="709" t="str">
        <f>IF(A852="","",'Rozpad zakázky'!IW868)</f>
        <v/>
      </c>
      <c r="G852" s="711" t="str">
        <f>IF(A852="","",'Rozpad zakázky'!AE868)</f>
        <v/>
      </c>
      <c r="H852" s="717" t="str">
        <f>IF(A852="","",'Rozpad zakázky'!AJ868)</f>
        <v/>
      </c>
      <c r="I852" s="748" t="str">
        <f>IF(A852="","",'Rozpad zakázky'!Q868)</f>
        <v/>
      </c>
      <c r="J852" s="717" t="str">
        <f>IF(A852="","",ROUNDDOWN('Rozpad zakázky'!L868,1))</f>
        <v/>
      </c>
      <c r="K852" s="745" t="str">
        <f>IF(A852="","",Tabulka_nakup_Vonka[[#This Row],[Počet MJHR v rozpadu]]*Tabulka_nakup_Vonka[[#This Row],[Jedn. hmotnost '[kg/MJHR']]])</f>
        <v/>
      </c>
    </row>
    <row r="853" spans="1:11" x14ac:dyDescent="0.35">
      <c r="A853" s="709" t="str">
        <f>IF('Rozpad zakázky'!E869=0,"",IF('Rozpad zakázky'!E869="-","",'Rozpad zakázky'!E869))</f>
        <v/>
      </c>
      <c r="B853" s="708" t="str">
        <f>IF(A853="","",IF(A853="","",VLOOKUP(A:A,Pomocna_Nakup[],3,0))&amp;" | "&amp;IF(A853="","",VLOOKUP(A:A,Pomocna_Nakup[],4,0)))</f>
        <v/>
      </c>
      <c r="C853" s="710" t="str">
        <f>IF(Tabulka_nakup_Vonka[[#This Row],[Zkratka kalkulační položky]]="","",Tabulka_nakup_Vonka[[#This Row],[Zkratka kalkulační položky]]&amp;" | "&amp;IF(A853="","",VLOOKUP(A:A,Pomocna_Nakup[],2,0)))</f>
        <v/>
      </c>
      <c r="D853" s="710" t="str">
        <f>IF(A853="","",'Rozpad zakázky'!F869)</f>
        <v/>
      </c>
      <c r="E853" s="710" t="str">
        <f>IF(A853="","",'Rozpad zakázky'!D869&amp;IF('Rozpad zakázky'!G869="",""," ("&amp;'Rozpad zakázky'!G869&amp;")"))</f>
        <v/>
      </c>
      <c r="F853" s="709" t="str">
        <f>IF(A853="","",'Rozpad zakázky'!IW869)</f>
        <v/>
      </c>
      <c r="G853" s="711" t="str">
        <f>IF(A853="","",'Rozpad zakázky'!AE869)</f>
        <v/>
      </c>
      <c r="H853" s="717" t="str">
        <f>IF(A853="","",'Rozpad zakázky'!AJ869)</f>
        <v/>
      </c>
      <c r="I853" s="748" t="str">
        <f>IF(A853="","",'Rozpad zakázky'!Q869)</f>
        <v/>
      </c>
      <c r="J853" s="717" t="str">
        <f>IF(A853="","",ROUNDDOWN('Rozpad zakázky'!L869,1))</f>
        <v/>
      </c>
      <c r="K853" s="745" t="str">
        <f>IF(A853="","",Tabulka_nakup_Vonka[[#This Row],[Počet MJHR v rozpadu]]*Tabulka_nakup_Vonka[[#This Row],[Jedn. hmotnost '[kg/MJHR']]])</f>
        <v/>
      </c>
    </row>
    <row r="854" spans="1:11" x14ac:dyDescent="0.35">
      <c r="A854" s="709" t="str">
        <f>IF('Rozpad zakázky'!E870=0,"",IF('Rozpad zakázky'!E870="-","",'Rozpad zakázky'!E870))</f>
        <v/>
      </c>
      <c r="B854" s="708" t="str">
        <f>IF(A854="","",IF(A854="","",VLOOKUP(A:A,Pomocna_Nakup[],3,0))&amp;" | "&amp;IF(A854="","",VLOOKUP(A:A,Pomocna_Nakup[],4,0)))</f>
        <v/>
      </c>
      <c r="C854" s="710" t="str">
        <f>IF(Tabulka_nakup_Vonka[[#This Row],[Zkratka kalkulační položky]]="","",Tabulka_nakup_Vonka[[#This Row],[Zkratka kalkulační položky]]&amp;" | "&amp;IF(A854="","",VLOOKUP(A:A,Pomocna_Nakup[],2,0)))</f>
        <v/>
      </c>
      <c r="D854" s="710" t="str">
        <f>IF(A854="","",'Rozpad zakázky'!F870)</f>
        <v/>
      </c>
      <c r="E854" s="710" t="str">
        <f>IF(A854="","",'Rozpad zakázky'!D870&amp;IF('Rozpad zakázky'!G870="",""," ("&amp;'Rozpad zakázky'!G870&amp;")"))</f>
        <v/>
      </c>
      <c r="F854" s="709" t="str">
        <f>IF(A854="","",'Rozpad zakázky'!IW870)</f>
        <v/>
      </c>
      <c r="G854" s="711" t="str">
        <f>IF(A854="","",'Rozpad zakázky'!AE870)</f>
        <v/>
      </c>
      <c r="H854" s="717" t="str">
        <f>IF(A854="","",'Rozpad zakázky'!AJ870)</f>
        <v/>
      </c>
      <c r="I854" s="748" t="str">
        <f>IF(A854="","",'Rozpad zakázky'!Q870)</f>
        <v/>
      </c>
      <c r="J854" s="717" t="str">
        <f>IF(A854="","",ROUNDDOWN('Rozpad zakázky'!L870,1))</f>
        <v/>
      </c>
      <c r="K854" s="745" t="str">
        <f>IF(A854="","",Tabulka_nakup_Vonka[[#This Row],[Počet MJHR v rozpadu]]*Tabulka_nakup_Vonka[[#This Row],[Jedn. hmotnost '[kg/MJHR']]])</f>
        <v/>
      </c>
    </row>
    <row r="855" spans="1:11" x14ac:dyDescent="0.35">
      <c r="A855" s="709" t="str">
        <f>IF('Rozpad zakázky'!E871=0,"",IF('Rozpad zakázky'!E871="-","",'Rozpad zakázky'!E871))</f>
        <v/>
      </c>
      <c r="B855" s="708" t="str">
        <f>IF(A855="","",IF(A855="","",VLOOKUP(A:A,Pomocna_Nakup[],3,0))&amp;" | "&amp;IF(A855="","",VLOOKUP(A:A,Pomocna_Nakup[],4,0)))</f>
        <v/>
      </c>
      <c r="C855" s="710" t="str">
        <f>IF(Tabulka_nakup_Vonka[[#This Row],[Zkratka kalkulační položky]]="","",Tabulka_nakup_Vonka[[#This Row],[Zkratka kalkulační položky]]&amp;" | "&amp;IF(A855="","",VLOOKUP(A:A,Pomocna_Nakup[],2,0)))</f>
        <v/>
      </c>
      <c r="D855" s="710" t="str">
        <f>IF(A855="","",'Rozpad zakázky'!F871)</f>
        <v/>
      </c>
      <c r="E855" s="710" t="str">
        <f>IF(A855="","",'Rozpad zakázky'!D871&amp;IF('Rozpad zakázky'!G871="",""," ("&amp;'Rozpad zakázky'!G871&amp;")"))</f>
        <v/>
      </c>
      <c r="F855" s="709" t="str">
        <f>IF(A855="","",'Rozpad zakázky'!IW871)</f>
        <v/>
      </c>
      <c r="G855" s="711" t="str">
        <f>IF(A855="","",'Rozpad zakázky'!AE871)</f>
        <v/>
      </c>
      <c r="H855" s="717" t="str">
        <f>IF(A855="","",'Rozpad zakázky'!AJ871)</f>
        <v/>
      </c>
      <c r="I855" s="748" t="str">
        <f>IF(A855="","",'Rozpad zakázky'!Q871)</f>
        <v/>
      </c>
      <c r="J855" s="717" t="str">
        <f>IF(A855="","",ROUNDDOWN('Rozpad zakázky'!L871,1))</f>
        <v/>
      </c>
      <c r="K855" s="745" t="str">
        <f>IF(A855="","",Tabulka_nakup_Vonka[[#This Row],[Počet MJHR v rozpadu]]*Tabulka_nakup_Vonka[[#This Row],[Jedn. hmotnost '[kg/MJHR']]])</f>
        <v/>
      </c>
    </row>
    <row r="856" spans="1:11" x14ac:dyDescent="0.35">
      <c r="A856" s="709" t="str">
        <f>IF('Rozpad zakázky'!E872=0,"",IF('Rozpad zakázky'!E872="-","",'Rozpad zakázky'!E872))</f>
        <v/>
      </c>
      <c r="B856" s="708" t="str">
        <f>IF(A856="","",IF(A856="","",VLOOKUP(A:A,Pomocna_Nakup[],3,0))&amp;" | "&amp;IF(A856="","",VLOOKUP(A:A,Pomocna_Nakup[],4,0)))</f>
        <v/>
      </c>
      <c r="C856" s="710" t="str">
        <f>IF(Tabulka_nakup_Vonka[[#This Row],[Zkratka kalkulační položky]]="","",Tabulka_nakup_Vonka[[#This Row],[Zkratka kalkulační položky]]&amp;" | "&amp;IF(A856="","",VLOOKUP(A:A,Pomocna_Nakup[],2,0)))</f>
        <v/>
      </c>
      <c r="D856" s="710" t="str">
        <f>IF(A856="","",'Rozpad zakázky'!F872)</f>
        <v/>
      </c>
      <c r="E856" s="710" t="str">
        <f>IF(A856="","",'Rozpad zakázky'!D872&amp;IF('Rozpad zakázky'!G872="",""," ("&amp;'Rozpad zakázky'!G872&amp;")"))</f>
        <v/>
      </c>
      <c r="F856" s="709" t="str">
        <f>IF(A856="","",'Rozpad zakázky'!IW872)</f>
        <v/>
      </c>
      <c r="G856" s="711" t="str">
        <f>IF(A856="","",'Rozpad zakázky'!AE872)</f>
        <v/>
      </c>
      <c r="H856" s="717" t="str">
        <f>IF(A856="","",'Rozpad zakázky'!AJ872)</f>
        <v/>
      </c>
      <c r="I856" s="748" t="str">
        <f>IF(A856="","",'Rozpad zakázky'!Q872)</f>
        <v/>
      </c>
      <c r="J856" s="717" t="str">
        <f>IF(A856="","",ROUNDDOWN('Rozpad zakázky'!L872,1))</f>
        <v/>
      </c>
      <c r="K856" s="745" t="str">
        <f>IF(A856="","",Tabulka_nakup_Vonka[[#This Row],[Počet MJHR v rozpadu]]*Tabulka_nakup_Vonka[[#This Row],[Jedn. hmotnost '[kg/MJHR']]])</f>
        <v/>
      </c>
    </row>
    <row r="857" spans="1:11" x14ac:dyDescent="0.35">
      <c r="A857" s="709" t="str">
        <f>IF('Rozpad zakázky'!E873=0,"",IF('Rozpad zakázky'!E873="-","",'Rozpad zakázky'!E873))</f>
        <v/>
      </c>
      <c r="B857" s="708" t="str">
        <f>IF(A857="","",IF(A857="","",VLOOKUP(A:A,Pomocna_Nakup[],3,0))&amp;" | "&amp;IF(A857="","",VLOOKUP(A:A,Pomocna_Nakup[],4,0)))</f>
        <v/>
      </c>
      <c r="C857" s="710" t="str">
        <f>IF(Tabulka_nakup_Vonka[[#This Row],[Zkratka kalkulační položky]]="","",Tabulka_nakup_Vonka[[#This Row],[Zkratka kalkulační položky]]&amp;" | "&amp;IF(A857="","",VLOOKUP(A:A,Pomocna_Nakup[],2,0)))</f>
        <v/>
      </c>
      <c r="D857" s="710" t="str">
        <f>IF(A857="","",'Rozpad zakázky'!F873)</f>
        <v/>
      </c>
      <c r="E857" s="710" t="str">
        <f>IF(A857="","",'Rozpad zakázky'!D873&amp;IF('Rozpad zakázky'!G873="",""," ("&amp;'Rozpad zakázky'!G873&amp;")"))</f>
        <v/>
      </c>
      <c r="F857" s="709" t="str">
        <f>IF(A857="","",'Rozpad zakázky'!IW873)</f>
        <v/>
      </c>
      <c r="G857" s="711" t="str">
        <f>IF(A857="","",'Rozpad zakázky'!AE873)</f>
        <v/>
      </c>
      <c r="H857" s="717" t="str">
        <f>IF(A857="","",'Rozpad zakázky'!AJ873)</f>
        <v/>
      </c>
      <c r="I857" s="748" t="str">
        <f>IF(A857="","",'Rozpad zakázky'!Q873)</f>
        <v/>
      </c>
      <c r="J857" s="717" t="str">
        <f>IF(A857="","",ROUNDDOWN('Rozpad zakázky'!L873,1))</f>
        <v/>
      </c>
      <c r="K857" s="745" t="str">
        <f>IF(A857="","",Tabulka_nakup_Vonka[[#This Row],[Počet MJHR v rozpadu]]*Tabulka_nakup_Vonka[[#This Row],[Jedn. hmotnost '[kg/MJHR']]])</f>
        <v/>
      </c>
    </row>
    <row r="858" spans="1:11" x14ac:dyDescent="0.35">
      <c r="A858" s="709" t="str">
        <f>IF('Rozpad zakázky'!E874=0,"",IF('Rozpad zakázky'!E874="-","",'Rozpad zakázky'!E874))</f>
        <v/>
      </c>
      <c r="B858" s="708" t="str">
        <f>IF(A858="","",IF(A858="","",VLOOKUP(A:A,Pomocna_Nakup[],3,0))&amp;" | "&amp;IF(A858="","",VLOOKUP(A:A,Pomocna_Nakup[],4,0)))</f>
        <v/>
      </c>
      <c r="C858" s="710" t="str">
        <f>IF(Tabulka_nakup_Vonka[[#This Row],[Zkratka kalkulační položky]]="","",Tabulka_nakup_Vonka[[#This Row],[Zkratka kalkulační položky]]&amp;" | "&amp;IF(A858="","",VLOOKUP(A:A,Pomocna_Nakup[],2,0)))</f>
        <v/>
      </c>
      <c r="D858" s="710" t="str">
        <f>IF(A858="","",'Rozpad zakázky'!F874)</f>
        <v/>
      </c>
      <c r="E858" s="710" t="str">
        <f>IF(A858="","",'Rozpad zakázky'!D874&amp;IF('Rozpad zakázky'!G874="",""," ("&amp;'Rozpad zakázky'!G874&amp;")"))</f>
        <v/>
      </c>
      <c r="F858" s="709" t="str">
        <f>IF(A858="","",'Rozpad zakázky'!IW874)</f>
        <v/>
      </c>
      <c r="G858" s="711" t="str">
        <f>IF(A858="","",'Rozpad zakázky'!AE874)</f>
        <v/>
      </c>
      <c r="H858" s="717" t="str">
        <f>IF(A858="","",'Rozpad zakázky'!AJ874)</f>
        <v/>
      </c>
      <c r="I858" s="748" t="str">
        <f>IF(A858="","",'Rozpad zakázky'!Q874)</f>
        <v/>
      </c>
      <c r="J858" s="717" t="str">
        <f>IF(A858="","",ROUNDDOWN('Rozpad zakázky'!L874,1))</f>
        <v/>
      </c>
      <c r="K858" s="745" t="str">
        <f>IF(A858="","",Tabulka_nakup_Vonka[[#This Row],[Počet MJHR v rozpadu]]*Tabulka_nakup_Vonka[[#This Row],[Jedn. hmotnost '[kg/MJHR']]])</f>
        <v/>
      </c>
    </row>
    <row r="859" spans="1:11" x14ac:dyDescent="0.35">
      <c r="A859" s="709" t="str">
        <f>IF('Rozpad zakázky'!E875=0,"",IF('Rozpad zakázky'!E875="-","",'Rozpad zakázky'!E875))</f>
        <v/>
      </c>
      <c r="B859" s="708" t="str">
        <f>IF(A859="","",IF(A859="","",VLOOKUP(A:A,Pomocna_Nakup[],3,0))&amp;" | "&amp;IF(A859="","",VLOOKUP(A:A,Pomocna_Nakup[],4,0)))</f>
        <v/>
      </c>
      <c r="C859" s="710" t="str">
        <f>IF(Tabulka_nakup_Vonka[[#This Row],[Zkratka kalkulační položky]]="","",Tabulka_nakup_Vonka[[#This Row],[Zkratka kalkulační položky]]&amp;" | "&amp;IF(A859="","",VLOOKUP(A:A,Pomocna_Nakup[],2,0)))</f>
        <v/>
      </c>
      <c r="D859" s="710" t="str">
        <f>IF(A859="","",'Rozpad zakázky'!F875)</f>
        <v/>
      </c>
      <c r="E859" s="710" t="str">
        <f>IF(A859="","",'Rozpad zakázky'!D875&amp;IF('Rozpad zakázky'!G875="",""," ("&amp;'Rozpad zakázky'!G875&amp;")"))</f>
        <v/>
      </c>
      <c r="F859" s="709" t="str">
        <f>IF(A859="","",'Rozpad zakázky'!IW875)</f>
        <v/>
      </c>
      <c r="G859" s="711" t="str">
        <f>IF(A859="","",'Rozpad zakázky'!AE875)</f>
        <v/>
      </c>
      <c r="H859" s="717" t="str">
        <f>IF(A859="","",'Rozpad zakázky'!AJ875)</f>
        <v/>
      </c>
      <c r="I859" s="748" t="str">
        <f>IF(A859="","",'Rozpad zakázky'!Q875)</f>
        <v/>
      </c>
      <c r="J859" s="717" t="str">
        <f>IF(A859="","",ROUNDDOWN('Rozpad zakázky'!L875,1))</f>
        <v/>
      </c>
      <c r="K859" s="745" t="str">
        <f>IF(A859="","",Tabulka_nakup_Vonka[[#This Row],[Počet MJHR v rozpadu]]*Tabulka_nakup_Vonka[[#This Row],[Jedn. hmotnost '[kg/MJHR']]])</f>
        <v/>
      </c>
    </row>
    <row r="860" spans="1:11" x14ac:dyDescent="0.35">
      <c r="A860" s="709" t="str">
        <f>IF('Rozpad zakázky'!E876=0,"",IF('Rozpad zakázky'!E876="-","",'Rozpad zakázky'!E876))</f>
        <v/>
      </c>
      <c r="B860" s="708" t="str">
        <f>IF(A860="","",IF(A860="","",VLOOKUP(A:A,Pomocna_Nakup[],3,0))&amp;" | "&amp;IF(A860="","",VLOOKUP(A:A,Pomocna_Nakup[],4,0)))</f>
        <v/>
      </c>
      <c r="C860" s="710" t="str">
        <f>IF(Tabulka_nakup_Vonka[[#This Row],[Zkratka kalkulační položky]]="","",Tabulka_nakup_Vonka[[#This Row],[Zkratka kalkulační položky]]&amp;" | "&amp;IF(A860="","",VLOOKUP(A:A,Pomocna_Nakup[],2,0)))</f>
        <v/>
      </c>
      <c r="D860" s="710" t="str">
        <f>IF(A860="","",'Rozpad zakázky'!F876)</f>
        <v/>
      </c>
      <c r="E860" s="710" t="str">
        <f>IF(A860="","",'Rozpad zakázky'!D876&amp;IF('Rozpad zakázky'!G876="",""," ("&amp;'Rozpad zakázky'!G876&amp;")"))</f>
        <v/>
      </c>
      <c r="F860" s="709" t="str">
        <f>IF(A860="","",'Rozpad zakázky'!IW876)</f>
        <v/>
      </c>
      <c r="G860" s="711" t="str">
        <f>IF(A860="","",'Rozpad zakázky'!AE876)</f>
        <v/>
      </c>
      <c r="H860" s="717" t="str">
        <f>IF(A860="","",'Rozpad zakázky'!AJ876)</f>
        <v/>
      </c>
      <c r="I860" s="748" t="str">
        <f>IF(A860="","",'Rozpad zakázky'!Q876)</f>
        <v/>
      </c>
      <c r="J860" s="717" t="str">
        <f>IF(A860="","",ROUNDDOWN('Rozpad zakázky'!L876,1))</f>
        <v/>
      </c>
      <c r="K860" s="745" t="str">
        <f>IF(A860="","",Tabulka_nakup_Vonka[[#This Row],[Počet MJHR v rozpadu]]*Tabulka_nakup_Vonka[[#This Row],[Jedn. hmotnost '[kg/MJHR']]])</f>
        <v/>
      </c>
    </row>
    <row r="861" spans="1:11" x14ac:dyDescent="0.35">
      <c r="A861" s="709" t="str">
        <f>IF('Rozpad zakázky'!E877=0,"",IF('Rozpad zakázky'!E877="-","",'Rozpad zakázky'!E877))</f>
        <v/>
      </c>
      <c r="B861" s="708" t="str">
        <f>IF(A861="","",IF(A861="","",VLOOKUP(A:A,Pomocna_Nakup[],3,0))&amp;" | "&amp;IF(A861="","",VLOOKUP(A:A,Pomocna_Nakup[],4,0)))</f>
        <v/>
      </c>
      <c r="C861" s="710" t="str">
        <f>IF(Tabulka_nakup_Vonka[[#This Row],[Zkratka kalkulační položky]]="","",Tabulka_nakup_Vonka[[#This Row],[Zkratka kalkulační položky]]&amp;" | "&amp;IF(A861="","",VLOOKUP(A:A,Pomocna_Nakup[],2,0)))</f>
        <v/>
      </c>
      <c r="D861" s="710" t="str">
        <f>IF(A861="","",'Rozpad zakázky'!F877)</f>
        <v/>
      </c>
      <c r="E861" s="710" t="str">
        <f>IF(A861="","",'Rozpad zakázky'!D877&amp;IF('Rozpad zakázky'!G877="",""," ("&amp;'Rozpad zakázky'!G877&amp;")"))</f>
        <v/>
      </c>
      <c r="F861" s="709" t="str">
        <f>IF(A861="","",'Rozpad zakázky'!IW877)</f>
        <v/>
      </c>
      <c r="G861" s="711" t="str">
        <f>IF(A861="","",'Rozpad zakázky'!AE877)</f>
        <v/>
      </c>
      <c r="H861" s="717" t="str">
        <f>IF(A861="","",'Rozpad zakázky'!AJ877)</f>
        <v/>
      </c>
      <c r="I861" s="748" t="str">
        <f>IF(A861="","",'Rozpad zakázky'!Q877)</f>
        <v/>
      </c>
      <c r="J861" s="717" t="str">
        <f>IF(A861="","",ROUNDDOWN('Rozpad zakázky'!L877,1))</f>
        <v/>
      </c>
      <c r="K861" s="745" t="str">
        <f>IF(A861="","",Tabulka_nakup_Vonka[[#This Row],[Počet MJHR v rozpadu]]*Tabulka_nakup_Vonka[[#This Row],[Jedn. hmotnost '[kg/MJHR']]])</f>
        <v/>
      </c>
    </row>
    <row r="862" spans="1:11" x14ac:dyDescent="0.35">
      <c r="A862" s="709" t="str">
        <f>IF('Rozpad zakázky'!E878=0,"",IF('Rozpad zakázky'!E878="-","",'Rozpad zakázky'!E878))</f>
        <v/>
      </c>
      <c r="B862" s="708" t="str">
        <f>IF(A862="","",IF(A862="","",VLOOKUP(A:A,Pomocna_Nakup[],3,0))&amp;" | "&amp;IF(A862="","",VLOOKUP(A:A,Pomocna_Nakup[],4,0)))</f>
        <v/>
      </c>
      <c r="C862" s="710" t="str">
        <f>IF(Tabulka_nakup_Vonka[[#This Row],[Zkratka kalkulační položky]]="","",Tabulka_nakup_Vonka[[#This Row],[Zkratka kalkulační položky]]&amp;" | "&amp;IF(A862="","",VLOOKUP(A:A,Pomocna_Nakup[],2,0)))</f>
        <v/>
      </c>
      <c r="D862" s="710" t="str">
        <f>IF(A862="","",'Rozpad zakázky'!F878)</f>
        <v/>
      </c>
      <c r="E862" s="710" t="str">
        <f>IF(A862="","",'Rozpad zakázky'!D878&amp;IF('Rozpad zakázky'!G878="",""," ("&amp;'Rozpad zakázky'!G878&amp;")"))</f>
        <v/>
      </c>
      <c r="F862" s="709" t="str">
        <f>IF(A862="","",'Rozpad zakázky'!IW878)</f>
        <v/>
      </c>
      <c r="G862" s="711" t="str">
        <f>IF(A862="","",'Rozpad zakázky'!AE878)</f>
        <v/>
      </c>
      <c r="H862" s="717" t="str">
        <f>IF(A862="","",'Rozpad zakázky'!AJ878)</f>
        <v/>
      </c>
      <c r="I862" s="748" t="str">
        <f>IF(A862="","",'Rozpad zakázky'!Q878)</f>
        <v/>
      </c>
      <c r="J862" s="717" t="str">
        <f>IF(A862="","",ROUNDDOWN('Rozpad zakázky'!L878,1))</f>
        <v/>
      </c>
      <c r="K862" s="745" t="str">
        <f>IF(A862="","",Tabulka_nakup_Vonka[[#This Row],[Počet MJHR v rozpadu]]*Tabulka_nakup_Vonka[[#This Row],[Jedn. hmotnost '[kg/MJHR']]])</f>
        <v/>
      </c>
    </row>
    <row r="863" spans="1:11" x14ac:dyDescent="0.35">
      <c r="A863" s="709" t="str">
        <f>IF('Rozpad zakázky'!E879=0,"",IF('Rozpad zakázky'!E879="-","",'Rozpad zakázky'!E879))</f>
        <v/>
      </c>
      <c r="B863" s="708" t="str">
        <f>IF(A863="","",IF(A863="","",VLOOKUP(A:A,Pomocna_Nakup[],3,0))&amp;" | "&amp;IF(A863="","",VLOOKUP(A:A,Pomocna_Nakup[],4,0)))</f>
        <v/>
      </c>
      <c r="C863" s="710" t="str">
        <f>IF(Tabulka_nakup_Vonka[[#This Row],[Zkratka kalkulační položky]]="","",Tabulka_nakup_Vonka[[#This Row],[Zkratka kalkulační položky]]&amp;" | "&amp;IF(A863="","",VLOOKUP(A:A,Pomocna_Nakup[],2,0)))</f>
        <v/>
      </c>
      <c r="D863" s="710" t="str">
        <f>IF(A863="","",'Rozpad zakázky'!F879)</f>
        <v/>
      </c>
      <c r="E863" s="710" t="str">
        <f>IF(A863="","",'Rozpad zakázky'!D879&amp;IF('Rozpad zakázky'!G879="",""," ("&amp;'Rozpad zakázky'!G879&amp;")"))</f>
        <v/>
      </c>
      <c r="F863" s="709" t="str">
        <f>IF(A863="","",'Rozpad zakázky'!IW879)</f>
        <v/>
      </c>
      <c r="G863" s="711" t="str">
        <f>IF(A863="","",'Rozpad zakázky'!AE879)</f>
        <v/>
      </c>
      <c r="H863" s="717" t="str">
        <f>IF(A863="","",'Rozpad zakázky'!AJ879)</f>
        <v/>
      </c>
      <c r="I863" s="748" t="str">
        <f>IF(A863="","",'Rozpad zakázky'!Q879)</f>
        <v/>
      </c>
      <c r="J863" s="717" t="str">
        <f>IF(A863="","",ROUNDDOWN('Rozpad zakázky'!L879,1))</f>
        <v/>
      </c>
      <c r="K863" s="745" t="str">
        <f>IF(A863="","",Tabulka_nakup_Vonka[[#This Row],[Počet MJHR v rozpadu]]*Tabulka_nakup_Vonka[[#This Row],[Jedn. hmotnost '[kg/MJHR']]])</f>
        <v/>
      </c>
    </row>
    <row r="864" spans="1:11" x14ac:dyDescent="0.35">
      <c r="A864" s="709" t="str">
        <f>IF('Rozpad zakázky'!E880=0,"",IF('Rozpad zakázky'!E880="-","",'Rozpad zakázky'!E880))</f>
        <v/>
      </c>
      <c r="B864" s="708" t="str">
        <f>IF(A864="","",IF(A864="","",VLOOKUP(A:A,Pomocna_Nakup[],3,0))&amp;" | "&amp;IF(A864="","",VLOOKUP(A:A,Pomocna_Nakup[],4,0)))</f>
        <v/>
      </c>
      <c r="C864" s="710" t="str">
        <f>IF(Tabulka_nakup_Vonka[[#This Row],[Zkratka kalkulační položky]]="","",Tabulka_nakup_Vonka[[#This Row],[Zkratka kalkulační položky]]&amp;" | "&amp;IF(A864="","",VLOOKUP(A:A,Pomocna_Nakup[],2,0)))</f>
        <v/>
      </c>
      <c r="D864" s="710" t="str">
        <f>IF(A864="","",'Rozpad zakázky'!F880)</f>
        <v/>
      </c>
      <c r="E864" s="710" t="str">
        <f>IF(A864="","",'Rozpad zakázky'!D880&amp;IF('Rozpad zakázky'!G880="",""," ("&amp;'Rozpad zakázky'!G880&amp;")"))</f>
        <v/>
      </c>
      <c r="F864" s="709" t="str">
        <f>IF(A864="","",'Rozpad zakázky'!IW880)</f>
        <v/>
      </c>
      <c r="G864" s="711" t="str">
        <f>IF(A864="","",'Rozpad zakázky'!AE880)</f>
        <v/>
      </c>
      <c r="H864" s="717" t="str">
        <f>IF(A864="","",'Rozpad zakázky'!AJ880)</f>
        <v/>
      </c>
      <c r="I864" s="748" t="str">
        <f>IF(A864="","",'Rozpad zakázky'!Q880)</f>
        <v/>
      </c>
      <c r="J864" s="717" t="str">
        <f>IF(A864="","",ROUNDDOWN('Rozpad zakázky'!L880,1))</f>
        <v/>
      </c>
      <c r="K864" s="745" t="str">
        <f>IF(A864="","",Tabulka_nakup_Vonka[[#This Row],[Počet MJHR v rozpadu]]*Tabulka_nakup_Vonka[[#This Row],[Jedn. hmotnost '[kg/MJHR']]])</f>
        <v/>
      </c>
    </row>
    <row r="865" spans="1:11" x14ac:dyDescent="0.35">
      <c r="A865" s="709" t="str">
        <f>IF('Rozpad zakázky'!E881=0,"",IF('Rozpad zakázky'!E881="-","",'Rozpad zakázky'!E881))</f>
        <v/>
      </c>
      <c r="B865" s="708" t="str">
        <f>IF(A865="","",IF(A865="","",VLOOKUP(A:A,Pomocna_Nakup[],3,0))&amp;" | "&amp;IF(A865="","",VLOOKUP(A:A,Pomocna_Nakup[],4,0)))</f>
        <v/>
      </c>
      <c r="C865" s="710" t="str">
        <f>IF(Tabulka_nakup_Vonka[[#This Row],[Zkratka kalkulační položky]]="","",Tabulka_nakup_Vonka[[#This Row],[Zkratka kalkulační položky]]&amp;" | "&amp;IF(A865="","",VLOOKUP(A:A,Pomocna_Nakup[],2,0)))</f>
        <v/>
      </c>
      <c r="D865" s="710" t="str">
        <f>IF(A865="","",'Rozpad zakázky'!F881)</f>
        <v/>
      </c>
      <c r="E865" s="710" t="str">
        <f>IF(A865="","",'Rozpad zakázky'!D881&amp;IF('Rozpad zakázky'!G881="",""," ("&amp;'Rozpad zakázky'!G881&amp;")"))</f>
        <v/>
      </c>
      <c r="F865" s="709" t="str">
        <f>IF(A865="","",'Rozpad zakázky'!IW881)</f>
        <v/>
      </c>
      <c r="G865" s="711" t="str">
        <f>IF(A865="","",'Rozpad zakázky'!AE881)</f>
        <v/>
      </c>
      <c r="H865" s="717" t="str">
        <f>IF(A865="","",'Rozpad zakázky'!AJ881)</f>
        <v/>
      </c>
      <c r="I865" s="748" t="str">
        <f>IF(A865="","",'Rozpad zakázky'!Q881)</f>
        <v/>
      </c>
      <c r="J865" s="717" t="str">
        <f>IF(A865="","",ROUNDDOWN('Rozpad zakázky'!L881,1))</f>
        <v/>
      </c>
      <c r="K865" s="745" t="str">
        <f>IF(A865="","",Tabulka_nakup_Vonka[[#This Row],[Počet MJHR v rozpadu]]*Tabulka_nakup_Vonka[[#This Row],[Jedn. hmotnost '[kg/MJHR']]])</f>
        <v/>
      </c>
    </row>
    <row r="866" spans="1:11" x14ac:dyDescent="0.35">
      <c r="A866" s="709" t="str">
        <f>IF('Rozpad zakázky'!E882=0,"",IF('Rozpad zakázky'!E882="-","",'Rozpad zakázky'!E882))</f>
        <v/>
      </c>
      <c r="B866" s="708" t="str">
        <f>IF(A866="","",IF(A866="","",VLOOKUP(A:A,Pomocna_Nakup[],3,0))&amp;" | "&amp;IF(A866="","",VLOOKUP(A:A,Pomocna_Nakup[],4,0)))</f>
        <v/>
      </c>
      <c r="C866" s="710" t="str">
        <f>IF(Tabulka_nakup_Vonka[[#This Row],[Zkratka kalkulační položky]]="","",Tabulka_nakup_Vonka[[#This Row],[Zkratka kalkulační položky]]&amp;" | "&amp;IF(A866="","",VLOOKUP(A:A,Pomocna_Nakup[],2,0)))</f>
        <v/>
      </c>
      <c r="D866" s="710" t="str">
        <f>IF(A866="","",'Rozpad zakázky'!F882)</f>
        <v/>
      </c>
      <c r="E866" s="710" t="str">
        <f>IF(A866="","",'Rozpad zakázky'!D882&amp;IF('Rozpad zakázky'!G882="",""," ("&amp;'Rozpad zakázky'!G882&amp;")"))</f>
        <v/>
      </c>
      <c r="F866" s="709" t="str">
        <f>IF(A866="","",'Rozpad zakázky'!IW882)</f>
        <v/>
      </c>
      <c r="G866" s="711" t="str">
        <f>IF(A866="","",'Rozpad zakázky'!AE882)</f>
        <v/>
      </c>
      <c r="H866" s="717" t="str">
        <f>IF(A866="","",'Rozpad zakázky'!AJ882)</f>
        <v/>
      </c>
      <c r="I866" s="748" t="str">
        <f>IF(A866="","",'Rozpad zakázky'!Q882)</f>
        <v/>
      </c>
      <c r="J866" s="717" t="str">
        <f>IF(A866="","",ROUNDDOWN('Rozpad zakázky'!L882,1))</f>
        <v/>
      </c>
      <c r="K866" s="745" t="str">
        <f>IF(A866="","",Tabulka_nakup_Vonka[[#This Row],[Počet MJHR v rozpadu]]*Tabulka_nakup_Vonka[[#This Row],[Jedn. hmotnost '[kg/MJHR']]])</f>
        <v/>
      </c>
    </row>
    <row r="867" spans="1:11" x14ac:dyDescent="0.35">
      <c r="A867" s="709" t="str">
        <f>IF('Rozpad zakázky'!E883=0,"",IF('Rozpad zakázky'!E883="-","",'Rozpad zakázky'!E883))</f>
        <v/>
      </c>
      <c r="B867" s="708" t="str">
        <f>IF(A867="","",IF(A867="","",VLOOKUP(A:A,Pomocna_Nakup[],3,0))&amp;" | "&amp;IF(A867="","",VLOOKUP(A:A,Pomocna_Nakup[],4,0)))</f>
        <v/>
      </c>
      <c r="C867" s="710" t="str">
        <f>IF(Tabulka_nakup_Vonka[[#This Row],[Zkratka kalkulační položky]]="","",Tabulka_nakup_Vonka[[#This Row],[Zkratka kalkulační položky]]&amp;" | "&amp;IF(A867="","",VLOOKUP(A:A,Pomocna_Nakup[],2,0)))</f>
        <v/>
      </c>
      <c r="D867" s="710" t="str">
        <f>IF(A867="","",'Rozpad zakázky'!F883)</f>
        <v/>
      </c>
      <c r="E867" s="710" t="str">
        <f>IF(A867="","",'Rozpad zakázky'!D883&amp;IF('Rozpad zakázky'!G883="",""," ("&amp;'Rozpad zakázky'!G883&amp;")"))</f>
        <v/>
      </c>
      <c r="F867" s="709" t="str">
        <f>IF(A867="","",'Rozpad zakázky'!IW883)</f>
        <v/>
      </c>
      <c r="G867" s="711" t="str">
        <f>IF(A867="","",'Rozpad zakázky'!AE883)</f>
        <v/>
      </c>
      <c r="H867" s="717" t="str">
        <f>IF(A867="","",'Rozpad zakázky'!AJ883)</f>
        <v/>
      </c>
      <c r="I867" s="748" t="str">
        <f>IF(A867="","",'Rozpad zakázky'!Q883)</f>
        <v/>
      </c>
      <c r="J867" s="717" t="str">
        <f>IF(A867="","",ROUNDDOWN('Rozpad zakázky'!L883,1))</f>
        <v/>
      </c>
      <c r="K867" s="745" t="str">
        <f>IF(A867="","",Tabulka_nakup_Vonka[[#This Row],[Počet MJHR v rozpadu]]*Tabulka_nakup_Vonka[[#This Row],[Jedn. hmotnost '[kg/MJHR']]])</f>
        <v/>
      </c>
    </row>
    <row r="868" spans="1:11" x14ac:dyDescent="0.35">
      <c r="A868" s="709" t="str">
        <f>IF('Rozpad zakázky'!E884=0,"",IF('Rozpad zakázky'!E884="-","",'Rozpad zakázky'!E884))</f>
        <v/>
      </c>
      <c r="B868" s="708" t="str">
        <f>IF(A868="","",IF(A868="","",VLOOKUP(A:A,Pomocna_Nakup[],3,0))&amp;" | "&amp;IF(A868="","",VLOOKUP(A:A,Pomocna_Nakup[],4,0)))</f>
        <v/>
      </c>
      <c r="C868" s="710" t="str">
        <f>IF(Tabulka_nakup_Vonka[[#This Row],[Zkratka kalkulační položky]]="","",Tabulka_nakup_Vonka[[#This Row],[Zkratka kalkulační položky]]&amp;" | "&amp;IF(A868="","",VLOOKUP(A:A,Pomocna_Nakup[],2,0)))</f>
        <v/>
      </c>
      <c r="D868" s="710" t="str">
        <f>IF(A868="","",'Rozpad zakázky'!F884)</f>
        <v/>
      </c>
      <c r="E868" s="710" t="str">
        <f>IF(A868="","",'Rozpad zakázky'!D884&amp;IF('Rozpad zakázky'!G884="",""," ("&amp;'Rozpad zakázky'!G884&amp;")"))</f>
        <v/>
      </c>
      <c r="F868" s="709" t="str">
        <f>IF(A868="","",'Rozpad zakázky'!IW884)</f>
        <v/>
      </c>
      <c r="G868" s="711" t="str">
        <f>IF(A868="","",'Rozpad zakázky'!AE884)</f>
        <v/>
      </c>
      <c r="H868" s="717" t="str">
        <f>IF(A868="","",'Rozpad zakázky'!AJ884)</f>
        <v/>
      </c>
      <c r="I868" s="748" t="str">
        <f>IF(A868="","",'Rozpad zakázky'!Q884)</f>
        <v/>
      </c>
      <c r="J868" s="717" t="str">
        <f>IF(A868="","",ROUNDDOWN('Rozpad zakázky'!L884,1))</f>
        <v/>
      </c>
      <c r="K868" s="745" t="str">
        <f>IF(A868="","",Tabulka_nakup_Vonka[[#This Row],[Počet MJHR v rozpadu]]*Tabulka_nakup_Vonka[[#This Row],[Jedn. hmotnost '[kg/MJHR']]])</f>
        <v/>
      </c>
    </row>
    <row r="869" spans="1:11" x14ac:dyDescent="0.35">
      <c r="A869" s="709" t="str">
        <f>IF('Rozpad zakázky'!E885=0,"",IF('Rozpad zakázky'!E885="-","",'Rozpad zakázky'!E885))</f>
        <v/>
      </c>
      <c r="B869" s="708" t="str">
        <f>IF(A869="","",IF(A869="","",VLOOKUP(A:A,Pomocna_Nakup[],3,0))&amp;" | "&amp;IF(A869="","",VLOOKUP(A:A,Pomocna_Nakup[],4,0)))</f>
        <v/>
      </c>
      <c r="C869" s="710" t="str">
        <f>IF(Tabulka_nakup_Vonka[[#This Row],[Zkratka kalkulační položky]]="","",Tabulka_nakup_Vonka[[#This Row],[Zkratka kalkulační položky]]&amp;" | "&amp;IF(A869="","",VLOOKUP(A:A,Pomocna_Nakup[],2,0)))</f>
        <v/>
      </c>
      <c r="D869" s="710" t="str">
        <f>IF(A869="","",'Rozpad zakázky'!F885)</f>
        <v/>
      </c>
      <c r="E869" s="710" t="str">
        <f>IF(A869="","",'Rozpad zakázky'!D885&amp;IF('Rozpad zakázky'!G885="",""," ("&amp;'Rozpad zakázky'!G885&amp;")"))</f>
        <v/>
      </c>
      <c r="F869" s="709" t="str">
        <f>IF(A869="","",'Rozpad zakázky'!IW885)</f>
        <v/>
      </c>
      <c r="G869" s="711" t="str">
        <f>IF(A869="","",'Rozpad zakázky'!AE885)</f>
        <v/>
      </c>
      <c r="H869" s="717" t="str">
        <f>IF(A869="","",'Rozpad zakázky'!AJ885)</f>
        <v/>
      </c>
      <c r="I869" s="748" t="str">
        <f>IF(A869="","",'Rozpad zakázky'!Q885)</f>
        <v/>
      </c>
      <c r="J869" s="717" t="str">
        <f>IF(A869="","",ROUNDDOWN('Rozpad zakázky'!L885,1))</f>
        <v/>
      </c>
      <c r="K869" s="745" t="str">
        <f>IF(A869="","",Tabulka_nakup_Vonka[[#This Row],[Počet MJHR v rozpadu]]*Tabulka_nakup_Vonka[[#This Row],[Jedn. hmotnost '[kg/MJHR']]])</f>
        <v/>
      </c>
    </row>
    <row r="870" spans="1:11" x14ac:dyDescent="0.35">
      <c r="A870" s="709" t="str">
        <f>IF('Rozpad zakázky'!E886=0,"",IF('Rozpad zakázky'!E886="-","",'Rozpad zakázky'!E886))</f>
        <v/>
      </c>
      <c r="B870" s="708" t="str">
        <f>IF(A870="","",IF(A870="","",VLOOKUP(A:A,Pomocna_Nakup[],3,0))&amp;" | "&amp;IF(A870="","",VLOOKUP(A:A,Pomocna_Nakup[],4,0)))</f>
        <v/>
      </c>
      <c r="C870" s="710" t="str">
        <f>IF(Tabulka_nakup_Vonka[[#This Row],[Zkratka kalkulační položky]]="","",Tabulka_nakup_Vonka[[#This Row],[Zkratka kalkulační položky]]&amp;" | "&amp;IF(A870="","",VLOOKUP(A:A,Pomocna_Nakup[],2,0)))</f>
        <v/>
      </c>
      <c r="D870" s="710" t="str">
        <f>IF(A870="","",'Rozpad zakázky'!F886)</f>
        <v/>
      </c>
      <c r="E870" s="710" t="str">
        <f>IF(A870="","",'Rozpad zakázky'!D886&amp;IF('Rozpad zakázky'!G886="",""," ("&amp;'Rozpad zakázky'!G886&amp;")"))</f>
        <v/>
      </c>
      <c r="F870" s="709" t="str">
        <f>IF(A870="","",'Rozpad zakázky'!IW886)</f>
        <v/>
      </c>
      <c r="G870" s="711" t="str">
        <f>IF(A870="","",'Rozpad zakázky'!AE886)</f>
        <v/>
      </c>
      <c r="H870" s="717" t="str">
        <f>IF(A870="","",'Rozpad zakázky'!AJ886)</f>
        <v/>
      </c>
      <c r="I870" s="748" t="str">
        <f>IF(A870="","",'Rozpad zakázky'!Q886)</f>
        <v/>
      </c>
      <c r="J870" s="717" t="str">
        <f>IF(A870="","",ROUNDDOWN('Rozpad zakázky'!L886,1))</f>
        <v/>
      </c>
      <c r="K870" s="745" t="str">
        <f>IF(A870="","",Tabulka_nakup_Vonka[[#This Row],[Počet MJHR v rozpadu]]*Tabulka_nakup_Vonka[[#This Row],[Jedn. hmotnost '[kg/MJHR']]])</f>
        <v/>
      </c>
    </row>
    <row r="871" spans="1:11" x14ac:dyDescent="0.35">
      <c r="A871" s="709" t="str">
        <f>IF('Rozpad zakázky'!E887=0,"",IF('Rozpad zakázky'!E887="-","",'Rozpad zakázky'!E887))</f>
        <v/>
      </c>
      <c r="B871" s="708" t="str">
        <f>IF(A871="","",IF(A871="","",VLOOKUP(A:A,Pomocna_Nakup[],3,0))&amp;" | "&amp;IF(A871="","",VLOOKUP(A:A,Pomocna_Nakup[],4,0)))</f>
        <v/>
      </c>
      <c r="C871" s="710" t="str">
        <f>IF(Tabulka_nakup_Vonka[[#This Row],[Zkratka kalkulační položky]]="","",Tabulka_nakup_Vonka[[#This Row],[Zkratka kalkulační položky]]&amp;" | "&amp;IF(A871="","",VLOOKUP(A:A,Pomocna_Nakup[],2,0)))</f>
        <v/>
      </c>
      <c r="D871" s="710" t="str">
        <f>IF(A871="","",'Rozpad zakázky'!F887)</f>
        <v/>
      </c>
      <c r="E871" s="710" t="str">
        <f>IF(A871="","",'Rozpad zakázky'!D887&amp;IF('Rozpad zakázky'!G887="",""," ("&amp;'Rozpad zakázky'!G887&amp;")"))</f>
        <v/>
      </c>
      <c r="F871" s="709" t="str">
        <f>IF(A871="","",'Rozpad zakázky'!IW887)</f>
        <v/>
      </c>
      <c r="G871" s="711" t="str">
        <f>IF(A871="","",'Rozpad zakázky'!AE887)</f>
        <v/>
      </c>
      <c r="H871" s="717" t="str">
        <f>IF(A871="","",'Rozpad zakázky'!AJ887)</f>
        <v/>
      </c>
      <c r="I871" s="748" t="str">
        <f>IF(A871="","",'Rozpad zakázky'!Q887)</f>
        <v/>
      </c>
      <c r="J871" s="717" t="str">
        <f>IF(A871="","",ROUNDDOWN('Rozpad zakázky'!L887,1))</f>
        <v/>
      </c>
      <c r="K871" s="745" t="str">
        <f>IF(A871="","",Tabulka_nakup_Vonka[[#This Row],[Počet MJHR v rozpadu]]*Tabulka_nakup_Vonka[[#This Row],[Jedn. hmotnost '[kg/MJHR']]])</f>
        <v/>
      </c>
    </row>
    <row r="872" spans="1:11" x14ac:dyDescent="0.35">
      <c r="A872" s="709" t="str">
        <f>IF('Rozpad zakázky'!E888=0,"",IF('Rozpad zakázky'!E888="-","",'Rozpad zakázky'!E888))</f>
        <v/>
      </c>
      <c r="B872" s="708" t="str">
        <f>IF(A872="","",IF(A872="","",VLOOKUP(A:A,Pomocna_Nakup[],3,0))&amp;" | "&amp;IF(A872="","",VLOOKUP(A:A,Pomocna_Nakup[],4,0)))</f>
        <v/>
      </c>
      <c r="C872" s="710" t="str">
        <f>IF(Tabulka_nakup_Vonka[[#This Row],[Zkratka kalkulační položky]]="","",Tabulka_nakup_Vonka[[#This Row],[Zkratka kalkulační položky]]&amp;" | "&amp;IF(A872="","",VLOOKUP(A:A,Pomocna_Nakup[],2,0)))</f>
        <v/>
      </c>
      <c r="D872" s="710" t="str">
        <f>IF(A872="","",'Rozpad zakázky'!F888)</f>
        <v/>
      </c>
      <c r="E872" s="710" t="str">
        <f>IF(A872="","",'Rozpad zakázky'!D888&amp;IF('Rozpad zakázky'!G888="",""," ("&amp;'Rozpad zakázky'!G888&amp;")"))</f>
        <v/>
      </c>
      <c r="F872" s="709" t="str">
        <f>IF(A872="","",'Rozpad zakázky'!IW888)</f>
        <v/>
      </c>
      <c r="G872" s="711" t="str">
        <f>IF(A872="","",'Rozpad zakázky'!AE888)</f>
        <v/>
      </c>
      <c r="H872" s="717" t="str">
        <f>IF(A872="","",'Rozpad zakázky'!AJ888)</f>
        <v/>
      </c>
      <c r="I872" s="748" t="str">
        <f>IF(A872="","",'Rozpad zakázky'!Q888)</f>
        <v/>
      </c>
      <c r="J872" s="717" t="str">
        <f>IF(A872="","",ROUNDDOWN('Rozpad zakázky'!L888,1))</f>
        <v/>
      </c>
      <c r="K872" s="745" t="str">
        <f>IF(A872="","",Tabulka_nakup_Vonka[[#This Row],[Počet MJHR v rozpadu]]*Tabulka_nakup_Vonka[[#This Row],[Jedn. hmotnost '[kg/MJHR']]])</f>
        <v/>
      </c>
    </row>
    <row r="873" spans="1:11" x14ac:dyDescent="0.35">
      <c r="A873" s="709" t="str">
        <f>IF('Rozpad zakázky'!E889=0,"",IF('Rozpad zakázky'!E889="-","",'Rozpad zakázky'!E889))</f>
        <v/>
      </c>
      <c r="B873" s="708" t="str">
        <f>IF(A873="","",IF(A873="","",VLOOKUP(A:A,Pomocna_Nakup[],3,0))&amp;" | "&amp;IF(A873="","",VLOOKUP(A:A,Pomocna_Nakup[],4,0)))</f>
        <v/>
      </c>
      <c r="C873" s="710" t="str">
        <f>IF(Tabulka_nakup_Vonka[[#This Row],[Zkratka kalkulační položky]]="","",Tabulka_nakup_Vonka[[#This Row],[Zkratka kalkulační položky]]&amp;" | "&amp;IF(A873="","",VLOOKUP(A:A,Pomocna_Nakup[],2,0)))</f>
        <v/>
      </c>
      <c r="D873" s="710" t="str">
        <f>IF(A873="","",'Rozpad zakázky'!F889)</f>
        <v/>
      </c>
      <c r="E873" s="710" t="str">
        <f>IF(A873="","",'Rozpad zakázky'!D889&amp;IF('Rozpad zakázky'!G889="",""," ("&amp;'Rozpad zakázky'!G889&amp;")"))</f>
        <v/>
      </c>
      <c r="F873" s="709" t="str">
        <f>IF(A873="","",'Rozpad zakázky'!IW889)</f>
        <v/>
      </c>
      <c r="G873" s="711" t="str">
        <f>IF(A873="","",'Rozpad zakázky'!AE889)</f>
        <v/>
      </c>
      <c r="H873" s="717" t="str">
        <f>IF(A873="","",'Rozpad zakázky'!AJ889)</f>
        <v/>
      </c>
      <c r="I873" s="748" t="str">
        <f>IF(A873="","",'Rozpad zakázky'!Q889)</f>
        <v/>
      </c>
      <c r="J873" s="717" t="str">
        <f>IF(A873="","",ROUNDDOWN('Rozpad zakázky'!L889,1))</f>
        <v/>
      </c>
      <c r="K873" s="745" t="str">
        <f>IF(A873="","",Tabulka_nakup_Vonka[[#This Row],[Počet MJHR v rozpadu]]*Tabulka_nakup_Vonka[[#This Row],[Jedn. hmotnost '[kg/MJHR']]])</f>
        <v/>
      </c>
    </row>
    <row r="874" spans="1:11" x14ac:dyDescent="0.35">
      <c r="A874" s="709" t="str">
        <f>IF('Rozpad zakázky'!E890=0,"",IF('Rozpad zakázky'!E890="-","",'Rozpad zakázky'!E890))</f>
        <v/>
      </c>
      <c r="B874" s="708" t="str">
        <f>IF(A874="","",IF(A874="","",VLOOKUP(A:A,Pomocna_Nakup[],3,0))&amp;" | "&amp;IF(A874="","",VLOOKUP(A:A,Pomocna_Nakup[],4,0)))</f>
        <v/>
      </c>
      <c r="C874" s="710" t="str">
        <f>IF(Tabulka_nakup_Vonka[[#This Row],[Zkratka kalkulační položky]]="","",Tabulka_nakup_Vonka[[#This Row],[Zkratka kalkulační položky]]&amp;" | "&amp;IF(A874="","",VLOOKUP(A:A,Pomocna_Nakup[],2,0)))</f>
        <v/>
      </c>
      <c r="D874" s="710" t="str">
        <f>IF(A874="","",'Rozpad zakázky'!F890)</f>
        <v/>
      </c>
      <c r="E874" s="710" t="str">
        <f>IF(A874="","",'Rozpad zakázky'!D890&amp;IF('Rozpad zakázky'!G890="",""," ("&amp;'Rozpad zakázky'!G890&amp;")"))</f>
        <v/>
      </c>
      <c r="F874" s="709" t="str">
        <f>IF(A874="","",'Rozpad zakázky'!IW890)</f>
        <v/>
      </c>
      <c r="G874" s="711" t="str">
        <f>IF(A874="","",'Rozpad zakázky'!AE890)</f>
        <v/>
      </c>
      <c r="H874" s="717" t="str">
        <f>IF(A874="","",'Rozpad zakázky'!AJ890)</f>
        <v/>
      </c>
      <c r="I874" s="748" t="str">
        <f>IF(A874="","",'Rozpad zakázky'!Q890)</f>
        <v/>
      </c>
      <c r="J874" s="717" t="str">
        <f>IF(A874="","",ROUNDDOWN('Rozpad zakázky'!L890,1))</f>
        <v/>
      </c>
      <c r="K874" s="745" t="str">
        <f>IF(A874="","",Tabulka_nakup_Vonka[[#This Row],[Počet MJHR v rozpadu]]*Tabulka_nakup_Vonka[[#This Row],[Jedn. hmotnost '[kg/MJHR']]])</f>
        <v/>
      </c>
    </row>
    <row r="875" spans="1:11" x14ac:dyDescent="0.35">
      <c r="A875" s="709" t="str">
        <f>IF('Rozpad zakázky'!E891=0,"",IF('Rozpad zakázky'!E891="-","",'Rozpad zakázky'!E891))</f>
        <v/>
      </c>
      <c r="B875" s="708" t="str">
        <f>IF(A875="","",IF(A875="","",VLOOKUP(A:A,Pomocna_Nakup[],3,0))&amp;" | "&amp;IF(A875="","",VLOOKUP(A:A,Pomocna_Nakup[],4,0)))</f>
        <v/>
      </c>
      <c r="C875" s="710" t="str">
        <f>IF(Tabulka_nakup_Vonka[[#This Row],[Zkratka kalkulační položky]]="","",Tabulka_nakup_Vonka[[#This Row],[Zkratka kalkulační položky]]&amp;" | "&amp;IF(A875="","",VLOOKUP(A:A,Pomocna_Nakup[],2,0)))</f>
        <v/>
      </c>
      <c r="D875" s="710" t="str">
        <f>IF(A875="","",'Rozpad zakázky'!F891)</f>
        <v/>
      </c>
      <c r="E875" s="710" t="str">
        <f>IF(A875="","",'Rozpad zakázky'!D891&amp;IF('Rozpad zakázky'!G891="",""," ("&amp;'Rozpad zakázky'!G891&amp;")"))</f>
        <v/>
      </c>
      <c r="F875" s="709" t="str">
        <f>IF(A875="","",'Rozpad zakázky'!IW891)</f>
        <v/>
      </c>
      <c r="G875" s="711" t="str">
        <f>IF(A875="","",'Rozpad zakázky'!AE891)</f>
        <v/>
      </c>
      <c r="H875" s="717" t="str">
        <f>IF(A875="","",'Rozpad zakázky'!AJ891)</f>
        <v/>
      </c>
      <c r="I875" s="748" t="str">
        <f>IF(A875="","",'Rozpad zakázky'!Q891)</f>
        <v/>
      </c>
      <c r="J875" s="717" t="str">
        <f>IF(A875="","",ROUNDDOWN('Rozpad zakázky'!L891,1))</f>
        <v/>
      </c>
      <c r="K875" s="745" t="str">
        <f>IF(A875="","",Tabulka_nakup_Vonka[[#This Row],[Počet MJHR v rozpadu]]*Tabulka_nakup_Vonka[[#This Row],[Jedn. hmotnost '[kg/MJHR']]])</f>
        <v/>
      </c>
    </row>
    <row r="876" spans="1:11" x14ac:dyDescent="0.35">
      <c r="A876" s="709" t="str">
        <f>IF('Rozpad zakázky'!E892=0,"",IF('Rozpad zakázky'!E892="-","",'Rozpad zakázky'!E892))</f>
        <v/>
      </c>
      <c r="B876" s="708" t="str">
        <f>IF(A876="","",IF(A876="","",VLOOKUP(A:A,Pomocna_Nakup[],3,0))&amp;" | "&amp;IF(A876="","",VLOOKUP(A:A,Pomocna_Nakup[],4,0)))</f>
        <v/>
      </c>
      <c r="C876" s="710" t="str">
        <f>IF(Tabulka_nakup_Vonka[[#This Row],[Zkratka kalkulační položky]]="","",Tabulka_nakup_Vonka[[#This Row],[Zkratka kalkulační položky]]&amp;" | "&amp;IF(A876="","",VLOOKUP(A:A,Pomocna_Nakup[],2,0)))</f>
        <v/>
      </c>
      <c r="D876" s="710" t="str">
        <f>IF(A876="","",'Rozpad zakázky'!F892)</f>
        <v/>
      </c>
      <c r="E876" s="710" t="str">
        <f>IF(A876="","",'Rozpad zakázky'!D892&amp;IF('Rozpad zakázky'!G892="",""," ("&amp;'Rozpad zakázky'!G892&amp;")"))</f>
        <v/>
      </c>
      <c r="F876" s="709" t="str">
        <f>IF(A876="","",'Rozpad zakázky'!IW892)</f>
        <v/>
      </c>
      <c r="G876" s="711" t="str">
        <f>IF(A876="","",'Rozpad zakázky'!AE892)</f>
        <v/>
      </c>
      <c r="H876" s="717" t="str">
        <f>IF(A876="","",'Rozpad zakázky'!AJ892)</f>
        <v/>
      </c>
      <c r="I876" s="748" t="str">
        <f>IF(A876="","",'Rozpad zakázky'!Q892)</f>
        <v/>
      </c>
      <c r="J876" s="717" t="str">
        <f>IF(A876="","",ROUNDDOWN('Rozpad zakázky'!L892,1))</f>
        <v/>
      </c>
      <c r="K876" s="745" t="str">
        <f>IF(A876="","",Tabulka_nakup_Vonka[[#This Row],[Počet MJHR v rozpadu]]*Tabulka_nakup_Vonka[[#This Row],[Jedn. hmotnost '[kg/MJHR']]])</f>
        <v/>
      </c>
    </row>
    <row r="877" spans="1:11" x14ac:dyDescent="0.35">
      <c r="A877" s="709" t="str">
        <f>IF('Rozpad zakázky'!E893=0,"",IF('Rozpad zakázky'!E893="-","",'Rozpad zakázky'!E893))</f>
        <v/>
      </c>
      <c r="B877" s="708" t="str">
        <f>IF(A877="","",IF(A877="","",VLOOKUP(A:A,Pomocna_Nakup[],3,0))&amp;" | "&amp;IF(A877="","",VLOOKUP(A:A,Pomocna_Nakup[],4,0)))</f>
        <v/>
      </c>
      <c r="C877" s="710" t="str">
        <f>IF(Tabulka_nakup_Vonka[[#This Row],[Zkratka kalkulační položky]]="","",Tabulka_nakup_Vonka[[#This Row],[Zkratka kalkulační položky]]&amp;" | "&amp;IF(A877="","",VLOOKUP(A:A,Pomocna_Nakup[],2,0)))</f>
        <v/>
      </c>
      <c r="D877" s="710" t="str">
        <f>IF(A877="","",'Rozpad zakázky'!F893)</f>
        <v/>
      </c>
      <c r="E877" s="710" t="str">
        <f>IF(A877="","",'Rozpad zakázky'!D893&amp;IF('Rozpad zakázky'!G893="",""," ("&amp;'Rozpad zakázky'!G893&amp;")"))</f>
        <v/>
      </c>
      <c r="F877" s="709" t="str">
        <f>IF(A877="","",'Rozpad zakázky'!IW893)</f>
        <v/>
      </c>
      <c r="G877" s="711" t="str">
        <f>IF(A877="","",'Rozpad zakázky'!AE893)</f>
        <v/>
      </c>
      <c r="H877" s="717" t="str">
        <f>IF(A877="","",'Rozpad zakázky'!AJ893)</f>
        <v/>
      </c>
      <c r="I877" s="748" t="str">
        <f>IF(A877="","",'Rozpad zakázky'!Q893)</f>
        <v/>
      </c>
      <c r="J877" s="717" t="str">
        <f>IF(A877="","",ROUNDDOWN('Rozpad zakázky'!L893,1))</f>
        <v/>
      </c>
      <c r="K877" s="745" t="str">
        <f>IF(A877="","",Tabulka_nakup_Vonka[[#This Row],[Počet MJHR v rozpadu]]*Tabulka_nakup_Vonka[[#This Row],[Jedn. hmotnost '[kg/MJHR']]])</f>
        <v/>
      </c>
    </row>
    <row r="878" spans="1:11" x14ac:dyDescent="0.35">
      <c r="A878" s="709" t="str">
        <f>IF('Rozpad zakázky'!E894=0,"",IF('Rozpad zakázky'!E894="-","",'Rozpad zakázky'!E894))</f>
        <v/>
      </c>
      <c r="B878" s="708" t="str">
        <f>IF(A878="","",IF(A878="","",VLOOKUP(A:A,Pomocna_Nakup[],3,0))&amp;" | "&amp;IF(A878="","",VLOOKUP(A:A,Pomocna_Nakup[],4,0)))</f>
        <v/>
      </c>
      <c r="C878" s="710" t="str">
        <f>IF(Tabulka_nakup_Vonka[[#This Row],[Zkratka kalkulační položky]]="","",Tabulka_nakup_Vonka[[#This Row],[Zkratka kalkulační položky]]&amp;" | "&amp;IF(A878="","",VLOOKUP(A:A,Pomocna_Nakup[],2,0)))</f>
        <v/>
      </c>
      <c r="D878" s="710" t="str">
        <f>IF(A878="","",'Rozpad zakázky'!F894)</f>
        <v/>
      </c>
      <c r="E878" s="710" t="str">
        <f>IF(A878="","",'Rozpad zakázky'!D894&amp;IF('Rozpad zakázky'!G894="",""," ("&amp;'Rozpad zakázky'!G894&amp;")"))</f>
        <v/>
      </c>
      <c r="F878" s="709" t="str">
        <f>IF(A878="","",'Rozpad zakázky'!IW894)</f>
        <v/>
      </c>
      <c r="G878" s="711" t="str">
        <f>IF(A878="","",'Rozpad zakázky'!AE894)</f>
        <v/>
      </c>
      <c r="H878" s="717" t="str">
        <f>IF(A878="","",'Rozpad zakázky'!AJ894)</f>
        <v/>
      </c>
      <c r="I878" s="748" t="str">
        <f>IF(A878="","",'Rozpad zakázky'!Q894)</f>
        <v/>
      </c>
      <c r="J878" s="717" t="str">
        <f>IF(A878="","",ROUNDDOWN('Rozpad zakázky'!L894,1))</f>
        <v/>
      </c>
      <c r="K878" s="745" t="str">
        <f>IF(A878="","",Tabulka_nakup_Vonka[[#This Row],[Počet MJHR v rozpadu]]*Tabulka_nakup_Vonka[[#This Row],[Jedn. hmotnost '[kg/MJHR']]])</f>
        <v/>
      </c>
    </row>
    <row r="879" spans="1:11" x14ac:dyDescent="0.35">
      <c r="A879" s="709" t="str">
        <f>IF('Rozpad zakázky'!E895=0,"",IF('Rozpad zakázky'!E895="-","",'Rozpad zakázky'!E895))</f>
        <v/>
      </c>
      <c r="B879" s="708" t="str">
        <f>IF(A879="","",IF(A879="","",VLOOKUP(A:A,Pomocna_Nakup[],3,0))&amp;" | "&amp;IF(A879="","",VLOOKUP(A:A,Pomocna_Nakup[],4,0)))</f>
        <v/>
      </c>
      <c r="C879" s="710" t="str">
        <f>IF(Tabulka_nakup_Vonka[[#This Row],[Zkratka kalkulační položky]]="","",Tabulka_nakup_Vonka[[#This Row],[Zkratka kalkulační položky]]&amp;" | "&amp;IF(A879="","",VLOOKUP(A:A,Pomocna_Nakup[],2,0)))</f>
        <v/>
      </c>
      <c r="D879" s="710" t="str">
        <f>IF(A879="","",'Rozpad zakázky'!F895)</f>
        <v/>
      </c>
      <c r="E879" s="710" t="str">
        <f>IF(A879="","",'Rozpad zakázky'!D895&amp;IF('Rozpad zakázky'!G895="",""," ("&amp;'Rozpad zakázky'!G895&amp;")"))</f>
        <v/>
      </c>
      <c r="F879" s="709" t="str">
        <f>IF(A879="","",'Rozpad zakázky'!IW895)</f>
        <v/>
      </c>
      <c r="G879" s="711" t="str">
        <f>IF(A879="","",'Rozpad zakázky'!AE895)</f>
        <v/>
      </c>
      <c r="H879" s="717" t="str">
        <f>IF(A879="","",'Rozpad zakázky'!AJ895)</f>
        <v/>
      </c>
      <c r="I879" s="748" t="str">
        <f>IF(A879="","",'Rozpad zakázky'!Q895)</f>
        <v/>
      </c>
      <c r="J879" s="717" t="str">
        <f>IF(A879="","",ROUNDDOWN('Rozpad zakázky'!L895,1))</f>
        <v/>
      </c>
      <c r="K879" s="745" t="str">
        <f>IF(A879="","",Tabulka_nakup_Vonka[[#This Row],[Počet MJHR v rozpadu]]*Tabulka_nakup_Vonka[[#This Row],[Jedn. hmotnost '[kg/MJHR']]])</f>
        <v/>
      </c>
    </row>
    <row r="880" spans="1:11" x14ac:dyDescent="0.35">
      <c r="A880" s="709" t="str">
        <f>IF('Rozpad zakázky'!E896=0,"",IF('Rozpad zakázky'!E896="-","",'Rozpad zakázky'!E896))</f>
        <v/>
      </c>
      <c r="B880" s="708" t="str">
        <f>IF(A880="","",IF(A880="","",VLOOKUP(A:A,Pomocna_Nakup[],3,0))&amp;" | "&amp;IF(A880="","",VLOOKUP(A:A,Pomocna_Nakup[],4,0)))</f>
        <v/>
      </c>
      <c r="C880" s="710" t="str">
        <f>IF(Tabulka_nakup_Vonka[[#This Row],[Zkratka kalkulační položky]]="","",Tabulka_nakup_Vonka[[#This Row],[Zkratka kalkulační položky]]&amp;" | "&amp;IF(A880="","",VLOOKUP(A:A,Pomocna_Nakup[],2,0)))</f>
        <v/>
      </c>
      <c r="D880" s="710" t="str">
        <f>IF(A880="","",'Rozpad zakázky'!F896)</f>
        <v/>
      </c>
      <c r="E880" s="710" t="str">
        <f>IF(A880="","",'Rozpad zakázky'!D896&amp;IF('Rozpad zakázky'!G896="",""," ("&amp;'Rozpad zakázky'!G896&amp;")"))</f>
        <v/>
      </c>
      <c r="F880" s="709" t="str">
        <f>IF(A880="","",'Rozpad zakázky'!IW896)</f>
        <v/>
      </c>
      <c r="G880" s="711" t="str">
        <f>IF(A880="","",'Rozpad zakázky'!AE896)</f>
        <v/>
      </c>
      <c r="H880" s="717" t="str">
        <f>IF(A880="","",'Rozpad zakázky'!AJ896)</f>
        <v/>
      </c>
      <c r="I880" s="748" t="str">
        <f>IF(A880="","",'Rozpad zakázky'!Q896)</f>
        <v/>
      </c>
      <c r="J880" s="717" t="str">
        <f>IF(A880="","",ROUNDDOWN('Rozpad zakázky'!L896,1))</f>
        <v/>
      </c>
      <c r="K880" s="745" t="str">
        <f>IF(A880="","",Tabulka_nakup_Vonka[[#This Row],[Počet MJHR v rozpadu]]*Tabulka_nakup_Vonka[[#This Row],[Jedn. hmotnost '[kg/MJHR']]])</f>
        <v/>
      </c>
    </row>
    <row r="881" spans="1:11" x14ac:dyDescent="0.35">
      <c r="A881" s="709" t="str">
        <f>IF('Rozpad zakázky'!E897=0,"",IF('Rozpad zakázky'!E897="-","",'Rozpad zakázky'!E897))</f>
        <v/>
      </c>
      <c r="B881" s="708" t="str">
        <f>IF(A881="","",IF(A881="","",VLOOKUP(A:A,Pomocna_Nakup[],3,0))&amp;" | "&amp;IF(A881="","",VLOOKUP(A:A,Pomocna_Nakup[],4,0)))</f>
        <v/>
      </c>
      <c r="C881" s="710" t="str">
        <f>IF(Tabulka_nakup_Vonka[[#This Row],[Zkratka kalkulační položky]]="","",Tabulka_nakup_Vonka[[#This Row],[Zkratka kalkulační položky]]&amp;" | "&amp;IF(A881="","",VLOOKUP(A:A,Pomocna_Nakup[],2,0)))</f>
        <v/>
      </c>
      <c r="D881" s="710" t="str">
        <f>IF(A881="","",'Rozpad zakázky'!F897)</f>
        <v/>
      </c>
      <c r="E881" s="710" t="str">
        <f>IF(A881="","",'Rozpad zakázky'!D897&amp;IF('Rozpad zakázky'!G897="",""," ("&amp;'Rozpad zakázky'!G897&amp;")"))</f>
        <v/>
      </c>
      <c r="F881" s="709" t="str">
        <f>IF(A881="","",'Rozpad zakázky'!IW897)</f>
        <v/>
      </c>
      <c r="G881" s="711" t="str">
        <f>IF(A881="","",'Rozpad zakázky'!AE897)</f>
        <v/>
      </c>
      <c r="H881" s="717" t="str">
        <f>IF(A881="","",'Rozpad zakázky'!AJ897)</f>
        <v/>
      </c>
      <c r="I881" s="748" t="str">
        <f>IF(A881="","",'Rozpad zakázky'!Q897)</f>
        <v/>
      </c>
      <c r="J881" s="717" t="str">
        <f>IF(A881="","",ROUNDDOWN('Rozpad zakázky'!L897,1))</f>
        <v/>
      </c>
      <c r="K881" s="745" t="str">
        <f>IF(A881="","",Tabulka_nakup_Vonka[[#This Row],[Počet MJHR v rozpadu]]*Tabulka_nakup_Vonka[[#This Row],[Jedn. hmotnost '[kg/MJHR']]])</f>
        <v/>
      </c>
    </row>
    <row r="882" spans="1:11" x14ac:dyDescent="0.35">
      <c r="A882" s="709" t="str">
        <f>IF('Rozpad zakázky'!E898=0,"",IF('Rozpad zakázky'!E898="-","",'Rozpad zakázky'!E898))</f>
        <v/>
      </c>
      <c r="B882" s="708" t="str">
        <f>IF(A882="","",IF(A882="","",VLOOKUP(A:A,Pomocna_Nakup[],3,0))&amp;" | "&amp;IF(A882="","",VLOOKUP(A:A,Pomocna_Nakup[],4,0)))</f>
        <v/>
      </c>
      <c r="C882" s="710" t="str">
        <f>IF(Tabulka_nakup_Vonka[[#This Row],[Zkratka kalkulační položky]]="","",Tabulka_nakup_Vonka[[#This Row],[Zkratka kalkulační položky]]&amp;" | "&amp;IF(A882="","",VLOOKUP(A:A,Pomocna_Nakup[],2,0)))</f>
        <v/>
      </c>
      <c r="D882" s="710" t="str">
        <f>IF(A882="","",'Rozpad zakázky'!F898)</f>
        <v/>
      </c>
      <c r="E882" s="710" t="str">
        <f>IF(A882="","",'Rozpad zakázky'!D898&amp;IF('Rozpad zakázky'!G898="",""," ("&amp;'Rozpad zakázky'!G898&amp;")"))</f>
        <v/>
      </c>
      <c r="F882" s="709" t="str">
        <f>IF(A882="","",'Rozpad zakázky'!IW898)</f>
        <v/>
      </c>
      <c r="G882" s="711" t="str">
        <f>IF(A882="","",'Rozpad zakázky'!AE898)</f>
        <v/>
      </c>
      <c r="H882" s="717" t="str">
        <f>IF(A882="","",'Rozpad zakázky'!AJ898)</f>
        <v/>
      </c>
      <c r="I882" s="748" t="str">
        <f>IF(A882="","",'Rozpad zakázky'!Q898)</f>
        <v/>
      </c>
      <c r="J882" s="717" t="str">
        <f>IF(A882="","",ROUNDDOWN('Rozpad zakázky'!L898,1))</f>
        <v/>
      </c>
      <c r="K882" s="745" t="str">
        <f>IF(A882="","",Tabulka_nakup_Vonka[[#This Row],[Počet MJHR v rozpadu]]*Tabulka_nakup_Vonka[[#This Row],[Jedn. hmotnost '[kg/MJHR']]])</f>
        <v/>
      </c>
    </row>
    <row r="883" spans="1:11" x14ac:dyDescent="0.35">
      <c r="A883" s="709" t="str">
        <f>IF('Rozpad zakázky'!E899=0,"",IF('Rozpad zakázky'!E899="-","",'Rozpad zakázky'!E899))</f>
        <v/>
      </c>
      <c r="B883" s="708" t="str">
        <f>IF(A883="","",IF(A883="","",VLOOKUP(A:A,Pomocna_Nakup[],3,0))&amp;" | "&amp;IF(A883="","",VLOOKUP(A:A,Pomocna_Nakup[],4,0)))</f>
        <v/>
      </c>
      <c r="C883" s="710" t="str">
        <f>IF(Tabulka_nakup_Vonka[[#This Row],[Zkratka kalkulační položky]]="","",Tabulka_nakup_Vonka[[#This Row],[Zkratka kalkulační položky]]&amp;" | "&amp;IF(A883="","",VLOOKUP(A:A,Pomocna_Nakup[],2,0)))</f>
        <v/>
      </c>
      <c r="D883" s="710" t="str">
        <f>IF(A883="","",'Rozpad zakázky'!F899)</f>
        <v/>
      </c>
      <c r="E883" s="710" t="str">
        <f>IF(A883="","",'Rozpad zakázky'!D899&amp;IF('Rozpad zakázky'!G899="",""," ("&amp;'Rozpad zakázky'!G899&amp;")"))</f>
        <v/>
      </c>
      <c r="F883" s="709" t="str">
        <f>IF(A883="","",'Rozpad zakázky'!IW899)</f>
        <v/>
      </c>
      <c r="G883" s="711" t="str">
        <f>IF(A883="","",'Rozpad zakázky'!AE899)</f>
        <v/>
      </c>
      <c r="H883" s="717" t="str">
        <f>IF(A883="","",'Rozpad zakázky'!AJ899)</f>
        <v/>
      </c>
      <c r="I883" s="748" t="str">
        <f>IF(A883="","",'Rozpad zakázky'!Q899)</f>
        <v/>
      </c>
      <c r="J883" s="717" t="str">
        <f>IF(A883="","",ROUNDDOWN('Rozpad zakázky'!L899,1))</f>
        <v/>
      </c>
      <c r="K883" s="745" t="str">
        <f>IF(A883="","",Tabulka_nakup_Vonka[[#This Row],[Počet MJHR v rozpadu]]*Tabulka_nakup_Vonka[[#This Row],[Jedn. hmotnost '[kg/MJHR']]])</f>
        <v/>
      </c>
    </row>
    <row r="884" spans="1:11" x14ac:dyDescent="0.35">
      <c r="A884" s="709" t="str">
        <f>IF('Rozpad zakázky'!E900=0,"",IF('Rozpad zakázky'!E900="-","",'Rozpad zakázky'!E900))</f>
        <v/>
      </c>
      <c r="B884" s="708" t="str">
        <f>IF(A884="","",IF(A884="","",VLOOKUP(A:A,Pomocna_Nakup[],3,0))&amp;" | "&amp;IF(A884="","",VLOOKUP(A:A,Pomocna_Nakup[],4,0)))</f>
        <v/>
      </c>
      <c r="C884" s="710" t="str">
        <f>IF(Tabulka_nakup_Vonka[[#This Row],[Zkratka kalkulační položky]]="","",Tabulka_nakup_Vonka[[#This Row],[Zkratka kalkulační položky]]&amp;" | "&amp;IF(A884="","",VLOOKUP(A:A,Pomocna_Nakup[],2,0)))</f>
        <v/>
      </c>
      <c r="D884" s="710" t="str">
        <f>IF(A884="","",'Rozpad zakázky'!F900)</f>
        <v/>
      </c>
      <c r="E884" s="710" t="str">
        <f>IF(A884="","",'Rozpad zakázky'!D900&amp;IF('Rozpad zakázky'!G900="",""," ("&amp;'Rozpad zakázky'!G900&amp;")"))</f>
        <v/>
      </c>
      <c r="F884" s="709" t="str">
        <f>IF(A884="","",'Rozpad zakázky'!IW900)</f>
        <v/>
      </c>
      <c r="G884" s="711" t="str">
        <f>IF(A884="","",'Rozpad zakázky'!AE900)</f>
        <v/>
      </c>
      <c r="H884" s="717" t="str">
        <f>IF(A884="","",'Rozpad zakázky'!AJ900)</f>
        <v/>
      </c>
      <c r="I884" s="748" t="str">
        <f>IF(A884="","",'Rozpad zakázky'!Q900)</f>
        <v/>
      </c>
      <c r="J884" s="717" t="str">
        <f>IF(A884="","",ROUNDDOWN('Rozpad zakázky'!L900,1))</f>
        <v/>
      </c>
      <c r="K884" s="745" t="str">
        <f>IF(A884="","",Tabulka_nakup_Vonka[[#This Row],[Počet MJHR v rozpadu]]*Tabulka_nakup_Vonka[[#This Row],[Jedn. hmotnost '[kg/MJHR']]])</f>
        <v/>
      </c>
    </row>
    <row r="885" spans="1:11" x14ac:dyDescent="0.35">
      <c r="A885" s="709" t="str">
        <f>IF('Rozpad zakázky'!E901=0,"",IF('Rozpad zakázky'!E901="-","",'Rozpad zakázky'!E901))</f>
        <v/>
      </c>
      <c r="B885" s="708" t="str">
        <f>IF(A885="","",IF(A885="","",VLOOKUP(A:A,Pomocna_Nakup[],3,0))&amp;" | "&amp;IF(A885="","",VLOOKUP(A:A,Pomocna_Nakup[],4,0)))</f>
        <v/>
      </c>
      <c r="C885" s="710" t="str">
        <f>IF(Tabulka_nakup_Vonka[[#This Row],[Zkratka kalkulační položky]]="","",Tabulka_nakup_Vonka[[#This Row],[Zkratka kalkulační položky]]&amp;" | "&amp;IF(A885="","",VLOOKUP(A:A,Pomocna_Nakup[],2,0)))</f>
        <v/>
      </c>
      <c r="D885" s="710" t="str">
        <f>IF(A885="","",'Rozpad zakázky'!F901)</f>
        <v/>
      </c>
      <c r="E885" s="710" t="str">
        <f>IF(A885="","",'Rozpad zakázky'!D901&amp;IF('Rozpad zakázky'!G901="",""," ("&amp;'Rozpad zakázky'!G901&amp;")"))</f>
        <v/>
      </c>
      <c r="F885" s="709" t="str">
        <f>IF(A885="","",'Rozpad zakázky'!IW901)</f>
        <v/>
      </c>
      <c r="G885" s="711" t="str">
        <f>IF(A885="","",'Rozpad zakázky'!AE901)</f>
        <v/>
      </c>
      <c r="H885" s="717" t="str">
        <f>IF(A885="","",'Rozpad zakázky'!AJ901)</f>
        <v/>
      </c>
      <c r="I885" s="748" t="str">
        <f>IF(A885="","",'Rozpad zakázky'!Q901)</f>
        <v/>
      </c>
      <c r="J885" s="717" t="str">
        <f>IF(A885="","",ROUNDDOWN('Rozpad zakázky'!L901,1))</f>
        <v/>
      </c>
      <c r="K885" s="745" t="str">
        <f>IF(A885="","",Tabulka_nakup_Vonka[[#This Row],[Počet MJHR v rozpadu]]*Tabulka_nakup_Vonka[[#This Row],[Jedn. hmotnost '[kg/MJHR']]])</f>
        <v/>
      </c>
    </row>
    <row r="886" spans="1:11" x14ac:dyDescent="0.35">
      <c r="A886" s="709" t="str">
        <f>IF('Rozpad zakázky'!E902=0,"",IF('Rozpad zakázky'!E902="-","",'Rozpad zakázky'!E902))</f>
        <v/>
      </c>
      <c r="B886" s="708" t="str">
        <f>IF(A886="","",IF(A886="","",VLOOKUP(A:A,Pomocna_Nakup[],3,0))&amp;" | "&amp;IF(A886="","",VLOOKUP(A:A,Pomocna_Nakup[],4,0)))</f>
        <v/>
      </c>
      <c r="C886" s="710" t="str">
        <f>IF(Tabulka_nakup_Vonka[[#This Row],[Zkratka kalkulační položky]]="","",Tabulka_nakup_Vonka[[#This Row],[Zkratka kalkulační položky]]&amp;" | "&amp;IF(A886="","",VLOOKUP(A:A,Pomocna_Nakup[],2,0)))</f>
        <v/>
      </c>
      <c r="D886" s="710" t="str">
        <f>IF(A886="","",'Rozpad zakázky'!F902)</f>
        <v/>
      </c>
      <c r="E886" s="710" t="str">
        <f>IF(A886="","",'Rozpad zakázky'!D902&amp;IF('Rozpad zakázky'!G902="",""," ("&amp;'Rozpad zakázky'!G902&amp;")"))</f>
        <v/>
      </c>
      <c r="F886" s="709" t="str">
        <f>IF(A886="","",'Rozpad zakázky'!IW902)</f>
        <v/>
      </c>
      <c r="G886" s="711" t="str">
        <f>IF(A886="","",'Rozpad zakázky'!AE902)</f>
        <v/>
      </c>
      <c r="H886" s="717" t="str">
        <f>IF(A886="","",'Rozpad zakázky'!AJ902)</f>
        <v/>
      </c>
      <c r="I886" s="748" t="str">
        <f>IF(A886="","",'Rozpad zakázky'!Q902)</f>
        <v/>
      </c>
      <c r="J886" s="717" t="str">
        <f>IF(A886="","",ROUNDDOWN('Rozpad zakázky'!L902,1))</f>
        <v/>
      </c>
      <c r="K886" s="745" t="str">
        <f>IF(A886="","",Tabulka_nakup_Vonka[[#This Row],[Počet MJHR v rozpadu]]*Tabulka_nakup_Vonka[[#This Row],[Jedn. hmotnost '[kg/MJHR']]])</f>
        <v/>
      </c>
    </row>
    <row r="887" spans="1:11" x14ac:dyDescent="0.35">
      <c r="A887" s="709" t="str">
        <f>IF('Rozpad zakázky'!E903=0,"",IF('Rozpad zakázky'!E903="-","",'Rozpad zakázky'!E903))</f>
        <v/>
      </c>
      <c r="B887" s="708" t="str">
        <f>IF(A887="","",IF(A887="","",VLOOKUP(A:A,Pomocna_Nakup[],3,0))&amp;" | "&amp;IF(A887="","",VLOOKUP(A:A,Pomocna_Nakup[],4,0)))</f>
        <v/>
      </c>
      <c r="C887" s="710" t="str">
        <f>IF(Tabulka_nakup_Vonka[[#This Row],[Zkratka kalkulační položky]]="","",Tabulka_nakup_Vonka[[#This Row],[Zkratka kalkulační položky]]&amp;" | "&amp;IF(A887="","",VLOOKUP(A:A,Pomocna_Nakup[],2,0)))</f>
        <v/>
      </c>
      <c r="D887" s="710" t="str">
        <f>IF(A887="","",'Rozpad zakázky'!F903)</f>
        <v/>
      </c>
      <c r="E887" s="710" t="str">
        <f>IF(A887="","",'Rozpad zakázky'!D903&amp;IF('Rozpad zakázky'!G903="",""," ("&amp;'Rozpad zakázky'!G903&amp;")"))</f>
        <v/>
      </c>
      <c r="F887" s="709" t="str">
        <f>IF(A887="","",'Rozpad zakázky'!IW903)</f>
        <v/>
      </c>
      <c r="G887" s="711" t="str">
        <f>IF(A887="","",'Rozpad zakázky'!AE903)</f>
        <v/>
      </c>
      <c r="H887" s="717" t="str">
        <f>IF(A887="","",'Rozpad zakázky'!AJ903)</f>
        <v/>
      </c>
      <c r="I887" s="748" t="str">
        <f>IF(A887="","",'Rozpad zakázky'!Q903)</f>
        <v/>
      </c>
      <c r="J887" s="717" t="str">
        <f>IF(A887="","",ROUNDDOWN('Rozpad zakázky'!L903,1))</f>
        <v/>
      </c>
      <c r="K887" s="745" t="str">
        <f>IF(A887="","",Tabulka_nakup_Vonka[[#This Row],[Počet MJHR v rozpadu]]*Tabulka_nakup_Vonka[[#This Row],[Jedn. hmotnost '[kg/MJHR']]])</f>
        <v/>
      </c>
    </row>
    <row r="888" spans="1:11" x14ac:dyDescent="0.35">
      <c r="A888" s="709" t="str">
        <f>IF('Rozpad zakázky'!E904=0,"",IF('Rozpad zakázky'!E904="-","",'Rozpad zakázky'!E904))</f>
        <v/>
      </c>
      <c r="B888" s="708" t="str">
        <f>IF(A888="","",IF(A888="","",VLOOKUP(A:A,Pomocna_Nakup[],3,0))&amp;" | "&amp;IF(A888="","",VLOOKUP(A:A,Pomocna_Nakup[],4,0)))</f>
        <v/>
      </c>
      <c r="C888" s="710" t="str">
        <f>IF(Tabulka_nakup_Vonka[[#This Row],[Zkratka kalkulační položky]]="","",Tabulka_nakup_Vonka[[#This Row],[Zkratka kalkulační položky]]&amp;" | "&amp;IF(A888="","",VLOOKUP(A:A,Pomocna_Nakup[],2,0)))</f>
        <v/>
      </c>
      <c r="D888" s="710" t="str">
        <f>IF(A888="","",'Rozpad zakázky'!F904)</f>
        <v/>
      </c>
      <c r="E888" s="710" t="str">
        <f>IF(A888="","",'Rozpad zakázky'!D904&amp;IF('Rozpad zakázky'!G904="",""," ("&amp;'Rozpad zakázky'!G904&amp;")"))</f>
        <v/>
      </c>
      <c r="F888" s="709" t="str">
        <f>IF(A888="","",'Rozpad zakázky'!IW904)</f>
        <v/>
      </c>
      <c r="G888" s="711" t="str">
        <f>IF(A888="","",'Rozpad zakázky'!AE904)</f>
        <v/>
      </c>
      <c r="H888" s="717" t="str">
        <f>IF(A888="","",'Rozpad zakázky'!AJ904)</f>
        <v/>
      </c>
      <c r="I888" s="748" t="str">
        <f>IF(A888="","",'Rozpad zakázky'!Q904)</f>
        <v/>
      </c>
      <c r="J888" s="717" t="str">
        <f>IF(A888="","",ROUNDDOWN('Rozpad zakázky'!L904,1))</f>
        <v/>
      </c>
      <c r="K888" s="745" t="str">
        <f>IF(A888="","",Tabulka_nakup_Vonka[[#This Row],[Počet MJHR v rozpadu]]*Tabulka_nakup_Vonka[[#This Row],[Jedn. hmotnost '[kg/MJHR']]])</f>
        <v/>
      </c>
    </row>
    <row r="889" spans="1:11" x14ac:dyDescent="0.35">
      <c r="A889" s="709" t="str">
        <f>IF('Rozpad zakázky'!E905=0,"",IF('Rozpad zakázky'!E905="-","",'Rozpad zakázky'!E905))</f>
        <v/>
      </c>
      <c r="B889" s="708" t="str">
        <f>IF(A889="","",IF(A889="","",VLOOKUP(A:A,Pomocna_Nakup[],3,0))&amp;" | "&amp;IF(A889="","",VLOOKUP(A:A,Pomocna_Nakup[],4,0)))</f>
        <v/>
      </c>
      <c r="C889" s="710" t="str">
        <f>IF(Tabulka_nakup_Vonka[[#This Row],[Zkratka kalkulační položky]]="","",Tabulka_nakup_Vonka[[#This Row],[Zkratka kalkulační položky]]&amp;" | "&amp;IF(A889="","",VLOOKUP(A:A,Pomocna_Nakup[],2,0)))</f>
        <v/>
      </c>
      <c r="D889" s="710" t="str">
        <f>IF(A889="","",'Rozpad zakázky'!F905)</f>
        <v/>
      </c>
      <c r="E889" s="710" t="str">
        <f>IF(A889="","",'Rozpad zakázky'!D905&amp;IF('Rozpad zakázky'!G905="",""," ("&amp;'Rozpad zakázky'!G905&amp;")"))</f>
        <v/>
      </c>
      <c r="F889" s="709" t="str">
        <f>IF(A889="","",'Rozpad zakázky'!IW905)</f>
        <v/>
      </c>
      <c r="G889" s="711" t="str">
        <f>IF(A889="","",'Rozpad zakázky'!AE905)</f>
        <v/>
      </c>
      <c r="H889" s="717" t="str">
        <f>IF(A889="","",'Rozpad zakázky'!AJ905)</f>
        <v/>
      </c>
      <c r="I889" s="748" t="str">
        <f>IF(A889="","",'Rozpad zakázky'!Q905)</f>
        <v/>
      </c>
      <c r="J889" s="717" t="str">
        <f>IF(A889="","",ROUNDDOWN('Rozpad zakázky'!L905,1))</f>
        <v/>
      </c>
      <c r="K889" s="745" t="str">
        <f>IF(A889="","",Tabulka_nakup_Vonka[[#This Row],[Počet MJHR v rozpadu]]*Tabulka_nakup_Vonka[[#This Row],[Jedn. hmotnost '[kg/MJHR']]])</f>
        <v/>
      </c>
    </row>
    <row r="890" spans="1:11" x14ac:dyDescent="0.35">
      <c r="A890" s="709" t="str">
        <f>IF('Rozpad zakázky'!E906=0,"",IF('Rozpad zakázky'!E906="-","",'Rozpad zakázky'!E906))</f>
        <v/>
      </c>
      <c r="B890" s="708" t="str">
        <f>IF(A890="","",IF(A890="","",VLOOKUP(A:A,Pomocna_Nakup[],3,0))&amp;" | "&amp;IF(A890="","",VLOOKUP(A:A,Pomocna_Nakup[],4,0)))</f>
        <v/>
      </c>
      <c r="C890" s="710" t="str">
        <f>IF(Tabulka_nakup_Vonka[[#This Row],[Zkratka kalkulační položky]]="","",Tabulka_nakup_Vonka[[#This Row],[Zkratka kalkulační položky]]&amp;" | "&amp;IF(A890="","",VLOOKUP(A:A,Pomocna_Nakup[],2,0)))</f>
        <v/>
      </c>
      <c r="D890" s="710" t="str">
        <f>IF(A890="","",'Rozpad zakázky'!F906)</f>
        <v/>
      </c>
      <c r="E890" s="710" t="str">
        <f>IF(A890="","",'Rozpad zakázky'!D906&amp;IF('Rozpad zakázky'!G906="",""," ("&amp;'Rozpad zakázky'!G906&amp;")"))</f>
        <v/>
      </c>
      <c r="F890" s="709" t="str">
        <f>IF(A890="","",'Rozpad zakázky'!IW906)</f>
        <v/>
      </c>
      <c r="G890" s="711" t="str">
        <f>IF(A890="","",'Rozpad zakázky'!AE906)</f>
        <v/>
      </c>
      <c r="H890" s="717" t="str">
        <f>IF(A890="","",'Rozpad zakázky'!AJ906)</f>
        <v/>
      </c>
      <c r="I890" s="748" t="str">
        <f>IF(A890="","",'Rozpad zakázky'!Q906)</f>
        <v/>
      </c>
      <c r="J890" s="717" t="str">
        <f>IF(A890="","",ROUNDDOWN('Rozpad zakázky'!L906,1))</f>
        <v/>
      </c>
      <c r="K890" s="745" t="str">
        <f>IF(A890="","",Tabulka_nakup_Vonka[[#This Row],[Počet MJHR v rozpadu]]*Tabulka_nakup_Vonka[[#This Row],[Jedn. hmotnost '[kg/MJHR']]])</f>
        <v/>
      </c>
    </row>
    <row r="891" spans="1:11" x14ac:dyDescent="0.35">
      <c r="A891" s="709" t="str">
        <f>IF('Rozpad zakázky'!E907=0,"",IF('Rozpad zakázky'!E907="-","",'Rozpad zakázky'!E907))</f>
        <v/>
      </c>
      <c r="B891" s="708" t="str">
        <f>IF(A891="","",IF(A891="","",VLOOKUP(A:A,Pomocna_Nakup[],3,0))&amp;" | "&amp;IF(A891="","",VLOOKUP(A:A,Pomocna_Nakup[],4,0)))</f>
        <v/>
      </c>
      <c r="C891" s="710" t="str">
        <f>IF(Tabulka_nakup_Vonka[[#This Row],[Zkratka kalkulační položky]]="","",Tabulka_nakup_Vonka[[#This Row],[Zkratka kalkulační položky]]&amp;" | "&amp;IF(A891="","",VLOOKUP(A:A,Pomocna_Nakup[],2,0)))</f>
        <v/>
      </c>
      <c r="D891" s="710" t="str">
        <f>IF(A891="","",'Rozpad zakázky'!F907)</f>
        <v/>
      </c>
      <c r="E891" s="710" t="str">
        <f>IF(A891="","",'Rozpad zakázky'!D907&amp;IF('Rozpad zakázky'!G907="",""," ("&amp;'Rozpad zakázky'!G907&amp;")"))</f>
        <v/>
      </c>
      <c r="F891" s="709" t="str">
        <f>IF(A891="","",'Rozpad zakázky'!IW907)</f>
        <v/>
      </c>
      <c r="G891" s="711" t="str">
        <f>IF(A891="","",'Rozpad zakázky'!AE907)</f>
        <v/>
      </c>
      <c r="H891" s="717" t="str">
        <f>IF(A891="","",'Rozpad zakázky'!AJ907)</f>
        <v/>
      </c>
      <c r="I891" s="748" t="str">
        <f>IF(A891="","",'Rozpad zakázky'!Q907)</f>
        <v/>
      </c>
      <c r="J891" s="717" t="str">
        <f>IF(A891="","",ROUNDDOWN('Rozpad zakázky'!L907,1))</f>
        <v/>
      </c>
      <c r="K891" s="745" t="str">
        <f>IF(A891="","",Tabulka_nakup_Vonka[[#This Row],[Počet MJHR v rozpadu]]*Tabulka_nakup_Vonka[[#This Row],[Jedn. hmotnost '[kg/MJHR']]])</f>
        <v/>
      </c>
    </row>
    <row r="892" spans="1:11" x14ac:dyDescent="0.35">
      <c r="A892" s="709" t="str">
        <f>IF('Rozpad zakázky'!E908=0,"",IF('Rozpad zakázky'!E908="-","",'Rozpad zakázky'!E908))</f>
        <v/>
      </c>
      <c r="B892" s="708" t="str">
        <f>IF(A892="","",IF(A892="","",VLOOKUP(A:A,Pomocna_Nakup[],3,0))&amp;" | "&amp;IF(A892="","",VLOOKUP(A:A,Pomocna_Nakup[],4,0)))</f>
        <v/>
      </c>
      <c r="C892" s="710" t="str">
        <f>IF(Tabulka_nakup_Vonka[[#This Row],[Zkratka kalkulační položky]]="","",Tabulka_nakup_Vonka[[#This Row],[Zkratka kalkulační položky]]&amp;" | "&amp;IF(A892="","",VLOOKUP(A:A,Pomocna_Nakup[],2,0)))</f>
        <v/>
      </c>
      <c r="D892" s="710" t="str">
        <f>IF(A892="","",'Rozpad zakázky'!F908)</f>
        <v/>
      </c>
      <c r="E892" s="710" t="str">
        <f>IF(A892="","",'Rozpad zakázky'!D908&amp;IF('Rozpad zakázky'!G908="",""," ("&amp;'Rozpad zakázky'!G908&amp;")"))</f>
        <v/>
      </c>
      <c r="F892" s="709" t="str">
        <f>IF(A892="","",'Rozpad zakázky'!IW908)</f>
        <v/>
      </c>
      <c r="G892" s="711" t="str">
        <f>IF(A892="","",'Rozpad zakázky'!AE908)</f>
        <v/>
      </c>
      <c r="H892" s="717" t="str">
        <f>IF(A892="","",'Rozpad zakázky'!AJ908)</f>
        <v/>
      </c>
      <c r="I892" s="748" t="str">
        <f>IF(A892="","",'Rozpad zakázky'!Q908)</f>
        <v/>
      </c>
      <c r="J892" s="717" t="str">
        <f>IF(A892="","",ROUNDDOWN('Rozpad zakázky'!L908,1))</f>
        <v/>
      </c>
      <c r="K892" s="745" t="str">
        <f>IF(A892="","",Tabulka_nakup_Vonka[[#This Row],[Počet MJHR v rozpadu]]*Tabulka_nakup_Vonka[[#This Row],[Jedn. hmotnost '[kg/MJHR']]])</f>
        <v/>
      </c>
    </row>
    <row r="893" spans="1:11" x14ac:dyDescent="0.35">
      <c r="A893" s="709" t="str">
        <f>IF('Rozpad zakázky'!E909=0,"",IF('Rozpad zakázky'!E909="-","",'Rozpad zakázky'!E909))</f>
        <v/>
      </c>
      <c r="B893" s="708" t="str">
        <f>IF(A893="","",IF(A893="","",VLOOKUP(A:A,Pomocna_Nakup[],3,0))&amp;" | "&amp;IF(A893="","",VLOOKUP(A:A,Pomocna_Nakup[],4,0)))</f>
        <v/>
      </c>
      <c r="C893" s="710" t="str">
        <f>IF(Tabulka_nakup_Vonka[[#This Row],[Zkratka kalkulační položky]]="","",Tabulka_nakup_Vonka[[#This Row],[Zkratka kalkulační položky]]&amp;" | "&amp;IF(A893="","",VLOOKUP(A:A,Pomocna_Nakup[],2,0)))</f>
        <v/>
      </c>
      <c r="D893" s="710" t="str">
        <f>IF(A893="","",'Rozpad zakázky'!F909)</f>
        <v/>
      </c>
      <c r="E893" s="710" t="str">
        <f>IF(A893="","",'Rozpad zakázky'!D909&amp;IF('Rozpad zakázky'!G909="",""," ("&amp;'Rozpad zakázky'!G909&amp;")"))</f>
        <v/>
      </c>
      <c r="F893" s="709" t="str">
        <f>IF(A893="","",'Rozpad zakázky'!IW909)</f>
        <v/>
      </c>
      <c r="G893" s="711" t="str">
        <f>IF(A893="","",'Rozpad zakázky'!AE909)</f>
        <v/>
      </c>
      <c r="H893" s="717" t="str">
        <f>IF(A893="","",'Rozpad zakázky'!AJ909)</f>
        <v/>
      </c>
      <c r="I893" s="748" t="str">
        <f>IF(A893="","",'Rozpad zakázky'!Q909)</f>
        <v/>
      </c>
      <c r="J893" s="717" t="str">
        <f>IF(A893="","",ROUNDDOWN('Rozpad zakázky'!L909,1))</f>
        <v/>
      </c>
      <c r="K893" s="745" t="str">
        <f>IF(A893="","",Tabulka_nakup_Vonka[[#This Row],[Počet MJHR v rozpadu]]*Tabulka_nakup_Vonka[[#This Row],[Jedn. hmotnost '[kg/MJHR']]])</f>
        <v/>
      </c>
    </row>
    <row r="894" spans="1:11" x14ac:dyDescent="0.35">
      <c r="A894" s="709" t="str">
        <f>IF('Rozpad zakázky'!E910=0,"",IF('Rozpad zakázky'!E910="-","",'Rozpad zakázky'!E910))</f>
        <v/>
      </c>
      <c r="B894" s="708" t="str">
        <f>IF(A894="","",IF(A894="","",VLOOKUP(A:A,Pomocna_Nakup[],3,0))&amp;" | "&amp;IF(A894="","",VLOOKUP(A:A,Pomocna_Nakup[],4,0)))</f>
        <v/>
      </c>
      <c r="C894" s="710" t="str">
        <f>IF(Tabulka_nakup_Vonka[[#This Row],[Zkratka kalkulační položky]]="","",Tabulka_nakup_Vonka[[#This Row],[Zkratka kalkulační položky]]&amp;" | "&amp;IF(A894="","",VLOOKUP(A:A,Pomocna_Nakup[],2,0)))</f>
        <v/>
      </c>
      <c r="D894" s="710" t="str">
        <f>IF(A894="","",'Rozpad zakázky'!F910)</f>
        <v/>
      </c>
      <c r="E894" s="710" t="str">
        <f>IF(A894="","",'Rozpad zakázky'!D910&amp;IF('Rozpad zakázky'!G910="",""," ("&amp;'Rozpad zakázky'!G910&amp;")"))</f>
        <v/>
      </c>
      <c r="F894" s="709" t="str">
        <f>IF(A894="","",'Rozpad zakázky'!IW910)</f>
        <v/>
      </c>
      <c r="G894" s="711" t="str">
        <f>IF(A894="","",'Rozpad zakázky'!AE910)</f>
        <v/>
      </c>
      <c r="H894" s="717" t="str">
        <f>IF(A894="","",'Rozpad zakázky'!AJ910)</f>
        <v/>
      </c>
      <c r="I894" s="748" t="str">
        <f>IF(A894="","",'Rozpad zakázky'!Q910)</f>
        <v/>
      </c>
      <c r="J894" s="717" t="str">
        <f>IF(A894="","",ROUNDDOWN('Rozpad zakázky'!L910,1))</f>
        <v/>
      </c>
      <c r="K894" s="745" t="str">
        <f>IF(A894="","",Tabulka_nakup_Vonka[[#This Row],[Počet MJHR v rozpadu]]*Tabulka_nakup_Vonka[[#This Row],[Jedn. hmotnost '[kg/MJHR']]])</f>
        <v/>
      </c>
    </row>
    <row r="895" spans="1:11" x14ac:dyDescent="0.35">
      <c r="A895" s="709" t="str">
        <f>IF('Rozpad zakázky'!E911=0,"",IF('Rozpad zakázky'!E911="-","",'Rozpad zakázky'!E911))</f>
        <v/>
      </c>
      <c r="B895" s="708" t="str">
        <f>IF(A895="","",IF(A895="","",VLOOKUP(A:A,Pomocna_Nakup[],3,0))&amp;" | "&amp;IF(A895="","",VLOOKUP(A:A,Pomocna_Nakup[],4,0)))</f>
        <v/>
      </c>
      <c r="C895" s="710" t="str">
        <f>IF(Tabulka_nakup_Vonka[[#This Row],[Zkratka kalkulační položky]]="","",Tabulka_nakup_Vonka[[#This Row],[Zkratka kalkulační položky]]&amp;" | "&amp;IF(A895="","",VLOOKUP(A:A,Pomocna_Nakup[],2,0)))</f>
        <v/>
      </c>
      <c r="D895" s="710" t="str">
        <f>IF(A895="","",'Rozpad zakázky'!F911)</f>
        <v/>
      </c>
      <c r="E895" s="710" t="str">
        <f>IF(A895="","",'Rozpad zakázky'!D911&amp;IF('Rozpad zakázky'!G911="",""," ("&amp;'Rozpad zakázky'!G911&amp;")"))</f>
        <v/>
      </c>
      <c r="F895" s="709" t="str">
        <f>IF(A895="","",'Rozpad zakázky'!IW911)</f>
        <v/>
      </c>
      <c r="G895" s="711" t="str">
        <f>IF(A895="","",'Rozpad zakázky'!AE911)</f>
        <v/>
      </c>
      <c r="H895" s="717" t="str">
        <f>IF(A895="","",'Rozpad zakázky'!AJ911)</f>
        <v/>
      </c>
      <c r="I895" s="748" t="str">
        <f>IF(A895="","",'Rozpad zakázky'!Q911)</f>
        <v/>
      </c>
      <c r="J895" s="717" t="str">
        <f>IF(A895="","",ROUNDDOWN('Rozpad zakázky'!L911,1))</f>
        <v/>
      </c>
      <c r="K895" s="745" t="str">
        <f>IF(A895="","",Tabulka_nakup_Vonka[[#This Row],[Počet MJHR v rozpadu]]*Tabulka_nakup_Vonka[[#This Row],[Jedn. hmotnost '[kg/MJHR']]])</f>
        <v/>
      </c>
    </row>
    <row r="896" spans="1:11" x14ac:dyDescent="0.35">
      <c r="A896" s="709" t="str">
        <f>IF('Rozpad zakázky'!E912=0,"",IF('Rozpad zakázky'!E912="-","",'Rozpad zakázky'!E912))</f>
        <v/>
      </c>
      <c r="B896" s="708" t="str">
        <f>IF(A896="","",IF(A896="","",VLOOKUP(A:A,Pomocna_Nakup[],3,0))&amp;" | "&amp;IF(A896="","",VLOOKUP(A:A,Pomocna_Nakup[],4,0)))</f>
        <v/>
      </c>
      <c r="C896" s="710" t="str">
        <f>IF(Tabulka_nakup_Vonka[[#This Row],[Zkratka kalkulační položky]]="","",Tabulka_nakup_Vonka[[#This Row],[Zkratka kalkulační položky]]&amp;" | "&amp;IF(A896="","",VLOOKUP(A:A,Pomocna_Nakup[],2,0)))</f>
        <v/>
      </c>
      <c r="D896" s="710" t="str">
        <f>IF(A896="","",'Rozpad zakázky'!F912)</f>
        <v/>
      </c>
      <c r="E896" s="710" t="str">
        <f>IF(A896="","",'Rozpad zakázky'!D912&amp;IF('Rozpad zakázky'!G912="",""," ("&amp;'Rozpad zakázky'!G912&amp;")"))</f>
        <v/>
      </c>
      <c r="F896" s="709" t="str">
        <f>IF(A896="","",'Rozpad zakázky'!IW912)</f>
        <v/>
      </c>
      <c r="G896" s="711" t="str">
        <f>IF(A896="","",'Rozpad zakázky'!AE912)</f>
        <v/>
      </c>
      <c r="H896" s="717" t="str">
        <f>IF(A896="","",'Rozpad zakázky'!AJ912)</f>
        <v/>
      </c>
      <c r="I896" s="748" t="str">
        <f>IF(A896="","",'Rozpad zakázky'!Q912)</f>
        <v/>
      </c>
      <c r="J896" s="717" t="str">
        <f>IF(A896="","",ROUNDDOWN('Rozpad zakázky'!L912,1))</f>
        <v/>
      </c>
      <c r="K896" s="745" t="str">
        <f>IF(A896="","",Tabulka_nakup_Vonka[[#This Row],[Počet MJHR v rozpadu]]*Tabulka_nakup_Vonka[[#This Row],[Jedn. hmotnost '[kg/MJHR']]])</f>
        <v/>
      </c>
    </row>
    <row r="897" spans="1:11" x14ac:dyDescent="0.35">
      <c r="A897" s="709" t="str">
        <f>IF('Rozpad zakázky'!E913=0,"",IF('Rozpad zakázky'!E913="-","",'Rozpad zakázky'!E913))</f>
        <v/>
      </c>
      <c r="B897" s="708" t="str">
        <f>IF(A897="","",IF(A897="","",VLOOKUP(A:A,Pomocna_Nakup[],3,0))&amp;" | "&amp;IF(A897="","",VLOOKUP(A:A,Pomocna_Nakup[],4,0)))</f>
        <v/>
      </c>
      <c r="C897" s="710" t="str">
        <f>IF(Tabulka_nakup_Vonka[[#This Row],[Zkratka kalkulační položky]]="","",Tabulka_nakup_Vonka[[#This Row],[Zkratka kalkulační položky]]&amp;" | "&amp;IF(A897="","",VLOOKUP(A:A,Pomocna_Nakup[],2,0)))</f>
        <v/>
      </c>
      <c r="D897" s="710" t="str">
        <f>IF(A897="","",'Rozpad zakázky'!F913)</f>
        <v/>
      </c>
      <c r="E897" s="710" t="str">
        <f>IF(A897="","",'Rozpad zakázky'!D913&amp;IF('Rozpad zakázky'!G913="",""," ("&amp;'Rozpad zakázky'!G913&amp;")"))</f>
        <v/>
      </c>
      <c r="F897" s="709" t="str">
        <f>IF(A897="","",'Rozpad zakázky'!IW913)</f>
        <v/>
      </c>
      <c r="G897" s="711" t="str">
        <f>IF(A897="","",'Rozpad zakázky'!AE913)</f>
        <v/>
      </c>
      <c r="H897" s="717" t="str">
        <f>IF(A897="","",'Rozpad zakázky'!AJ913)</f>
        <v/>
      </c>
      <c r="I897" s="748" t="str">
        <f>IF(A897="","",'Rozpad zakázky'!Q913)</f>
        <v/>
      </c>
      <c r="J897" s="717" t="str">
        <f>IF(A897="","",ROUNDDOWN('Rozpad zakázky'!L913,1))</f>
        <v/>
      </c>
      <c r="K897" s="745" t="str">
        <f>IF(A897="","",Tabulka_nakup_Vonka[[#This Row],[Počet MJHR v rozpadu]]*Tabulka_nakup_Vonka[[#This Row],[Jedn. hmotnost '[kg/MJHR']]])</f>
        <v/>
      </c>
    </row>
    <row r="898" spans="1:11" x14ac:dyDescent="0.35">
      <c r="A898" s="709" t="str">
        <f>IF('Rozpad zakázky'!E914=0,"",IF('Rozpad zakázky'!E914="-","",'Rozpad zakázky'!E914))</f>
        <v/>
      </c>
      <c r="B898" s="708" t="str">
        <f>IF(A898="","",IF(A898="","",VLOOKUP(A:A,Pomocna_Nakup[],3,0))&amp;" | "&amp;IF(A898="","",VLOOKUP(A:A,Pomocna_Nakup[],4,0)))</f>
        <v/>
      </c>
      <c r="C898" s="710" t="str">
        <f>IF(Tabulka_nakup_Vonka[[#This Row],[Zkratka kalkulační položky]]="","",Tabulka_nakup_Vonka[[#This Row],[Zkratka kalkulační položky]]&amp;" | "&amp;IF(A898="","",VLOOKUP(A:A,Pomocna_Nakup[],2,0)))</f>
        <v/>
      </c>
      <c r="D898" s="710" t="str">
        <f>IF(A898="","",'Rozpad zakázky'!F914)</f>
        <v/>
      </c>
      <c r="E898" s="710" t="str">
        <f>IF(A898="","",'Rozpad zakázky'!D914&amp;IF('Rozpad zakázky'!G914="",""," ("&amp;'Rozpad zakázky'!G914&amp;")"))</f>
        <v/>
      </c>
      <c r="F898" s="709" t="str">
        <f>IF(A898="","",'Rozpad zakázky'!IW914)</f>
        <v/>
      </c>
      <c r="G898" s="711" t="str">
        <f>IF(A898="","",'Rozpad zakázky'!AE914)</f>
        <v/>
      </c>
      <c r="H898" s="717" t="str">
        <f>IF(A898="","",'Rozpad zakázky'!AJ914)</f>
        <v/>
      </c>
      <c r="I898" s="748" t="str">
        <f>IF(A898="","",'Rozpad zakázky'!Q914)</f>
        <v/>
      </c>
      <c r="J898" s="717" t="str">
        <f>IF(A898="","",ROUNDDOWN('Rozpad zakázky'!L914,1))</f>
        <v/>
      </c>
      <c r="K898" s="745" t="str">
        <f>IF(A898="","",Tabulka_nakup_Vonka[[#This Row],[Počet MJHR v rozpadu]]*Tabulka_nakup_Vonka[[#This Row],[Jedn. hmotnost '[kg/MJHR']]])</f>
        <v/>
      </c>
    </row>
    <row r="899" spans="1:11" x14ac:dyDescent="0.35">
      <c r="A899" s="709" t="str">
        <f>IF('Rozpad zakázky'!E915=0,"",IF('Rozpad zakázky'!E915="-","",'Rozpad zakázky'!E915))</f>
        <v/>
      </c>
      <c r="B899" s="708" t="str">
        <f>IF(A899="","",IF(A899="","",VLOOKUP(A:A,Pomocna_Nakup[],3,0))&amp;" | "&amp;IF(A899="","",VLOOKUP(A:A,Pomocna_Nakup[],4,0)))</f>
        <v/>
      </c>
      <c r="C899" s="710" t="str">
        <f>IF(Tabulka_nakup_Vonka[[#This Row],[Zkratka kalkulační položky]]="","",Tabulka_nakup_Vonka[[#This Row],[Zkratka kalkulační položky]]&amp;" | "&amp;IF(A899="","",VLOOKUP(A:A,Pomocna_Nakup[],2,0)))</f>
        <v/>
      </c>
      <c r="D899" s="710" t="str">
        <f>IF(A899="","",'Rozpad zakázky'!F915)</f>
        <v/>
      </c>
      <c r="E899" s="710" t="str">
        <f>IF(A899="","",'Rozpad zakázky'!D915&amp;IF('Rozpad zakázky'!G915="",""," ("&amp;'Rozpad zakázky'!G915&amp;")"))</f>
        <v/>
      </c>
      <c r="F899" s="709" t="str">
        <f>IF(A899="","",'Rozpad zakázky'!IW915)</f>
        <v/>
      </c>
      <c r="G899" s="711" t="str">
        <f>IF(A899="","",'Rozpad zakázky'!AE915)</f>
        <v/>
      </c>
      <c r="H899" s="717" t="str">
        <f>IF(A899="","",'Rozpad zakázky'!AJ915)</f>
        <v/>
      </c>
      <c r="I899" s="748" t="str">
        <f>IF(A899="","",'Rozpad zakázky'!Q915)</f>
        <v/>
      </c>
      <c r="J899" s="717" t="str">
        <f>IF(A899="","",ROUNDDOWN('Rozpad zakázky'!L915,1))</f>
        <v/>
      </c>
      <c r="K899" s="745" t="str">
        <f>IF(A899="","",Tabulka_nakup_Vonka[[#This Row],[Počet MJHR v rozpadu]]*Tabulka_nakup_Vonka[[#This Row],[Jedn. hmotnost '[kg/MJHR']]])</f>
        <v/>
      </c>
    </row>
    <row r="900" spans="1:11" x14ac:dyDescent="0.35">
      <c r="A900" s="709" t="str">
        <f>IF('Rozpad zakázky'!E916=0,"",IF('Rozpad zakázky'!E916="-","",'Rozpad zakázky'!E916))</f>
        <v/>
      </c>
      <c r="B900" s="708" t="str">
        <f>IF(A900="","",IF(A900="","",VLOOKUP(A:A,Pomocna_Nakup[],3,0))&amp;" | "&amp;IF(A900="","",VLOOKUP(A:A,Pomocna_Nakup[],4,0)))</f>
        <v/>
      </c>
      <c r="C900" s="710" t="str">
        <f>IF(Tabulka_nakup_Vonka[[#This Row],[Zkratka kalkulační položky]]="","",Tabulka_nakup_Vonka[[#This Row],[Zkratka kalkulační položky]]&amp;" | "&amp;IF(A900="","",VLOOKUP(A:A,Pomocna_Nakup[],2,0)))</f>
        <v/>
      </c>
      <c r="D900" s="710" t="str">
        <f>IF(A900="","",'Rozpad zakázky'!F916)</f>
        <v/>
      </c>
      <c r="E900" s="710" t="str">
        <f>IF(A900="","",'Rozpad zakázky'!D916&amp;IF('Rozpad zakázky'!G916="",""," ("&amp;'Rozpad zakázky'!G916&amp;")"))</f>
        <v/>
      </c>
      <c r="F900" s="709" t="str">
        <f>IF(A900="","",'Rozpad zakázky'!IW916)</f>
        <v/>
      </c>
      <c r="G900" s="711" t="str">
        <f>IF(A900="","",'Rozpad zakázky'!AE916)</f>
        <v/>
      </c>
      <c r="H900" s="717" t="str">
        <f>IF(A900="","",'Rozpad zakázky'!AJ916)</f>
        <v/>
      </c>
      <c r="I900" s="748" t="str">
        <f>IF(A900="","",'Rozpad zakázky'!Q916)</f>
        <v/>
      </c>
      <c r="J900" s="717" t="str">
        <f>IF(A900="","",ROUNDDOWN('Rozpad zakázky'!L916,1))</f>
        <v/>
      </c>
      <c r="K900" s="745" t="str">
        <f>IF(A900="","",Tabulka_nakup_Vonka[[#This Row],[Počet MJHR v rozpadu]]*Tabulka_nakup_Vonka[[#This Row],[Jedn. hmotnost '[kg/MJHR']]])</f>
        <v/>
      </c>
    </row>
    <row r="901" spans="1:11" x14ac:dyDescent="0.35">
      <c r="A901" s="709" t="str">
        <f>IF('Rozpad zakázky'!E917=0,"",IF('Rozpad zakázky'!E917="-","",'Rozpad zakázky'!E917))</f>
        <v/>
      </c>
      <c r="B901" s="708" t="str">
        <f>IF(A901="","",IF(A901="","",VLOOKUP(A:A,Pomocna_Nakup[],3,0))&amp;" | "&amp;IF(A901="","",VLOOKUP(A:A,Pomocna_Nakup[],4,0)))</f>
        <v/>
      </c>
      <c r="C901" s="710" t="str">
        <f>IF(Tabulka_nakup_Vonka[[#This Row],[Zkratka kalkulační položky]]="","",Tabulka_nakup_Vonka[[#This Row],[Zkratka kalkulační položky]]&amp;" | "&amp;IF(A901="","",VLOOKUP(A:A,Pomocna_Nakup[],2,0)))</f>
        <v/>
      </c>
      <c r="D901" s="710" t="str">
        <f>IF(A901="","",'Rozpad zakázky'!F917)</f>
        <v/>
      </c>
      <c r="E901" s="710" t="str">
        <f>IF(A901="","",'Rozpad zakázky'!D917&amp;IF('Rozpad zakázky'!G917="",""," ("&amp;'Rozpad zakázky'!G917&amp;")"))</f>
        <v/>
      </c>
      <c r="F901" s="709" t="str">
        <f>IF(A901="","",'Rozpad zakázky'!IW917)</f>
        <v/>
      </c>
      <c r="G901" s="711" t="str">
        <f>IF(A901="","",'Rozpad zakázky'!AE917)</f>
        <v/>
      </c>
      <c r="H901" s="717" t="str">
        <f>IF(A901="","",'Rozpad zakázky'!AJ917)</f>
        <v/>
      </c>
      <c r="I901" s="748" t="str">
        <f>IF(A901="","",'Rozpad zakázky'!Q917)</f>
        <v/>
      </c>
      <c r="J901" s="717" t="str">
        <f>IF(A901="","",ROUNDDOWN('Rozpad zakázky'!L917,1))</f>
        <v/>
      </c>
      <c r="K901" s="745" t="str">
        <f>IF(A901="","",Tabulka_nakup_Vonka[[#This Row],[Počet MJHR v rozpadu]]*Tabulka_nakup_Vonka[[#This Row],[Jedn. hmotnost '[kg/MJHR']]])</f>
        <v/>
      </c>
    </row>
    <row r="902" spans="1:11" x14ac:dyDescent="0.35">
      <c r="A902" s="709" t="str">
        <f>IF('Rozpad zakázky'!E918=0,"",IF('Rozpad zakázky'!E918="-","",'Rozpad zakázky'!E918))</f>
        <v/>
      </c>
      <c r="B902" s="708" t="str">
        <f>IF(A902="","",IF(A902="","",VLOOKUP(A:A,Pomocna_Nakup[],3,0))&amp;" | "&amp;IF(A902="","",VLOOKUP(A:A,Pomocna_Nakup[],4,0)))</f>
        <v/>
      </c>
      <c r="C902" s="710" t="str">
        <f>IF(Tabulka_nakup_Vonka[[#This Row],[Zkratka kalkulační položky]]="","",Tabulka_nakup_Vonka[[#This Row],[Zkratka kalkulační položky]]&amp;" | "&amp;IF(A902="","",VLOOKUP(A:A,Pomocna_Nakup[],2,0)))</f>
        <v/>
      </c>
      <c r="D902" s="710" t="str">
        <f>IF(A902="","",'Rozpad zakázky'!F918)</f>
        <v/>
      </c>
      <c r="E902" s="710" t="str">
        <f>IF(A902="","",'Rozpad zakázky'!D918&amp;IF('Rozpad zakázky'!G918="",""," ("&amp;'Rozpad zakázky'!G918&amp;")"))</f>
        <v/>
      </c>
      <c r="F902" s="709" t="str">
        <f>IF(A902="","",'Rozpad zakázky'!IW918)</f>
        <v/>
      </c>
      <c r="G902" s="711" t="str">
        <f>IF(A902="","",'Rozpad zakázky'!AE918)</f>
        <v/>
      </c>
      <c r="H902" s="717" t="str">
        <f>IF(A902="","",'Rozpad zakázky'!AJ918)</f>
        <v/>
      </c>
      <c r="I902" s="748" t="str">
        <f>IF(A902="","",'Rozpad zakázky'!Q918)</f>
        <v/>
      </c>
      <c r="J902" s="717" t="str">
        <f>IF(A902="","",ROUNDDOWN('Rozpad zakázky'!L918,1))</f>
        <v/>
      </c>
      <c r="K902" s="745" t="str">
        <f>IF(A902="","",Tabulka_nakup_Vonka[[#This Row],[Počet MJHR v rozpadu]]*Tabulka_nakup_Vonka[[#This Row],[Jedn. hmotnost '[kg/MJHR']]])</f>
        <v/>
      </c>
    </row>
    <row r="903" spans="1:11" x14ac:dyDescent="0.35">
      <c r="A903" s="709" t="str">
        <f>IF('Rozpad zakázky'!E919=0,"",IF('Rozpad zakázky'!E919="-","",'Rozpad zakázky'!E919))</f>
        <v/>
      </c>
      <c r="B903" s="708" t="str">
        <f>IF(A903="","",IF(A903="","",VLOOKUP(A:A,Pomocna_Nakup[],3,0))&amp;" | "&amp;IF(A903="","",VLOOKUP(A:A,Pomocna_Nakup[],4,0)))</f>
        <v/>
      </c>
      <c r="C903" s="710" t="str">
        <f>IF(Tabulka_nakup_Vonka[[#This Row],[Zkratka kalkulační položky]]="","",Tabulka_nakup_Vonka[[#This Row],[Zkratka kalkulační položky]]&amp;" | "&amp;IF(A903="","",VLOOKUP(A:A,Pomocna_Nakup[],2,0)))</f>
        <v/>
      </c>
      <c r="D903" s="710" t="str">
        <f>IF(A903="","",'Rozpad zakázky'!F919)</f>
        <v/>
      </c>
      <c r="E903" s="710" t="str">
        <f>IF(A903="","",'Rozpad zakázky'!D919&amp;IF('Rozpad zakázky'!G919="",""," ("&amp;'Rozpad zakázky'!G919&amp;")"))</f>
        <v/>
      </c>
      <c r="F903" s="709" t="str">
        <f>IF(A903="","",'Rozpad zakázky'!IW919)</f>
        <v/>
      </c>
      <c r="G903" s="711" t="str">
        <f>IF(A903="","",'Rozpad zakázky'!AE919)</f>
        <v/>
      </c>
      <c r="H903" s="717" t="str">
        <f>IF(A903="","",'Rozpad zakázky'!AJ919)</f>
        <v/>
      </c>
      <c r="I903" s="748" t="str">
        <f>IF(A903="","",'Rozpad zakázky'!Q919)</f>
        <v/>
      </c>
      <c r="J903" s="717" t="str">
        <f>IF(A903="","",ROUNDDOWN('Rozpad zakázky'!L919,1))</f>
        <v/>
      </c>
      <c r="K903" s="745" t="str">
        <f>IF(A903="","",Tabulka_nakup_Vonka[[#This Row],[Počet MJHR v rozpadu]]*Tabulka_nakup_Vonka[[#This Row],[Jedn. hmotnost '[kg/MJHR']]])</f>
        <v/>
      </c>
    </row>
    <row r="904" spans="1:11" x14ac:dyDescent="0.35">
      <c r="A904" s="709" t="str">
        <f>IF('Rozpad zakázky'!E920=0,"",IF('Rozpad zakázky'!E920="-","",'Rozpad zakázky'!E920))</f>
        <v/>
      </c>
      <c r="B904" s="708" t="str">
        <f>IF(A904="","",IF(A904="","",VLOOKUP(A:A,Pomocna_Nakup[],3,0))&amp;" | "&amp;IF(A904="","",VLOOKUP(A:A,Pomocna_Nakup[],4,0)))</f>
        <v/>
      </c>
      <c r="C904" s="710" t="str">
        <f>IF(Tabulka_nakup_Vonka[[#This Row],[Zkratka kalkulační položky]]="","",Tabulka_nakup_Vonka[[#This Row],[Zkratka kalkulační položky]]&amp;" | "&amp;IF(A904="","",VLOOKUP(A:A,Pomocna_Nakup[],2,0)))</f>
        <v/>
      </c>
      <c r="D904" s="710" t="str">
        <f>IF(A904="","",'Rozpad zakázky'!F920)</f>
        <v/>
      </c>
      <c r="E904" s="710" t="str">
        <f>IF(A904="","",'Rozpad zakázky'!D920&amp;IF('Rozpad zakázky'!G920="",""," ("&amp;'Rozpad zakázky'!G920&amp;")"))</f>
        <v/>
      </c>
      <c r="F904" s="709" t="str">
        <f>IF(A904="","",'Rozpad zakázky'!IW920)</f>
        <v/>
      </c>
      <c r="G904" s="711" t="str">
        <f>IF(A904="","",'Rozpad zakázky'!AE920)</f>
        <v/>
      </c>
      <c r="H904" s="717" t="str">
        <f>IF(A904="","",'Rozpad zakázky'!AJ920)</f>
        <v/>
      </c>
      <c r="I904" s="748" t="str">
        <f>IF(A904="","",'Rozpad zakázky'!Q920)</f>
        <v/>
      </c>
      <c r="J904" s="717" t="str">
        <f>IF(A904="","",ROUNDDOWN('Rozpad zakázky'!L920,1))</f>
        <v/>
      </c>
      <c r="K904" s="745" t="str">
        <f>IF(A904="","",Tabulka_nakup_Vonka[[#This Row],[Počet MJHR v rozpadu]]*Tabulka_nakup_Vonka[[#This Row],[Jedn. hmotnost '[kg/MJHR']]])</f>
        <v/>
      </c>
    </row>
    <row r="905" spans="1:11" x14ac:dyDescent="0.35">
      <c r="A905" s="709" t="str">
        <f>IF('Rozpad zakázky'!E921=0,"",IF('Rozpad zakázky'!E921="-","",'Rozpad zakázky'!E921))</f>
        <v/>
      </c>
      <c r="B905" s="708" t="str">
        <f>IF(A905="","",IF(A905="","",VLOOKUP(A:A,Pomocna_Nakup[],3,0))&amp;" | "&amp;IF(A905="","",VLOOKUP(A:A,Pomocna_Nakup[],4,0)))</f>
        <v/>
      </c>
      <c r="C905" s="710" t="str">
        <f>IF(Tabulka_nakup_Vonka[[#This Row],[Zkratka kalkulační položky]]="","",Tabulka_nakup_Vonka[[#This Row],[Zkratka kalkulační položky]]&amp;" | "&amp;IF(A905="","",VLOOKUP(A:A,Pomocna_Nakup[],2,0)))</f>
        <v/>
      </c>
      <c r="D905" s="710" t="str">
        <f>IF(A905="","",'Rozpad zakázky'!F921)</f>
        <v/>
      </c>
      <c r="E905" s="710" t="str">
        <f>IF(A905="","",'Rozpad zakázky'!D921&amp;IF('Rozpad zakázky'!G921="",""," ("&amp;'Rozpad zakázky'!G921&amp;")"))</f>
        <v/>
      </c>
      <c r="F905" s="709" t="str">
        <f>IF(A905="","",'Rozpad zakázky'!IW921)</f>
        <v/>
      </c>
      <c r="G905" s="711" t="str">
        <f>IF(A905="","",'Rozpad zakázky'!AE921)</f>
        <v/>
      </c>
      <c r="H905" s="717" t="str">
        <f>IF(A905="","",'Rozpad zakázky'!AJ921)</f>
        <v/>
      </c>
      <c r="I905" s="748" t="str">
        <f>IF(A905="","",'Rozpad zakázky'!Q921)</f>
        <v/>
      </c>
      <c r="J905" s="717" t="str">
        <f>IF(A905="","",ROUNDDOWN('Rozpad zakázky'!L921,1))</f>
        <v/>
      </c>
      <c r="K905" s="745" t="str">
        <f>IF(A905="","",Tabulka_nakup_Vonka[[#This Row],[Počet MJHR v rozpadu]]*Tabulka_nakup_Vonka[[#This Row],[Jedn. hmotnost '[kg/MJHR']]])</f>
        <v/>
      </c>
    </row>
    <row r="906" spans="1:11" x14ac:dyDescent="0.35">
      <c r="A906" s="709" t="str">
        <f>IF('Rozpad zakázky'!E922=0,"",IF('Rozpad zakázky'!E922="-","",'Rozpad zakázky'!E922))</f>
        <v/>
      </c>
      <c r="B906" s="708" t="str">
        <f>IF(A906="","",IF(A906="","",VLOOKUP(A:A,Pomocna_Nakup[],3,0))&amp;" | "&amp;IF(A906="","",VLOOKUP(A:A,Pomocna_Nakup[],4,0)))</f>
        <v/>
      </c>
      <c r="C906" s="710" t="str">
        <f>IF(Tabulka_nakup_Vonka[[#This Row],[Zkratka kalkulační položky]]="","",Tabulka_nakup_Vonka[[#This Row],[Zkratka kalkulační položky]]&amp;" | "&amp;IF(A906="","",VLOOKUP(A:A,Pomocna_Nakup[],2,0)))</f>
        <v/>
      </c>
      <c r="D906" s="710" t="str">
        <f>IF(A906="","",'Rozpad zakázky'!F922)</f>
        <v/>
      </c>
      <c r="E906" s="710" t="str">
        <f>IF(A906="","",'Rozpad zakázky'!D922&amp;IF('Rozpad zakázky'!G922="",""," ("&amp;'Rozpad zakázky'!G922&amp;")"))</f>
        <v/>
      </c>
      <c r="F906" s="709" t="str">
        <f>IF(A906="","",'Rozpad zakázky'!IW922)</f>
        <v/>
      </c>
      <c r="G906" s="711" t="str">
        <f>IF(A906="","",'Rozpad zakázky'!AE922)</f>
        <v/>
      </c>
      <c r="H906" s="717" t="str">
        <f>IF(A906="","",'Rozpad zakázky'!AJ922)</f>
        <v/>
      </c>
      <c r="I906" s="748" t="str">
        <f>IF(A906="","",'Rozpad zakázky'!Q922)</f>
        <v/>
      </c>
      <c r="J906" s="717" t="str">
        <f>IF(A906="","",ROUNDDOWN('Rozpad zakázky'!L922,1))</f>
        <v/>
      </c>
      <c r="K906" s="745" t="str">
        <f>IF(A906="","",Tabulka_nakup_Vonka[[#This Row],[Počet MJHR v rozpadu]]*Tabulka_nakup_Vonka[[#This Row],[Jedn. hmotnost '[kg/MJHR']]])</f>
        <v/>
      </c>
    </row>
    <row r="907" spans="1:11" x14ac:dyDescent="0.35">
      <c r="A907" s="709" t="str">
        <f>IF('Rozpad zakázky'!E923=0,"",IF('Rozpad zakázky'!E923="-","",'Rozpad zakázky'!E923))</f>
        <v/>
      </c>
      <c r="B907" s="708" t="str">
        <f>IF(A907="","",IF(A907="","",VLOOKUP(A:A,Pomocna_Nakup[],3,0))&amp;" | "&amp;IF(A907="","",VLOOKUP(A:A,Pomocna_Nakup[],4,0)))</f>
        <v/>
      </c>
      <c r="C907" s="710" t="str">
        <f>IF(Tabulka_nakup_Vonka[[#This Row],[Zkratka kalkulační položky]]="","",Tabulka_nakup_Vonka[[#This Row],[Zkratka kalkulační položky]]&amp;" | "&amp;IF(A907="","",VLOOKUP(A:A,Pomocna_Nakup[],2,0)))</f>
        <v/>
      </c>
      <c r="D907" s="710" t="str">
        <f>IF(A907="","",'Rozpad zakázky'!F923)</f>
        <v/>
      </c>
      <c r="E907" s="710" t="str">
        <f>IF(A907="","",'Rozpad zakázky'!D923&amp;IF('Rozpad zakázky'!G923="",""," ("&amp;'Rozpad zakázky'!G923&amp;")"))</f>
        <v/>
      </c>
      <c r="F907" s="709" t="str">
        <f>IF(A907="","",'Rozpad zakázky'!IW923)</f>
        <v/>
      </c>
      <c r="G907" s="711" t="str">
        <f>IF(A907="","",'Rozpad zakázky'!AE923)</f>
        <v/>
      </c>
      <c r="H907" s="717" t="str">
        <f>IF(A907="","",'Rozpad zakázky'!AJ923)</f>
        <v/>
      </c>
      <c r="I907" s="748" t="str">
        <f>IF(A907="","",'Rozpad zakázky'!Q923)</f>
        <v/>
      </c>
      <c r="J907" s="717" t="str">
        <f>IF(A907="","",ROUNDDOWN('Rozpad zakázky'!L923,1))</f>
        <v/>
      </c>
      <c r="K907" s="745" t="str">
        <f>IF(A907="","",Tabulka_nakup_Vonka[[#This Row],[Počet MJHR v rozpadu]]*Tabulka_nakup_Vonka[[#This Row],[Jedn. hmotnost '[kg/MJHR']]])</f>
        <v/>
      </c>
    </row>
    <row r="908" spans="1:11" x14ac:dyDescent="0.35">
      <c r="A908" s="709" t="str">
        <f>IF('Rozpad zakázky'!E924=0,"",IF('Rozpad zakázky'!E924="-","",'Rozpad zakázky'!E924))</f>
        <v/>
      </c>
      <c r="B908" s="708" t="str">
        <f>IF(A908="","",IF(A908="","",VLOOKUP(A:A,Pomocna_Nakup[],3,0))&amp;" | "&amp;IF(A908="","",VLOOKUP(A:A,Pomocna_Nakup[],4,0)))</f>
        <v/>
      </c>
      <c r="C908" s="710" t="str">
        <f>IF(Tabulka_nakup_Vonka[[#This Row],[Zkratka kalkulační položky]]="","",Tabulka_nakup_Vonka[[#This Row],[Zkratka kalkulační položky]]&amp;" | "&amp;IF(A908="","",VLOOKUP(A:A,Pomocna_Nakup[],2,0)))</f>
        <v/>
      </c>
      <c r="D908" s="710" t="str">
        <f>IF(A908="","",'Rozpad zakázky'!F924)</f>
        <v/>
      </c>
      <c r="E908" s="710" t="str">
        <f>IF(A908="","",'Rozpad zakázky'!D924&amp;IF('Rozpad zakázky'!G924="",""," ("&amp;'Rozpad zakázky'!G924&amp;")"))</f>
        <v/>
      </c>
      <c r="F908" s="709" t="str">
        <f>IF(A908="","",'Rozpad zakázky'!IW924)</f>
        <v/>
      </c>
      <c r="G908" s="711" t="str">
        <f>IF(A908="","",'Rozpad zakázky'!AE924)</f>
        <v/>
      </c>
      <c r="H908" s="717" t="str">
        <f>IF(A908="","",'Rozpad zakázky'!AJ924)</f>
        <v/>
      </c>
      <c r="I908" s="748" t="str">
        <f>IF(A908="","",'Rozpad zakázky'!Q924)</f>
        <v/>
      </c>
      <c r="J908" s="717" t="str">
        <f>IF(A908="","",ROUNDDOWN('Rozpad zakázky'!L924,1))</f>
        <v/>
      </c>
      <c r="K908" s="745" t="str">
        <f>IF(A908="","",Tabulka_nakup_Vonka[[#This Row],[Počet MJHR v rozpadu]]*Tabulka_nakup_Vonka[[#This Row],[Jedn. hmotnost '[kg/MJHR']]])</f>
        <v/>
      </c>
    </row>
    <row r="909" spans="1:11" x14ac:dyDescent="0.35">
      <c r="A909" s="709" t="str">
        <f>IF('Rozpad zakázky'!E925=0,"",IF('Rozpad zakázky'!E925="-","",'Rozpad zakázky'!E925))</f>
        <v/>
      </c>
      <c r="B909" s="708" t="str">
        <f>IF(A909="","",IF(A909="","",VLOOKUP(A:A,Pomocna_Nakup[],3,0))&amp;" | "&amp;IF(A909="","",VLOOKUP(A:A,Pomocna_Nakup[],4,0)))</f>
        <v/>
      </c>
      <c r="C909" s="710" t="str">
        <f>IF(Tabulka_nakup_Vonka[[#This Row],[Zkratka kalkulační položky]]="","",Tabulka_nakup_Vonka[[#This Row],[Zkratka kalkulační položky]]&amp;" | "&amp;IF(A909="","",VLOOKUP(A:A,Pomocna_Nakup[],2,0)))</f>
        <v/>
      </c>
      <c r="D909" s="710" t="str">
        <f>IF(A909="","",'Rozpad zakázky'!F925)</f>
        <v/>
      </c>
      <c r="E909" s="710" t="str">
        <f>IF(A909="","",'Rozpad zakázky'!D925&amp;IF('Rozpad zakázky'!G925="",""," ("&amp;'Rozpad zakázky'!G925&amp;")"))</f>
        <v/>
      </c>
      <c r="F909" s="709" t="str">
        <f>IF(A909="","",'Rozpad zakázky'!IW925)</f>
        <v/>
      </c>
      <c r="G909" s="711" t="str">
        <f>IF(A909="","",'Rozpad zakázky'!AE925)</f>
        <v/>
      </c>
      <c r="H909" s="717" t="str">
        <f>IF(A909="","",'Rozpad zakázky'!AJ925)</f>
        <v/>
      </c>
      <c r="I909" s="748" t="str">
        <f>IF(A909="","",'Rozpad zakázky'!Q925)</f>
        <v/>
      </c>
      <c r="J909" s="717" t="str">
        <f>IF(A909="","",ROUNDDOWN('Rozpad zakázky'!L925,1))</f>
        <v/>
      </c>
      <c r="K909" s="745" t="str">
        <f>IF(A909="","",Tabulka_nakup_Vonka[[#This Row],[Počet MJHR v rozpadu]]*Tabulka_nakup_Vonka[[#This Row],[Jedn. hmotnost '[kg/MJHR']]])</f>
        <v/>
      </c>
    </row>
    <row r="910" spans="1:11" x14ac:dyDescent="0.35">
      <c r="A910" s="709" t="str">
        <f>IF('Rozpad zakázky'!E926=0,"",IF('Rozpad zakázky'!E926="-","",'Rozpad zakázky'!E926))</f>
        <v/>
      </c>
      <c r="B910" s="708" t="str">
        <f>IF(A910="","",IF(A910="","",VLOOKUP(A:A,Pomocna_Nakup[],3,0))&amp;" | "&amp;IF(A910="","",VLOOKUP(A:A,Pomocna_Nakup[],4,0)))</f>
        <v/>
      </c>
      <c r="C910" s="710" t="str">
        <f>IF(Tabulka_nakup_Vonka[[#This Row],[Zkratka kalkulační položky]]="","",Tabulka_nakup_Vonka[[#This Row],[Zkratka kalkulační položky]]&amp;" | "&amp;IF(A910="","",VLOOKUP(A:A,Pomocna_Nakup[],2,0)))</f>
        <v/>
      </c>
      <c r="D910" s="710" t="str">
        <f>IF(A910="","",'Rozpad zakázky'!F926)</f>
        <v/>
      </c>
      <c r="E910" s="710" t="str">
        <f>IF(A910="","",'Rozpad zakázky'!D926&amp;IF('Rozpad zakázky'!G926="",""," ("&amp;'Rozpad zakázky'!G926&amp;")"))</f>
        <v/>
      </c>
      <c r="F910" s="709" t="str">
        <f>IF(A910="","",'Rozpad zakázky'!IW926)</f>
        <v/>
      </c>
      <c r="G910" s="711" t="str">
        <f>IF(A910="","",'Rozpad zakázky'!AE926)</f>
        <v/>
      </c>
      <c r="H910" s="717" t="str">
        <f>IF(A910="","",'Rozpad zakázky'!AJ926)</f>
        <v/>
      </c>
      <c r="I910" s="748" t="str">
        <f>IF(A910="","",'Rozpad zakázky'!Q926)</f>
        <v/>
      </c>
      <c r="J910" s="717" t="str">
        <f>IF(A910="","",ROUNDDOWN('Rozpad zakázky'!L926,1))</f>
        <v/>
      </c>
      <c r="K910" s="745" t="str">
        <f>IF(A910="","",Tabulka_nakup_Vonka[[#This Row],[Počet MJHR v rozpadu]]*Tabulka_nakup_Vonka[[#This Row],[Jedn. hmotnost '[kg/MJHR']]])</f>
        <v/>
      </c>
    </row>
    <row r="911" spans="1:11" x14ac:dyDescent="0.35">
      <c r="A911" s="709" t="str">
        <f>IF('Rozpad zakázky'!E927=0,"",IF('Rozpad zakázky'!E927="-","",'Rozpad zakázky'!E927))</f>
        <v/>
      </c>
      <c r="B911" s="708" t="str">
        <f>IF(A911="","",IF(A911="","",VLOOKUP(A:A,Pomocna_Nakup[],3,0))&amp;" | "&amp;IF(A911="","",VLOOKUP(A:A,Pomocna_Nakup[],4,0)))</f>
        <v/>
      </c>
      <c r="C911" s="710" t="str">
        <f>IF(Tabulka_nakup_Vonka[[#This Row],[Zkratka kalkulační položky]]="","",Tabulka_nakup_Vonka[[#This Row],[Zkratka kalkulační položky]]&amp;" | "&amp;IF(A911="","",VLOOKUP(A:A,Pomocna_Nakup[],2,0)))</f>
        <v/>
      </c>
      <c r="D911" s="710" t="str">
        <f>IF(A911="","",'Rozpad zakázky'!F927)</f>
        <v/>
      </c>
      <c r="E911" s="710" t="str">
        <f>IF(A911="","",'Rozpad zakázky'!D927&amp;IF('Rozpad zakázky'!G927="",""," ("&amp;'Rozpad zakázky'!G927&amp;")"))</f>
        <v/>
      </c>
      <c r="F911" s="709" t="str">
        <f>IF(A911="","",'Rozpad zakázky'!IW927)</f>
        <v/>
      </c>
      <c r="G911" s="711" t="str">
        <f>IF(A911="","",'Rozpad zakázky'!AE927)</f>
        <v/>
      </c>
      <c r="H911" s="717" t="str">
        <f>IF(A911="","",'Rozpad zakázky'!AJ927)</f>
        <v/>
      </c>
      <c r="I911" s="748" t="str">
        <f>IF(A911="","",'Rozpad zakázky'!Q927)</f>
        <v/>
      </c>
      <c r="J911" s="717" t="str">
        <f>IF(A911="","",ROUNDDOWN('Rozpad zakázky'!L927,1))</f>
        <v/>
      </c>
      <c r="K911" s="745" t="str">
        <f>IF(A911="","",Tabulka_nakup_Vonka[[#This Row],[Počet MJHR v rozpadu]]*Tabulka_nakup_Vonka[[#This Row],[Jedn. hmotnost '[kg/MJHR']]])</f>
        <v/>
      </c>
    </row>
    <row r="912" spans="1:11" x14ac:dyDescent="0.35">
      <c r="A912" s="709" t="str">
        <f>IF('Rozpad zakázky'!E928=0,"",IF('Rozpad zakázky'!E928="-","",'Rozpad zakázky'!E928))</f>
        <v/>
      </c>
      <c r="B912" s="708" t="str">
        <f>IF(A912="","",IF(A912="","",VLOOKUP(A:A,Pomocna_Nakup[],3,0))&amp;" | "&amp;IF(A912="","",VLOOKUP(A:A,Pomocna_Nakup[],4,0)))</f>
        <v/>
      </c>
      <c r="C912" s="710" t="str">
        <f>IF(Tabulka_nakup_Vonka[[#This Row],[Zkratka kalkulační položky]]="","",Tabulka_nakup_Vonka[[#This Row],[Zkratka kalkulační položky]]&amp;" | "&amp;IF(A912="","",VLOOKUP(A:A,Pomocna_Nakup[],2,0)))</f>
        <v/>
      </c>
      <c r="D912" s="710" t="str">
        <f>IF(A912="","",'Rozpad zakázky'!F928)</f>
        <v/>
      </c>
      <c r="E912" s="710" t="str">
        <f>IF(A912="","",'Rozpad zakázky'!D928&amp;IF('Rozpad zakázky'!G928="",""," ("&amp;'Rozpad zakázky'!G928&amp;")"))</f>
        <v/>
      </c>
      <c r="F912" s="709" t="str">
        <f>IF(A912="","",'Rozpad zakázky'!IW928)</f>
        <v/>
      </c>
      <c r="G912" s="711" t="str">
        <f>IF(A912="","",'Rozpad zakázky'!AE928)</f>
        <v/>
      </c>
      <c r="H912" s="717" t="str">
        <f>IF(A912="","",'Rozpad zakázky'!AJ928)</f>
        <v/>
      </c>
      <c r="I912" s="748" t="str">
        <f>IF(A912="","",'Rozpad zakázky'!Q928)</f>
        <v/>
      </c>
      <c r="J912" s="717" t="str">
        <f>IF(A912="","",ROUNDDOWN('Rozpad zakázky'!L928,1))</f>
        <v/>
      </c>
      <c r="K912" s="745" t="str">
        <f>IF(A912="","",Tabulka_nakup_Vonka[[#This Row],[Počet MJHR v rozpadu]]*Tabulka_nakup_Vonka[[#This Row],[Jedn. hmotnost '[kg/MJHR']]])</f>
        <v/>
      </c>
    </row>
    <row r="913" spans="1:11" x14ac:dyDescent="0.35">
      <c r="A913" s="709" t="str">
        <f>IF('Rozpad zakázky'!E929=0,"",IF('Rozpad zakázky'!E929="-","",'Rozpad zakázky'!E929))</f>
        <v/>
      </c>
      <c r="B913" s="708" t="str">
        <f>IF(A913="","",IF(A913="","",VLOOKUP(A:A,Pomocna_Nakup[],3,0))&amp;" | "&amp;IF(A913="","",VLOOKUP(A:A,Pomocna_Nakup[],4,0)))</f>
        <v/>
      </c>
      <c r="C913" s="710" t="str">
        <f>IF(Tabulka_nakup_Vonka[[#This Row],[Zkratka kalkulační položky]]="","",Tabulka_nakup_Vonka[[#This Row],[Zkratka kalkulační položky]]&amp;" | "&amp;IF(A913="","",VLOOKUP(A:A,Pomocna_Nakup[],2,0)))</f>
        <v/>
      </c>
      <c r="D913" s="710" t="str">
        <f>IF(A913="","",'Rozpad zakázky'!F929)</f>
        <v/>
      </c>
      <c r="E913" s="710" t="str">
        <f>IF(A913="","",'Rozpad zakázky'!D929&amp;IF('Rozpad zakázky'!G929="",""," ("&amp;'Rozpad zakázky'!G929&amp;")"))</f>
        <v/>
      </c>
      <c r="F913" s="709" t="str">
        <f>IF(A913="","",'Rozpad zakázky'!IW929)</f>
        <v/>
      </c>
      <c r="G913" s="711" t="str">
        <f>IF(A913="","",'Rozpad zakázky'!AE929)</f>
        <v/>
      </c>
      <c r="H913" s="717" t="str">
        <f>IF(A913="","",'Rozpad zakázky'!AJ929)</f>
        <v/>
      </c>
      <c r="I913" s="748" t="str">
        <f>IF(A913="","",'Rozpad zakázky'!Q929)</f>
        <v/>
      </c>
      <c r="J913" s="717" t="str">
        <f>IF(A913="","",ROUNDDOWN('Rozpad zakázky'!L929,1))</f>
        <v/>
      </c>
      <c r="K913" s="745" t="str">
        <f>IF(A913="","",Tabulka_nakup_Vonka[[#This Row],[Počet MJHR v rozpadu]]*Tabulka_nakup_Vonka[[#This Row],[Jedn. hmotnost '[kg/MJHR']]])</f>
        <v/>
      </c>
    </row>
    <row r="914" spans="1:11" x14ac:dyDescent="0.35">
      <c r="A914" s="709" t="str">
        <f>IF('Rozpad zakázky'!E930=0,"",IF('Rozpad zakázky'!E930="-","",'Rozpad zakázky'!E930))</f>
        <v/>
      </c>
      <c r="B914" s="708" t="str">
        <f>IF(A914="","",IF(A914="","",VLOOKUP(A:A,Pomocna_Nakup[],3,0))&amp;" | "&amp;IF(A914="","",VLOOKUP(A:A,Pomocna_Nakup[],4,0)))</f>
        <v/>
      </c>
      <c r="C914" s="710" t="str">
        <f>IF(Tabulka_nakup_Vonka[[#This Row],[Zkratka kalkulační položky]]="","",Tabulka_nakup_Vonka[[#This Row],[Zkratka kalkulační položky]]&amp;" | "&amp;IF(A914="","",VLOOKUP(A:A,Pomocna_Nakup[],2,0)))</f>
        <v/>
      </c>
      <c r="D914" s="710" t="str">
        <f>IF(A914="","",'Rozpad zakázky'!F930)</f>
        <v/>
      </c>
      <c r="E914" s="710" t="str">
        <f>IF(A914="","",'Rozpad zakázky'!D930&amp;IF('Rozpad zakázky'!G930="",""," ("&amp;'Rozpad zakázky'!G930&amp;")"))</f>
        <v/>
      </c>
      <c r="F914" s="709" t="str">
        <f>IF(A914="","",'Rozpad zakázky'!IW930)</f>
        <v/>
      </c>
      <c r="G914" s="711" t="str">
        <f>IF(A914="","",'Rozpad zakázky'!AE930)</f>
        <v/>
      </c>
      <c r="H914" s="717" t="str">
        <f>IF(A914="","",'Rozpad zakázky'!AJ930)</f>
        <v/>
      </c>
      <c r="I914" s="748" t="str">
        <f>IF(A914="","",'Rozpad zakázky'!Q930)</f>
        <v/>
      </c>
      <c r="J914" s="717" t="str">
        <f>IF(A914="","",ROUNDDOWN('Rozpad zakázky'!L930,1))</f>
        <v/>
      </c>
      <c r="K914" s="745" t="str">
        <f>IF(A914="","",Tabulka_nakup_Vonka[[#This Row],[Počet MJHR v rozpadu]]*Tabulka_nakup_Vonka[[#This Row],[Jedn. hmotnost '[kg/MJHR']]])</f>
        <v/>
      </c>
    </row>
    <row r="915" spans="1:11" x14ac:dyDescent="0.35">
      <c r="A915" s="709" t="str">
        <f>IF('Rozpad zakázky'!E931=0,"",IF('Rozpad zakázky'!E931="-","",'Rozpad zakázky'!E931))</f>
        <v/>
      </c>
      <c r="B915" s="708" t="str">
        <f>IF(A915="","",IF(A915="","",VLOOKUP(A:A,Pomocna_Nakup[],3,0))&amp;" | "&amp;IF(A915="","",VLOOKUP(A:A,Pomocna_Nakup[],4,0)))</f>
        <v/>
      </c>
      <c r="C915" s="710" t="str">
        <f>IF(Tabulka_nakup_Vonka[[#This Row],[Zkratka kalkulační položky]]="","",Tabulka_nakup_Vonka[[#This Row],[Zkratka kalkulační položky]]&amp;" | "&amp;IF(A915="","",VLOOKUP(A:A,Pomocna_Nakup[],2,0)))</f>
        <v/>
      </c>
      <c r="D915" s="710" t="str">
        <f>IF(A915="","",'Rozpad zakázky'!F931)</f>
        <v/>
      </c>
      <c r="E915" s="710" t="str">
        <f>IF(A915="","",'Rozpad zakázky'!D931&amp;IF('Rozpad zakázky'!G931="",""," ("&amp;'Rozpad zakázky'!G931&amp;")"))</f>
        <v/>
      </c>
      <c r="F915" s="709" t="str">
        <f>IF(A915="","",'Rozpad zakázky'!IW931)</f>
        <v/>
      </c>
      <c r="G915" s="711" t="str">
        <f>IF(A915="","",'Rozpad zakázky'!AE931)</f>
        <v/>
      </c>
      <c r="H915" s="717" t="str">
        <f>IF(A915="","",'Rozpad zakázky'!AJ931)</f>
        <v/>
      </c>
      <c r="I915" s="748" t="str">
        <f>IF(A915="","",'Rozpad zakázky'!Q931)</f>
        <v/>
      </c>
      <c r="J915" s="717" t="str">
        <f>IF(A915="","",ROUNDDOWN('Rozpad zakázky'!L931,1))</f>
        <v/>
      </c>
      <c r="K915" s="745" t="str">
        <f>IF(A915="","",Tabulka_nakup_Vonka[[#This Row],[Počet MJHR v rozpadu]]*Tabulka_nakup_Vonka[[#This Row],[Jedn. hmotnost '[kg/MJHR']]])</f>
        <v/>
      </c>
    </row>
    <row r="916" spans="1:11" x14ac:dyDescent="0.35">
      <c r="A916" s="709" t="str">
        <f>IF('Rozpad zakázky'!E932=0,"",IF('Rozpad zakázky'!E932="-","",'Rozpad zakázky'!E932))</f>
        <v/>
      </c>
      <c r="B916" s="708" t="str">
        <f>IF(A916="","",IF(A916="","",VLOOKUP(A:A,Pomocna_Nakup[],3,0))&amp;" | "&amp;IF(A916="","",VLOOKUP(A:A,Pomocna_Nakup[],4,0)))</f>
        <v/>
      </c>
      <c r="C916" s="710" t="str">
        <f>IF(Tabulka_nakup_Vonka[[#This Row],[Zkratka kalkulační položky]]="","",Tabulka_nakup_Vonka[[#This Row],[Zkratka kalkulační položky]]&amp;" | "&amp;IF(A916="","",VLOOKUP(A:A,Pomocna_Nakup[],2,0)))</f>
        <v/>
      </c>
      <c r="D916" s="710" t="str">
        <f>IF(A916="","",'Rozpad zakázky'!F932)</f>
        <v/>
      </c>
      <c r="E916" s="710" t="str">
        <f>IF(A916="","",'Rozpad zakázky'!D932&amp;IF('Rozpad zakázky'!G932="",""," ("&amp;'Rozpad zakázky'!G932&amp;")"))</f>
        <v/>
      </c>
      <c r="F916" s="709" t="str">
        <f>IF(A916="","",'Rozpad zakázky'!IW932)</f>
        <v/>
      </c>
      <c r="G916" s="711" t="str">
        <f>IF(A916="","",'Rozpad zakázky'!AE932)</f>
        <v/>
      </c>
      <c r="H916" s="717" t="str">
        <f>IF(A916="","",'Rozpad zakázky'!AJ932)</f>
        <v/>
      </c>
      <c r="I916" s="748" t="str">
        <f>IF(A916="","",'Rozpad zakázky'!Q932)</f>
        <v/>
      </c>
      <c r="J916" s="717" t="str">
        <f>IF(A916="","",ROUNDDOWN('Rozpad zakázky'!L932,1))</f>
        <v/>
      </c>
      <c r="K916" s="745" t="str">
        <f>IF(A916="","",Tabulka_nakup_Vonka[[#This Row],[Počet MJHR v rozpadu]]*Tabulka_nakup_Vonka[[#This Row],[Jedn. hmotnost '[kg/MJHR']]])</f>
        <v/>
      </c>
    </row>
    <row r="917" spans="1:11" x14ac:dyDescent="0.35">
      <c r="A917" s="709" t="str">
        <f>IF('Rozpad zakázky'!E933=0,"",IF('Rozpad zakázky'!E933="-","",'Rozpad zakázky'!E933))</f>
        <v/>
      </c>
      <c r="B917" s="708" t="str">
        <f>IF(A917="","",IF(A917="","",VLOOKUP(A:A,Pomocna_Nakup[],3,0))&amp;" | "&amp;IF(A917="","",VLOOKUP(A:A,Pomocna_Nakup[],4,0)))</f>
        <v/>
      </c>
      <c r="C917" s="710" t="str">
        <f>IF(Tabulka_nakup_Vonka[[#This Row],[Zkratka kalkulační položky]]="","",Tabulka_nakup_Vonka[[#This Row],[Zkratka kalkulační položky]]&amp;" | "&amp;IF(A917="","",VLOOKUP(A:A,Pomocna_Nakup[],2,0)))</f>
        <v/>
      </c>
      <c r="D917" s="710" t="str">
        <f>IF(A917="","",'Rozpad zakázky'!F933)</f>
        <v/>
      </c>
      <c r="E917" s="710" t="str">
        <f>IF(A917="","",'Rozpad zakázky'!D933&amp;IF('Rozpad zakázky'!G933="",""," ("&amp;'Rozpad zakázky'!G933&amp;")"))</f>
        <v/>
      </c>
      <c r="F917" s="709" t="str">
        <f>IF(A917="","",'Rozpad zakázky'!IW933)</f>
        <v/>
      </c>
      <c r="G917" s="711" t="str">
        <f>IF(A917="","",'Rozpad zakázky'!AE933)</f>
        <v/>
      </c>
      <c r="H917" s="717" t="str">
        <f>IF(A917="","",'Rozpad zakázky'!AJ933)</f>
        <v/>
      </c>
      <c r="I917" s="748" t="str">
        <f>IF(A917="","",'Rozpad zakázky'!Q933)</f>
        <v/>
      </c>
      <c r="J917" s="717" t="str">
        <f>IF(A917="","",ROUNDDOWN('Rozpad zakázky'!L933,1))</f>
        <v/>
      </c>
      <c r="K917" s="745" t="str">
        <f>IF(A917="","",Tabulka_nakup_Vonka[[#This Row],[Počet MJHR v rozpadu]]*Tabulka_nakup_Vonka[[#This Row],[Jedn. hmotnost '[kg/MJHR']]])</f>
        <v/>
      </c>
    </row>
    <row r="918" spans="1:11" x14ac:dyDescent="0.35">
      <c r="A918" s="709" t="str">
        <f>IF('Rozpad zakázky'!E934=0,"",IF('Rozpad zakázky'!E934="-","",'Rozpad zakázky'!E934))</f>
        <v/>
      </c>
      <c r="B918" s="708" t="str">
        <f>IF(A918="","",IF(A918="","",VLOOKUP(A:A,Pomocna_Nakup[],3,0))&amp;" | "&amp;IF(A918="","",VLOOKUP(A:A,Pomocna_Nakup[],4,0)))</f>
        <v/>
      </c>
      <c r="C918" s="710" t="str">
        <f>IF(Tabulka_nakup_Vonka[[#This Row],[Zkratka kalkulační položky]]="","",Tabulka_nakup_Vonka[[#This Row],[Zkratka kalkulační položky]]&amp;" | "&amp;IF(A918="","",VLOOKUP(A:A,Pomocna_Nakup[],2,0)))</f>
        <v/>
      </c>
      <c r="D918" s="710" t="str">
        <f>IF(A918="","",'Rozpad zakázky'!F934)</f>
        <v/>
      </c>
      <c r="E918" s="710" t="str">
        <f>IF(A918="","",'Rozpad zakázky'!D934&amp;IF('Rozpad zakázky'!G934="",""," ("&amp;'Rozpad zakázky'!G934&amp;")"))</f>
        <v/>
      </c>
      <c r="F918" s="709" t="str">
        <f>IF(A918="","",'Rozpad zakázky'!IW934)</f>
        <v/>
      </c>
      <c r="G918" s="711" t="str">
        <f>IF(A918="","",'Rozpad zakázky'!AE934)</f>
        <v/>
      </c>
      <c r="H918" s="717" t="str">
        <f>IF(A918="","",'Rozpad zakázky'!AJ934)</f>
        <v/>
      </c>
      <c r="I918" s="748" t="str">
        <f>IF(A918="","",'Rozpad zakázky'!Q934)</f>
        <v/>
      </c>
      <c r="J918" s="717" t="str">
        <f>IF(A918="","",ROUNDDOWN('Rozpad zakázky'!L934,1))</f>
        <v/>
      </c>
      <c r="K918" s="745" t="str">
        <f>IF(A918="","",Tabulka_nakup_Vonka[[#This Row],[Počet MJHR v rozpadu]]*Tabulka_nakup_Vonka[[#This Row],[Jedn. hmotnost '[kg/MJHR']]])</f>
        <v/>
      </c>
    </row>
    <row r="919" spans="1:11" x14ac:dyDescent="0.35">
      <c r="A919" s="709" t="str">
        <f>IF('Rozpad zakázky'!E935=0,"",IF('Rozpad zakázky'!E935="-","",'Rozpad zakázky'!E935))</f>
        <v/>
      </c>
      <c r="B919" s="708" t="str">
        <f>IF(A919="","",IF(A919="","",VLOOKUP(A:A,Pomocna_Nakup[],3,0))&amp;" | "&amp;IF(A919="","",VLOOKUP(A:A,Pomocna_Nakup[],4,0)))</f>
        <v/>
      </c>
      <c r="C919" s="710" t="str">
        <f>IF(Tabulka_nakup_Vonka[[#This Row],[Zkratka kalkulační položky]]="","",Tabulka_nakup_Vonka[[#This Row],[Zkratka kalkulační položky]]&amp;" | "&amp;IF(A919="","",VLOOKUP(A:A,Pomocna_Nakup[],2,0)))</f>
        <v/>
      </c>
      <c r="D919" s="710" t="str">
        <f>IF(A919="","",'Rozpad zakázky'!F935)</f>
        <v/>
      </c>
      <c r="E919" s="710" t="str">
        <f>IF(A919="","",'Rozpad zakázky'!D935&amp;IF('Rozpad zakázky'!G935="",""," ("&amp;'Rozpad zakázky'!G935&amp;")"))</f>
        <v/>
      </c>
      <c r="F919" s="709" t="str">
        <f>IF(A919="","",'Rozpad zakázky'!IW935)</f>
        <v/>
      </c>
      <c r="G919" s="711" t="str">
        <f>IF(A919="","",'Rozpad zakázky'!AE935)</f>
        <v/>
      </c>
      <c r="H919" s="717" t="str">
        <f>IF(A919="","",'Rozpad zakázky'!AJ935)</f>
        <v/>
      </c>
      <c r="I919" s="748" t="str">
        <f>IF(A919="","",'Rozpad zakázky'!Q935)</f>
        <v/>
      </c>
      <c r="J919" s="717" t="str">
        <f>IF(A919="","",ROUNDDOWN('Rozpad zakázky'!L935,1))</f>
        <v/>
      </c>
      <c r="K919" s="745" t="str">
        <f>IF(A919="","",Tabulka_nakup_Vonka[[#This Row],[Počet MJHR v rozpadu]]*Tabulka_nakup_Vonka[[#This Row],[Jedn. hmotnost '[kg/MJHR']]])</f>
        <v/>
      </c>
    </row>
    <row r="920" spans="1:11" x14ac:dyDescent="0.35">
      <c r="A920" s="709" t="str">
        <f>IF('Rozpad zakázky'!E936=0,"",IF('Rozpad zakázky'!E936="-","",'Rozpad zakázky'!E936))</f>
        <v/>
      </c>
      <c r="B920" s="708" t="str">
        <f>IF(A920="","",IF(A920="","",VLOOKUP(A:A,Pomocna_Nakup[],3,0))&amp;" | "&amp;IF(A920="","",VLOOKUP(A:A,Pomocna_Nakup[],4,0)))</f>
        <v/>
      </c>
      <c r="C920" s="710" t="str">
        <f>IF(Tabulka_nakup_Vonka[[#This Row],[Zkratka kalkulační položky]]="","",Tabulka_nakup_Vonka[[#This Row],[Zkratka kalkulační položky]]&amp;" | "&amp;IF(A920="","",VLOOKUP(A:A,Pomocna_Nakup[],2,0)))</f>
        <v/>
      </c>
      <c r="D920" s="710" t="str">
        <f>IF(A920="","",'Rozpad zakázky'!F936)</f>
        <v/>
      </c>
      <c r="E920" s="710" t="str">
        <f>IF(A920="","",'Rozpad zakázky'!D936&amp;IF('Rozpad zakázky'!G936="",""," ("&amp;'Rozpad zakázky'!G936&amp;")"))</f>
        <v/>
      </c>
      <c r="F920" s="709" t="str">
        <f>IF(A920="","",'Rozpad zakázky'!IW936)</f>
        <v/>
      </c>
      <c r="G920" s="711" t="str">
        <f>IF(A920="","",'Rozpad zakázky'!AE936)</f>
        <v/>
      </c>
      <c r="H920" s="717" t="str">
        <f>IF(A920="","",'Rozpad zakázky'!AJ936)</f>
        <v/>
      </c>
      <c r="I920" s="748" t="str">
        <f>IF(A920="","",'Rozpad zakázky'!Q936)</f>
        <v/>
      </c>
      <c r="J920" s="717" t="str">
        <f>IF(A920="","",ROUNDDOWN('Rozpad zakázky'!L936,1))</f>
        <v/>
      </c>
      <c r="K920" s="745" t="str">
        <f>IF(A920="","",Tabulka_nakup_Vonka[[#This Row],[Počet MJHR v rozpadu]]*Tabulka_nakup_Vonka[[#This Row],[Jedn. hmotnost '[kg/MJHR']]])</f>
        <v/>
      </c>
    </row>
    <row r="921" spans="1:11" x14ac:dyDescent="0.35">
      <c r="A921" s="709" t="str">
        <f>IF('Rozpad zakázky'!E937=0,"",IF('Rozpad zakázky'!E937="-","",'Rozpad zakázky'!E937))</f>
        <v/>
      </c>
      <c r="B921" s="708" t="str">
        <f>IF(A921="","",IF(A921="","",VLOOKUP(A:A,Pomocna_Nakup[],3,0))&amp;" | "&amp;IF(A921="","",VLOOKUP(A:A,Pomocna_Nakup[],4,0)))</f>
        <v/>
      </c>
      <c r="C921" s="710" t="str">
        <f>IF(Tabulka_nakup_Vonka[[#This Row],[Zkratka kalkulační položky]]="","",Tabulka_nakup_Vonka[[#This Row],[Zkratka kalkulační položky]]&amp;" | "&amp;IF(A921="","",VLOOKUP(A:A,Pomocna_Nakup[],2,0)))</f>
        <v/>
      </c>
      <c r="D921" s="710" t="str">
        <f>IF(A921="","",'Rozpad zakázky'!F937)</f>
        <v/>
      </c>
      <c r="E921" s="710" t="str">
        <f>IF(A921="","",'Rozpad zakázky'!D937&amp;IF('Rozpad zakázky'!G937="",""," ("&amp;'Rozpad zakázky'!G937&amp;")"))</f>
        <v/>
      </c>
      <c r="F921" s="709" t="str">
        <f>IF(A921="","",'Rozpad zakázky'!IW937)</f>
        <v/>
      </c>
      <c r="G921" s="711" t="str">
        <f>IF(A921="","",'Rozpad zakázky'!AE937)</f>
        <v/>
      </c>
      <c r="H921" s="717" t="str">
        <f>IF(A921="","",'Rozpad zakázky'!AJ937)</f>
        <v/>
      </c>
      <c r="I921" s="748" t="str">
        <f>IF(A921="","",'Rozpad zakázky'!Q937)</f>
        <v/>
      </c>
      <c r="J921" s="717" t="str">
        <f>IF(A921="","",ROUNDDOWN('Rozpad zakázky'!L937,1))</f>
        <v/>
      </c>
      <c r="K921" s="745" t="str">
        <f>IF(A921="","",Tabulka_nakup_Vonka[[#This Row],[Počet MJHR v rozpadu]]*Tabulka_nakup_Vonka[[#This Row],[Jedn. hmotnost '[kg/MJHR']]])</f>
        <v/>
      </c>
    </row>
    <row r="922" spans="1:11" x14ac:dyDescent="0.35">
      <c r="A922" s="709" t="str">
        <f>IF('Rozpad zakázky'!E938=0,"",IF('Rozpad zakázky'!E938="-","",'Rozpad zakázky'!E938))</f>
        <v/>
      </c>
      <c r="B922" s="708" t="str">
        <f>IF(A922="","",IF(A922="","",VLOOKUP(A:A,Pomocna_Nakup[],3,0))&amp;" | "&amp;IF(A922="","",VLOOKUP(A:A,Pomocna_Nakup[],4,0)))</f>
        <v/>
      </c>
      <c r="C922" s="710" t="str">
        <f>IF(Tabulka_nakup_Vonka[[#This Row],[Zkratka kalkulační položky]]="","",Tabulka_nakup_Vonka[[#This Row],[Zkratka kalkulační položky]]&amp;" | "&amp;IF(A922="","",VLOOKUP(A:A,Pomocna_Nakup[],2,0)))</f>
        <v/>
      </c>
      <c r="D922" s="710" t="str">
        <f>IF(A922="","",'Rozpad zakázky'!F938)</f>
        <v/>
      </c>
      <c r="E922" s="710" t="str">
        <f>IF(A922="","",'Rozpad zakázky'!D938&amp;IF('Rozpad zakázky'!G938="",""," ("&amp;'Rozpad zakázky'!G938&amp;")"))</f>
        <v/>
      </c>
      <c r="F922" s="709" t="str">
        <f>IF(A922="","",'Rozpad zakázky'!IW938)</f>
        <v/>
      </c>
      <c r="G922" s="711" t="str">
        <f>IF(A922="","",'Rozpad zakázky'!AE938)</f>
        <v/>
      </c>
      <c r="H922" s="717" t="str">
        <f>IF(A922="","",'Rozpad zakázky'!AJ938)</f>
        <v/>
      </c>
      <c r="I922" s="748" t="str">
        <f>IF(A922="","",'Rozpad zakázky'!Q938)</f>
        <v/>
      </c>
      <c r="J922" s="717" t="str">
        <f>IF(A922="","",ROUNDDOWN('Rozpad zakázky'!L938,1))</f>
        <v/>
      </c>
      <c r="K922" s="745" t="str">
        <f>IF(A922="","",Tabulka_nakup_Vonka[[#This Row],[Počet MJHR v rozpadu]]*Tabulka_nakup_Vonka[[#This Row],[Jedn. hmotnost '[kg/MJHR']]])</f>
        <v/>
      </c>
    </row>
    <row r="923" spans="1:11" x14ac:dyDescent="0.35">
      <c r="A923" s="709" t="str">
        <f>IF('Rozpad zakázky'!E939=0,"",IF('Rozpad zakázky'!E939="-","",'Rozpad zakázky'!E939))</f>
        <v/>
      </c>
      <c r="B923" s="708" t="str">
        <f>IF(A923="","",IF(A923="","",VLOOKUP(A:A,Pomocna_Nakup[],3,0))&amp;" | "&amp;IF(A923="","",VLOOKUP(A:A,Pomocna_Nakup[],4,0)))</f>
        <v/>
      </c>
      <c r="C923" s="710" t="str">
        <f>IF(Tabulka_nakup_Vonka[[#This Row],[Zkratka kalkulační položky]]="","",Tabulka_nakup_Vonka[[#This Row],[Zkratka kalkulační položky]]&amp;" | "&amp;IF(A923="","",VLOOKUP(A:A,Pomocna_Nakup[],2,0)))</f>
        <v/>
      </c>
      <c r="D923" s="710" t="str">
        <f>IF(A923="","",'Rozpad zakázky'!F939)</f>
        <v/>
      </c>
      <c r="E923" s="710" t="str">
        <f>IF(A923="","",'Rozpad zakázky'!D939&amp;IF('Rozpad zakázky'!G939="",""," ("&amp;'Rozpad zakázky'!G939&amp;")"))</f>
        <v/>
      </c>
      <c r="F923" s="709" t="str">
        <f>IF(A923="","",'Rozpad zakázky'!IW939)</f>
        <v/>
      </c>
      <c r="G923" s="711" t="str">
        <f>IF(A923="","",'Rozpad zakázky'!AE939)</f>
        <v/>
      </c>
      <c r="H923" s="717" t="str">
        <f>IF(A923="","",'Rozpad zakázky'!AJ939)</f>
        <v/>
      </c>
      <c r="I923" s="748" t="str">
        <f>IF(A923="","",'Rozpad zakázky'!Q939)</f>
        <v/>
      </c>
      <c r="J923" s="717" t="str">
        <f>IF(A923="","",ROUNDDOWN('Rozpad zakázky'!L939,1))</f>
        <v/>
      </c>
      <c r="K923" s="745" t="str">
        <f>IF(A923="","",Tabulka_nakup_Vonka[[#This Row],[Počet MJHR v rozpadu]]*Tabulka_nakup_Vonka[[#This Row],[Jedn. hmotnost '[kg/MJHR']]])</f>
        <v/>
      </c>
    </row>
    <row r="924" spans="1:11" x14ac:dyDescent="0.35">
      <c r="A924" s="709" t="str">
        <f>IF('Rozpad zakázky'!E940=0,"",IF('Rozpad zakázky'!E940="-","",'Rozpad zakázky'!E940))</f>
        <v/>
      </c>
      <c r="B924" s="708" t="str">
        <f>IF(A924="","",IF(A924="","",VLOOKUP(A:A,Pomocna_Nakup[],3,0))&amp;" | "&amp;IF(A924="","",VLOOKUP(A:A,Pomocna_Nakup[],4,0)))</f>
        <v/>
      </c>
      <c r="C924" s="710" t="str">
        <f>IF(Tabulka_nakup_Vonka[[#This Row],[Zkratka kalkulační položky]]="","",Tabulka_nakup_Vonka[[#This Row],[Zkratka kalkulační položky]]&amp;" | "&amp;IF(A924="","",VLOOKUP(A:A,Pomocna_Nakup[],2,0)))</f>
        <v/>
      </c>
      <c r="D924" s="710" t="str">
        <f>IF(A924="","",'Rozpad zakázky'!F940)</f>
        <v/>
      </c>
      <c r="E924" s="710" t="str">
        <f>IF(A924="","",'Rozpad zakázky'!D940&amp;IF('Rozpad zakázky'!G940="",""," ("&amp;'Rozpad zakázky'!G940&amp;")"))</f>
        <v/>
      </c>
      <c r="F924" s="709" t="str">
        <f>IF(A924="","",'Rozpad zakázky'!IW940)</f>
        <v/>
      </c>
      <c r="G924" s="711" t="str">
        <f>IF(A924="","",'Rozpad zakázky'!AE940)</f>
        <v/>
      </c>
      <c r="H924" s="717" t="str">
        <f>IF(A924="","",'Rozpad zakázky'!AJ940)</f>
        <v/>
      </c>
      <c r="I924" s="748" t="str">
        <f>IF(A924="","",'Rozpad zakázky'!Q940)</f>
        <v/>
      </c>
      <c r="J924" s="717" t="str">
        <f>IF(A924="","",ROUNDDOWN('Rozpad zakázky'!L940,1))</f>
        <v/>
      </c>
      <c r="K924" s="745" t="str">
        <f>IF(A924="","",Tabulka_nakup_Vonka[[#This Row],[Počet MJHR v rozpadu]]*Tabulka_nakup_Vonka[[#This Row],[Jedn. hmotnost '[kg/MJHR']]])</f>
        <v/>
      </c>
    </row>
    <row r="925" spans="1:11" x14ac:dyDescent="0.35">
      <c r="A925" s="709" t="str">
        <f>IF('Rozpad zakázky'!E941=0,"",IF('Rozpad zakázky'!E941="-","",'Rozpad zakázky'!E941))</f>
        <v/>
      </c>
      <c r="B925" s="708" t="str">
        <f>IF(A925="","",IF(A925="","",VLOOKUP(A:A,Pomocna_Nakup[],3,0))&amp;" | "&amp;IF(A925="","",VLOOKUP(A:A,Pomocna_Nakup[],4,0)))</f>
        <v/>
      </c>
      <c r="C925" s="710" t="str">
        <f>IF(Tabulka_nakup_Vonka[[#This Row],[Zkratka kalkulační položky]]="","",Tabulka_nakup_Vonka[[#This Row],[Zkratka kalkulační položky]]&amp;" | "&amp;IF(A925="","",VLOOKUP(A:A,Pomocna_Nakup[],2,0)))</f>
        <v/>
      </c>
      <c r="D925" s="710" t="str">
        <f>IF(A925="","",'Rozpad zakázky'!F941)</f>
        <v/>
      </c>
      <c r="E925" s="710" t="str">
        <f>IF(A925="","",'Rozpad zakázky'!D941&amp;IF('Rozpad zakázky'!G941="",""," ("&amp;'Rozpad zakázky'!G941&amp;")"))</f>
        <v/>
      </c>
      <c r="F925" s="709" t="str">
        <f>IF(A925="","",'Rozpad zakázky'!IW941)</f>
        <v/>
      </c>
      <c r="G925" s="711" t="str">
        <f>IF(A925="","",'Rozpad zakázky'!AE941)</f>
        <v/>
      </c>
      <c r="H925" s="717" t="str">
        <f>IF(A925="","",'Rozpad zakázky'!AJ941)</f>
        <v/>
      </c>
      <c r="I925" s="748" t="str">
        <f>IF(A925="","",'Rozpad zakázky'!Q941)</f>
        <v/>
      </c>
      <c r="J925" s="717" t="str">
        <f>IF(A925="","",ROUNDDOWN('Rozpad zakázky'!L941,1))</f>
        <v/>
      </c>
      <c r="K925" s="745" t="str">
        <f>IF(A925="","",Tabulka_nakup_Vonka[[#This Row],[Počet MJHR v rozpadu]]*Tabulka_nakup_Vonka[[#This Row],[Jedn. hmotnost '[kg/MJHR']]])</f>
        <v/>
      </c>
    </row>
    <row r="926" spans="1:11" x14ac:dyDescent="0.35">
      <c r="A926" s="709" t="str">
        <f>IF('Rozpad zakázky'!E942=0,"",IF('Rozpad zakázky'!E942="-","",'Rozpad zakázky'!E942))</f>
        <v/>
      </c>
      <c r="B926" s="708" t="str">
        <f>IF(A926="","",IF(A926="","",VLOOKUP(A:A,Pomocna_Nakup[],3,0))&amp;" | "&amp;IF(A926="","",VLOOKUP(A:A,Pomocna_Nakup[],4,0)))</f>
        <v/>
      </c>
      <c r="C926" s="710" t="str">
        <f>IF(Tabulka_nakup_Vonka[[#This Row],[Zkratka kalkulační položky]]="","",Tabulka_nakup_Vonka[[#This Row],[Zkratka kalkulační položky]]&amp;" | "&amp;IF(A926="","",VLOOKUP(A:A,Pomocna_Nakup[],2,0)))</f>
        <v/>
      </c>
      <c r="D926" s="710" t="str">
        <f>IF(A926="","",'Rozpad zakázky'!F942)</f>
        <v/>
      </c>
      <c r="E926" s="710" t="str">
        <f>IF(A926="","",'Rozpad zakázky'!D942&amp;IF('Rozpad zakázky'!G942="",""," ("&amp;'Rozpad zakázky'!G942&amp;")"))</f>
        <v/>
      </c>
      <c r="F926" s="709" t="str">
        <f>IF(A926="","",'Rozpad zakázky'!IW942)</f>
        <v/>
      </c>
      <c r="G926" s="711" t="str">
        <f>IF(A926="","",'Rozpad zakázky'!AE942)</f>
        <v/>
      </c>
      <c r="H926" s="717" t="str">
        <f>IF(A926="","",'Rozpad zakázky'!AJ942)</f>
        <v/>
      </c>
      <c r="I926" s="748" t="str">
        <f>IF(A926="","",'Rozpad zakázky'!Q942)</f>
        <v/>
      </c>
      <c r="J926" s="717" t="str">
        <f>IF(A926="","",ROUNDDOWN('Rozpad zakázky'!L942,1))</f>
        <v/>
      </c>
      <c r="K926" s="745" t="str">
        <f>IF(A926="","",Tabulka_nakup_Vonka[[#This Row],[Počet MJHR v rozpadu]]*Tabulka_nakup_Vonka[[#This Row],[Jedn. hmotnost '[kg/MJHR']]])</f>
        <v/>
      </c>
    </row>
    <row r="927" spans="1:11" x14ac:dyDescent="0.35">
      <c r="A927" s="709" t="str">
        <f>IF('Rozpad zakázky'!E943=0,"",IF('Rozpad zakázky'!E943="-","",'Rozpad zakázky'!E943))</f>
        <v/>
      </c>
      <c r="B927" s="708" t="str">
        <f>IF(A927="","",IF(A927="","",VLOOKUP(A:A,Pomocna_Nakup[],3,0))&amp;" | "&amp;IF(A927="","",VLOOKUP(A:A,Pomocna_Nakup[],4,0)))</f>
        <v/>
      </c>
      <c r="C927" s="710" t="str">
        <f>IF(Tabulka_nakup_Vonka[[#This Row],[Zkratka kalkulační položky]]="","",Tabulka_nakup_Vonka[[#This Row],[Zkratka kalkulační položky]]&amp;" | "&amp;IF(A927="","",VLOOKUP(A:A,Pomocna_Nakup[],2,0)))</f>
        <v/>
      </c>
      <c r="D927" s="710" t="str">
        <f>IF(A927="","",'Rozpad zakázky'!F943)</f>
        <v/>
      </c>
      <c r="E927" s="710" t="str">
        <f>IF(A927="","",'Rozpad zakázky'!D943&amp;IF('Rozpad zakázky'!G943="",""," ("&amp;'Rozpad zakázky'!G943&amp;")"))</f>
        <v/>
      </c>
      <c r="F927" s="709" t="str">
        <f>IF(A927="","",'Rozpad zakázky'!IW943)</f>
        <v/>
      </c>
      <c r="G927" s="711" t="str">
        <f>IF(A927="","",'Rozpad zakázky'!AE943)</f>
        <v/>
      </c>
      <c r="H927" s="717" t="str">
        <f>IF(A927="","",'Rozpad zakázky'!AJ943)</f>
        <v/>
      </c>
      <c r="I927" s="748" t="str">
        <f>IF(A927="","",'Rozpad zakázky'!Q943)</f>
        <v/>
      </c>
      <c r="J927" s="717" t="str">
        <f>IF(A927="","",ROUNDDOWN('Rozpad zakázky'!L943,1))</f>
        <v/>
      </c>
      <c r="K927" s="745" t="str">
        <f>IF(A927="","",Tabulka_nakup_Vonka[[#This Row],[Počet MJHR v rozpadu]]*Tabulka_nakup_Vonka[[#This Row],[Jedn. hmotnost '[kg/MJHR']]])</f>
        <v/>
      </c>
    </row>
    <row r="928" spans="1:11" x14ac:dyDescent="0.35">
      <c r="A928" s="709" t="str">
        <f>IF('Rozpad zakázky'!E944=0,"",IF('Rozpad zakázky'!E944="-","",'Rozpad zakázky'!E944))</f>
        <v/>
      </c>
      <c r="B928" s="708" t="str">
        <f>IF(A928="","",IF(A928="","",VLOOKUP(A:A,Pomocna_Nakup[],3,0))&amp;" | "&amp;IF(A928="","",VLOOKUP(A:A,Pomocna_Nakup[],4,0)))</f>
        <v/>
      </c>
      <c r="C928" s="710" t="str">
        <f>IF(Tabulka_nakup_Vonka[[#This Row],[Zkratka kalkulační položky]]="","",Tabulka_nakup_Vonka[[#This Row],[Zkratka kalkulační položky]]&amp;" | "&amp;IF(A928="","",VLOOKUP(A:A,Pomocna_Nakup[],2,0)))</f>
        <v/>
      </c>
      <c r="D928" s="710" t="str">
        <f>IF(A928="","",'Rozpad zakázky'!F944)</f>
        <v/>
      </c>
      <c r="E928" s="710" t="str">
        <f>IF(A928="","",'Rozpad zakázky'!D944&amp;IF('Rozpad zakázky'!G944="",""," ("&amp;'Rozpad zakázky'!G944&amp;")"))</f>
        <v/>
      </c>
      <c r="F928" s="709" t="str">
        <f>IF(A928="","",'Rozpad zakázky'!IW944)</f>
        <v/>
      </c>
      <c r="G928" s="711" t="str">
        <f>IF(A928="","",'Rozpad zakázky'!AE944)</f>
        <v/>
      </c>
      <c r="H928" s="717" t="str">
        <f>IF(A928="","",'Rozpad zakázky'!AJ944)</f>
        <v/>
      </c>
      <c r="I928" s="748" t="str">
        <f>IF(A928="","",'Rozpad zakázky'!Q944)</f>
        <v/>
      </c>
      <c r="J928" s="717" t="str">
        <f>IF(A928="","",ROUNDDOWN('Rozpad zakázky'!L944,1))</f>
        <v/>
      </c>
      <c r="K928" s="745" t="str">
        <f>IF(A928="","",Tabulka_nakup_Vonka[[#This Row],[Počet MJHR v rozpadu]]*Tabulka_nakup_Vonka[[#This Row],[Jedn. hmotnost '[kg/MJHR']]])</f>
        <v/>
      </c>
    </row>
    <row r="929" spans="1:11" x14ac:dyDescent="0.35">
      <c r="A929" s="709" t="str">
        <f>IF('Rozpad zakázky'!E945=0,"",IF('Rozpad zakázky'!E945="-","",'Rozpad zakázky'!E945))</f>
        <v/>
      </c>
      <c r="B929" s="708" t="str">
        <f>IF(A929="","",IF(A929="","",VLOOKUP(A:A,Pomocna_Nakup[],3,0))&amp;" | "&amp;IF(A929="","",VLOOKUP(A:A,Pomocna_Nakup[],4,0)))</f>
        <v/>
      </c>
      <c r="C929" s="710" t="str">
        <f>IF(Tabulka_nakup_Vonka[[#This Row],[Zkratka kalkulační položky]]="","",Tabulka_nakup_Vonka[[#This Row],[Zkratka kalkulační položky]]&amp;" | "&amp;IF(A929="","",VLOOKUP(A:A,Pomocna_Nakup[],2,0)))</f>
        <v/>
      </c>
      <c r="D929" s="710" t="str">
        <f>IF(A929="","",'Rozpad zakázky'!F945)</f>
        <v/>
      </c>
      <c r="E929" s="710" t="str">
        <f>IF(A929="","",'Rozpad zakázky'!D945&amp;IF('Rozpad zakázky'!G945="",""," ("&amp;'Rozpad zakázky'!G945&amp;")"))</f>
        <v/>
      </c>
      <c r="F929" s="709" t="str">
        <f>IF(A929="","",'Rozpad zakázky'!IW945)</f>
        <v/>
      </c>
      <c r="G929" s="711" t="str">
        <f>IF(A929="","",'Rozpad zakázky'!AE945)</f>
        <v/>
      </c>
      <c r="H929" s="717" t="str">
        <f>IF(A929="","",'Rozpad zakázky'!AJ945)</f>
        <v/>
      </c>
      <c r="I929" s="748" t="str">
        <f>IF(A929="","",'Rozpad zakázky'!Q945)</f>
        <v/>
      </c>
      <c r="J929" s="717" t="str">
        <f>IF(A929="","",ROUNDDOWN('Rozpad zakázky'!L945,1))</f>
        <v/>
      </c>
      <c r="K929" s="745" t="str">
        <f>IF(A929="","",Tabulka_nakup_Vonka[[#This Row],[Počet MJHR v rozpadu]]*Tabulka_nakup_Vonka[[#This Row],[Jedn. hmotnost '[kg/MJHR']]])</f>
        <v/>
      </c>
    </row>
    <row r="930" spans="1:11" x14ac:dyDescent="0.35">
      <c r="A930" s="709" t="str">
        <f>IF('Rozpad zakázky'!E946=0,"",IF('Rozpad zakázky'!E946="-","",'Rozpad zakázky'!E946))</f>
        <v/>
      </c>
      <c r="B930" s="708" t="str">
        <f>IF(A930="","",IF(A930="","",VLOOKUP(A:A,Pomocna_Nakup[],3,0))&amp;" | "&amp;IF(A930="","",VLOOKUP(A:A,Pomocna_Nakup[],4,0)))</f>
        <v/>
      </c>
      <c r="C930" s="710" t="str">
        <f>IF(Tabulka_nakup_Vonka[[#This Row],[Zkratka kalkulační položky]]="","",Tabulka_nakup_Vonka[[#This Row],[Zkratka kalkulační položky]]&amp;" | "&amp;IF(A930="","",VLOOKUP(A:A,Pomocna_Nakup[],2,0)))</f>
        <v/>
      </c>
      <c r="D930" s="710" t="str">
        <f>IF(A930="","",'Rozpad zakázky'!F946)</f>
        <v/>
      </c>
      <c r="E930" s="710" t="str">
        <f>IF(A930="","",'Rozpad zakázky'!D946&amp;IF('Rozpad zakázky'!G946="",""," ("&amp;'Rozpad zakázky'!G946&amp;")"))</f>
        <v/>
      </c>
      <c r="F930" s="709" t="str">
        <f>IF(A930="","",'Rozpad zakázky'!IW946)</f>
        <v/>
      </c>
      <c r="G930" s="711" t="str">
        <f>IF(A930="","",'Rozpad zakázky'!AE946)</f>
        <v/>
      </c>
      <c r="H930" s="717" t="str">
        <f>IF(A930="","",'Rozpad zakázky'!AJ946)</f>
        <v/>
      </c>
      <c r="I930" s="748" t="str">
        <f>IF(A930="","",'Rozpad zakázky'!Q946)</f>
        <v/>
      </c>
      <c r="J930" s="717" t="str">
        <f>IF(A930="","",ROUNDDOWN('Rozpad zakázky'!L946,1))</f>
        <v/>
      </c>
      <c r="K930" s="745" t="str">
        <f>IF(A930="","",Tabulka_nakup_Vonka[[#This Row],[Počet MJHR v rozpadu]]*Tabulka_nakup_Vonka[[#This Row],[Jedn. hmotnost '[kg/MJHR']]])</f>
        <v/>
      </c>
    </row>
    <row r="931" spans="1:11" x14ac:dyDescent="0.35">
      <c r="A931" s="709" t="str">
        <f>IF('Rozpad zakázky'!E947=0,"",IF('Rozpad zakázky'!E947="-","",'Rozpad zakázky'!E947))</f>
        <v/>
      </c>
      <c r="B931" s="708" t="str">
        <f>IF(A931="","",IF(A931="","",VLOOKUP(A:A,Pomocna_Nakup[],3,0))&amp;" | "&amp;IF(A931="","",VLOOKUP(A:A,Pomocna_Nakup[],4,0)))</f>
        <v/>
      </c>
      <c r="C931" s="710" t="str">
        <f>IF(Tabulka_nakup_Vonka[[#This Row],[Zkratka kalkulační položky]]="","",Tabulka_nakup_Vonka[[#This Row],[Zkratka kalkulační položky]]&amp;" | "&amp;IF(A931="","",VLOOKUP(A:A,Pomocna_Nakup[],2,0)))</f>
        <v/>
      </c>
      <c r="D931" s="710" t="str">
        <f>IF(A931="","",'Rozpad zakázky'!F947)</f>
        <v/>
      </c>
      <c r="E931" s="710" t="str">
        <f>IF(A931="","",'Rozpad zakázky'!D947&amp;IF('Rozpad zakázky'!G947="",""," ("&amp;'Rozpad zakázky'!G947&amp;")"))</f>
        <v/>
      </c>
      <c r="F931" s="709" t="str">
        <f>IF(A931="","",'Rozpad zakázky'!IW947)</f>
        <v/>
      </c>
      <c r="G931" s="711" t="str">
        <f>IF(A931="","",'Rozpad zakázky'!AE947)</f>
        <v/>
      </c>
      <c r="H931" s="717" t="str">
        <f>IF(A931="","",'Rozpad zakázky'!AJ947)</f>
        <v/>
      </c>
      <c r="I931" s="748" t="str">
        <f>IF(A931="","",'Rozpad zakázky'!Q947)</f>
        <v/>
      </c>
      <c r="J931" s="717" t="str">
        <f>IF(A931="","",ROUNDDOWN('Rozpad zakázky'!L947,1))</f>
        <v/>
      </c>
      <c r="K931" s="745" t="str">
        <f>IF(A931="","",Tabulka_nakup_Vonka[[#This Row],[Počet MJHR v rozpadu]]*Tabulka_nakup_Vonka[[#This Row],[Jedn. hmotnost '[kg/MJHR']]])</f>
        <v/>
      </c>
    </row>
    <row r="932" spans="1:11" x14ac:dyDescent="0.35">
      <c r="A932" s="709" t="str">
        <f>IF('Rozpad zakázky'!E948=0,"",IF('Rozpad zakázky'!E948="-","",'Rozpad zakázky'!E948))</f>
        <v/>
      </c>
      <c r="B932" s="708" t="str">
        <f>IF(A932="","",IF(A932="","",VLOOKUP(A:A,Pomocna_Nakup[],3,0))&amp;" | "&amp;IF(A932="","",VLOOKUP(A:A,Pomocna_Nakup[],4,0)))</f>
        <v/>
      </c>
      <c r="C932" s="710" t="str">
        <f>IF(Tabulka_nakup_Vonka[[#This Row],[Zkratka kalkulační položky]]="","",Tabulka_nakup_Vonka[[#This Row],[Zkratka kalkulační položky]]&amp;" | "&amp;IF(A932="","",VLOOKUP(A:A,Pomocna_Nakup[],2,0)))</f>
        <v/>
      </c>
      <c r="D932" s="710" t="str">
        <f>IF(A932="","",'Rozpad zakázky'!F948)</f>
        <v/>
      </c>
      <c r="E932" s="710" t="str">
        <f>IF(A932="","",'Rozpad zakázky'!D948&amp;IF('Rozpad zakázky'!G948="",""," ("&amp;'Rozpad zakázky'!G948&amp;")"))</f>
        <v/>
      </c>
      <c r="F932" s="709" t="str">
        <f>IF(A932="","",'Rozpad zakázky'!IW948)</f>
        <v/>
      </c>
      <c r="G932" s="711" t="str">
        <f>IF(A932="","",'Rozpad zakázky'!AE948)</f>
        <v/>
      </c>
      <c r="H932" s="717" t="str">
        <f>IF(A932="","",'Rozpad zakázky'!AJ948)</f>
        <v/>
      </c>
      <c r="I932" s="748" t="str">
        <f>IF(A932="","",'Rozpad zakázky'!Q948)</f>
        <v/>
      </c>
      <c r="J932" s="717" t="str">
        <f>IF(A932="","",ROUNDDOWN('Rozpad zakázky'!L948,1))</f>
        <v/>
      </c>
      <c r="K932" s="745" t="str">
        <f>IF(A932="","",Tabulka_nakup_Vonka[[#This Row],[Počet MJHR v rozpadu]]*Tabulka_nakup_Vonka[[#This Row],[Jedn. hmotnost '[kg/MJHR']]])</f>
        <v/>
      </c>
    </row>
    <row r="933" spans="1:11" x14ac:dyDescent="0.35">
      <c r="A933" s="709" t="str">
        <f>IF('Rozpad zakázky'!E949=0,"",IF('Rozpad zakázky'!E949="-","",'Rozpad zakázky'!E949))</f>
        <v/>
      </c>
      <c r="B933" s="708" t="str">
        <f>IF(A933="","",IF(A933="","",VLOOKUP(A:A,Pomocna_Nakup[],3,0))&amp;" | "&amp;IF(A933="","",VLOOKUP(A:A,Pomocna_Nakup[],4,0)))</f>
        <v/>
      </c>
      <c r="C933" s="710" t="str">
        <f>IF(Tabulka_nakup_Vonka[[#This Row],[Zkratka kalkulační položky]]="","",Tabulka_nakup_Vonka[[#This Row],[Zkratka kalkulační položky]]&amp;" | "&amp;IF(A933="","",VLOOKUP(A:A,Pomocna_Nakup[],2,0)))</f>
        <v/>
      </c>
      <c r="D933" s="710" t="str">
        <f>IF(A933="","",'Rozpad zakázky'!F949)</f>
        <v/>
      </c>
      <c r="E933" s="710" t="str">
        <f>IF(A933="","",'Rozpad zakázky'!D949&amp;IF('Rozpad zakázky'!G949="",""," ("&amp;'Rozpad zakázky'!G949&amp;")"))</f>
        <v/>
      </c>
      <c r="F933" s="709" t="str">
        <f>IF(A933="","",'Rozpad zakázky'!IW949)</f>
        <v/>
      </c>
      <c r="G933" s="711" t="str">
        <f>IF(A933="","",'Rozpad zakázky'!AE949)</f>
        <v/>
      </c>
      <c r="H933" s="717" t="str">
        <f>IF(A933="","",'Rozpad zakázky'!AJ949)</f>
        <v/>
      </c>
      <c r="I933" s="748" t="str">
        <f>IF(A933="","",'Rozpad zakázky'!Q949)</f>
        <v/>
      </c>
      <c r="J933" s="717" t="str">
        <f>IF(A933="","",ROUNDDOWN('Rozpad zakázky'!L949,1))</f>
        <v/>
      </c>
      <c r="K933" s="745" t="str">
        <f>IF(A933="","",Tabulka_nakup_Vonka[[#This Row],[Počet MJHR v rozpadu]]*Tabulka_nakup_Vonka[[#This Row],[Jedn. hmotnost '[kg/MJHR']]])</f>
        <v/>
      </c>
    </row>
    <row r="934" spans="1:11" x14ac:dyDescent="0.35">
      <c r="A934" s="709" t="str">
        <f>IF('Rozpad zakázky'!E950=0,"",IF('Rozpad zakázky'!E950="-","",'Rozpad zakázky'!E950))</f>
        <v/>
      </c>
      <c r="B934" s="708" t="str">
        <f>IF(A934="","",IF(A934="","",VLOOKUP(A:A,Pomocna_Nakup[],3,0))&amp;" | "&amp;IF(A934="","",VLOOKUP(A:A,Pomocna_Nakup[],4,0)))</f>
        <v/>
      </c>
      <c r="C934" s="710" t="str">
        <f>IF(Tabulka_nakup_Vonka[[#This Row],[Zkratka kalkulační položky]]="","",Tabulka_nakup_Vonka[[#This Row],[Zkratka kalkulační položky]]&amp;" | "&amp;IF(A934="","",VLOOKUP(A:A,Pomocna_Nakup[],2,0)))</f>
        <v/>
      </c>
      <c r="D934" s="710" t="str">
        <f>IF(A934="","",'Rozpad zakázky'!F950)</f>
        <v/>
      </c>
      <c r="E934" s="710" t="str">
        <f>IF(A934="","",'Rozpad zakázky'!D950&amp;IF('Rozpad zakázky'!G950="",""," ("&amp;'Rozpad zakázky'!G950&amp;")"))</f>
        <v/>
      </c>
      <c r="F934" s="709" t="str">
        <f>IF(A934="","",'Rozpad zakázky'!IW950)</f>
        <v/>
      </c>
      <c r="G934" s="711" t="str">
        <f>IF(A934="","",'Rozpad zakázky'!AE950)</f>
        <v/>
      </c>
      <c r="H934" s="717" t="str">
        <f>IF(A934="","",'Rozpad zakázky'!AJ950)</f>
        <v/>
      </c>
      <c r="I934" s="748" t="str">
        <f>IF(A934="","",'Rozpad zakázky'!Q950)</f>
        <v/>
      </c>
      <c r="J934" s="717" t="str">
        <f>IF(A934="","",ROUNDDOWN('Rozpad zakázky'!L950,1))</f>
        <v/>
      </c>
      <c r="K934" s="745" t="str">
        <f>IF(A934="","",Tabulka_nakup_Vonka[[#This Row],[Počet MJHR v rozpadu]]*Tabulka_nakup_Vonka[[#This Row],[Jedn. hmotnost '[kg/MJHR']]])</f>
        <v/>
      </c>
    </row>
    <row r="935" spans="1:11" x14ac:dyDescent="0.35">
      <c r="A935" s="709" t="str">
        <f>IF('Rozpad zakázky'!E951=0,"",IF('Rozpad zakázky'!E951="-","",'Rozpad zakázky'!E951))</f>
        <v/>
      </c>
      <c r="B935" s="708" t="str">
        <f>IF(A935="","",IF(A935="","",VLOOKUP(A:A,Pomocna_Nakup[],3,0))&amp;" | "&amp;IF(A935="","",VLOOKUP(A:A,Pomocna_Nakup[],4,0)))</f>
        <v/>
      </c>
      <c r="C935" s="710" t="str">
        <f>IF(Tabulka_nakup_Vonka[[#This Row],[Zkratka kalkulační položky]]="","",Tabulka_nakup_Vonka[[#This Row],[Zkratka kalkulační položky]]&amp;" | "&amp;IF(A935="","",VLOOKUP(A:A,Pomocna_Nakup[],2,0)))</f>
        <v/>
      </c>
      <c r="D935" s="710" t="str">
        <f>IF(A935="","",'Rozpad zakázky'!F951)</f>
        <v/>
      </c>
      <c r="E935" s="710" t="str">
        <f>IF(A935="","",'Rozpad zakázky'!D951&amp;IF('Rozpad zakázky'!G951="",""," ("&amp;'Rozpad zakázky'!G951&amp;")"))</f>
        <v/>
      </c>
      <c r="F935" s="709" t="str">
        <f>IF(A935="","",'Rozpad zakázky'!IW951)</f>
        <v/>
      </c>
      <c r="G935" s="711" t="str">
        <f>IF(A935="","",'Rozpad zakázky'!AE951)</f>
        <v/>
      </c>
      <c r="H935" s="717" t="str">
        <f>IF(A935="","",'Rozpad zakázky'!AJ951)</f>
        <v/>
      </c>
      <c r="I935" s="748" t="str">
        <f>IF(A935="","",'Rozpad zakázky'!Q951)</f>
        <v/>
      </c>
      <c r="J935" s="717" t="str">
        <f>IF(A935="","",ROUNDDOWN('Rozpad zakázky'!L951,1))</f>
        <v/>
      </c>
      <c r="K935" s="745" t="str">
        <f>IF(A935="","",Tabulka_nakup_Vonka[[#This Row],[Počet MJHR v rozpadu]]*Tabulka_nakup_Vonka[[#This Row],[Jedn. hmotnost '[kg/MJHR']]])</f>
        <v/>
      </c>
    </row>
    <row r="936" spans="1:11" x14ac:dyDescent="0.35">
      <c r="A936" s="709" t="str">
        <f>IF('Rozpad zakázky'!E952=0,"",IF('Rozpad zakázky'!E952="-","",'Rozpad zakázky'!E952))</f>
        <v/>
      </c>
      <c r="B936" s="708" t="str">
        <f>IF(A936="","",IF(A936="","",VLOOKUP(A:A,Pomocna_Nakup[],3,0))&amp;" | "&amp;IF(A936="","",VLOOKUP(A:A,Pomocna_Nakup[],4,0)))</f>
        <v/>
      </c>
      <c r="C936" s="710" t="str">
        <f>IF(Tabulka_nakup_Vonka[[#This Row],[Zkratka kalkulační položky]]="","",Tabulka_nakup_Vonka[[#This Row],[Zkratka kalkulační položky]]&amp;" | "&amp;IF(A936="","",VLOOKUP(A:A,Pomocna_Nakup[],2,0)))</f>
        <v/>
      </c>
      <c r="D936" s="710" t="str">
        <f>IF(A936="","",'Rozpad zakázky'!F952)</f>
        <v/>
      </c>
      <c r="E936" s="710" t="str">
        <f>IF(A936="","",'Rozpad zakázky'!D952&amp;IF('Rozpad zakázky'!G952="",""," ("&amp;'Rozpad zakázky'!G952&amp;")"))</f>
        <v/>
      </c>
      <c r="F936" s="709" t="str">
        <f>IF(A936="","",'Rozpad zakázky'!IW952)</f>
        <v/>
      </c>
      <c r="G936" s="711" t="str">
        <f>IF(A936="","",'Rozpad zakázky'!AE952)</f>
        <v/>
      </c>
      <c r="H936" s="717" t="str">
        <f>IF(A936="","",'Rozpad zakázky'!AJ952)</f>
        <v/>
      </c>
      <c r="I936" s="748" t="str">
        <f>IF(A936="","",'Rozpad zakázky'!Q952)</f>
        <v/>
      </c>
      <c r="J936" s="717" t="str">
        <f>IF(A936="","",ROUNDDOWN('Rozpad zakázky'!L952,1))</f>
        <v/>
      </c>
      <c r="K936" s="745" t="str">
        <f>IF(A936="","",Tabulka_nakup_Vonka[[#This Row],[Počet MJHR v rozpadu]]*Tabulka_nakup_Vonka[[#This Row],[Jedn. hmotnost '[kg/MJHR']]])</f>
        <v/>
      </c>
    </row>
    <row r="937" spans="1:11" x14ac:dyDescent="0.35">
      <c r="A937" s="709" t="str">
        <f>IF('Rozpad zakázky'!E953=0,"",IF('Rozpad zakázky'!E953="-","",'Rozpad zakázky'!E953))</f>
        <v/>
      </c>
      <c r="B937" s="708" t="str">
        <f>IF(A937="","",IF(A937="","",VLOOKUP(A:A,Pomocna_Nakup[],3,0))&amp;" | "&amp;IF(A937="","",VLOOKUP(A:A,Pomocna_Nakup[],4,0)))</f>
        <v/>
      </c>
      <c r="C937" s="710" t="str">
        <f>IF(Tabulka_nakup_Vonka[[#This Row],[Zkratka kalkulační položky]]="","",Tabulka_nakup_Vonka[[#This Row],[Zkratka kalkulační položky]]&amp;" | "&amp;IF(A937="","",VLOOKUP(A:A,Pomocna_Nakup[],2,0)))</f>
        <v/>
      </c>
      <c r="D937" s="710" t="str">
        <f>IF(A937="","",'Rozpad zakázky'!F953)</f>
        <v/>
      </c>
      <c r="E937" s="710" t="str">
        <f>IF(A937="","",'Rozpad zakázky'!D953&amp;IF('Rozpad zakázky'!G953="",""," ("&amp;'Rozpad zakázky'!G953&amp;")"))</f>
        <v/>
      </c>
      <c r="F937" s="709" t="str">
        <f>IF(A937="","",'Rozpad zakázky'!IW953)</f>
        <v/>
      </c>
      <c r="G937" s="711" t="str">
        <f>IF(A937="","",'Rozpad zakázky'!AE953)</f>
        <v/>
      </c>
      <c r="H937" s="717" t="str">
        <f>IF(A937="","",'Rozpad zakázky'!AJ953)</f>
        <v/>
      </c>
      <c r="I937" s="748" t="str">
        <f>IF(A937="","",'Rozpad zakázky'!Q953)</f>
        <v/>
      </c>
      <c r="J937" s="717" t="str">
        <f>IF(A937="","",ROUNDDOWN('Rozpad zakázky'!L953,1))</f>
        <v/>
      </c>
      <c r="K937" s="745" t="str">
        <f>IF(A937="","",Tabulka_nakup_Vonka[[#This Row],[Počet MJHR v rozpadu]]*Tabulka_nakup_Vonka[[#This Row],[Jedn. hmotnost '[kg/MJHR']]])</f>
        <v/>
      </c>
    </row>
    <row r="938" spans="1:11" x14ac:dyDescent="0.35">
      <c r="A938" s="709" t="str">
        <f>IF('Rozpad zakázky'!E954=0,"",IF('Rozpad zakázky'!E954="-","",'Rozpad zakázky'!E954))</f>
        <v/>
      </c>
      <c r="B938" s="708" t="str">
        <f>IF(A938="","",IF(A938="","",VLOOKUP(A:A,Pomocna_Nakup[],3,0))&amp;" | "&amp;IF(A938="","",VLOOKUP(A:A,Pomocna_Nakup[],4,0)))</f>
        <v/>
      </c>
      <c r="C938" s="710" t="str">
        <f>IF(Tabulka_nakup_Vonka[[#This Row],[Zkratka kalkulační položky]]="","",Tabulka_nakup_Vonka[[#This Row],[Zkratka kalkulační položky]]&amp;" | "&amp;IF(A938="","",VLOOKUP(A:A,Pomocna_Nakup[],2,0)))</f>
        <v/>
      </c>
      <c r="D938" s="710" t="str">
        <f>IF(A938="","",'Rozpad zakázky'!F954)</f>
        <v/>
      </c>
      <c r="E938" s="710" t="str">
        <f>IF(A938="","",'Rozpad zakázky'!D954&amp;IF('Rozpad zakázky'!G954="",""," ("&amp;'Rozpad zakázky'!G954&amp;")"))</f>
        <v/>
      </c>
      <c r="F938" s="709" t="str">
        <f>IF(A938="","",'Rozpad zakázky'!IW954)</f>
        <v/>
      </c>
      <c r="G938" s="711" t="str">
        <f>IF(A938="","",'Rozpad zakázky'!AE954)</f>
        <v/>
      </c>
      <c r="H938" s="717" t="str">
        <f>IF(A938="","",'Rozpad zakázky'!AJ954)</f>
        <v/>
      </c>
      <c r="I938" s="748" t="str">
        <f>IF(A938="","",'Rozpad zakázky'!Q954)</f>
        <v/>
      </c>
      <c r="J938" s="717" t="str">
        <f>IF(A938="","",ROUNDDOWN('Rozpad zakázky'!L954,1))</f>
        <v/>
      </c>
      <c r="K938" s="745" t="str">
        <f>IF(A938="","",Tabulka_nakup_Vonka[[#This Row],[Počet MJHR v rozpadu]]*Tabulka_nakup_Vonka[[#This Row],[Jedn. hmotnost '[kg/MJHR']]])</f>
        <v/>
      </c>
    </row>
    <row r="939" spans="1:11" x14ac:dyDescent="0.35">
      <c r="A939" s="709" t="str">
        <f>IF('Rozpad zakázky'!E955=0,"",IF('Rozpad zakázky'!E955="-","",'Rozpad zakázky'!E955))</f>
        <v/>
      </c>
      <c r="B939" s="708" t="str">
        <f>IF(A939="","",IF(A939="","",VLOOKUP(A:A,Pomocna_Nakup[],3,0))&amp;" | "&amp;IF(A939="","",VLOOKUP(A:A,Pomocna_Nakup[],4,0)))</f>
        <v/>
      </c>
      <c r="C939" s="710" t="str">
        <f>IF(Tabulka_nakup_Vonka[[#This Row],[Zkratka kalkulační položky]]="","",Tabulka_nakup_Vonka[[#This Row],[Zkratka kalkulační položky]]&amp;" | "&amp;IF(A939="","",VLOOKUP(A:A,Pomocna_Nakup[],2,0)))</f>
        <v/>
      </c>
      <c r="D939" s="710" t="str">
        <f>IF(A939="","",'Rozpad zakázky'!F955)</f>
        <v/>
      </c>
      <c r="E939" s="710" t="str">
        <f>IF(A939="","",'Rozpad zakázky'!D955&amp;IF('Rozpad zakázky'!G955="",""," ("&amp;'Rozpad zakázky'!G955&amp;")"))</f>
        <v/>
      </c>
      <c r="F939" s="709" t="str">
        <f>IF(A939="","",'Rozpad zakázky'!IW955)</f>
        <v/>
      </c>
      <c r="G939" s="711" t="str">
        <f>IF(A939="","",'Rozpad zakázky'!AE955)</f>
        <v/>
      </c>
      <c r="H939" s="717" t="str">
        <f>IF(A939="","",'Rozpad zakázky'!AJ955)</f>
        <v/>
      </c>
      <c r="I939" s="748" t="str">
        <f>IF(A939="","",'Rozpad zakázky'!Q955)</f>
        <v/>
      </c>
      <c r="J939" s="717" t="str">
        <f>IF(A939="","",ROUNDDOWN('Rozpad zakázky'!L955,1))</f>
        <v/>
      </c>
      <c r="K939" s="745" t="str">
        <f>IF(A939="","",Tabulka_nakup_Vonka[[#This Row],[Počet MJHR v rozpadu]]*Tabulka_nakup_Vonka[[#This Row],[Jedn. hmotnost '[kg/MJHR']]])</f>
        <v/>
      </c>
    </row>
    <row r="940" spans="1:11" x14ac:dyDescent="0.35">
      <c r="A940" s="709" t="str">
        <f>IF('Rozpad zakázky'!E956=0,"",IF('Rozpad zakázky'!E956="-","",'Rozpad zakázky'!E956))</f>
        <v/>
      </c>
      <c r="B940" s="708" t="str">
        <f>IF(A940="","",IF(A940="","",VLOOKUP(A:A,Pomocna_Nakup[],3,0))&amp;" | "&amp;IF(A940="","",VLOOKUP(A:A,Pomocna_Nakup[],4,0)))</f>
        <v/>
      </c>
      <c r="C940" s="710" t="str">
        <f>IF(Tabulka_nakup_Vonka[[#This Row],[Zkratka kalkulační položky]]="","",Tabulka_nakup_Vonka[[#This Row],[Zkratka kalkulační položky]]&amp;" | "&amp;IF(A940="","",VLOOKUP(A:A,Pomocna_Nakup[],2,0)))</f>
        <v/>
      </c>
      <c r="D940" s="710" t="str">
        <f>IF(A940="","",'Rozpad zakázky'!F956)</f>
        <v/>
      </c>
      <c r="E940" s="710" t="str">
        <f>IF(A940="","",'Rozpad zakázky'!D956&amp;IF('Rozpad zakázky'!G956="",""," ("&amp;'Rozpad zakázky'!G956&amp;")"))</f>
        <v/>
      </c>
      <c r="F940" s="709" t="str">
        <f>IF(A940="","",'Rozpad zakázky'!IW956)</f>
        <v/>
      </c>
      <c r="G940" s="711" t="str">
        <f>IF(A940="","",'Rozpad zakázky'!AE956)</f>
        <v/>
      </c>
      <c r="H940" s="717" t="str">
        <f>IF(A940="","",'Rozpad zakázky'!AJ956)</f>
        <v/>
      </c>
      <c r="I940" s="748" t="str">
        <f>IF(A940="","",'Rozpad zakázky'!Q956)</f>
        <v/>
      </c>
      <c r="J940" s="717" t="str">
        <f>IF(A940="","",ROUNDDOWN('Rozpad zakázky'!L956,1))</f>
        <v/>
      </c>
      <c r="K940" s="745" t="str">
        <f>IF(A940="","",Tabulka_nakup_Vonka[[#This Row],[Počet MJHR v rozpadu]]*Tabulka_nakup_Vonka[[#This Row],[Jedn. hmotnost '[kg/MJHR']]])</f>
        <v/>
      </c>
    </row>
    <row r="941" spans="1:11" x14ac:dyDescent="0.35">
      <c r="A941" s="709" t="str">
        <f>IF('Rozpad zakázky'!E957=0,"",IF('Rozpad zakázky'!E957="-","",'Rozpad zakázky'!E957))</f>
        <v/>
      </c>
      <c r="B941" s="708" t="str">
        <f>IF(A941="","",IF(A941="","",VLOOKUP(A:A,Pomocna_Nakup[],3,0))&amp;" | "&amp;IF(A941="","",VLOOKUP(A:A,Pomocna_Nakup[],4,0)))</f>
        <v/>
      </c>
      <c r="C941" s="710" t="str">
        <f>IF(Tabulka_nakup_Vonka[[#This Row],[Zkratka kalkulační položky]]="","",Tabulka_nakup_Vonka[[#This Row],[Zkratka kalkulační položky]]&amp;" | "&amp;IF(A941="","",VLOOKUP(A:A,Pomocna_Nakup[],2,0)))</f>
        <v/>
      </c>
      <c r="D941" s="710" t="str">
        <f>IF(A941="","",'Rozpad zakázky'!F957)</f>
        <v/>
      </c>
      <c r="E941" s="710" t="str">
        <f>IF(A941="","",'Rozpad zakázky'!D957&amp;IF('Rozpad zakázky'!G957="",""," ("&amp;'Rozpad zakázky'!G957&amp;")"))</f>
        <v/>
      </c>
      <c r="F941" s="709" t="str">
        <f>IF(A941="","",'Rozpad zakázky'!IW957)</f>
        <v/>
      </c>
      <c r="G941" s="711" t="str">
        <f>IF(A941="","",'Rozpad zakázky'!AE957)</f>
        <v/>
      </c>
      <c r="H941" s="717" t="str">
        <f>IF(A941="","",'Rozpad zakázky'!AJ957)</f>
        <v/>
      </c>
      <c r="I941" s="748" t="str">
        <f>IF(A941="","",'Rozpad zakázky'!Q957)</f>
        <v/>
      </c>
      <c r="J941" s="717" t="str">
        <f>IF(A941="","",ROUNDDOWN('Rozpad zakázky'!L957,1))</f>
        <v/>
      </c>
      <c r="K941" s="745" t="str">
        <f>IF(A941="","",Tabulka_nakup_Vonka[[#This Row],[Počet MJHR v rozpadu]]*Tabulka_nakup_Vonka[[#This Row],[Jedn. hmotnost '[kg/MJHR']]])</f>
        <v/>
      </c>
    </row>
    <row r="942" spans="1:11" x14ac:dyDescent="0.35">
      <c r="A942" s="709" t="str">
        <f>IF('Rozpad zakázky'!E958=0,"",IF('Rozpad zakázky'!E958="-","",'Rozpad zakázky'!E958))</f>
        <v/>
      </c>
      <c r="B942" s="708" t="str">
        <f>IF(A942="","",IF(A942="","",VLOOKUP(A:A,Pomocna_Nakup[],3,0))&amp;" | "&amp;IF(A942="","",VLOOKUP(A:A,Pomocna_Nakup[],4,0)))</f>
        <v/>
      </c>
      <c r="C942" s="710" t="str">
        <f>IF(Tabulka_nakup_Vonka[[#This Row],[Zkratka kalkulační položky]]="","",Tabulka_nakup_Vonka[[#This Row],[Zkratka kalkulační položky]]&amp;" | "&amp;IF(A942="","",VLOOKUP(A:A,Pomocna_Nakup[],2,0)))</f>
        <v/>
      </c>
      <c r="D942" s="710" t="str">
        <f>IF(A942="","",'Rozpad zakázky'!F958)</f>
        <v/>
      </c>
      <c r="E942" s="710" t="str">
        <f>IF(A942="","",'Rozpad zakázky'!D958&amp;IF('Rozpad zakázky'!G958="",""," ("&amp;'Rozpad zakázky'!G958&amp;")"))</f>
        <v/>
      </c>
      <c r="F942" s="709" t="str">
        <f>IF(A942="","",'Rozpad zakázky'!IW958)</f>
        <v/>
      </c>
      <c r="G942" s="711" t="str">
        <f>IF(A942="","",'Rozpad zakázky'!AE958)</f>
        <v/>
      </c>
      <c r="H942" s="717" t="str">
        <f>IF(A942="","",'Rozpad zakázky'!AJ958)</f>
        <v/>
      </c>
      <c r="I942" s="748" t="str">
        <f>IF(A942="","",'Rozpad zakázky'!Q958)</f>
        <v/>
      </c>
      <c r="J942" s="717" t="str">
        <f>IF(A942="","",ROUNDDOWN('Rozpad zakázky'!L958,1))</f>
        <v/>
      </c>
      <c r="K942" s="745" t="str">
        <f>IF(A942="","",Tabulka_nakup_Vonka[[#This Row],[Počet MJHR v rozpadu]]*Tabulka_nakup_Vonka[[#This Row],[Jedn. hmotnost '[kg/MJHR']]])</f>
        <v/>
      </c>
    </row>
    <row r="943" spans="1:11" x14ac:dyDescent="0.35">
      <c r="A943" s="709" t="str">
        <f>IF('Rozpad zakázky'!E959=0,"",IF('Rozpad zakázky'!E959="-","",'Rozpad zakázky'!E959))</f>
        <v/>
      </c>
      <c r="B943" s="708" t="str">
        <f>IF(A943="","",IF(A943="","",VLOOKUP(A:A,Pomocna_Nakup[],3,0))&amp;" | "&amp;IF(A943="","",VLOOKUP(A:A,Pomocna_Nakup[],4,0)))</f>
        <v/>
      </c>
      <c r="C943" s="710" t="str">
        <f>IF(Tabulka_nakup_Vonka[[#This Row],[Zkratka kalkulační položky]]="","",Tabulka_nakup_Vonka[[#This Row],[Zkratka kalkulační položky]]&amp;" | "&amp;IF(A943="","",VLOOKUP(A:A,Pomocna_Nakup[],2,0)))</f>
        <v/>
      </c>
      <c r="D943" s="710" t="str">
        <f>IF(A943="","",'Rozpad zakázky'!F959)</f>
        <v/>
      </c>
      <c r="E943" s="710" t="str">
        <f>IF(A943="","",'Rozpad zakázky'!D959&amp;IF('Rozpad zakázky'!G959="",""," ("&amp;'Rozpad zakázky'!G959&amp;")"))</f>
        <v/>
      </c>
      <c r="F943" s="709" t="str">
        <f>IF(A943="","",'Rozpad zakázky'!IW959)</f>
        <v/>
      </c>
      <c r="G943" s="711" t="str">
        <f>IF(A943="","",'Rozpad zakázky'!AE959)</f>
        <v/>
      </c>
      <c r="H943" s="717" t="str">
        <f>IF(A943="","",'Rozpad zakázky'!AJ959)</f>
        <v/>
      </c>
      <c r="I943" s="748" t="str">
        <f>IF(A943="","",'Rozpad zakázky'!Q959)</f>
        <v/>
      </c>
      <c r="J943" s="717" t="str">
        <f>IF(A943="","",ROUNDDOWN('Rozpad zakázky'!L959,1))</f>
        <v/>
      </c>
      <c r="K943" s="745" t="str">
        <f>IF(A943="","",Tabulka_nakup_Vonka[[#This Row],[Počet MJHR v rozpadu]]*Tabulka_nakup_Vonka[[#This Row],[Jedn. hmotnost '[kg/MJHR']]])</f>
        <v/>
      </c>
    </row>
    <row r="944" spans="1:11" x14ac:dyDescent="0.35">
      <c r="A944" s="709" t="str">
        <f>IF('Rozpad zakázky'!E960=0,"",IF('Rozpad zakázky'!E960="-","",'Rozpad zakázky'!E960))</f>
        <v/>
      </c>
      <c r="B944" s="708" t="str">
        <f>IF(A944="","",IF(A944="","",VLOOKUP(A:A,Pomocna_Nakup[],3,0))&amp;" | "&amp;IF(A944="","",VLOOKUP(A:A,Pomocna_Nakup[],4,0)))</f>
        <v/>
      </c>
      <c r="C944" s="710" t="str">
        <f>IF(Tabulka_nakup_Vonka[[#This Row],[Zkratka kalkulační položky]]="","",Tabulka_nakup_Vonka[[#This Row],[Zkratka kalkulační položky]]&amp;" | "&amp;IF(A944="","",VLOOKUP(A:A,Pomocna_Nakup[],2,0)))</f>
        <v/>
      </c>
      <c r="D944" s="710" t="str">
        <f>IF(A944="","",'Rozpad zakázky'!F960)</f>
        <v/>
      </c>
      <c r="E944" s="710" t="str">
        <f>IF(A944="","",'Rozpad zakázky'!D960&amp;IF('Rozpad zakázky'!G960="",""," ("&amp;'Rozpad zakázky'!G960&amp;")"))</f>
        <v/>
      </c>
      <c r="F944" s="709" t="str">
        <f>IF(A944="","",'Rozpad zakázky'!IW960)</f>
        <v/>
      </c>
      <c r="G944" s="711" t="str">
        <f>IF(A944="","",'Rozpad zakázky'!AE960)</f>
        <v/>
      </c>
      <c r="H944" s="717" t="str">
        <f>IF(A944="","",'Rozpad zakázky'!AJ960)</f>
        <v/>
      </c>
      <c r="I944" s="748" t="str">
        <f>IF(A944="","",'Rozpad zakázky'!Q960)</f>
        <v/>
      </c>
      <c r="J944" s="717" t="str">
        <f>IF(A944="","",ROUNDDOWN('Rozpad zakázky'!L960,1))</f>
        <v/>
      </c>
      <c r="K944" s="745" t="str">
        <f>IF(A944="","",Tabulka_nakup_Vonka[[#This Row],[Počet MJHR v rozpadu]]*Tabulka_nakup_Vonka[[#This Row],[Jedn. hmotnost '[kg/MJHR']]])</f>
        <v/>
      </c>
    </row>
    <row r="945" spans="1:11" x14ac:dyDescent="0.35">
      <c r="A945" s="709" t="str">
        <f>IF('Rozpad zakázky'!E961=0,"",IF('Rozpad zakázky'!E961="-","",'Rozpad zakázky'!E961))</f>
        <v/>
      </c>
      <c r="B945" s="708" t="str">
        <f>IF(A945="","",IF(A945="","",VLOOKUP(A:A,Pomocna_Nakup[],3,0))&amp;" | "&amp;IF(A945="","",VLOOKUP(A:A,Pomocna_Nakup[],4,0)))</f>
        <v/>
      </c>
      <c r="C945" s="710" t="str">
        <f>IF(Tabulka_nakup_Vonka[[#This Row],[Zkratka kalkulační položky]]="","",Tabulka_nakup_Vonka[[#This Row],[Zkratka kalkulační položky]]&amp;" | "&amp;IF(A945="","",VLOOKUP(A:A,Pomocna_Nakup[],2,0)))</f>
        <v/>
      </c>
      <c r="D945" s="710" t="str">
        <f>IF(A945="","",'Rozpad zakázky'!F961)</f>
        <v/>
      </c>
      <c r="E945" s="710" t="str">
        <f>IF(A945="","",'Rozpad zakázky'!D961&amp;IF('Rozpad zakázky'!G961="",""," ("&amp;'Rozpad zakázky'!G961&amp;")"))</f>
        <v/>
      </c>
      <c r="F945" s="709" t="str">
        <f>IF(A945="","",'Rozpad zakázky'!IW961)</f>
        <v/>
      </c>
      <c r="G945" s="711" t="str">
        <f>IF(A945="","",'Rozpad zakázky'!AE961)</f>
        <v/>
      </c>
      <c r="H945" s="717" t="str">
        <f>IF(A945="","",'Rozpad zakázky'!AJ961)</f>
        <v/>
      </c>
      <c r="I945" s="748" t="str">
        <f>IF(A945="","",'Rozpad zakázky'!Q961)</f>
        <v/>
      </c>
      <c r="J945" s="717" t="str">
        <f>IF(A945="","",ROUNDDOWN('Rozpad zakázky'!L961,1))</f>
        <v/>
      </c>
      <c r="K945" s="745" t="str">
        <f>IF(A945="","",Tabulka_nakup_Vonka[[#This Row],[Počet MJHR v rozpadu]]*Tabulka_nakup_Vonka[[#This Row],[Jedn. hmotnost '[kg/MJHR']]])</f>
        <v/>
      </c>
    </row>
    <row r="946" spans="1:11" x14ac:dyDescent="0.35">
      <c r="A946" s="709" t="str">
        <f>IF('Rozpad zakázky'!E962=0,"",IF('Rozpad zakázky'!E962="-","",'Rozpad zakázky'!E962))</f>
        <v/>
      </c>
      <c r="B946" s="708" t="str">
        <f>IF(A946="","",IF(A946="","",VLOOKUP(A:A,Pomocna_Nakup[],3,0))&amp;" | "&amp;IF(A946="","",VLOOKUP(A:A,Pomocna_Nakup[],4,0)))</f>
        <v/>
      </c>
      <c r="C946" s="710" t="str">
        <f>IF(Tabulka_nakup_Vonka[[#This Row],[Zkratka kalkulační položky]]="","",Tabulka_nakup_Vonka[[#This Row],[Zkratka kalkulační položky]]&amp;" | "&amp;IF(A946="","",VLOOKUP(A:A,Pomocna_Nakup[],2,0)))</f>
        <v/>
      </c>
      <c r="D946" s="710" t="str">
        <f>IF(A946="","",'Rozpad zakázky'!F962)</f>
        <v/>
      </c>
      <c r="E946" s="710" t="str">
        <f>IF(A946="","",'Rozpad zakázky'!D962&amp;IF('Rozpad zakázky'!G962="",""," ("&amp;'Rozpad zakázky'!G962&amp;")"))</f>
        <v/>
      </c>
      <c r="F946" s="709" t="str">
        <f>IF(A946="","",'Rozpad zakázky'!IW962)</f>
        <v/>
      </c>
      <c r="G946" s="711" t="str">
        <f>IF(A946="","",'Rozpad zakázky'!AE962)</f>
        <v/>
      </c>
      <c r="H946" s="717" t="str">
        <f>IF(A946="","",'Rozpad zakázky'!AJ962)</f>
        <v/>
      </c>
      <c r="I946" s="748" t="str">
        <f>IF(A946="","",'Rozpad zakázky'!Q962)</f>
        <v/>
      </c>
      <c r="J946" s="717" t="str">
        <f>IF(A946="","",ROUNDDOWN('Rozpad zakázky'!L962,1))</f>
        <v/>
      </c>
      <c r="K946" s="745" t="str">
        <f>IF(A946="","",Tabulka_nakup_Vonka[[#This Row],[Počet MJHR v rozpadu]]*Tabulka_nakup_Vonka[[#This Row],[Jedn. hmotnost '[kg/MJHR']]])</f>
        <v/>
      </c>
    </row>
    <row r="947" spans="1:11" x14ac:dyDescent="0.35">
      <c r="A947" s="709" t="str">
        <f>IF('Rozpad zakázky'!E963=0,"",IF('Rozpad zakázky'!E963="-","",'Rozpad zakázky'!E963))</f>
        <v/>
      </c>
      <c r="B947" s="708" t="str">
        <f>IF(A947="","",IF(A947="","",VLOOKUP(A:A,Pomocna_Nakup[],3,0))&amp;" | "&amp;IF(A947="","",VLOOKUP(A:A,Pomocna_Nakup[],4,0)))</f>
        <v/>
      </c>
      <c r="C947" s="710" t="str">
        <f>IF(Tabulka_nakup_Vonka[[#This Row],[Zkratka kalkulační položky]]="","",Tabulka_nakup_Vonka[[#This Row],[Zkratka kalkulační položky]]&amp;" | "&amp;IF(A947="","",VLOOKUP(A:A,Pomocna_Nakup[],2,0)))</f>
        <v/>
      </c>
      <c r="D947" s="710" t="str">
        <f>IF(A947="","",'Rozpad zakázky'!F963)</f>
        <v/>
      </c>
      <c r="E947" s="710" t="str">
        <f>IF(A947="","",'Rozpad zakázky'!D963&amp;IF('Rozpad zakázky'!G963="",""," ("&amp;'Rozpad zakázky'!G963&amp;")"))</f>
        <v/>
      </c>
      <c r="F947" s="709" t="str">
        <f>IF(A947="","",'Rozpad zakázky'!IW963)</f>
        <v/>
      </c>
      <c r="G947" s="711" t="str">
        <f>IF(A947="","",'Rozpad zakázky'!AE963)</f>
        <v/>
      </c>
      <c r="H947" s="717" t="str">
        <f>IF(A947="","",'Rozpad zakázky'!AJ963)</f>
        <v/>
      </c>
      <c r="I947" s="748" t="str">
        <f>IF(A947="","",'Rozpad zakázky'!Q963)</f>
        <v/>
      </c>
      <c r="J947" s="717" t="str">
        <f>IF(A947="","",ROUNDDOWN('Rozpad zakázky'!L963,1))</f>
        <v/>
      </c>
      <c r="K947" s="745" t="str">
        <f>IF(A947="","",Tabulka_nakup_Vonka[[#This Row],[Počet MJHR v rozpadu]]*Tabulka_nakup_Vonka[[#This Row],[Jedn. hmotnost '[kg/MJHR']]])</f>
        <v/>
      </c>
    </row>
    <row r="948" spans="1:11" x14ac:dyDescent="0.35">
      <c r="A948" s="709" t="str">
        <f>IF('Rozpad zakázky'!E964=0,"",IF('Rozpad zakázky'!E964="-","",'Rozpad zakázky'!E964))</f>
        <v/>
      </c>
      <c r="B948" s="708" t="str">
        <f>IF(A948="","",IF(A948="","",VLOOKUP(A:A,Pomocna_Nakup[],3,0))&amp;" | "&amp;IF(A948="","",VLOOKUP(A:A,Pomocna_Nakup[],4,0)))</f>
        <v/>
      </c>
      <c r="C948" s="710" t="str">
        <f>IF(Tabulka_nakup_Vonka[[#This Row],[Zkratka kalkulační položky]]="","",Tabulka_nakup_Vonka[[#This Row],[Zkratka kalkulační položky]]&amp;" | "&amp;IF(A948="","",VLOOKUP(A:A,Pomocna_Nakup[],2,0)))</f>
        <v/>
      </c>
      <c r="D948" s="710" t="str">
        <f>IF(A948="","",'Rozpad zakázky'!F964)</f>
        <v/>
      </c>
      <c r="E948" s="710" t="str">
        <f>IF(A948="","",'Rozpad zakázky'!D964&amp;IF('Rozpad zakázky'!G964="",""," ("&amp;'Rozpad zakázky'!G964&amp;")"))</f>
        <v/>
      </c>
      <c r="F948" s="709" t="str">
        <f>IF(A948="","",'Rozpad zakázky'!IW964)</f>
        <v/>
      </c>
      <c r="G948" s="711" t="str">
        <f>IF(A948="","",'Rozpad zakázky'!AE964)</f>
        <v/>
      </c>
      <c r="H948" s="717" t="str">
        <f>IF(A948="","",'Rozpad zakázky'!AJ964)</f>
        <v/>
      </c>
      <c r="I948" s="748" t="str">
        <f>IF(A948="","",'Rozpad zakázky'!Q964)</f>
        <v/>
      </c>
      <c r="J948" s="717" t="str">
        <f>IF(A948="","",ROUNDDOWN('Rozpad zakázky'!L964,1))</f>
        <v/>
      </c>
      <c r="K948" s="745" t="str">
        <f>IF(A948="","",Tabulka_nakup_Vonka[[#This Row],[Počet MJHR v rozpadu]]*Tabulka_nakup_Vonka[[#This Row],[Jedn. hmotnost '[kg/MJHR']]])</f>
        <v/>
      </c>
    </row>
    <row r="949" spans="1:11" x14ac:dyDescent="0.35">
      <c r="A949" s="709" t="str">
        <f>IF('Rozpad zakázky'!E965=0,"",IF('Rozpad zakázky'!E965="-","",'Rozpad zakázky'!E965))</f>
        <v/>
      </c>
      <c r="B949" s="708" t="str">
        <f>IF(A949="","",IF(A949="","",VLOOKUP(A:A,Pomocna_Nakup[],3,0))&amp;" | "&amp;IF(A949="","",VLOOKUP(A:A,Pomocna_Nakup[],4,0)))</f>
        <v/>
      </c>
      <c r="C949" s="710" t="str">
        <f>IF(Tabulka_nakup_Vonka[[#This Row],[Zkratka kalkulační položky]]="","",Tabulka_nakup_Vonka[[#This Row],[Zkratka kalkulační položky]]&amp;" | "&amp;IF(A949="","",VLOOKUP(A:A,Pomocna_Nakup[],2,0)))</f>
        <v/>
      </c>
      <c r="D949" s="710" t="str">
        <f>IF(A949="","",'Rozpad zakázky'!F965)</f>
        <v/>
      </c>
      <c r="E949" s="710" t="str">
        <f>IF(A949="","",'Rozpad zakázky'!D965&amp;IF('Rozpad zakázky'!G965="",""," ("&amp;'Rozpad zakázky'!G965&amp;")"))</f>
        <v/>
      </c>
      <c r="F949" s="709" t="str">
        <f>IF(A949="","",'Rozpad zakázky'!IW965)</f>
        <v/>
      </c>
      <c r="G949" s="711" t="str">
        <f>IF(A949="","",'Rozpad zakázky'!AE965)</f>
        <v/>
      </c>
      <c r="H949" s="717" t="str">
        <f>IF(A949="","",'Rozpad zakázky'!AJ965)</f>
        <v/>
      </c>
      <c r="I949" s="748" t="str">
        <f>IF(A949="","",'Rozpad zakázky'!Q965)</f>
        <v/>
      </c>
      <c r="J949" s="717" t="str">
        <f>IF(A949="","",ROUNDDOWN('Rozpad zakázky'!L965,1))</f>
        <v/>
      </c>
      <c r="K949" s="745" t="str">
        <f>IF(A949="","",Tabulka_nakup_Vonka[[#This Row],[Počet MJHR v rozpadu]]*Tabulka_nakup_Vonka[[#This Row],[Jedn. hmotnost '[kg/MJHR']]])</f>
        <v/>
      </c>
    </row>
    <row r="950" spans="1:11" x14ac:dyDescent="0.35">
      <c r="A950" s="709" t="str">
        <f>IF('Rozpad zakázky'!E966=0,"",IF('Rozpad zakázky'!E966="-","",'Rozpad zakázky'!E966))</f>
        <v/>
      </c>
      <c r="B950" s="708" t="str">
        <f>IF(A950="","",IF(A950="","",VLOOKUP(A:A,Pomocna_Nakup[],3,0))&amp;" | "&amp;IF(A950="","",VLOOKUP(A:A,Pomocna_Nakup[],4,0)))</f>
        <v/>
      </c>
      <c r="C950" s="710" t="str">
        <f>IF(Tabulka_nakup_Vonka[[#This Row],[Zkratka kalkulační položky]]="","",Tabulka_nakup_Vonka[[#This Row],[Zkratka kalkulační položky]]&amp;" | "&amp;IF(A950="","",VLOOKUP(A:A,Pomocna_Nakup[],2,0)))</f>
        <v/>
      </c>
      <c r="D950" s="710" t="str">
        <f>IF(A950="","",'Rozpad zakázky'!F966)</f>
        <v/>
      </c>
      <c r="E950" s="710" t="str">
        <f>IF(A950="","",'Rozpad zakázky'!D966&amp;IF('Rozpad zakázky'!G966="",""," ("&amp;'Rozpad zakázky'!G966&amp;")"))</f>
        <v/>
      </c>
      <c r="F950" s="709" t="str">
        <f>IF(A950="","",'Rozpad zakázky'!IW966)</f>
        <v/>
      </c>
      <c r="G950" s="711" t="str">
        <f>IF(A950="","",'Rozpad zakázky'!AE966)</f>
        <v/>
      </c>
      <c r="H950" s="717" t="str">
        <f>IF(A950="","",'Rozpad zakázky'!AJ966)</f>
        <v/>
      </c>
      <c r="I950" s="748" t="str">
        <f>IF(A950="","",'Rozpad zakázky'!Q966)</f>
        <v/>
      </c>
      <c r="J950" s="717" t="str">
        <f>IF(A950="","",ROUNDDOWN('Rozpad zakázky'!L966,1))</f>
        <v/>
      </c>
      <c r="K950" s="745" t="str">
        <f>IF(A950="","",Tabulka_nakup_Vonka[[#This Row],[Počet MJHR v rozpadu]]*Tabulka_nakup_Vonka[[#This Row],[Jedn. hmotnost '[kg/MJHR']]])</f>
        <v/>
      </c>
    </row>
    <row r="951" spans="1:11" x14ac:dyDescent="0.35">
      <c r="A951" s="709" t="str">
        <f>IF('Rozpad zakázky'!E967=0,"",IF('Rozpad zakázky'!E967="-","",'Rozpad zakázky'!E967))</f>
        <v/>
      </c>
      <c r="B951" s="708" t="str">
        <f>IF(A951="","",IF(A951="","",VLOOKUP(A:A,Pomocna_Nakup[],3,0))&amp;" | "&amp;IF(A951="","",VLOOKUP(A:A,Pomocna_Nakup[],4,0)))</f>
        <v/>
      </c>
      <c r="C951" s="710" t="str">
        <f>IF(Tabulka_nakup_Vonka[[#This Row],[Zkratka kalkulační položky]]="","",Tabulka_nakup_Vonka[[#This Row],[Zkratka kalkulační položky]]&amp;" | "&amp;IF(A951="","",VLOOKUP(A:A,Pomocna_Nakup[],2,0)))</f>
        <v/>
      </c>
      <c r="D951" s="710" t="str">
        <f>IF(A951="","",'Rozpad zakázky'!F967)</f>
        <v/>
      </c>
      <c r="E951" s="710" t="str">
        <f>IF(A951="","",'Rozpad zakázky'!D967&amp;IF('Rozpad zakázky'!G967="",""," ("&amp;'Rozpad zakázky'!G967&amp;")"))</f>
        <v/>
      </c>
      <c r="F951" s="709" t="str">
        <f>IF(A951="","",'Rozpad zakázky'!IW967)</f>
        <v/>
      </c>
      <c r="G951" s="711" t="str">
        <f>IF(A951="","",'Rozpad zakázky'!AE967)</f>
        <v/>
      </c>
      <c r="H951" s="717" t="str">
        <f>IF(A951="","",'Rozpad zakázky'!AJ967)</f>
        <v/>
      </c>
      <c r="I951" s="748" t="str">
        <f>IF(A951="","",'Rozpad zakázky'!Q967)</f>
        <v/>
      </c>
      <c r="J951" s="717" t="str">
        <f>IF(A951="","",ROUNDDOWN('Rozpad zakázky'!L967,1))</f>
        <v/>
      </c>
      <c r="K951" s="745" t="str">
        <f>IF(A951="","",Tabulka_nakup_Vonka[[#This Row],[Počet MJHR v rozpadu]]*Tabulka_nakup_Vonka[[#This Row],[Jedn. hmotnost '[kg/MJHR']]])</f>
        <v/>
      </c>
    </row>
    <row r="952" spans="1:11" x14ac:dyDescent="0.35">
      <c r="A952" s="709" t="str">
        <f>IF('Rozpad zakázky'!E968=0,"",IF('Rozpad zakázky'!E968="-","",'Rozpad zakázky'!E968))</f>
        <v/>
      </c>
      <c r="B952" s="708" t="str">
        <f>IF(A952="","",IF(A952="","",VLOOKUP(A:A,Pomocna_Nakup[],3,0))&amp;" | "&amp;IF(A952="","",VLOOKUP(A:A,Pomocna_Nakup[],4,0)))</f>
        <v/>
      </c>
      <c r="C952" s="710" t="str">
        <f>IF(Tabulka_nakup_Vonka[[#This Row],[Zkratka kalkulační položky]]="","",Tabulka_nakup_Vonka[[#This Row],[Zkratka kalkulační položky]]&amp;" | "&amp;IF(A952="","",VLOOKUP(A:A,Pomocna_Nakup[],2,0)))</f>
        <v/>
      </c>
      <c r="D952" s="710" t="str">
        <f>IF(A952="","",'Rozpad zakázky'!F968)</f>
        <v/>
      </c>
      <c r="E952" s="710" t="str">
        <f>IF(A952="","",'Rozpad zakázky'!D968&amp;IF('Rozpad zakázky'!G968="",""," ("&amp;'Rozpad zakázky'!G968&amp;")"))</f>
        <v/>
      </c>
      <c r="F952" s="709" t="str">
        <f>IF(A952="","",'Rozpad zakázky'!IW968)</f>
        <v/>
      </c>
      <c r="G952" s="711" t="str">
        <f>IF(A952="","",'Rozpad zakázky'!AE968)</f>
        <v/>
      </c>
      <c r="H952" s="717" t="str">
        <f>IF(A952="","",'Rozpad zakázky'!AJ968)</f>
        <v/>
      </c>
      <c r="I952" s="748" t="str">
        <f>IF(A952="","",'Rozpad zakázky'!Q968)</f>
        <v/>
      </c>
      <c r="J952" s="717" t="str">
        <f>IF(A952="","",ROUNDDOWN('Rozpad zakázky'!L968,1))</f>
        <v/>
      </c>
      <c r="K952" s="745" t="str">
        <f>IF(A952="","",Tabulka_nakup_Vonka[[#This Row],[Počet MJHR v rozpadu]]*Tabulka_nakup_Vonka[[#This Row],[Jedn. hmotnost '[kg/MJHR']]])</f>
        <v/>
      </c>
    </row>
    <row r="953" spans="1:11" x14ac:dyDescent="0.35">
      <c r="A953" s="709" t="str">
        <f>IF('Rozpad zakázky'!E969=0,"",IF('Rozpad zakázky'!E969="-","",'Rozpad zakázky'!E969))</f>
        <v/>
      </c>
      <c r="B953" s="708" t="str">
        <f>IF(A953="","",IF(A953="","",VLOOKUP(A:A,Pomocna_Nakup[],3,0))&amp;" | "&amp;IF(A953="","",VLOOKUP(A:A,Pomocna_Nakup[],4,0)))</f>
        <v/>
      </c>
      <c r="C953" s="710" t="str">
        <f>IF(Tabulka_nakup_Vonka[[#This Row],[Zkratka kalkulační položky]]="","",Tabulka_nakup_Vonka[[#This Row],[Zkratka kalkulační položky]]&amp;" | "&amp;IF(A953="","",VLOOKUP(A:A,Pomocna_Nakup[],2,0)))</f>
        <v/>
      </c>
      <c r="D953" s="710" t="str">
        <f>IF(A953="","",'Rozpad zakázky'!F969)</f>
        <v/>
      </c>
      <c r="E953" s="710" t="str">
        <f>IF(A953="","",'Rozpad zakázky'!D969&amp;IF('Rozpad zakázky'!G969="",""," ("&amp;'Rozpad zakázky'!G969&amp;")"))</f>
        <v/>
      </c>
      <c r="F953" s="709" t="str">
        <f>IF(A953="","",'Rozpad zakázky'!IW969)</f>
        <v/>
      </c>
      <c r="G953" s="711" t="str">
        <f>IF(A953="","",'Rozpad zakázky'!AE969)</f>
        <v/>
      </c>
      <c r="H953" s="717" t="str">
        <f>IF(A953="","",'Rozpad zakázky'!AJ969)</f>
        <v/>
      </c>
      <c r="I953" s="748" t="str">
        <f>IF(A953="","",'Rozpad zakázky'!Q969)</f>
        <v/>
      </c>
      <c r="J953" s="717" t="str">
        <f>IF(A953="","",ROUNDDOWN('Rozpad zakázky'!L969,1))</f>
        <v/>
      </c>
      <c r="K953" s="745" t="str">
        <f>IF(A953="","",Tabulka_nakup_Vonka[[#This Row],[Počet MJHR v rozpadu]]*Tabulka_nakup_Vonka[[#This Row],[Jedn. hmotnost '[kg/MJHR']]])</f>
        <v/>
      </c>
    </row>
    <row r="954" spans="1:11" x14ac:dyDescent="0.35">
      <c r="A954" s="709" t="str">
        <f>IF('Rozpad zakázky'!E970=0,"",IF('Rozpad zakázky'!E970="-","",'Rozpad zakázky'!E970))</f>
        <v/>
      </c>
      <c r="B954" s="708" t="str">
        <f>IF(A954="","",IF(A954="","",VLOOKUP(A:A,Pomocna_Nakup[],3,0))&amp;" | "&amp;IF(A954="","",VLOOKUP(A:A,Pomocna_Nakup[],4,0)))</f>
        <v/>
      </c>
      <c r="C954" s="710" t="str">
        <f>IF(Tabulka_nakup_Vonka[[#This Row],[Zkratka kalkulační položky]]="","",Tabulka_nakup_Vonka[[#This Row],[Zkratka kalkulační položky]]&amp;" | "&amp;IF(A954="","",VLOOKUP(A:A,Pomocna_Nakup[],2,0)))</f>
        <v/>
      </c>
      <c r="D954" s="710" t="str">
        <f>IF(A954="","",'Rozpad zakázky'!F970)</f>
        <v/>
      </c>
      <c r="E954" s="710" t="str">
        <f>IF(A954="","",'Rozpad zakázky'!D970&amp;IF('Rozpad zakázky'!G970="",""," ("&amp;'Rozpad zakázky'!G970&amp;")"))</f>
        <v/>
      </c>
      <c r="F954" s="709" t="str">
        <f>IF(A954="","",'Rozpad zakázky'!IW970)</f>
        <v/>
      </c>
      <c r="G954" s="711" t="str">
        <f>IF(A954="","",'Rozpad zakázky'!AE970)</f>
        <v/>
      </c>
      <c r="H954" s="717" t="str">
        <f>IF(A954="","",'Rozpad zakázky'!AJ970)</f>
        <v/>
      </c>
      <c r="I954" s="748" t="str">
        <f>IF(A954="","",'Rozpad zakázky'!Q970)</f>
        <v/>
      </c>
      <c r="J954" s="717" t="str">
        <f>IF(A954="","",ROUNDDOWN('Rozpad zakázky'!L970,1))</f>
        <v/>
      </c>
      <c r="K954" s="745" t="str">
        <f>IF(A954="","",Tabulka_nakup_Vonka[[#This Row],[Počet MJHR v rozpadu]]*Tabulka_nakup_Vonka[[#This Row],[Jedn. hmotnost '[kg/MJHR']]])</f>
        <v/>
      </c>
    </row>
    <row r="955" spans="1:11" x14ac:dyDescent="0.35">
      <c r="A955" s="709" t="str">
        <f>IF('Rozpad zakázky'!E971=0,"",IF('Rozpad zakázky'!E971="-","",'Rozpad zakázky'!E971))</f>
        <v/>
      </c>
      <c r="B955" s="708" t="str">
        <f>IF(A955="","",IF(A955="","",VLOOKUP(A:A,Pomocna_Nakup[],3,0))&amp;" | "&amp;IF(A955="","",VLOOKUP(A:A,Pomocna_Nakup[],4,0)))</f>
        <v/>
      </c>
      <c r="C955" s="710" t="str">
        <f>IF(Tabulka_nakup_Vonka[[#This Row],[Zkratka kalkulační položky]]="","",Tabulka_nakup_Vonka[[#This Row],[Zkratka kalkulační položky]]&amp;" | "&amp;IF(A955="","",VLOOKUP(A:A,Pomocna_Nakup[],2,0)))</f>
        <v/>
      </c>
      <c r="D955" s="710" t="str">
        <f>IF(A955="","",'Rozpad zakázky'!F971)</f>
        <v/>
      </c>
      <c r="E955" s="710" t="str">
        <f>IF(A955="","",'Rozpad zakázky'!D971&amp;IF('Rozpad zakázky'!G971="",""," ("&amp;'Rozpad zakázky'!G971&amp;")"))</f>
        <v/>
      </c>
      <c r="F955" s="709" t="str">
        <f>IF(A955="","",'Rozpad zakázky'!IW971)</f>
        <v/>
      </c>
      <c r="G955" s="711" t="str">
        <f>IF(A955="","",'Rozpad zakázky'!AE971)</f>
        <v/>
      </c>
      <c r="H955" s="717" t="str">
        <f>IF(A955="","",'Rozpad zakázky'!AJ971)</f>
        <v/>
      </c>
      <c r="I955" s="748" t="str">
        <f>IF(A955="","",'Rozpad zakázky'!Q971)</f>
        <v/>
      </c>
      <c r="J955" s="717" t="str">
        <f>IF(A955="","",ROUNDDOWN('Rozpad zakázky'!L971,1))</f>
        <v/>
      </c>
      <c r="K955" s="745" t="str">
        <f>IF(A955="","",Tabulka_nakup_Vonka[[#This Row],[Počet MJHR v rozpadu]]*Tabulka_nakup_Vonka[[#This Row],[Jedn. hmotnost '[kg/MJHR']]])</f>
        <v/>
      </c>
    </row>
    <row r="956" spans="1:11" x14ac:dyDescent="0.35">
      <c r="A956" s="709" t="str">
        <f>IF('Rozpad zakázky'!E972=0,"",IF('Rozpad zakázky'!E972="-","",'Rozpad zakázky'!E972))</f>
        <v/>
      </c>
      <c r="B956" s="708" t="str">
        <f>IF(A956="","",IF(A956="","",VLOOKUP(A:A,Pomocna_Nakup[],3,0))&amp;" | "&amp;IF(A956="","",VLOOKUP(A:A,Pomocna_Nakup[],4,0)))</f>
        <v/>
      </c>
      <c r="C956" s="710" t="str">
        <f>IF(Tabulka_nakup_Vonka[[#This Row],[Zkratka kalkulační položky]]="","",Tabulka_nakup_Vonka[[#This Row],[Zkratka kalkulační položky]]&amp;" | "&amp;IF(A956="","",VLOOKUP(A:A,Pomocna_Nakup[],2,0)))</f>
        <v/>
      </c>
      <c r="D956" s="710" t="str">
        <f>IF(A956="","",'Rozpad zakázky'!F972)</f>
        <v/>
      </c>
      <c r="E956" s="710" t="str">
        <f>IF(A956="","",'Rozpad zakázky'!D972&amp;IF('Rozpad zakázky'!G972="",""," ("&amp;'Rozpad zakázky'!G972&amp;")"))</f>
        <v/>
      </c>
      <c r="F956" s="709" t="str">
        <f>IF(A956="","",'Rozpad zakázky'!IW972)</f>
        <v/>
      </c>
      <c r="G956" s="711" t="str">
        <f>IF(A956="","",'Rozpad zakázky'!AE972)</f>
        <v/>
      </c>
      <c r="H956" s="717" t="str">
        <f>IF(A956="","",'Rozpad zakázky'!AJ972)</f>
        <v/>
      </c>
      <c r="I956" s="748" t="str">
        <f>IF(A956="","",'Rozpad zakázky'!Q972)</f>
        <v/>
      </c>
      <c r="J956" s="717" t="str">
        <f>IF(A956="","",ROUNDDOWN('Rozpad zakázky'!L972,1))</f>
        <v/>
      </c>
      <c r="K956" s="745" t="str">
        <f>IF(A956="","",Tabulka_nakup_Vonka[[#This Row],[Počet MJHR v rozpadu]]*Tabulka_nakup_Vonka[[#This Row],[Jedn. hmotnost '[kg/MJHR']]])</f>
        <v/>
      </c>
    </row>
    <row r="957" spans="1:11" x14ac:dyDescent="0.35">
      <c r="A957" s="709" t="str">
        <f>IF('Rozpad zakázky'!E973=0,"",IF('Rozpad zakázky'!E973="-","",'Rozpad zakázky'!E973))</f>
        <v/>
      </c>
      <c r="B957" s="708" t="str">
        <f>IF(A957="","",IF(A957="","",VLOOKUP(A:A,Pomocna_Nakup[],3,0))&amp;" | "&amp;IF(A957="","",VLOOKUP(A:A,Pomocna_Nakup[],4,0)))</f>
        <v/>
      </c>
      <c r="C957" s="710" t="str">
        <f>IF(Tabulka_nakup_Vonka[[#This Row],[Zkratka kalkulační položky]]="","",Tabulka_nakup_Vonka[[#This Row],[Zkratka kalkulační položky]]&amp;" | "&amp;IF(A957="","",VLOOKUP(A:A,Pomocna_Nakup[],2,0)))</f>
        <v/>
      </c>
      <c r="D957" s="710" t="str">
        <f>IF(A957="","",'Rozpad zakázky'!F973)</f>
        <v/>
      </c>
      <c r="E957" s="710" t="str">
        <f>IF(A957="","",'Rozpad zakázky'!D973&amp;IF('Rozpad zakázky'!G973="",""," ("&amp;'Rozpad zakázky'!G973&amp;")"))</f>
        <v/>
      </c>
      <c r="F957" s="709" t="str">
        <f>IF(A957="","",'Rozpad zakázky'!IW973)</f>
        <v/>
      </c>
      <c r="G957" s="711" t="str">
        <f>IF(A957="","",'Rozpad zakázky'!AE973)</f>
        <v/>
      </c>
      <c r="H957" s="717" t="str">
        <f>IF(A957="","",'Rozpad zakázky'!AJ973)</f>
        <v/>
      </c>
      <c r="I957" s="748" t="str">
        <f>IF(A957="","",'Rozpad zakázky'!Q973)</f>
        <v/>
      </c>
      <c r="J957" s="717" t="str">
        <f>IF(A957="","",ROUNDDOWN('Rozpad zakázky'!L973,1))</f>
        <v/>
      </c>
      <c r="K957" s="745" t="str">
        <f>IF(A957="","",Tabulka_nakup_Vonka[[#This Row],[Počet MJHR v rozpadu]]*Tabulka_nakup_Vonka[[#This Row],[Jedn. hmotnost '[kg/MJHR']]])</f>
        <v/>
      </c>
    </row>
    <row r="958" spans="1:11" x14ac:dyDescent="0.35">
      <c r="A958" s="709" t="str">
        <f>IF('Rozpad zakázky'!E974=0,"",IF('Rozpad zakázky'!E974="-","",'Rozpad zakázky'!E974))</f>
        <v/>
      </c>
      <c r="B958" s="708" t="str">
        <f>IF(A958="","",IF(A958="","",VLOOKUP(A:A,Pomocna_Nakup[],3,0))&amp;" | "&amp;IF(A958="","",VLOOKUP(A:A,Pomocna_Nakup[],4,0)))</f>
        <v/>
      </c>
      <c r="C958" s="710" t="str">
        <f>IF(Tabulka_nakup_Vonka[[#This Row],[Zkratka kalkulační položky]]="","",Tabulka_nakup_Vonka[[#This Row],[Zkratka kalkulační položky]]&amp;" | "&amp;IF(A958="","",VLOOKUP(A:A,Pomocna_Nakup[],2,0)))</f>
        <v/>
      </c>
      <c r="D958" s="710" t="str">
        <f>IF(A958="","",'Rozpad zakázky'!F974)</f>
        <v/>
      </c>
      <c r="E958" s="710" t="str">
        <f>IF(A958="","",'Rozpad zakázky'!D974&amp;IF('Rozpad zakázky'!G974="",""," ("&amp;'Rozpad zakázky'!G974&amp;")"))</f>
        <v/>
      </c>
      <c r="F958" s="709" t="str">
        <f>IF(A958="","",'Rozpad zakázky'!IW974)</f>
        <v/>
      </c>
      <c r="G958" s="711" t="str">
        <f>IF(A958="","",'Rozpad zakázky'!AE974)</f>
        <v/>
      </c>
      <c r="H958" s="717" t="str">
        <f>IF(A958="","",'Rozpad zakázky'!AJ974)</f>
        <v/>
      </c>
      <c r="I958" s="748" t="str">
        <f>IF(A958="","",'Rozpad zakázky'!Q974)</f>
        <v/>
      </c>
      <c r="J958" s="717" t="str">
        <f>IF(A958="","",ROUNDDOWN('Rozpad zakázky'!L974,1))</f>
        <v/>
      </c>
      <c r="K958" s="745" t="str">
        <f>IF(A958="","",Tabulka_nakup_Vonka[[#This Row],[Počet MJHR v rozpadu]]*Tabulka_nakup_Vonka[[#This Row],[Jedn. hmotnost '[kg/MJHR']]])</f>
        <v/>
      </c>
    </row>
    <row r="959" spans="1:11" x14ac:dyDescent="0.35">
      <c r="A959" s="709" t="str">
        <f>IF('Rozpad zakázky'!E975=0,"",IF('Rozpad zakázky'!E975="-","",'Rozpad zakázky'!E975))</f>
        <v/>
      </c>
      <c r="B959" s="708" t="str">
        <f>IF(A959="","",IF(A959="","",VLOOKUP(A:A,Pomocna_Nakup[],3,0))&amp;" | "&amp;IF(A959="","",VLOOKUP(A:A,Pomocna_Nakup[],4,0)))</f>
        <v/>
      </c>
      <c r="C959" s="710" t="str">
        <f>IF(Tabulka_nakup_Vonka[[#This Row],[Zkratka kalkulační položky]]="","",Tabulka_nakup_Vonka[[#This Row],[Zkratka kalkulační položky]]&amp;" | "&amp;IF(A959="","",VLOOKUP(A:A,Pomocna_Nakup[],2,0)))</f>
        <v/>
      </c>
      <c r="D959" s="710" t="str">
        <f>IF(A959="","",'Rozpad zakázky'!F975)</f>
        <v/>
      </c>
      <c r="E959" s="710" t="str">
        <f>IF(A959="","",'Rozpad zakázky'!D975&amp;IF('Rozpad zakázky'!G975="",""," ("&amp;'Rozpad zakázky'!G975&amp;")"))</f>
        <v/>
      </c>
      <c r="F959" s="709" t="str">
        <f>IF(A959="","",'Rozpad zakázky'!IW975)</f>
        <v/>
      </c>
      <c r="G959" s="711" t="str">
        <f>IF(A959="","",'Rozpad zakázky'!AE975)</f>
        <v/>
      </c>
      <c r="H959" s="717" t="str">
        <f>IF(A959="","",'Rozpad zakázky'!AJ975)</f>
        <v/>
      </c>
      <c r="I959" s="748" t="str">
        <f>IF(A959="","",'Rozpad zakázky'!Q975)</f>
        <v/>
      </c>
      <c r="J959" s="717" t="str">
        <f>IF(A959="","",ROUNDDOWN('Rozpad zakázky'!L975,1))</f>
        <v/>
      </c>
      <c r="K959" s="745" t="str">
        <f>IF(A959="","",Tabulka_nakup_Vonka[[#This Row],[Počet MJHR v rozpadu]]*Tabulka_nakup_Vonka[[#This Row],[Jedn. hmotnost '[kg/MJHR']]])</f>
        <v/>
      </c>
    </row>
    <row r="960" spans="1:11" x14ac:dyDescent="0.35">
      <c r="A960" s="709" t="str">
        <f>IF('Rozpad zakázky'!E976=0,"",IF('Rozpad zakázky'!E976="-","",'Rozpad zakázky'!E976))</f>
        <v/>
      </c>
      <c r="B960" s="708" t="str">
        <f>IF(A960="","",IF(A960="","",VLOOKUP(A:A,Pomocna_Nakup[],3,0))&amp;" | "&amp;IF(A960="","",VLOOKUP(A:A,Pomocna_Nakup[],4,0)))</f>
        <v/>
      </c>
      <c r="C960" s="710" t="str">
        <f>IF(Tabulka_nakup_Vonka[[#This Row],[Zkratka kalkulační položky]]="","",Tabulka_nakup_Vonka[[#This Row],[Zkratka kalkulační položky]]&amp;" | "&amp;IF(A960="","",VLOOKUP(A:A,Pomocna_Nakup[],2,0)))</f>
        <v/>
      </c>
      <c r="D960" s="710" t="str">
        <f>IF(A960="","",'Rozpad zakázky'!F976)</f>
        <v/>
      </c>
      <c r="E960" s="710" t="str">
        <f>IF(A960="","",'Rozpad zakázky'!D976&amp;IF('Rozpad zakázky'!G976="",""," ("&amp;'Rozpad zakázky'!G976&amp;")"))</f>
        <v/>
      </c>
      <c r="F960" s="709" t="str">
        <f>IF(A960="","",'Rozpad zakázky'!IW976)</f>
        <v/>
      </c>
      <c r="G960" s="711" t="str">
        <f>IF(A960="","",'Rozpad zakázky'!AE976)</f>
        <v/>
      </c>
      <c r="H960" s="717" t="str">
        <f>IF(A960="","",'Rozpad zakázky'!AJ976)</f>
        <v/>
      </c>
      <c r="I960" s="748" t="str">
        <f>IF(A960="","",'Rozpad zakázky'!Q976)</f>
        <v/>
      </c>
      <c r="J960" s="717" t="str">
        <f>IF(A960="","",ROUNDDOWN('Rozpad zakázky'!L976,1))</f>
        <v/>
      </c>
      <c r="K960" s="745" t="str">
        <f>IF(A960="","",Tabulka_nakup_Vonka[[#This Row],[Počet MJHR v rozpadu]]*Tabulka_nakup_Vonka[[#This Row],[Jedn. hmotnost '[kg/MJHR']]])</f>
        <v/>
      </c>
    </row>
    <row r="961" spans="1:11" x14ac:dyDescent="0.35">
      <c r="A961" s="709" t="str">
        <f>IF('Rozpad zakázky'!E977=0,"",IF('Rozpad zakázky'!E977="-","",'Rozpad zakázky'!E977))</f>
        <v/>
      </c>
      <c r="B961" s="708" t="str">
        <f>IF(A961="","",IF(A961="","",VLOOKUP(A:A,Pomocna_Nakup[],3,0))&amp;" | "&amp;IF(A961="","",VLOOKUP(A:A,Pomocna_Nakup[],4,0)))</f>
        <v/>
      </c>
      <c r="C961" s="710" t="str">
        <f>IF(Tabulka_nakup_Vonka[[#This Row],[Zkratka kalkulační položky]]="","",Tabulka_nakup_Vonka[[#This Row],[Zkratka kalkulační položky]]&amp;" | "&amp;IF(A961="","",VLOOKUP(A:A,Pomocna_Nakup[],2,0)))</f>
        <v/>
      </c>
      <c r="D961" s="710" t="str">
        <f>IF(A961="","",'Rozpad zakázky'!F977)</f>
        <v/>
      </c>
      <c r="E961" s="710" t="str">
        <f>IF(A961="","",'Rozpad zakázky'!D977&amp;IF('Rozpad zakázky'!G977="",""," ("&amp;'Rozpad zakázky'!G977&amp;")"))</f>
        <v/>
      </c>
      <c r="F961" s="709" t="str">
        <f>IF(A961="","",'Rozpad zakázky'!IW977)</f>
        <v/>
      </c>
      <c r="G961" s="711" t="str">
        <f>IF(A961="","",'Rozpad zakázky'!AE977)</f>
        <v/>
      </c>
      <c r="H961" s="717" t="str">
        <f>IF(A961="","",'Rozpad zakázky'!AJ977)</f>
        <v/>
      </c>
      <c r="I961" s="748" t="str">
        <f>IF(A961="","",'Rozpad zakázky'!Q977)</f>
        <v/>
      </c>
      <c r="J961" s="717" t="str">
        <f>IF(A961="","",ROUNDDOWN('Rozpad zakázky'!L977,1))</f>
        <v/>
      </c>
      <c r="K961" s="745" t="str">
        <f>IF(A961="","",Tabulka_nakup_Vonka[[#This Row],[Počet MJHR v rozpadu]]*Tabulka_nakup_Vonka[[#This Row],[Jedn. hmotnost '[kg/MJHR']]])</f>
        <v/>
      </c>
    </row>
    <row r="962" spans="1:11" x14ac:dyDescent="0.35">
      <c r="A962" s="709" t="str">
        <f>IF('Rozpad zakázky'!E978=0,"",IF('Rozpad zakázky'!E978="-","",'Rozpad zakázky'!E978))</f>
        <v/>
      </c>
      <c r="B962" s="708" t="str">
        <f>IF(A962="","",IF(A962="","",VLOOKUP(A:A,Pomocna_Nakup[],3,0))&amp;" | "&amp;IF(A962="","",VLOOKUP(A:A,Pomocna_Nakup[],4,0)))</f>
        <v/>
      </c>
      <c r="C962" s="710" t="str">
        <f>IF(Tabulka_nakup_Vonka[[#This Row],[Zkratka kalkulační položky]]="","",Tabulka_nakup_Vonka[[#This Row],[Zkratka kalkulační položky]]&amp;" | "&amp;IF(A962="","",VLOOKUP(A:A,Pomocna_Nakup[],2,0)))</f>
        <v/>
      </c>
      <c r="D962" s="710" t="str">
        <f>IF(A962="","",'Rozpad zakázky'!F978)</f>
        <v/>
      </c>
      <c r="E962" s="710" t="str">
        <f>IF(A962="","",'Rozpad zakázky'!D978&amp;IF('Rozpad zakázky'!G978="",""," ("&amp;'Rozpad zakázky'!G978&amp;")"))</f>
        <v/>
      </c>
      <c r="F962" s="709" t="str">
        <f>IF(A962="","",'Rozpad zakázky'!IW978)</f>
        <v/>
      </c>
      <c r="G962" s="711" t="str">
        <f>IF(A962="","",'Rozpad zakázky'!AE978)</f>
        <v/>
      </c>
      <c r="H962" s="717" t="str">
        <f>IF(A962="","",'Rozpad zakázky'!AJ978)</f>
        <v/>
      </c>
      <c r="I962" s="748" t="str">
        <f>IF(A962="","",'Rozpad zakázky'!Q978)</f>
        <v/>
      </c>
      <c r="J962" s="717" t="str">
        <f>IF(A962="","",ROUNDDOWN('Rozpad zakázky'!L978,1))</f>
        <v/>
      </c>
      <c r="K962" s="745" t="str">
        <f>IF(A962="","",Tabulka_nakup_Vonka[[#This Row],[Počet MJHR v rozpadu]]*Tabulka_nakup_Vonka[[#This Row],[Jedn. hmotnost '[kg/MJHR']]])</f>
        <v/>
      </c>
    </row>
    <row r="963" spans="1:11" x14ac:dyDescent="0.35">
      <c r="A963" s="709" t="str">
        <f>IF('Rozpad zakázky'!E979=0,"",IF('Rozpad zakázky'!E979="-","",'Rozpad zakázky'!E979))</f>
        <v/>
      </c>
      <c r="B963" s="708" t="str">
        <f>IF(A963="","",IF(A963="","",VLOOKUP(A:A,Pomocna_Nakup[],3,0))&amp;" | "&amp;IF(A963="","",VLOOKUP(A:A,Pomocna_Nakup[],4,0)))</f>
        <v/>
      </c>
      <c r="C963" s="710" t="str">
        <f>IF(Tabulka_nakup_Vonka[[#This Row],[Zkratka kalkulační položky]]="","",Tabulka_nakup_Vonka[[#This Row],[Zkratka kalkulační položky]]&amp;" | "&amp;IF(A963="","",VLOOKUP(A:A,Pomocna_Nakup[],2,0)))</f>
        <v/>
      </c>
      <c r="D963" s="710" t="str">
        <f>IF(A963="","",'Rozpad zakázky'!F979)</f>
        <v/>
      </c>
      <c r="E963" s="710" t="str">
        <f>IF(A963="","",'Rozpad zakázky'!D979&amp;IF('Rozpad zakázky'!G979="",""," ("&amp;'Rozpad zakázky'!G979&amp;")"))</f>
        <v/>
      </c>
      <c r="F963" s="709" t="str">
        <f>IF(A963="","",'Rozpad zakázky'!IW979)</f>
        <v/>
      </c>
      <c r="G963" s="711" t="str">
        <f>IF(A963="","",'Rozpad zakázky'!AE979)</f>
        <v/>
      </c>
      <c r="H963" s="717" t="str">
        <f>IF(A963="","",'Rozpad zakázky'!AJ979)</f>
        <v/>
      </c>
      <c r="I963" s="748" t="str">
        <f>IF(A963="","",'Rozpad zakázky'!Q979)</f>
        <v/>
      </c>
      <c r="J963" s="717" t="str">
        <f>IF(A963="","",ROUNDDOWN('Rozpad zakázky'!L979,1))</f>
        <v/>
      </c>
      <c r="K963" s="745" t="str">
        <f>IF(A963="","",Tabulka_nakup_Vonka[[#This Row],[Počet MJHR v rozpadu]]*Tabulka_nakup_Vonka[[#This Row],[Jedn. hmotnost '[kg/MJHR']]])</f>
        <v/>
      </c>
    </row>
    <row r="964" spans="1:11" x14ac:dyDescent="0.35">
      <c r="A964" s="709" t="str">
        <f>IF('Rozpad zakázky'!E980=0,"",IF('Rozpad zakázky'!E980="-","",'Rozpad zakázky'!E980))</f>
        <v/>
      </c>
      <c r="B964" s="708" t="str">
        <f>IF(A964="","",IF(A964="","",VLOOKUP(A:A,Pomocna_Nakup[],3,0))&amp;" | "&amp;IF(A964="","",VLOOKUP(A:A,Pomocna_Nakup[],4,0)))</f>
        <v/>
      </c>
      <c r="C964" s="710" t="str">
        <f>IF(Tabulka_nakup_Vonka[[#This Row],[Zkratka kalkulační položky]]="","",Tabulka_nakup_Vonka[[#This Row],[Zkratka kalkulační položky]]&amp;" | "&amp;IF(A964="","",VLOOKUP(A:A,Pomocna_Nakup[],2,0)))</f>
        <v/>
      </c>
      <c r="D964" s="710" t="str">
        <f>IF(A964="","",'Rozpad zakázky'!F980)</f>
        <v/>
      </c>
      <c r="E964" s="710" t="str">
        <f>IF(A964="","",'Rozpad zakázky'!D980&amp;IF('Rozpad zakázky'!G980="",""," ("&amp;'Rozpad zakázky'!G980&amp;")"))</f>
        <v/>
      </c>
      <c r="F964" s="709" t="str">
        <f>IF(A964="","",'Rozpad zakázky'!IW980)</f>
        <v/>
      </c>
      <c r="G964" s="711" t="str">
        <f>IF(A964="","",'Rozpad zakázky'!AE980)</f>
        <v/>
      </c>
      <c r="H964" s="717" t="str">
        <f>IF(A964="","",'Rozpad zakázky'!AJ980)</f>
        <v/>
      </c>
      <c r="I964" s="748" t="str">
        <f>IF(A964="","",'Rozpad zakázky'!Q980)</f>
        <v/>
      </c>
      <c r="J964" s="717" t="str">
        <f>IF(A964="","",ROUNDDOWN('Rozpad zakázky'!L980,1))</f>
        <v/>
      </c>
      <c r="K964" s="745" t="str">
        <f>IF(A964="","",Tabulka_nakup_Vonka[[#This Row],[Počet MJHR v rozpadu]]*Tabulka_nakup_Vonka[[#This Row],[Jedn. hmotnost '[kg/MJHR']]])</f>
        <v/>
      </c>
    </row>
    <row r="965" spans="1:11" x14ac:dyDescent="0.35">
      <c r="A965" s="709" t="str">
        <f>IF('Rozpad zakázky'!E981=0,"",IF('Rozpad zakázky'!E981="-","",'Rozpad zakázky'!E981))</f>
        <v/>
      </c>
      <c r="B965" s="708" t="str">
        <f>IF(A965="","",IF(A965="","",VLOOKUP(A:A,Pomocna_Nakup[],3,0))&amp;" | "&amp;IF(A965="","",VLOOKUP(A:A,Pomocna_Nakup[],4,0)))</f>
        <v/>
      </c>
      <c r="C965" s="710" t="str">
        <f>IF(Tabulka_nakup_Vonka[[#This Row],[Zkratka kalkulační položky]]="","",Tabulka_nakup_Vonka[[#This Row],[Zkratka kalkulační položky]]&amp;" | "&amp;IF(A965="","",VLOOKUP(A:A,Pomocna_Nakup[],2,0)))</f>
        <v/>
      </c>
      <c r="D965" s="710" t="str">
        <f>IF(A965="","",'Rozpad zakázky'!F981)</f>
        <v/>
      </c>
      <c r="E965" s="710" t="str">
        <f>IF(A965="","",'Rozpad zakázky'!D981&amp;IF('Rozpad zakázky'!G981="",""," ("&amp;'Rozpad zakázky'!G981&amp;")"))</f>
        <v/>
      </c>
      <c r="F965" s="709" t="str">
        <f>IF(A965="","",'Rozpad zakázky'!IW981)</f>
        <v/>
      </c>
      <c r="G965" s="711" t="str">
        <f>IF(A965="","",'Rozpad zakázky'!AE981)</f>
        <v/>
      </c>
      <c r="H965" s="717" t="str">
        <f>IF(A965="","",'Rozpad zakázky'!AJ981)</f>
        <v/>
      </c>
      <c r="I965" s="748" t="str">
        <f>IF(A965="","",'Rozpad zakázky'!Q981)</f>
        <v/>
      </c>
      <c r="J965" s="717" t="str">
        <f>IF(A965="","",ROUNDDOWN('Rozpad zakázky'!L981,1))</f>
        <v/>
      </c>
      <c r="K965" s="745" t="str">
        <f>IF(A965="","",Tabulka_nakup_Vonka[[#This Row],[Počet MJHR v rozpadu]]*Tabulka_nakup_Vonka[[#This Row],[Jedn. hmotnost '[kg/MJHR']]])</f>
        <v/>
      </c>
    </row>
    <row r="966" spans="1:11" x14ac:dyDescent="0.35">
      <c r="A966" s="709" t="str">
        <f>IF('Rozpad zakázky'!E982=0,"",IF('Rozpad zakázky'!E982="-","",'Rozpad zakázky'!E982))</f>
        <v/>
      </c>
      <c r="B966" s="708" t="str">
        <f>IF(A966="","",IF(A966="","",VLOOKUP(A:A,Pomocna_Nakup[],3,0))&amp;" | "&amp;IF(A966="","",VLOOKUP(A:A,Pomocna_Nakup[],4,0)))</f>
        <v/>
      </c>
      <c r="C966" s="710" t="str">
        <f>IF(Tabulka_nakup_Vonka[[#This Row],[Zkratka kalkulační položky]]="","",Tabulka_nakup_Vonka[[#This Row],[Zkratka kalkulační položky]]&amp;" | "&amp;IF(A966="","",VLOOKUP(A:A,Pomocna_Nakup[],2,0)))</f>
        <v/>
      </c>
      <c r="D966" s="710" t="str">
        <f>IF(A966="","",'Rozpad zakázky'!F982)</f>
        <v/>
      </c>
      <c r="E966" s="710" t="str">
        <f>IF(A966="","",'Rozpad zakázky'!D982&amp;IF('Rozpad zakázky'!G982="",""," ("&amp;'Rozpad zakázky'!G982&amp;")"))</f>
        <v/>
      </c>
      <c r="F966" s="709" t="str">
        <f>IF(A966="","",'Rozpad zakázky'!IW982)</f>
        <v/>
      </c>
      <c r="G966" s="711" t="str">
        <f>IF(A966="","",'Rozpad zakázky'!AE982)</f>
        <v/>
      </c>
      <c r="H966" s="717" t="str">
        <f>IF(A966="","",'Rozpad zakázky'!AJ982)</f>
        <v/>
      </c>
      <c r="I966" s="748" t="str">
        <f>IF(A966="","",'Rozpad zakázky'!Q982)</f>
        <v/>
      </c>
      <c r="J966" s="717" t="str">
        <f>IF(A966="","",ROUNDDOWN('Rozpad zakázky'!L982,1))</f>
        <v/>
      </c>
      <c r="K966" s="745" t="str">
        <f>IF(A966="","",Tabulka_nakup_Vonka[[#This Row],[Počet MJHR v rozpadu]]*Tabulka_nakup_Vonka[[#This Row],[Jedn. hmotnost '[kg/MJHR']]])</f>
        <v/>
      </c>
    </row>
    <row r="967" spans="1:11" x14ac:dyDescent="0.35">
      <c r="A967" s="709" t="str">
        <f>IF('Rozpad zakázky'!E983=0,"",IF('Rozpad zakázky'!E983="-","",'Rozpad zakázky'!E983))</f>
        <v/>
      </c>
      <c r="B967" s="708" t="str">
        <f>IF(A967="","",IF(A967="","",VLOOKUP(A:A,Pomocna_Nakup[],3,0))&amp;" | "&amp;IF(A967="","",VLOOKUP(A:A,Pomocna_Nakup[],4,0)))</f>
        <v/>
      </c>
      <c r="C967" s="710" t="str">
        <f>IF(Tabulka_nakup_Vonka[[#This Row],[Zkratka kalkulační položky]]="","",Tabulka_nakup_Vonka[[#This Row],[Zkratka kalkulační položky]]&amp;" | "&amp;IF(A967="","",VLOOKUP(A:A,Pomocna_Nakup[],2,0)))</f>
        <v/>
      </c>
      <c r="D967" s="710" t="str">
        <f>IF(A967="","",'Rozpad zakázky'!F983)</f>
        <v/>
      </c>
      <c r="E967" s="710" t="str">
        <f>IF(A967="","",'Rozpad zakázky'!D983&amp;IF('Rozpad zakázky'!G983="",""," ("&amp;'Rozpad zakázky'!G983&amp;")"))</f>
        <v/>
      </c>
      <c r="F967" s="709" t="str">
        <f>IF(A967="","",'Rozpad zakázky'!IW983)</f>
        <v/>
      </c>
      <c r="G967" s="711" t="str">
        <f>IF(A967="","",'Rozpad zakázky'!AE983)</f>
        <v/>
      </c>
      <c r="H967" s="717" t="str">
        <f>IF(A967="","",'Rozpad zakázky'!AJ983)</f>
        <v/>
      </c>
      <c r="I967" s="748" t="str">
        <f>IF(A967="","",'Rozpad zakázky'!Q983)</f>
        <v/>
      </c>
      <c r="J967" s="717" t="str">
        <f>IF(A967="","",ROUNDDOWN('Rozpad zakázky'!L983,1))</f>
        <v/>
      </c>
      <c r="K967" s="745" t="str">
        <f>IF(A967="","",Tabulka_nakup_Vonka[[#This Row],[Počet MJHR v rozpadu]]*Tabulka_nakup_Vonka[[#This Row],[Jedn. hmotnost '[kg/MJHR']]])</f>
        <v/>
      </c>
    </row>
    <row r="968" spans="1:11" x14ac:dyDescent="0.35">
      <c r="A968" s="709" t="str">
        <f>IF('Rozpad zakázky'!E984=0,"",IF('Rozpad zakázky'!E984="-","",'Rozpad zakázky'!E984))</f>
        <v/>
      </c>
      <c r="B968" s="708" t="str">
        <f>IF(A968="","",IF(A968="","",VLOOKUP(A:A,Pomocna_Nakup[],3,0))&amp;" | "&amp;IF(A968="","",VLOOKUP(A:A,Pomocna_Nakup[],4,0)))</f>
        <v/>
      </c>
      <c r="C968" s="710" t="str">
        <f>IF(Tabulka_nakup_Vonka[[#This Row],[Zkratka kalkulační položky]]="","",Tabulka_nakup_Vonka[[#This Row],[Zkratka kalkulační položky]]&amp;" | "&amp;IF(A968="","",VLOOKUP(A:A,Pomocna_Nakup[],2,0)))</f>
        <v/>
      </c>
      <c r="D968" s="710" t="str">
        <f>IF(A968="","",'Rozpad zakázky'!F984)</f>
        <v/>
      </c>
      <c r="E968" s="710" t="str">
        <f>IF(A968="","",'Rozpad zakázky'!D984&amp;IF('Rozpad zakázky'!G984="",""," ("&amp;'Rozpad zakázky'!G984&amp;")"))</f>
        <v/>
      </c>
      <c r="F968" s="709" t="str">
        <f>IF(A968="","",'Rozpad zakázky'!IW984)</f>
        <v/>
      </c>
      <c r="G968" s="711" t="str">
        <f>IF(A968="","",'Rozpad zakázky'!AE984)</f>
        <v/>
      </c>
      <c r="H968" s="717" t="str">
        <f>IF(A968="","",'Rozpad zakázky'!AJ984)</f>
        <v/>
      </c>
      <c r="I968" s="748" t="str">
        <f>IF(A968="","",'Rozpad zakázky'!Q984)</f>
        <v/>
      </c>
      <c r="J968" s="717" t="str">
        <f>IF(A968="","",ROUNDDOWN('Rozpad zakázky'!L984,1))</f>
        <v/>
      </c>
      <c r="K968" s="745" t="str">
        <f>IF(A968="","",Tabulka_nakup_Vonka[[#This Row],[Počet MJHR v rozpadu]]*Tabulka_nakup_Vonka[[#This Row],[Jedn. hmotnost '[kg/MJHR']]])</f>
        <v/>
      </c>
    </row>
    <row r="969" spans="1:11" x14ac:dyDescent="0.35">
      <c r="A969" s="709" t="str">
        <f>IF('Rozpad zakázky'!E985=0,"",IF('Rozpad zakázky'!E985="-","",'Rozpad zakázky'!E985))</f>
        <v/>
      </c>
      <c r="B969" s="708" t="str">
        <f>IF(A969="","",IF(A969="","",VLOOKUP(A:A,Pomocna_Nakup[],3,0))&amp;" | "&amp;IF(A969="","",VLOOKUP(A:A,Pomocna_Nakup[],4,0)))</f>
        <v/>
      </c>
      <c r="C969" s="710" t="str">
        <f>IF(Tabulka_nakup_Vonka[[#This Row],[Zkratka kalkulační položky]]="","",Tabulka_nakup_Vonka[[#This Row],[Zkratka kalkulační položky]]&amp;" | "&amp;IF(A969="","",VLOOKUP(A:A,Pomocna_Nakup[],2,0)))</f>
        <v/>
      </c>
      <c r="D969" s="710" t="str">
        <f>IF(A969="","",'Rozpad zakázky'!F985)</f>
        <v/>
      </c>
      <c r="E969" s="710" t="str">
        <f>IF(A969="","",'Rozpad zakázky'!D985&amp;IF('Rozpad zakázky'!G985="",""," ("&amp;'Rozpad zakázky'!G985&amp;")"))</f>
        <v/>
      </c>
      <c r="F969" s="709" t="str">
        <f>IF(A969="","",'Rozpad zakázky'!IW985)</f>
        <v/>
      </c>
      <c r="G969" s="711" t="str">
        <f>IF(A969="","",'Rozpad zakázky'!AE985)</f>
        <v/>
      </c>
      <c r="H969" s="717" t="str">
        <f>IF(A969="","",'Rozpad zakázky'!AJ985)</f>
        <v/>
      </c>
      <c r="I969" s="748" t="str">
        <f>IF(A969="","",'Rozpad zakázky'!Q985)</f>
        <v/>
      </c>
      <c r="J969" s="717" t="str">
        <f>IF(A969="","",ROUNDDOWN('Rozpad zakázky'!L985,1))</f>
        <v/>
      </c>
      <c r="K969" s="745" t="str">
        <f>IF(A969="","",Tabulka_nakup_Vonka[[#This Row],[Počet MJHR v rozpadu]]*Tabulka_nakup_Vonka[[#This Row],[Jedn. hmotnost '[kg/MJHR']]])</f>
        <v/>
      </c>
    </row>
    <row r="970" spans="1:11" x14ac:dyDescent="0.35">
      <c r="A970" s="709" t="str">
        <f>IF('Rozpad zakázky'!E986=0,"",IF('Rozpad zakázky'!E986="-","",'Rozpad zakázky'!E986))</f>
        <v/>
      </c>
      <c r="B970" s="708" t="str">
        <f>IF(A970="","",IF(A970="","",VLOOKUP(A:A,Pomocna_Nakup[],3,0))&amp;" | "&amp;IF(A970="","",VLOOKUP(A:A,Pomocna_Nakup[],4,0)))</f>
        <v/>
      </c>
      <c r="C970" s="710" t="str">
        <f>IF(Tabulka_nakup_Vonka[[#This Row],[Zkratka kalkulační položky]]="","",Tabulka_nakup_Vonka[[#This Row],[Zkratka kalkulační položky]]&amp;" | "&amp;IF(A970="","",VLOOKUP(A:A,Pomocna_Nakup[],2,0)))</f>
        <v/>
      </c>
      <c r="D970" s="710" t="str">
        <f>IF(A970="","",'Rozpad zakázky'!F986)</f>
        <v/>
      </c>
      <c r="E970" s="710" t="str">
        <f>IF(A970="","",'Rozpad zakázky'!D986&amp;IF('Rozpad zakázky'!G986="",""," ("&amp;'Rozpad zakázky'!G986&amp;")"))</f>
        <v/>
      </c>
      <c r="F970" s="709" t="str">
        <f>IF(A970="","",'Rozpad zakázky'!IW986)</f>
        <v/>
      </c>
      <c r="G970" s="711" t="str">
        <f>IF(A970="","",'Rozpad zakázky'!AE986)</f>
        <v/>
      </c>
      <c r="H970" s="717" t="str">
        <f>IF(A970="","",'Rozpad zakázky'!AJ986)</f>
        <v/>
      </c>
      <c r="I970" s="748" t="str">
        <f>IF(A970="","",'Rozpad zakázky'!Q986)</f>
        <v/>
      </c>
      <c r="J970" s="717" t="str">
        <f>IF(A970="","",ROUNDDOWN('Rozpad zakázky'!L986,1))</f>
        <v/>
      </c>
      <c r="K970" s="745" t="str">
        <f>IF(A970="","",Tabulka_nakup_Vonka[[#This Row],[Počet MJHR v rozpadu]]*Tabulka_nakup_Vonka[[#This Row],[Jedn. hmotnost '[kg/MJHR']]])</f>
        <v/>
      </c>
    </row>
    <row r="971" spans="1:11" x14ac:dyDescent="0.35">
      <c r="A971" s="709" t="str">
        <f>IF('Rozpad zakázky'!E987=0,"",IF('Rozpad zakázky'!E987="-","",'Rozpad zakázky'!E987))</f>
        <v/>
      </c>
      <c r="B971" s="708" t="str">
        <f>IF(A971="","",IF(A971="","",VLOOKUP(A:A,Pomocna_Nakup[],3,0))&amp;" | "&amp;IF(A971="","",VLOOKUP(A:A,Pomocna_Nakup[],4,0)))</f>
        <v/>
      </c>
      <c r="C971" s="710" t="str">
        <f>IF(Tabulka_nakup_Vonka[[#This Row],[Zkratka kalkulační položky]]="","",Tabulka_nakup_Vonka[[#This Row],[Zkratka kalkulační položky]]&amp;" | "&amp;IF(A971="","",VLOOKUP(A:A,Pomocna_Nakup[],2,0)))</f>
        <v/>
      </c>
      <c r="D971" s="710" t="str">
        <f>IF(A971="","",'Rozpad zakázky'!F987)</f>
        <v/>
      </c>
      <c r="E971" s="710" t="str">
        <f>IF(A971="","",'Rozpad zakázky'!D987&amp;IF('Rozpad zakázky'!G987="",""," ("&amp;'Rozpad zakázky'!G987&amp;")"))</f>
        <v/>
      </c>
      <c r="F971" s="709" t="str">
        <f>IF(A971="","",'Rozpad zakázky'!IW987)</f>
        <v/>
      </c>
      <c r="G971" s="711" t="str">
        <f>IF(A971="","",'Rozpad zakázky'!AE987)</f>
        <v/>
      </c>
      <c r="H971" s="717" t="str">
        <f>IF(A971="","",'Rozpad zakázky'!AJ987)</f>
        <v/>
      </c>
      <c r="I971" s="748" t="str">
        <f>IF(A971="","",'Rozpad zakázky'!Q987)</f>
        <v/>
      </c>
      <c r="J971" s="717" t="str">
        <f>IF(A971="","",ROUNDDOWN('Rozpad zakázky'!L987,1))</f>
        <v/>
      </c>
      <c r="K971" s="745" t="str">
        <f>IF(A971="","",Tabulka_nakup_Vonka[[#This Row],[Počet MJHR v rozpadu]]*Tabulka_nakup_Vonka[[#This Row],[Jedn. hmotnost '[kg/MJHR']]])</f>
        <v/>
      </c>
    </row>
    <row r="972" spans="1:11" x14ac:dyDescent="0.35">
      <c r="A972" s="709" t="str">
        <f>IF('Rozpad zakázky'!E988=0,"",IF('Rozpad zakázky'!E988="-","",'Rozpad zakázky'!E988))</f>
        <v/>
      </c>
      <c r="B972" s="708" t="str">
        <f>IF(A972="","",IF(A972="","",VLOOKUP(A:A,Pomocna_Nakup[],3,0))&amp;" | "&amp;IF(A972="","",VLOOKUP(A:A,Pomocna_Nakup[],4,0)))</f>
        <v/>
      </c>
      <c r="C972" s="710" t="str">
        <f>IF(Tabulka_nakup_Vonka[[#This Row],[Zkratka kalkulační položky]]="","",Tabulka_nakup_Vonka[[#This Row],[Zkratka kalkulační položky]]&amp;" | "&amp;IF(A972="","",VLOOKUP(A:A,Pomocna_Nakup[],2,0)))</f>
        <v/>
      </c>
      <c r="D972" s="710" t="str">
        <f>IF(A972="","",'Rozpad zakázky'!F988)</f>
        <v/>
      </c>
      <c r="E972" s="710" t="str">
        <f>IF(A972="","",'Rozpad zakázky'!D988&amp;IF('Rozpad zakázky'!G988="",""," ("&amp;'Rozpad zakázky'!G988&amp;")"))</f>
        <v/>
      </c>
      <c r="F972" s="709" t="str">
        <f>IF(A972="","",'Rozpad zakázky'!IW988)</f>
        <v/>
      </c>
      <c r="G972" s="711" t="str">
        <f>IF(A972="","",'Rozpad zakázky'!AE988)</f>
        <v/>
      </c>
      <c r="H972" s="717" t="str">
        <f>IF(A972="","",'Rozpad zakázky'!AJ988)</f>
        <v/>
      </c>
      <c r="I972" s="748" t="str">
        <f>IF(A972="","",'Rozpad zakázky'!Q988)</f>
        <v/>
      </c>
      <c r="J972" s="717" t="str">
        <f>IF(A972="","",ROUNDDOWN('Rozpad zakázky'!L988,1))</f>
        <v/>
      </c>
      <c r="K972" s="745" t="str">
        <f>IF(A972="","",Tabulka_nakup_Vonka[[#This Row],[Počet MJHR v rozpadu]]*Tabulka_nakup_Vonka[[#This Row],[Jedn. hmotnost '[kg/MJHR']]])</f>
        <v/>
      </c>
    </row>
    <row r="973" spans="1:11" x14ac:dyDescent="0.35">
      <c r="A973" s="709" t="str">
        <f>IF('Rozpad zakázky'!E989=0,"",IF('Rozpad zakázky'!E989="-","",'Rozpad zakázky'!E989))</f>
        <v/>
      </c>
      <c r="B973" s="708" t="str">
        <f>IF(A973="","",IF(A973="","",VLOOKUP(A:A,Pomocna_Nakup[],3,0))&amp;" | "&amp;IF(A973="","",VLOOKUP(A:A,Pomocna_Nakup[],4,0)))</f>
        <v/>
      </c>
      <c r="C973" s="710" t="str">
        <f>IF(Tabulka_nakup_Vonka[[#This Row],[Zkratka kalkulační položky]]="","",Tabulka_nakup_Vonka[[#This Row],[Zkratka kalkulační položky]]&amp;" | "&amp;IF(A973="","",VLOOKUP(A:A,Pomocna_Nakup[],2,0)))</f>
        <v/>
      </c>
      <c r="D973" s="710" t="str">
        <f>IF(A973="","",'Rozpad zakázky'!F989)</f>
        <v/>
      </c>
      <c r="E973" s="710" t="str">
        <f>IF(A973="","",'Rozpad zakázky'!D989&amp;IF('Rozpad zakázky'!G989="",""," ("&amp;'Rozpad zakázky'!G989&amp;")"))</f>
        <v/>
      </c>
      <c r="F973" s="709" t="str">
        <f>IF(A973="","",'Rozpad zakázky'!IW989)</f>
        <v/>
      </c>
      <c r="G973" s="711" t="str">
        <f>IF(A973="","",'Rozpad zakázky'!AE989)</f>
        <v/>
      </c>
      <c r="H973" s="717" t="str">
        <f>IF(A973="","",'Rozpad zakázky'!AJ989)</f>
        <v/>
      </c>
      <c r="I973" s="748" t="str">
        <f>IF(A973="","",'Rozpad zakázky'!Q989)</f>
        <v/>
      </c>
      <c r="J973" s="717" t="str">
        <f>IF(A973="","",ROUNDDOWN('Rozpad zakázky'!L989,1))</f>
        <v/>
      </c>
      <c r="K973" s="745" t="str">
        <f>IF(A973="","",Tabulka_nakup_Vonka[[#This Row],[Počet MJHR v rozpadu]]*Tabulka_nakup_Vonka[[#This Row],[Jedn. hmotnost '[kg/MJHR']]])</f>
        <v/>
      </c>
    </row>
    <row r="974" spans="1:11" x14ac:dyDescent="0.35">
      <c r="A974" s="709" t="str">
        <f>IF('Rozpad zakázky'!E990=0,"",IF('Rozpad zakázky'!E990="-","",'Rozpad zakázky'!E990))</f>
        <v/>
      </c>
      <c r="B974" s="708" t="str">
        <f>IF(A974="","",IF(A974="","",VLOOKUP(A:A,Pomocna_Nakup[],3,0))&amp;" | "&amp;IF(A974="","",VLOOKUP(A:A,Pomocna_Nakup[],4,0)))</f>
        <v/>
      </c>
      <c r="C974" s="710" t="str">
        <f>IF(Tabulka_nakup_Vonka[[#This Row],[Zkratka kalkulační položky]]="","",Tabulka_nakup_Vonka[[#This Row],[Zkratka kalkulační položky]]&amp;" | "&amp;IF(A974="","",VLOOKUP(A:A,Pomocna_Nakup[],2,0)))</f>
        <v/>
      </c>
      <c r="D974" s="710" t="str">
        <f>IF(A974="","",'Rozpad zakázky'!F990)</f>
        <v/>
      </c>
      <c r="E974" s="710" t="str">
        <f>IF(A974="","",'Rozpad zakázky'!D990&amp;IF('Rozpad zakázky'!G990="",""," ("&amp;'Rozpad zakázky'!G990&amp;")"))</f>
        <v/>
      </c>
      <c r="F974" s="709" t="str">
        <f>IF(A974="","",'Rozpad zakázky'!IW990)</f>
        <v/>
      </c>
      <c r="G974" s="711" t="str">
        <f>IF(A974="","",'Rozpad zakázky'!AE990)</f>
        <v/>
      </c>
      <c r="H974" s="717" t="str">
        <f>IF(A974="","",'Rozpad zakázky'!AJ990)</f>
        <v/>
      </c>
      <c r="I974" s="748" t="str">
        <f>IF(A974="","",'Rozpad zakázky'!Q990)</f>
        <v/>
      </c>
      <c r="J974" s="717" t="str">
        <f>IF(A974="","",ROUNDDOWN('Rozpad zakázky'!L990,1))</f>
        <v/>
      </c>
      <c r="K974" s="745" t="str">
        <f>IF(A974="","",Tabulka_nakup_Vonka[[#This Row],[Počet MJHR v rozpadu]]*Tabulka_nakup_Vonka[[#This Row],[Jedn. hmotnost '[kg/MJHR']]])</f>
        <v/>
      </c>
    </row>
    <row r="975" spans="1:11" x14ac:dyDescent="0.35">
      <c r="A975" s="709" t="str">
        <f>IF('Rozpad zakázky'!E991=0,"",IF('Rozpad zakázky'!E991="-","",'Rozpad zakázky'!E991))</f>
        <v/>
      </c>
      <c r="B975" s="708" t="str">
        <f>IF(A975="","",IF(A975="","",VLOOKUP(A:A,Pomocna_Nakup[],3,0))&amp;" | "&amp;IF(A975="","",VLOOKUP(A:A,Pomocna_Nakup[],4,0)))</f>
        <v/>
      </c>
      <c r="C975" s="710" t="str">
        <f>IF(Tabulka_nakup_Vonka[[#This Row],[Zkratka kalkulační položky]]="","",Tabulka_nakup_Vonka[[#This Row],[Zkratka kalkulační položky]]&amp;" | "&amp;IF(A975="","",VLOOKUP(A:A,Pomocna_Nakup[],2,0)))</f>
        <v/>
      </c>
      <c r="D975" s="710" t="str">
        <f>IF(A975="","",'Rozpad zakázky'!F991)</f>
        <v/>
      </c>
      <c r="E975" s="710" t="str">
        <f>IF(A975="","",'Rozpad zakázky'!D991&amp;IF('Rozpad zakázky'!G991="",""," ("&amp;'Rozpad zakázky'!G991&amp;")"))</f>
        <v/>
      </c>
      <c r="F975" s="709" t="str">
        <f>IF(A975="","",'Rozpad zakázky'!IW991)</f>
        <v/>
      </c>
      <c r="G975" s="711" t="str">
        <f>IF(A975="","",'Rozpad zakázky'!AE991)</f>
        <v/>
      </c>
      <c r="H975" s="717" t="str">
        <f>IF(A975="","",'Rozpad zakázky'!AJ991)</f>
        <v/>
      </c>
      <c r="I975" s="748" t="str">
        <f>IF(A975="","",'Rozpad zakázky'!Q991)</f>
        <v/>
      </c>
      <c r="J975" s="717" t="str">
        <f>IF(A975="","",ROUNDDOWN('Rozpad zakázky'!L991,1))</f>
        <v/>
      </c>
      <c r="K975" s="745" t="str">
        <f>IF(A975="","",Tabulka_nakup_Vonka[[#This Row],[Počet MJHR v rozpadu]]*Tabulka_nakup_Vonka[[#This Row],[Jedn. hmotnost '[kg/MJHR']]])</f>
        <v/>
      </c>
    </row>
    <row r="976" spans="1:11" x14ac:dyDescent="0.35">
      <c r="A976" s="709" t="str">
        <f>IF('Rozpad zakázky'!E992=0,"",IF('Rozpad zakázky'!E992="-","",'Rozpad zakázky'!E992))</f>
        <v/>
      </c>
      <c r="B976" s="708" t="str">
        <f>IF(A976="","",IF(A976="","",VLOOKUP(A:A,Pomocna_Nakup[],3,0))&amp;" | "&amp;IF(A976="","",VLOOKUP(A:A,Pomocna_Nakup[],4,0)))</f>
        <v/>
      </c>
      <c r="C976" s="710" t="str">
        <f>IF(Tabulka_nakup_Vonka[[#This Row],[Zkratka kalkulační položky]]="","",Tabulka_nakup_Vonka[[#This Row],[Zkratka kalkulační položky]]&amp;" | "&amp;IF(A976="","",VLOOKUP(A:A,Pomocna_Nakup[],2,0)))</f>
        <v/>
      </c>
      <c r="D976" s="710" t="str">
        <f>IF(A976="","",'Rozpad zakázky'!F992)</f>
        <v/>
      </c>
      <c r="E976" s="710" t="str">
        <f>IF(A976="","",'Rozpad zakázky'!D992&amp;IF('Rozpad zakázky'!G992="",""," ("&amp;'Rozpad zakázky'!G992&amp;")"))</f>
        <v/>
      </c>
      <c r="F976" s="709" t="str">
        <f>IF(A976="","",'Rozpad zakázky'!IW992)</f>
        <v/>
      </c>
      <c r="G976" s="711" t="str">
        <f>IF(A976="","",'Rozpad zakázky'!AE992)</f>
        <v/>
      </c>
      <c r="H976" s="717" t="str">
        <f>IF(A976="","",'Rozpad zakázky'!AJ992)</f>
        <v/>
      </c>
      <c r="I976" s="748" t="str">
        <f>IF(A976="","",'Rozpad zakázky'!Q992)</f>
        <v/>
      </c>
      <c r="J976" s="717" t="str">
        <f>IF(A976="","",ROUNDDOWN('Rozpad zakázky'!L992,1))</f>
        <v/>
      </c>
      <c r="K976" s="745" t="str">
        <f>IF(A976="","",Tabulka_nakup_Vonka[[#This Row],[Počet MJHR v rozpadu]]*Tabulka_nakup_Vonka[[#This Row],[Jedn. hmotnost '[kg/MJHR']]])</f>
        <v/>
      </c>
    </row>
    <row r="977" spans="1:11" x14ac:dyDescent="0.35">
      <c r="A977" s="709" t="str">
        <f>IF('Rozpad zakázky'!E993=0,"",IF('Rozpad zakázky'!E993="-","",'Rozpad zakázky'!E993))</f>
        <v/>
      </c>
      <c r="B977" s="708" t="str">
        <f>IF(A977="","",IF(A977="","",VLOOKUP(A:A,Pomocna_Nakup[],3,0))&amp;" | "&amp;IF(A977="","",VLOOKUP(A:A,Pomocna_Nakup[],4,0)))</f>
        <v/>
      </c>
      <c r="C977" s="710" t="str">
        <f>IF(Tabulka_nakup_Vonka[[#This Row],[Zkratka kalkulační položky]]="","",Tabulka_nakup_Vonka[[#This Row],[Zkratka kalkulační položky]]&amp;" | "&amp;IF(A977="","",VLOOKUP(A:A,Pomocna_Nakup[],2,0)))</f>
        <v/>
      </c>
      <c r="D977" s="710" t="str">
        <f>IF(A977="","",'Rozpad zakázky'!F993)</f>
        <v/>
      </c>
      <c r="E977" s="710" t="str">
        <f>IF(A977="","",'Rozpad zakázky'!D993&amp;IF('Rozpad zakázky'!G993="",""," ("&amp;'Rozpad zakázky'!G993&amp;")"))</f>
        <v/>
      </c>
      <c r="F977" s="709" t="str">
        <f>IF(A977="","",'Rozpad zakázky'!IW993)</f>
        <v/>
      </c>
      <c r="G977" s="711" t="str">
        <f>IF(A977="","",'Rozpad zakázky'!AE993)</f>
        <v/>
      </c>
      <c r="H977" s="717" t="str">
        <f>IF(A977="","",'Rozpad zakázky'!AJ993)</f>
        <v/>
      </c>
      <c r="I977" s="748" t="str">
        <f>IF(A977="","",'Rozpad zakázky'!Q993)</f>
        <v/>
      </c>
      <c r="J977" s="717" t="str">
        <f>IF(A977="","",ROUNDDOWN('Rozpad zakázky'!L993,1))</f>
        <v/>
      </c>
      <c r="K977" s="745" t="str">
        <f>IF(A977="","",Tabulka_nakup_Vonka[[#This Row],[Počet MJHR v rozpadu]]*Tabulka_nakup_Vonka[[#This Row],[Jedn. hmotnost '[kg/MJHR']]])</f>
        <v/>
      </c>
    </row>
    <row r="978" spans="1:11" x14ac:dyDescent="0.35">
      <c r="A978" s="709" t="str">
        <f>IF('Rozpad zakázky'!E994=0,"",IF('Rozpad zakázky'!E994="-","",'Rozpad zakázky'!E994))</f>
        <v/>
      </c>
      <c r="B978" s="708" t="str">
        <f>IF(A978="","",IF(A978="","",VLOOKUP(A:A,Pomocna_Nakup[],3,0))&amp;" | "&amp;IF(A978="","",VLOOKUP(A:A,Pomocna_Nakup[],4,0)))</f>
        <v/>
      </c>
      <c r="C978" s="710" t="str">
        <f>IF(Tabulka_nakup_Vonka[[#This Row],[Zkratka kalkulační položky]]="","",Tabulka_nakup_Vonka[[#This Row],[Zkratka kalkulační položky]]&amp;" | "&amp;IF(A978="","",VLOOKUP(A:A,Pomocna_Nakup[],2,0)))</f>
        <v/>
      </c>
      <c r="D978" s="710" t="str">
        <f>IF(A978="","",'Rozpad zakázky'!F994)</f>
        <v/>
      </c>
      <c r="E978" s="710" t="str">
        <f>IF(A978="","",'Rozpad zakázky'!D994&amp;IF('Rozpad zakázky'!G994="",""," ("&amp;'Rozpad zakázky'!G994&amp;")"))</f>
        <v/>
      </c>
      <c r="F978" s="709" t="str">
        <f>IF(A978="","",'Rozpad zakázky'!IW994)</f>
        <v/>
      </c>
      <c r="G978" s="711" t="str">
        <f>IF(A978="","",'Rozpad zakázky'!AE994)</f>
        <v/>
      </c>
      <c r="H978" s="717" t="str">
        <f>IF(A978="","",'Rozpad zakázky'!AJ994)</f>
        <v/>
      </c>
      <c r="I978" s="748" t="str">
        <f>IF(A978="","",'Rozpad zakázky'!Q994)</f>
        <v/>
      </c>
      <c r="J978" s="717" t="str">
        <f>IF(A978="","",ROUNDDOWN('Rozpad zakázky'!L994,1))</f>
        <v/>
      </c>
      <c r="K978" s="745" t="str">
        <f>IF(A978="","",Tabulka_nakup_Vonka[[#This Row],[Počet MJHR v rozpadu]]*Tabulka_nakup_Vonka[[#This Row],[Jedn. hmotnost '[kg/MJHR']]])</f>
        <v/>
      </c>
    </row>
    <row r="979" spans="1:11" x14ac:dyDescent="0.35">
      <c r="A979" s="709" t="str">
        <f>IF('Rozpad zakázky'!E995=0,"",IF('Rozpad zakázky'!E995="-","",'Rozpad zakázky'!E995))</f>
        <v/>
      </c>
      <c r="B979" s="708" t="str">
        <f>IF(A979="","",IF(A979="","",VLOOKUP(A:A,Pomocna_Nakup[],3,0))&amp;" | "&amp;IF(A979="","",VLOOKUP(A:A,Pomocna_Nakup[],4,0)))</f>
        <v/>
      </c>
      <c r="C979" s="710" t="str">
        <f>IF(Tabulka_nakup_Vonka[[#This Row],[Zkratka kalkulační položky]]="","",Tabulka_nakup_Vonka[[#This Row],[Zkratka kalkulační položky]]&amp;" | "&amp;IF(A979="","",VLOOKUP(A:A,Pomocna_Nakup[],2,0)))</f>
        <v/>
      </c>
      <c r="D979" s="710" t="str">
        <f>IF(A979="","",'Rozpad zakázky'!F995)</f>
        <v/>
      </c>
      <c r="E979" s="710" t="str">
        <f>IF(A979="","",'Rozpad zakázky'!D995&amp;IF('Rozpad zakázky'!G995="",""," ("&amp;'Rozpad zakázky'!G995&amp;")"))</f>
        <v/>
      </c>
      <c r="F979" s="709" t="str">
        <f>IF(A979="","",'Rozpad zakázky'!IW995)</f>
        <v/>
      </c>
      <c r="G979" s="711" t="str">
        <f>IF(A979="","",'Rozpad zakázky'!AE995)</f>
        <v/>
      </c>
      <c r="H979" s="717" t="str">
        <f>IF(A979="","",'Rozpad zakázky'!AJ995)</f>
        <v/>
      </c>
      <c r="I979" s="748" t="str">
        <f>IF(A979="","",'Rozpad zakázky'!Q995)</f>
        <v/>
      </c>
      <c r="J979" s="717" t="str">
        <f>IF(A979="","",ROUNDDOWN('Rozpad zakázky'!L995,1))</f>
        <v/>
      </c>
      <c r="K979" s="745" t="str">
        <f>IF(A979="","",Tabulka_nakup_Vonka[[#This Row],[Počet MJHR v rozpadu]]*Tabulka_nakup_Vonka[[#This Row],[Jedn. hmotnost '[kg/MJHR']]])</f>
        <v/>
      </c>
    </row>
    <row r="980" spans="1:11" x14ac:dyDescent="0.35">
      <c r="A980" s="709" t="str">
        <f>IF('Rozpad zakázky'!E996=0,"",IF('Rozpad zakázky'!E996="-","",'Rozpad zakázky'!E996))</f>
        <v/>
      </c>
      <c r="B980" s="708" t="str">
        <f>IF(A980="","",IF(A980="","",VLOOKUP(A:A,Pomocna_Nakup[],3,0))&amp;" | "&amp;IF(A980="","",VLOOKUP(A:A,Pomocna_Nakup[],4,0)))</f>
        <v/>
      </c>
      <c r="C980" s="710" t="str">
        <f>IF(Tabulka_nakup_Vonka[[#This Row],[Zkratka kalkulační položky]]="","",Tabulka_nakup_Vonka[[#This Row],[Zkratka kalkulační položky]]&amp;" | "&amp;IF(A980="","",VLOOKUP(A:A,Pomocna_Nakup[],2,0)))</f>
        <v/>
      </c>
      <c r="D980" s="710" t="str">
        <f>IF(A980="","",'Rozpad zakázky'!F996)</f>
        <v/>
      </c>
      <c r="E980" s="710" t="str">
        <f>IF(A980="","",'Rozpad zakázky'!D996&amp;IF('Rozpad zakázky'!G996="",""," ("&amp;'Rozpad zakázky'!G996&amp;")"))</f>
        <v/>
      </c>
      <c r="F980" s="709" t="str">
        <f>IF(A980="","",'Rozpad zakázky'!IW996)</f>
        <v/>
      </c>
      <c r="G980" s="711" t="str">
        <f>IF(A980="","",'Rozpad zakázky'!AE996)</f>
        <v/>
      </c>
      <c r="H980" s="717" t="str">
        <f>IF(A980="","",'Rozpad zakázky'!AJ996)</f>
        <v/>
      </c>
      <c r="I980" s="748" t="str">
        <f>IF(A980="","",'Rozpad zakázky'!Q996)</f>
        <v/>
      </c>
      <c r="J980" s="717" t="str">
        <f>IF(A980="","",ROUNDDOWN('Rozpad zakázky'!L996,1))</f>
        <v/>
      </c>
      <c r="K980" s="745" t="str">
        <f>IF(A980="","",Tabulka_nakup_Vonka[[#This Row],[Počet MJHR v rozpadu]]*Tabulka_nakup_Vonka[[#This Row],[Jedn. hmotnost '[kg/MJHR']]])</f>
        <v/>
      </c>
    </row>
    <row r="981" spans="1:11" x14ac:dyDescent="0.35">
      <c r="A981" s="709" t="str">
        <f>IF('Rozpad zakázky'!E997=0,"",IF('Rozpad zakázky'!E997="-","",'Rozpad zakázky'!E997))</f>
        <v/>
      </c>
      <c r="B981" s="708" t="str">
        <f>IF(A981="","",IF(A981="","",VLOOKUP(A:A,Pomocna_Nakup[],3,0))&amp;" | "&amp;IF(A981="","",VLOOKUP(A:A,Pomocna_Nakup[],4,0)))</f>
        <v/>
      </c>
      <c r="C981" s="710" t="str">
        <f>IF(Tabulka_nakup_Vonka[[#This Row],[Zkratka kalkulační položky]]="","",Tabulka_nakup_Vonka[[#This Row],[Zkratka kalkulační položky]]&amp;" | "&amp;IF(A981="","",VLOOKUP(A:A,Pomocna_Nakup[],2,0)))</f>
        <v/>
      </c>
      <c r="D981" s="710" t="str">
        <f>IF(A981="","",'Rozpad zakázky'!F997)</f>
        <v/>
      </c>
      <c r="E981" s="710" t="str">
        <f>IF(A981="","",'Rozpad zakázky'!D997&amp;IF('Rozpad zakázky'!G997="",""," ("&amp;'Rozpad zakázky'!G997&amp;")"))</f>
        <v/>
      </c>
      <c r="F981" s="709" t="str">
        <f>IF(A981="","",'Rozpad zakázky'!IW997)</f>
        <v/>
      </c>
      <c r="G981" s="711" t="str">
        <f>IF(A981="","",'Rozpad zakázky'!AE997)</f>
        <v/>
      </c>
      <c r="H981" s="717" t="str">
        <f>IF(A981="","",'Rozpad zakázky'!AJ997)</f>
        <v/>
      </c>
      <c r="I981" s="748" t="str">
        <f>IF(A981="","",'Rozpad zakázky'!Q997)</f>
        <v/>
      </c>
      <c r="J981" s="717" t="str">
        <f>IF(A981="","",ROUNDDOWN('Rozpad zakázky'!L997,1))</f>
        <v/>
      </c>
      <c r="K981" s="745" t="str">
        <f>IF(A981="","",Tabulka_nakup_Vonka[[#This Row],[Počet MJHR v rozpadu]]*Tabulka_nakup_Vonka[[#This Row],[Jedn. hmotnost '[kg/MJHR']]])</f>
        <v/>
      </c>
    </row>
    <row r="982" spans="1:11" x14ac:dyDescent="0.35">
      <c r="A982" s="709" t="str">
        <f>IF('Rozpad zakázky'!E998=0,"",IF('Rozpad zakázky'!E998="-","",'Rozpad zakázky'!E998))</f>
        <v/>
      </c>
      <c r="B982" s="708" t="str">
        <f>IF(A982="","",IF(A982="","",VLOOKUP(A:A,Pomocna_Nakup[],3,0))&amp;" | "&amp;IF(A982="","",VLOOKUP(A:A,Pomocna_Nakup[],4,0)))</f>
        <v/>
      </c>
      <c r="C982" s="710" t="str">
        <f>IF(Tabulka_nakup_Vonka[[#This Row],[Zkratka kalkulační položky]]="","",Tabulka_nakup_Vonka[[#This Row],[Zkratka kalkulační položky]]&amp;" | "&amp;IF(A982="","",VLOOKUP(A:A,Pomocna_Nakup[],2,0)))</f>
        <v/>
      </c>
      <c r="D982" s="710" t="str">
        <f>IF(A982="","",'Rozpad zakázky'!F998)</f>
        <v/>
      </c>
      <c r="E982" s="710" t="str">
        <f>IF(A982="","",'Rozpad zakázky'!D998&amp;IF('Rozpad zakázky'!G998="",""," ("&amp;'Rozpad zakázky'!G998&amp;")"))</f>
        <v/>
      </c>
      <c r="F982" s="709" t="str">
        <f>IF(A982="","",'Rozpad zakázky'!IW998)</f>
        <v/>
      </c>
      <c r="G982" s="711" t="str">
        <f>IF(A982="","",'Rozpad zakázky'!AE998)</f>
        <v/>
      </c>
      <c r="H982" s="717" t="str">
        <f>IF(A982="","",'Rozpad zakázky'!AJ998)</f>
        <v/>
      </c>
      <c r="I982" s="748" t="str">
        <f>IF(A982="","",'Rozpad zakázky'!Q998)</f>
        <v/>
      </c>
      <c r="J982" s="717" t="str">
        <f>IF(A982="","",ROUNDDOWN('Rozpad zakázky'!L998,1))</f>
        <v/>
      </c>
      <c r="K982" s="745" t="str">
        <f>IF(A982="","",Tabulka_nakup_Vonka[[#This Row],[Počet MJHR v rozpadu]]*Tabulka_nakup_Vonka[[#This Row],[Jedn. hmotnost '[kg/MJHR']]])</f>
        <v/>
      </c>
    </row>
    <row r="983" spans="1:11" x14ac:dyDescent="0.35">
      <c r="A983" s="709" t="str">
        <f>IF('Rozpad zakázky'!E999=0,"",IF('Rozpad zakázky'!E999="-","",'Rozpad zakázky'!E999))</f>
        <v/>
      </c>
      <c r="B983" s="708" t="str">
        <f>IF(A983="","",IF(A983="","",VLOOKUP(A:A,Pomocna_Nakup[],3,0))&amp;" | "&amp;IF(A983="","",VLOOKUP(A:A,Pomocna_Nakup[],4,0)))</f>
        <v/>
      </c>
      <c r="C983" s="710" t="str">
        <f>IF(Tabulka_nakup_Vonka[[#This Row],[Zkratka kalkulační položky]]="","",Tabulka_nakup_Vonka[[#This Row],[Zkratka kalkulační položky]]&amp;" | "&amp;IF(A983="","",VLOOKUP(A:A,Pomocna_Nakup[],2,0)))</f>
        <v/>
      </c>
      <c r="D983" s="710" t="str">
        <f>IF(A983="","",'Rozpad zakázky'!F999)</f>
        <v/>
      </c>
      <c r="E983" s="710" t="str">
        <f>IF(A983="","",'Rozpad zakázky'!D999&amp;IF('Rozpad zakázky'!G999="",""," ("&amp;'Rozpad zakázky'!G999&amp;")"))</f>
        <v/>
      </c>
      <c r="F983" s="709" t="str">
        <f>IF(A983="","",'Rozpad zakázky'!IW999)</f>
        <v/>
      </c>
      <c r="G983" s="711" t="str">
        <f>IF(A983="","",'Rozpad zakázky'!AE999)</f>
        <v/>
      </c>
      <c r="H983" s="717" t="str">
        <f>IF(A983="","",'Rozpad zakázky'!AJ999)</f>
        <v/>
      </c>
      <c r="I983" s="748" t="str">
        <f>IF(A983="","",'Rozpad zakázky'!Q999)</f>
        <v/>
      </c>
      <c r="J983" s="717" t="str">
        <f>IF(A983="","",ROUNDDOWN('Rozpad zakázky'!L999,1))</f>
        <v/>
      </c>
      <c r="K983" s="745" t="str">
        <f>IF(A983="","",Tabulka_nakup_Vonka[[#This Row],[Počet MJHR v rozpadu]]*Tabulka_nakup_Vonka[[#This Row],[Jedn. hmotnost '[kg/MJHR']]])</f>
        <v/>
      </c>
    </row>
    <row r="984" spans="1:11" x14ac:dyDescent="0.35">
      <c r="A984" s="709" t="str">
        <f>IF('Rozpad zakázky'!E1000=0,"",IF('Rozpad zakázky'!E1000="-","",'Rozpad zakázky'!E1000))</f>
        <v/>
      </c>
      <c r="B984" s="708" t="str">
        <f>IF(A984="","",IF(A984="","",VLOOKUP(A:A,Pomocna_Nakup[],3,0))&amp;" | "&amp;IF(A984="","",VLOOKUP(A:A,Pomocna_Nakup[],4,0)))</f>
        <v/>
      </c>
      <c r="C984" s="710" t="str">
        <f>IF(Tabulka_nakup_Vonka[[#This Row],[Zkratka kalkulační položky]]="","",Tabulka_nakup_Vonka[[#This Row],[Zkratka kalkulační položky]]&amp;" | "&amp;IF(A984="","",VLOOKUP(A:A,Pomocna_Nakup[],2,0)))</f>
        <v/>
      </c>
      <c r="D984" s="710" t="str">
        <f>IF(A984="","",'Rozpad zakázky'!F1000)</f>
        <v/>
      </c>
      <c r="E984" s="710" t="str">
        <f>IF(A984="","",'Rozpad zakázky'!D1000&amp;IF('Rozpad zakázky'!G1000="",""," ("&amp;'Rozpad zakázky'!G1000&amp;")"))</f>
        <v/>
      </c>
      <c r="F984" s="709" t="str">
        <f>IF(A984="","",'Rozpad zakázky'!IW1000)</f>
        <v/>
      </c>
      <c r="G984" s="711" t="str">
        <f>IF(A984="","",'Rozpad zakázky'!AE1000)</f>
        <v/>
      </c>
      <c r="H984" s="717" t="str">
        <f>IF(A984="","",'Rozpad zakázky'!AJ1000)</f>
        <v/>
      </c>
      <c r="I984" s="748" t="str">
        <f>IF(A984="","",'Rozpad zakázky'!Q1000)</f>
        <v/>
      </c>
      <c r="J984" s="717" t="str">
        <f>IF(A984="","",ROUNDDOWN('Rozpad zakázky'!L1000,1))</f>
        <v/>
      </c>
      <c r="K984" s="745" t="str">
        <f>IF(A984="","",Tabulka_nakup_Vonka[[#This Row],[Počet MJHR v rozpadu]]*Tabulka_nakup_Vonka[[#This Row],[Jedn. hmotnost '[kg/MJHR']]])</f>
        <v/>
      </c>
    </row>
    <row r="985" spans="1:11" x14ac:dyDescent="0.35">
      <c r="A985" s="709" t="str">
        <f>IF('Rozpad zakázky'!E1001=0,"",IF('Rozpad zakázky'!E1001="-","",'Rozpad zakázky'!E1001))</f>
        <v/>
      </c>
      <c r="B985" s="708" t="str">
        <f>IF(A985="","",IF(A985="","",VLOOKUP(A:A,Pomocna_Nakup[],3,0))&amp;" | "&amp;IF(A985="","",VLOOKUP(A:A,Pomocna_Nakup[],4,0)))</f>
        <v/>
      </c>
      <c r="C985" s="710" t="str">
        <f>IF(Tabulka_nakup_Vonka[[#This Row],[Zkratka kalkulační položky]]="","",Tabulka_nakup_Vonka[[#This Row],[Zkratka kalkulační položky]]&amp;" | "&amp;IF(A985="","",VLOOKUP(A:A,Pomocna_Nakup[],2,0)))</f>
        <v/>
      </c>
      <c r="D985" s="710" t="str">
        <f>IF(A985="","",'Rozpad zakázky'!F1001)</f>
        <v/>
      </c>
      <c r="E985" s="710" t="str">
        <f>IF(A985="","",'Rozpad zakázky'!D1001&amp;IF('Rozpad zakázky'!G1001="",""," ("&amp;'Rozpad zakázky'!G1001&amp;")"))</f>
        <v/>
      </c>
      <c r="F985" s="709" t="str">
        <f>IF(A985="","",'Rozpad zakázky'!IW1001)</f>
        <v/>
      </c>
      <c r="G985" s="711" t="str">
        <f>IF(A985="","",'Rozpad zakázky'!AE1001)</f>
        <v/>
      </c>
      <c r="H985" s="717" t="str">
        <f>IF(A985="","",'Rozpad zakázky'!AJ1001)</f>
        <v/>
      </c>
      <c r="I985" s="748" t="str">
        <f>IF(A985="","",'Rozpad zakázky'!Q1001)</f>
        <v/>
      </c>
      <c r="J985" s="717" t="str">
        <f>IF(A985="","",ROUNDDOWN('Rozpad zakázky'!L1001,1))</f>
        <v/>
      </c>
      <c r="K985" s="745" t="str">
        <f>IF(A985="","",Tabulka_nakup_Vonka[[#This Row],[Počet MJHR v rozpadu]]*Tabulka_nakup_Vonka[[#This Row],[Jedn. hmotnost '[kg/MJHR']]])</f>
        <v/>
      </c>
    </row>
    <row r="986" spans="1:11" x14ac:dyDescent="0.35">
      <c r="A986" s="709" t="str">
        <f>IF('Rozpad zakázky'!E1002=0,"",IF('Rozpad zakázky'!E1002="-","",'Rozpad zakázky'!E1002))</f>
        <v/>
      </c>
      <c r="B986" s="708" t="str">
        <f>IF(A986="","",IF(A986="","",VLOOKUP(A:A,Pomocna_Nakup[],3,0))&amp;" | "&amp;IF(A986="","",VLOOKUP(A:A,Pomocna_Nakup[],4,0)))</f>
        <v/>
      </c>
      <c r="C986" s="710" t="str">
        <f>IF(Tabulka_nakup_Vonka[[#This Row],[Zkratka kalkulační položky]]="","",Tabulka_nakup_Vonka[[#This Row],[Zkratka kalkulační položky]]&amp;" | "&amp;IF(A986="","",VLOOKUP(A:A,Pomocna_Nakup[],2,0)))</f>
        <v/>
      </c>
      <c r="D986" s="710" t="str">
        <f>IF(A986="","",'Rozpad zakázky'!F1002)</f>
        <v/>
      </c>
      <c r="E986" s="710" t="str">
        <f>IF(A986="","",'Rozpad zakázky'!D1002&amp;IF('Rozpad zakázky'!G1002="",""," ("&amp;'Rozpad zakázky'!G1002&amp;")"))</f>
        <v/>
      </c>
      <c r="F986" s="709" t="str">
        <f>IF(A986="","",'Rozpad zakázky'!IW1002)</f>
        <v/>
      </c>
      <c r="G986" s="711" t="str">
        <f>IF(A986="","",'Rozpad zakázky'!AE1002)</f>
        <v/>
      </c>
      <c r="H986" s="717" t="str">
        <f>IF(A986="","",'Rozpad zakázky'!AJ1002)</f>
        <v/>
      </c>
      <c r="I986" s="748" t="str">
        <f>IF(A986="","",'Rozpad zakázky'!Q1002)</f>
        <v/>
      </c>
      <c r="J986" s="717" t="str">
        <f>IF(A986="","",ROUNDDOWN('Rozpad zakázky'!L1002,1))</f>
        <v/>
      </c>
      <c r="K986" s="745" t="str">
        <f>IF(A986="","",Tabulka_nakup_Vonka[[#This Row],[Počet MJHR v rozpadu]]*Tabulka_nakup_Vonka[[#This Row],[Jedn. hmotnost '[kg/MJHR']]])</f>
        <v/>
      </c>
    </row>
    <row r="987" spans="1:11" x14ac:dyDescent="0.35">
      <c r="A987" s="709" t="str">
        <f>IF('Rozpad zakázky'!E1003=0,"",IF('Rozpad zakázky'!E1003="-","",'Rozpad zakázky'!E1003))</f>
        <v/>
      </c>
      <c r="B987" s="708" t="str">
        <f>IF(A987="","",IF(A987="","",VLOOKUP(A:A,Pomocna_Nakup[],3,0))&amp;" | "&amp;IF(A987="","",VLOOKUP(A:A,Pomocna_Nakup[],4,0)))</f>
        <v/>
      </c>
      <c r="C987" s="710" t="str">
        <f>IF(Tabulka_nakup_Vonka[[#This Row],[Zkratka kalkulační položky]]="","",Tabulka_nakup_Vonka[[#This Row],[Zkratka kalkulační položky]]&amp;" | "&amp;IF(A987="","",VLOOKUP(A:A,Pomocna_Nakup[],2,0)))</f>
        <v/>
      </c>
      <c r="D987" s="710" t="str">
        <f>IF(A987="","",'Rozpad zakázky'!F1003)</f>
        <v/>
      </c>
      <c r="E987" s="710" t="str">
        <f>IF(A987="","",'Rozpad zakázky'!D1003&amp;IF('Rozpad zakázky'!G1003="",""," ("&amp;'Rozpad zakázky'!G1003&amp;")"))</f>
        <v/>
      </c>
      <c r="F987" s="709" t="str">
        <f>IF(A987="","",'Rozpad zakázky'!IW1003)</f>
        <v/>
      </c>
      <c r="G987" s="711" t="str">
        <f>IF(A987="","",'Rozpad zakázky'!AE1003)</f>
        <v/>
      </c>
      <c r="H987" s="717" t="str">
        <f>IF(A987="","",'Rozpad zakázky'!AJ1003)</f>
        <v/>
      </c>
      <c r="I987" s="748" t="str">
        <f>IF(A987="","",'Rozpad zakázky'!Q1003)</f>
        <v/>
      </c>
      <c r="J987" s="717" t="str">
        <f>IF(A987="","",ROUNDDOWN('Rozpad zakázky'!L1003,1))</f>
        <v/>
      </c>
      <c r="K987" s="745" t="str">
        <f>IF(A987="","",Tabulka_nakup_Vonka[[#This Row],[Počet MJHR v rozpadu]]*Tabulka_nakup_Vonka[[#This Row],[Jedn. hmotnost '[kg/MJHR']]])</f>
        <v/>
      </c>
    </row>
    <row r="988" spans="1:11" x14ac:dyDescent="0.35">
      <c r="A988" s="709" t="str">
        <f>IF('Rozpad zakázky'!E1004=0,"",IF('Rozpad zakázky'!E1004="-","",'Rozpad zakázky'!E1004))</f>
        <v/>
      </c>
      <c r="B988" s="708" t="str">
        <f>IF(A988="","",IF(A988="","",VLOOKUP(A:A,Pomocna_Nakup[],3,0))&amp;" | "&amp;IF(A988="","",VLOOKUP(A:A,Pomocna_Nakup[],4,0)))</f>
        <v/>
      </c>
      <c r="C988" s="710" t="str">
        <f>IF(Tabulka_nakup_Vonka[[#This Row],[Zkratka kalkulační položky]]="","",Tabulka_nakup_Vonka[[#This Row],[Zkratka kalkulační položky]]&amp;" | "&amp;IF(A988="","",VLOOKUP(A:A,Pomocna_Nakup[],2,0)))</f>
        <v/>
      </c>
      <c r="D988" s="710" t="str">
        <f>IF(A988="","",'Rozpad zakázky'!F1004)</f>
        <v/>
      </c>
      <c r="E988" s="710" t="str">
        <f>IF(A988="","",'Rozpad zakázky'!D1004&amp;IF('Rozpad zakázky'!G1004="",""," ("&amp;'Rozpad zakázky'!G1004&amp;")"))</f>
        <v/>
      </c>
      <c r="F988" s="709" t="str">
        <f>IF(A988="","",'Rozpad zakázky'!IW1004)</f>
        <v/>
      </c>
      <c r="G988" s="711" t="str">
        <f>IF(A988="","",'Rozpad zakázky'!AE1004)</f>
        <v/>
      </c>
      <c r="H988" s="717" t="str">
        <f>IF(A988="","",'Rozpad zakázky'!AJ1004)</f>
        <v/>
      </c>
      <c r="I988" s="748" t="str">
        <f>IF(A988="","",'Rozpad zakázky'!Q1004)</f>
        <v/>
      </c>
      <c r="J988" s="717" t="str">
        <f>IF(A988="","",ROUNDDOWN('Rozpad zakázky'!L1004,1))</f>
        <v/>
      </c>
      <c r="K988" s="745" t="str">
        <f>IF(A988="","",Tabulka_nakup_Vonka[[#This Row],[Počet MJHR v rozpadu]]*Tabulka_nakup_Vonka[[#This Row],[Jedn. hmotnost '[kg/MJHR']]])</f>
        <v/>
      </c>
    </row>
    <row r="989" spans="1:11" x14ac:dyDescent="0.35">
      <c r="A989" s="709" t="str">
        <f>IF('Rozpad zakázky'!E1005=0,"",IF('Rozpad zakázky'!E1005="-","",'Rozpad zakázky'!E1005))</f>
        <v/>
      </c>
      <c r="B989" s="708" t="str">
        <f>IF(A989="","",IF(A989="","",VLOOKUP(A:A,Pomocna_Nakup[],3,0))&amp;" | "&amp;IF(A989="","",VLOOKUP(A:A,Pomocna_Nakup[],4,0)))</f>
        <v/>
      </c>
      <c r="C989" s="710" t="str">
        <f>IF(Tabulka_nakup_Vonka[[#This Row],[Zkratka kalkulační položky]]="","",Tabulka_nakup_Vonka[[#This Row],[Zkratka kalkulační položky]]&amp;" | "&amp;IF(A989="","",VLOOKUP(A:A,Pomocna_Nakup[],2,0)))</f>
        <v/>
      </c>
      <c r="D989" s="710" t="str">
        <f>IF(A989="","",'Rozpad zakázky'!F1005)</f>
        <v/>
      </c>
      <c r="E989" s="710" t="str">
        <f>IF(A989="","",'Rozpad zakázky'!D1005&amp;IF('Rozpad zakázky'!G1005="",""," ("&amp;'Rozpad zakázky'!G1005&amp;")"))</f>
        <v/>
      </c>
      <c r="F989" s="709" t="str">
        <f>IF(A989="","",'Rozpad zakázky'!IW1005)</f>
        <v/>
      </c>
      <c r="G989" s="711" t="str">
        <f>IF(A989="","",'Rozpad zakázky'!AE1005)</f>
        <v/>
      </c>
      <c r="H989" s="717" t="str">
        <f>IF(A989="","",'Rozpad zakázky'!AJ1005)</f>
        <v/>
      </c>
      <c r="I989" s="748" t="str">
        <f>IF(A989="","",'Rozpad zakázky'!Q1005)</f>
        <v/>
      </c>
      <c r="J989" s="717" t="str">
        <f>IF(A989="","",ROUNDDOWN('Rozpad zakázky'!L1005,1))</f>
        <v/>
      </c>
      <c r="K989" s="745" t="str">
        <f>IF(A989="","",Tabulka_nakup_Vonka[[#This Row],[Počet MJHR v rozpadu]]*Tabulka_nakup_Vonka[[#This Row],[Jedn. hmotnost '[kg/MJHR']]])</f>
        <v/>
      </c>
    </row>
    <row r="990" spans="1:11" x14ac:dyDescent="0.35">
      <c r="A990" s="709" t="str">
        <f>IF('Rozpad zakázky'!E1006=0,"",IF('Rozpad zakázky'!E1006="-","",'Rozpad zakázky'!E1006))</f>
        <v/>
      </c>
      <c r="B990" s="708" t="str">
        <f>IF(A990="","",IF(A990="","",VLOOKUP(A:A,Pomocna_Nakup[],3,0))&amp;" | "&amp;IF(A990="","",VLOOKUP(A:A,Pomocna_Nakup[],4,0)))</f>
        <v/>
      </c>
      <c r="C990" s="710" t="str">
        <f>IF(Tabulka_nakup_Vonka[[#This Row],[Zkratka kalkulační položky]]="","",Tabulka_nakup_Vonka[[#This Row],[Zkratka kalkulační položky]]&amp;" | "&amp;IF(A990="","",VLOOKUP(A:A,Pomocna_Nakup[],2,0)))</f>
        <v/>
      </c>
      <c r="D990" s="710" t="str">
        <f>IF(A990="","",'Rozpad zakázky'!F1006)</f>
        <v/>
      </c>
      <c r="E990" s="710" t="str">
        <f>IF(A990="","",'Rozpad zakázky'!D1006&amp;IF('Rozpad zakázky'!G1006="",""," ("&amp;'Rozpad zakázky'!G1006&amp;")"))</f>
        <v/>
      </c>
      <c r="F990" s="709" t="str">
        <f>IF(A990="","",'Rozpad zakázky'!IW1006)</f>
        <v/>
      </c>
      <c r="G990" s="711" t="str">
        <f>IF(A990="","",'Rozpad zakázky'!AE1006)</f>
        <v/>
      </c>
      <c r="H990" s="717" t="str">
        <f>IF(A990="","",'Rozpad zakázky'!AJ1006)</f>
        <v/>
      </c>
      <c r="I990" s="748" t="str">
        <f>IF(A990="","",'Rozpad zakázky'!Q1006)</f>
        <v/>
      </c>
      <c r="J990" s="717" t="str">
        <f>IF(A990="","",ROUNDDOWN('Rozpad zakázky'!L1006,1))</f>
        <v/>
      </c>
      <c r="K990" s="745" t="str">
        <f>IF(A990="","",Tabulka_nakup_Vonka[[#This Row],[Počet MJHR v rozpadu]]*Tabulka_nakup_Vonka[[#This Row],[Jedn. hmotnost '[kg/MJHR']]])</f>
        <v/>
      </c>
    </row>
    <row r="991" spans="1:11" x14ac:dyDescent="0.35">
      <c r="A991" s="709" t="str">
        <f>IF('Rozpad zakázky'!E1007=0,"",IF('Rozpad zakázky'!E1007="-","",'Rozpad zakázky'!E1007))</f>
        <v/>
      </c>
      <c r="B991" s="708" t="str">
        <f>IF(A991="","",IF(A991="","",VLOOKUP(A:A,Pomocna_Nakup[],3,0))&amp;" | "&amp;IF(A991="","",VLOOKUP(A:A,Pomocna_Nakup[],4,0)))</f>
        <v/>
      </c>
      <c r="C991" s="710" t="str">
        <f>IF(Tabulka_nakup_Vonka[[#This Row],[Zkratka kalkulační položky]]="","",Tabulka_nakup_Vonka[[#This Row],[Zkratka kalkulační položky]]&amp;" | "&amp;IF(A991="","",VLOOKUP(A:A,Pomocna_Nakup[],2,0)))</f>
        <v/>
      </c>
      <c r="D991" s="710" t="str">
        <f>IF(A991="","",'Rozpad zakázky'!F1007)</f>
        <v/>
      </c>
      <c r="E991" s="710" t="str">
        <f>IF(A991="","",'Rozpad zakázky'!D1007&amp;IF('Rozpad zakázky'!G1007="",""," ("&amp;'Rozpad zakázky'!G1007&amp;")"))</f>
        <v/>
      </c>
      <c r="F991" s="709" t="str">
        <f>IF(A991="","",'Rozpad zakázky'!IW1007)</f>
        <v/>
      </c>
      <c r="G991" s="711" t="str">
        <f>IF(A991="","",'Rozpad zakázky'!AE1007)</f>
        <v/>
      </c>
      <c r="H991" s="717" t="str">
        <f>IF(A991="","",'Rozpad zakázky'!AJ1007)</f>
        <v/>
      </c>
      <c r="I991" s="748" t="str">
        <f>IF(A991="","",'Rozpad zakázky'!Q1007)</f>
        <v/>
      </c>
      <c r="J991" s="717" t="str">
        <f>IF(A991="","",ROUNDDOWN('Rozpad zakázky'!L1007,1))</f>
        <v/>
      </c>
      <c r="K991" s="745" t="str">
        <f>IF(A991="","",Tabulka_nakup_Vonka[[#This Row],[Počet MJHR v rozpadu]]*Tabulka_nakup_Vonka[[#This Row],[Jedn. hmotnost '[kg/MJHR']]])</f>
        <v/>
      </c>
    </row>
    <row r="992" spans="1:11" x14ac:dyDescent="0.35">
      <c r="A992" s="709" t="str">
        <f>IF('Rozpad zakázky'!E1008=0,"",IF('Rozpad zakázky'!E1008="-","",'Rozpad zakázky'!E1008))</f>
        <v/>
      </c>
      <c r="B992" s="708" t="str">
        <f>IF(A992="","",IF(A992="","",VLOOKUP(A:A,Pomocna_Nakup[],3,0))&amp;" | "&amp;IF(A992="","",VLOOKUP(A:A,Pomocna_Nakup[],4,0)))</f>
        <v/>
      </c>
      <c r="C992" s="710" t="str">
        <f>IF(Tabulka_nakup_Vonka[[#This Row],[Zkratka kalkulační položky]]="","",Tabulka_nakup_Vonka[[#This Row],[Zkratka kalkulační položky]]&amp;" | "&amp;IF(A992="","",VLOOKUP(A:A,Pomocna_Nakup[],2,0)))</f>
        <v/>
      </c>
      <c r="D992" s="710" t="str">
        <f>IF(A992="","",'Rozpad zakázky'!F1008)</f>
        <v/>
      </c>
      <c r="E992" s="710" t="str">
        <f>IF(A992="","",'Rozpad zakázky'!D1008&amp;IF('Rozpad zakázky'!G1008="",""," ("&amp;'Rozpad zakázky'!G1008&amp;")"))</f>
        <v/>
      </c>
      <c r="F992" s="709" t="str">
        <f>IF(A992="","",'Rozpad zakázky'!IW1008)</f>
        <v/>
      </c>
      <c r="G992" s="711" t="str">
        <f>IF(A992="","",'Rozpad zakázky'!AE1008)</f>
        <v/>
      </c>
      <c r="H992" s="717" t="str">
        <f>IF(A992="","",'Rozpad zakázky'!AJ1008)</f>
        <v/>
      </c>
      <c r="I992" s="748" t="str">
        <f>IF(A992="","",'Rozpad zakázky'!Q1008)</f>
        <v/>
      </c>
      <c r="J992" s="717" t="str">
        <f>IF(A992="","",ROUNDDOWN('Rozpad zakázky'!L1008,1))</f>
        <v/>
      </c>
      <c r="K992" s="745" t="str">
        <f>IF(A992="","",Tabulka_nakup_Vonka[[#This Row],[Počet MJHR v rozpadu]]*Tabulka_nakup_Vonka[[#This Row],[Jedn. hmotnost '[kg/MJHR']]])</f>
        <v/>
      </c>
    </row>
    <row r="993" spans="1:11" x14ac:dyDescent="0.35">
      <c r="A993" s="709" t="str">
        <f>IF('Rozpad zakázky'!E1009=0,"",IF('Rozpad zakázky'!E1009="-","",'Rozpad zakázky'!E1009))</f>
        <v/>
      </c>
      <c r="B993" s="708" t="str">
        <f>IF(A993="","",IF(A993="","",VLOOKUP(A:A,Pomocna_Nakup[],3,0))&amp;" | "&amp;IF(A993="","",VLOOKUP(A:A,Pomocna_Nakup[],4,0)))</f>
        <v/>
      </c>
      <c r="C993" s="710" t="str">
        <f>IF(Tabulka_nakup_Vonka[[#This Row],[Zkratka kalkulační položky]]="","",Tabulka_nakup_Vonka[[#This Row],[Zkratka kalkulační položky]]&amp;" | "&amp;IF(A993="","",VLOOKUP(A:A,Pomocna_Nakup[],2,0)))</f>
        <v/>
      </c>
      <c r="D993" s="710" t="str">
        <f>IF(A993="","",'Rozpad zakázky'!F1009)</f>
        <v/>
      </c>
      <c r="E993" s="710" t="str">
        <f>IF(A993="","",'Rozpad zakázky'!D1009&amp;IF('Rozpad zakázky'!G1009="",""," ("&amp;'Rozpad zakázky'!G1009&amp;")"))</f>
        <v/>
      </c>
      <c r="F993" s="709" t="str">
        <f>IF(A993="","",'Rozpad zakázky'!IW1009)</f>
        <v/>
      </c>
      <c r="G993" s="711" t="str">
        <f>IF(A993="","",'Rozpad zakázky'!AE1009)</f>
        <v/>
      </c>
      <c r="H993" s="717" t="str">
        <f>IF(A993="","",'Rozpad zakázky'!AJ1009)</f>
        <v/>
      </c>
      <c r="I993" s="748" t="str">
        <f>IF(A993="","",'Rozpad zakázky'!Q1009)</f>
        <v/>
      </c>
      <c r="J993" s="717" t="str">
        <f>IF(A993="","",ROUNDDOWN('Rozpad zakázky'!L1009,1))</f>
        <v/>
      </c>
      <c r="K993" s="745" t="str">
        <f>IF(A993="","",Tabulka_nakup_Vonka[[#This Row],[Počet MJHR v rozpadu]]*Tabulka_nakup_Vonka[[#This Row],[Jedn. hmotnost '[kg/MJHR']]])</f>
        <v/>
      </c>
    </row>
    <row r="994" spans="1:11" x14ac:dyDescent="0.35">
      <c r="A994" s="709" t="str">
        <f>IF('Rozpad zakázky'!E1010=0,"",IF('Rozpad zakázky'!E1010="-","",'Rozpad zakázky'!E1010))</f>
        <v/>
      </c>
      <c r="B994" s="708" t="str">
        <f>IF(A994="","",IF(A994="","",VLOOKUP(A:A,Pomocna_Nakup[],3,0))&amp;" | "&amp;IF(A994="","",VLOOKUP(A:A,Pomocna_Nakup[],4,0)))</f>
        <v/>
      </c>
      <c r="C994" s="710" t="str">
        <f>IF(Tabulka_nakup_Vonka[[#This Row],[Zkratka kalkulační položky]]="","",Tabulka_nakup_Vonka[[#This Row],[Zkratka kalkulační položky]]&amp;" | "&amp;IF(A994="","",VLOOKUP(A:A,Pomocna_Nakup[],2,0)))</f>
        <v/>
      </c>
      <c r="D994" s="710" t="str">
        <f>IF(A994="","",'Rozpad zakázky'!F1010)</f>
        <v/>
      </c>
      <c r="E994" s="710" t="str">
        <f>IF(A994="","",'Rozpad zakázky'!D1010&amp;IF('Rozpad zakázky'!G1010="",""," ("&amp;'Rozpad zakázky'!G1010&amp;")"))</f>
        <v/>
      </c>
      <c r="F994" s="709" t="str">
        <f>IF(A994="","",'Rozpad zakázky'!IW1010)</f>
        <v/>
      </c>
      <c r="G994" s="711" t="str">
        <f>IF(A994="","",'Rozpad zakázky'!AE1010)</f>
        <v/>
      </c>
      <c r="H994" s="717" t="str">
        <f>IF(A994="","",'Rozpad zakázky'!AJ1010)</f>
        <v/>
      </c>
      <c r="I994" s="748" t="str">
        <f>IF(A994="","",'Rozpad zakázky'!Q1010)</f>
        <v/>
      </c>
      <c r="J994" s="717" t="str">
        <f>IF(A994="","",ROUNDDOWN('Rozpad zakázky'!L1010,1))</f>
        <v/>
      </c>
      <c r="K994" s="745" t="str">
        <f>IF(A994="","",Tabulka_nakup_Vonka[[#This Row],[Počet MJHR v rozpadu]]*Tabulka_nakup_Vonka[[#This Row],[Jedn. hmotnost '[kg/MJHR']]])</f>
        <v/>
      </c>
    </row>
    <row r="995" spans="1:11" x14ac:dyDescent="0.35">
      <c r="A995" s="709" t="str">
        <f>IF('Rozpad zakázky'!E1011=0,"",IF('Rozpad zakázky'!E1011="-","",'Rozpad zakázky'!E1011))</f>
        <v/>
      </c>
      <c r="B995" s="708" t="str">
        <f>IF(A995="","",IF(A995="","",VLOOKUP(A:A,Pomocna_Nakup[],3,0))&amp;" | "&amp;IF(A995="","",VLOOKUP(A:A,Pomocna_Nakup[],4,0)))</f>
        <v/>
      </c>
      <c r="C995" s="710" t="str">
        <f>IF(Tabulka_nakup_Vonka[[#This Row],[Zkratka kalkulační položky]]="","",Tabulka_nakup_Vonka[[#This Row],[Zkratka kalkulační položky]]&amp;" | "&amp;IF(A995="","",VLOOKUP(A:A,Pomocna_Nakup[],2,0)))</f>
        <v/>
      </c>
      <c r="D995" s="710" t="str">
        <f>IF(A995="","",'Rozpad zakázky'!F1011)</f>
        <v/>
      </c>
      <c r="E995" s="710" t="str">
        <f>IF(A995="","",'Rozpad zakázky'!D1011&amp;IF('Rozpad zakázky'!G1011="",""," ("&amp;'Rozpad zakázky'!G1011&amp;")"))</f>
        <v/>
      </c>
      <c r="F995" s="709" t="str">
        <f>IF(A995="","",'Rozpad zakázky'!IW1011)</f>
        <v/>
      </c>
      <c r="G995" s="711" t="str">
        <f>IF(A995="","",'Rozpad zakázky'!AE1011)</f>
        <v/>
      </c>
      <c r="H995" s="717" t="str">
        <f>IF(A995="","",'Rozpad zakázky'!AJ1011)</f>
        <v/>
      </c>
      <c r="I995" s="748" t="str">
        <f>IF(A995="","",'Rozpad zakázky'!Q1011)</f>
        <v/>
      </c>
      <c r="J995" s="717" t="str">
        <f>IF(A995="","",ROUNDDOWN('Rozpad zakázky'!L1011,1))</f>
        <v/>
      </c>
      <c r="K995" s="745" t="str">
        <f>IF(A995="","",Tabulka_nakup_Vonka[[#This Row],[Počet MJHR v rozpadu]]*Tabulka_nakup_Vonka[[#This Row],[Jedn. hmotnost '[kg/MJHR']]])</f>
        <v/>
      </c>
    </row>
    <row r="996" spans="1:11" x14ac:dyDescent="0.35">
      <c r="A996" s="709" t="str">
        <f>IF('Rozpad zakázky'!E1012=0,"",IF('Rozpad zakázky'!E1012="-","",'Rozpad zakázky'!E1012))</f>
        <v/>
      </c>
      <c r="B996" s="708" t="str">
        <f>IF(A996="","",IF(A996="","",VLOOKUP(A:A,Pomocna_Nakup[],3,0))&amp;" | "&amp;IF(A996="","",VLOOKUP(A:A,Pomocna_Nakup[],4,0)))</f>
        <v/>
      </c>
      <c r="C996" s="710" t="str">
        <f>IF(Tabulka_nakup_Vonka[[#This Row],[Zkratka kalkulační položky]]="","",Tabulka_nakup_Vonka[[#This Row],[Zkratka kalkulační položky]]&amp;" | "&amp;IF(A996="","",VLOOKUP(A:A,Pomocna_Nakup[],2,0)))</f>
        <v/>
      </c>
      <c r="D996" s="710" t="str">
        <f>IF(A996="","",'Rozpad zakázky'!F1012)</f>
        <v/>
      </c>
      <c r="E996" s="710" t="str">
        <f>IF(A996="","",'Rozpad zakázky'!D1012&amp;IF('Rozpad zakázky'!G1012="",""," ("&amp;'Rozpad zakázky'!G1012&amp;")"))</f>
        <v/>
      </c>
      <c r="F996" s="709" t="str">
        <f>IF(A996="","",'Rozpad zakázky'!IW1012)</f>
        <v/>
      </c>
      <c r="G996" s="711" t="str">
        <f>IF(A996="","",'Rozpad zakázky'!AE1012)</f>
        <v/>
      </c>
      <c r="H996" s="717" t="str">
        <f>IF(A996="","",'Rozpad zakázky'!AJ1012)</f>
        <v/>
      </c>
      <c r="I996" s="748" t="str">
        <f>IF(A996="","",'Rozpad zakázky'!Q1012)</f>
        <v/>
      </c>
      <c r="J996" s="717" t="str">
        <f>IF(A996="","",ROUNDDOWN('Rozpad zakázky'!L1012,1))</f>
        <v/>
      </c>
      <c r="K996" s="745" t="str">
        <f>IF(A996="","",Tabulka_nakup_Vonka[[#This Row],[Počet MJHR v rozpadu]]*Tabulka_nakup_Vonka[[#This Row],[Jedn. hmotnost '[kg/MJHR']]])</f>
        <v/>
      </c>
    </row>
    <row r="997" spans="1:11" x14ac:dyDescent="0.35">
      <c r="A997" s="709" t="str">
        <f>IF('Rozpad zakázky'!E1013=0,"",IF('Rozpad zakázky'!E1013="-","",'Rozpad zakázky'!E1013))</f>
        <v/>
      </c>
      <c r="B997" s="708" t="str">
        <f>IF(A997="","",IF(A997="","",VLOOKUP(A:A,Pomocna_Nakup[],3,0))&amp;" | "&amp;IF(A997="","",VLOOKUP(A:A,Pomocna_Nakup[],4,0)))</f>
        <v/>
      </c>
      <c r="C997" s="710" t="str">
        <f>IF(Tabulka_nakup_Vonka[[#This Row],[Zkratka kalkulační položky]]="","",Tabulka_nakup_Vonka[[#This Row],[Zkratka kalkulační položky]]&amp;" | "&amp;IF(A997="","",VLOOKUP(A:A,Pomocna_Nakup[],2,0)))</f>
        <v/>
      </c>
      <c r="D997" s="710" t="str">
        <f>IF(A997="","",'Rozpad zakázky'!F1013)</f>
        <v/>
      </c>
      <c r="E997" s="710" t="str">
        <f>IF(A997="","",'Rozpad zakázky'!D1013&amp;IF('Rozpad zakázky'!G1013="",""," ("&amp;'Rozpad zakázky'!G1013&amp;")"))</f>
        <v/>
      </c>
      <c r="F997" s="709" t="str">
        <f>IF(A997="","",'Rozpad zakázky'!IW1013)</f>
        <v/>
      </c>
      <c r="G997" s="711" t="str">
        <f>IF(A997="","",'Rozpad zakázky'!AE1013)</f>
        <v/>
      </c>
      <c r="H997" s="717" t="str">
        <f>IF(A997="","",'Rozpad zakázky'!AJ1013)</f>
        <v/>
      </c>
      <c r="I997" s="748" t="str">
        <f>IF(A997="","",'Rozpad zakázky'!Q1013)</f>
        <v/>
      </c>
      <c r="J997" s="717" t="str">
        <f>IF(A997="","",ROUNDDOWN('Rozpad zakázky'!L1013,1))</f>
        <v/>
      </c>
      <c r="K997" s="745" t="str">
        <f>IF(A997="","",Tabulka_nakup_Vonka[[#This Row],[Počet MJHR v rozpadu]]*Tabulka_nakup_Vonka[[#This Row],[Jedn. hmotnost '[kg/MJHR']]])</f>
        <v/>
      </c>
    </row>
    <row r="998" spans="1:11" x14ac:dyDescent="0.35">
      <c r="A998" s="709" t="str">
        <f>IF('Rozpad zakázky'!E1014=0,"",IF('Rozpad zakázky'!E1014="-","",'Rozpad zakázky'!E1014))</f>
        <v/>
      </c>
      <c r="B998" s="708" t="str">
        <f>IF(A998="","",IF(A998="","",VLOOKUP(A:A,Pomocna_Nakup[],3,0))&amp;" | "&amp;IF(A998="","",VLOOKUP(A:A,Pomocna_Nakup[],4,0)))</f>
        <v/>
      </c>
      <c r="C998" s="710" t="str">
        <f>IF(Tabulka_nakup_Vonka[[#This Row],[Zkratka kalkulační položky]]="","",Tabulka_nakup_Vonka[[#This Row],[Zkratka kalkulační položky]]&amp;" | "&amp;IF(A998="","",VLOOKUP(A:A,Pomocna_Nakup[],2,0)))</f>
        <v/>
      </c>
      <c r="D998" s="710" t="str">
        <f>IF(A998="","",'Rozpad zakázky'!F1014)</f>
        <v/>
      </c>
      <c r="E998" s="710" t="str">
        <f>IF(A998="","",'Rozpad zakázky'!D1014&amp;IF('Rozpad zakázky'!G1014="",""," ("&amp;'Rozpad zakázky'!G1014&amp;")"))</f>
        <v/>
      </c>
      <c r="F998" s="709" t="str">
        <f>IF(A998="","",'Rozpad zakázky'!IW1014)</f>
        <v/>
      </c>
      <c r="G998" s="711" t="str">
        <f>IF(A998="","",'Rozpad zakázky'!AE1014)</f>
        <v/>
      </c>
      <c r="H998" s="717" t="str">
        <f>IF(A998="","",'Rozpad zakázky'!AJ1014)</f>
        <v/>
      </c>
      <c r="I998" s="748" t="str">
        <f>IF(A998="","",'Rozpad zakázky'!Q1014)</f>
        <v/>
      </c>
      <c r="J998" s="717" t="str">
        <f>IF(A998="","",ROUNDDOWN('Rozpad zakázky'!L1014,1))</f>
        <v/>
      </c>
      <c r="K998" s="745" t="str">
        <f>IF(A998="","",Tabulka_nakup_Vonka[[#This Row],[Počet MJHR v rozpadu]]*Tabulka_nakup_Vonka[[#This Row],[Jedn. hmotnost '[kg/MJHR']]])</f>
        <v/>
      </c>
    </row>
    <row r="999" spans="1:11" x14ac:dyDescent="0.35">
      <c r="A999" s="709" t="str">
        <f>IF('Rozpad zakázky'!E1015=0,"",IF('Rozpad zakázky'!E1015="-","",'Rozpad zakázky'!E1015))</f>
        <v/>
      </c>
      <c r="B999" s="708" t="str">
        <f>IF(A999="","",IF(A999="","",VLOOKUP(A:A,Pomocna_Nakup[],3,0))&amp;" | "&amp;IF(A999="","",VLOOKUP(A:A,Pomocna_Nakup[],4,0)))</f>
        <v/>
      </c>
      <c r="C999" s="710" t="str">
        <f>IF(Tabulka_nakup_Vonka[[#This Row],[Zkratka kalkulační položky]]="","",Tabulka_nakup_Vonka[[#This Row],[Zkratka kalkulační položky]]&amp;" | "&amp;IF(A999="","",VLOOKUP(A:A,Pomocna_Nakup[],2,0)))</f>
        <v/>
      </c>
      <c r="D999" s="710" t="str">
        <f>IF(A999="","",'Rozpad zakázky'!F1015)</f>
        <v/>
      </c>
      <c r="E999" s="710" t="str">
        <f>IF(A999="","",'Rozpad zakázky'!D1015&amp;IF('Rozpad zakázky'!G1015="",""," ("&amp;'Rozpad zakázky'!G1015&amp;")"))</f>
        <v/>
      </c>
      <c r="F999" s="709" t="str">
        <f>IF(A999="","",'Rozpad zakázky'!IW1015)</f>
        <v/>
      </c>
      <c r="G999" s="711" t="str">
        <f>IF(A999="","",'Rozpad zakázky'!AE1015)</f>
        <v/>
      </c>
      <c r="H999" s="717" t="str">
        <f>IF(A999="","",'Rozpad zakázky'!AJ1015)</f>
        <v/>
      </c>
      <c r="I999" s="748" t="str">
        <f>IF(A999="","",'Rozpad zakázky'!Q1015)</f>
        <v/>
      </c>
      <c r="J999" s="717" t="str">
        <f>IF(A999="","",ROUNDDOWN('Rozpad zakázky'!L1015,1))</f>
        <v/>
      </c>
      <c r="K999" s="745" t="str">
        <f>IF(A999="","",Tabulka_nakup_Vonka[[#This Row],[Počet MJHR v rozpadu]]*Tabulka_nakup_Vonka[[#This Row],[Jedn. hmotnost '[kg/MJHR']]])</f>
        <v/>
      </c>
    </row>
    <row r="1000" spans="1:11" x14ac:dyDescent="0.35">
      <c r="A1000" s="709" t="str">
        <f>IF('Rozpad zakázky'!E1016=0,"",IF('Rozpad zakázky'!E1016="-","",'Rozpad zakázky'!E1016))</f>
        <v/>
      </c>
      <c r="B1000" s="708" t="str">
        <f>IF(A1000="","",IF(A1000="","",VLOOKUP(A:A,Pomocna_Nakup[],3,0))&amp;" | "&amp;IF(A1000="","",VLOOKUP(A:A,Pomocna_Nakup[],4,0)))</f>
        <v/>
      </c>
      <c r="C1000" s="710" t="str">
        <f>IF(Tabulka_nakup_Vonka[[#This Row],[Zkratka kalkulační položky]]="","",Tabulka_nakup_Vonka[[#This Row],[Zkratka kalkulační položky]]&amp;" | "&amp;IF(A1000="","",VLOOKUP(A:A,Pomocna_Nakup[],2,0)))</f>
        <v/>
      </c>
      <c r="D1000" s="710" t="str">
        <f>IF(A1000="","",'Rozpad zakázky'!F1016)</f>
        <v/>
      </c>
      <c r="E1000" s="710" t="str">
        <f>IF(A1000="","",'Rozpad zakázky'!D1016&amp;IF('Rozpad zakázky'!G1016="",""," ("&amp;'Rozpad zakázky'!G1016&amp;")"))</f>
        <v/>
      </c>
      <c r="F1000" s="709" t="str">
        <f>IF(A1000="","",'Rozpad zakázky'!IW1016)</f>
        <v/>
      </c>
      <c r="G1000" s="711" t="str">
        <f>IF(A1000="","",'Rozpad zakázky'!AE1016)</f>
        <v/>
      </c>
      <c r="H1000" s="717" t="str">
        <f>IF(A1000="","",'Rozpad zakázky'!AJ1016)</f>
        <v/>
      </c>
      <c r="I1000" s="748" t="str">
        <f>IF(A1000="","",'Rozpad zakázky'!Q1016)</f>
        <v/>
      </c>
      <c r="J1000" s="717" t="str">
        <f>IF(A1000="","",ROUNDDOWN('Rozpad zakázky'!L1016,1))</f>
        <v/>
      </c>
      <c r="K1000" s="745" t="str">
        <f>IF(A1000="","",Tabulka_nakup_Vonka[[#This Row],[Počet MJHR v rozpadu]]*Tabulka_nakup_Vonka[[#This Row],[Jedn. hmotnost '[kg/MJHR']]])</f>
        <v/>
      </c>
    </row>
    <row r="1001" spans="1:11" x14ac:dyDescent="0.35">
      <c r="A1001" s="709" t="str">
        <f>IF('Rozpad zakázky'!E1017=0,"",IF('Rozpad zakázky'!E1017="-","",'Rozpad zakázky'!E1017))</f>
        <v/>
      </c>
      <c r="B1001" s="708" t="str">
        <f>IF(A1001="","",IF(A1001="","",VLOOKUP(A:A,Pomocna_Nakup[],3,0))&amp;" | "&amp;IF(A1001="","",VLOOKUP(A:A,Pomocna_Nakup[],4,0)))</f>
        <v/>
      </c>
      <c r="C1001" s="710" t="str">
        <f>IF(Tabulka_nakup_Vonka[[#This Row],[Zkratka kalkulační položky]]="","",Tabulka_nakup_Vonka[[#This Row],[Zkratka kalkulační položky]]&amp;" | "&amp;IF(A1001="","",VLOOKUP(A:A,Pomocna_Nakup[],2,0)))</f>
        <v/>
      </c>
      <c r="D1001" s="710" t="str">
        <f>IF(A1001="","",'Rozpad zakázky'!F1017)</f>
        <v/>
      </c>
      <c r="E1001" s="710" t="str">
        <f>IF(A1001="","",'Rozpad zakázky'!D1017&amp;IF('Rozpad zakázky'!G1017="",""," ("&amp;'Rozpad zakázky'!G1017&amp;")"))</f>
        <v/>
      </c>
      <c r="F1001" s="709" t="str">
        <f>IF(A1001="","",'Rozpad zakázky'!IW1017)</f>
        <v/>
      </c>
      <c r="G1001" s="711" t="str">
        <f>IF(A1001="","",'Rozpad zakázky'!AE1017)</f>
        <v/>
      </c>
      <c r="H1001" s="717" t="str">
        <f>IF(A1001="","",'Rozpad zakázky'!AJ1017)</f>
        <v/>
      </c>
      <c r="I1001" s="748" t="str">
        <f>IF(A1001="","",'Rozpad zakázky'!Q1017)</f>
        <v/>
      </c>
      <c r="J1001" s="717" t="str">
        <f>IF(A1001="","",ROUNDDOWN('Rozpad zakázky'!L1017,1))</f>
        <v/>
      </c>
      <c r="K1001" s="745" t="str">
        <f>IF(A1001="","",Tabulka_nakup_Vonka[[#This Row],[Počet MJHR v rozpadu]]*Tabulka_nakup_Vonka[[#This Row],[Jedn. hmotnost '[kg/MJHR']]])</f>
        <v/>
      </c>
    </row>
    <row r="1002" spans="1:11" x14ac:dyDescent="0.35">
      <c r="A1002" s="709" t="str">
        <f>IF('Rozpad zakázky'!E1018=0,"",IF('Rozpad zakázky'!E1018="-","",'Rozpad zakázky'!E1018))</f>
        <v/>
      </c>
      <c r="B1002" s="708" t="str">
        <f>IF(A1002="","",IF(A1002="","",VLOOKUP(A:A,Pomocna_Nakup[],3,0))&amp;" | "&amp;IF(A1002="","",VLOOKUP(A:A,Pomocna_Nakup[],4,0)))</f>
        <v/>
      </c>
      <c r="C1002" s="710" t="str">
        <f>IF(Tabulka_nakup_Vonka[[#This Row],[Zkratka kalkulační položky]]="","",Tabulka_nakup_Vonka[[#This Row],[Zkratka kalkulační položky]]&amp;" | "&amp;IF(A1002="","",VLOOKUP(A:A,Pomocna_Nakup[],2,0)))</f>
        <v/>
      </c>
      <c r="D1002" s="710" t="str">
        <f>IF(A1002="","",'Rozpad zakázky'!F1018)</f>
        <v/>
      </c>
      <c r="E1002" s="710" t="str">
        <f>IF(A1002="","",'Rozpad zakázky'!D1018&amp;IF('Rozpad zakázky'!G1018="",""," ("&amp;'Rozpad zakázky'!G1018&amp;")"))</f>
        <v/>
      </c>
      <c r="F1002" s="709" t="str">
        <f>IF(A1002="","",'Rozpad zakázky'!IW1018)</f>
        <v/>
      </c>
      <c r="G1002" s="711" t="str">
        <f>IF(A1002="","",'Rozpad zakázky'!AE1018)</f>
        <v/>
      </c>
      <c r="H1002" s="717" t="str">
        <f>IF(A1002="","",'Rozpad zakázky'!AJ1018)</f>
        <v/>
      </c>
      <c r="I1002" s="748" t="str">
        <f>IF(A1002="","",'Rozpad zakázky'!Q1018)</f>
        <v/>
      </c>
      <c r="J1002" s="717" t="str">
        <f>IF(A1002="","",ROUNDDOWN('Rozpad zakázky'!L1018,1))</f>
        <v/>
      </c>
      <c r="K1002" s="745" t="str">
        <f>IF(A1002="","",Tabulka_nakup_Vonka[[#This Row],[Počet MJHR v rozpadu]]*Tabulka_nakup_Vonka[[#This Row],[Jedn. hmotnost '[kg/MJHR']]])</f>
        <v/>
      </c>
    </row>
    <row r="1003" spans="1:11" x14ac:dyDescent="0.35">
      <c r="A1003" s="709" t="str">
        <f>IF('Rozpad zakázky'!E1019=0,"",IF('Rozpad zakázky'!E1019="-","",'Rozpad zakázky'!E1019))</f>
        <v/>
      </c>
      <c r="B1003" s="708" t="str">
        <f>IF(A1003="","",IF(A1003="","",VLOOKUP(A:A,Pomocna_Nakup[],3,0))&amp;" | "&amp;IF(A1003="","",VLOOKUP(A:A,Pomocna_Nakup[],4,0)))</f>
        <v/>
      </c>
      <c r="C1003" s="710" t="str">
        <f>IF(Tabulka_nakup_Vonka[[#This Row],[Zkratka kalkulační položky]]="","",Tabulka_nakup_Vonka[[#This Row],[Zkratka kalkulační položky]]&amp;" | "&amp;IF(A1003="","",VLOOKUP(A:A,Pomocna_Nakup[],2,0)))</f>
        <v/>
      </c>
      <c r="D1003" s="710" t="str">
        <f>IF(A1003="","",'Rozpad zakázky'!F1019)</f>
        <v/>
      </c>
      <c r="E1003" s="710" t="str">
        <f>IF(A1003="","",'Rozpad zakázky'!D1019&amp;IF('Rozpad zakázky'!G1019="",""," ("&amp;'Rozpad zakázky'!G1019&amp;")"))</f>
        <v/>
      </c>
      <c r="F1003" s="709" t="str">
        <f>IF(A1003="","",'Rozpad zakázky'!IW1019)</f>
        <v/>
      </c>
      <c r="G1003" s="711" t="str">
        <f>IF(A1003="","",'Rozpad zakázky'!AE1019)</f>
        <v/>
      </c>
      <c r="H1003" s="717" t="str">
        <f>IF(A1003="","",'Rozpad zakázky'!AJ1019)</f>
        <v/>
      </c>
      <c r="I1003" s="748" t="str">
        <f>IF(A1003="","",'Rozpad zakázky'!Q1019)</f>
        <v/>
      </c>
      <c r="J1003" s="717" t="str">
        <f>IF(A1003="","",ROUNDDOWN('Rozpad zakázky'!L1019,1))</f>
        <v/>
      </c>
      <c r="K1003" s="745" t="str">
        <f>IF(A1003="","",Tabulka_nakup_Vonka[[#This Row],[Počet MJHR v rozpadu]]*Tabulka_nakup_Vonka[[#This Row],[Jedn. hmotnost '[kg/MJHR']]])</f>
        <v/>
      </c>
    </row>
  </sheetData>
  <sheetProtection selectLockedCells="1" selectUnlockedCells="1"/>
  <conditionalFormatting sqref="A2:A1003">
    <cfRule type="cellIs" dxfId="313" priority="1" operator="notEqual">
      <formula>""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9">
    <tabColor theme="9"/>
    <pageSetUpPr fitToPage="1"/>
  </sheetPr>
  <dimension ref="A1:H3772"/>
  <sheetViews>
    <sheetView topLeftCell="A19" workbookViewId="0">
      <selection activeCell="B26" sqref="B26"/>
    </sheetView>
  </sheetViews>
  <sheetFormatPr defaultColWidth="9.1328125" defaultRowHeight="12.75" x14ac:dyDescent="0.35"/>
  <cols>
    <col min="1" max="1" width="3.86328125" style="90" customWidth="1"/>
    <col min="2" max="2" width="74" style="712" customWidth="1"/>
    <col min="3" max="3" width="16.86328125" style="712" customWidth="1"/>
    <col min="4" max="4" width="16.86328125" style="714" customWidth="1"/>
    <col min="5" max="5" width="16.86328125" style="722" customWidth="1"/>
    <col min="6" max="6" width="16.86328125" style="775" customWidth="1"/>
    <col min="7" max="7" width="16.86328125" style="750" customWidth="1"/>
    <col min="8" max="8" width="27.1328125" style="90" customWidth="1"/>
    <col min="9" max="9" width="16.86328125" style="90" customWidth="1"/>
    <col min="10" max="10" width="16.1328125" style="90" customWidth="1"/>
    <col min="11" max="11" width="27.1328125" style="90" customWidth="1"/>
    <col min="12" max="12" width="16.86328125" style="90" customWidth="1"/>
    <col min="13" max="13" width="16.1328125" style="90" customWidth="1"/>
    <col min="14" max="14" width="27.1328125" style="90" customWidth="1"/>
    <col min="15" max="15" width="16.86328125" style="90" customWidth="1"/>
    <col min="16" max="16" width="16.1328125" style="90" customWidth="1"/>
    <col min="17" max="17" width="27.1328125" style="90" customWidth="1"/>
    <col min="18" max="18" width="16.86328125" style="90" customWidth="1"/>
    <col min="19" max="19" width="16.1328125" style="90" customWidth="1"/>
    <col min="20" max="20" width="27.1328125" style="90" customWidth="1"/>
    <col min="21" max="21" width="16.86328125" style="90" customWidth="1"/>
    <col min="22" max="22" width="16.1328125" style="90" customWidth="1"/>
    <col min="23" max="23" width="27.1328125" style="90" customWidth="1"/>
    <col min="24" max="24" width="24.59765625" style="90" customWidth="1"/>
    <col min="25" max="25" width="23.86328125" style="90" bestFit="1" customWidth="1"/>
    <col min="26" max="26" width="34.86328125" style="90" bestFit="1" customWidth="1"/>
    <col min="27" max="27" width="16.86328125" style="90" bestFit="1" customWidth="1"/>
    <col min="28" max="28" width="16.1328125" style="90" customWidth="1"/>
    <col min="29" max="29" width="17.59765625" style="90" customWidth="1"/>
    <col min="30" max="30" width="16.73046875" style="90" customWidth="1"/>
    <col min="31" max="31" width="24.59765625" style="90" bestFit="1" customWidth="1"/>
    <col min="32" max="32" width="23.86328125" style="90" bestFit="1" customWidth="1"/>
    <col min="33" max="16384" width="9.1328125" style="90"/>
  </cols>
  <sheetData>
    <row r="1" spans="1:8" ht="13.15" thickBot="1" x14ac:dyDescent="0.4"/>
    <row r="2" spans="1:8" ht="23.25" customHeight="1" thickBot="1" x14ac:dyDescent="0.4">
      <c r="B2" s="868" t="str">
        <f>'Rozpad zakázky'!D2</f>
        <v>RZ - Rozpad zakázky</v>
      </c>
      <c r="C2" s="857"/>
      <c r="D2" s="857"/>
      <c r="E2" s="857"/>
      <c r="F2" s="857"/>
      <c r="G2" s="858"/>
    </row>
    <row r="3" spans="1:8" ht="13.5" customHeight="1" x14ac:dyDescent="0.35">
      <c r="B3" s="862" t="str">
        <f>'Rozpad zakázky'!D3</f>
        <v>Vypracoval za Projekci</v>
      </c>
      <c r="C3" s="863" t="str">
        <f>'Rozpad zakázky'!F3</f>
        <v>Dne</v>
      </c>
      <c r="D3" s="1021" t="str">
        <f>'Rozpad zakázky'!G3</f>
        <v>Vypracoval za Nákup</v>
      </c>
      <c r="E3" s="1022"/>
      <c r="F3" s="1023"/>
      <c r="G3" s="873" t="str">
        <f>'Rozpad zakázky'!I3</f>
        <v>Dne</v>
      </c>
    </row>
    <row r="4" spans="1:8" ht="20.25" customHeight="1" x14ac:dyDescent="0.35">
      <c r="B4" s="869" t="str">
        <f>'Rozpad zakázky'!D4</f>
        <v>Kratochvíl</v>
      </c>
      <c r="C4" s="860">
        <f>'Rozpad zakázky'!F4</f>
        <v>42951</v>
      </c>
      <c r="D4" s="1024" t="str">
        <f>'Rozpad zakázky'!G4</f>
        <v>Zajíc</v>
      </c>
      <c r="E4" s="1025"/>
      <c r="F4" s="1026"/>
      <c r="G4" s="875">
        <f>'Rozpad zakázky'!I4</f>
        <v>42951</v>
      </c>
    </row>
    <row r="5" spans="1:8" ht="18.75" customHeight="1" x14ac:dyDescent="0.35">
      <c r="B5" s="864" t="str">
        <f>'Rozpad zakázky'!D5</f>
        <v>Celková hmotnost [kg]</v>
      </c>
      <c r="C5" s="865" t="str">
        <f>'Rozpad zakázky'!F5</f>
        <v>Z toho rezerva [kg]</v>
      </c>
      <c r="D5" s="1027" t="str">
        <f>'Rozpad zakázky'!G5</f>
        <v>Celková cena [CZK]</v>
      </c>
      <c r="E5" s="1028"/>
      <c r="F5" s="866" t="str">
        <f>'Rozpad zakázky'!H5</f>
        <v>Z toho rezerva [CZK]</v>
      </c>
      <c r="G5" s="874" t="str">
        <f>'Rozpad zakázky'!I5</f>
        <v>Procento dokončení</v>
      </c>
    </row>
    <row r="6" spans="1:8" ht="18.75" customHeight="1" x14ac:dyDescent="0.35">
      <c r="B6" s="861">
        <f ca="1">'Rozpad zakázky'!D6</f>
        <v>143873.86199999999</v>
      </c>
      <c r="C6" s="855">
        <f ca="1">'Rozpad zakázky'!F6</f>
        <v>0</v>
      </c>
      <c r="D6" s="1029">
        <f ca="1">'Rozpad zakázky'!G6</f>
        <v>32418584.280000001</v>
      </c>
      <c r="E6" s="1030"/>
      <c r="F6" s="856">
        <f ca="1">'Rozpad zakázky'!H6</f>
        <v>-97000</v>
      </c>
      <c r="G6" s="876">
        <f>'Rozpad zakázky'!I6</f>
        <v>1</v>
      </c>
    </row>
    <row r="7" spans="1:8" ht="13.5" customHeight="1" x14ac:dyDescent="0.35">
      <c r="B7" s="1034" t="str">
        <f>'Rozpad zakázky'!D7</f>
        <v>Tento dokument je duševním vlastnictvím NOEN a. s. Bez jejího souhlasu nesmí být poskytnut třetí osobě</v>
      </c>
      <c r="C7" s="870" t="str">
        <f>'Rozpad zakázky'!F7</f>
        <v>Zakázka (Produkt)</v>
      </c>
      <c r="D7" s="1037" t="str">
        <f>'Rozpad zakázky'!G7</f>
        <v>Název zakázky (Produktu)</v>
      </c>
      <c r="E7" s="1038"/>
      <c r="F7" s="1038"/>
      <c r="G7" s="1039"/>
    </row>
    <row r="8" spans="1:8" ht="22.5" customHeight="1" x14ac:dyDescent="0.35">
      <c r="B8" s="1035"/>
      <c r="C8" s="905" t="str">
        <f>'Rozpad zakázky'!F8</f>
        <v>Z-2017-762</v>
      </c>
      <c r="D8" s="1040" t="str">
        <f>'Rozpad zakázky'!G8</f>
        <v>Modernizace výklopníku - Dolní Odra</v>
      </c>
      <c r="E8" s="1041"/>
      <c r="F8" s="1041"/>
      <c r="G8" s="1042"/>
    </row>
    <row r="9" spans="1:8" ht="13.15" x14ac:dyDescent="0.35">
      <c r="B9" s="1035"/>
      <c r="C9" s="867" t="str">
        <f>'Rozpad zakázky'!F9</f>
        <v>Číslo dokumentu</v>
      </c>
      <c r="D9" s="1038" t="str">
        <f>'Rozpad zakázky'!G9</f>
        <v>Index změny - Popis změny</v>
      </c>
      <c r="E9" s="1043"/>
      <c r="F9" s="1044" t="str">
        <f>'Rozpad zakázky'!I9</f>
        <v>Fáze</v>
      </c>
      <c r="G9" s="1039"/>
    </row>
    <row r="10" spans="1:8" ht="20.25" customHeight="1" thickBot="1" x14ac:dyDescent="0.4">
      <c r="B10" s="1036"/>
      <c r="C10" s="859" t="str">
        <f>'Rozpad zakázky'!F10</f>
        <v>ZZ762-0002-00-4</v>
      </c>
      <c r="D10" s="1045">
        <f>'Rozpad zakázky'!G10</f>
        <v>0</v>
      </c>
      <c r="E10" s="1046"/>
      <c r="F10" s="1031" t="str">
        <f>'Rozpad zakázky'!I10</f>
        <v>Nabídka</v>
      </c>
      <c r="G10" s="1032"/>
    </row>
    <row r="11" spans="1:8" ht="13.5" thickBot="1" x14ac:dyDescent="0.4">
      <c r="B11" s="1033"/>
      <c r="C11" s="1033"/>
      <c r="D11" s="1033"/>
      <c r="E11" s="1033"/>
      <c r="F11" s="773"/>
      <c r="G11" s="774"/>
    </row>
    <row r="12" spans="1:8" s="89" customFormat="1" ht="13.15" thickBot="1" x14ac:dyDescent="0.4">
      <c r="A12" s="88"/>
      <c r="B12" s="877"/>
      <c r="C12" s="881" t="s">
        <v>683</v>
      </c>
      <c r="D12" s="878"/>
      <c r="E12" s="879"/>
      <c r="F12" s="879"/>
      <c r="G12" s="880"/>
      <c r="H12"/>
    </row>
    <row r="13" spans="1:8" s="89" customFormat="1" ht="38.65" thickBot="1" x14ac:dyDescent="0.4">
      <c r="A13" s="88"/>
      <c r="B13" s="801" t="s">
        <v>30</v>
      </c>
      <c r="C13" s="892" t="s">
        <v>485</v>
      </c>
      <c r="D13" s="723" t="s">
        <v>679</v>
      </c>
      <c r="E13" s="772" t="s">
        <v>486</v>
      </c>
      <c r="F13" s="772" t="s">
        <v>691</v>
      </c>
      <c r="G13" s="715" t="s">
        <v>690</v>
      </c>
      <c r="H13"/>
    </row>
    <row r="14" spans="1:8" ht="13.15" x14ac:dyDescent="0.35">
      <c r="A14" s="87"/>
      <c r="B14" s="907" t="s">
        <v>862</v>
      </c>
      <c r="C14" s="720">
        <v>4975797.25</v>
      </c>
      <c r="D14" s="718">
        <v>184288.78703703705</v>
      </c>
      <c r="E14" s="770">
        <v>22544.2</v>
      </c>
      <c r="F14" s="893"/>
      <c r="G14" s="895"/>
      <c r="H14"/>
    </row>
    <row r="15" spans="1:8" ht="13.15" x14ac:dyDescent="0.35">
      <c r="A15" s="87"/>
      <c r="B15" s="928" t="s">
        <v>863</v>
      </c>
      <c r="C15" s="720">
        <v>297000</v>
      </c>
      <c r="D15" s="718">
        <v>11000</v>
      </c>
      <c r="E15" s="770">
        <v>813.4</v>
      </c>
      <c r="F15" s="893"/>
      <c r="G15" s="895"/>
      <c r="H15"/>
    </row>
    <row r="16" spans="1:8" ht="13.15" x14ac:dyDescent="0.35">
      <c r="A16" s="87"/>
      <c r="B16" s="930" t="s">
        <v>681</v>
      </c>
      <c r="C16" s="720">
        <v>297000</v>
      </c>
      <c r="D16" s="718">
        <v>11000</v>
      </c>
      <c r="E16" s="770">
        <v>813.4</v>
      </c>
      <c r="F16" s="893"/>
      <c r="G16" s="895"/>
      <c r="H16"/>
    </row>
    <row r="17" spans="1:8" ht="13.15" x14ac:dyDescent="0.35">
      <c r="A17" s="87"/>
      <c r="B17" s="931" t="s">
        <v>864</v>
      </c>
      <c r="C17" s="720">
        <v>77000</v>
      </c>
      <c r="D17" s="718">
        <v>2851.8518518518517</v>
      </c>
      <c r="E17" s="770">
        <v>185</v>
      </c>
      <c r="F17" s="893">
        <v>416.2162162162162</v>
      </c>
      <c r="G17" s="895">
        <v>15.415415415415415</v>
      </c>
      <c r="H17"/>
    </row>
    <row r="18" spans="1:8" ht="13.15" x14ac:dyDescent="0.35">
      <c r="A18" s="87"/>
      <c r="B18" s="931" t="s">
        <v>865</v>
      </c>
      <c r="C18" s="720">
        <v>220000</v>
      </c>
      <c r="D18" s="718">
        <v>8148.1481481481478</v>
      </c>
      <c r="E18" s="770">
        <v>628.4</v>
      </c>
      <c r="F18" s="893">
        <v>350.09548058561427</v>
      </c>
      <c r="G18" s="895">
        <v>12.966499280948677</v>
      </c>
      <c r="H18"/>
    </row>
    <row r="19" spans="1:8" ht="13.15" x14ac:dyDescent="0.35">
      <c r="A19" s="87"/>
      <c r="B19" s="927"/>
      <c r="C19" s="720"/>
      <c r="D19" s="718"/>
      <c r="E19" s="770"/>
      <c r="F19" s="893"/>
      <c r="G19" s="895"/>
      <c r="H19"/>
    </row>
    <row r="20" spans="1:8" ht="13.15" x14ac:dyDescent="0.35">
      <c r="A20" s="87"/>
      <c r="B20" s="928" t="s">
        <v>866</v>
      </c>
      <c r="C20" s="720">
        <v>1262000</v>
      </c>
      <c r="D20" s="718">
        <v>46740.740740740745</v>
      </c>
      <c r="E20" s="770">
        <v>2027.2</v>
      </c>
      <c r="F20" s="893">
        <v>622.53354380426197</v>
      </c>
      <c r="G20" s="895">
        <v>23.056797918676374</v>
      </c>
      <c r="H20"/>
    </row>
    <row r="21" spans="1:8" ht="13.15" x14ac:dyDescent="0.35">
      <c r="A21" s="87"/>
      <c r="B21" s="928" t="s">
        <v>867</v>
      </c>
      <c r="C21" s="720">
        <v>3395.92</v>
      </c>
      <c r="D21" s="718">
        <v>125.77481481481482</v>
      </c>
      <c r="E21" s="770">
        <v>30.8</v>
      </c>
      <c r="F21" s="893"/>
      <c r="G21" s="895"/>
      <c r="H21"/>
    </row>
    <row r="22" spans="1:8" ht="13.15" x14ac:dyDescent="0.35">
      <c r="A22" s="87"/>
      <c r="B22" s="930" t="s">
        <v>681</v>
      </c>
      <c r="C22" s="720">
        <v>3395.92</v>
      </c>
      <c r="D22" s="718">
        <v>125.77481481481482</v>
      </c>
      <c r="E22" s="770">
        <v>30.8</v>
      </c>
      <c r="F22" s="893"/>
      <c r="G22" s="895"/>
      <c r="H22"/>
    </row>
    <row r="23" spans="1:8" ht="13.15" x14ac:dyDescent="0.35">
      <c r="A23" s="87"/>
      <c r="B23" s="931" t="s">
        <v>868</v>
      </c>
      <c r="C23" s="720">
        <v>3395.92</v>
      </c>
      <c r="D23" s="718">
        <v>125.77481481481482</v>
      </c>
      <c r="E23" s="770">
        <v>30.8</v>
      </c>
      <c r="F23" s="893">
        <v>110.25714285714285</v>
      </c>
      <c r="G23" s="895">
        <v>4.0835978835978839</v>
      </c>
      <c r="H23"/>
    </row>
    <row r="24" spans="1:8" ht="13.15" x14ac:dyDescent="0.35">
      <c r="A24" s="87"/>
      <c r="B24" s="927"/>
      <c r="C24" s="720"/>
      <c r="D24" s="718"/>
      <c r="E24" s="770"/>
      <c r="F24" s="893"/>
      <c r="G24" s="895"/>
      <c r="H24"/>
    </row>
    <row r="25" spans="1:8" ht="13.15" x14ac:dyDescent="0.35">
      <c r="A25" s="87"/>
      <c r="B25" s="928" t="s">
        <v>869</v>
      </c>
      <c r="C25" s="720">
        <v>374361</v>
      </c>
      <c r="D25" s="718">
        <v>13865.222222222223</v>
      </c>
      <c r="E25" s="770">
        <v>2581.8000000000002</v>
      </c>
      <c r="F25" s="893">
        <v>145</v>
      </c>
      <c r="G25" s="895">
        <v>5.3703703703703702</v>
      </c>
      <c r="H25"/>
    </row>
    <row r="26" spans="1:8" ht="13.15" x14ac:dyDescent="0.35">
      <c r="A26" s="87"/>
      <c r="B26" s="928" t="s">
        <v>870</v>
      </c>
      <c r="C26" s="720">
        <v>862391.9</v>
      </c>
      <c r="D26" s="718">
        <v>31940.440740740742</v>
      </c>
      <c r="E26" s="770">
        <v>7498.7999999999984</v>
      </c>
      <c r="F26" s="893">
        <v>115.00398730463543</v>
      </c>
      <c r="G26" s="895">
        <v>4.2594069372087198</v>
      </c>
      <c r="H26"/>
    </row>
    <row r="27" spans="1:8" ht="13.15" x14ac:dyDescent="0.35">
      <c r="A27" s="87"/>
      <c r="B27" s="928" t="s">
        <v>871</v>
      </c>
      <c r="C27" s="720">
        <v>58007.399999999994</v>
      </c>
      <c r="D27" s="718">
        <v>2148.422222222222</v>
      </c>
      <c r="E27" s="770">
        <v>681.6</v>
      </c>
      <c r="F27" s="893">
        <v>85.104753521126753</v>
      </c>
      <c r="G27" s="895">
        <v>3.1520279081898797</v>
      </c>
      <c r="H27"/>
    </row>
    <row r="28" spans="1:8" ht="13.15" x14ac:dyDescent="0.35">
      <c r="A28" s="87"/>
      <c r="B28" s="928" t="s">
        <v>872</v>
      </c>
      <c r="C28" s="720">
        <v>1650375</v>
      </c>
      <c r="D28" s="718">
        <v>61125</v>
      </c>
      <c r="E28" s="770">
        <v>7000</v>
      </c>
      <c r="F28" s="893">
        <v>235.76785714285714</v>
      </c>
      <c r="G28" s="895">
        <v>8.7321428571428577</v>
      </c>
      <c r="H28"/>
    </row>
    <row r="29" spans="1:8" ht="13.15" x14ac:dyDescent="0.35">
      <c r="B29" s="928" t="s">
        <v>873</v>
      </c>
      <c r="C29" s="720">
        <v>120766.03</v>
      </c>
      <c r="D29" s="718">
        <v>4472.8159259259264</v>
      </c>
      <c r="E29" s="770">
        <v>1096.4000000000001</v>
      </c>
      <c r="F29" s="893">
        <v>110.14778365560014</v>
      </c>
      <c r="G29" s="895">
        <v>4.0795475428000056</v>
      </c>
      <c r="H29"/>
    </row>
    <row r="30" spans="1:8" ht="13.15" x14ac:dyDescent="0.35">
      <c r="B30" s="928" t="s">
        <v>874</v>
      </c>
      <c r="C30" s="720">
        <v>347500</v>
      </c>
      <c r="D30" s="718">
        <v>12870.370370370372</v>
      </c>
      <c r="E30" s="770">
        <v>814.2</v>
      </c>
      <c r="F30" s="893">
        <v>426.79931220830258</v>
      </c>
      <c r="G30" s="895">
        <v>15.807381933640839</v>
      </c>
      <c r="H30"/>
    </row>
    <row r="31" spans="1:8" ht="13.15" x14ac:dyDescent="0.35">
      <c r="B31" s="907" t="s">
        <v>875</v>
      </c>
      <c r="C31" s="720">
        <v>16295359.280000001</v>
      </c>
      <c r="D31" s="718">
        <v>603531.8251851853</v>
      </c>
      <c r="E31" s="770">
        <v>117342.29999999999</v>
      </c>
      <c r="F31" s="893"/>
      <c r="G31" s="895"/>
      <c r="H31"/>
    </row>
    <row r="32" spans="1:8" ht="13.15" x14ac:dyDescent="0.35">
      <c r="B32" s="928" t="s">
        <v>876</v>
      </c>
      <c r="C32" s="720">
        <v>25012.799999999999</v>
      </c>
      <c r="D32" s="718">
        <v>926.40000000000009</v>
      </c>
      <c r="E32" s="770">
        <v>625.20000000000005</v>
      </c>
      <c r="F32" s="893"/>
      <c r="G32" s="895"/>
      <c r="H32"/>
    </row>
    <row r="33" spans="2:8" ht="13.15" x14ac:dyDescent="0.35">
      <c r="B33" s="930" t="s">
        <v>681</v>
      </c>
      <c r="C33" s="720">
        <v>25012.799999999999</v>
      </c>
      <c r="D33" s="718">
        <v>926.40000000000009</v>
      </c>
      <c r="E33" s="770">
        <v>625.20000000000005</v>
      </c>
      <c r="F33" s="893"/>
      <c r="G33" s="895"/>
      <c r="H33"/>
    </row>
    <row r="34" spans="2:8" ht="13.15" x14ac:dyDescent="0.35">
      <c r="B34" s="931" t="s">
        <v>877</v>
      </c>
      <c r="C34" s="720">
        <v>1312.8</v>
      </c>
      <c r="D34" s="718">
        <v>48.62222222222222</v>
      </c>
      <c r="E34" s="770">
        <v>32.700000000000003</v>
      </c>
      <c r="F34" s="893">
        <v>40.146788990825684</v>
      </c>
      <c r="G34" s="895">
        <v>1.4869181107713216</v>
      </c>
      <c r="H34"/>
    </row>
    <row r="35" spans="2:8" ht="13.15" x14ac:dyDescent="0.35">
      <c r="B35" s="931" t="s">
        <v>878</v>
      </c>
      <c r="C35" s="720">
        <v>23700</v>
      </c>
      <c r="D35" s="718">
        <v>877.77777777777783</v>
      </c>
      <c r="E35" s="770">
        <v>592.5</v>
      </c>
      <c r="F35" s="893">
        <v>40</v>
      </c>
      <c r="G35" s="895">
        <v>1.4814814814814816</v>
      </c>
      <c r="H35"/>
    </row>
    <row r="36" spans="2:8" ht="13.15" x14ac:dyDescent="0.35">
      <c r="B36" s="927"/>
      <c r="C36" s="720"/>
      <c r="D36" s="718"/>
      <c r="E36" s="770"/>
      <c r="F36" s="893"/>
      <c r="G36" s="895"/>
      <c r="H36"/>
    </row>
    <row r="37" spans="2:8" ht="13.15" x14ac:dyDescent="0.35">
      <c r="B37" s="928" t="s">
        <v>879</v>
      </c>
      <c r="C37" s="720">
        <v>16106986</v>
      </c>
      <c r="D37" s="718">
        <v>596555.03703703708</v>
      </c>
      <c r="E37" s="770">
        <v>115049.9</v>
      </c>
      <c r="F37" s="893">
        <v>140</v>
      </c>
      <c r="G37" s="895">
        <v>5.185185185185186</v>
      </c>
      <c r="H37"/>
    </row>
    <row r="38" spans="2:8" ht="13.15" x14ac:dyDescent="0.35">
      <c r="B38" s="928" t="s">
        <v>880</v>
      </c>
      <c r="C38" s="720">
        <v>109181.59999999999</v>
      </c>
      <c r="D38" s="718">
        <v>4043.7629629629632</v>
      </c>
      <c r="E38" s="770">
        <v>992.19999999999993</v>
      </c>
      <c r="F38" s="893">
        <v>110.03991130820398</v>
      </c>
      <c r="G38" s="895">
        <v>4.0755522706742227</v>
      </c>
      <c r="H38"/>
    </row>
    <row r="39" spans="2:8" ht="13.15" x14ac:dyDescent="0.35">
      <c r="B39" s="928" t="s">
        <v>881</v>
      </c>
      <c r="C39" s="720">
        <v>54178.879999999997</v>
      </c>
      <c r="D39" s="718">
        <v>2006.6251851851853</v>
      </c>
      <c r="E39" s="770">
        <v>674.99999999999989</v>
      </c>
      <c r="F39" s="893">
        <v>80.265007407407424</v>
      </c>
      <c r="G39" s="895">
        <v>2.9727780521262011</v>
      </c>
      <c r="H39"/>
    </row>
    <row r="40" spans="2:8" ht="13.15" x14ac:dyDescent="0.35">
      <c r="B40" s="907" t="s">
        <v>882</v>
      </c>
      <c r="C40" s="720">
        <v>2227700</v>
      </c>
      <c r="D40" s="718">
        <v>82507.407407407416</v>
      </c>
      <c r="E40" s="770">
        <v>1095.2000000000003</v>
      </c>
      <c r="F40" s="893"/>
      <c r="G40" s="895"/>
      <c r="H40"/>
    </row>
    <row r="41" spans="2:8" ht="13.15" x14ac:dyDescent="0.35">
      <c r="B41" s="928" t="s">
        <v>883</v>
      </c>
      <c r="C41" s="720">
        <v>800000</v>
      </c>
      <c r="D41" s="718">
        <v>29629.629629629631</v>
      </c>
      <c r="E41" s="770">
        <v>0</v>
      </c>
      <c r="F41" s="893">
        <v>0</v>
      </c>
      <c r="G41" s="895">
        <v>0</v>
      </c>
      <c r="H41"/>
    </row>
    <row r="42" spans="2:8" ht="13.15" x14ac:dyDescent="0.35">
      <c r="B42" s="928" t="s">
        <v>884</v>
      </c>
      <c r="C42" s="720">
        <v>427700</v>
      </c>
      <c r="D42" s="718">
        <v>15840.740740740741</v>
      </c>
      <c r="E42" s="770">
        <v>1095.2000000000003</v>
      </c>
      <c r="F42" s="893">
        <v>390.52227903579245</v>
      </c>
      <c r="G42" s="895">
        <v>14.463788112436758</v>
      </c>
      <c r="H42"/>
    </row>
    <row r="43" spans="2:8" ht="13.15" x14ac:dyDescent="0.35">
      <c r="B43" s="928" t="s">
        <v>885</v>
      </c>
      <c r="C43" s="720">
        <v>1000000</v>
      </c>
      <c r="D43" s="718">
        <v>37037.037037037036</v>
      </c>
      <c r="E43" s="770">
        <v>0</v>
      </c>
      <c r="F43" s="893">
        <v>0</v>
      </c>
      <c r="G43" s="895">
        <v>0</v>
      </c>
      <c r="H43"/>
    </row>
    <row r="44" spans="2:8" ht="13.15" x14ac:dyDescent="0.35">
      <c r="B44" s="907" t="s">
        <v>886</v>
      </c>
      <c r="C44" s="720">
        <v>1729881</v>
      </c>
      <c r="D44" s="718">
        <v>64069.666666666664</v>
      </c>
      <c r="E44" s="770">
        <v>2756</v>
      </c>
      <c r="F44" s="893"/>
      <c r="G44" s="895"/>
      <c r="H44"/>
    </row>
    <row r="45" spans="2:8" ht="13.15" x14ac:dyDescent="0.35">
      <c r="B45" s="928" t="s">
        <v>887</v>
      </c>
      <c r="C45" s="720">
        <v>199881</v>
      </c>
      <c r="D45" s="718">
        <v>7403</v>
      </c>
      <c r="E45" s="770">
        <v>2700</v>
      </c>
      <c r="F45" s="893">
        <v>74.03</v>
      </c>
      <c r="G45" s="895">
        <v>2.7418518518518518</v>
      </c>
      <c r="H45"/>
    </row>
    <row r="46" spans="2:8" ht="13.15" x14ac:dyDescent="0.35">
      <c r="B46" s="928" t="s">
        <v>888</v>
      </c>
      <c r="C46" s="720">
        <v>1500000</v>
      </c>
      <c r="D46" s="718">
        <v>55555.555555555555</v>
      </c>
      <c r="E46" s="770">
        <v>0</v>
      </c>
      <c r="F46" s="893">
        <v>0</v>
      </c>
      <c r="G46" s="895">
        <v>0</v>
      </c>
      <c r="H46"/>
    </row>
    <row r="47" spans="2:8" ht="13.15" x14ac:dyDescent="0.35">
      <c r="B47" s="928" t="s">
        <v>889</v>
      </c>
      <c r="C47" s="720">
        <v>30000</v>
      </c>
      <c r="D47" s="718">
        <v>1111.1111111111111</v>
      </c>
      <c r="E47" s="770">
        <v>56</v>
      </c>
      <c r="F47" s="893">
        <v>535.71428571428567</v>
      </c>
      <c r="G47" s="895">
        <v>19.841269841269842</v>
      </c>
      <c r="H47"/>
    </row>
    <row r="48" spans="2:8" ht="13.15" x14ac:dyDescent="0.35">
      <c r="B48" s="907" t="s">
        <v>890</v>
      </c>
      <c r="C48" s="720">
        <v>20000.05</v>
      </c>
      <c r="D48" s="718">
        <v>740.74259259259259</v>
      </c>
      <c r="E48" s="770">
        <v>126.4</v>
      </c>
      <c r="F48" s="893"/>
      <c r="G48" s="895"/>
      <c r="H48"/>
    </row>
    <row r="49" spans="2:8" ht="13.15" x14ac:dyDescent="0.35">
      <c r="B49" s="928" t="s">
        <v>891</v>
      </c>
      <c r="C49" s="720">
        <v>20000</v>
      </c>
      <c r="D49" s="718">
        <v>740.74074074074076</v>
      </c>
      <c r="E49" s="770">
        <v>126.4</v>
      </c>
      <c r="F49" s="893"/>
      <c r="G49" s="895"/>
      <c r="H49"/>
    </row>
    <row r="50" spans="2:8" ht="13.15" x14ac:dyDescent="0.35">
      <c r="B50" s="930" t="s">
        <v>681</v>
      </c>
      <c r="C50" s="720">
        <v>20000</v>
      </c>
      <c r="D50" s="718">
        <v>740.74074074074076</v>
      </c>
      <c r="E50" s="770">
        <v>126.4</v>
      </c>
      <c r="F50" s="893"/>
      <c r="G50" s="895"/>
      <c r="H50"/>
    </row>
    <row r="51" spans="2:8" ht="13.15" x14ac:dyDescent="0.35">
      <c r="B51" s="931" t="s">
        <v>892</v>
      </c>
      <c r="C51" s="720">
        <v>10000</v>
      </c>
      <c r="D51" s="718">
        <v>370.37037037037038</v>
      </c>
      <c r="E51" s="770">
        <v>49.4</v>
      </c>
      <c r="F51" s="893">
        <v>202.42914979757086</v>
      </c>
      <c r="G51" s="895">
        <v>7.49737591842855</v>
      </c>
      <c r="H51"/>
    </row>
    <row r="52" spans="2:8" ht="13.15" x14ac:dyDescent="0.35">
      <c r="B52" s="931" t="s">
        <v>893</v>
      </c>
      <c r="C52" s="720">
        <v>10000</v>
      </c>
      <c r="D52" s="718">
        <v>370.37037037037038</v>
      </c>
      <c r="E52" s="770">
        <v>77</v>
      </c>
      <c r="F52" s="893">
        <v>129.87012987012986</v>
      </c>
      <c r="G52" s="895">
        <v>4.8100048100048101</v>
      </c>
      <c r="H52"/>
    </row>
    <row r="53" spans="2:8" ht="13.15" x14ac:dyDescent="0.35">
      <c r="B53" s="927"/>
      <c r="C53" s="720"/>
      <c r="D53" s="718"/>
      <c r="E53" s="770"/>
      <c r="F53" s="893"/>
      <c r="G53" s="895"/>
      <c r="H53"/>
    </row>
    <row r="54" spans="2:8" ht="13.15" x14ac:dyDescent="0.35">
      <c r="B54" s="928" t="s">
        <v>894</v>
      </c>
      <c r="C54" s="720">
        <v>0.05</v>
      </c>
      <c r="D54" s="718">
        <v>1.8518518518518519E-3</v>
      </c>
      <c r="E54" s="770">
        <v>0</v>
      </c>
      <c r="F54" s="893">
        <v>0</v>
      </c>
      <c r="G54" s="895">
        <v>0</v>
      </c>
      <c r="H54"/>
    </row>
    <row r="55" spans="2:8" ht="13.15" x14ac:dyDescent="0.35">
      <c r="B55" s="907" t="s">
        <v>895</v>
      </c>
      <c r="C55" s="720">
        <v>6054840</v>
      </c>
      <c r="D55" s="718">
        <v>224253.33333333331</v>
      </c>
      <c r="E55" s="770">
        <v>3</v>
      </c>
      <c r="F55" s="893"/>
      <c r="G55" s="895"/>
      <c r="H55"/>
    </row>
    <row r="56" spans="2:8" ht="13.15" x14ac:dyDescent="0.35">
      <c r="B56" s="928" t="s">
        <v>896</v>
      </c>
      <c r="C56" s="720">
        <v>300000</v>
      </c>
      <c r="D56" s="718">
        <v>11111.111111111111</v>
      </c>
      <c r="E56" s="770">
        <v>1</v>
      </c>
      <c r="F56" s="893">
        <v>300000</v>
      </c>
      <c r="G56" s="895">
        <v>11111.111111111111</v>
      </c>
      <c r="H56"/>
    </row>
    <row r="57" spans="2:8" ht="13.15" x14ac:dyDescent="0.35">
      <c r="B57" s="928" t="s">
        <v>897</v>
      </c>
      <c r="C57" s="720">
        <v>5754840</v>
      </c>
      <c r="D57" s="718">
        <v>213142.22222222219</v>
      </c>
      <c r="E57" s="770">
        <v>2</v>
      </c>
      <c r="F57" s="893">
        <v>2877420</v>
      </c>
      <c r="G57" s="895">
        <v>106571.11111111109</v>
      </c>
      <c r="H57"/>
    </row>
    <row r="58" spans="2:8" ht="13.15" x14ac:dyDescent="0.35">
      <c r="B58" s="907" t="s">
        <v>735</v>
      </c>
      <c r="C58" s="720">
        <v>0</v>
      </c>
      <c r="D58" s="718">
        <v>0</v>
      </c>
      <c r="E58" s="770">
        <v>0</v>
      </c>
      <c r="F58" s="893">
        <v>0</v>
      </c>
      <c r="G58" s="895">
        <v>0</v>
      </c>
      <c r="H58"/>
    </row>
    <row r="59" spans="2:8" ht="13.15" x14ac:dyDescent="0.35">
      <c r="B59" s="906" t="s">
        <v>734</v>
      </c>
      <c r="C59" s="720">
        <v>1115006.7</v>
      </c>
      <c r="D59" s="718">
        <v>41296.544444444444</v>
      </c>
      <c r="E59" s="770">
        <v>0</v>
      </c>
      <c r="F59" s="893"/>
      <c r="G59" s="895"/>
      <c r="H59"/>
    </row>
    <row r="60" spans="2:8" ht="13.15" x14ac:dyDescent="0.35">
      <c r="B60" s="929" t="s">
        <v>734</v>
      </c>
      <c r="C60" s="720">
        <v>1115006.7</v>
      </c>
      <c r="D60" s="718">
        <v>41296.544444444444</v>
      </c>
      <c r="E60" s="770">
        <v>0</v>
      </c>
      <c r="F60" s="893">
        <v>0</v>
      </c>
      <c r="G60" s="895">
        <v>0</v>
      </c>
      <c r="H60"/>
    </row>
    <row r="61" spans="2:8" ht="13.5" thickBot="1" x14ac:dyDescent="0.4">
      <c r="B61" s="854" t="s">
        <v>677</v>
      </c>
      <c r="C61" s="721">
        <v>32418584.280000001</v>
      </c>
      <c r="D61" s="719">
        <v>1200688.3066666666</v>
      </c>
      <c r="E61" s="771">
        <v>143867.1</v>
      </c>
      <c r="F61" s="894">
        <v>225.33702479580117</v>
      </c>
      <c r="G61" s="896">
        <v>8.3458157331778207</v>
      </c>
      <c r="H61"/>
    </row>
    <row r="62" spans="2:8" x14ac:dyDescent="0.35">
      <c r="B62"/>
      <c r="C62"/>
      <c r="D62"/>
      <c r="E62"/>
      <c r="F62"/>
      <c r="G62"/>
      <c r="H62"/>
    </row>
    <row r="63" spans="2:8" x14ac:dyDescent="0.35">
      <c r="B63"/>
      <c r="C63"/>
      <c r="D63"/>
      <c r="E63"/>
      <c r="F63"/>
      <c r="G63"/>
      <c r="H63"/>
    </row>
    <row r="64" spans="2:8" x14ac:dyDescent="0.35">
      <c r="B64"/>
      <c r="C64"/>
      <c r="D64"/>
      <c r="E64"/>
      <c r="F64"/>
      <c r="G64"/>
      <c r="H64"/>
    </row>
    <row r="65" spans="2:8" x14ac:dyDescent="0.35">
      <c r="B65"/>
      <c r="C65"/>
      <c r="D65"/>
      <c r="E65"/>
      <c r="F65"/>
      <c r="G65"/>
      <c r="H65"/>
    </row>
    <row r="66" spans="2:8" x14ac:dyDescent="0.35">
      <c r="B66"/>
      <c r="C66"/>
      <c r="D66"/>
      <c r="E66"/>
      <c r="F66"/>
      <c r="G66"/>
      <c r="H66"/>
    </row>
    <row r="67" spans="2:8" x14ac:dyDescent="0.35">
      <c r="B67"/>
      <c r="C67"/>
      <c r="D67"/>
      <c r="E67"/>
      <c r="F67"/>
      <c r="G67"/>
      <c r="H67"/>
    </row>
    <row r="68" spans="2:8" x14ac:dyDescent="0.35">
      <c r="B68"/>
      <c r="C68"/>
      <c r="D68"/>
      <c r="E68"/>
      <c r="F68"/>
      <c r="G68"/>
      <c r="H68"/>
    </row>
    <row r="69" spans="2:8" x14ac:dyDescent="0.35">
      <c r="B69"/>
      <c r="C69"/>
      <c r="D69"/>
      <c r="E69"/>
      <c r="F69"/>
      <c r="G69"/>
      <c r="H69"/>
    </row>
    <row r="70" spans="2:8" x14ac:dyDescent="0.35">
      <c r="B70"/>
      <c r="C70"/>
      <c r="D70"/>
      <c r="E70"/>
      <c r="F70"/>
      <c r="G70"/>
      <c r="H70"/>
    </row>
    <row r="71" spans="2:8" x14ac:dyDescent="0.35">
      <c r="B71"/>
      <c r="C71"/>
      <c r="D71"/>
      <c r="E71"/>
      <c r="F71"/>
      <c r="G71"/>
      <c r="H71"/>
    </row>
    <row r="72" spans="2:8" ht="13.15" thickBot="1" x14ac:dyDescent="0.4">
      <c r="B72"/>
      <c r="C72"/>
      <c r="D72"/>
      <c r="E72"/>
      <c r="F72"/>
      <c r="G72"/>
      <c r="H72"/>
    </row>
    <row r="73" spans="2:8" x14ac:dyDescent="0.35">
      <c r="B73"/>
      <c r="C73"/>
      <c r="D73"/>
      <c r="E73"/>
      <c r="F73"/>
      <c r="G73"/>
      <c r="H73"/>
    </row>
    <row r="74" spans="2:8" x14ac:dyDescent="0.35">
      <c r="B74"/>
      <c r="C74"/>
      <c r="D74"/>
      <c r="E74"/>
      <c r="F74"/>
      <c r="G74"/>
      <c r="H74"/>
    </row>
    <row r="75" spans="2:8" x14ac:dyDescent="0.35">
      <c r="B75"/>
      <c r="C75"/>
      <c r="D75"/>
      <c r="E75"/>
      <c r="F75"/>
      <c r="G75"/>
    </row>
    <row r="76" spans="2:8" x14ac:dyDescent="0.35">
      <c r="B76"/>
      <c r="C76"/>
      <c r="D76"/>
      <c r="E76"/>
      <c r="F76"/>
      <c r="G76"/>
    </row>
    <row r="77" spans="2:8" ht="15" customHeight="1" thickBot="1" x14ac:dyDescent="0.4">
      <c r="B77"/>
      <c r="C77"/>
      <c r="D77"/>
      <c r="E77"/>
      <c r="F77"/>
      <c r="G77"/>
    </row>
    <row r="78" spans="2:8" ht="15" customHeight="1" x14ac:dyDescent="0.35">
      <c r="B78"/>
      <c r="C78"/>
      <c r="D78"/>
      <c r="E78"/>
      <c r="F78"/>
      <c r="G78"/>
    </row>
    <row r="79" spans="2:8" ht="15" customHeight="1" x14ac:dyDescent="0.35">
      <c r="B79"/>
      <c r="C79"/>
      <c r="D79"/>
      <c r="E79"/>
      <c r="F79"/>
      <c r="G79"/>
    </row>
    <row r="80" spans="2:8" ht="15" customHeight="1" x14ac:dyDescent="0.35">
      <c r="B80"/>
      <c r="C80"/>
      <c r="D80"/>
      <c r="E80"/>
      <c r="F80"/>
      <c r="G80"/>
    </row>
    <row r="81" spans="2:7" ht="15" customHeight="1" x14ac:dyDescent="0.35">
      <c r="B81"/>
      <c r="C81"/>
      <c r="D81"/>
      <c r="E81"/>
      <c r="F81"/>
      <c r="G81"/>
    </row>
    <row r="82" spans="2:7" ht="15" customHeight="1" x14ac:dyDescent="0.35">
      <c r="B82"/>
      <c r="C82"/>
      <c r="D82"/>
      <c r="E82"/>
      <c r="F82"/>
      <c r="G82"/>
    </row>
    <row r="83" spans="2:7" ht="15" customHeight="1" x14ac:dyDescent="0.35">
      <c r="B83"/>
      <c r="C83"/>
      <c r="D83"/>
      <c r="E83"/>
      <c r="F83"/>
      <c r="G83"/>
    </row>
    <row r="84" spans="2:7" ht="15" customHeight="1" x14ac:dyDescent="0.35">
      <c r="B84"/>
      <c r="C84"/>
      <c r="D84"/>
      <c r="E84"/>
      <c r="F84"/>
      <c r="G84"/>
    </row>
    <row r="85" spans="2:7" ht="15" customHeight="1" x14ac:dyDescent="0.35">
      <c r="B85"/>
      <c r="C85"/>
      <c r="D85"/>
      <c r="E85"/>
      <c r="F85"/>
      <c r="G85"/>
    </row>
    <row r="86" spans="2:7" ht="15" customHeight="1" x14ac:dyDescent="0.35">
      <c r="B86"/>
      <c r="C86"/>
      <c r="D86"/>
      <c r="E86"/>
      <c r="F86"/>
      <c r="G86"/>
    </row>
    <row r="87" spans="2:7" ht="15" customHeight="1" x14ac:dyDescent="0.35">
      <c r="B87"/>
      <c r="C87"/>
      <c r="D87"/>
      <c r="E87"/>
      <c r="F87"/>
      <c r="G87"/>
    </row>
    <row r="88" spans="2:7" ht="15" customHeight="1" x14ac:dyDescent="0.35">
      <c r="B88"/>
      <c r="C88"/>
      <c r="D88"/>
      <c r="E88"/>
      <c r="F88"/>
      <c r="G88"/>
    </row>
    <row r="89" spans="2:7" ht="15" customHeight="1" x14ac:dyDescent="0.35">
      <c r="B89"/>
      <c r="C89"/>
      <c r="D89"/>
      <c r="E89"/>
      <c r="F89"/>
      <c r="G89"/>
    </row>
    <row r="90" spans="2:7" ht="15" customHeight="1" x14ac:dyDescent="0.35">
      <c r="B90"/>
      <c r="C90"/>
      <c r="D90"/>
      <c r="E90"/>
      <c r="F90"/>
      <c r="G90"/>
    </row>
    <row r="91" spans="2:7" ht="15" customHeight="1" x14ac:dyDescent="0.35">
      <c r="B91"/>
      <c r="C91"/>
      <c r="D91"/>
      <c r="E91"/>
      <c r="F91"/>
      <c r="G91"/>
    </row>
    <row r="92" spans="2:7" ht="15" customHeight="1" x14ac:dyDescent="0.35">
      <c r="B92"/>
      <c r="C92"/>
      <c r="D92"/>
      <c r="E92"/>
      <c r="F92"/>
      <c r="G92"/>
    </row>
    <row r="93" spans="2:7" ht="15" customHeight="1" x14ac:dyDescent="0.35">
      <c r="B93"/>
      <c r="C93"/>
      <c r="D93"/>
      <c r="E93"/>
      <c r="F93"/>
      <c r="G93"/>
    </row>
    <row r="94" spans="2:7" ht="15" customHeight="1" x14ac:dyDescent="0.35">
      <c r="B94"/>
      <c r="C94"/>
      <c r="D94"/>
      <c r="E94"/>
      <c r="F94"/>
      <c r="G94"/>
    </row>
    <row r="95" spans="2:7" ht="15" customHeight="1" x14ac:dyDescent="0.35">
      <c r="B95"/>
      <c r="C95"/>
      <c r="D95"/>
      <c r="E95"/>
      <c r="F95"/>
      <c r="G95"/>
    </row>
    <row r="96" spans="2:7" ht="15" customHeight="1" x14ac:dyDescent="0.35">
      <c r="B96"/>
      <c r="C96"/>
      <c r="D96"/>
      <c r="E96"/>
      <c r="F96"/>
      <c r="G96"/>
    </row>
    <row r="97" spans="2:7" ht="15" customHeight="1" x14ac:dyDescent="0.35">
      <c r="B97"/>
      <c r="C97"/>
      <c r="D97"/>
      <c r="E97"/>
      <c r="F97"/>
      <c r="G97"/>
    </row>
    <row r="98" spans="2:7" ht="15" customHeight="1" x14ac:dyDescent="0.35">
      <c r="B98"/>
      <c r="C98"/>
      <c r="D98"/>
      <c r="E98"/>
      <c r="F98"/>
      <c r="G98"/>
    </row>
    <row r="99" spans="2:7" ht="15" customHeight="1" x14ac:dyDescent="0.35">
      <c r="B99"/>
      <c r="C99"/>
      <c r="D99"/>
      <c r="E99"/>
      <c r="F99"/>
      <c r="G99"/>
    </row>
    <row r="100" spans="2:7" ht="15" customHeight="1" x14ac:dyDescent="0.35">
      <c r="B100"/>
      <c r="C100"/>
      <c r="D100"/>
      <c r="E100"/>
      <c r="F100"/>
      <c r="G100"/>
    </row>
    <row r="101" spans="2:7" ht="15" customHeight="1" x14ac:dyDescent="0.35">
      <c r="B101"/>
      <c r="C101"/>
      <c r="D101"/>
      <c r="E101"/>
      <c r="F101"/>
      <c r="G101"/>
    </row>
    <row r="102" spans="2:7" ht="15" customHeight="1" thickBot="1" x14ac:dyDescent="0.4">
      <c r="B102"/>
      <c r="C102"/>
      <c r="D102"/>
      <c r="E102"/>
      <c r="F102"/>
      <c r="G102"/>
    </row>
    <row r="103" spans="2:7" ht="15" customHeight="1" x14ac:dyDescent="0.35">
      <c r="B103"/>
      <c r="C103"/>
      <c r="D103"/>
      <c r="E103"/>
      <c r="F103"/>
      <c r="G103"/>
    </row>
    <row r="104" spans="2:7" ht="15" customHeight="1" x14ac:dyDescent="0.35">
      <c r="B104"/>
      <c r="C104"/>
      <c r="D104"/>
      <c r="E104"/>
      <c r="F104"/>
      <c r="G104"/>
    </row>
    <row r="105" spans="2:7" ht="15" customHeight="1" x14ac:dyDescent="0.35">
      <c r="B105"/>
      <c r="C105"/>
      <c r="D105"/>
      <c r="E105"/>
      <c r="F105"/>
      <c r="G105"/>
    </row>
    <row r="106" spans="2:7" ht="15" customHeight="1" x14ac:dyDescent="0.35">
      <c r="B106"/>
      <c r="C106"/>
      <c r="D106"/>
      <c r="E106"/>
      <c r="F106"/>
      <c r="G106"/>
    </row>
    <row r="107" spans="2:7" ht="15" customHeight="1" x14ac:dyDescent="0.35">
      <c r="B107"/>
      <c r="C107"/>
      <c r="D107"/>
      <c r="E107"/>
      <c r="F107"/>
      <c r="G107"/>
    </row>
    <row r="108" spans="2:7" ht="15" customHeight="1" x14ac:dyDescent="0.35">
      <c r="B108"/>
      <c r="C108"/>
      <c r="D108"/>
      <c r="E108"/>
      <c r="F108"/>
      <c r="G108"/>
    </row>
    <row r="109" spans="2:7" ht="15" customHeight="1" x14ac:dyDescent="0.35">
      <c r="B109"/>
      <c r="C109"/>
      <c r="D109"/>
      <c r="E109"/>
      <c r="F109"/>
      <c r="G109"/>
    </row>
    <row r="110" spans="2:7" ht="15" customHeight="1" x14ac:dyDescent="0.35">
      <c r="B110"/>
      <c r="C110"/>
      <c r="D110"/>
      <c r="E110"/>
      <c r="F110"/>
      <c r="G110"/>
    </row>
    <row r="111" spans="2:7" ht="15" customHeight="1" x14ac:dyDescent="0.35">
      <c r="B111"/>
      <c r="C111"/>
      <c r="D111"/>
      <c r="E111"/>
      <c r="F111"/>
      <c r="G111"/>
    </row>
    <row r="112" spans="2:7" ht="15" customHeight="1" x14ac:dyDescent="0.35">
      <c r="B112"/>
      <c r="C112"/>
      <c r="D112"/>
      <c r="E112"/>
      <c r="F112"/>
      <c r="G112"/>
    </row>
    <row r="113" spans="2:7" ht="15" customHeight="1" x14ac:dyDescent="0.35">
      <c r="B113"/>
      <c r="C113"/>
      <c r="D113"/>
      <c r="E113"/>
      <c r="F113"/>
      <c r="G113"/>
    </row>
    <row r="114" spans="2:7" ht="15" customHeight="1" x14ac:dyDescent="0.35">
      <c r="B114"/>
      <c r="C114"/>
      <c r="D114"/>
      <c r="E114"/>
      <c r="F114"/>
      <c r="G114"/>
    </row>
    <row r="115" spans="2:7" ht="15" customHeight="1" x14ac:dyDescent="0.35">
      <c r="B115"/>
      <c r="C115"/>
      <c r="D115"/>
      <c r="E115"/>
      <c r="F115"/>
      <c r="G115"/>
    </row>
    <row r="116" spans="2:7" ht="15" customHeight="1" x14ac:dyDescent="0.35">
      <c r="B116"/>
      <c r="C116"/>
      <c r="D116"/>
      <c r="E116"/>
      <c r="F116"/>
      <c r="G116"/>
    </row>
    <row r="117" spans="2:7" ht="15" customHeight="1" x14ac:dyDescent="0.35">
      <c r="B117"/>
      <c r="C117"/>
      <c r="D117"/>
      <c r="E117"/>
      <c r="F117"/>
      <c r="G117"/>
    </row>
    <row r="118" spans="2:7" ht="15" customHeight="1" x14ac:dyDescent="0.35">
      <c r="B118"/>
      <c r="C118"/>
      <c r="D118"/>
      <c r="E118"/>
      <c r="F118"/>
      <c r="G118"/>
    </row>
    <row r="119" spans="2:7" ht="15" customHeight="1" x14ac:dyDescent="0.35">
      <c r="B119"/>
      <c r="C119"/>
      <c r="D119"/>
      <c r="E119"/>
      <c r="F119"/>
      <c r="G119"/>
    </row>
    <row r="120" spans="2:7" ht="15" customHeight="1" x14ac:dyDescent="0.35">
      <c r="B120"/>
      <c r="C120"/>
      <c r="D120"/>
      <c r="E120"/>
      <c r="F120"/>
      <c r="G120"/>
    </row>
    <row r="121" spans="2:7" ht="15" customHeight="1" x14ac:dyDescent="0.35">
      <c r="B121"/>
      <c r="C121"/>
      <c r="D121"/>
      <c r="E121"/>
      <c r="F121"/>
      <c r="G121"/>
    </row>
    <row r="122" spans="2:7" ht="15" customHeight="1" x14ac:dyDescent="0.35">
      <c r="B122"/>
      <c r="C122"/>
      <c r="D122"/>
      <c r="E122"/>
      <c r="F122"/>
      <c r="G122"/>
    </row>
    <row r="123" spans="2:7" ht="15" customHeight="1" x14ac:dyDescent="0.35">
      <c r="B123"/>
      <c r="C123"/>
      <c r="D123"/>
      <c r="E123"/>
      <c r="F123"/>
      <c r="G123"/>
    </row>
    <row r="124" spans="2:7" ht="15" customHeight="1" x14ac:dyDescent="0.35">
      <c r="B124"/>
      <c r="C124"/>
      <c r="D124"/>
      <c r="E124"/>
      <c r="F124"/>
      <c r="G124"/>
    </row>
    <row r="125" spans="2:7" ht="15" customHeight="1" thickBot="1" x14ac:dyDescent="0.4">
      <c r="B125"/>
      <c r="C125"/>
      <c r="D125"/>
      <c r="E125"/>
      <c r="F125"/>
      <c r="G125"/>
    </row>
    <row r="126" spans="2:7" ht="15" customHeight="1" x14ac:dyDescent="0.35">
      <c r="B126"/>
      <c r="C126"/>
      <c r="D126"/>
      <c r="E126"/>
      <c r="F126"/>
      <c r="G126"/>
    </row>
    <row r="127" spans="2:7" ht="15" customHeight="1" x14ac:dyDescent="0.35">
      <c r="B127"/>
      <c r="C127"/>
      <c r="D127"/>
      <c r="E127"/>
      <c r="F127"/>
      <c r="G127"/>
    </row>
    <row r="128" spans="2:7" ht="15" customHeight="1" x14ac:dyDescent="0.35">
      <c r="B128"/>
      <c r="C128"/>
      <c r="D128"/>
      <c r="E128"/>
      <c r="F128"/>
      <c r="G128"/>
    </row>
    <row r="129" spans="2:7" ht="15" customHeight="1" x14ac:dyDescent="0.35">
      <c r="B129"/>
      <c r="C129"/>
      <c r="D129"/>
      <c r="E129"/>
      <c r="F129"/>
      <c r="G129"/>
    </row>
    <row r="130" spans="2:7" ht="15" customHeight="1" x14ac:dyDescent="0.35">
      <c r="B130"/>
      <c r="C130"/>
      <c r="D130"/>
      <c r="E130"/>
      <c r="F130"/>
      <c r="G130"/>
    </row>
    <row r="131" spans="2:7" ht="15" customHeight="1" x14ac:dyDescent="0.35">
      <c r="B131"/>
      <c r="C131"/>
      <c r="D131"/>
      <c r="E131"/>
      <c r="F131"/>
      <c r="G131"/>
    </row>
    <row r="132" spans="2:7" ht="15" customHeight="1" x14ac:dyDescent="0.35">
      <c r="B132"/>
      <c r="C132"/>
      <c r="D132"/>
      <c r="E132"/>
      <c r="F132"/>
      <c r="G132"/>
    </row>
    <row r="133" spans="2:7" ht="15" customHeight="1" x14ac:dyDescent="0.35">
      <c r="B133"/>
      <c r="C133"/>
      <c r="D133"/>
      <c r="E133"/>
      <c r="F133"/>
      <c r="G133"/>
    </row>
    <row r="134" spans="2:7" ht="15" customHeight="1" x14ac:dyDescent="0.35">
      <c r="B134"/>
      <c r="C134"/>
      <c r="D134"/>
      <c r="E134"/>
      <c r="F134"/>
      <c r="G134"/>
    </row>
    <row r="135" spans="2:7" ht="15" customHeight="1" x14ac:dyDescent="0.35">
      <c r="B135"/>
      <c r="C135"/>
      <c r="D135"/>
      <c r="E135"/>
      <c r="F135"/>
      <c r="G135"/>
    </row>
    <row r="136" spans="2:7" ht="15" customHeight="1" x14ac:dyDescent="0.35">
      <c r="B136"/>
      <c r="C136"/>
      <c r="D136"/>
      <c r="E136"/>
      <c r="F136"/>
      <c r="G136"/>
    </row>
    <row r="137" spans="2:7" ht="15" customHeight="1" x14ac:dyDescent="0.35">
      <c r="B137"/>
      <c r="C137"/>
      <c r="D137"/>
      <c r="E137"/>
      <c r="F137"/>
      <c r="G137"/>
    </row>
    <row r="138" spans="2:7" ht="15" customHeight="1" x14ac:dyDescent="0.35">
      <c r="B138"/>
      <c r="C138"/>
      <c r="D138"/>
      <c r="E138"/>
      <c r="F138"/>
      <c r="G138"/>
    </row>
    <row r="139" spans="2:7" ht="15" customHeight="1" x14ac:dyDescent="0.35">
      <c r="B139"/>
      <c r="C139"/>
      <c r="D139"/>
      <c r="E139"/>
      <c r="F139"/>
      <c r="G139"/>
    </row>
    <row r="140" spans="2:7" ht="15" customHeight="1" x14ac:dyDescent="0.35">
      <c r="B140"/>
      <c r="C140"/>
      <c r="D140"/>
      <c r="E140"/>
      <c r="F140"/>
      <c r="G140"/>
    </row>
    <row r="141" spans="2:7" ht="15" customHeight="1" x14ac:dyDescent="0.35">
      <c r="B141"/>
      <c r="C141"/>
      <c r="D141"/>
      <c r="E141"/>
      <c r="F141"/>
      <c r="G141"/>
    </row>
    <row r="142" spans="2:7" ht="15" customHeight="1" x14ac:dyDescent="0.35">
      <c r="B142"/>
      <c r="C142"/>
      <c r="D142"/>
      <c r="E142"/>
      <c r="F142"/>
      <c r="G142"/>
    </row>
    <row r="143" spans="2:7" ht="15" customHeight="1" x14ac:dyDescent="0.35">
      <c r="B143"/>
      <c r="C143"/>
      <c r="D143"/>
      <c r="E143"/>
      <c r="F143"/>
      <c r="G143"/>
    </row>
    <row r="144" spans="2:7" ht="15" customHeight="1" x14ac:dyDescent="0.35">
      <c r="B144"/>
      <c r="C144"/>
      <c r="D144"/>
      <c r="E144"/>
      <c r="F144"/>
      <c r="G144"/>
    </row>
    <row r="145" spans="2:7" ht="15" customHeight="1" x14ac:dyDescent="0.35">
      <c r="B145"/>
      <c r="C145"/>
      <c r="D145"/>
      <c r="E145"/>
      <c r="F145"/>
      <c r="G145"/>
    </row>
    <row r="146" spans="2:7" ht="15" customHeight="1" x14ac:dyDescent="0.35">
      <c r="B146"/>
      <c r="C146"/>
      <c r="D146"/>
      <c r="E146"/>
      <c r="F146"/>
      <c r="G146"/>
    </row>
    <row r="147" spans="2:7" ht="15" customHeight="1" x14ac:dyDescent="0.35">
      <c r="B147"/>
      <c r="C147"/>
      <c r="D147"/>
      <c r="E147"/>
      <c r="F147"/>
      <c r="G147"/>
    </row>
    <row r="148" spans="2:7" ht="15" customHeight="1" x14ac:dyDescent="0.35">
      <c r="B148"/>
      <c r="C148"/>
      <c r="D148"/>
      <c r="E148"/>
      <c r="F148"/>
      <c r="G148"/>
    </row>
    <row r="149" spans="2:7" ht="15" customHeight="1" x14ac:dyDescent="0.35">
      <c r="B149"/>
      <c r="C149"/>
      <c r="D149"/>
      <c r="E149"/>
      <c r="F149"/>
      <c r="G149"/>
    </row>
    <row r="150" spans="2:7" ht="15" customHeight="1" thickBot="1" x14ac:dyDescent="0.4">
      <c r="B150"/>
      <c r="C150"/>
      <c r="D150"/>
      <c r="E150"/>
      <c r="F150"/>
      <c r="G150"/>
    </row>
    <row r="151" spans="2:7" ht="15" customHeight="1" x14ac:dyDescent="0.35">
      <c r="B151" s="537"/>
      <c r="C151"/>
      <c r="D151"/>
      <c r="E151"/>
      <c r="F151" s="664"/>
      <c r="G151" s="664"/>
    </row>
    <row r="152" spans="2:7" ht="15" customHeight="1" x14ac:dyDescent="0.35">
      <c r="B152" s="537"/>
      <c r="C152"/>
      <c r="D152"/>
      <c r="E152"/>
      <c r="F152" s="664"/>
      <c r="G152" s="664"/>
    </row>
    <row r="153" spans="2:7" ht="15" customHeight="1" x14ac:dyDescent="0.35">
      <c r="B153" s="537"/>
      <c r="C153"/>
      <c r="D153"/>
      <c r="E153"/>
      <c r="F153" s="664"/>
      <c r="G153" s="664"/>
    </row>
    <row r="154" spans="2:7" ht="15" customHeight="1" x14ac:dyDescent="0.35">
      <c r="B154" s="537"/>
      <c r="C154"/>
      <c r="D154"/>
      <c r="E154"/>
      <c r="F154" s="664"/>
      <c r="G154" s="664"/>
    </row>
    <row r="155" spans="2:7" ht="15" customHeight="1" x14ac:dyDescent="0.35">
      <c r="B155" s="537"/>
      <c r="C155"/>
      <c r="D155"/>
      <c r="E155"/>
      <c r="F155" s="664"/>
      <c r="G155" s="664"/>
    </row>
    <row r="156" spans="2:7" ht="15" customHeight="1" x14ac:dyDescent="0.35">
      <c r="B156" s="537"/>
      <c r="C156"/>
      <c r="D156"/>
      <c r="E156"/>
      <c r="F156" s="664"/>
      <c r="G156" s="664"/>
    </row>
    <row r="157" spans="2:7" ht="15" customHeight="1" x14ac:dyDescent="0.35">
      <c r="B157" s="537"/>
      <c r="C157"/>
      <c r="D157"/>
      <c r="E157"/>
      <c r="F157" s="664"/>
      <c r="G157" s="664"/>
    </row>
    <row r="158" spans="2:7" ht="15" customHeight="1" x14ac:dyDescent="0.35">
      <c r="B158" s="537"/>
      <c r="C158"/>
      <c r="D158"/>
      <c r="E158"/>
      <c r="F158" s="664"/>
      <c r="G158" s="664"/>
    </row>
    <row r="159" spans="2:7" ht="15" customHeight="1" x14ac:dyDescent="0.35">
      <c r="B159" s="537"/>
      <c r="C159"/>
      <c r="D159"/>
      <c r="E159"/>
      <c r="F159" s="664"/>
      <c r="G159" s="664"/>
    </row>
    <row r="160" spans="2:7" ht="15" customHeight="1" x14ac:dyDescent="0.35">
      <c r="B160" s="537"/>
      <c r="C160"/>
      <c r="D160"/>
      <c r="E160"/>
      <c r="F160" s="664"/>
      <c r="G160" s="664"/>
    </row>
    <row r="161" spans="2:7" ht="15" customHeight="1" x14ac:dyDescent="0.35">
      <c r="B161" s="537"/>
      <c r="C161"/>
      <c r="D161"/>
      <c r="E161"/>
      <c r="F161" s="664"/>
      <c r="G161" s="664"/>
    </row>
    <row r="162" spans="2:7" ht="15" customHeight="1" x14ac:dyDescent="0.35">
      <c r="B162" s="537"/>
      <c r="C162"/>
      <c r="D162"/>
      <c r="E162"/>
      <c r="F162" s="664"/>
      <c r="G162" s="664"/>
    </row>
    <row r="163" spans="2:7" ht="15" customHeight="1" x14ac:dyDescent="0.35">
      <c r="B163" s="537"/>
      <c r="C163"/>
      <c r="D163"/>
      <c r="E163"/>
      <c r="F163" s="664"/>
      <c r="G163" s="664"/>
    </row>
    <row r="164" spans="2:7" ht="15" customHeight="1" x14ac:dyDescent="0.35">
      <c r="B164" s="537"/>
      <c r="C164"/>
      <c r="D164"/>
      <c r="E164"/>
      <c r="F164" s="664"/>
      <c r="G164" s="664"/>
    </row>
    <row r="165" spans="2:7" ht="15" customHeight="1" x14ac:dyDescent="0.35">
      <c r="B165" s="537"/>
      <c r="C165"/>
      <c r="D165"/>
      <c r="E165"/>
      <c r="F165" s="664"/>
      <c r="G165" s="664"/>
    </row>
    <row r="166" spans="2:7" ht="15" customHeight="1" x14ac:dyDescent="0.35">
      <c r="B166" s="537"/>
      <c r="C166"/>
      <c r="D166"/>
      <c r="E166"/>
      <c r="F166" s="664"/>
      <c r="G166" s="664"/>
    </row>
    <row r="167" spans="2:7" ht="15" customHeight="1" x14ac:dyDescent="0.35">
      <c r="B167" s="537"/>
      <c r="C167"/>
      <c r="D167"/>
      <c r="E167"/>
      <c r="F167" s="664"/>
      <c r="G167" s="664"/>
    </row>
    <row r="168" spans="2:7" ht="15" customHeight="1" x14ac:dyDescent="0.35">
      <c r="B168" s="537"/>
      <c r="C168"/>
      <c r="D168"/>
      <c r="E168"/>
      <c r="F168" s="664"/>
      <c r="G168" s="664"/>
    </row>
    <row r="169" spans="2:7" ht="15" customHeight="1" x14ac:dyDescent="0.35">
      <c r="B169" s="537"/>
      <c r="C169"/>
      <c r="D169"/>
      <c r="E169"/>
      <c r="F169" s="664"/>
      <c r="G169" s="664"/>
    </row>
    <row r="170" spans="2:7" ht="15" customHeight="1" x14ac:dyDescent="0.35">
      <c r="B170" s="537"/>
      <c r="C170"/>
      <c r="D170"/>
      <c r="E170"/>
      <c r="F170" s="664"/>
      <c r="G170" s="664"/>
    </row>
    <row r="171" spans="2:7" ht="15" customHeight="1" x14ac:dyDescent="0.35">
      <c r="B171" s="537"/>
      <c r="C171"/>
      <c r="D171"/>
      <c r="E171"/>
      <c r="F171" s="664"/>
      <c r="G171" s="664"/>
    </row>
    <row r="172" spans="2:7" ht="15" customHeight="1" x14ac:dyDescent="0.35">
      <c r="B172" s="537"/>
      <c r="C172"/>
      <c r="D172"/>
      <c r="E172"/>
      <c r="F172" s="664"/>
      <c r="G172" s="664"/>
    </row>
    <row r="173" spans="2:7" ht="15" customHeight="1" x14ac:dyDescent="0.35">
      <c r="B173" s="537"/>
      <c r="C173"/>
      <c r="D173"/>
      <c r="E173"/>
      <c r="F173" s="664"/>
      <c r="G173" s="664"/>
    </row>
    <row r="174" spans="2:7" ht="15" customHeight="1" x14ac:dyDescent="0.35">
      <c r="B174" s="537"/>
      <c r="C174"/>
      <c r="D174"/>
      <c r="E174"/>
      <c r="F174" s="664"/>
      <c r="G174" s="664"/>
    </row>
    <row r="175" spans="2:7" ht="15" customHeight="1" x14ac:dyDescent="0.35">
      <c r="B175" s="537"/>
      <c r="C175"/>
      <c r="D175"/>
      <c r="E175"/>
      <c r="F175" s="664"/>
      <c r="G175" s="664"/>
    </row>
    <row r="176" spans="2:7" ht="15" customHeight="1" x14ac:dyDescent="0.35">
      <c r="B176" s="537"/>
      <c r="C176"/>
      <c r="D176"/>
      <c r="E176"/>
      <c r="F176" s="664"/>
      <c r="G176" s="664"/>
    </row>
    <row r="177" spans="2:7" ht="15" customHeight="1" x14ac:dyDescent="0.35">
      <c r="B177" s="537"/>
      <c r="C177"/>
      <c r="D177"/>
      <c r="E177"/>
      <c r="F177" s="664"/>
      <c r="G177" s="664"/>
    </row>
    <row r="178" spans="2:7" ht="15" customHeight="1" x14ac:dyDescent="0.35">
      <c r="B178" s="537"/>
      <c r="C178"/>
      <c r="D178"/>
      <c r="E178"/>
      <c r="F178" s="664"/>
      <c r="G178" s="664"/>
    </row>
    <row r="179" spans="2:7" ht="15" customHeight="1" x14ac:dyDescent="0.35">
      <c r="B179" s="537"/>
      <c r="C179"/>
      <c r="D179"/>
      <c r="E179"/>
      <c r="F179" s="664"/>
      <c r="G179" s="664"/>
    </row>
    <row r="180" spans="2:7" ht="15" customHeight="1" x14ac:dyDescent="0.35">
      <c r="B180" s="537"/>
      <c r="C180"/>
      <c r="D180"/>
      <c r="E180"/>
      <c r="F180" s="664"/>
      <c r="G180" s="664"/>
    </row>
    <row r="181" spans="2:7" ht="15" customHeight="1" x14ac:dyDescent="0.35">
      <c r="B181" s="537"/>
      <c r="C181"/>
      <c r="D181"/>
      <c r="E181"/>
      <c r="F181" s="664"/>
      <c r="G181" s="664"/>
    </row>
    <row r="182" spans="2:7" ht="15" customHeight="1" x14ac:dyDescent="0.35">
      <c r="B182" s="537"/>
      <c r="C182"/>
      <c r="D182"/>
      <c r="E182"/>
      <c r="F182" s="664"/>
      <c r="G182" s="664"/>
    </row>
    <row r="183" spans="2:7" ht="15" customHeight="1" x14ac:dyDescent="0.35">
      <c r="B183" s="537"/>
      <c r="C183"/>
      <c r="D183"/>
      <c r="E183"/>
      <c r="F183" s="664"/>
      <c r="G183" s="664"/>
    </row>
    <row r="184" spans="2:7" ht="15" customHeight="1" x14ac:dyDescent="0.35">
      <c r="B184" s="537"/>
      <c r="C184"/>
      <c r="D184"/>
      <c r="E184"/>
      <c r="F184" s="664"/>
      <c r="G184" s="664"/>
    </row>
    <row r="185" spans="2:7" ht="15" customHeight="1" x14ac:dyDescent="0.35">
      <c r="B185" s="537"/>
      <c r="C185"/>
      <c r="D185"/>
      <c r="E185"/>
      <c r="F185" s="664"/>
      <c r="G185" s="664"/>
    </row>
    <row r="186" spans="2:7" ht="15" customHeight="1" x14ac:dyDescent="0.35">
      <c r="B186" s="537"/>
      <c r="C186"/>
      <c r="D186"/>
      <c r="E186"/>
      <c r="F186" s="664"/>
      <c r="G186" s="664"/>
    </row>
    <row r="187" spans="2:7" ht="15" customHeight="1" x14ac:dyDescent="0.35">
      <c r="B187" s="537"/>
      <c r="C187"/>
      <c r="D187"/>
      <c r="E187"/>
      <c r="F187" s="664"/>
      <c r="G187" s="664"/>
    </row>
    <row r="188" spans="2:7" ht="15" customHeight="1" x14ac:dyDescent="0.35">
      <c r="B188" s="537"/>
      <c r="C188"/>
      <c r="D188"/>
      <c r="E188"/>
      <c r="F188" s="664"/>
      <c r="G188" s="664"/>
    </row>
    <row r="189" spans="2:7" ht="15" customHeight="1" x14ac:dyDescent="0.35">
      <c r="B189" s="537"/>
      <c r="C189"/>
      <c r="D189"/>
      <c r="E189"/>
      <c r="F189" s="664"/>
      <c r="G189" s="664"/>
    </row>
    <row r="190" spans="2:7" ht="15" customHeight="1" x14ac:dyDescent="0.35">
      <c r="B190" s="537"/>
      <c r="C190"/>
      <c r="D190"/>
      <c r="E190"/>
      <c r="F190" s="664"/>
      <c r="G190" s="664"/>
    </row>
    <row r="191" spans="2:7" ht="15" customHeight="1" x14ac:dyDescent="0.35">
      <c r="B191" s="537"/>
      <c r="C191"/>
      <c r="D191"/>
      <c r="E191"/>
      <c r="F191" s="664"/>
      <c r="G191" s="664"/>
    </row>
    <row r="192" spans="2:7" ht="15" customHeight="1" x14ac:dyDescent="0.35">
      <c r="B192" s="537"/>
      <c r="C192"/>
      <c r="D192"/>
      <c r="E192"/>
      <c r="F192" s="664"/>
      <c r="G192" s="664"/>
    </row>
    <row r="193" spans="2:7" ht="15" customHeight="1" x14ac:dyDescent="0.35">
      <c r="B193" s="537"/>
      <c r="C193"/>
      <c r="D193"/>
      <c r="E193"/>
      <c r="F193" s="664"/>
      <c r="G193" s="664"/>
    </row>
    <row r="194" spans="2:7" ht="15" customHeight="1" x14ac:dyDescent="0.35">
      <c r="B194" s="537"/>
      <c r="C194"/>
      <c r="D194"/>
      <c r="E194"/>
      <c r="F194" s="664"/>
      <c r="G194" s="664"/>
    </row>
    <row r="195" spans="2:7" ht="15" customHeight="1" x14ac:dyDescent="0.35">
      <c r="B195" s="537"/>
      <c r="C195"/>
      <c r="D195"/>
      <c r="E195"/>
      <c r="F195" s="664"/>
      <c r="G195" s="664"/>
    </row>
    <row r="196" spans="2:7" ht="15" customHeight="1" x14ac:dyDescent="0.35">
      <c r="B196" s="537"/>
      <c r="C196"/>
      <c r="D196"/>
      <c r="E196"/>
      <c r="F196" s="664"/>
      <c r="G196" s="664"/>
    </row>
    <row r="197" spans="2:7" ht="15" customHeight="1" x14ac:dyDescent="0.35">
      <c r="B197" s="537"/>
      <c r="C197"/>
      <c r="D197"/>
      <c r="E197"/>
      <c r="F197" s="664"/>
      <c r="G197" s="664"/>
    </row>
    <row r="198" spans="2:7" ht="15" customHeight="1" x14ac:dyDescent="0.35">
      <c r="B198" s="537"/>
      <c r="C198"/>
      <c r="D198"/>
      <c r="E198"/>
      <c r="F198" s="664"/>
      <c r="G198" s="664"/>
    </row>
    <row r="199" spans="2:7" ht="15" customHeight="1" x14ac:dyDescent="0.35">
      <c r="B199" s="537"/>
      <c r="C199"/>
      <c r="D199"/>
      <c r="E199"/>
      <c r="F199" s="664"/>
      <c r="G199" s="664"/>
    </row>
    <row r="200" spans="2:7" ht="15" customHeight="1" x14ac:dyDescent="0.35">
      <c r="B200" s="537"/>
      <c r="C200"/>
      <c r="D200"/>
      <c r="E200"/>
      <c r="F200" s="664"/>
      <c r="G200" s="664"/>
    </row>
    <row r="201" spans="2:7" ht="15" customHeight="1" x14ac:dyDescent="0.35">
      <c r="B201" s="537"/>
      <c r="C201"/>
      <c r="D201"/>
      <c r="E201"/>
      <c r="F201" s="664"/>
      <c r="G201" s="664"/>
    </row>
    <row r="202" spans="2:7" ht="15" customHeight="1" x14ac:dyDescent="0.35">
      <c r="B202" s="537"/>
      <c r="C202"/>
      <c r="D202"/>
      <c r="E202"/>
      <c r="F202" s="664"/>
      <c r="G202" s="664"/>
    </row>
    <row r="203" spans="2:7" ht="15" customHeight="1" x14ac:dyDescent="0.35">
      <c r="B203" s="537"/>
      <c r="C203"/>
      <c r="D203"/>
      <c r="E203"/>
      <c r="F203" s="664"/>
      <c r="G203" s="664"/>
    </row>
    <row r="204" spans="2:7" ht="15" customHeight="1" x14ac:dyDescent="0.35">
      <c r="B204" s="537"/>
      <c r="C204"/>
      <c r="D204"/>
      <c r="E204"/>
      <c r="F204" s="664"/>
      <c r="G204" s="664"/>
    </row>
    <row r="205" spans="2:7" ht="15" customHeight="1" x14ac:dyDescent="0.35">
      <c r="B205" s="537"/>
      <c r="C205"/>
      <c r="D205"/>
      <c r="E205"/>
      <c r="F205" s="664"/>
      <c r="G205" s="664"/>
    </row>
    <row r="206" spans="2:7" ht="15" customHeight="1" x14ac:dyDescent="0.35">
      <c r="B206" s="537"/>
      <c r="C206"/>
      <c r="D206"/>
      <c r="E206"/>
      <c r="F206" s="664"/>
      <c r="G206" s="664"/>
    </row>
    <row r="207" spans="2:7" ht="15" customHeight="1" x14ac:dyDescent="0.35">
      <c r="B207" s="537"/>
      <c r="C207"/>
      <c r="D207"/>
      <c r="E207"/>
      <c r="F207" s="664"/>
      <c r="G207" s="664"/>
    </row>
    <row r="208" spans="2:7" ht="15" customHeight="1" x14ac:dyDescent="0.35">
      <c r="B208" s="537"/>
      <c r="C208"/>
      <c r="D208"/>
      <c r="E208"/>
      <c r="F208" s="664"/>
      <c r="G208" s="664"/>
    </row>
    <row r="209" spans="2:7" ht="15" customHeight="1" x14ac:dyDescent="0.35">
      <c r="B209" s="537"/>
      <c r="C209"/>
      <c r="D209"/>
      <c r="E209"/>
      <c r="F209" s="664"/>
      <c r="G209" s="664"/>
    </row>
    <row r="210" spans="2:7" ht="15" customHeight="1" x14ac:dyDescent="0.35">
      <c r="B210" s="537"/>
      <c r="C210"/>
      <c r="D210"/>
      <c r="E210"/>
      <c r="F210" s="664"/>
      <c r="G210" s="664"/>
    </row>
    <row r="211" spans="2:7" ht="15" customHeight="1" x14ac:dyDescent="0.35">
      <c r="B211" s="537"/>
      <c r="C211"/>
      <c r="D211"/>
      <c r="E211"/>
      <c r="F211" s="664"/>
      <c r="G211" s="664"/>
    </row>
    <row r="212" spans="2:7" ht="15" customHeight="1" x14ac:dyDescent="0.35">
      <c r="B212" s="537"/>
      <c r="C212"/>
      <c r="D212"/>
      <c r="E212"/>
      <c r="F212" s="664"/>
      <c r="G212" s="664"/>
    </row>
    <row r="213" spans="2:7" ht="15" customHeight="1" x14ac:dyDescent="0.35">
      <c r="B213" s="537"/>
      <c r="C213"/>
      <c r="D213"/>
      <c r="E213"/>
      <c r="F213" s="664"/>
      <c r="G213" s="664"/>
    </row>
    <row r="214" spans="2:7" ht="15" customHeight="1" x14ac:dyDescent="0.35">
      <c r="B214" s="537"/>
      <c r="C214"/>
      <c r="D214"/>
      <c r="E214"/>
      <c r="F214" s="664"/>
      <c r="G214" s="664"/>
    </row>
    <row r="215" spans="2:7" ht="15" customHeight="1" x14ac:dyDescent="0.35">
      <c r="B215" s="537"/>
      <c r="C215"/>
      <c r="D215"/>
      <c r="E215"/>
      <c r="F215" s="664"/>
      <c r="G215" s="664"/>
    </row>
    <row r="216" spans="2:7" ht="15" customHeight="1" x14ac:dyDescent="0.35">
      <c r="B216" s="537"/>
      <c r="C216"/>
      <c r="D216"/>
      <c r="E216"/>
      <c r="F216" s="664"/>
      <c r="G216" s="664"/>
    </row>
    <row r="217" spans="2:7" ht="15" customHeight="1" x14ac:dyDescent="0.35">
      <c r="B217" s="537"/>
      <c r="C217"/>
      <c r="D217"/>
      <c r="E217"/>
      <c r="F217" s="664"/>
      <c r="G217" s="664"/>
    </row>
    <row r="218" spans="2:7" ht="15" customHeight="1" x14ac:dyDescent="0.35">
      <c r="B218" s="537"/>
      <c r="C218"/>
      <c r="D218"/>
      <c r="E218"/>
      <c r="F218" s="664"/>
      <c r="G218" s="664"/>
    </row>
    <row r="219" spans="2:7" ht="15" customHeight="1" x14ac:dyDescent="0.35">
      <c r="B219" s="537"/>
      <c r="C219"/>
      <c r="D219"/>
      <c r="E219"/>
      <c r="F219" s="664"/>
      <c r="G219" s="664"/>
    </row>
    <row r="220" spans="2:7" ht="15" customHeight="1" x14ac:dyDescent="0.35">
      <c r="B220" s="537"/>
      <c r="C220"/>
      <c r="D220"/>
      <c r="E220"/>
      <c r="F220" s="664"/>
      <c r="G220" s="664"/>
    </row>
    <row r="221" spans="2:7" ht="15" customHeight="1" x14ac:dyDescent="0.35">
      <c r="B221" s="537"/>
      <c r="C221"/>
      <c r="D221"/>
      <c r="E221"/>
      <c r="F221" s="664"/>
      <c r="G221" s="664"/>
    </row>
    <row r="222" spans="2:7" ht="15" customHeight="1" x14ac:dyDescent="0.35">
      <c r="B222" s="537"/>
      <c r="C222"/>
      <c r="D222"/>
      <c r="E222"/>
      <c r="F222" s="664"/>
      <c r="G222" s="664"/>
    </row>
    <row r="223" spans="2:7" ht="15" customHeight="1" x14ac:dyDescent="0.35">
      <c r="B223" s="537"/>
      <c r="C223"/>
      <c r="D223"/>
      <c r="E223"/>
      <c r="F223" s="664"/>
      <c r="G223" s="664"/>
    </row>
    <row r="224" spans="2:7" ht="15" customHeight="1" x14ac:dyDescent="0.35">
      <c r="B224" s="537"/>
      <c r="C224"/>
      <c r="D224"/>
      <c r="E224"/>
      <c r="F224" s="664"/>
      <c r="G224" s="664"/>
    </row>
    <row r="225" spans="2:7" ht="15" customHeight="1" x14ac:dyDescent="0.35">
      <c r="B225" s="537"/>
      <c r="C225"/>
      <c r="D225"/>
      <c r="E225"/>
      <c r="F225" s="664"/>
      <c r="G225" s="664"/>
    </row>
    <row r="226" spans="2:7" ht="15" customHeight="1" x14ac:dyDescent="0.35">
      <c r="B226" s="537"/>
      <c r="C226"/>
      <c r="D226"/>
      <c r="E226"/>
      <c r="F226" s="664"/>
      <c r="G226" s="664"/>
    </row>
    <row r="227" spans="2:7" ht="15" customHeight="1" x14ac:dyDescent="0.35">
      <c r="B227" s="537"/>
      <c r="C227"/>
      <c r="D227"/>
      <c r="E227"/>
      <c r="F227" s="664"/>
      <c r="G227" s="664"/>
    </row>
    <row r="228" spans="2:7" ht="15" customHeight="1" x14ac:dyDescent="0.35">
      <c r="B228" s="537"/>
      <c r="C228"/>
      <c r="D228"/>
      <c r="E228"/>
      <c r="F228" s="664"/>
      <c r="G228" s="664"/>
    </row>
    <row r="229" spans="2:7" ht="15" customHeight="1" x14ac:dyDescent="0.35">
      <c r="B229" s="537"/>
      <c r="C229"/>
      <c r="D229"/>
      <c r="E229"/>
      <c r="F229" s="664"/>
      <c r="G229" s="664"/>
    </row>
    <row r="230" spans="2:7" ht="15" customHeight="1" x14ac:dyDescent="0.35">
      <c r="B230" s="537"/>
      <c r="C230"/>
      <c r="D230"/>
      <c r="E230"/>
      <c r="F230" s="664"/>
      <c r="G230" s="664"/>
    </row>
    <row r="231" spans="2:7" ht="15" customHeight="1" x14ac:dyDescent="0.35">
      <c r="B231" s="537"/>
      <c r="C231"/>
      <c r="D231"/>
      <c r="E231"/>
      <c r="F231" s="664"/>
      <c r="G231" s="664"/>
    </row>
    <row r="232" spans="2:7" ht="15" customHeight="1" x14ac:dyDescent="0.35">
      <c r="B232" s="537"/>
      <c r="C232"/>
      <c r="D232"/>
      <c r="E232"/>
      <c r="F232" s="664"/>
      <c r="G232" s="664"/>
    </row>
    <row r="233" spans="2:7" ht="15" customHeight="1" x14ac:dyDescent="0.35">
      <c r="B233" s="537"/>
      <c r="C233"/>
      <c r="D233"/>
      <c r="E233"/>
      <c r="F233" s="664"/>
      <c r="G233" s="664"/>
    </row>
    <row r="234" spans="2:7" ht="15" customHeight="1" x14ac:dyDescent="0.35">
      <c r="B234" s="537"/>
      <c r="C234"/>
      <c r="D234"/>
      <c r="E234"/>
      <c r="F234" s="664"/>
      <c r="G234" s="664"/>
    </row>
    <row r="235" spans="2:7" ht="15" customHeight="1" x14ac:dyDescent="0.35">
      <c r="B235" s="537"/>
      <c r="C235"/>
      <c r="D235"/>
      <c r="E235"/>
      <c r="F235" s="664"/>
      <c r="G235" s="664"/>
    </row>
    <row r="236" spans="2:7" ht="15" customHeight="1" x14ac:dyDescent="0.35">
      <c r="B236" s="537"/>
      <c r="C236"/>
      <c r="D236"/>
      <c r="E236"/>
      <c r="F236" s="664"/>
      <c r="G236" s="664"/>
    </row>
    <row r="237" spans="2:7" ht="15" customHeight="1" x14ac:dyDescent="0.35">
      <c r="B237" s="537"/>
      <c r="C237"/>
      <c r="D237"/>
      <c r="E237"/>
      <c r="F237" s="664"/>
      <c r="G237" s="664"/>
    </row>
    <row r="238" spans="2:7" ht="15" customHeight="1" x14ac:dyDescent="0.35">
      <c r="B238" s="537"/>
      <c r="C238"/>
      <c r="D238"/>
      <c r="E238"/>
      <c r="F238" s="664"/>
      <c r="G238" s="664"/>
    </row>
    <row r="239" spans="2:7" ht="15" customHeight="1" x14ac:dyDescent="0.35">
      <c r="B239" s="537"/>
      <c r="C239"/>
      <c r="D239"/>
      <c r="E239"/>
      <c r="F239" s="664"/>
      <c r="G239" s="664"/>
    </row>
    <row r="240" spans="2:7" ht="15" customHeight="1" x14ac:dyDescent="0.35">
      <c r="B240" s="537"/>
      <c r="C240"/>
      <c r="D240"/>
      <c r="E240"/>
      <c r="F240" s="664"/>
      <c r="G240" s="664"/>
    </row>
    <row r="241" spans="2:7" ht="15" customHeight="1" x14ac:dyDescent="0.35">
      <c r="B241" s="537"/>
      <c r="C241"/>
      <c r="D241"/>
      <c r="E241"/>
      <c r="F241" s="664"/>
      <c r="G241" s="664"/>
    </row>
    <row r="242" spans="2:7" ht="15" customHeight="1" x14ac:dyDescent="0.35">
      <c r="B242" s="537"/>
      <c r="C242"/>
      <c r="D242"/>
      <c r="E242"/>
      <c r="F242" s="664"/>
      <c r="G242" s="664"/>
    </row>
    <row r="243" spans="2:7" ht="15" customHeight="1" x14ac:dyDescent="0.35">
      <c r="B243" s="537"/>
      <c r="C243"/>
      <c r="D243"/>
      <c r="E243"/>
      <c r="F243" s="664"/>
      <c r="G243" s="664"/>
    </row>
    <row r="244" spans="2:7" ht="15" customHeight="1" x14ac:dyDescent="0.35">
      <c r="B244" s="537"/>
      <c r="C244"/>
      <c r="D244"/>
      <c r="E244"/>
      <c r="F244" s="664"/>
      <c r="G244" s="664"/>
    </row>
    <row r="245" spans="2:7" ht="15" customHeight="1" x14ac:dyDescent="0.35">
      <c r="B245" s="537"/>
      <c r="C245"/>
      <c r="D245"/>
      <c r="E245"/>
      <c r="F245" s="664"/>
      <c r="G245" s="664"/>
    </row>
    <row r="246" spans="2:7" ht="15" customHeight="1" x14ac:dyDescent="0.35">
      <c r="B246" s="537"/>
      <c r="C246"/>
      <c r="D246"/>
      <c r="E246"/>
      <c r="F246" s="664"/>
      <c r="G246" s="664"/>
    </row>
    <row r="247" spans="2:7" ht="15" customHeight="1" x14ac:dyDescent="0.35">
      <c r="B247" s="537"/>
      <c r="C247"/>
      <c r="D247"/>
      <c r="E247"/>
      <c r="F247" s="664"/>
      <c r="G247" s="664"/>
    </row>
    <row r="248" spans="2:7" ht="15" customHeight="1" x14ac:dyDescent="0.35">
      <c r="B248" s="537"/>
      <c r="C248"/>
      <c r="D248"/>
      <c r="E248"/>
      <c r="F248" s="664"/>
      <c r="G248" s="664"/>
    </row>
    <row r="249" spans="2:7" ht="15" customHeight="1" x14ac:dyDescent="0.35">
      <c r="B249" s="537"/>
      <c r="C249"/>
      <c r="D249"/>
      <c r="E249"/>
      <c r="F249" s="664"/>
      <c r="G249" s="664"/>
    </row>
    <row r="250" spans="2:7" ht="15" customHeight="1" x14ac:dyDescent="0.35">
      <c r="B250" s="537"/>
      <c r="C250"/>
      <c r="D250"/>
      <c r="E250"/>
      <c r="F250" s="664"/>
      <c r="G250" s="664"/>
    </row>
    <row r="251" spans="2:7" ht="15" customHeight="1" x14ac:dyDescent="0.35">
      <c r="B251" s="537"/>
      <c r="C251"/>
      <c r="D251"/>
      <c r="E251"/>
      <c r="F251" s="664"/>
      <c r="G251" s="664"/>
    </row>
    <row r="252" spans="2:7" ht="15" customHeight="1" x14ac:dyDescent="0.35">
      <c r="B252" s="537"/>
      <c r="C252"/>
      <c r="D252"/>
      <c r="E252"/>
      <c r="F252" s="664"/>
      <c r="G252" s="664"/>
    </row>
    <row r="253" spans="2:7" ht="15" customHeight="1" x14ac:dyDescent="0.35">
      <c r="B253" s="537"/>
      <c r="C253"/>
      <c r="D253"/>
      <c r="E253"/>
      <c r="F253" s="664"/>
      <c r="G253" s="664"/>
    </row>
    <row r="254" spans="2:7" ht="15" customHeight="1" x14ac:dyDescent="0.35">
      <c r="B254" s="537"/>
      <c r="C254"/>
      <c r="D254"/>
      <c r="E254"/>
      <c r="F254" s="664"/>
      <c r="G254" s="664"/>
    </row>
    <row r="255" spans="2:7" ht="15" customHeight="1" x14ac:dyDescent="0.35">
      <c r="B255" s="537"/>
      <c r="C255"/>
      <c r="D255"/>
      <c r="E255"/>
      <c r="F255" s="664"/>
      <c r="G255" s="664"/>
    </row>
    <row r="256" spans="2:7" ht="15" customHeight="1" x14ac:dyDescent="0.35">
      <c r="B256" s="537"/>
      <c r="C256"/>
      <c r="D256"/>
      <c r="E256"/>
      <c r="F256" s="664"/>
      <c r="G256" s="664"/>
    </row>
    <row r="257" spans="2:7" ht="15" customHeight="1" x14ac:dyDescent="0.35">
      <c r="B257" s="537"/>
      <c r="C257"/>
      <c r="D257"/>
      <c r="E257"/>
      <c r="F257" s="664"/>
      <c r="G257" s="664"/>
    </row>
    <row r="258" spans="2:7" ht="15" customHeight="1" x14ac:dyDescent="0.35">
      <c r="B258" s="537"/>
      <c r="C258"/>
      <c r="D258"/>
      <c r="E258"/>
      <c r="F258" s="664"/>
      <c r="G258" s="664"/>
    </row>
    <row r="259" spans="2:7" ht="15" customHeight="1" x14ac:dyDescent="0.35">
      <c r="B259" s="537"/>
      <c r="C259"/>
      <c r="D259"/>
      <c r="E259"/>
      <c r="F259" s="664"/>
      <c r="G259" s="664"/>
    </row>
    <row r="260" spans="2:7" ht="15" customHeight="1" x14ac:dyDescent="0.35">
      <c r="B260" s="537"/>
      <c r="C260"/>
      <c r="D260"/>
      <c r="E260"/>
      <c r="F260" s="664"/>
      <c r="G260" s="664"/>
    </row>
    <row r="261" spans="2:7" ht="15" customHeight="1" x14ac:dyDescent="0.35">
      <c r="B261" s="537"/>
      <c r="C261"/>
      <c r="D261"/>
      <c r="E261"/>
      <c r="F261" s="664"/>
      <c r="G261" s="664"/>
    </row>
    <row r="262" spans="2:7" ht="15" customHeight="1" x14ac:dyDescent="0.35">
      <c r="B262" s="537"/>
      <c r="C262"/>
      <c r="D262"/>
      <c r="E262"/>
      <c r="F262" s="664"/>
      <c r="G262" s="664"/>
    </row>
    <row r="263" spans="2:7" ht="15" customHeight="1" x14ac:dyDescent="0.35">
      <c r="B263" s="537"/>
      <c r="C263"/>
      <c r="D263"/>
      <c r="E263"/>
      <c r="F263" s="664"/>
      <c r="G263" s="664"/>
    </row>
    <row r="264" spans="2:7" ht="15" customHeight="1" x14ac:dyDescent="0.35">
      <c r="B264" s="537"/>
      <c r="C264"/>
      <c r="D264"/>
      <c r="E264"/>
      <c r="F264" s="664"/>
      <c r="G264" s="664"/>
    </row>
    <row r="265" spans="2:7" ht="15" customHeight="1" x14ac:dyDescent="0.35">
      <c r="B265" s="537"/>
      <c r="C265"/>
      <c r="D265"/>
      <c r="E265"/>
      <c r="F265" s="664"/>
      <c r="G265" s="664"/>
    </row>
    <row r="266" spans="2:7" ht="15" customHeight="1" x14ac:dyDescent="0.35">
      <c r="B266" s="537"/>
      <c r="C266"/>
      <c r="D266"/>
      <c r="E266"/>
      <c r="F266" s="664"/>
      <c r="G266" s="664"/>
    </row>
    <row r="267" spans="2:7" ht="15" customHeight="1" x14ac:dyDescent="0.35">
      <c r="B267" s="537"/>
      <c r="C267"/>
      <c r="D267"/>
      <c r="E267"/>
      <c r="F267" s="664"/>
      <c r="G267" s="664"/>
    </row>
    <row r="268" spans="2:7" ht="15" customHeight="1" x14ac:dyDescent="0.35">
      <c r="B268" s="537"/>
      <c r="C268"/>
      <c r="D268"/>
      <c r="E268"/>
      <c r="F268" s="664"/>
      <c r="G268" s="664"/>
    </row>
    <row r="269" spans="2:7" ht="15" customHeight="1" x14ac:dyDescent="0.35">
      <c r="B269" s="537"/>
      <c r="C269"/>
      <c r="D269"/>
      <c r="E269"/>
      <c r="F269" s="664"/>
      <c r="G269" s="664"/>
    </row>
    <row r="270" spans="2:7" ht="15" customHeight="1" x14ac:dyDescent="0.35">
      <c r="B270" s="537"/>
      <c r="C270"/>
      <c r="D270"/>
      <c r="E270"/>
      <c r="F270" s="664"/>
      <c r="G270" s="664"/>
    </row>
    <row r="271" spans="2:7" ht="15" customHeight="1" x14ac:dyDescent="0.35">
      <c r="B271" s="537"/>
      <c r="C271"/>
      <c r="D271"/>
      <c r="E271"/>
      <c r="F271" s="664"/>
      <c r="G271" s="664"/>
    </row>
    <row r="272" spans="2:7" ht="15" customHeight="1" x14ac:dyDescent="0.35">
      <c r="B272" s="537"/>
      <c r="C272"/>
      <c r="D272"/>
      <c r="E272"/>
      <c r="F272" s="664"/>
      <c r="G272" s="664"/>
    </row>
    <row r="273" spans="2:7" ht="15" customHeight="1" x14ac:dyDescent="0.35">
      <c r="B273" s="537"/>
      <c r="C273"/>
      <c r="D273"/>
      <c r="E273"/>
      <c r="F273" s="664"/>
      <c r="G273" s="664"/>
    </row>
    <row r="274" spans="2:7" ht="15" customHeight="1" x14ac:dyDescent="0.35">
      <c r="B274" s="537"/>
      <c r="C274"/>
      <c r="D274"/>
      <c r="E274"/>
      <c r="F274" s="664"/>
      <c r="G274" s="664"/>
    </row>
    <row r="275" spans="2:7" ht="15" customHeight="1" x14ac:dyDescent="0.35">
      <c r="B275" s="537"/>
      <c r="C275"/>
      <c r="D275"/>
      <c r="E275"/>
      <c r="F275" s="664"/>
      <c r="G275" s="664"/>
    </row>
    <row r="276" spans="2:7" ht="15" customHeight="1" x14ac:dyDescent="0.35">
      <c r="B276" s="537"/>
      <c r="C276"/>
      <c r="D276"/>
      <c r="E276"/>
      <c r="F276" s="664"/>
      <c r="G276" s="664"/>
    </row>
    <row r="277" spans="2:7" ht="15" customHeight="1" x14ac:dyDescent="0.35">
      <c r="B277" s="537"/>
      <c r="C277"/>
      <c r="D277"/>
      <c r="E277"/>
      <c r="F277" s="664"/>
      <c r="G277" s="664"/>
    </row>
    <row r="278" spans="2:7" ht="15" customHeight="1" x14ac:dyDescent="0.35">
      <c r="B278" s="537"/>
      <c r="C278"/>
      <c r="D278"/>
      <c r="E278"/>
      <c r="F278" s="664"/>
      <c r="G278" s="664"/>
    </row>
    <row r="279" spans="2:7" ht="15" customHeight="1" x14ac:dyDescent="0.35">
      <c r="B279" s="537"/>
      <c r="C279"/>
      <c r="D279"/>
      <c r="E279"/>
      <c r="F279" s="664"/>
      <c r="G279" s="664"/>
    </row>
    <row r="280" spans="2:7" ht="15" customHeight="1" x14ac:dyDescent="0.35">
      <c r="B280" s="537"/>
      <c r="C280"/>
      <c r="D280"/>
      <c r="E280"/>
      <c r="F280" s="664"/>
      <c r="G280" s="664"/>
    </row>
    <row r="281" spans="2:7" ht="15" customHeight="1" x14ac:dyDescent="0.35">
      <c r="B281" s="537"/>
      <c r="C281"/>
      <c r="D281"/>
      <c r="E281"/>
      <c r="F281" s="664"/>
      <c r="G281" s="664"/>
    </row>
    <row r="282" spans="2:7" ht="15" customHeight="1" x14ac:dyDescent="0.35">
      <c r="B282" s="537"/>
      <c r="C282"/>
      <c r="D282"/>
      <c r="E282"/>
      <c r="F282" s="664"/>
      <c r="G282" s="664"/>
    </row>
    <row r="283" spans="2:7" ht="15" customHeight="1" x14ac:dyDescent="0.35">
      <c r="B283" s="537"/>
      <c r="C283"/>
      <c r="D283"/>
      <c r="E283"/>
      <c r="F283" s="664"/>
      <c r="G283" s="664"/>
    </row>
    <row r="284" spans="2:7" ht="15" customHeight="1" x14ac:dyDescent="0.35">
      <c r="B284" s="537"/>
      <c r="C284"/>
      <c r="D284"/>
      <c r="E284"/>
      <c r="F284" s="664"/>
      <c r="G284" s="664"/>
    </row>
    <row r="285" spans="2:7" ht="15" customHeight="1" x14ac:dyDescent="0.35">
      <c r="B285" s="537"/>
      <c r="C285"/>
      <c r="D285"/>
      <c r="E285"/>
      <c r="F285" s="664"/>
      <c r="G285" s="664"/>
    </row>
    <row r="286" spans="2:7" ht="15" customHeight="1" x14ac:dyDescent="0.35">
      <c r="B286" s="537"/>
      <c r="C286"/>
      <c r="D286"/>
      <c r="E286"/>
      <c r="F286" s="664"/>
      <c r="G286" s="664"/>
    </row>
    <row r="287" spans="2:7" ht="15" customHeight="1" x14ac:dyDescent="0.35">
      <c r="B287" s="537"/>
      <c r="C287"/>
      <c r="D287"/>
      <c r="E287"/>
      <c r="F287" s="664"/>
      <c r="G287" s="664"/>
    </row>
    <row r="288" spans="2:7" ht="15" customHeight="1" x14ac:dyDescent="0.35">
      <c r="B288" s="537"/>
      <c r="C288"/>
      <c r="D288"/>
      <c r="E288"/>
      <c r="F288" s="664"/>
      <c r="G288" s="664"/>
    </row>
    <row r="289" spans="2:7" ht="15" customHeight="1" x14ac:dyDescent="0.35">
      <c r="B289" s="537"/>
      <c r="C289"/>
      <c r="D289"/>
      <c r="E289"/>
      <c r="F289" s="664"/>
      <c r="G289" s="664"/>
    </row>
    <row r="290" spans="2:7" ht="15" customHeight="1" x14ac:dyDescent="0.35">
      <c r="B290" s="537"/>
      <c r="C290"/>
      <c r="D290"/>
      <c r="E290"/>
      <c r="F290" s="664"/>
      <c r="G290" s="664"/>
    </row>
    <row r="291" spans="2:7" ht="15" customHeight="1" x14ac:dyDescent="0.35">
      <c r="B291" s="537"/>
      <c r="C291"/>
      <c r="D291"/>
      <c r="E291"/>
      <c r="F291" s="664"/>
      <c r="G291" s="664"/>
    </row>
    <row r="292" spans="2:7" ht="15" customHeight="1" x14ac:dyDescent="0.35">
      <c r="B292" s="537"/>
      <c r="C292"/>
      <c r="D292"/>
      <c r="E292"/>
      <c r="F292" s="664"/>
      <c r="G292" s="664"/>
    </row>
    <row r="293" spans="2:7" ht="15" customHeight="1" x14ac:dyDescent="0.35">
      <c r="B293" s="537"/>
      <c r="C293"/>
      <c r="D293"/>
      <c r="E293"/>
      <c r="F293" s="664"/>
      <c r="G293" s="664"/>
    </row>
    <row r="294" spans="2:7" ht="15" customHeight="1" x14ac:dyDescent="0.35">
      <c r="B294" s="537"/>
      <c r="C294"/>
      <c r="D294"/>
      <c r="E294"/>
      <c r="F294" s="664"/>
      <c r="G294" s="664"/>
    </row>
    <row r="295" spans="2:7" ht="15" customHeight="1" x14ac:dyDescent="0.35">
      <c r="B295" s="537"/>
      <c r="C295"/>
      <c r="D295"/>
      <c r="E295"/>
      <c r="F295" s="664"/>
      <c r="G295" s="664"/>
    </row>
    <row r="296" spans="2:7" ht="15" customHeight="1" x14ac:dyDescent="0.35">
      <c r="B296" s="537"/>
      <c r="C296"/>
      <c r="D296"/>
      <c r="E296"/>
      <c r="F296" s="664"/>
      <c r="G296" s="664"/>
    </row>
    <row r="297" spans="2:7" ht="15" customHeight="1" x14ac:dyDescent="0.35">
      <c r="B297" s="537"/>
      <c r="C297"/>
      <c r="D297"/>
      <c r="E297"/>
      <c r="F297" s="664"/>
      <c r="G297" s="664"/>
    </row>
    <row r="298" spans="2:7" ht="15" customHeight="1" x14ac:dyDescent="0.35">
      <c r="B298" s="537"/>
      <c r="C298"/>
      <c r="D298"/>
      <c r="E298"/>
      <c r="F298" s="664"/>
      <c r="G298" s="664"/>
    </row>
    <row r="299" spans="2:7" ht="15" customHeight="1" x14ac:dyDescent="0.35">
      <c r="B299" s="537"/>
      <c r="C299"/>
      <c r="D299"/>
      <c r="E299"/>
      <c r="F299" s="664"/>
      <c r="G299" s="664"/>
    </row>
    <row r="300" spans="2:7" ht="15" customHeight="1" x14ac:dyDescent="0.35">
      <c r="B300" s="537"/>
      <c r="C300"/>
      <c r="D300"/>
      <c r="E300"/>
      <c r="F300" s="664"/>
      <c r="G300" s="664"/>
    </row>
    <row r="301" spans="2:7" ht="15" customHeight="1" x14ac:dyDescent="0.35">
      <c r="B301" s="537"/>
      <c r="C301"/>
      <c r="D301"/>
      <c r="E301"/>
      <c r="F301" s="664"/>
      <c r="G301" s="664"/>
    </row>
    <row r="302" spans="2:7" ht="15" customHeight="1" x14ac:dyDescent="0.35">
      <c r="B302" s="537"/>
      <c r="C302"/>
      <c r="D302"/>
      <c r="E302"/>
      <c r="F302" s="664"/>
      <c r="G302" s="664"/>
    </row>
    <row r="303" spans="2:7" ht="15" customHeight="1" x14ac:dyDescent="0.35">
      <c r="B303" s="537"/>
      <c r="C303"/>
      <c r="D303"/>
      <c r="E303"/>
      <c r="F303" s="664"/>
      <c r="G303" s="664"/>
    </row>
    <row r="304" spans="2:7" ht="15" customHeight="1" x14ac:dyDescent="0.35">
      <c r="B304" s="537"/>
      <c r="C304"/>
      <c r="D304"/>
      <c r="E304"/>
      <c r="F304" s="664"/>
      <c r="G304" s="664"/>
    </row>
    <row r="305" spans="2:7" ht="15" customHeight="1" x14ac:dyDescent="0.35">
      <c r="B305" s="537"/>
      <c r="C305"/>
      <c r="D305"/>
      <c r="E305"/>
      <c r="F305" s="664"/>
      <c r="G305" s="664"/>
    </row>
    <row r="306" spans="2:7" ht="15" customHeight="1" x14ac:dyDescent="0.35">
      <c r="B306" s="537"/>
      <c r="C306"/>
      <c r="D306"/>
      <c r="E306"/>
      <c r="F306" s="664"/>
      <c r="G306" s="664"/>
    </row>
    <row r="307" spans="2:7" ht="15" customHeight="1" x14ac:dyDescent="0.35">
      <c r="B307" s="537"/>
      <c r="C307"/>
      <c r="D307"/>
      <c r="E307"/>
      <c r="F307" s="664"/>
      <c r="G307" s="664"/>
    </row>
    <row r="308" spans="2:7" ht="15" customHeight="1" x14ac:dyDescent="0.35">
      <c r="B308" s="537"/>
      <c r="C308"/>
      <c r="D308"/>
      <c r="E308"/>
      <c r="F308" s="664"/>
      <c r="G308" s="664"/>
    </row>
    <row r="309" spans="2:7" ht="15" customHeight="1" x14ac:dyDescent="0.35">
      <c r="B309" s="537"/>
      <c r="C309"/>
      <c r="D309"/>
      <c r="E309"/>
      <c r="F309" s="664"/>
      <c r="G309" s="664"/>
    </row>
    <row r="310" spans="2:7" ht="15" customHeight="1" x14ac:dyDescent="0.35">
      <c r="B310" s="537"/>
      <c r="C310"/>
      <c r="D310"/>
      <c r="E310"/>
      <c r="F310" s="664"/>
      <c r="G310" s="664"/>
    </row>
    <row r="311" spans="2:7" ht="15" customHeight="1" x14ac:dyDescent="0.35">
      <c r="B311" s="537"/>
      <c r="C311"/>
      <c r="D311"/>
      <c r="E311"/>
      <c r="F311" s="664"/>
      <c r="G311" s="664"/>
    </row>
    <row r="312" spans="2:7" ht="15" customHeight="1" x14ac:dyDescent="0.35">
      <c r="B312" s="537"/>
      <c r="C312"/>
      <c r="D312"/>
      <c r="E312"/>
      <c r="F312" s="664"/>
      <c r="G312" s="664"/>
    </row>
    <row r="313" spans="2:7" ht="15" customHeight="1" x14ac:dyDescent="0.35">
      <c r="B313" s="537"/>
      <c r="C313"/>
      <c r="D313"/>
      <c r="E313"/>
      <c r="F313" s="664"/>
      <c r="G313" s="664"/>
    </row>
    <row r="314" spans="2:7" ht="15" customHeight="1" x14ac:dyDescent="0.35">
      <c r="B314" s="537"/>
      <c r="C314"/>
      <c r="D314"/>
      <c r="E314"/>
      <c r="F314" s="664"/>
      <c r="G314" s="664"/>
    </row>
    <row r="315" spans="2:7" ht="15" customHeight="1" x14ac:dyDescent="0.35">
      <c r="B315" s="537"/>
      <c r="C315"/>
      <c r="D315"/>
      <c r="E315"/>
      <c r="F315" s="664"/>
      <c r="G315" s="664"/>
    </row>
    <row r="316" spans="2:7" ht="15" customHeight="1" x14ac:dyDescent="0.35">
      <c r="B316" s="537"/>
      <c r="C316"/>
      <c r="D316"/>
      <c r="E316"/>
      <c r="F316" s="664"/>
      <c r="G316" s="664"/>
    </row>
    <row r="317" spans="2:7" ht="15" customHeight="1" x14ac:dyDescent="0.35">
      <c r="B317" s="537"/>
      <c r="C317"/>
      <c r="D317"/>
      <c r="E317"/>
      <c r="F317" s="664"/>
      <c r="G317" s="664"/>
    </row>
    <row r="318" spans="2:7" ht="15" customHeight="1" x14ac:dyDescent="0.35">
      <c r="B318" s="537"/>
      <c r="C318"/>
      <c r="D318"/>
      <c r="E318"/>
      <c r="F318" s="664"/>
      <c r="G318" s="664"/>
    </row>
    <row r="319" spans="2:7" ht="15" customHeight="1" x14ac:dyDescent="0.35">
      <c r="B319" s="537"/>
      <c r="C319"/>
      <c r="D319"/>
      <c r="E319"/>
      <c r="F319" s="664"/>
      <c r="G319" s="664"/>
    </row>
    <row r="320" spans="2:7" ht="15" customHeight="1" x14ac:dyDescent="0.35">
      <c r="B320" s="537"/>
      <c r="C320"/>
      <c r="D320"/>
      <c r="E320"/>
      <c r="F320" s="664"/>
      <c r="G320" s="664"/>
    </row>
    <row r="321" spans="2:7" ht="15" customHeight="1" x14ac:dyDescent="0.35">
      <c r="B321" s="537"/>
      <c r="C321"/>
      <c r="D321"/>
      <c r="E321"/>
      <c r="F321" s="664"/>
      <c r="G321" s="664"/>
    </row>
    <row r="322" spans="2:7" ht="15" customHeight="1" x14ac:dyDescent="0.35">
      <c r="B322" s="537"/>
      <c r="C322"/>
      <c r="D322"/>
      <c r="E322"/>
      <c r="F322" s="664"/>
      <c r="G322" s="664"/>
    </row>
    <row r="323" spans="2:7" ht="15" customHeight="1" x14ac:dyDescent="0.35">
      <c r="B323" s="537"/>
      <c r="C323"/>
      <c r="D323"/>
      <c r="E323"/>
      <c r="F323" s="664"/>
      <c r="G323" s="664"/>
    </row>
    <row r="324" spans="2:7" ht="15" customHeight="1" x14ac:dyDescent="0.35">
      <c r="B324" s="537"/>
      <c r="C324"/>
      <c r="D324"/>
      <c r="E324"/>
      <c r="F324" s="664"/>
      <c r="G324" s="664"/>
    </row>
    <row r="325" spans="2:7" ht="15" customHeight="1" x14ac:dyDescent="0.35">
      <c r="B325" s="537"/>
      <c r="C325"/>
      <c r="D325"/>
      <c r="E325"/>
      <c r="F325" s="664"/>
      <c r="G325" s="664"/>
    </row>
    <row r="326" spans="2:7" ht="15" customHeight="1" x14ac:dyDescent="0.35">
      <c r="B326" s="537"/>
      <c r="C326"/>
      <c r="D326"/>
      <c r="E326"/>
      <c r="F326" s="664"/>
      <c r="G326" s="664"/>
    </row>
    <row r="327" spans="2:7" ht="15" customHeight="1" x14ac:dyDescent="0.35">
      <c r="B327" s="537"/>
      <c r="C327"/>
      <c r="D327"/>
      <c r="E327"/>
      <c r="F327" s="664"/>
      <c r="G327" s="664"/>
    </row>
    <row r="328" spans="2:7" ht="15" customHeight="1" x14ac:dyDescent="0.35">
      <c r="B328" s="537"/>
      <c r="C328"/>
      <c r="D328"/>
      <c r="E328"/>
      <c r="F328" s="664"/>
      <c r="G328" s="664"/>
    </row>
    <row r="329" spans="2:7" ht="15" customHeight="1" x14ac:dyDescent="0.35">
      <c r="B329" s="537"/>
      <c r="C329"/>
      <c r="D329"/>
      <c r="E329"/>
      <c r="F329" s="664"/>
      <c r="G329" s="664"/>
    </row>
    <row r="330" spans="2:7" ht="15" customHeight="1" x14ac:dyDescent="0.35">
      <c r="B330" s="537"/>
      <c r="C330"/>
      <c r="D330"/>
      <c r="E330"/>
      <c r="F330" s="664"/>
      <c r="G330" s="664"/>
    </row>
    <row r="331" spans="2:7" ht="15" customHeight="1" x14ac:dyDescent="0.35">
      <c r="B331" s="537"/>
      <c r="C331"/>
      <c r="D331"/>
      <c r="E331"/>
      <c r="F331" s="664"/>
      <c r="G331" s="664"/>
    </row>
    <row r="332" spans="2:7" ht="15" customHeight="1" x14ac:dyDescent="0.35">
      <c r="B332" s="537"/>
      <c r="C332"/>
      <c r="D332"/>
      <c r="E332"/>
      <c r="F332" s="664"/>
      <c r="G332" s="664"/>
    </row>
    <row r="333" spans="2:7" ht="15" customHeight="1" x14ac:dyDescent="0.35">
      <c r="B333" s="537"/>
      <c r="C333"/>
      <c r="D333"/>
      <c r="E333"/>
      <c r="F333" s="664"/>
      <c r="G333" s="664"/>
    </row>
    <row r="334" spans="2:7" ht="15" customHeight="1" x14ac:dyDescent="0.35">
      <c r="B334" s="537"/>
      <c r="C334"/>
      <c r="D334"/>
      <c r="E334"/>
      <c r="F334" s="664"/>
      <c r="G334" s="664"/>
    </row>
    <row r="335" spans="2:7" ht="15" customHeight="1" x14ac:dyDescent="0.35">
      <c r="B335" s="537"/>
      <c r="C335"/>
      <c r="D335"/>
      <c r="E335"/>
      <c r="F335" s="664"/>
      <c r="G335" s="664"/>
    </row>
    <row r="336" spans="2:7" ht="15" customHeight="1" x14ac:dyDescent="0.35">
      <c r="B336" s="537"/>
      <c r="C336"/>
      <c r="D336"/>
      <c r="E336"/>
      <c r="F336" s="664"/>
      <c r="G336" s="664"/>
    </row>
    <row r="337" spans="2:7" ht="15" customHeight="1" x14ac:dyDescent="0.35">
      <c r="B337" s="537"/>
      <c r="C337"/>
      <c r="D337"/>
      <c r="E337"/>
      <c r="F337" s="664"/>
      <c r="G337" s="664"/>
    </row>
    <row r="338" spans="2:7" ht="15" customHeight="1" x14ac:dyDescent="0.35">
      <c r="B338" s="537"/>
      <c r="C338"/>
      <c r="D338"/>
      <c r="E338"/>
      <c r="F338" s="664"/>
      <c r="G338" s="664"/>
    </row>
    <row r="339" spans="2:7" ht="15" customHeight="1" x14ac:dyDescent="0.35">
      <c r="B339" s="537"/>
      <c r="C339"/>
      <c r="D339"/>
      <c r="E339"/>
      <c r="F339" s="664"/>
      <c r="G339" s="664"/>
    </row>
    <row r="340" spans="2:7" ht="15" customHeight="1" x14ac:dyDescent="0.35">
      <c r="B340" s="537"/>
      <c r="C340"/>
      <c r="D340"/>
      <c r="E340"/>
      <c r="F340" s="664"/>
      <c r="G340" s="664"/>
    </row>
    <row r="341" spans="2:7" ht="15" customHeight="1" x14ac:dyDescent="0.35">
      <c r="B341" s="537"/>
      <c r="C341"/>
      <c r="D341"/>
      <c r="E341"/>
      <c r="F341" s="664"/>
      <c r="G341" s="664"/>
    </row>
    <row r="342" spans="2:7" ht="15" customHeight="1" x14ac:dyDescent="0.35">
      <c r="B342" s="537"/>
      <c r="C342"/>
      <c r="D342"/>
      <c r="E342"/>
      <c r="F342" s="664"/>
      <c r="G342" s="664"/>
    </row>
    <row r="343" spans="2:7" ht="15" customHeight="1" x14ac:dyDescent="0.35">
      <c r="B343" s="537"/>
      <c r="C343"/>
      <c r="D343"/>
      <c r="E343"/>
      <c r="F343" s="664"/>
      <c r="G343" s="664"/>
    </row>
    <row r="344" spans="2:7" ht="15" customHeight="1" x14ac:dyDescent="0.35">
      <c r="B344" s="537"/>
      <c r="C344"/>
      <c r="D344"/>
      <c r="E344"/>
      <c r="F344" s="664"/>
      <c r="G344" s="664"/>
    </row>
    <row r="345" spans="2:7" ht="15" customHeight="1" x14ac:dyDescent="0.35">
      <c r="B345" s="537"/>
      <c r="C345"/>
      <c r="D345"/>
      <c r="E345"/>
      <c r="F345" s="664"/>
      <c r="G345" s="664"/>
    </row>
    <row r="346" spans="2:7" ht="15" customHeight="1" x14ac:dyDescent="0.35">
      <c r="B346" s="537"/>
      <c r="C346"/>
      <c r="D346"/>
      <c r="E346"/>
      <c r="F346" s="664"/>
      <c r="G346" s="664"/>
    </row>
    <row r="347" spans="2:7" ht="15" customHeight="1" x14ac:dyDescent="0.35">
      <c r="B347" s="537"/>
      <c r="C347"/>
      <c r="D347"/>
      <c r="E347"/>
      <c r="F347" s="664"/>
      <c r="G347" s="664"/>
    </row>
    <row r="348" spans="2:7" ht="15" customHeight="1" x14ac:dyDescent="0.35">
      <c r="B348" s="537"/>
      <c r="C348"/>
      <c r="D348"/>
      <c r="E348"/>
      <c r="F348" s="664"/>
      <c r="G348" s="664"/>
    </row>
    <row r="349" spans="2:7" ht="15" customHeight="1" x14ac:dyDescent="0.35">
      <c r="B349" s="537"/>
      <c r="C349"/>
      <c r="D349"/>
      <c r="E349"/>
      <c r="F349" s="664"/>
      <c r="G349" s="664"/>
    </row>
    <row r="350" spans="2:7" ht="15" customHeight="1" x14ac:dyDescent="0.35">
      <c r="B350" s="537"/>
      <c r="C350"/>
      <c r="D350"/>
      <c r="E350"/>
      <c r="F350" s="664"/>
      <c r="G350" s="664"/>
    </row>
    <row r="351" spans="2:7" ht="15" customHeight="1" x14ac:dyDescent="0.35">
      <c r="B351" s="537"/>
      <c r="C351"/>
      <c r="D351"/>
      <c r="E351"/>
      <c r="F351" s="664"/>
      <c r="G351" s="664"/>
    </row>
    <row r="352" spans="2:7" ht="15" customHeight="1" x14ac:dyDescent="0.35">
      <c r="B352" s="537"/>
      <c r="C352"/>
      <c r="D352"/>
      <c r="E352"/>
      <c r="F352" s="664"/>
      <c r="G352" s="664"/>
    </row>
    <row r="353" spans="2:7" ht="15" customHeight="1" x14ac:dyDescent="0.35">
      <c r="B353" s="537"/>
      <c r="C353"/>
      <c r="D353"/>
      <c r="E353"/>
      <c r="F353" s="664"/>
      <c r="G353" s="664"/>
    </row>
    <row r="354" spans="2:7" ht="15" customHeight="1" x14ac:dyDescent="0.35">
      <c r="B354" s="537"/>
      <c r="C354"/>
      <c r="D354"/>
      <c r="E354"/>
      <c r="F354" s="664"/>
      <c r="G354" s="664"/>
    </row>
    <row r="355" spans="2:7" ht="15" customHeight="1" x14ac:dyDescent="0.35">
      <c r="B355" s="537"/>
      <c r="C355"/>
      <c r="D355"/>
      <c r="E355"/>
      <c r="F355" s="664"/>
      <c r="G355" s="664"/>
    </row>
    <row r="356" spans="2:7" ht="15" customHeight="1" x14ac:dyDescent="0.35">
      <c r="B356" s="537"/>
      <c r="C356"/>
      <c r="D356"/>
      <c r="E356"/>
      <c r="F356" s="664"/>
      <c r="G356" s="664"/>
    </row>
    <row r="357" spans="2:7" ht="15" customHeight="1" x14ac:dyDescent="0.35">
      <c r="B357" s="537"/>
      <c r="C357"/>
      <c r="D357"/>
      <c r="E357"/>
      <c r="F357" s="664"/>
      <c r="G357" s="664"/>
    </row>
    <row r="358" spans="2:7" ht="15" customHeight="1" x14ac:dyDescent="0.35">
      <c r="B358" s="537"/>
      <c r="C358"/>
      <c r="D358"/>
      <c r="E358"/>
      <c r="F358" s="664"/>
      <c r="G358" s="664"/>
    </row>
    <row r="359" spans="2:7" ht="15" customHeight="1" x14ac:dyDescent="0.35">
      <c r="B359" s="537"/>
      <c r="C359"/>
      <c r="D359"/>
      <c r="E359"/>
      <c r="F359" s="664"/>
      <c r="G359" s="664"/>
    </row>
    <row r="360" spans="2:7" ht="15" customHeight="1" x14ac:dyDescent="0.35">
      <c r="B360" s="537"/>
      <c r="C360"/>
      <c r="D360"/>
      <c r="E360"/>
      <c r="F360" s="664"/>
      <c r="G360" s="664"/>
    </row>
    <row r="361" spans="2:7" ht="15" customHeight="1" x14ac:dyDescent="0.35">
      <c r="B361" s="537"/>
      <c r="C361"/>
      <c r="D361"/>
      <c r="E361"/>
      <c r="F361" s="664"/>
      <c r="G361" s="664"/>
    </row>
    <row r="362" spans="2:7" ht="15" customHeight="1" x14ac:dyDescent="0.35">
      <c r="B362" s="537"/>
      <c r="C362"/>
      <c r="D362"/>
      <c r="E362"/>
      <c r="F362" s="664"/>
      <c r="G362" s="664"/>
    </row>
    <row r="363" spans="2:7" ht="15" customHeight="1" x14ac:dyDescent="0.35">
      <c r="B363" s="537"/>
      <c r="C363"/>
      <c r="D363"/>
      <c r="E363"/>
      <c r="F363" s="664"/>
      <c r="G363" s="664"/>
    </row>
    <row r="364" spans="2:7" ht="15" customHeight="1" x14ac:dyDescent="0.35">
      <c r="B364" s="537"/>
      <c r="C364"/>
      <c r="D364"/>
      <c r="E364"/>
      <c r="F364" s="664"/>
      <c r="G364" s="664"/>
    </row>
    <row r="365" spans="2:7" ht="15" customHeight="1" x14ac:dyDescent="0.35">
      <c r="B365" s="537"/>
      <c r="C365"/>
      <c r="D365"/>
      <c r="E365"/>
      <c r="F365" s="664"/>
      <c r="G365" s="664"/>
    </row>
    <row r="366" spans="2:7" ht="15" customHeight="1" x14ac:dyDescent="0.35">
      <c r="B366" s="537"/>
      <c r="C366"/>
      <c r="D366"/>
      <c r="E366"/>
      <c r="F366" s="664"/>
      <c r="G366" s="664"/>
    </row>
    <row r="367" spans="2:7" ht="15" customHeight="1" x14ac:dyDescent="0.35">
      <c r="B367" s="537"/>
      <c r="C367"/>
      <c r="D367"/>
      <c r="E367"/>
      <c r="F367" s="664"/>
      <c r="G367" s="664"/>
    </row>
    <row r="368" spans="2:7" ht="15" customHeight="1" x14ac:dyDescent="0.35">
      <c r="B368" s="537"/>
      <c r="C368"/>
      <c r="D368"/>
      <c r="E368"/>
      <c r="F368" s="664"/>
      <c r="G368" s="664"/>
    </row>
    <row r="369" spans="2:7" ht="15" customHeight="1" x14ac:dyDescent="0.35">
      <c r="B369" s="537"/>
      <c r="C369"/>
      <c r="D369"/>
      <c r="E369"/>
      <c r="F369" s="664"/>
      <c r="G369" s="664"/>
    </row>
    <row r="370" spans="2:7" ht="15" customHeight="1" x14ac:dyDescent="0.35">
      <c r="B370" s="537"/>
      <c r="C370"/>
      <c r="D370"/>
      <c r="E370"/>
      <c r="F370" s="664"/>
      <c r="G370" s="664"/>
    </row>
    <row r="371" spans="2:7" ht="15" customHeight="1" x14ac:dyDescent="0.35">
      <c r="B371" s="537"/>
      <c r="C371"/>
      <c r="D371"/>
      <c r="E371"/>
      <c r="F371" s="664"/>
      <c r="G371" s="664"/>
    </row>
    <row r="372" spans="2:7" ht="15" customHeight="1" x14ac:dyDescent="0.35">
      <c r="B372" s="537"/>
      <c r="C372"/>
      <c r="D372"/>
      <c r="E372"/>
      <c r="F372" s="664"/>
      <c r="G372" s="664"/>
    </row>
    <row r="373" spans="2:7" ht="15" customHeight="1" x14ac:dyDescent="0.35">
      <c r="B373" s="537"/>
      <c r="C373"/>
      <c r="D373"/>
      <c r="E373"/>
      <c r="F373" s="664"/>
      <c r="G373" s="664"/>
    </row>
    <row r="374" spans="2:7" ht="15" customHeight="1" x14ac:dyDescent="0.35">
      <c r="B374" s="537"/>
      <c r="C374"/>
      <c r="D374"/>
      <c r="E374"/>
      <c r="F374" s="664"/>
      <c r="G374" s="664"/>
    </row>
    <row r="375" spans="2:7" ht="15" customHeight="1" x14ac:dyDescent="0.35">
      <c r="B375" s="537"/>
      <c r="C375"/>
      <c r="D375"/>
      <c r="E375"/>
      <c r="F375" s="664"/>
      <c r="G375" s="664"/>
    </row>
    <row r="376" spans="2:7" ht="15" customHeight="1" x14ac:dyDescent="0.35">
      <c r="B376" s="537"/>
      <c r="C376"/>
      <c r="D376"/>
      <c r="E376"/>
      <c r="F376" s="664"/>
      <c r="G376" s="664"/>
    </row>
    <row r="377" spans="2:7" ht="15" customHeight="1" x14ac:dyDescent="0.35">
      <c r="B377" s="537"/>
      <c r="C377"/>
      <c r="D377"/>
      <c r="E377"/>
      <c r="F377" s="664"/>
      <c r="G377" s="664"/>
    </row>
    <row r="378" spans="2:7" ht="15" customHeight="1" x14ac:dyDescent="0.35">
      <c r="B378" s="537"/>
      <c r="C378"/>
      <c r="D378"/>
      <c r="E378"/>
      <c r="F378" s="664"/>
      <c r="G378" s="664"/>
    </row>
    <row r="379" spans="2:7" ht="15" customHeight="1" x14ac:dyDescent="0.35">
      <c r="B379" s="537"/>
      <c r="C379"/>
      <c r="D379"/>
      <c r="E379"/>
      <c r="F379" s="664"/>
      <c r="G379" s="664"/>
    </row>
    <row r="380" spans="2:7" ht="15" customHeight="1" x14ac:dyDescent="0.35">
      <c r="B380" s="537"/>
      <c r="C380"/>
      <c r="D380"/>
      <c r="E380"/>
      <c r="F380" s="664"/>
      <c r="G380" s="664"/>
    </row>
    <row r="381" spans="2:7" ht="15" customHeight="1" x14ac:dyDescent="0.35">
      <c r="B381" s="537"/>
      <c r="C381"/>
      <c r="D381"/>
      <c r="E381"/>
      <c r="F381" s="664"/>
      <c r="G381" s="664"/>
    </row>
    <row r="382" spans="2:7" ht="15" customHeight="1" x14ac:dyDescent="0.35">
      <c r="B382" s="537"/>
      <c r="C382"/>
      <c r="D382"/>
      <c r="E382"/>
      <c r="F382" s="664"/>
      <c r="G382" s="664"/>
    </row>
    <row r="383" spans="2:7" ht="15" customHeight="1" x14ac:dyDescent="0.35">
      <c r="B383" s="537"/>
      <c r="C383"/>
      <c r="D383"/>
      <c r="E383"/>
      <c r="F383" s="664"/>
      <c r="G383" s="664"/>
    </row>
    <row r="384" spans="2:7" ht="15" customHeight="1" x14ac:dyDescent="0.35">
      <c r="B384" s="537"/>
      <c r="C384"/>
      <c r="D384"/>
      <c r="E384"/>
      <c r="F384" s="664"/>
      <c r="G384" s="664"/>
    </row>
    <row r="385" spans="2:7" ht="15" customHeight="1" x14ac:dyDescent="0.35">
      <c r="B385" s="537"/>
      <c r="C385"/>
      <c r="D385"/>
      <c r="E385"/>
      <c r="F385" s="664"/>
      <c r="G385" s="664"/>
    </row>
    <row r="386" spans="2:7" ht="15" customHeight="1" x14ac:dyDescent="0.35">
      <c r="B386" s="537"/>
      <c r="C386"/>
      <c r="D386"/>
      <c r="E386"/>
      <c r="F386" s="664"/>
      <c r="G386" s="664"/>
    </row>
    <row r="387" spans="2:7" ht="15" customHeight="1" x14ac:dyDescent="0.35">
      <c r="B387" s="537"/>
      <c r="C387"/>
      <c r="D387"/>
      <c r="E387"/>
      <c r="F387" s="664"/>
      <c r="G387" s="664"/>
    </row>
    <row r="388" spans="2:7" ht="15" customHeight="1" x14ac:dyDescent="0.35">
      <c r="B388" s="537"/>
      <c r="C388"/>
      <c r="D388"/>
      <c r="E388"/>
      <c r="F388" s="664"/>
      <c r="G388" s="664"/>
    </row>
    <row r="389" spans="2:7" ht="15" customHeight="1" x14ac:dyDescent="0.35">
      <c r="B389" s="537"/>
      <c r="C389"/>
      <c r="D389"/>
      <c r="E389"/>
      <c r="F389" s="664"/>
      <c r="G389" s="664"/>
    </row>
    <row r="390" spans="2:7" ht="15" customHeight="1" x14ac:dyDescent="0.35">
      <c r="B390" s="537"/>
      <c r="C390"/>
      <c r="D390"/>
      <c r="E390"/>
      <c r="F390" s="664"/>
      <c r="G390" s="664"/>
    </row>
    <row r="391" spans="2:7" ht="15" customHeight="1" x14ac:dyDescent="0.35">
      <c r="B391" s="537"/>
      <c r="C391"/>
      <c r="D391"/>
      <c r="E391"/>
      <c r="F391" s="664"/>
      <c r="G391" s="664"/>
    </row>
    <row r="392" spans="2:7" ht="15" customHeight="1" x14ac:dyDescent="0.35">
      <c r="B392" s="537"/>
      <c r="C392"/>
      <c r="D392"/>
      <c r="E392"/>
      <c r="F392" s="664"/>
      <c r="G392" s="664"/>
    </row>
    <row r="393" spans="2:7" ht="15" customHeight="1" x14ac:dyDescent="0.35">
      <c r="B393" s="537"/>
      <c r="C393"/>
      <c r="D393"/>
      <c r="E393"/>
      <c r="F393" s="664"/>
      <c r="G393" s="664"/>
    </row>
    <row r="394" spans="2:7" ht="15" customHeight="1" x14ac:dyDescent="0.35">
      <c r="B394" s="537"/>
      <c r="C394"/>
      <c r="D394"/>
      <c r="E394"/>
      <c r="F394" s="664"/>
      <c r="G394" s="664"/>
    </row>
    <row r="395" spans="2:7" ht="15" customHeight="1" x14ac:dyDescent="0.35">
      <c r="B395" s="537"/>
      <c r="C395"/>
      <c r="D395"/>
      <c r="E395"/>
      <c r="F395" s="664"/>
      <c r="G395" s="664"/>
    </row>
    <row r="396" spans="2:7" ht="15" customHeight="1" x14ac:dyDescent="0.35">
      <c r="B396" s="537"/>
      <c r="C396"/>
      <c r="D396"/>
      <c r="E396"/>
      <c r="F396" s="664"/>
      <c r="G396" s="664"/>
    </row>
    <row r="397" spans="2:7" ht="15" customHeight="1" x14ac:dyDescent="0.35">
      <c r="B397" s="537"/>
      <c r="C397"/>
      <c r="D397"/>
      <c r="E397"/>
      <c r="F397" s="664"/>
      <c r="G397" s="664"/>
    </row>
    <row r="398" spans="2:7" ht="15" customHeight="1" x14ac:dyDescent="0.35">
      <c r="B398" s="537"/>
      <c r="C398"/>
      <c r="D398"/>
      <c r="E398"/>
      <c r="F398" s="664"/>
      <c r="G398" s="664"/>
    </row>
    <row r="399" spans="2:7" ht="15" customHeight="1" x14ac:dyDescent="0.35">
      <c r="B399" s="537"/>
      <c r="C399"/>
      <c r="D399"/>
      <c r="E399"/>
      <c r="F399" s="664"/>
      <c r="G399" s="664"/>
    </row>
    <row r="400" spans="2:7" ht="15" customHeight="1" x14ac:dyDescent="0.35">
      <c r="B400" s="537"/>
      <c r="C400"/>
      <c r="D400"/>
      <c r="E400"/>
      <c r="F400" s="664"/>
      <c r="G400" s="664"/>
    </row>
    <row r="401" spans="2:7" ht="15" customHeight="1" x14ac:dyDescent="0.35">
      <c r="B401" s="537"/>
      <c r="C401"/>
      <c r="D401"/>
      <c r="E401"/>
      <c r="F401" s="664"/>
      <c r="G401" s="664"/>
    </row>
    <row r="402" spans="2:7" ht="15" customHeight="1" x14ac:dyDescent="0.35">
      <c r="B402" s="537"/>
      <c r="C402"/>
      <c r="D402"/>
      <c r="E402"/>
      <c r="F402" s="664"/>
      <c r="G402" s="664"/>
    </row>
    <row r="403" spans="2:7" ht="15" customHeight="1" x14ac:dyDescent="0.35">
      <c r="B403" s="537"/>
      <c r="C403"/>
      <c r="D403"/>
      <c r="E403"/>
      <c r="F403" s="664"/>
      <c r="G403" s="664"/>
    </row>
    <row r="404" spans="2:7" ht="15" customHeight="1" x14ac:dyDescent="0.35">
      <c r="B404" s="537"/>
      <c r="C404"/>
      <c r="D404"/>
      <c r="E404"/>
      <c r="F404" s="664"/>
      <c r="G404" s="664"/>
    </row>
    <row r="405" spans="2:7" ht="15" customHeight="1" x14ac:dyDescent="0.35">
      <c r="B405" s="537"/>
      <c r="C405"/>
      <c r="D405"/>
      <c r="E405"/>
      <c r="F405" s="664"/>
      <c r="G405" s="664"/>
    </row>
    <row r="406" spans="2:7" ht="15" customHeight="1" x14ac:dyDescent="0.35">
      <c r="B406" s="537"/>
      <c r="C406"/>
      <c r="D406"/>
      <c r="E406"/>
      <c r="F406" s="664"/>
      <c r="G406" s="664"/>
    </row>
    <row r="407" spans="2:7" ht="15" customHeight="1" x14ac:dyDescent="0.35">
      <c r="B407" s="537"/>
      <c r="C407"/>
      <c r="D407"/>
      <c r="E407"/>
      <c r="F407" s="664"/>
      <c r="G407" s="664"/>
    </row>
    <row r="408" spans="2:7" ht="15" customHeight="1" x14ac:dyDescent="0.35">
      <c r="B408" s="537"/>
      <c r="C408"/>
      <c r="D408"/>
      <c r="E408"/>
      <c r="F408" s="664"/>
      <c r="G408" s="664"/>
    </row>
    <row r="409" spans="2:7" ht="15" customHeight="1" x14ac:dyDescent="0.35">
      <c r="B409" s="537"/>
      <c r="C409"/>
      <c r="D409"/>
      <c r="E409"/>
      <c r="F409" s="664"/>
      <c r="G409" s="664"/>
    </row>
    <row r="410" spans="2:7" ht="15" customHeight="1" x14ac:dyDescent="0.35">
      <c r="B410" s="537"/>
      <c r="C410"/>
      <c r="D410"/>
      <c r="E410"/>
      <c r="F410" s="664"/>
      <c r="G410" s="664"/>
    </row>
    <row r="411" spans="2:7" ht="15" customHeight="1" x14ac:dyDescent="0.35">
      <c r="B411" s="537"/>
      <c r="C411"/>
      <c r="D411"/>
      <c r="E411"/>
      <c r="F411" s="664"/>
      <c r="G411" s="664"/>
    </row>
    <row r="412" spans="2:7" ht="15" customHeight="1" x14ac:dyDescent="0.35">
      <c r="B412" s="537"/>
      <c r="C412"/>
      <c r="D412"/>
      <c r="E412"/>
      <c r="F412" s="664"/>
      <c r="G412" s="664"/>
    </row>
    <row r="413" spans="2:7" ht="15" customHeight="1" x14ac:dyDescent="0.35">
      <c r="B413" s="537"/>
      <c r="C413"/>
      <c r="D413"/>
      <c r="E413"/>
      <c r="F413" s="664"/>
      <c r="G413" s="664"/>
    </row>
    <row r="414" spans="2:7" ht="15" customHeight="1" x14ac:dyDescent="0.35">
      <c r="B414" s="537"/>
      <c r="C414"/>
      <c r="D414"/>
      <c r="E414"/>
      <c r="F414" s="664"/>
      <c r="G414" s="664"/>
    </row>
    <row r="415" spans="2:7" ht="15" customHeight="1" x14ac:dyDescent="0.35">
      <c r="B415" s="537"/>
      <c r="C415"/>
      <c r="D415"/>
      <c r="E415"/>
      <c r="F415" s="664"/>
      <c r="G415" s="664"/>
    </row>
    <row r="416" spans="2:7" ht="15" customHeight="1" x14ac:dyDescent="0.35">
      <c r="B416" s="537"/>
      <c r="C416"/>
      <c r="D416"/>
      <c r="E416"/>
      <c r="F416" s="664"/>
      <c r="G416" s="664"/>
    </row>
    <row r="417" spans="2:7" ht="15" customHeight="1" x14ac:dyDescent="0.35">
      <c r="B417" s="537"/>
      <c r="C417"/>
      <c r="D417"/>
      <c r="E417"/>
      <c r="F417" s="664"/>
      <c r="G417" s="664"/>
    </row>
    <row r="418" spans="2:7" ht="15" customHeight="1" x14ac:dyDescent="0.35">
      <c r="B418" s="537"/>
      <c r="C418"/>
      <c r="D418"/>
      <c r="E418"/>
      <c r="F418" s="664"/>
      <c r="G418" s="664"/>
    </row>
    <row r="419" spans="2:7" ht="15" customHeight="1" x14ac:dyDescent="0.35">
      <c r="B419" s="537"/>
      <c r="C419"/>
      <c r="D419"/>
      <c r="E419"/>
      <c r="F419" s="664"/>
      <c r="G419" s="664"/>
    </row>
    <row r="420" spans="2:7" ht="15" customHeight="1" x14ac:dyDescent="0.35">
      <c r="B420" s="537"/>
      <c r="C420"/>
      <c r="D420"/>
      <c r="E420"/>
      <c r="F420" s="664"/>
      <c r="G420" s="664"/>
    </row>
    <row r="421" spans="2:7" ht="15" customHeight="1" x14ac:dyDescent="0.35">
      <c r="B421" s="537"/>
      <c r="C421"/>
      <c r="D421"/>
      <c r="E421"/>
      <c r="F421" s="664"/>
      <c r="G421" s="664"/>
    </row>
    <row r="422" spans="2:7" ht="15" customHeight="1" x14ac:dyDescent="0.35">
      <c r="B422" s="537"/>
      <c r="C422"/>
      <c r="D422"/>
      <c r="E422"/>
      <c r="F422" s="664"/>
      <c r="G422" s="664"/>
    </row>
    <row r="423" spans="2:7" ht="15" customHeight="1" x14ac:dyDescent="0.35">
      <c r="B423" s="537"/>
      <c r="C423"/>
      <c r="D423"/>
      <c r="E423"/>
      <c r="F423" s="664"/>
      <c r="G423" s="664"/>
    </row>
    <row r="424" spans="2:7" ht="15" customHeight="1" x14ac:dyDescent="0.35">
      <c r="B424" s="537"/>
      <c r="C424"/>
      <c r="D424"/>
      <c r="E424"/>
      <c r="F424" s="664"/>
      <c r="G424" s="664"/>
    </row>
    <row r="425" spans="2:7" ht="15" customHeight="1" x14ac:dyDescent="0.35">
      <c r="B425" s="537"/>
      <c r="C425"/>
      <c r="D425"/>
      <c r="E425"/>
      <c r="F425" s="664"/>
      <c r="G425" s="664"/>
    </row>
    <row r="426" spans="2:7" ht="15" customHeight="1" x14ac:dyDescent="0.35">
      <c r="B426" s="537"/>
      <c r="C426"/>
      <c r="D426"/>
      <c r="E426"/>
      <c r="F426" s="664"/>
      <c r="G426" s="664"/>
    </row>
    <row r="427" spans="2:7" ht="15" customHeight="1" x14ac:dyDescent="0.35">
      <c r="B427" s="537"/>
      <c r="C427"/>
      <c r="D427"/>
      <c r="E427"/>
      <c r="F427" s="664"/>
      <c r="G427" s="664"/>
    </row>
    <row r="428" spans="2:7" ht="15" customHeight="1" x14ac:dyDescent="0.35">
      <c r="B428" s="537"/>
      <c r="C428"/>
      <c r="D428"/>
      <c r="E428"/>
      <c r="F428" s="664"/>
      <c r="G428" s="664"/>
    </row>
    <row r="429" spans="2:7" ht="15" customHeight="1" x14ac:dyDescent="0.35">
      <c r="B429" s="537"/>
      <c r="C429"/>
      <c r="D429"/>
      <c r="E429"/>
      <c r="F429" s="664"/>
      <c r="G429" s="664"/>
    </row>
    <row r="430" spans="2:7" ht="15" customHeight="1" x14ac:dyDescent="0.35">
      <c r="B430" s="537"/>
      <c r="C430"/>
      <c r="D430"/>
      <c r="E430"/>
      <c r="F430" s="664"/>
      <c r="G430" s="664"/>
    </row>
    <row r="431" spans="2:7" ht="15" customHeight="1" x14ac:dyDescent="0.35">
      <c r="B431" s="537"/>
      <c r="C431"/>
      <c r="D431"/>
      <c r="E431"/>
      <c r="F431" s="664"/>
      <c r="G431" s="664"/>
    </row>
    <row r="432" spans="2:7" ht="15" customHeight="1" x14ac:dyDescent="0.35">
      <c r="B432" s="537"/>
      <c r="C432"/>
      <c r="D432"/>
      <c r="E432"/>
      <c r="F432" s="664"/>
      <c r="G432" s="664"/>
    </row>
    <row r="433" spans="2:7" ht="15" customHeight="1" x14ac:dyDescent="0.35">
      <c r="B433" s="537"/>
      <c r="C433"/>
      <c r="D433"/>
      <c r="E433"/>
      <c r="F433" s="664"/>
      <c r="G433" s="664"/>
    </row>
    <row r="434" spans="2:7" ht="15" customHeight="1" x14ac:dyDescent="0.35">
      <c r="B434" s="537"/>
      <c r="C434"/>
      <c r="D434"/>
      <c r="E434"/>
      <c r="F434" s="664"/>
      <c r="G434" s="664"/>
    </row>
    <row r="435" spans="2:7" ht="15" customHeight="1" x14ac:dyDescent="0.35">
      <c r="B435" s="537"/>
      <c r="C435"/>
      <c r="D435"/>
      <c r="E435"/>
      <c r="F435" s="664"/>
      <c r="G435" s="664"/>
    </row>
    <row r="436" spans="2:7" ht="15" customHeight="1" x14ac:dyDescent="0.35">
      <c r="B436" s="537"/>
      <c r="C436"/>
      <c r="D436"/>
      <c r="E436"/>
      <c r="F436" s="664"/>
      <c r="G436" s="664"/>
    </row>
    <row r="437" spans="2:7" ht="15" customHeight="1" x14ac:dyDescent="0.35">
      <c r="B437" s="537"/>
      <c r="C437"/>
      <c r="D437"/>
      <c r="E437"/>
      <c r="F437" s="664"/>
      <c r="G437" s="664"/>
    </row>
    <row r="438" spans="2:7" ht="15" customHeight="1" x14ac:dyDescent="0.35">
      <c r="B438" s="537"/>
      <c r="C438"/>
      <c r="D438"/>
      <c r="E438"/>
      <c r="F438" s="664"/>
      <c r="G438" s="664"/>
    </row>
    <row r="439" spans="2:7" ht="15" customHeight="1" x14ac:dyDescent="0.35">
      <c r="B439" s="537"/>
      <c r="C439"/>
      <c r="D439"/>
      <c r="E439"/>
      <c r="F439" s="664"/>
      <c r="G439" s="664"/>
    </row>
    <row r="440" spans="2:7" ht="15" customHeight="1" x14ac:dyDescent="0.35">
      <c r="B440" s="537"/>
      <c r="C440"/>
      <c r="D440"/>
      <c r="E440"/>
      <c r="F440" s="664"/>
      <c r="G440" s="664"/>
    </row>
    <row r="441" spans="2:7" ht="15" customHeight="1" x14ac:dyDescent="0.35">
      <c r="B441" s="537"/>
      <c r="C441"/>
      <c r="D441"/>
      <c r="E441"/>
      <c r="F441" s="664"/>
      <c r="G441" s="664"/>
    </row>
    <row r="442" spans="2:7" ht="15" customHeight="1" x14ac:dyDescent="0.35">
      <c r="B442" s="537"/>
      <c r="C442"/>
      <c r="D442"/>
      <c r="E442"/>
      <c r="F442" s="664"/>
      <c r="G442" s="664"/>
    </row>
    <row r="443" spans="2:7" ht="15" customHeight="1" x14ac:dyDescent="0.35">
      <c r="B443" s="537"/>
      <c r="C443"/>
      <c r="D443"/>
      <c r="E443"/>
      <c r="F443" s="664"/>
      <c r="G443" s="664"/>
    </row>
    <row r="444" spans="2:7" ht="15" customHeight="1" x14ac:dyDescent="0.35">
      <c r="B444" s="537"/>
      <c r="C444"/>
      <c r="D444"/>
      <c r="E444"/>
      <c r="F444" s="664"/>
      <c r="G444" s="664"/>
    </row>
    <row r="445" spans="2:7" ht="15" customHeight="1" x14ac:dyDescent="0.35">
      <c r="B445" s="537"/>
      <c r="C445"/>
      <c r="D445"/>
      <c r="E445"/>
      <c r="F445" s="664"/>
      <c r="G445" s="664"/>
    </row>
    <row r="446" spans="2:7" ht="15" customHeight="1" x14ac:dyDescent="0.35">
      <c r="B446" s="537"/>
      <c r="C446"/>
      <c r="D446"/>
      <c r="E446"/>
      <c r="F446" s="664"/>
      <c r="G446" s="664"/>
    </row>
    <row r="447" spans="2:7" ht="15" customHeight="1" x14ac:dyDescent="0.35">
      <c r="B447" s="537"/>
      <c r="C447"/>
      <c r="D447"/>
      <c r="E447"/>
      <c r="F447" s="664"/>
      <c r="G447" s="664"/>
    </row>
    <row r="448" spans="2:7" ht="15" customHeight="1" x14ac:dyDescent="0.35">
      <c r="B448" s="537"/>
      <c r="C448"/>
      <c r="D448"/>
      <c r="E448"/>
      <c r="F448" s="664"/>
      <c r="G448" s="664"/>
    </row>
    <row r="449" spans="2:7" ht="15" customHeight="1" x14ac:dyDescent="0.35">
      <c r="B449" s="537"/>
      <c r="C449"/>
      <c r="D449"/>
      <c r="E449"/>
      <c r="F449" s="664"/>
      <c r="G449" s="664"/>
    </row>
    <row r="450" spans="2:7" ht="15" customHeight="1" x14ac:dyDescent="0.35">
      <c r="B450" s="537"/>
      <c r="C450"/>
      <c r="D450"/>
      <c r="E450"/>
      <c r="F450" s="664"/>
      <c r="G450" s="664"/>
    </row>
    <row r="451" spans="2:7" ht="15" customHeight="1" x14ac:dyDescent="0.35">
      <c r="B451" s="537"/>
      <c r="C451"/>
      <c r="D451"/>
      <c r="E451"/>
      <c r="F451" s="664"/>
      <c r="G451" s="664"/>
    </row>
    <row r="452" spans="2:7" ht="15" customHeight="1" x14ac:dyDescent="0.35">
      <c r="B452" s="537"/>
      <c r="C452"/>
      <c r="D452"/>
      <c r="E452"/>
      <c r="F452" s="664"/>
      <c r="G452" s="664"/>
    </row>
    <row r="453" spans="2:7" ht="15" customHeight="1" x14ac:dyDescent="0.35">
      <c r="B453" s="537"/>
      <c r="C453"/>
      <c r="D453"/>
      <c r="E453"/>
      <c r="F453" s="664"/>
      <c r="G453" s="664"/>
    </row>
    <row r="454" spans="2:7" ht="15" customHeight="1" x14ac:dyDescent="0.35">
      <c r="B454" s="537"/>
      <c r="C454"/>
      <c r="D454"/>
      <c r="E454"/>
      <c r="F454" s="664"/>
      <c r="G454" s="664"/>
    </row>
    <row r="455" spans="2:7" ht="15" customHeight="1" x14ac:dyDescent="0.35">
      <c r="B455" s="537"/>
      <c r="C455"/>
      <c r="D455"/>
      <c r="E455"/>
      <c r="F455" s="664"/>
      <c r="G455" s="664"/>
    </row>
    <row r="456" spans="2:7" ht="15" customHeight="1" x14ac:dyDescent="0.35">
      <c r="B456" s="537"/>
      <c r="C456"/>
      <c r="D456"/>
      <c r="E456"/>
      <c r="F456" s="664"/>
      <c r="G456" s="664"/>
    </row>
    <row r="457" spans="2:7" ht="15" customHeight="1" x14ac:dyDescent="0.35">
      <c r="B457" s="537"/>
      <c r="C457"/>
      <c r="D457"/>
      <c r="E457"/>
      <c r="F457" s="664"/>
      <c r="G457" s="664"/>
    </row>
    <row r="458" spans="2:7" ht="15" customHeight="1" x14ac:dyDescent="0.35">
      <c r="B458" s="537"/>
      <c r="C458"/>
      <c r="D458"/>
      <c r="E458"/>
      <c r="F458" s="664"/>
      <c r="G458" s="664"/>
    </row>
    <row r="459" spans="2:7" ht="15" customHeight="1" x14ac:dyDescent="0.35">
      <c r="B459" s="537"/>
      <c r="C459"/>
      <c r="D459"/>
      <c r="E459"/>
      <c r="F459" s="664"/>
      <c r="G459" s="664"/>
    </row>
    <row r="460" spans="2:7" ht="15" customHeight="1" x14ac:dyDescent="0.35">
      <c r="B460" s="537"/>
      <c r="C460"/>
      <c r="D460"/>
      <c r="E460"/>
      <c r="F460" s="664"/>
      <c r="G460" s="664"/>
    </row>
    <row r="461" spans="2:7" ht="15" customHeight="1" x14ac:dyDescent="0.35">
      <c r="B461" s="537"/>
      <c r="C461"/>
      <c r="D461"/>
      <c r="E461"/>
      <c r="F461" s="664"/>
      <c r="G461" s="664"/>
    </row>
    <row r="462" spans="2:7" ht="15" customHeight="1" x14ac:dyDescent="0.35">
      <c r="B462" s="537"/>
      <c r="C462"/>
      <c r="D462"/>
      <c r="E462"/>
      <c r="F462" s="664"/>
      <c r="G462" s="664"/>
    </row>
    <row r="463" spans="2:7" ht="15" customHeight="1" x14ac:dyDescent="0.35">
      <c r="B463" s="537"/>
      <c r="C463"/>
      <c r="D463"/>
      <c r="E463"/>
      <c r="F463" s="664"/>
      <c r="G463" s="664"/>
    </row>
    <row r="464" spans="2:7" ht="15" customHeight="1" x14ac:dyDescent="0.35">
      <c r="B464" s="537"/>
      <c r="C464"/>
      <c r="D464"/>
      <c r="E464"/>
      <c r="F464" s="664"/>
      <c r="G464" s="664"/>
    </row>
    <row r="465" spans="2:7" ht="15" customHeight="1" x14ac:dyDescent="0.35">
      <c r="B465" s="537"/>
      <c r="C465"/>
      <c r="D465"/>
      <c r="E465"/>
      <c r="F465" s="664"/>
      <c r="G465" s="664"/>
    </row>
    <row r="466" spans="2:7" ht="15" customHeight="1" x14ac:dyDescent="0.35">
      <c r="B466" s="537"/>
      <c r="C466"/>
      <c r="D466"/>
      <c r="E466"/>
      <c r="F466" s="664"/>
      <c r="G466" s="664"/>
    </row>
    <row r="467" spans="2:7" ht="15" customHeight="1" x14ac:dyDescent="0.35">
      <c r="B467" s="537"/>
      <c r="C467"/>
      <c r="D467"/>
      <c r="E467"/>
      <c r="F467" s="664"/>
      <c r="G467" s="664"/>
    </row>
    <row r="468" spans="2:7" ht="15" customHeight="1" x14ac:dyDescent="0.35">
      <c r="B468" s="537"/>
      <c r="C468"/>
      <c r="D468"/>
      <c r="E468"/>
      <c r="F468" s="664"/>
      <c r="G468" s="664"/>
    </row>
    <row r="469" spans="2:7" ht="15" customHeight="1" x14ac:dyDescent="0.35">
      <c r="B469" s="537"/>
      <c r="C469"/>
      <c r="D469"/>
      <c r="E469"/>
      <c r="F469" s="664"/>
      <c r="G469" s="664"/>
    </row>
    <row r="470" spans="2:7" ht="15" customHeight="1" x14ac:dyDescent="0.35">
      <c r="B470" s="537"/>
      <c r="C470"/>
      <c r="D470"/>
      <c r="E470"/>
      <c r="F470" s="664"/>
      <c r="G470" s="664"/>
    </row>
    <row r="471" spans="2:7" ht="15" customHeight="1" x14ac:dyDescent="0.35">
      <c r="B471" s="537"/>
      <c r="C471"/>
      <c r="D471"/>
      <c r="E471"/>
      <c r="F471" s="664"/>
      <c r="G471" s="664"/>
    </row>
    <row r="472" spans="2:7" ht="15" customHeight="1" x14ac:dyDescent="0.35">
      <c r="B472" s="537"/>
      <c r="C472"/>
      <c r="D472"/>
      <c r="E472"/>
      <c r="F472" s="664"/>
      <c r="G472" s="664"/>
    </row>
    <row r="473" spans="2:7" ht="15" customHeight="1" x14ac:dyDescent="0.35">
      <c r="B473" s="537"/>
      <c r="C473"/>
      <c r="D473"/>
      <c r="E473"/>
      <c r="F473" s="664"/>
      <c r="G473" s="664"/>
    </row>
    <row r="474" spans="2:7" ht="15" customHeight="1" x14ac:dyDescent="0.35">
      <c r="B474" s="537"/>
      <c r="C474"/>
      <c r="D474"/>
      <c r="E474"/>
      <c r="F474" s="664"/>
      <c r="G474" s="664"/>
    </row>
    <row r="475" spans="2:7" ht="15" customHeight="1" x14ac:dyDescent="0.35">
      <c r="B475" s="537"/>
      <c r="C475"/>
      <c r="D475"/>
      <c r="E475"/>
      <c r="F475" s="664"/>
      <c r="G475" s="664"/>
    </row>
    <row r="476" spans="2:7" ht="15" customHeight="1" x14ac:dyDescent="0.35">
      <c r="B476" s="537"/>
      <c r="C476"/>
      <c r="D476"/>
      <c r="E476"/>
      <c r="F476" s="664"/>
      <c r="G476" s="664"/>
    </row>
    <row r="477" spans="2:7" ht="15" customHeight="1" x14ac:dyDescent="0.35">
      <c r="B477" s="537"/>
      <c r="C477"/>
      <c r="D477"/>
      <c r="E477"/>
      <c r="F477" s="664"/>
      <c r="G477" s="664"/>
    </row>
    <row r="478" spans="2:7" ht="15" customHeight="1" x14ac:dyDescent="0.35">
      <c r="B478" s="537"/>
      <c r="C478"/>
      <c r="D478"/>
      <c r="E478"/>
      <c r="F478" s="664"/>
      <c r="G478" s="664"/>
    </row>
    <row r="479" spans="2:7" ht="15" customHeight="1" x14ac:dyDescent="0.35">
      <c r="B479" s="537"/>
      <c r="C479"/>
      <c r="D479"/>
      <c r="E479"/>
      <c r="F479" s="664"/>
      <c r="G479" s="664"/>
    </row>
    <row r="480" spans="2:7" ht="15" customHeight="1" x14ac:dyDescent="0.35">
      <c r="B480" s="537"/>
      <c r="C480"/>
      <c r="D480"/>
      <c r="E480"/>
      <c r="F480" s="664"/>
      <c r="G480" s="664"/>
    </row>
    <row r="481" spans="2:7" ht="15" customHeight="1" x14ac:dyDescent="0.35">
      <c r="B481" s="537"/>
      <c r="C481"/>
      <c r="D481"/>
      <c r="E481"/>
      <c r="F481" s="664"/>
      <c r="G481" s="664"/>
    </row>
    <row r="482" spans="2:7" ht="15" customHeight="1" x14ac:dyDescent="0.35">
      <c r="B482" s="537"/>
      <c r="C482"/>
      <c r="D482"/>
      <c r="E482"/>
      <c r="F482" s="664"/>
      <c r="G482" s="664"/>
    </row>
    <row r="483" spans="2:7" ht="15" customHeight="1" x14ac:dyDescent="0.35">
      <c r="B483" s="537"/>
      <c r="C483"/>
      <c r="D483"/>
      <c r="E483"/>
      <c r="F483" s="664"/>
      <c r="G483" s="664"/>
    </row>
    <row r="484" spans="2:7" ht="15" customHeight="1" x14ac:dyDescent="0.35">
      <c r="B484" s="537"/>
      <c r="C484"/>
      <c r="D484"/>
      <c r="E484"/>
      <c r="F484" s="664"/>
      <c r="G484" s="664"/>
    </row>
    <row r="485" spans="2:7" ht="15" customHeight="1" x14ac:dyDescent="0.35">
      <c r="B485" s="537"/>
      <c r="C485"/>
      <c r="D485"/>
      <c r="E485"/>
      <c r="F485" s="664"/>
      <c r="G485" s="664"/>
    </row>
    <row r="486" spans="2:7" ht="15" customHeight="1" x14ac:dyDescent="0.35">
      <c r="B486" s="537"/>
      <c r="C486"/>
      <c r="D486"/>
      <c r="E486"/>
      <c r="F486" s="664"/>
      <c r="G486" s="664"/>
    </row>
    <row r="487" spans="2:7" ht="15" customHeight="1" x14ac:dyDescent="0.35">
      <c r="B487" s="537"/>
      <c r="C487"/>
      <c r="D487"/>
      <c r="E487"/>
      <c r="F487" s="664"/>
      <c r="G487" s="664"/>
    </row>
    <row r="488" spans="2:7" ht="15" customHeight="1" x14ac:dyDescent="0.35">
      <c r="B488" s="537"/>
      <c r="C488"/>
      <c r="D488"/>
      <c r="E488"/>
      <c r="F488" s="664"/>
      <c r="G488" s="664"/>
    </row>
    <row r="489" spans="2:7" ht="15" customHeight="1" x14ac:dyDescent="0.35">
      <c r="B489" s="537"/>
      <c r="C489"/>
      <c r="D489"/>
      <c r="E489"/>
      <c r="F489" s="664"/>
      <c r="G489" s="664"/>
    </row>
    <row r="490" spans="2:7" ht="15" customHeight="1" x14ac:dyDescent="0.35">
      <c r="B490" s="537"/>
      <c r="C490"/>
      <c r="D490"/>
      <c r="E490"/>
      <c r="F490" s="664"/>
      <c r="G490" s="664"/>
    </row>
    <row r="491" spans="2:7" ht="15" customHeight="1" x14ac:dyDescent="0.35">
      <c r="B491" s="537"/>
      <c r="C491"/>
      <c r="D491"/>
      <c r="E491"/>
      <c r="F491" s="664"/>
      <c r="G491" s="664"/>
    </row>
    <row r="492" spans="2:7" ht="15" customHeight="1" x14ac:dyDescent="0.35">
      <c r="B492" s="537"/>
      <c r="C492"/>
      <c r="D492"/>
      <c r="E492"/>
      <c r="F492" s="664"/>
      <c r="G492" s="664"/>
    </row>
    <row r="493" spans="2:7" ht="15" customHeight="1" x14ac:dyDescent="0.35">
      <c r="B493" s="537"/>
      <c r="C493"/>
      <c r="D493"/>
      <c r="E493"/>
      <c r="F493" s="664"/>
      <c r="G493" s="664"/>
    </row>
    <row r="494" spans="2:7" ht="15" customHeight="1" x14ac:dyDescent="0.35">
      <c r="B494" s="537"/>
      <c r="C494"/>
      <c r="D494"/>
      <c r="E494"/>
      <c r="F494" s="664"/>
      <c r="G494" s="664"/>
    </row>
    <row r="495" spans="2:7" ht="15" customHeight="1" x14ac:dyDescent="0.35">
      <c r="B495" s="537"/>
      <c r="C495"/>
      <c r="D495"/>
      <c r="E495"/>
      <c r="F495" s="664"/>
      <c r="G495" s="664"/>
    </row>
    <row r="496" spans="2:7" ht="15" customHeight="1" x14ac:dyDescent="0.35">
      <c r="B496" s="537"/>
      <c r="C496"/>
      <c r="D496"/>
      <c r="E496"/>
      <c r="F496" s="664"/>
      <c r="G496" s="664"/>
    </row>
    <row r="497" spans="2:7" ht="15" customHeight="1" x14ac:dyDescent="0.35">
      <c r="B497" s="537"/>
      <c r="C497"/>
      <c r="D497"/>
      <c r="E497"/>
      <c r="F497" s="664"/>
      <c r="G497" s="664"/>
    </row>
    <row r="498" spans="2:7" ht="15" customHeight="1" x14ac:dyDescent="0.35">
      <c r="B498" s="537"/>
      <c r="C498"/>
      <c r="D498"/>
      <c r="E498"/>
      <c r="F498" s="664"/>
      <c r="G498" s="664"/>
    </row>
    <row r="499" spans="2:7" ht="15" customHeight="1" x14ac:dyDescent="0.35">
      <c r="B499" s="537"/>
      <c r="C499"/>
      <c r="D499"/>
      <c r="E499"/>
      <c r="F499" s="664"/>
      <c r="G499" s="664"/>
    </row>
    <row r="500" spans="2:7" ht="15" customHeight="1" x14ac:dyDescent="0.35">
      <c r="B500" s="537"/>
      <c r="C500"/>
      <c r="D500"/>
      <c r="E500"/>
      <c r="F500" s="664"/>
      <c r="G500" s="664"/>
    </row>
    <row r="501" spans="2:7" ht="15" customHeight="1" x14ac:dyDescent="0.35">
      <c r="B501" s="537"/>
      <c r="C501"/>
      <c r="D501"/>
      <c r="E501"/>
      <c r="F501" s="664"/>
      <c r="G501" s="664"/>
    </row>
    <row r="502" spans="2:7" ht="15" customHeight="1" x14ac:dyDescent="0.35">
      <c r="B502" s="537"/>
      <c r="C502"/>
      <c r="D502"/>
      <c r="E502"/>
      <c r="F502" s="664"/>
      <c r="G502" s="664"/>
    </row>
    <row r="503" spans="2:7" ht="15" customHeight="1" x14ac:dyDescent="0.35">
      <c r="B503" s="537"/>
      <c r="C503"/>
      <c r="D503"/>
      <c r="E503"/>
      <c r="F503" s="664"/>
      <c r="G503" s="664"/>
    </row>
    <row r="504" spans="2:7" ht="15" customHeight="1" x14ac:dyDescent="0.35">
      <c r="B504" s="537"/>
      <c r="C504"/>
      <c r="D504"/>
      <c r="E504"/>
      <c r="F504" s="664"/>
      <c r="G504" s="664"/>
    </row>
    <row r="505" spans="2:7" ht="15" customHeight="1" x14ac:dyDescent="0.35">
      <c r="B505" s="537"/>
      <c r="C505"/>
      <c r="D505"/>
      <c r="E505"/>
      <c r="F505" s="664"/>
      <c r="G505" s="664"/>
    </row>
    <row r="506" spans="2:7" ht="15" customHeight="1" x14ac:dyDescent="0.35">
      <c r="B506" s="537"/>
      <c r="C506"/>
      <c r="D506"/>
      <c r="E506"/>
      <c r="F506" s="664"/>
      <c r="G506" s="664"/>
    </row>
    <row r="507" spans="2:7" ht="15" customHeight="1" x14ac:dyDescent="0.35">
      <c r="B507" s="537"/>
      <c r="C507"/>
      <c r="D507"/>
      <c r="E507"/>
      <c r="F507" s="664"/>
      <c r="G507" s="664"/>
    </row>
    <row r="508" spans="2:7" ht="15" customHeight="1" x14ac:dyDescent="0.35">
      <c r="B508" s="537"/>
      <c r="C508"/>
      <c r="D508"/>
      <c r="E508"/>
      <c r="F508" s="664"/>
      <c r="G508" s="664"/>
    </row>
    <row r="509" spans="2:7" ht="15" customHeight="1" x14ac:dyDescent="0.35">
      <c r="B509" s="537"/>
      <c r="C509"/>
      <c r="D509"/>
      <c r="E509"/>
      <c r="F509" s="664"/>
      <c r="G509" s="664"/>
    </row>
    <row r="510" spans="2:7" ht="15" customHeight="1" x14ac:dyDescent="0.35">
      <c r="B510" s="537"/>
      <c r="C510"/>
      <c r="D510"/>
      <c r="E510"/>
      <c r="F510" s="664"/>
      <c r="G510" s="664"/>
    </row>
    <row r="511" spans="2:7" ht="15" customHeight="1" x14ac:dyDescent="0.35">
      <c r="B511" s="537"/>
      <c r="C511"/>
      <c r="D511"/>
      <c r="E511"/>
      <c r="F511" s="664"/>
      <c r="G511" s="664"/>
    </row>
    <row r="512" spans="2:7" ht="15" customHeight="1" x14ac:dyDescent="0.35">
      <c r="B512" s="537"/>
      <c r="C512"/>
      <c r="D512"/>
      <c r="E512"/>
      <c r="F512" s="664"/>
      <c r="G512" s="664"/>
    </row>
    <row r="513" spans="2:7" ht="15" customHeight="1" x14ac:dyDescent="0.35">
      <c r="B513" s="537"/>
      <c r="C513"/>
      <c r="D513"/>
      <c r="E513"/>
      <c r="F513" s="664"/>
      <c r="G513" s="664"/>
    </row>
    <row r="514" spans="2:7" ht="15" customHeight="1" x14ac:dyDescent="0.35">
      <c r="B514" s="537"/>
      <c r="C514"/>
      <c r="D514"/>
      <c r="E514"/>
      <c r="F514" s="664"/>
      <c r="G514" s="664"/>
    </row>
    <row r="515" spans="2:7" ht="15" customHeight="1" x14ac:dyDescent="0.35">
      <c r="B515" s="537"/>
      <c r="C515"/>
      <c r="D515"/>
      <c r="E515"/>
      <c r="F515" s="664"/>
      <c r="G515" s="664"/>
    </row>
    <row r="516" spans="2:7" ht="15" customHeight="1" x14ac:dyDescent="0.35">
      <c r="B516" s="537"/>
      <c r="C516"/>
      <c r="D516"/>
      <c r="E516"/>
      <c r="F516" s="664"/>
      <c r="G516" s="664"/>
    </row>
    <row r="517" spans="2:7" ht="15" customHeight="1" x14ac:dyDescent="0.35">
      <c r="B517" s="537"/>
      <c r="C517"/>
      <c r="D517"/>
      <c r="E517"/>
      <c r="F517" s="664"/>
      <c r="G517" s="664"/>
    </row>
    <row r="518" spans="2:7" ht="15" customHeight="1" x14ac:dyDescent="0.35">
      <c r="B518" s="537"/>
      <c r="C518"/>
      <c r="D518"/>
      <c r="E518"/>
      <c r="F518" s="664"/>
      <c r="G518" s="664"/>
    </row>
    <row r="519" spans="2:7" ht="15" customHeight="1" x14ac:dyDescent="0.35">
      <c r="B519" s="537"/>
      <c r="C519"/>
      <c r="D519"/>
      <c r="E519"/>
      <c r="F519" s="664"/>
      <c r="G519" s="664"/>
    </row>
    <row r="520" spans="2:7" ht="15" customHeight="1" x14ac:dyDescent="0.35">
      <c r="B520" s="537"/>
      <c r="C520"/>
      <c r="D520"/>
      <c r="E520"/>
      <c r="F520" s="664"/>
      <c r="G520" s="664"/>
    </row>
    <row r="521" spans="2:7" ht="15" customHeight="1" x14ac:dyDescent="0.35">
      <c r="B521" s="537"/>
      <c r="C521"/>
      <c r="D521"/>
      <c r="E521"/>
      <c r="F521" s="664"/>
      <c r="G521" s="664"/>
    </row>
    <row r="522" spans="2:7" ht="15" customHeight="1" x14ac:dyDescent="0.35">
      <c r="B522" s="537"/>
      <c r="C522"/>
      <c r="D522"/>
      <c r="E522"/>
      <c r="F522" s="664"/>
      <c r="G522" s="664"/>
    </row>
    <row r="523" spans="2:7" ht="15" customHeight="1" x14ac:dyDescent="0.35">
      <c r="B523" s="537"/>
      <c r="C523"/>
      <c r="D523"/>
      <c r="E523"/>
      <c r="F523" s="664"/>
      <c r="G523" s="664"/>
    </row>
    <row r="524" spans="2:7" ht="15" customHeight="1" x14ac:dyDescent="0.35">
      <c r="B524" s="537"/>
      <c r="C524"/>
      <c r="D524"/>
      <c r="E524"/>
      <c r="F524" s="664"/>
      <c r="G524" s="664"/>
    </row>
    <row r="525" spans="2:7" ht="15" customHeight="1" x14ac:dyDescent="0.35">
      <c r="B525" s="537"/>
      <c r="C525"/>
      <c r="D525"/>
      <c r="E525"/>
      <c r="F525" s="664"/>
      <c r="G525" s="664"/>
    </row>
    <row r="526" spans="2:7" ht="15" customHeight="1" x14ac:dyDescent="0.35">
      <c r="B526" s="537"/>
      <c r="C526"/>
      <c r="D526"/>
      <c r="E526"/>
      <c r="F526" s="664"/>
      <c r="G526" s="664"/>
    </row>
    <row r="527" spans="2:7" ht="15" customHeight="1" x14ac:dyDescent="0.35">
      <c r="B527" s="537"/>
      <c r="C527"/>
      <c r="D527"/>
      <c r="E527"/>
      <c r="F527" s="664"/>
      <c r="G527" s="664"/>
    </row>
    <row r="528" spans="2:7" ht="15" customHeight="1" x14ac:dyDescent="0.35">
      <c r="B528" s="537"/>
      <c r="C528"/>
      <c r="D528"/>
      <c r="E528"/>
      <c r="F528" s="664"/>
      <c r="G528" s="664"/>
    </row>
    <row r="529" spans="2:7" ht="15" customHeight="1" x14ac:dyDescent="0.35">
      <c r="B529" s="537"/>
      <c r="C529"/>
      <c r="D529"/>
      <c r="E529"/>
      <c r="F529" s="664"/>
      <c r="G529" s="664"/>
    </row>
    <row r="530" spans="2:7" ht="15" customHeight="1" x14ac:dyDescent="0.35">
      <c r="B530" s="537"/>
      <c r="C530"/>
      <c r="D530"/>
      <c r="E530"/>
      <c r="F530" s="664"/>
      <c r="G530" s="664"/>
    </row>
    <row r="531" spans="2:7" ht="15" customHeight="1" x14ac:dyDescent="0.35">
      <c r="B531" s="537"/>
      <c r="C531"/>
      <c r="D531"/>
      <c r="E531"/>
      <c r="F531" s="664"/>
      <c r="G531" s="664"/>
    </row>
    <row r="532" spans="2:7" ht="15" customHeight="1" x14ac:dyDescent="0.35">
      <c r="B532" s="537"/>
      <c r="C532"/>
      <c r="D532"/>
      <c r="E532"/>
      <c r="F532" s="664"/>
      <c r="G532" s="664"/>
    </row>
    <row r="533" spans="2:7" ht="15" customHeight="1" x14ac:dyDescent="0.35">
      <c r="B533" s="537"/>
      <c r="C533"/>
      <c r="D533"/>
      <c r="E533"/>
      <c r="F533" s="664"/>
      <c r="G533" s="664"/>
    </row>
    <row r="534" spans="2:7" ht="15" customHeight="1" x14ac:dyDescent="0.35">
      <c r="B534" s="537"/>
      <c r="C534"/>
      <c r="D534"/>
      <c r="E534"/>
      <c r="F534" s="664"/>
      <c r="G534" s="664"/>
    </row>
    <row r="535" spans="2:7" ht="15" customHeight="1" x14ac:dyDescent="0.35">
      <c r="B535" s="537"/>
      <c r="C535"/>
      <c r="D535"/>
      <c r="E535"/>
      <c r="F535" s="664"/>
      <c r="G535" s="664"/>
    </row>
    <row r="536" spans="2:7" ht="15" customHeight="1" x14ac:dyDescent="0.35">
      <c r="B536" s="537"/>
      <c r="C536"/>
      <c r="D536"/>
      <c r="E536"/>
      <c r="F536" s="664"/>
      <c r="G536" s="664"/>
    </row>
    <row r="537" spans="2:7" ht="15" customHeight="1" x14ac:dyDescent="0.35">
      <c r="B537" s="537"/>
      <c r="C537"/>
      <c r="D537"/>
      <c r="E537"/>
      <c r="F537" s="664"/>
      <c r="G537" s="664"/>
    </row>
    <row r="538" spans="2:7" ht="15" customHeight="1" x14ac:dyDescent="0.35">
      <c r="B538" s="537"/>
      <c r="C538"/>
      <c r="D538"/>
      <c r="E538"/>
      <c r="F538" s="664"/>
      <c r="G538" s="664"/>
    </row>
    <row r="539" spans="2:7" ht="15" customHeight="1" x14ac:dyDescent="0.35">
      <c r="B539" s="537"/>
      <c r="C539"/>
      <c r="D539"/>
      <c r="E539"/>
      <c r="F539" s="664"/>
      <c r="G539" s="664"/>
    </row>
    <row r="540" spans="2:7" ht="15" customHeight="1" x14ac:dyDescent="0.35">
      <c r="B540" s="537"/>
      <c r="C540"/>
      <c r="D540"/>
      <c r="E540"/>
      <c r="F540" s="664"/>
      <c r="G540" s="664"/>
    </row>
    <row r="541" spans="2:7" ht="15" customHeight="1" x14ac:dyDescent="0.35">
      <c r="B541" s="537"/>
      <c r="C541"/>
      <c r="D541"/>
      <c r="E541"/>
      <c r="F541" s="664"/>
      <c r="G541" s="664"/>
    </row>
    <row r="542" spans="2:7" ht="15" customHeight="1" x14ac:dyDescent="0.35">
      <c r="B542" s="537"/>
      <c r="C542"/>
      <c r="D542"/>
      <c r="E542"/>
      <c r="F542" s="664"/>
      <c r="G542" s="664"/>
    </row>
    <row r="543" spans="2:7" ht="15" customHeight="1" x14ac:dyDescent="0.35">
      <c r="B543" s="537"/>
      <c r="C543"/>
      <c r="D543"/>
      <c r="E543"/>
      <c r="F543" s="664"/>
      <c r="G543" s="664"/>
    </row>
    <row r="544" spans="2:7" ht="15" customHeight="1" x14ac:dyDescent="0.35">
      <c r="B544" s="537"/>
      <c r="C544"/>
      <c r="D544"/>
      <c r="E544"/>
      <c r="F544" s="664"/>
      <c r="G544" s="664"/>
    </row>
    <row r="545" spans="2:7" ht="15" customHeight="1" x14ac:dyDescent="0.35">
      <c r="B545" s="537"/>
      <c r="C545"/>
      <c r="D545"/>
      <c r="E545"/>
      <c r="F545" s="664"/>
      <c r="G545" s="664"/>
    </row>
    <row r="546" spans="2:7" ht="15" customHeight="1" x14ac:dyDescent="0.35">
      <c r="B546" s="537"/>
      <c r="C546"/>
      <c r="D546"/>
      <c r="E546"/>
      <c r="F546" s="664"/>
      <c r="G546" s="664"/>
    </row>
    <row r="547" spans="2:7" ht="15" customHeight="1" x14ac:dyDescent="0.35">
      <c r="B547" s="537"/>
      <c r="C547"/>
      <c r="D547"/>
      <c r="E547"/>
      <c r="F547" s="664"/>
      <c r="G547" s="664"/>
    </row>
    <row r="548" spans="2:7" ht="15" customHeight="1" x14ac:dyDescent="0.35">
      <c r="B548" s="537"/>
      <c r="C548"/>
      <c r="D548"/>
      <c r="E548"/>
      <c r="F548" s="664"/>
      <c r="G548" s="664"/>
    </row>
    <row r="549" spans="2:7" ht="15" customHeight="1" x14ac:dyDescent="0.35">
      <c r="B549" s="537"/>
      <c r="C549"/>
      <c r="D549"/>
      <c r="E549"/>
      <c r="F549" s="664"/>
      <c r="G549" s="664"/>
    </row>
    <row r="550" spans="2:7" ht="15" customHeight="1" x14ac:dyDescent="0.35">
      <c r="B550" s="537"/>
      <c r="C550"/>
      <c r="D550"/>
      <c r="E550"/>
      <c r="F550" s="664"/>
      <c r="G550" s="664"/>
    </row>
    <row r="551" spans="2:7" ht="15" customHeight="1" x14ac:dyDescent="0.35">
      <c r="B551" s="537"/>
      <c r="C551"/>
      <c r="D551"/>
      <c r="E551"/>
      <c r="F551" s="664"/>
      <c r="G551" s="664"/>
    </row>
    <row r="552" spans="2:7" ht="15" customHeight="1" x14ac:dyDescent="0.35">
      <c r="B552" s="537"/>
      <c r="C552"/>
      <c r="D552"/>
      <c r="E552"/>
      <c r="F552" s="664"/>
      <c r="G552" s="664"/>
    </row>
    <row r="553" spans="2:7" ht="15" customHeight="1" x14ac:dyDescent="0.35">
      <c r="B553" s="537"/>
      <c r="C553"/>
      <c r="D553"/>
      <c r="E553"/>
      <c r="F553" s="664"/>
      <c r="G553" s="664"/>
    </row>
    <row r="554" spans="2:7" ht="15" customHeight="1" x14ac:dyDescent="0.35">
      <c r="B554" s="537"/>
      <c r="C554"/>
      <c r="D554"/>
      <c r="E554"/>
      <c r="F554" s="664"/>
      <c r="G554" s="664"/>
    </row>
    <row r="555" spans="2:7" ht="15" customHeight="1" x14ac:dyDescent="0.35">
      <c r="B555" s="537"/>
      <c r="C555"/>
      <c r="D555"/>
      <c r="E555"/>
      <c r="F555" s="664"/>
      <c r="G555" s="664"/>
    </row>
    <row r="556" spans="2:7" ht="15" customHeight="1" x14ac:dyDescent="0.35">
      <c r="B556" s="537"/>
      <c r="C556"/>
      <c r="D556"/>
      <c r="E556"/>
      <c r="F556" s="664"/>
      <c r="G556" s="664"/>
    </row>
    <row r="557" spans="2:7" ht="15" customHeight="1" x14ac:dyDescent="0.35">
      <c r="B557" s="537"/>
      <c r="C557"/>
      <c r="D557"/>
      <c r="E557"/>
      <c r="F557" s="664"/>
      <c r="G557" s="664"/>
    </row>
    <row r="558" spans="2:7" ht="15" customHeight="1" x14ac:dyDescent="0.35">
      <c r="B558" s="537"/>
      <c r="C558"/>
      <c r="D558"/>
      <c r="E558"/>
      <c r="F558" s="664"/>
      <c r="G558" s="664"/>
    </row>
    <row r="559" spans="2:7" ht="15" customHeight="1" x14ac:dyDescent="0.35">
      <c r="B559" s="537"/>
      <c r="C559"/>
      <c r="D559"/>
      <c r="E559"/>
      <c r="F559" s="664"/>
      <c r="G559" s="664"/>
    </row>
    <row r="560" spans="2:7" ht="15" customHeight="1" x14ac:dyDescent="0.35">
      <c r="B560" s="537"/>
      <c r="C560"/>
      <c r="D560"/>
      <c r="E560"/>
      <c r="F560" s="664"/>
      <c r="G560" s="664"/>
    </row>
    <row r="561" spans="2:7" ht="15" customHeight="1" x14ac:dyDescent="0.35">
      <c r="B561" s="537"/>
      <c r="C561"/>
      <c r="D561"/>
      <c r="E561"/>
      <c r="F561" s="664"/>
      <c r="G561" s="664"/>
    </row>
    <row r="562" spans="2:7" ht="15" customHeight="1" x14ac:dyDescent="0.35">
      <c r="B562" s="537"/>
      <c r="C562"/>
      <c r="D562"/>
      <c r="E562"/>
      <c r="F562" s="664"/>
      <c r="G562" s="664"/>
    </row>
    <row r="563" spans="2:7" ht="15" customHeight="1" x14ac:dyDescent="0.35">
      <c r="B563" s="537"/>
      <c r="C563"/>
      <c r="D563"/>
      <c r="E563"/>
      <c r="F563" s="664"/>
      <c r="G563" s="664"/>
    </row>
    <row r="564" spans="2:7" ht="15" customHeight="1" x14ac:dyDescent="0.35">
      <c r="B564" s="537"/>
      <c r="C564"/>
      <c r="D564"/>
      <c r="E564"/>
      <c r="F564" s="664"/>
      <c r="G564" s="664"/>
    </row>
    <row r="565" spans="2:7" ht="15" customHeight="1" x14ac:dyDescent="0.35">
      <c r="B565" s="537"/>
      <c r="C565"/>
      <c r="D565"/>
      <c r="E565"/>
      <c r="F565" s="664"/>
      <c r="G565" s="664"/>
    </row>
    <row r="566" spans="2:7" ht="15" customHeight="1" x14ac:dyDescent="0.35">
      <c r="B566" s="537"/>
      <c r="C566"/>
      <c r="D566"/>
      <c r="E566"/>
      <c r="F566" s="664"/>
      <c r="G566" s="664"/>
    </row>
    <row r="567" spans="2:7" ht="15" customHeight="1" x14ac:dyDescent="0.35">
      <c r="B567" s="537"/>
      <c r="C567"/>
      <c r="D567"/>
      <c r="E567"/>
      <c r="F567" s="664"/>
      <c r="G567" s="664"/>
    </row>
    <row r="568" spans="2:7" ht="15" customHeight="1" x14ac:dyDescent="0.35">
      <c r="B568" s="537"/>
      <c r="C568"/>
      <c r="D568"/>
      <c r="E568"/>
      <c r="F568" s="664"/>
      <c r="G568" s="664"/>
    </row>
    <row r="569" spans="2:7" ht="15" customHeight="1" x14ac:dyDescent="0.35">
      <c r="B569" s="537"/>
      <c r="C569"/>
      <c r="D569"/>
      <c r="E569"/>
      <c r="F569" s="664"/>
      <c r="G569" s="664"/>
    </row>
    <row r="570" spans="2:7" ht="15" customHeight="1" x14ac:dyDescent="0.35">
      <c r="B570" s="537"/>
      <c r="C570"/>
      <c r="D570"/>
      <c r="E570"/>
      <c r="F570" s="664"/>
      <c r="G570" s="664"/>
    </row>
    <row r="571" spans="2:7" ht="15" customHeight="1" x14ac:dyDescent="0.35">
      <c r="B571" s="537"/>
      <c r="C571"/>
      <c r="D571"/>
      <c r="E571"/>
      <c r="F571" s="664"/>
      <c r="G571" s="664"/>
    </row>
    <row r="572" spans="2:7" ht="15" customHeight="1" x14ac:dyDescent="0.35">
      <c r="B572" s="537"/>
      <c r="C572"/>
      <c r="D572"/>
      <c r="E572"/>
      <c r="F572" s="664"/>
      <c r="G572" s="664"/>
    </row>
    <row r="573" spans="2:7" ht="15" customHeight="1" x14ac:dyDescent="0.35">
      <c r="B573" s="537"/>
      <c r="C573"/>
      <c r="D573"/>
      <c r="E573"/>
      <c r="F573" s="664"/>
      <c r="G573" s="664"/>
    </row>
    <row r="574" spans="2:7" ht="15" customHeight="1" x14ac:dyDescent="0.35">
      <c r="B574" s="537"/>
      <c r="C574"/>
      <c r="D574"/>
      <c r="E574"/>
      <c r="F574" s="664"/>
      <c r="G574" s="664"/>
    </row>
    <row r="575" spans="2:7" ht="15" customHeight="1" x14ac:dyDescent="0.35">
      <c r="B575" s="537"/>
      <c r="C575"/>
      <c r="D575"/>
      <c r="E575"/>
      <c r="F575" s="664"/>
      <c r="G575" s="664"/>
    </row>
    <row r="576" spans="2:7" ht="15" customHeight="1" x14ac:dyDescent="0.35">
      <c r="B576" s="537"/>
      <c r="C576"/>
      <c r="D576"/>
      <c r="E576"/>
      <c r="F576" s="664"/>
      <c r="G576" s="664"/>
    </row>
    <row r="577" spans="2:7" ht="15" customHeight="1" x14ac:dyDescent="0.35">
      <c r="B577" s="537"/>
      <c r="C577"/>
      <c r="D577"/>
      <c r="E577"/>
      <c r="F577" s="664"/>
      <c r="G577" s="664"/>
    </row>
    <row r="578" spans="2:7" ht="15" customHeight="1" x14ac:dyDescent="0.35">
      <c r="B578" s="537"/>
      <c r="C578"/>
      <c r="D578"/>
      <c r="E578"/>
      <c r="F578" s="664"/>
      <c r="G578" s="664"/>
    </row>
    <row r="579" spans="2:7" ht="15" customHeight="1" x14ac:dyDescent="0.35">
      <c r="B579" s="537"/>
      <c r="C579"/>
      <c r="D579"/>
      <c r="E579"/>
      <c r="F579" s="664"/>
      <c r="G579" s="664"/>
    </row>
    <row r="580" spans="2:7" ht="15" customHeight="1" x14ac:dyDescent="0.35">
      <c r="B580" s="537"/>
      <c r="C580"/>
      <c r="D580"/>
      <c r="E580"/>
      <c r="F580" s="664"/>
      <c r="G580" s="664"/>
    </row>
    <row r="581" spans="2:7" ht="15" customHeight="1" x14ac:dyDescent="0.35">
      <c r="B581" s="537"/>
      <c r="C581"/>
      <c r="D581"/>
      <c r="E581"/>
      <c r="F581" s="664"/>
      <c r="G581" s="664"/>
    </row>
    <row r="582" spans="2:7" ht="15" customHeight="1" x14ac:dyDescent="0.35">
      <c r="B582" s="537"/>
      <c r="C582"/>
      <c r="D582"/>
      <c r="E582"/>
      <c r="F582" s="664"/>
      <c r="G582" s="664"/>
    </row>
    <row r="583" spans="2:7" ht="15" customHeight="1" x14ac:dyDescent="0.35">
      <c r="B583" s="537"/>
      <c r="C583"/>
      <c r="D583"/>
      <c r="E583"/>
      <c r="F583" s="664"/>
      <c r="G583" s="664"/>
    </row>
    <row r="584" spans="2:7" ht="15" customHeight="1" x14ac:dyDescent="0.35">
      <c r="B584" s="537"/>
      <c r="C584"/>
      <c r="D584"/>
      <c r="E584"/>
      <c r="F584" s="664"/>
      <c r="G584" s="664"/>
    </row>
    <row r="585" spans="2:7" ht="15" customHeight="1" x14ac:dyDescent="0.35">
      <c r="B585" s="537"/>
      <c r="C585"/>
      <c r="D585"/>
      <c r="E585"/>
      <c r="F585" s="664"/>
      <c r="G585" s="664"/>
    </row>
    <row r="586" spans="2:7" ht="15" customHeight="1" x14ac:dyDescent="0.35">
      <c r="B586" s="537"/>
      <c r="C586"/>
      <c r="D586"/>
      <c r="E586"/>
      <c r="F586" s="664"/>
      <c r="G586" s="664"/>
    </row>
    <row r="587" spans="2:7" ht="15" customHeight="1" x14ac:dyDescent="0.35">
      <c r="B587" s="537"/>
      <c r="C587"/>
      <c r="D587"/>
      <c r="E587"/>
      <c r="F587" s="664"/>
      <c r="G587" s="664"/>
    </row>
    <row r="588" spans="2:7" ht="15" customHeight="1" x14ac:dyDescent="0.35">
      <c r="B588" s="537"/>
      <c r="C588"/>
      <c r="D588"/>
      <c r="E588"/>
      <c r="F588" s="664"/>
      <c r="G588" s="664"/>
    </row>
    <row r="589" spans="2:7" ht="15" customHeight="1" x14ac:dyDescent="0.35">
      <c r="B589" s="537"/>
      <c r="C589"/>
      <c r="D589"/>
      <c r="E589"/>
      <c r="F589" s="664"/>
      <c r="G589" s="664"/>
    </row>
    <row r="590" spans="2:7" ht="15" customHeight="1" x14ac:dyDescent="0.35">
      <c r="B590" s="537"/>
      <c r="C590"/>
      <c r="D590"/>
      <c r="E590"/>
      <c r="F590" s="664"/>
      <c r="G590" s="664"/>
    </row>
    <row r="591" spans="2:7" ht="15" customHeight="1" x14ac:dyDescent="0.35">
      <c r="B591" s="537"/>
      <c r="C591"/>
      <c r="D591"/>
      <c r="E591"/>
      <c r="F591" s="664"/>
      <c r="G591" s="664"/>
    </row>
    <row r="592" spans="2:7" ht="15" customHeight="1" x14ac:dyDescent="0.35">
      <c r="B592" s="537"/>
      <c r="C592"/>
      <c r="D592"/>
      <c r="E592"/>
      <c r="F592" s="664"/>
      <c r="G592" s="664"/>
    </row>
    <row r="593" spans="2:7" ht="15" customHeight="1" x14ac:dyDescent="0.35">
      <c r="B593" s="537"/>
      <c r="C593"/>
      <c r="D593"/>
      <c r="E593"/>
      <c r="F593" s="664"/>
      <c r="G593" s="664"/>
    </row>
    <row r="594" spans="2:7" ht="15" customHeight="1" x14ac:dyDescent="0.35">
      <c r="B594" s="537"/>
      <c r="C594"/>
      <c r="D594"/>
      <c r="E594"/>
      <c r="F594" s="664"/>
      <c r="G594" s="664"/>
    </row>
    <row r="595" spans="2:7" ht="15" customHeight="1" x14ac:dyDescent="0.35">
      <c r="B595" s="537"/>
      <c r="C595"/>
      <c r="D595"/>
      <c r="E595"/>
      <c r="F595" s="664"/>
      <c r="G595" s="664"/>
    </row>
    <row r="596" spans="2:7" ht="15" customHeight="1" x14ac:dyDescent="0.35">
      <c r="B596" s="537"/>
      <c r="C596"/>
      <c r="D596"/>
      <c r="E596"/>
      <c r="F596" s="664"/>
      <c r="G596" s="664"/>
    </row>
    <row r="597" spans="2:7" ht="15" customHeight="1" x14ac:dyDescent="0.35">
      <c r="B597" s="537"/>
      <c r="C597"/>
      <c r="D597"/>
      <c r="E597"/>
      <c r="F597" s="664"/>
      <c r="G597" s="664"/>
    </row>
    <row r="598" spans="2:7" ht="15" customHeight="1" x14ac:dyDescent="0.35">
      <c r="B598" s="537"/>
      <c r="C598"/>
      <c r="D598"/>
      <c r="E598"/>
      <c r="F598" s="664"/>
      <c r="G598" s="664"/>
    </row>
    <row r="599" spans="2:7" ht="15" customHeight="1" x14ac:dyDescent="0.35">
      <c r="B599" s="537"/>
      <c r="C599"/>
      <c r="D599"/>
      <c r="E599"/>
      <c r="F599" s="664"/>
      <c r="G599" s="664"/>
    </row>
    <row r="600" spans="2:7" ht="15" customHeight="1" x14ac:dyDescent="0.35">
      <c r="B600" s="537"/>
      <c r="C600"/>
      <c r="D600"/>
      <c r="E600"/>
      <c r="F600" s="664"/>
      <c r="G600" s="664"/>
    </row>
    <row r="601" spans="2:7" ht="15" customHeight="1" x14ac:dyDescent="0.35">
      <c r="B601" s="537"/>
      <c r="C601"/>
      <c r="D601"/>
      <c r="E601"/>
      <c r="F601" s="664"/>
      <c r="G601" s="664"/>
    </row>
    <row r="602" spans="2:7" ht="15" customHeight="1" x14ac:dyDescent="0.35">
      <c r="B602" s="537"/>
      <c r="C602"/>
      <c r="D602"/>
      <c r="E602"/>
      <c r="F602" s="664"/>
      <c r="G602" s="664"/>
    </row>
    <row r="603" spans="2:7" ht="15" customHeight="1" x14ac:dyDescent="0.35">
      <c r="B603" s="537"/>
      <c r="C603"/>
      <c r="D603"/>
      <c r="E603"/>
      <c r="F603" s="664"/>
      <c r="G603" s="664"/>
    </row>
    <row r="604" spans="2:7" ht="15" customHeight="1" x14ac:dyDescent="0.35">
      <c r="B604" s="537"/>
      <c r="C604"/>
      <c r="D604"/>
      <c r="E604"/>
      <c r="F604" s="664"/>
      <c r="G604" s="664"/>
    </row>
    <row r="605" spans="2:7" ht="15" customHeight="1" x14ac:dyDescent="0.35">
      <c r="B605" s="537"/>
      <c r="C605"/>
      <c r="D605"/>
      <c r="E605"/>
      <c r="F605" s="664"/>
      <c r="G605" s="664"/>
    </row>
    <row r="606" spans="2:7" ht="15" customHeight="1" x14ac:dyDescent="0.35">
      <c r="B606" s="537"/>
      <c r="C606"/>
      <c r="D606"/>
      <c r="E606"/>
      <c r="F606" s="664"/>
      <c r="G606" s="664"/>
    </row>
    <row r="607" spans="2:7" ht="15" customHeight="1" x14ac:dyDescent="0.35">
      <c r="B607" s="537"/>
      <c r="C607"/>
      <c r="D607"/>
      <c r="E607"/>
      <c r="F607" s="664"/>
      <c r="G607" s="664"/>
    </row>
    <row r="608" spans="2:7" ht="15" customHeight="1" x14ac:dyDescent="0.35">
      <c r="B608" s="537"/>
      <c r="C608"/>
      <c r="D608"/>
      <c r="E608"/>
      <c r="F608" s="664"/>
      <c r="G608" s="664"/>
    </row>
    <row r="609" spans="2:7" ht="15" customHeight="1" x14ac:dyDescent="0.35">
      <c r="B609" s="537"/>
      <c r="C609"/>
      <c r="D609"/>
      <c r="E609"/>
      <c r="F609" s="664"/>
      <c r="G609" s="664"/>
    </row>
    <row r="610" spans="2:7" ht="15" customHeight="1" x14ac:dyDescent="0.35">
      <c r="B610" s="537"/>
      <c r="C610"/>
      <c r="D610"/>
      <c r="E610"/>
      <c r="F610" s="664"/>
      <c r="G610" s="664"/>
    </row>
    <row r="611" spans="2:7" ht="15" customHeight="1" x14ac:dyDescent="0.35">
      <c r="B611" s="537"/>
      <c r="C611"/>
      <c r="D611"/>
      <c r="E611"/>
      <c r="F611" s="664"/>
      <c r="G611" s="664"/>
    </row>
    <row r="612" spans="2:7" ht="15" customHeight="1" x14ac:dyDescent="0.35">
      <c r="B612" s="537"/>
      <c r="C612"/>
      <c r="D612"/>
      <c r="E612"/>
      <c r="F612" s="664"/>
      <c r="G612" s="664"/>
    </row>
    <row r="613" spans="2:7" ht="15" customHeight="1" x14ac:dyDescent="0.35">
      <c r="B613" s="537"/>
      <c r="C613"/>
      <c r="D613"/>
      <c r="E613"/>
      <c r="F613" s="664"/>
      <c r="G613" s="664"/>
    </row>
    <row r="614" spans="2:7" ht="15" customHeight="1" x14ac:dyDescent="0.35">
      <c r="B614" s="537"/>
      <c r="C614"/>
      <c r="D614"/>
      <c r="E614"/>
      <c r="F614" s="664"/>
      <c r="G614" s="664"/>
    </row>
    <row r="615" spans="2:7" ht="15" customHeight="1" x14ac:dyDescent="0.35">
      <c r="B615" s="537"/>
      <c r="C615"/>
      <c r="D615"/>
      <c r="E615"/>
      <c r="F615" s="664"/>
      <c r="G615" s="664"/>
    </row>
    <row r="616" spans="2:7" ht="15" customHeight="1" x14ac:dyDescent="0.35">
      <c r="B616" s="537"/>
      <c r="C616"/>
      <c r="D616"/>
      <c r="E616"/>
      <c r="F616" s="664"/>
      <c r="G616" s="664"/>
    </row>
    <row r="617" spans="2:7" ht="15" customHeight="1" x14ac:dyDescent="0.35">
      <c r="B617" s="537"/>
      <c r="C617"/>
      <c r="D617"/>
      <c r="E617"/>
      <c r="F617" s="664"/>
      <c r="G617" s="664"/>
    </row>
    <row r="618" spans="2:7" ht="15" customHeight="1" x14ac:dyDescent="0.35">
      <c r="B618" s="537"/>
      <c r="C618"/>
      <c r="D618"/>
      <c r="E618"/>
      <c r="F618" s="664"/>
      <c r="G618" s="664"/>
    </row>
    <row r="619" spans="2:7" ht="15" customHeight="1" x14ac:dyDescent="0.35">
      <c r="B619" s="537"/>
      <c r="C619"/>
      <c r="D619"/>
      <c r="E619"/>
      <c r="F619" s="664"/>
      <c r="G619" s="664"/>
    </row>
    <row r="620" spans="2:7" ht="15" customHeight="1" x14ac:dyDescent="0.35">
      <c r="B620" s="537"/>
      <c r="C620"/>
      <c r="D620"/>
      <c r="E620"/>
      <c r="F620" s="664"/>
      <c r="G620" s="664"/>
    </row>
    <row r="621" spans="2:7" ht="15" customHeight="1" x14ac:dyDescent="0.35">
      <c r="B621" s="537"/>
      <c r="C621"/>
      <c r="D621"/>
      <c r="E621"/>
      <c r="F621" s="664"/>
      <c r="G621" s="664"/>
    </row>
    <row r="622" spans="2:7" ht="15" customHeight="1" x14ac:dyDescent="0.35">
      <c r="B622" s="537"/>
      <c r="C622"/>
      <c r="D622"/>
      <c r="E622"/>
      <c r="F622" s="664"/>
      <c r="G622" s="664"/>
    </row>
    <row r="623" spans="2:7" ht="15" customHeight="1" x14ac:dyDescent="0.35">
      <c r="B623" s="537"/>
      <c r="C623"/>
      <c r="D623"/>
      <c r="E623"/>
      <c r="F623" s="664"/>
      <c r="G623" s="664"/>
    </row>
    <row r="624" spans="2:7" ht="15" customHeight="1" x14ac:dyDescent="0.35">
      <c r="B624" s="537"/>
      <c r="C624"/>
      <c r="D624"/>
      <c r="E624"/>
      <c r="F624" s="664"/>
      <c r="G624" s="664"/>
    </row>
    <row r="625" spans="2:7" ht="15" customHeight="1" x14ac:dyDescent="0.35">
      <c r="B625" s="537"/>
      <c r="C625"/>
      <c r="D625"/>
      <c r="E625"/>
      <c r="F625" s="664"/>
      <c r="G625" s="664"/>
    </row>
    <row r="626" spans="2:7" ht="15" customHeight="1" x14ac:dyDescent="0.35">
      <c r="B626" s="537"/>
      <c r="C626"/>
      <c r="D626"/>
      <c r="E626"/>
      <c r="F626" s="664"/>
      <c r="G626" s="664"/>
    </row>
    <row r="627" spans="2:7" ht="15" customHeight="1" x14ac:dyDescent="0.35">
      <c r="B627" s="537"/>
      <c r="C627"/>
      <c r="D627"/>
      <c r="E627"/>
      <c r="F627" s="664"/>
      <c r="G627" s="664"/>
    </row>
    <row r="628" spans="2:7" ht="15" customHeight="1" x14ac:dyDescent="0.35">
      <c r="B628" s="537"/>
      <c r="C628"/>
      <c r="D628"/>
      <c r="E628"/>
      <c r="F628" s="664"/>
      <c r="G628" s="664"/>
    </row>
    <row r="629" spans="2:7" ht="15" customHeight="1" x14ac:dyDescent="0.35">
      <c r="B629" s="537"/>
      <c r="C629"/>
      <c r="D629"/>
      <c r="E629"/>
      <c r="F629" s="664"/>
      <c r="G629" s="664"/>
    </row>
    <row r="630" spans="2:7" ht="15" customHeight="1" x14ac:dyDescent="0.35">
      <c r="B630" s="537"/>
      <c r="C630"/>
      <c r="D630"/>
      <c r="E630"/>
      <c r="F630" s="664"/>
      <c r="G630" s="664"/>
    </row>
    <row r="631" spans="2:7" ht="15" customHeight="1" x14ac:dyDescent="0.35">
      <c r="B631" s="537"/>
      <c r="C631"/>
      <c r="D631"/>
      <c r="E631"/>
      <c r="F631" s="664"/>
      <c r="G631" s="664"/>
    </row>
    <row r="632" spans="2:7" ht="15" customHeight="1" x14ac:dyDescent="0.35">
      <c r="B632" s="537"/>
      <c r="C632"/>
      <c r="D632"/>
      <c r="E632"/>
      <c r="F632" s="664"/>
      <c r="G632" s="664"/>
    </row>
    <row r="633" spans="2:7" ht="15" customHeight="1" x14ac:dyDescent="0.35">
      <c r="B633" s="537"/>
      <c r="C633"/>
      <c r="D633"/>
      <c r="E633"/>
      <c r="F633" s="664"/>
      <c r="G633" s="664"/>
    </row>
    <row r="634" spans="2:7" ht="15" customHeight="1" x14ac:dyDescent="0.35">
      <c r="B634" s="537"/>
      <c r="C634"/>
      <c r="D634"/>
      <c r="E634"/>
      <c r="F634" s="664"/>
      <c r="G634" s="664"/>
    </row>
    <row r="635" spans="2:7" ht="15" customHeight="1" x14ac:dyDescent="0.35">
      <c r="B635" s="537"/>
      <c r="C635"/>
      <c r="D635"/>
      <c r="E635"/>
      <c r="F635" s="664"/>
      <c r="G635" s="664"/>
    </row>
    <row r="636" spans="2:7" ht="15" customHeight="1" x14ac:dyDescent="0.35">
      <c r="B636" s="537"/>
      <c r="C636"/>
      <c r="D636"/>
      <c r="E636"/>
      <c r="F636" s="664"/>
      <c r="G636" s="664"/>
    </row>
    <row r="637" spans="2:7" ht="15" customHeight="1" x14ac:dyDescent="0.35">
      <c r="B637" s="537"/>
      <c r="C637"/>
      <c r="D637"/>
      <c r="E637"/>
      <c r="F637" s="664"/>
      <c r="G637" s="664"/>
    </row>
    <row r="638" spans="2:7" ht="15" customHeight="1" x14ac:dyDescent="0.35">
      <c r="B638" s="537"/>
      <c r="C638"/>
      <c r="D638"/>
      <c r="E638"/>
      <c r="F638" s="664"/>
      <c r="G638" s="664"/>
    </row>
    <row r="639" spans="2:7" ht="15" customHeight="1" x14ac:dyDescent="0.35">
      <c r="B639" s="537"/>
      <c r="C639"/>
      <c r="D639"/>
      <c r="E639"/>
      <c r="F639" s="664"/>
      <c r="G639" s="664"/>
    </row>
    <row r="640" spans="2:7" ht="15" customHeight="1" x14ac:dyDescent="0.35">
      <c r="B640" s="537"/>
      <c r="C640"/>
      <c r="D640"/>
      <c r="E640"/>
      <c r="F640" s="664"/>
      <c r="G640" s="664"/>
    </row>
    <row r="641" spans="2:7" ht="15" customHeight="1" x14ac:dyDescent="0.35">
      <c r="B641" s="537"/>
      <c r="C641"/>
      <c r="D641"/>
      <c r="E641"/>
      <c r="F641" s="664"/>
      <c r="G641" s="664"/>
    </row>
    <row r="642" spans="2:7" ht="15" customHeight="1" x14ac:dyDescent="0.35">
      <c r="B642" s="537"/>
      <c r="C642"/>
      <c r="D642"/>
      <c r="E642"/>
      <c r="F642" s="664"/>
      <c r="G642" s="664"/>
    </row>
    <row r="643" spans="2:7" ht="15" customHeight="1" x14ac:dyDescent="0.35">
      <c r="B643" s="537"/>
      <c r="C643"/>
      <c r="D643"/>
      <c r="E643"/>
      <c r="F643" s="664"/>
      <c r="G643" s="664"/>
    </row>
    <row r="644" spans="2:7" ht="15" customHeight="1" x14ac:dyDescent="0.35">
      <c r="B644" s="537"/>
      <c r="C644"/>
      <c r="D644"/>
      <c r="E644"/>
      <c r="F644" s="664"/>
      <c r="G644" s="664"/>
    </row>
    <row r="645" spans="2:7" ht="15" customHeight="1" x14ac:dyDescent="0.35">
      <c r="B645" s="537"/>
      <c r="C645"/>
      <c r="D645"/>
      <c r="E645"/>
      <c r="F645" s="664"/>
      <c r="G645" s="664"/>
    </row>
    <row r="646" spans="2:7" ht="15" customHeight="1" x14ac:dyDescent="0.35">
      <c r="B646" s="537"/>
      <c r="C646"/>
      <c r="D646"/>
      <c r="E646"/>
      <c r="F646" s="664"/>
      <c r="G646" s="664"/>
    </row>
    <row r="647" spans="2:7" ht="15" customHeight="1" x14ac:dyDescent="0.35">
      <c r="B647" s="537"/>
      <c r="C647"/>
      <c r="D647"/>
      <c r="E647"/>
      <c r="F647" s="664"/>
      <c r="G647" s="664"/>
    </row>
    <row r="648" spans="2:7" ht="15" customHeight="1" x14ac:dyDescent="0.35">
      <c r="B648" s="537"/>
      <c r="C648"/>
      <c r="D648"/>
      <c r="E648"/>
      <c r="F648" s="664"/>
      <c r="G648" s="664"/>
    </row>
    <row r="649" spans="2:7" ht="15" customHeight="1" x14ac:dyDescent="0.35">
      <c r="B649" s="537"/>
      <c r="C649"/>
      <c r="D649"/>
      <c r="E649"/>
      <c r="F649" s="664"/>
      <c r="G649" s="664"/>
    </row>
    <row r="650" spans="2:7" ht="15" customHeight="1" x14ac:dyDescent="0.35">
      <c r="B650" s="537"/>
      <c r="C650"/>
      <c r="D650"/>
      <c r="E650"/>
      <c r="F650" s="664"/>
      <c r="G650" s="664"/>
    </row>
    <row r="651" spans="2:7" ht="15" customHeight="1" x14ac:dyDescent="0.35">
      <c r="B651" s="537"/>
      <c r="C651"/>
      <c r="D651"/>
      <c r="E651"/>
      <c r="F651" s="664"/>
      <c r="G651" s="664"/>
    </row>
    <row r="652" spans="2:7" ht="15" customHeight="1" x14ac:dyDescent="0.35">
      <c r="B652" s="537"/>
      <c r="C652"/>
      <c r="D652"/>
      <c r="E652"/>
      <c r="F652" s="664"/>
      <c r="G652" s="664"/>
    </row>
    <row r="653" spans="2:7" ht="15" customHeight="1" x14ac:dyDescent="0.35">
      <c r="B653" s="537"/>
      <c r="C653"/>
      <c r="D653"/>
      <c r="E653"/>
      <c r="F653" s="664"/>
      <c r="G653" s="664"/>
    </row>
    <row r="654" spans="2:7" ht="15" customHeight="1" x14ac:dyDescent="0.35">
      <c r="B654" s="537"/>
      <c r="C654"/>
      <c r="D654"/>
      <c r="E654"/>
      <c r="F654" s="664"/>
      <c r="G654" s="664"/>
    </row>
    <row r="655" spans="2:7" ht="15" customHeight="1" x14ac:dyDescent="0.35">
      <c r="B655" s="537"/>
      <c r="C655"/>
      <c r="D655"/>
      <c r="E655"/>
      <c r="F655" s="664"/>
      <c r="G655" s="664"/>
    </row>
    <row r="656" spans="2:7" ht="15" customHeight="1" x14ac:dyDescent="0.35">
      <c r="B656" s="537"/>
      <c r="C656"/>
      <c r="D656"/>
      <c r="E656"/>
      <c r="F656" s="664"/>
      <c r="G656" s="664"/>
    </row>
    <row r="657" spans="2:7" ht="15" customHeight="1" x14ac:dyDescent="0.35">
      <c r="B657" s="537"/>
      <c r="C657"/>
      <c r="D657"/>
      <c r="E657"/>
      <c r="F657" s="664"/>
      <c r="G657" s="664"/>
    </row>
    <row r="658" spans="2:7" ht="15" customHeight="1" x14ac:dyDescent="0.35">
      <c r="B658" s="537"/>
      <c r="C658"/>
      <c r="D658"/>
      <c r="E658"/>
      <c r="F658" s="664"/>
      <c r="G658" s="664"/>
    </row>
    <row r="659" spans="2:7" ht="15" customHeight="1" x14ac:dyDescent="0.35">
      <c r="B659" s="537"/>
      <c r="C659"/>
      <c r="D659"/>
      <c r="E659"/>
      <c r="F659" s="664"/>
      <c r="G659" s="664"/>
    </row>
    <row r="660" spans="2:7" ht="15" customHeight="1" x14ac:dyDescent="0.35">
      <c r="B660" s="537"/>
      <c r="C660"/>
      <c r="D660"/>
      <c r="E660"/>
      <c r="F660" s="664"/>
      <c r="G660" s="664"/>
    </row>
    <row r="661" spans="2:7" ht="15" customHeight="1" x14ac:dyDescent="0.35">
      <c r="B661" s="537"/>
      <c r="C661"/>
      <c r="D661"/>
      <c r="E661"/>
      <c r="F661" s="664"/>
      <c r="G661" s="664"/>
    </row>
    <row r="662" spans="2:7" ht="15" customHeight="1" x14ac:dyDescent="0.35">
      <c r="B662" s="537"/>
      <c r="C662"/>
      <c r="D662"/>
      <c r="E662"/>
      <c r="F662" s="664"/>
      <c r="G662" s="664"/>
    </row>
    <row r="663" spans="2:7" ht="15" customHeight="1" x14ac:dyDescent="0.35">
      <c r="B663" s="537"/>
      <c r="C663"/>
      <c r="D663"/>
      <c r="E663"/>
      <c r="F663" s="664"/>
      <c r="G663" s="664"/>
    </row>
    <row r="664" spans="2:7" ht="15" customHeight="1" x14ac:dyDescent="0.35">
      <c r="B664" s="537"/>
      <c r="C664"/>
      <c r="D664"/>
      <c r="E664"/>
      <c r="F664" s="664"/>
      <c r="G664" s="664"/>
    </row>
    <row r="665" spans="2:7" ht="15" customHeight="1" x14ac:dyDescent="0.35">
      <c r="B665" s="537"/>
      <c r="C665"/>
      <c r="D665"/>
      <c r="E665"/>
      <c r="F665" s="664"/>
      <c r="G665" s="664"/>
    </row>
    <row r="666" spans="2:7" ht="15" customHeight="1" x14ac:dyDescent="0.35">
      <c r="B666" s="537"/>
      <c r="C666"/>
      <c r="D666"/>
      <c r="E666"/>
      <c r="F666" s="664"/>
      <c r="G666" s="664"/>
    </row>
    <row r="667" spans="2:7" ht="15" customHeight="1" x14ac:dyDescent="0.35">
      <c r="B667" s="537"/>
      <c r="C667"/>
      <c r="D667"/>
      <c r="E667"/>
      <c r="F667" s="664"/>
      <c r="G667" s="664"/>
    </row>
    <row r="668" spans="2:7" ht="15" customHeight="1" x14ac:dyDescent="0.35">
      <c r="B668" s="537"/>
      <c r="C668"/>
      <c r="D668"/>
      <c r="E668"/>
      <c r="F668" s="664"/>
      <c r="G668" s="664"/>
    </row>
    <row r="669" spans="2:7" ht="15" customHeight="1" x14ac:dyDescent="0.35">
      <c r="B669" s="537"/>
      <c r="C669"/>
      <c r="D669"/>
      <c r="E669"/>
      <c r="F669" s="664"/>
      <c r="G669" s="664"/>
    </row>
    <row r="670" spans="2:7" ht="15" customHeight="1" x14ac:dyDescent="0.35">
      <c r="B670" s="537"/>
      <c r="C670"/>
      <c r="D670"/>
      <c r="E670"/>
      <c r="F670" s="664"/>
      <c r="G670" s="664"/>
    </row>
    <row r="671" spans="2:7" ht="15" customHeight="1" x14ac:dyDescent="0.35">
      <c r="B671" s="537"/>
      <c r="C671"/>
      <c r="D671"/>
      <c r="E671"/>
      <c r="F671" s="664"/>
      <c r="G671" s="664"/>
    </row>
    <row r="672" spans="2:7" ht="15" customHeight="1" x14ac:dyDescent="0.35">
      <c r="B672" s="537"/>
      <c r="C672"/>
      <c r="D672"/>
      <c r="E672"/>
      <c r="F672" s="664"/>
      <c r="G672" s="664"/>
    </row>
    <row r="673" spans="2:7" ht="15" customHeight="1" x14ac:dyDescent="0.35">
      <c r="B673" s="537"/>
      <c r="C673"/>
      <c r="D673"/>
      <c r="E673"/>
      <c r="F673" s="664"/>
      <c r="G673" s="664"/>
    </row>
    <row r="674" spans="2:7" ht="15" customHeight="1" x14ac:dyDescent="0.35">
      <c r="B674" s="537"/>
      <c r="C674"/>
      <c r="D674"/>
      <c r="E674"/>
      <c r="F674" s="664"/>
      <c r="G674" s="664"/>
    </row>
    <row r="675" spans="2:7" ht="15" customHeight="1" x14ac:dyDescent="0.35">
      <c r="B675" s="537"/>
      <c r="C675"/>
      <c r="D675"/>
      <c r="E675"/>
      <c r="F675" s="664"/>
      <c r="G675" s="664"/>
    </row>
    <row r="676" spans="2:7" ht="15" customHeight="1" x14ac:dyDescent="0.35">
      <c r="B676" s="537"/>
      <c r="C676"/>
      <c r="D676"/>
      <c r="E676"/>
      <c r="F676" s="664"/>
      <c r="G676" s="664"/>
    </row>
    <row r="677" spans="2:7" ht="15" customHeight="1" x14ac:dyDescent="0.35">
      <c r="B677" s="537"/>
      <c r="C677"/>
      <c r="D677"/>
      <c r="E677"/>
      <c r="F677" s="664"/>
      <c r="G677" s="664"/>
    </row>
    <row r="678" spans="2:7" ht="15" customHeight="1" x14ac:dyDescent="0.35">
      <c r="B678" s="537"/>
      <c r="C678"/>
      <c r="D678"/>
      <c r="E678"/>
      <c r="F678" s="664"/>
      <c r="G678" s="664"/>
    </row>
    <row r="679" spans="2:7" ht="15" customHeight="1" x14ac:dyDescent="0.35">
      <c r="B679" s="537"/>
      <c r="C679"/>
      <c r="D679"/>
      <c r="E679"/>
      <c r="F679" s="664"/>
      <c r="G679" s="664"/>
    </row>
    <row r="680" spans="2:7" ht="15" customHeight="1" x14ac:dyDescent="0.35">
      <c r="B680" s="537"/>
      <c r="C680"/>
      <c r="D680"/>
      <c r="E680"/>
      <c r="F680" s="664"/>
      <c r="G680" s="664"/>
    </row>
    <row r="681" spans="2:7" ht="15" customHeight="1" x14ac:dyDescent="0.35">
      <c r="B681" s="537"/>
      <c r="C681"/>
      <c r="D681"/>
      <c r="E681"/>
      <c r="F681" s="664"/>
      <c r="G681" s="664"/>
    </row>
    <row r="682" spans="2:7" ht="15" customHeight="1" x14ac:dyDescent="0.35">
      <c r="B682" s="537"/>
      <c r="C682"/>
      <c r="D682"/>
      <c r="E682"/>
      <c r="F682" s="664"/>
      <c r="G682" s="664"/>
    </row>
    <row r="683" spans="2:7" ht="15" customHeight="1" x14ac:dyDescent="0.35">
      <c r="B683" s="537"/>
      <c r="C683"/>
      <c r="D683"/>
      <c r="E683"/>
      <c r="F683" s="664"/>
      <c r="G683" s="664"/>
    </row>
    <row r="684" spans="2:7" ht="15" customHeight="1" x14ac:dyDescent="0.35">
      <c r="B684" s="537"/>
      <c r="C684"/>
      <c r="D684"/>
      <c r="E684"/>
      <c r="F684" s="664"/>
      <c r="G684" s="664"/>
    </row>
    <row r="685" spans="2:7" ht="15" customHeight="1" x14ac:dyDescent="0.35">
      <c r="B685" s="537"/>
      <c r="C685"/>
      <c r="D685"/>
      <c r="E685"/>
      <c r="F685" s="664"/>
      <c r="G685" s="664"/>
    </row>
    <row r="686" spans="2:7" ht="15" customHeight="1" x14ac:dyDescent="0.35">
      <c r="B686" s="537"/>
      <c r="C686"/>
      <c r="D686"/>
      <c r="E686"/>
      <c r="F686" s="664"/>
      <c r="G686" s="664"/>
    </row>
    <row r="687" spans="2:7" ht="15" customHeight="1" x14ac:dyDescent="0.35">
      <c r="B687" s="537"/>
      <c r="C687"/>
      <c r="D687"/>
      <c r="E687"/>
      <c r="F687" s="664"/>
      <c r="G687" s="664"/>
    </row>
    <row r="688" spans="2:7" ht="15" customHeight="1" x14ac:dyDescent="0.35">
      <c r="B688" s="537"/>
      <c r="C688"/>
      <c r="D688"/>
      <c r="E688"/>
      <c r="F688" s="664"/>
      <c r="G688" s="664"/>
    </row>
    <row r="689" spans="2:7" ht="15" customHeight="1" x14ac:dyDescent="0.35">
      <c r="B689" s="537"/>
      <c r="C689"/>
      <c r="D689"/>
      <c r="E689"/>
      <c r="F689" s="664"/>
      <c r="G689" s="664"/>
    </row>
    <row r="690" spans="2:7" ht="15" customHeight="1" x14ac:dyDescent="0.35">
      <c r="B690" s="537"/>
      <c r="C690"/>
      <c r="D690"/>
      <c r="E690"/>
      <c r="F690" s="664"/>
      <c r="G690" s="664"/>
    </row>
    <row r="691" spans="2:7" ht="15" customHeight="1" x14ac:dyDescent="0.35">
      <c r="B691" s="537"/>
      <c r="C691"/>
      <c r="D691"/>
      <c r="E691"/>
      <c r="F691" s="664"/>
      <c r="G691" s="664"/>
    </row>
    <row r="692" spans="2:7" ht="15" customHeight="1" x14ac:dyDescent="0.35">
      <c r="B692" s="537"/>
      <c r="C692"/>
      <c r="D692"/>
      <c r="E692"/>
      <c r="F692" s="664"/>
      <c r="G692" s="664"/>
    </row>
    <row r="693" spans="2:7" ht="15" customHeight="1" x14ac:dyDescent="0.35">
      <c r="B693" s="537"/>
      <c r="C693"/>
      <c r="D693"/>
      <c r="E693"/>
      <c r="F693" s="664"/>
      <c r="G693" s="664"/>
    </row>
    <row r="694" spans="2:7" ht="15" customHeight="1" x14ac:dyDescent="0.35">
      <c r="B694" s="537"/>
      <c r="C694"/>
      <c r="D694"/>
      <c r="E694"/>
      <c r="F694" s="664"/>
      <c r="G694" s="664"/>
    </row>
    <row r="695" spans="2:7" ht="15" customHeight="1" x14ac:dyDescent="0.35">
      <c r="B695" s="537"/>
      <c r="C695"/>
      <c r="D695"/>
      <c r="E695"/>
      <c r="F695" s="664"/>
      <c r="G695" s="664"/>
    </row>
    <row r="696" spans="2:7" ht="15" customHeight="1" x14ac:dyDescent="0.35">
      <c r="B696" s="537"/>
      <c r="C696"/>
      <c r="D696"/>
      <c r="E696"/>
      <c r="F696" s="664"/>
      <c r="G696" s="664"/>
    </row>
    <row r="697" spans="2:7" ht="15" customHeight="1" x14ac:dyDescent="0.35">
      <c r="B697" s="537"/>
      <c r="C697"/>
      <c r="D697"/>
      <c r="E697"/>
      <c r="F697" s="664"/>
      <c r="G697" s="664"/>
    </row>
    <row r="698" spans="2:7" ht="15" customHeight="1" x14ac:dyDescent="0.35">
      <c r="B698" s="537"/>
      <c r="C698"/>
      <c r="D698"/>
      <c r="E698"/>
      <c r="F698" s="664"/>
      <c r="G698" s="664"/>
    </row>
    <row r="699" spans="2:7" ht="15" customHeight="1" x14ac:dyDescent="0.35">
      <c r="B699" s="537"/>
      <c r="C699"/>
      <c r="D699"/>
      <c r="E699"/>
      <c r="F699" s="664"/>
      <c r="G699" s="664"/>
    </row>
    <row r="700" spans="2:7" ht="15" customHeight="1" x14ac:dyDescent="0.35">
      <c r="B700" s="537"/>
      <c r="C700"/>
      <c r="D700"/>
      <c r="E700"/>
      <c r="F700" s="664"/>
      <c r="G700" s="664"/>
    </row>
    <row r="701" spans="2:7" ht="15" customHeight="1" x14ac:dyDescent="0.35">
      <c r="B701" s="537"/>
      <c r="C701"/>
      <c r="D701"/>
      <c r="E701"/>
      <c r="F701" s="664"/>
      <c r="G701" s="664"/>
    </row>
    <row r="702" spans="2:7" ht="15" customHeight="1" x14ac:dyDescent="0.35">
      <c r="B702" s="537"/>
      <c r="C702"/>
      <c r="D702"/>
      <c r="E702"/>
      <c r="F702" s="664"/>
      <c r="G702" s="664"/>
    </row>
    <row r="703" spans="2:7" ht="15" customHeight="1" x14ac:dyDescent="0.35">
      <c r="B703" s="537"/>
      <c r="C703"/>
      <c r="D703"/>
      <c r="E703"/>
      <c r="F703" s="664"/>
      <c r="G703" s="664"/>
    </row>
    <row r="704" spans="2:7" ht="15" customHeight="1" x14ac:dyDescent="0.35">
      <c r="B704" s="537"/>
      <c r="C704"/>
      <c r="D704"/>
      <c r="E704"/>
      <c r="F704" s="664"/>
      <c r="G704" s="664"/>
    </row>
    <row r="705" spans="2:7" ht="15" customHeight="1" x14ac:dyDescent="0.35">
      <c r="B705" s="537"/>
      <c r="C705"/>
      <c r="D705"/>
      <c r="E705"/>
      <c r="F705" s="664"/>
      <c r="G705" s="664"/>
    </row>
    <row r="706" spans="2:7" ht="15" customHeight="1" x14ac:dyDescent="0.35">
      <c r="B706" s="537"/>
      <c r="C706"/>
      <c r="D706"/>
      <c r="E706"/>
      <c r="F706" s="664"/>
      <c r="G706" s="664"/>
    </row>
    <row r="707" spans="2:7" ht="15" customHeight="1" x14ac:dyDescent="0.35">
      <c r="B707" s="537"/>
      <c r="C707"/>
      <c r="D707"/>
      <c r="E707"/>
      <c r="F707" s="664"/>
      <c r="G707" s="664"/>
    </row>
    <row r="708" spans="2:7" ht="15" customHeight="1" x14ac:dyDescent="0.35">
      <c r="B708" s="537"/>
      <c r="C708"/>
      <c r="D708"/>
      <c r="E708"/>
      <c r="F708" s="664"/>
      <c r="G708" s="664"/>
    </row>
    <row r="709" spans="2:7" ht="15" customHeight="1" x14ac:dyDescent="0.35">
      <c r="B709" s="537"/>
      <c r="C709"/>
      <c r="D709"/>
      <c r="E709"/>
      <c r="F709" s="664"/>
      <c r="G709" s="664"/>
    </row>
    <row r="710" spans="2:7" ht="15" customHeight="1" x14ac:dyDescent="0.35">
      <c r="B710" s="537"/>
      <c r="C710"/>
      <c r="D710"/>
      <c r="E710"/>
      <c r="F710" s="664"/>
      <c r="G710" s="664"/>
    </row>
    <row r="711" spans="2:7" ht="15" customHeight="1" x14ac:dyDescent="0.35">
      <c r="B711" s="537"/>
      <c r="C711"/>
      <c r="D711"/>
      <c r="E711"/>
      <c r="F711" s="664"/>
      <c r="G711" s="664"/>
    </row>
    <row r="712" spans="2:7" ht="15" customHeight="1" x14ac:dyDescent="0.35">
      <c r="B712" s="537"/>
      <c r="C712"/>
      <c r="D712"/>
      <c r="E712"/>
      <c r="F712" s="664"/>
      <c r="G712" s="664"/>
    </row>
    <row r="713" spans="2:7" ht="15" customHeight="1" x14ac:dyDescent="0.35">
      <c r="B713" s="537"/>
      <c r="C713"/>
      <c r="D713"/>
      <c r="E713"/>
      <c r="F713" s="664"/>
      <c r="G713" s="664"/>
    </row>
    <row r="714" spans="2:7" ht="15" customHeight="1" x14ac:dyDescent="0.35">
      <c r="B714" s="537"/>
      <c r="C714"/>
      <c r="D714"/>
      <c r="E714"/>
      <c r="F714" s="664"/>
      <c r="G714" s="664"/>
    </row>
    <row r="715" spans="2:7" ht="15" customHeight="1" x14ac:dyDescent="0.35">
      <c r="B715" s="537"/>
      <c r="C715"/>
      <c r="D715"/>
      <c r="E715"/>
      <c r="F715" s="664"/>
      <c r="G715" s="664"/>
    </row>
    <row r="716" spans="2:7" ht="15" customHeight="1" x14ac:dyDescent="0.35">
      <c r="B716" s="537"/>
      <c r="C716"/>
      <c r="D716"/>
      <c r="E716"/>
      <c r="F716" s="664"/>
      <c r="G716" s="664"/>
    </row>
    <row r="717" spans="2:7" ht="15" customHeight="1" x14ac:dyDescent="0.35">
      <c r="B717" s="537"/>
      <c r="C717"/>
      <c r="D717"/>
      <c r="E717"/>
      <c r="F717" s="664"/>
      <c r="G717" s="664"/>
    </row>
    <row r="718" spans="2:7" ht="15" customHeight="1" x14ac:dyDescent="0.35">
      <c r="B718" s="537"/>
      <c r="C718"/>
      <c r="D718"/>
      <c r="E718"/>
      <c r="F718" s="664"/>
      <c r="G718" s="664"/>
    </row>
    <row r="719" spans="2:7" ht="15" customHeight="1" x14ac:dyDescent="0.35">
      <c r="B719" s="537"/>
      <c r="C719"/>
      <c r="D719"/>
      <c r="E719"/>
      <c r="F719" s="664"/>
      <c r="G719" s="664"/>
    </row>
    <row r="720" spans="2:7" ht="15" customHeight="1" x14ac:dyDescent="0.35">
      <c r="B720" s="537"/>
      <c r="C720"/>
      <c r="D720"/>
      <c r="E720"/>
      <c r="F720" s="664"/>
      <c r="G720" s="664"/>
    </row>
    <row r="721" spans="2:7" ht="15" customHeight="1" x14ac:dyDescent="0.35">
      <c r="B721" s="537"/>
      <c r="C721"/>
      <c r="D721"/>
      <c r="E721"/>
      <c r="F721" s="664"/>
      <c r="G721" s="664"/>
    </row>
    <row r="722" spans="2:7" ht="15" customHeight="1" x14ac:dyDescent="0.35">
      <c r="B722" s="537"/>
      <c r="C722"/>
      <c r="D722"/>
      <c r="E722"/>
      <c r="F722" s="664"/>
      <c r="G722" s="664"/>
    </row>
    <row r="723" spans="2:7" ht="15" customHeight="1" x14ac:dyDescent="0.35">
      <c r="B723" s="537"/>
      <c r="C723"/>
      <c r="D723"/>
      <c r="E723"/>
      <c r="F723" s="664"/>
      <c r="G723" s="664"/>
    </row>
    <row r="724" spans="2:7" ht="15" customHeight="1" x14ac:dyDescent="0.35">
      <c r="B724" s="537"/>
      <c r="C724"/>
      <c r="D724"/>
      <c r="E724"/>
      <c r="F724" s="664"/>
      <c r="G724" s="664"/>
    </row>
    <row r="725" spans="2:7" ht="15" customHeight="1" x14ac:dyDescent="0.35">
      <c r="B725" s="537"/>
      <c r="C725"/>
      <c r="D725"/>
      <c r="E725"/>
      <c r="F725" s="664"/>
      <c r="G725" s="664"/>
    </row>
    <row r="726" spans="2:7" ht="15" customHeight="1" x14ac:dyDescent="0.35">
      <c r="B726" s="537"/>
      <c r="C726"/>
      <c r="D726"/>
      <c r="E726"/>
      <c r="F726" s="664"/>
      <c r="G726" s="664"/>
    </row>
    <row r="727" spans="2:7" ht="15" customHeight="1" x14ac:dyDescent="0.35">
      <c r="B727" s="537"/>
      <c r="C727"/>
      <c r="D727"/>
      <c r="E727"/>
      <c r="F727" s="664"/>
      <c r="G727" s="664"/>
    </row>
    <row r="728" spans="2:7" ht="15" customHeight="1" x14ac:dyDescent="0.35">
      <c r="B728" s="537"/>
      <c r="C728"/>
      <c r="D728"/>
      <c r="E728"/>
      <c r="F728" s="664"/>
      <c r="G728" s="664"/>
    </row>
    <row r="729" spans="2:7" ht="15" customHeight="1" x14ac:dyDescent="0.35">
      <c r="B729" s="537"/>
      <c r="C729"/>
      <c r="D729"/>
      <c r="E729"/>
      <c r="F729" s="664"/>
      <c r="G729" s="664"/>
    </row>
    <row r="730" spans="2:7" ht="15" customHeight="1" x14ac:dyDescent="0.35">
      <c r="B730" s="537"/>
      <c r="C730"/>
      <c r="D730"/>
      <c r="E730"/>
      <c r="F730" s="664"/>
      <c r="G730" s="664"/>
    </row>
    <row r="731" spans="2:7" ht="15" customHeight="1" x14ac:dyDescent="0.35">
      <c r="B731" s="537"/>
      <c r="C731"/>
      <c r="D731"/>
      <c r="E731"/>
      <c r="F731" s="664"/>
      <c r="G731" s="664"/>
    </row>
    <row r="732" spans="2:7" ht="15" customHeight="1" x14ac:dyDescent="0.35">
      <c r="B732" s="537"/>
      <c r="C732"/>
      <c r="D732"/>
      <c r="E732"/>
      <c r="F732" s="664"/>
      <c r="G732" s="664"/>
    </row>
    <row r="733" spans="2:7" ht="15" customHeight="1" x14ac:dyDescent="0.35">
      <c r="B733" s="537"/>
      <c r="C733"/>
      <c r="D733"/>
      <c r="E733"/>
      <c r="F733" s="664"/>
      <c r="G733" s="664"/>
    </row>
    <row r="734" spans="2:7" ht="15" customHeight="1" x14ac:dyDescent="0.35">
      <c r="B734" s="537"/>
      <c r="C734"/>
      <c r="D734"/>
      <c r="E734"/>
      <c r="F734" s="664"/>
      <c r="G734" s="664"/>
    </row>
    <row r="735" spans="2:7" ht="15" customHeight="1" x14ac:dyDescent="0.35">
      <c r="B735" s="537"/>
      <c r="C735"/>
      <c r="D735"/>
      <c r="E735"/>
      <c r="F735" s="664"/>
      <c r="G735" s="664"/>
    </row>
    <row r="736" spans="2:7" ht="15" customHeight="1" x14ac:dyDescent="0.35">
      <c r="B736" s="537"/>
      <c r="C736"/>
      <c r="D736"/>
      <c r="E736"/>
      <c r="F736" s="664"/>
      <c r="G736" s="664"/>
    </row>
    <row r="737" spans="2:7" ht="15" customHeight="1" x14ac:dyDescent="0.35">
      <c r="B737" s="537"/>
      <c r="C737"/>
      <c r="D737"/>
      <c r="E737"/>
      <c r="F737" s="664"/>
      <c r="G737" s="664"/>
    </row>
    <row r="738" spans="2:7" ht="15" customHeight="1" x14ac:dyDescent="0.35">
      <c r="B738" s="537"/>
      <c r="C738"/>
      <c r="D738"/>
      <c r="E738"/>
      <c r="F738" s="664"/>
      <c r="G738" s="664"/>
    </row>
    <row r="739" spans="2:7" ht="15" customHeight="1" x14ac:dyDescent="0.35">
      <c r="B739" s="537"/>
      <c r="C739"/>
      <c r="D739"/>
      <c r="E739"/>
      <c r="F739" s="664"/>
      <c r="G739" s="664"/>
    </row>
    <row r="740" spans="2:7" ht="15" customHeight="1" x14ac:dyDescent="0.35">
      <c r="B740" s="537"/>
      <c r="C740"/>
      <c r="D740"/>
      <c r="E740"/>
      <c r="F740" s="664"/>
      <c r="G740" s="664"/>
    </row>
    <row r="741" spans="2:7" ht="15" customHeight="1" x14ac:dyDescent="0.35">
      <c r="B741" s="537"/>
      <c r="C741"/>
      <c r="D741"/>
      <c r="E741"/>
      <c r="F741" s="664"/>
      <c r="G741" s="664"/>
    </row>
    <row r="742" spans="2:7" ht="15" customHeight="1" x14ac:dyDescent="0.35">
      <c r="B742" s="537"/>
      <c r="C742"/>
      <c r="D742"/>
      <c r="E742"/>
      <c r="F742" s="664"/>
      <c r="G742" s="664"/>
    </row>
    <row r="743" spans="2:7" ht="15" customHeight="1" x14ac:dyDescent="0.35">
      <c r="B743" s="537"/>
      <c r="C743"/>
      <c r="D743"/>
      <c r="E743"/>
      <c r="F743" s="664"/>
      <c r="G743" s="664"/>
    </row>
    <row r="744" spans="2:7" ht="15" customHeight="1" x14ac:dyDescent="0.35">
      <c r="B744" s="537"/>
      <c r="C744"/>
      <c r="D744"/>
      <c r="E744"/>
      <c r="F744" s="664"/>
      <c r="G744" s="664"/>
    </row>
    <row r="745" spans="2:7" ht="15" customHeight="1" x14ac:dyDescent="0.35">
      <c r="B745" s="537"/>
      <c r="C745"/>
      <c r="D745"/>
      <c r="E745"/>
      <c r="F745" s="664"/>
      <c r="G745" s="664"/>
    </row>
    <row r="746" spans="2:7" ht="15" customHeight="1" x14ac:dyDescent="0.35">
      <c r="B746" s="537"/>
      <c r="C746"/>
      <c r="D746"/>
      <c r="E746"/>
      <c r="F746" s="664"/>
      <c r="G746" s="664"/>
    </row>
    <row r="747" spans="2:7" ht="15" customHeight="1" x14ac:dyDescent="0.35">
      <c r="B747" s="537"/>
      <c r="C747"/>
      <c r="D747"/>
      <c r="E747"/>
      <c r="F747" s="664"/>
      <c r="G747" s="664"/>
    </row>
    <row r="748" spans="2:7" ht="15" customHeight="1" x14ac:dyDescent="0.35">
      <c r="B748" s="537"/>
      <c r="C748"/>
      <c r="D748"/>
      <c r="E748"/>
      <c r="F748" s="664"/>
      <c r="G748" s="664"/>
    </row>
    <row r="749" spans="2:7" ht="15" customHeight="1" x14ac:dyDescent="0.35">
      <c r="B749" s="537"/>
      <c r="C749"/>
      <c r="D749"/>
      <c r="E749"/>
      <c r="F749" s="664"/>
      <c r="G749" s="664"/>
    </row>
    <row r="750" spans="2:7" ht="15" customHeight="1" x14ac:dyDescent="0.35">
      <c r="B750" s="537"/>
      <c r="C750"/>
      <c r="D750"/>
      <c r="E750"/>
      <c r="F750" s="664"/>
      <c r="G750" s="664"/>
    </row>
    <row r="751" spans="2:7" ht="15" customHeight="1" x14ac:dyDescent="0.35">
      <c r="B751" s="537"/>
      <c r="C751"/>
      <c r="D751"/>
      <c r="E751"/>
      <c r="F751" s="664"/>
      <c r="G751" s="664"/>
    </row>
    <row r="752" spans="2:7" ht="15" customHeight="1" x14ac:dyDescent="0.35">
      <c r="B752" s="537"/>
      <c r="C752"/>
      <c r="D752"/>
      <c r="E752"/>
      <c r="F752" s="664"/>
      <c r="G752" s="664"/>
    </row>
    <row r="753" spans="2:7" ht="15" customHeight="1" x14ac:dyDescent="0.35">
      <c r="B753" s="537"/>
      <c r="C753"/>
      <c r="D753"/>
      <c r="E753"/>
      <c r="F753" s="664"/>
      <c r="G753" s="664"/>
    </row>
    <row r="754" spans="2:7" ht="15" customHeight="1" x14ac:dyDescent="0.35">
      <c r="B754" s="537"/>
      <c r="C754"/>
      <c r="D754"/>
      <c r="E754"/>
      <c r="F754" s="664"/>
      <c r="G754" s="664"/>
    </row>
    <row r="755" spans="2:7" ht="15" customHeight="1" x14ac:dyDescent="0.35">
      <c r="B755" s="537"/>
      <c r="C755"/>
      <c r="D755"/>
      <c r="E755"/>
      <c r="F755" s="664"/>
      <c r="G755" s="664"/>
    </row>
    <row r="756" spans="2:7" ht="15" customHeight="1" x14ac:dyDescent="0.35">
      <c r="B756" s="537"/>
      <c r="C756"/>
      <c r="D756"/>
      <c r="E756"/>
      <c r="F756" s="664"/>
      <c r="G756" s="664"/>
    </row>
    <row r="757" spans="2:7" ht="15" customHeight="1" x14ac:dyDescent="0.35">
      <c r="B757" s="537"/>
      <c r="C757"/>
      <c r="D757"/>
      <c r="E757"/>
      <c r="F757" s="664"/>
      <c r="G757" s="664"/>
    </row>
    <row r="758" spans="2:7" ht="15" customHeight="1" x14ac:dyDescent="0.35">
      <c r="B758" s="537"/>
      <c r="C758"/>
      <c r="D758"/>
      <c r="E758"/>
      <c r="F758" s="664"/>
      <c r="G758" s="664"/>
    </row>
    <row r="759" spans="2:7" ht="15" customHeight="1" x14ac:dyDescent="0.35">
      <c r="B759" s="537"/>
      <c r="C759"/>
      <c r="D759"/>
      <c r="E759"/>
      <c r="F759" s="664"/>
      <c r="G759" s="664"/>
    </row>
    <row r="760" spans="2:7" ht="15" customHeight="1" x14ac:dyDescent="0.35">
      <c r="B760" s="537"/>
      <c r="C760"/>
      <c r="D760"/>
      <c r="E760"/>
      <c r="F760" s="664"/>
      <c r="G760" s="664"/>
    </row>
    <row r="761" spans="2:7" ht="15" customHeight="1" x14ac:dyDescent="0.35">
      <c r="B761" s="537"/>
      <c r="C761"/>
      <c r="D761"/>
      <c r="E761"/>
      <c r="F761" s="664"/>
      <c r="G761" s="664"/>
    </row>
    <row r="762" spans="2:7" ht="15" customHeight="1" x14ac:dyDescent="0.35">
      <c r="B762" s="537"/>
      <c r="C762"/>
      <c r="D762"/>
      <c r="E762"/>
      <c r="F762" s="664"/>
      <c r="G762" s="664"/>
    </row>
    <row r="763" spans="2:7" ht="15" customHeight="1" x14ac:dyDescent="0.35">
      <c r="B763" s="537"/>
      <c r="C763"/>
      <c r="D763"/>
      <c r="E763"/>
      <c r="F763" s="664"/>
      <c r="G763" s="664"/>
    </row>
    <row r="764" spans="2:7" ht="15" customHeight="1" x14ac:dyDescent="0.35">
      <c r="B764" s="537"/>
      <c r="C764"/>
      <c r="D764"/>
      <c r="E764"/>
      <c r="F764" s="664"/>
      <c r="G764" s="664"/>
    </row>
    <row r="765" spans="2:7" ht="15" customHeight="1" x14ac:dyDescent="0.35">
      <c r="B765" s="537"/>
      <c r="C765"/>
      <c r="D765"/>
      <c r="E765"/>
      <c r="F765" s="664"/>
      <c r="G765" s="664"/>
    </row>
    <row r="766" spans="2:7" ht="15" customHeight="1" x14ac:dyDescent="0.35">
      <c r="B766" s="537"/>
      <c r="C766"/>
      <c r="D766"/>
      <c r="E766"/>
      <c r="F766" s="664"/>
      <c r="G766" s="664"/>
    </row>
    <row r="767" spans="2:7" ht="15" customHeight="1" x14ac:dyDescent="0.35">
      <c r="B767" s="537"/>
      <c r="C767"/>
      <c r="D767"/>
      <c r="E767"/>
      <c r="F767" s="664"/>
      <c r="G767" s="664"/>
    </row>
    <row r="768" spans="2:7" ht="15" customHeight="1" x14ac:dyDescent="0.35">
      <c r="B768" s="537"/>
      <c r="C768"/>
      <c r="D768"/>
      <c r="E768"/>
      <c r="F768" s="664"/>
      <c r="G768" s="664"/>
    </row>
    <row r="769" spans="2:7" ht="15" customHeight="1" x14ac:dyDescent="0.35">
      <c r="B769" s="537"/>
      <c r="C769"/>
      <c r="D769"/>
      <c r="E769"/>
      <c r="F769" s="664"/>
      <c r="G769" s="664"/>
    </row>
    <row r="770" spans="2:7" ht="15" customHeight="1" x14ac:dyDescent="0.35">
      <c r="B770" s="537"/>
      <c r="C770"/>
      <c r="D770"/>
      <c r="E770"/>
      <c r="F770" s="664"/>
      <c r="G770" s="664"/>
    </row>
    <row r="771" spans="2:7" ht="15" customHeight="1" x14ac:dyDescent="0.35">
      <c r="B771" s="537"/>
      <c r="C771"/>
      <c r="D771"/>
      <c r="E771"/>
      <c r="F771" s="664"/>
      <c r="G771" s="664"/>
    </row>
    <row r="772" spans="2:7" ht="15" customHeight="1" x14ac:dyDescent="0.35">
      <c r="B772" s="537"/>
      <c r="C772"/>
      <c r="D772"/>
      <c r="E772"/>
      <c r="F772" s="664"/>
      <c r="G772" s="664"/>
    </row>
    <row r="773" spans="2:7" ht="15" customHeight="1" x14ac:dyDescent="0.35">
      <c r="B773" s="537"/>
      <c r="C773"/>
      <c r="D773"/>
      <c r="E773"/>
      <c r="F773" s="664"/>
      <c r="G773" s="664"/>
    </row>
    <row r="774" spans="2:7" ht="15" customHeight="1" x14ac:dyDescent="0.35">
      <c r="B774" s="537"/>
      <c r="C774"/>
      <c r="D774"/>
      <c r="E774"/>
      <c r="F774" s="664"/>
      <c r="G774" s="664"/>
    </row>
    <row r="775" spans="2:7" ht="15" customHeight="1" x14ac:dyDescent="0.35">
      <c r="B775" s="537"/>
      <c r="C775"/>
      <c r="D775"/>
      <c r="E775"/>
      <c r="F775" s="664"/>
      <c r="G775" s="664"/>
    </row>
    <row r="776" spans="2:7" ht="15" customHeight="1" x14ac:dyDescent="0.35">
      <c r="B776" s="537"/>
      <c r="C776"/>
      <c r="D776"/>
      <c r="E776"/>
      <c r="F776" s="664"/>
      <c r="G776" s="664"/>
    </row>
    <row r="777" spans="2:7" ht="15" customHeight="1" x14ac:dyDescent="0.35">
      <c r="B777" s="537"/>
      <c r="C777"/>
      <c r="D777"/>
      <c r="E777"/>
      <c r="F777" s="664"/>
      <c r="G777" s="664"/>
    </row>
    <row r="778" spans="2:7" ht="15" customHeight="1" x14ac:dyDescent="0.35">
      <c r="B778" s="537"/>
      <c r="C778"/>
      <c r="D778"/>
      <c r="E778"/>
      <c r="F778" s="664"/>
      <c r="G778" s="664"/>
    </row>
    <row r="779" spans="2:7" ht="15" customHeight="1" x14ac:dyDescent="0.35">
      <c r="B779" s="537"/>
      <c r="C779"/>
      <c r="D779"/>
      <c r="E779"/>
      <c r="F779" s="664"/>
      <c r="G779" s="664"/>
    </row>
    <row r="780" spans="2:7" ht="15" customHeight="1" x14ac:dyDescent="0.35">
      <c r="B780" s="537"/>
      <c r="C780"/>
      <c r="D780"/>
      <c r="E780"/>
      <c r="F780" s="664"/>
      <c r="G780" s="664"/>
    </row>
    <row r="781" spans="2:7" ht="15" customHeight="1" x14ac:dyDescent="0.35">
      <c r="B781" s="537"/>
      <c r="C781"/>
      <c r="D781"/>
      <c r="E781"/>
      <c r="F781" s="664"/>
      <c r="G781" s="664"/>
    </row>
    <row r="782" spans="2:7" ht="15" customHeight="1" x14ac:dyDescent="0.35">
      <c r="B782" s="537"/>
      <c r="C782"/>
      <c r="D782"/>
      <c r="E782"/>
      <c r="F782" s="664"/>
      <c r="G782" s="664"/>
    </row>
    <row r="783" spans="2:7" ht="15" customHeight="1" x14ac:dyDescent="0.35">
      <c r="B783" s="537"/>
      <c r="C783"/>
      <c r="D783"/>
      <c r="E783"/>
      <c r="F783" s="664"/>
      <c r="G783" s="664"/>
    </row>
    <row r="784" spans="2:7" ht="15" customHeight="1" x14ac:dyDescent="0.35">
      <c r="B784" s="537"/>
      <c r="C784"/>
      <c r="D784"/>
      <c r="E784"/>
      <c r="F784" s="664"/>
      <c r="G784" s="664"/>
    </row>
    <row r="785" spans="2:7" ht="15" customHeight="1" x14ac:dyDescent="0.35">
      <c r="B785" s="537"/>
      <c r="C785"/>
      <c r="D785"/>
      <c r="E785"/>
      <c r="F785" s="664"/>
      <c r="G785" s="664"/>
    </row>
    <row r="786" spans="2:7" ht="15" customHeight="1" x14ac:dyDescent="0.35">
      <c r="B786" s="537"/>
      <c r="C786"/>
      <c r="D786"/>
      <c r="E786"/>
      <c r="F786" s="664"/>
      <c r="G786" s="664"/>
    </row>
    <row r="787" spans="2:7" ht="15" customHeight="1" x14ac:dyDescent="0.35">
      <c r="B787" s="537"/>
      <c r="C787"/>
      <c r="D787"/>
      <c r="E787"/>
      <c r="F787" s="664"/>
      <c r="G787" s="664"/>
    </row>
    <row r="788" spans="2:7" ht="15" customHeight="1" x14ac:dyDescent="0.35">
      <c r="B788" s="537"/>
      <c r="C788"/>
      <c r="D788"/>
      <c r="E788"/>
      <c r="F788" s="664"/>
      <c r="G788" s="664"/>
    </row>
    <row r="789" spans="2:7" ht="15" customHeight="1" x14ac:dyDescent="0.35">
      <c r="B789" s="537"/>
      <c r="C789"/>
      <c r="D789"/>
      <c r="E789"/>
      <c r="F789" s="664"/>
      <c r="G789" s="664"/>
    </row>
    <row r="790" spans="2:7" ht="15" customHeight="1" x14ac:dyDescent="0.35">
      <c r="B790" s="537"/>
      <c r="C790"/>
      <c r="D790"/>
      <c r="E790"/>
      <c r="F790" s="664"/>
      <c r="G790" s="664"/>
    </row>
    <row r="791" spans="2:7" ht="15" customHeight="1" x14ac:dyDescent="0.35">
      <c r="B791" s="537"/>
      <c r="C791"/>
      <c r="D791"/>
      <c r="E791"/>
      <c r="F791" s="664"/>
      <c r="G791" s="664"/>
    </row>
    <row r="792" spans="2:7" ht="15" customHeight="1" x14ac:dyDescent="0.35">
      <c r="B792" s="537"/>
      <c r="C792"/>
      <c r="D792"/>
      <c r="E792"/>
      <c r="F792" s="664"/>
      <c r="G792" s="664"/>
    </row>
    <row r="793" spans="2:7" ht="15" customHeight="1" x14ac:dyDescent="0.35">
      <c r="B793" s="537"/>
      <c r="C793"/>
      <c r="D793"/>
      <c r="E793"/>
      <c r="F793" s="664"/>
      <c r="G793" s="664"/>
    </row>
    <row r="794" spans="2:7" ht="15" customHeight="1" x14ac:dyDescent="0.35">
      <c r="B794" s="537"/>
      <c r="C794"/>
      <c r="D794"/>
      <c r="E794"/>
      <c r="F794" s="664"/>
      <c r="G794" s="664"/>
    </row>
    <row r="795" spans="2:7" ht="15" customHeight="1" x14ac:dyDescent="0.35">
      <c r="B795" s="537"/>
      <c r="C795"/>
      <c r="D795"/>
      <c r="E795"/>
      <c r="F795" s="664"/>
      <c r="G795" s="664"/>
    </row>
    <row r="796" spans="2:7" ht="15" customHeight="1" x14ac:dyDescent="0.35">
      <c r="B796" s="537"/>
      <c r="C796"/>
      <c r="D796"/>
      <c r="E796"/>
      <c r="F796" s="664"/>
      <c r="G796" s="664"/>
    </row>
    <row r="797" spans="2:7" ht="15" customHeight="1" x14ac:dyDescent="0.35">
      <c r="B797" s="537"/>
      <c r="C797"/>
      <c r="D797"/>
      <c r="E797"/>
      <c r="F797" s="664"/>
      <c r="G797" s="664"/>
    </row>
    <row r="798" spans="2:7" ht="15" customHeight="1" x14ac:dyDescent="0.35">
      <c r="B798" s="537"/>
      <c r="C798"/>
      <c r="D798"/>
      <c r="E798"/>
      <c r="F798" s="664"/>
      <c r="G798" s="664"/>
    </row>
    <row r="799" spans="2:7" ht="15" customHeight="1" x14ac:dyDescent="0.35">
      <c r="B799" s="537"/>
      <c r="C799"/>
      <c r="D799"/>
      <c r="E799"/>
      <c r="F799" s="664"/>
      <c r="G799" s="664"/>
    </row>
    <row r="800" spans="2:7" ht="15" customHeight="1" x14ac:dyDescent="0.35">
      <c r="B800" s="537"/>
      <c r="C800"/>
      <c r="D800"/>
      <c r="E800"/>
      <c r="F800" s="664"/>
      <c r="G800" s="664"/>
    </row>
    <row r="801" spans="2:7" ht="15" customHeight="1" x14ac:dyDescent="0.35">
      <c r="B801" s="537"/>
      <c r="C801"/>
      <c r="D801"/>
      <c r="E801"/>
      <c r="F801" s="664"/>
      <c r="G801" s="664"/>
    </row>
    <row r="802" spans="2:7" ht="15" customHeight="1" x14ac:dyDescent="0.35">
      <c r="B802" s="537"/>
      <c r="C802"/>
      <c r="D802"/>
      <c r="E802"/>
      <c r="F802" s="664"/>
      <c r="G802" s="664"/>
    </row>
    <row r="803" spans="2:7" ht="15" customHeight="1" x14ac:dyDescent="0.35">
      <c r="B803" s="537"/>
      <c r="C803"/>
      <c r="D803"/>
      <c r="E803"/>
      <c r="F803" s="664"/>
      <c r="G803" s="664"/>
    </row>
    <row r="804" spans="2:7" ht="15" customHeight="1" x14ac:dyDescent="0.35">
      <c r="B804" s="537"/>
      <c r="C804"/>
      <c r="D804"/>
      <c r="E804"/>
      <c r="F804" s="664"/>
      <c r="G804" s="664"/>
    </row>
    <row r="805" spans="2:7" ht="15" customHeight="1" x14ac:dyDescent="0.35">
      <c r="B805" s="537"/>
      <c r="C805"/>
      <c r="D805"/>
      <c r="E805"/>
      <c r="F805" s="664"/>
      <c r="G805" s="664"/>
    </row>
    <row r="806" spans="2:7" ht="15" customHeight="1" x14ac:dyDescent="0.35">
      <c r="B806" s="537"/>
      <c r="C806"/>
      <c r="D806"/>
      <c r="E806"/>
      <c r="F806" s="664"/>
      <c r="G806" s="664"/>
    </row>
    <row r="807" spans="2:7" ht="15" customHeight="1" x14ac:dyDescent="0.35">
      <c r="B807" s="537"/>
      <c r="C807"/>
      <c r="D807"/>
      <c r="E807"/>
      <c r="F807" s="664"/>
      <c r="G807" s="664"/>
    </row>
    <row r="808" spans="2:7" ht="15" customHeight="1" x14ac:dyDescent="0.35">
      <c r="B808" s="537"/>
      <c r="C808"/>
      <c r="D808"/>
      <c r="E808"/>
      <c r="F808" s="664"/>
      <c r="G808" s="664"/>
    </row>
    <row r="809" spans="2:7" ht="15" customHeight="1" x14ac:dyDescent="0.35">
      <c r="B809" s="537"/>
      <c r="C809"/>
      <c r="D809"/>
      <c r="E809"/>
      <c r="F809" s="664"/>
      <c r="G809" s="664"/>
    </row>
    <row r="810" spans="2:7" ht="15" customHeight="1" x14ac:dyDescent="0.35">
      <c r="B810" s="537"/>
      <c r="C810"/>
      <c r="D810"/>
      <c r="E810"/>
      <c r="F810" s="664"/>
      <c r="G810" s="664"/>
    </row>
    <row r="811" spans="2:7" ht="15" customHeight="1" x14ac:dyDescent="0.35">
      <c r="B811" s="537"/>
      <c r="C811"/>
      <c r="D811"/>
      <c r="E811"/>
      <c r="F811" s="664"/>
      <c r="G811" s="664"/>
    </row>
    <row r="812" spans="2:7" ht="15" customHeight="1" x14ac:dyDescent="0.35">
      <c r="B812" s="537"/>
      <c r="C812"/>
      <c r="D812"/>
      <c r="E812"/>
      <c r="F812" s="664"/>
      <c r="G812" s="664"/>
    </row>
    <row r="813" spans="2:7" ht="15" customHeight="1" x14ac:dyDescent="0.35">
      <c r="B813" s="537"/>
      <c r="C813"/>
      <c r="D813"/>
      <c r="E813"/>
      <c r="F813" s="664"/>
      <c r="G813" s="664"/>
    </row>
    <row r="814" spans="2:7" ht="15" customHeight="1" x14ac:dyDescent="0.35">
      <c r="B814" s="537"/>
      <c r="C814"/>
      <c r="D814"/>
      <c r="E814"/>
      <c r="F814" s="664"/>
      <c r="G814" s="664"/>
    </row>
    <row r="815" spans="2:7" ht="15" customHeight="1" x14ac:dyDescent="0.35">
      <c r="B815" s="537"/>
      <c r="C815"/>
      <c r="D815"/>
      <c r="E815"/>
      <c r="F815" s="664"/>
      <c r="G815" s="664"/>
    </row>
    <row r="816" spans="2:7" ht="15" customHeight="1" x14ac:dyDescent="0.35">
      <c r="B816" s="537"/>
      <c r="C816"/>
      <c r="D816"/>
      <c r="E816"/>
      <c r="F816" s="664"/>
      <c r="G816" s="664"/>
    </row>
    <row r="817" spans="2:7" ht="15" customHeight="1" x14ac:dyDescent="0.35">
      <c r="B817" s="537"/>
      <c r="C817"/>
      <c r="D817"/>
      <c r="E817"/>
      <c r="F817" s="664"/>
      <c r="G817" s="664"/>
    </row>
    <row r="818" spans="2:7" ht="15" customHeight="1" x14ac:dyDescent="0.35">
      <c r="B818" s="537"/>
      <c r="C818"/>
      <c r="D818"/>
      <c r="E818"/>
      <c r="F818" s="664"/>
      <c r="G818" s="664"/>
    </row>
    <row r="819" spans="2:7" ht="15" customHeight="1" x14ac:dyDescent="0.35">
      <c r="B819" s="537"/>
      <c r="C819"/>
      <c r="D819"/>
      <c r="E819"/>
      <c r="F819" s="664"/>
      <c r="G819" s="664"/>
    </row>
    <row r="820" spans="2:7" ht="15" customHeight="1" x14ac:dyDescent="0.35">
      <c r="B820" s="537"/>
      <c r="C820"/>
      <c r="D820"/>
      <c r="E820"/>
      <c r="F820" s="664"/>
      <c r="G820" s="664"/>
    </row>
    <row r="821" spans="2:7" ht="15" customHeight="1" x14ac:dyDescent="0.35">
      <c r="B821" s="537"/>
      <c r="C821"/>
      <c r="D821"/>
      <c r="E821"/>
      <c r="F821" s="664"/>
      <c r="G821" s="664"/>
    </row>
    <row r="822" spans="2:7" ht="15" customHeight="1" x14ac:dyDescent="0.35">
      <c r="B822" s="537"/>
      <c r="C822"/>
      <c r="D822"/>
      <c r="E822"/>
      <c r="F822" s="664"/>
      <c r="G822" s="664"/>
    </row>
    <row r="823" spans="2:7" ht="15" customHeight="1" x14ac:dyDescent="0.35">
      <c r="B823" s="537"/>
      <c r="C823"/>
      <c r="D823"/>
      <c r="E823"/>
      <c r="F823" s="664"/>
      <c r="G823" s="664"/>
    </row>
    <row r="824" spans="2:7" ht="15" customHeight="1" x14ac:dyDescent="0.35">
      <c r="B824" s="537"/>
      <c r="C824"/>
      <c r="D824"/>
      <c r="E824"/>
      <c r="F824" s="664"/>
      <c r="G824" s="664"/>
    </row>
    <row r="825" spans="2:7" ht="15" customHeight="1" x14ac:dyDescent="0.35">
      <c r="B825" s="537"/>
      <c r="C825"/>
      <c r="D825"/>
      <c r="E825"/>
      <c r="F825" s="664"/>
      <c r="G825" s="664"/>
    </row>
    <row r="826" spans="2:7" ht="15" customHeight="1" x14ac:dyDescent="0.35">
      <c r="B826" s="537"/>
      <c r="C826"/>
      <c r="D826"/>
      <c r="E826"/>
      <c r="F826" s="664"/>
      <c r="G826" s="664"/>
    </row>
    <row r="827" spans="2:7" ht="15" customHeight="1" x14ac:dyDescent="0.35">
      <c r="B827" s="537"/>
      <c r="C827"/>
      <c r="D827"/>
      <c r="E827"/>
      <c r="F827" s="664"/>
      <c r="G827" s="664"/>
    </row>
    <row r="828" spans="2:7" ht="15" customHeight="1" x14ac:dyDescent="0.35">
      <c r="B828" s="537"/>
      <c r="C828"/>
      <c r="D828"/>
      <c r="E828"/>
      <c r="F828" s="664"/>
      <c r="G828" s="664"/>
    </row>
    <row r="829" spans="2:7" ht="15" customHeight="1" x14ac:dyDescent="0.35">
      <c r="B829" s="537"/>
      <c r="C829"/>
      <c r="D829"/>
      <c r="E829"/>
      <c r="F829" s="664"/>
      <c r="G829" s="664"/>
    </row>
    <row r="830" spans="2:7" ht="15" customHeight="1" x14ac:dyDescent="0.35">
      <c r="B830" s="537"/>
      <c r="C830"/>
      <c r="D830"/>
      <c r="E830"/>
      <c r="F830" s="664"/>
      <c r="G830" s="664"/>
    </row>
    <row r="831" spans="2:7" ht="15" customHeight="1" x14ac:dyDescent="0.35">
      <c r="B831" s="537"/>
      <c r="C831"/>
      <c r="D831"/>
      <c r="E831"/>
      <c r="F831" s="664"/>
      <c r="G831" s="664"/>
    </row>
    <row r="832" spans="2:7" ht="15" customHeight="1" x14ac:dyDescent="0.35">
      <c r="B832" s="537"/>
      <c r="C832"/>
      <c r="D832"/>
      <c r="E832"/>
      <c r="F832" s="664"/>
      <c r="G832" s="664"/>
    </row>
    <row r="833" spans="2:7" ht="15" customHeight="1" x14ac:dyDescent="0.35">
      <c r="B833" s="537"/>
      <c r="C833"/>
      <c r="D833"/>
      <c r="E833"/>
      <c r="F833" s="664"/>
      <c r="G833" s="664"/>
    </row>
    <row r="834" spans="2:7" ht="15" customHeight="1" x14ac:dyDescent="0.35">
      <c r="B834" s="537"/>
      <c r="C834"/>
      <c r="D834"/>
      <c r="E834"/>
      <c r="F834" s="664"/>
      <c r="G834" s="664"/>
    </row>
    <row r="835" spans="2:7" ht="15" customHeight="1" x14ac:dyDescent="0.35">
      <c r="B835" s="537"/>
      <c r="C835"/>
      <c r="D835"/>
      <c r="E835"/>
      <c r="F835" s="664"/>
      <c r="G835" s="664"/>
    </row>
    <row r="836" spans="2:7" ht="15" customHeight="1" x14ac:dyDescent="0.35">
      <c r="B836" s="537"/>
      <c r="C836"/>
      <c r="D836"/>
      <c r="E836"/>
      <c r="F836" s="664"/>
      <c r="G836" s="664"/>
    </row>
    <row r="837" spans="2:7" ht="15" customHeight="1" x14ac:dyDescent="0.35">
      <c r="B837" s="537"/>
      <c r="C837"/>
      <c r="D837"/>
      <c r="E837"/>
      <c r="F837" s="664"/>
      <c r="G837" s="664"/>
    </row>
    <row r="838" spans="2:7" ht="15" customHeight="1" x14ac:dyDescent="0.35">
      <c r="B838" s="537"/>
      <c r="C838"/>
      <c r="D838"/>
      <c r="E838"/>
      <c r="F838" s="664"/>
      <c r="G838" s="664"/>
    </row>
    <row r="839" spans="2:7" ht="15" customHeight="1" x14ac:dyDescent="0.35">
      <c r="B839" s="537"/>
      <c r="C839"/>
      <c r="D839"/>
      <c r="E839"/>
      <c r="F839" s="664"/>
      <c r="G839" s="664"/>
    </row>
    <row r="840" spans="2:7" ht="15" customHeight="1" x14ac:dyDescent="0.35">
      <c r="B840" s="537"/>
      <c r="C840"/>
      <c r="D840"/>
      <c r="E840"/>
      <c r="F840" s="664"/>
      <c r="G840" s="664"/>
    </row>
    <row r="841" spans="2:7" ht="15" customHeight="1" x14ac:dyDescent="0.35">
      <c r="B841" s="537"/>
      <c r="C841"/>
      <c r="D841"/>
      <c r="E841"/>
      <c r="F841" s="664"/>
      <c r="G841" s="664"/>
    </row>
    <row r="842" spans="2:7" ht="15" customHeight="1" x14ac:dyDescent="0.35">
      <c r="B842" s="537"/>
      <c r="C842"/>
      <c r="D842"/>
      <c r="E842"/>
      <c r="F842" s="664"/>
      <c r="G842" s="664"/>
    </row>
    <row r="843" spans="2:7" ht="15" customHeight="1" x14ac:dyDescent="0.35">
      <c r="B843" s="537"/>
      <c r="C843"/>
      <c r="D843"/>
      <c r="E843"/>
      <c r="F843" s="664"/>
      <c r="G843" s="664"/>
    </row>
    <row r="844" spans="2:7" ht="15" customHeight="1" x14ac:dyDescent="0.35">
      <c r="B844" s="537"/>
      <c r="C844"/>
      <c r="D844"/>
      <c r="E844"/>
      <c r="F844" s="664"/>
      <c r="G844" s="664"/>
    </row>
    <row r="845" spans="2:7" ht="15" customHeight="1" x14ac:dyDescent="0.35">
      <c r="B845" s="537"/>
      <c r="C845"/>
      <c r="D845"/>
      <c r="E845"/>
      <c r="F845" s="664"/>
      <c r="G845" s="664"/>
    </row>
    <row r="846" spans="2:7" ht="15" customHeight="1" x14ac:dyDescent="0.35">
      <c r="B846" s="537"/>
      <c r="C846"/>
      <c r="D846"/>
      <c r="E846"/>
      <c r="F846" s="664"/>
      <c r="G846" s="664"/>
    </row>
    <row r="847" spans="2:7" ht="15" customHeight="1" x14ac:dyDescent="0.35">
      <c r="B847" s="537"/>
      <c r="C847"/>
      <c r="D847"/>
      <c r="E847"/>
      <c r="F847" s="664"/>
      <c r="G847" s="664"/>
    </row>
    <row r="848" spans="2:7" ht="15" customHeight="1" x14ac:dyDescent="0.35">
      <c r="B848" s="537"/>
      <c r="C848"/>
      <c r="D848"/>
      <c r="E848"/>
      <c r="F848" s="664"/>
      <c r="G848" s="664"/>
    </row>
    <row r="849" spans="2:7" ht="15" customHeight="1" x14ac:dyDescent="0.35">
      <c r="B849" s="537"/>
      <c r="C849"/>
      <c r="D849"/>
      <c r="E849"/>
      <c r="F849" s="664"/>
      <c r="G849" s="664"/>
    </row>
    <row r="850" spans="2:7" ht="15" customHeight="1" x14ac:dyDescent="0.35">
      <c r="B850" s="537"/>
      <c r="C850"/>
      <c r="D850"/>
      <c r="E850"/>
      <c r="F850" s="664"/>
      <c r="G850" s="664"/>
    </row>
    <row r="851" spans="2:7" ht="15" customHeight="1" x14ac:dyDescent="0.35">
      <c r="B851" s="537"/>
      <c r="C851"/>
      <c r="D851"/>
      <c r="E851"/>
      <c r="F851" s="664"/>
      <c r="G851" s="664"/>
    </row>
    <row r="852" spans="2:7" ht="15" customHeight="1" x14ac:dyDescent="0.35">
      <c r="B852" s="537"/>
      <c r="C852"/>
      <c r="D852"/>
      <c r="E852"/>
      <c r="F852" s="664"/>
      <c r="G852" s="664"/>
    </row>
    <row r="853" spans="2:7" ht="15" customHeight="1" x14ac:dyDescent="0.35">
      <c r="B853" s="537"/>
      <c r="C853"/>
      <c r="D853"/>
      <c r="E853"/>
      <c r="F853" s="664"/>
      <c r="G853" s="664"/>
    </row>
    <row r="854" spans="2:7" ht="15" customHeight="1" x14ac:dyDescent="0.35">
      <c r="B854" s="537"/>
      <c r="C854"/>
      <c r="D854"/>
      <c r="E854"/>
      <c r="F854" s="664"/>
      <c r="G854" s="664"/>
    </row>
    <row r="855" spans="2:7" ht="15" customHeight="1" x14ac:dyDescent="0.35">
      <c r="B855" s="537"/>
      <c r="C855"/>
      <c r="D855"/>
      <c r="E855"/>
      <c r="F855" s="664"/>
      <c r="G855" s="664"/>
    </row>
    <row r="856" spans="2:7" ht="15" customHeight="1" x14ac:dyDescent="0.35">
      <c r="B856" s="537"/>
      <c r="C856"/>
      <c r="D856"/>
      <c r="E856"/>
      <c r="F856" s="664"/>
      <c r="G856" s="664"/>
    </row>
    <row r="857" spans="2:7" ht="15" customHeight="1" x14ac:dyDescent="0.35">
      <c r="B857" s="537"/>
      <c r="C857"/>
      <c r="D857"/>
      <c r="E857"/>
      <c r="F857" s="664"/>
      <c r="G857" s="664"/>
    </row>
    <row r="858" spans="2:7" ht="15" customHeight="1" x14ac:dyDescent="0.35">
      <c r="B858" s="537"/>
      <c r="C858"/>
      <c r="D858"/>
      <c r="E858"/>
      <c r="F858" s="664"/>
      <c r="G858" s="664"/>
    </row>
    <row r="859" spans="2:7" ht="15" customHeight="1" x14ac:dyDescent="0.35">
      <c r="B859" s="537"/>
      <c r="C859"/>
      <c r="D859"/>
      <c r="E859"/>
      <c r="F859" s="664"/>
      <c r="G859" s="664"/>
    </row>
    <row r="860" spans="2:7" ht="15" customHeight="1" x14ac:dyDescent="0.35">
      <c r="B860" s="537"/>
      <c r="C860"/>
      <c r="D860"/>
      <c r="E860"/>
      <c r="F860" s="664"/>
      <c r="G860" s="664"/>
    </row>
    <row r="861" spans="2:7" ht="15" customHeight="1" x14ac:dyDescent="0.35">
      <c r="B861" s="537"/>
      <c r="C861"/>
      <c r="D861"/>
      <c r="E861"/>
      <c r="F861" s="664"/>
      <c r="G861" s="664"/>
    </row>
    <row r="862" spans="2:7" ht="15" customHeight="1" x14ac:dyDescent="0.35">
      <c r="B862" s="537"/>
      <c r="C862"/>
      <c r="D862"/>
      <c r="E862"/>
      <c r="F862" s="664"/>
      <c r="G862" s="664"/>
    </row>
    <row r="863" spans="2:7" ht="15" customHeight="1" x14ac:dyDescent="0.35">
      <c r="B863" s="537"/>
      <c r="C863"/>
      <c r="D863"/>
      <c r="E863"/>
      <c r="F863" s="664"/>
      <c r="G863" s="664"/>
    </row>
    <row r="864" spans="2:7" ht="15" customHeight="1" x14ac:dyDescent="0.35">
      <c r="B864" s="537"/>
      <c r="C864"/>
      <c r="D864"/>
      <c r="E864"/>
      <c r="F864" s="664"/>
      <c r="G864" s="664"/>
    </row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  <row r="1002" ht="15" customHeight="1" x14ac:dyDescent="0.35"/>
    <row r="1003" ht="15" customHeight="1" x14ac:dyDescent="0.35"/>
    <row r="1004" ht="15" customHeight="1" x14ac:dyDescent="0.35"/>
    <row r="1005" ht="15" customHeight="1" x14ac:dyDescent="0.35"/>
    <row r="1006" ht="15" customHeight="1" x14ac:dyDescent="0.35"/>
    <row r="1007" ht="15" customHeight="1" x14ac:dyDescent="0.35"/>
    <row r="1008" ht="15" customHeight="1" x14ac:dyDescent="0.35"/>
    <row r="1009" ht="15" customHeight="1" x14ac:dyDescent="0.35"/>
    <row r="1010" ht="15" customHeight="1" x14ac:dyDescent="0.35"/>
    <row r="1011" ht="15" customHeight="1" x14ac:dyDescent="0.35"/>
    <row r="1012" ht="15" customHeight="1" x14ac:dyDescent="0.35"/>
    <row r="1013" ht="15" customHeight="1" x14ac:dyDescent="0.35"/>
    <row r="1014" ht="15" customHeight="1" x14ac:dyDescent="0.35"/>
    <row r="1015" ht="15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5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5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5" customHeight="1" x14ac:dyDescent="0.35"/>
    <row r="1054" ht="15" customHeight="1" x14ac:dyDescent="0.35"/>
    <row r="1055" ht="15" customHeight="1" x14ac:dyDescent="0.35"/>
    <row r="1056" ht="15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ht="15" customHeight="1" x14ac:dyDescent="0.35"/>
    <row r="1074" ht="15" customHeight="1" x14ac:dyDescent="0.35"/>
    <row r="1075" ht="15" customHeight="1" x14ac:dyDescent="0.35"/>
    <row r="1076" ht="15" customHeight="1" x14ac:dyDescent="0.35"/>
    <row r="1077" ht="15" customHeight="1" x14ac:dyDescent="0.35"/>
    <row r="1078" ht="15" customHeight="1" x14ac:dyDescent="0.35"/>
    <row r="1079" ht="15" customHeight="1" x14ac:dyDescent="0.35"/>
    <row r="1080" ht="15" customHeight="1" x14ac:dyDescent="0.35"/>
    <row r="1081" ht="15" customHeight="1" x14ac:dyDescent="0.35"/>
    <row r="1082" ht="15" customHeight="1" x14ac:dyDescent="0.35"/>
    <row r="1083" ht="15" customHeight="1" x14ac:dyDescent="0.35"/>
    <row r="1084" ht="15" customHeight="1" x14ac:dyDescent="0.35"/>
    <row r="1085" ht="15" customHeight="1" x14ac:dyDescent="0.35"/>
    <row r="1086" ht="15" customHeight="1" x14ac:dyDescent="0.35"/>
    <row r="1087" ht="15" customHeight="1" x14ac:dyDescent="0.35"/>
    <row r="1088" ht="15" customHeight="1" x14ac:dyDescent="0.35"/>
    <row r="1089" ht="15" customHeight="1" x14ac:dyDescent="0.35"/>
    <row r="1090" ht="15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5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5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5" customHeight="1" x14ac:dyDescent="0.35"/>
    <row r="1125" ht="15" customHeight="1" x14ac:dyDescent="0.35"/>
    <row r="1126" ht="15" customHeight="1" x14ac:dyDescent="0.35"/>
    <row r="1127" ht="15" customHeight="1" x14ac:dyDescent="0.35"/>
    <row r="1128" ht="15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5" customHeight="1" x14ac:dyDescent="0.35"/>
    <row r="1159" ht="15" customHeight="1" x14ac:dyDescent="0.35"/>
    <row r="1160" ht="15" customHeight="1" x14ac:dyDescent="0.35"/>
    <row r="1161" ht="15" customHeight="1" x14ac:dyDescent="0.35"/>
    <row r="1162" ht="15" customHeight="1" x14ac:dyDescent="0.35"/>
    <row r="1163" ht="15" customHeight="1" x14ac:dyDescent="0.35"/>
    <row r="1164" ht="15" customHeight="1" x14ac:dyDescent="0.35"/>
    <row r="1165" ht="15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5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5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5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5" customHeight="1" x14ac:dyDescent="0.35"/>
    <row r="1221" ht="15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5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5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5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5" customHeight="1" x14ac:dyDescent="0.35"/>
    <row r="1257" ht="15" customHeight="1" x14ac:dyDescent="0.35"/>
    <row r="1258" ht="15" customHeight="1" x14ac:dyDescent="0.35"/>
    <row r="1259" ht="15" customHeight="1" x14ac:dyDescent="0.35"/>
    <row r="1260" ht="15" customHeight="1" x14ac:dyDescent="0.35"/>
    <row r="1261" ht="15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5" customHeight="1" x14ac:dyDescent="0.35"/>
    <row r="1291" ht="15" customHeight="1" x14ac:dyDescent="0.35"/>
    <row r="1292" ht="15" customHeight="1" x14ac:dyDescent="0.35"/>
    <row r="1293" ht="15" customHeight="1" x14ac:dyDescent="0.35"/>
    <row r="1294" ht="15" customHeight="1" x14ac:dyDescent="0.35"/>
    <row r="1295" ht="15" customHeight="1" x14ac:dyDescent="0.35"/>
    <row r="1296" ht="15" customHeight="1" x14ac:dyDescent="0.35"/>
    <row r="1297" ht="15" customHeight="1" x14ac:dyDescent="0.35"/>
    <row r="1298" ht="15" customHeight="1" x14ac:dyDescent="0.35"/>
    <row r="1299" ht="15" customHeight="1" x14ac:dyDescent="0.35"/>
    <row r="1300" ht="15" customHeight="1" x14ac:dyDescent="0.35"/>
    <row r="1301" ht="15" customHeight="1" x14ac:dyDescent="0.35"/>
    <row r="1302" ht="15" customHeight="1" x14ac:dyDescent="0.35"/>
    <row r="1303" ht="15" customHeight="1" x14ac:dyDescent="0.35"/>
    <row r="1304" ht="15" customHeight="1" x14ac:dyDescent="0.35"/>
    <row r="1305" ht="15" customHeight="1" x14ac:dyDescent="0.35"/>
    <row r="1306" ht="15" customHeight="1" x14ac:dyDescent="0.35"/>
    <row r="1307" ht="15" customHeight="1" x14ac:dyDescent="0.35"/>
    <row r="1308" ht="15" customHeight="1" x14ac:dyDescent="0.35"/>
    <row r="1309" ht="15" customHeight="1" x14ac:dyDescent="0.35"/>
    <row r="1310" ht="15" customHeight="1" x14ac:dyDescent="0.35"/>
    <row r="1311" ht="15" customHeight="1" x14ac:dyDescent="0.35"/>
    <row r="1312" ht="15" customHeight="1" x14ac:dyDescent="0.35"/>
    <row r="1313" ht="15" customHeight="1" x14ac:dyDescent="0.35"/>
    <row r="1314" ht="15" customHeight="1" x14ac:dyDescent="0.35"/>
    <row r="1315" ht="15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5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5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5" customHeight="1" x14ac:dyDescent="0.35"/>
    <row r="1360" ht="15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5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5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5" customHeight="1" x14ac:dyDescent="0.35"/>
    <row r="1378" ht="15" customHeight="1" x14ac:dyDescent="0.35"/>
    <row r="1379" ht="15" customHeight="1" x14ac:dyDescent="0.35"/>
    <row r="1380" ht="15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5" customHeight="1" x14ac:dyDescent="0.35"/>
    <row r="1410" ht="15" customHeight="1" x14ac:dyDescent="0.35"/>
    <row r="1411" ht="15" customHeight="1" x14ac:dyDescent="0.35"/>
    <row r="1412" ht="15" customHeight="1" x14ac:dyDescent="0.35"/>
    <row r="1413" ht="15" customHeight="1" x14ac:dyDescent="0.35"/>
    <row r="1414" ht="15" customHeight="1" x14ac:dyDescent="0.35"/>
    <row r="1415" ht="15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5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5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5" customHeight="1" x14ac:dyDescent="0.35"/>
    <row r="1460" ht="15" customHeight="1" x14ac:dyDescent="0.35"/>
    <row r="1461" ht="15" customHeight="1" x14ac:dyDescent="0.35"/>
    <row r="1462" ht="15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5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5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5" customHeight="1" x14ac:dyDescent="0.35"/>
    <row r="1481" ht="15" customHeight="1" x14ac:dyDescent="0.35"/>
    <row r="1482" ht="15" customHeight="1" x14ac:dyDescent="0.35"/>
    <row r="1483" ht="15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14" ht="15" customHeight="1" x14ac:dyDescent="0.35"/>
    <row r="1515" ht="15" customHeight="1" x14ac:dyDescent="0.35"/>
    <row r="1516" ht="15" customHeight="1" x14ac:dyDescent="0.35"/>
    <row r="1517" ht="15" customHeight="1" x14ac:dyDescent="0.35"/>
    <row r="1518" ht="15" customHeight="1" x14ac:dyDescent="0.35"/>
    <row r="1519" ht="15" customHeight="1" x14ac:dyDescent="0.35"/>
    <row r="1520" ht="15" customHeight="1" x14ac:dyDescent="0.35"/>
    <row r="1521" ht="15" customHeight="1" x14ac:dyDescent="0.35"/>
    <row r="1522" ht="15" customHeight="1" x14ac:dyDescent="0.35"/>
    <row r="1523" ht="15" customHeight="1" x14ac:dyDescent="0.35"/>
    <row r="1524" ht="15" customHeight="1" x14ac:dyDescent="0.35"/>
    <row r="1525" ht="15" customHeight="1" x14ac:dyDescent="0.35"/>
    <row r="1526" ht="15" customHeight="1" x14ac:dyDescent="0.35"/>
    <row r="1527" ht="15" customHeight="1" x14ac:dyDescent="0.35"/>
    <row r="1528" ht="15" customHeight="1" x14ac:dyDescent="0.35"/>
    <row r="1529" ht="15" customHeight="1" x14ac:dyDescent="0.35"/>
    <row r="1530" ht="15" customHeight="1" x14ac:dyDescent="0.35"/>
    <row r="1531" ht="15" customHeight="1" x14ac:dyDescent="0.35"/>
    <row r="1532" ht="15" customHeight="1" x14ac:dyDescent="0.35"/>
    <row r="1533" ht="15" customHeight="1" x14ac:dyDescent="0.35"/>
    <row r="1534" ht="15" customHeight="1" x14ac:dyDescent="0.35"/>
    <row r="1535" ht="15" customHeight="1" x14ac:dyDescent="0.35"/>
    <row r="1536" ht="15" customHeight="1" x14ac:dyDescent="0.35"/>
    <row r="1537" ht="15" customHeight="1" x14ac:dyDescent="0.35"/>
    <row r="1538" ht="15" customHeight="1" x14ac:dyDescent="0.35"/>
    <row r="1539" ht="15" customHeight="1" x14ac:dyDescent="0.35"/>
    <row r="1540" ht="15" customHeight="1" x14ac:dyDescent="0.35"/>
    <row r="1541" ht="15" customHeight="1" x14ac:dyDescent="0.35"/>
    <row r="1542" ht="15" customHeight="1" x14ac:dyDescent="0.35"/>
    <row r="1543" ht="15" customHeight="1" x14ac:dyDescent="0.35"/>
    <row r="1544" ht="15" customHeight="1" x14ac:dyDescent="0.35"/>
    <row r="1545" ht="15" customHeight="1" x14ac:dyDescent="0.35"/>
    <row r="1546" ht="15" customHeight="1" x14ac:dyDescent="0.35"/>
    <row r="1547" ht="15" customHeight="1" x14ac:dyDescent="0.35"/>
    <row r="1548" ht="15" customHeight="1" x14ac:dyDescent="0.35"/>
    <row r="1549" ht="15" customHeight="1" x14ac:dyDescent="0.35"/>
    <row r="1550" ht="15" customHeight="1" x14ac:dyDescent="0.35"/>
    <row r="1551" ht="15" customHeight="1" x14ac:dyDescent="0.35"/>
    <row r="1552" ht="15" customHeight="1" x14ac:dyDescent="0.35"/>
    <row r="1553" ht="15" customHeight="1" x14ac:dyDescent="0.35"/>
    <row r="1554" ht="15" customHeight="1" x14ac:dyDescent="0.35"/>
    <row r="1555" ht="15" customHeight="1" x14ac:dyDescent="0.35"/>
    <row r="1556" ht="15" customHeight="1" x14ac:dyDescent="0.35"/>
    <row r="1557" ht="15" customHeight="1" x14ac:dyDescent="0.35"/>
    <row r="1558" ht="15" customHeight="1" x14ac:dyDescent="0.35"/>
    <row r="1559" ht="15" customHeight="1" x14ac:dyDescent="0.35"/>
    <row r="1560" ht="15" customHeight="1" x14ac:dyDescent="0.35"/>
    <row r="1561" ht="15" customHeight="1" x14ac:dyDescent="0.35"/>
    <row r="1562" ht="15" customHeight="1" x14ac:dyDescent="0.35"/>
    <row r="1563" ht="15" customHeight="1" x14ac:dyDescent="0.35"/>
    <row r="1564" ht="15" customHeight="1" x14ac:dyDescent="0.35"/>
    <row r="1565" ht="15" customHeight="1" x14ac:dyDescent="0.35"/>
    <row r="1566" ht="15" customHeight="1" x14ac:dyDescent="0.35"/>
    <row r="1567" ht="15" customHeight="1" x14ac:dyDescent="0.35"/>
    <row r="1568" ht="15" customHeight="1" x14ac:dyDescent="0.35"/>
    <row r="1569" ht="15" customHeight="1" x14ac:dyDescent="0.35"/>
    <row r="1570" ht="15" customHeight="1" x14ac:dyDescent="0.35"/>
    <row r="1571" ht="15" customHeight="1" x14ac:dyDescent="0.35"/>
    <row r="1572" ht="15" customHeight="1" x14ac:dyDescent="0.35"/>
    <row r="1573" ht="15" customHeight="1" x14ac:dyDescent="0.35"/>
    <row r="1574" ht="15" customHeight="1" x14ac:dyDescent="0.35"/>
    <row r="1575" ht="15" customHeight="1" x14ac:dyDescent="0.35"/>
    <row r="1576" ht="15" customHeight="1" x14ac:dyDescent="0.35"/>
    <row r="1577" ht="15" customHeight="1" x14ac:dyDescent="0.35"/>
    <row r="1578" ht="15" customHeight="1" x14ac:dyDescent="0.35"/>
    <row r="1579" ht="15" customHeight="1" x14ac:dyDescent="0.35"/>
    <row r="1580" ht="15" customHeight="1" x14ac:dyDescent="0.35"/>
    <row r="1581" ht="15" customHeight="1" x14ac:dyDescent="0.35"/>
    <row r="1582" ht="15" customHeight="1" x14ac:dyDescent="0.35"/>
    <row r="1583" ht="15" customHeight="1" x14ac:dyDescent="0.35"/>
    <row r="1584" ht="15" customHeight="1" x14ac:dyDescent="0.35"/>
    <row r="1585" ht="15" customHeight="1" x14ac:dyDescent="0.35"/>
    <row r="1586" ht="15" customHeight="1" x14ac:dyDescent="0.35"/>
    <row r="1587" ht="15" customHeight="1" x14ac:dyDescent="0.35"/>
    <row r="1588" ht="15" customHeight="1" x14ac:dyDescent="0.35"/>
    <row r="1589" ht="15" customHeight="1" x14ac:dyDescent="0.35"/>
    <row r="1590" ht="15" customHeight="1" x14ac:dyDescent="0.35"/>
    <row r="1591" ht="15" customHeight="1" x14ac:dyDescent="0.35"/>
    <row r="1592" ht="15" customHeight="1" x14ac:dyDescent="0.35"/>
    <row r="1593" ht="15" customHeight="1" x14ac:dyDescent="0.35"/>
    <row r="1594" ht="15" customHeight="1" x14ac:dyDescent="0.35"/>
    <row r="1595" ht="15" customHeight="1" x14ac:dyDescent="0.35"/>
    <row r="1596" ht="15" customHeight="1" x14ac:dyDescent="0.35"/>
    <row r="1597" ht="15" customHeight="1" x14ac:dyDescent="0.35"/>
    <row r="1598" ht="15" customHeight="1" x14ac:dyDescent="0.35"/>
    <row r="1599" ht="15" customHeight="1" x14ac:dyDescent="0.35"/>
    <row r="1600" ht="15" customHeight="1" x14ac:dyDescent="0.35"/>
    <row r="1601" ht="15" customHeight="1" x14ac:dyDescent="0.35"/>
    <row r="1602" ht="15" customHeight="1" x14ac:dyDescent="0.35"/>
    <row r="1603" ht="15" customHeight="1" x14ac:dyDescent="0.35"/>
    <row r="1604" ht="15" customHeight="1" x14ac:dyDescent="0.35"/>
    <row r="1605" ht="15" customHeight="1" x14ac:dyDescent="0.35"/>
    <row r="1606" ht="15" customHeight="1" x14ac:dyDescent="0.35"/>
    <row r="1607" ht="15" customHeight="1" x14ac:dyDescent="0.35"/>
    <row r="1608" ht="15" customHeight="1" x14ac:dyDescent="0.35"/>
    <row r="1609" ht="15" customHeight="1" x14ac:dyDescent="0.35"/>
    <row r="1610" ht="15" customHeight="1" x14ac:dyDescent="0.35"/>
    <row r="1611" ht="15" customHeight="1" x14ac:dyDescent="0.35"/>
    <row r="1612" ht="15" customHeight="1" x14ac:dyDescent="0.35"/>
    <row r="1613" ht="15" customHeight="1" x14ac:dyDescent="0.35"/>
    <row r="1614" ht="15" customHeight="1" x14ac:dyDescent="0.35"/>
    <row r="1615" ht="15" customHeight="1" x14ac:dyDescent="0.35"/>
    <row r="1616" ht="15" customHeight="1" x14ac:dyDescent="0.35"/>
    <row r="1617" ht="15" customHeight="1" x14ac:dyDescent="0.35"/>
    <row r="1618" ht="15" customHeight="1" x14ac:dyDescent="0.35"/>
    <row r="1619" ht="15" customHeight="1" x14ac:dyDescent="0.35"/>
    <row r="1620" ht="15" customHeight="1" x14ac:dyDescent="0.35"/>
    <row r="1621" ht="15" customHeight="1" x14ac:dyDescent="0.35"/>
    <row r="1622" ht="15" customHeight="1" x14ac:dyDescent="0.35"/>
    <row r="1623" ht="15" customHeight="1" x14ac:dyDescent="0.35"/>
    <row r="1624" ht="15" customHeight="1" x14ac:dyDescent="0.35"/>
    <row r="1625" ht="15" customHeight="1" x14ac:dyDescent="0.35"/>
    <row r="1626" ht="15" customHeight="1" x14ac:dyDescent="0.35"/>
    <row r="1627" ht="15" customHeight="1" x14ac:dyDescent="0.35"/>
    <row r="1628" ht="15" customHeight="1" x14ac:dyDescent="0.35"/>
    <row r="1629" ht="15" customHeight="1" x14ac:dyDescent="0.35"/>
    <row r="1630" ht="15" customHeight="1" x14ac:dyDescent="0.35"/>
    <row r="1631" ht="15" customHeight="1" x14ac:dyDescent="0.35"/>
    <row r="1632" ht="15" customHeight="1" x14ac:dyDescent="0.35"/>
    <row r="1633" ht="15" customHeight="1" x14ac:dyDescent="0.35"/>
    <row r="1634" ht="15" customHeight="1" x14ac:dyDescent="0.35"/>
    <row r="1635" ht="15" customHeight="1" x14ac:dyDescent="0.35"/>
    <row r="1636" ht="15" customHeight="1" x14ac:dyDescent="0.35"/>
    <row r="1637" ht="15" customHeight="1" x14ac:dyDescent="0.35"/>
    <row r="1638" ht="15" customHeight="1" x14ac:dyDescent="0.35"/>
    <row r="1639" ht="15" customHeight="1" x14ac:dyDescent="0.35"/>
    <row r="1640" ht="15" customHeight="1" x14ac:dyDescent="0.35"/>
    <row r="1641" ht="15" customHeight="1" x14ac:dyDescent="0.35"/>
    <row r="1642" ht="15" customHeight="1" x14ac:dyDescent="0.35"/>
    <row r="1643" ht="15" customHeight="1" x14ac:dyDescent="0.35"/>
    <row r="1644" ht="15" customHeight="1" x14ac:dyDescent="0.35"/>
    <row r="1645" ht="15" customHeight="1" x14ac:dyDescent="0.35"/>
    <row r="1646" ht="15" customHeight="1" x14ac:dyDescent="0.35"/>
    <row r="1647" ht="15" customHeight="1" x14ac:dyDescent="0.35"/>
    <row r="1648" ht="15" customHeight="1" x14ac:dyDescent="0.35"/>
    <row r="1649" ht="15" customHeight="1" x14ac:dyDescent="0.35"/>
    <row r="1650" ht="15" customHeight="1" x14ac:dyDescent="0.35"/>
    <row r="1651" ht="15" customHeight="1" x14ac:dyDescent="0.35"/>
    <row r="1652" ht="15" customHeight="1" x14ac:dyDescent="0.35"/>
    <row r="1653" ht="15" customHeight="1" x14ac:dyDescent="0.35"/>
    <row r="1654" ht="15" customHeight="1" x14ac:dyDescent="0.35"/>
    <row r="1655" ht="15" customHeight="1" x14ac:dyDescent="0.35"/>
    <row r="1656" ht="15" customHeight="1" x14ac:dyDescent="0.35"/>
    <row r="1657" ht="15" customHeight="1" x14ac:dyDescent="0.35"/>
    <row r="1658" ht="15" customHeight="1" x14ac:dyDescent="0.35"/>
    <row r="1659" ht="15" customHeight="1" x14ac:dyDescent="0.35"/>
    <row r="1660" ht="15" customHeight="1" x14ac:dyDescent="0.35"/>
    <row r="1661" ht="15" customHeight="1" x14ac:dyDescent="0.35"/>
    <row r="1662" ht="15" customHeight="1" x14ac:dyDescent="0.35"/>
    <row r="1663" ht="15" customHeight="1" x14ac:dyDescent="0.35"/>
    <row r="1664" ht="15" customHeight="1" x14ac:dyDescent="0.35"/>
    <row r="1665" ht="15" customHeight="1" x14ac:dyDescent="0.35"/>
    <row r="1666" ht="15" customHeight="1" x14ac:dyDescent="0.35"/>
    <row r="1667" ht="15" customHeight="1" x14ac:dyDescent="0.35"/>
    <row r="1668" ht="15" customHeight="1" x14ac:dyDescent="0.35"/>
    <row r="1669" ht="15" customHeight="1" x14ac:dyDescent="0.35"/>
    <row r="1670" ht="15" customHeight="1" x14ac:dyDescent="0.35"/>
    <row r="1671" ht="15" customHeight="1" x14ac:dyDescent="0.35"/>
    <row r="1672" ht="15" customHeight="1" x14ac:dyDescent="0.35"/>
    <row r="1673" ht="15" customHeight="1" x14ac:dyDescent="0.35"/>
    <row r="1674" ht="15" customHeight="1" x14ac:dyDescent="0.35"/>
    <row r="1675" ht="15" customHeight="1" x14ac:dyDescent="0.35"/>
    <row r="1676" ht="15" customHeight="1" x14ac:dyDescent="0.35"/>
    <row r="1677" ht="15" customHeight="1" x14ac:dyDescent="0.35"/>
    <row r="1678" ht="15" customHeight="1" x14ac:dyDescent="0.35"/>
    <row r="1679" ht="15" customHeight="1" x14ac:dyDescent="0.35"/>
    <row r="1680" ht="15" customHeight="1" x14ac:dyDescent="0.35"/>
    <row r="1681" ht="15" customHeight="1" x14ac:dyDescent="0.35"/>
    <row r="1682" ht="15" customHeight="1" x14ac:dyDescent="0.35"/>
    <row r="1683" ht="15" customHeight="1" x14ac:dyDescent="0.35"/>
    <row r="1684" ht="15" customHeight="1" x14ac:dyDescent="0.35"/>
    <row r="1685" ht="15" customHeight="1" x14ac:dyDescent="0.35"/>
    <row r="1686" ht="15" customHeight="1" x14ac:dyDescent="0.35"/>
    <row r="1687" ht="15" customHeight="1" x14ac:dyDescent="0.35"/>
    <row r="1688" ht="15" customHeight="1" x14ac:dyDescent="0.35"/>
    <row r="1689" ht="15" customHeight="1" x14ac:dyDescent="0.35"/>
    <row r="1690" ht="15" customHeight="1" x14ac:dyDescent="0.35"/>
    <row r="1691" ht="15" customHeight="1" x14ac:dyDescent="0.35"/>
    <row r="1692" ht="15" customHeight="1" x14ac:dyDescent="0.35"/>
    <row r="1693" ht="15" customHeight="1" x14ac:dyDescent="0.35"/>
    <row r="1694" ht="15" customHeight="1" x14ac:dyDescent="0.35"/>
    <row r="1695" ht="15" customHeight="1" x14ac:dyDescent="0.35"/>
    <row r="1696" ht="15" customHeight="1" x14ac:dyDescent="0.35"/>
    <row r="1697" ht="15" customHeight="1" x14ac:dyDescent="0.35"/>
    <row r="1698" ht="15" customHeight="1" x14ac:dyDescent="0.35"/>
    <row r="1699" ht="15" customHeight="1" x14ac:dyDescent="0.35"/>
    <row r="1700" ht="15" customHeight="1" x14ac:dyDescent="0.35"/>
    <row r="1701" ht="15" customHeight="1" x14ac:dyDescent="0.35"/>
    <row r="1702" ht="15" customHeight="1" x14ac:dyDescent="0.35"/>
    <row r="1703" ht="15" customHeight="1" x14ac:dyDescent="0.35"/>
    <row r="1704" ht="15" customHeight="1" x14ac:dyDescent="0.35"/>
    <row r="1705" ht="15" customHeight="1" x14ac:dyDescent="0.35"/>
    <row r="1706" ht="15" customHeight="1" x14ac:dyDescent="0.35"/>
    <row r="1707" ht="15" customHeight="1" x14ac:dyDescent="0.35"/>
    <row r="1708" ht="15" customHeight="1" x14ac:dyDescent="0.35"/>
    <row r="1709" ht="15" customHeight="1" x14ac:dyDescent="0.35"/>
    <row r="1710" ht="15" customHeight="1" x14ac:dyDescent="0.35"/>
    <row r="1711" ht="15" customHeight="1" x14ac:dyDescent="0.35"/>
    <row r="1712" ht="15" customHeight="1" x14ac:dyDescent="0.35"/>
    <row r="1713" ht="15" customHeight="1" x14ac:dyDescent="0.35"/>
    <row r="1714" ht="15" customHeight="1" x14ac:dyDescent="0.35"/>
    <row r="1715" ht="15" customHeight="1" x14ac:dyDescent="0.35"/>
    <row r="1716" ht="15" customHeight="1" x14ac:dyDescent="0.35"/>
    <row r="1717" ht="15" customHeight="1" x14ac:dyDescent="0.35"/>
    <row r="1718" ht="15" customHeight="1" x14ac:dyDescent="0.35"/>
    <row r="1719" ht="15" customHeight="1" x14ac:dyDescent="0.35"/>
    <row r="1720" ht="15" customHeight="1" x14ac:dyDescent="0.35"/>
    <row r="1721" ht="15" customHeight="1" x14ac:dyDescent="0.35"/>
    <row r="1722" ht="15" customHeight="1" x14ac:dyDescent="0.35"/>
    <row r="1723" ht="15" customHeight="1" x14ac:dyDescent="0.35"/>
    <row r="1724" ht="15" customHeight="1" x14ac:dyDescent="0.35"/>
    <row r="1725" ht="15" customHeight="1" x14ac:dyDescent="0.35"/>
    <row r="1726" ht="15" customHeight="1" x14ac:dyDescent="0.35"/>
    <row r="1727" ht="15" customHeight="1" x14ac:dyDescent="0.35"/>
    <row r="1728" ht="15" customHeight="1" x14ac:dyDescent="0.35"/>
    <row r="1729" ht="15" customHeight="1" x14ac:dyDescent="0.35"/>
    <row r="1730" ht="15" customHeight="1" x14ac:dyDescent="0.35"/>
    <row r="1731" ht="15" customHeight="1" x14ac:dyDescent="0.35"/>
    <row r="1732" ht="15" customHeight="1" x14ac:dyDescent="0.35"/>
    <row r="1733" ht="15" customHeight="1" x14ac:dyDescent="0.35"/>
    <row r="1734" ht="15" customHeight="1" x14ac:dyDescent="0.35"/>
    <row r="1735" ht="15" customHeight="1" x14ac:dyDescent="0.35"/>
    <row r="1736" ht="15" customHeight="1" x14ac:dyDescent="0.35"/>
    <row r="1737" ht="15" customHeight="1" x14ac:dyDescent="0.35"/>
    <row r="1738" ht="15" customHeight="1" x14ac:dyDescent="0.35"/>
    <row r="1739" ht="15" customHeight="1" x14ac:dyDescent="0.35"/>
    <row r="1740" ht="15" customHeight="1" x14ac:dyDescent="0.35"/>
    <row r="1741" ht="15" customHeight="1" x14ac:dyDescent="0.35"/>
    <row r="1742" ht="15" customHeight="1" x14ac:dyDescent="0.35"/>
    <row r="1743" ht="15" customHeight="1" x14ac:dyDescent="0.35"/>
    <row r="1744" ht="15" customHeight="1" x14ac:dyDescent="0.35"/>
    <row r="1745" ht="15" customHeight="1" x14ac:dyDescent="0.35"/>
    <row r="1746" ht="15" customHeight="1" x14ac:dyDescent="0.35"/>
    <row r="1747" ht="15" customHeight="1" x14ac:dyDescent="0.35"/>
    <row r="1748" ht="15" customHeight="1" x14ac:dyDescent="0.35"/>
    <row r="1749" ht="15" customHeight="1" x14ac:dyDescent="0.35"/>
    <row r="1750" ht="15" customHeight="1" x14ac:dyDescent="0.35"/>
    <row r="1751" ht="15" customHeight="1" x14ac:dyDescent="0.35"/>
    <row r="1752" ht="15" customHeight="1" x14ac:dyDescent="0.35"/>
    <row r="1753" ht="15" customHeight="1" x14ac:dyDescent="0.35"/>
    <row r="1754" ht="15" customHeight="1" x14ac:dyDescent="0.35"/>
    <row r="1755" ht="15" customHeight="1" x14ac:dyDescent="0.35"/>
    <row r="1756" ht="15" customHeight="1" x14ac:dyDescent="0.35"/>
    <row r="1757" ht="15" customHeight="1" x14ac:dyDescent="0.35"/>
    <row r="1758" ht="15" customHeight="1" x14ac:dyDescent="0.35"/>
    <row r="1759" ht="15" customHeight="1" x14ac:dyDescent="0.35"/>
    <row r="1760" ht="15" customHeight="1" x14ac:dyDescent="0.35"/>
    <row r="1761" ht="15" customHeight="1" x14ac:dyDescent="0.35"/>
    <row r="1762" ht="15" customHeight="1" x14ac:dyDescent="0.35"/>
    <row r="1763" ht="15" customHeight="1" x14ac:dyDescent="0.35"/>
    <row r="1764" ht="15" customHeight="1" x14ac:dyDescent="0.35"/>
    <row r="1765" ht="15" customHeight="1" x14ac:dyDescent="0.35"/>
    <row r="1766" ht="15" customHeight="1" x14ac:dyDescent="0.35"/>
    <row r="1767" ht="15" customHeight="1" x14ac:dyDescent="0.35"/>
    <row r="1768" ht="15" customHeight="1" x14ac:dyDescent="0.35"/>
    <row r="1769" ht="15" customHeight="1" x14ac:dyDescent="0.35"/>
    <row r="1770" ht="15" customHeight="1" x14ac:dyDescent="0.35"/>
    <row r="1771" ht="15" customHeight="1" x14ac:dyDescent="0.35"/>
    <row r="1772" ht="15" customHeight="1" x14ac:dyDescent="0.35"/>
    <row r="1773" ht="15" customHeight="1" x14ac:dyDescent="0.35"/>
    <row r="1774" ht="15" customHeight="1" x14ac:dyDescent="0.35"/>
    <row r="1775" ht="15" customHeight="1" x14ac:dyDescent="0.35"/>
    <row r="1776" ht="15" customHeight="1" x14ac:dyDescent="0.35"/>
    <row r="1777" ht="15" customHeight="1" x14ac:dyDescent="0.35"/>
    <row r="1778" ht="15" customHeight="1" x14ac:dyDescent="0.35"/>
    <row r="1779" ht="15" customHeight="1" x14ac:dyDescent="0.35"/>
    <row r="1780" ht="15" customHeight="1" x14ac:dyDescent="0.35"/>
    <row r="1781" ht="15" customHeight="1" x14ac:dyDescent="0.35"/>
    <row r="1782" ht="15" customHeight="1" x14ac:dyDescent="0.35"/>
    <row r="1783" ht="15" customHeight="1" x14ac:dyDescent="0.35"/>
    <row r="1784" ht="15" customHeight="1" x14ac:dyDescent="0.35"/>
    <row r="1785" ht="15" customHeight="1" x14ac:dyDescent="0.35"/>
    <row r="1786" ht="15" customHeight="1" x14ac:dyDescent="0.35"/>
    <row r="1787" ht="15" customHeight="1" x14ac:dyDescent="0.35"/>
    <row r="1788" ht="15" customHeight="1" x14ac:dyDescent="0.35"/>
    <row r="1789" ht="15" customHeight="1" x14ac:dyDescent="0.35"/>
    <row r="1790" ht="15" customHeight="1" x14ac:dyDescent="0.35"/>
    <row r="1791" ht="15" customHeight="1" x14ac:dyDescent="0.35"/>
    <row r="1792" ht="15" customHeight="1" x14ac:dyDescent="0.35"/>
    <row r="1793" ht="15" customHeight="1" x14ac:dyDescent="0.35"/>
    <row r="1794" ht="15" customHeight="1" x14ac:dyDescent="0.35"/>
    <row r="1795" ht="15" customHeight="1" x14ac:dyDescent="0.35"/>
    <row r="1796" ht="15" customHeight="1" x14ac:dyDescent="0.35"/>
    <row r="1797" ht="15" customHeight="1" x14ac:dyDescent="0.35"/>
    <row r="1798" ht="15" customHeight="1" x14ac:dyDescent="0.35"/>
    <row r="1799" ht="15" customHeight="1" x14ac:dyDescent="0.35"/>
    <row r="1800" ht="15" customHeight="1" x14ac:dyDescent="0.35"/>
    <row r="1801" ht="15" customHeight="1" x14ac:dyDescent="0.35"/>
    <row r="1802" ht="15" customHeight="1" x14ac:dyDescent="0.35"/>
    <row r="1803" ht="15" customHeight="1" x14ac:dyDescent="0.35"/>
    <row r="1804" ht="15" customHeight="1" x14ac:dyDescent="0.35"/>
    <row r="1805" ht="15" customHeight="1" x14ac:dyDescent="0.35"/>
    <row r="1806" ht="15" customHeight="1" x14ac:dyDescent="0.35"/>
    <row r="1807" ht="15" customHeight="1" x14ac:dyDescent="0.35"/>
    <row r="1808" ht="15" customHeight="1" x14ac:dyDescent="0.35"/>
    <row r="1809" ht="15" customHeight="1" x14ac:dyDescent="0.35"/>
    <row r="1810" ht="15" customHeight="1" x14ac:dyDescent="0.35"/>
    <row r="1811" ht="15" customHeight="1" x14ac:dyDescent="0.35"/>
    <row r="1812" ht="15" customHeight="1" x14ac:dyDescent="0.35"/>
    <row r="1813" ht="15" customHeight="1" x14ac:dyDescent="0.35"/>
    <row r="1814" ht="15" customHeight="1" x14ac:dyDescent="0.35"/>
    <row r="1815" ht="15" customHeight="1" x14ac:dyDescent="0.35"/>
    <row r="1816" ht="15" customHeight="1" x14ac:dyDescent="0.35"/>
    <row r="1817" ht="15" customHeight="1" x14ac:dyDescent="0.35"/>
    <row r="1818" ht="15" customHeight="1" x14ac:dyDescent="0.35"/>
    <row r="1819" ht="15" customHeight="1" x14ac:dyDescent="0.35"/>
    <row r="1820" ht="15" customHeight="1" x14ac:dyDescent="0.35"/>
    <row r="1821" ht="15" customHeight="1" x14ac:dyDescent="0.35"/>
    <row r="1822" ht="15" customHeight="1" x14ac:dyDescent="0.35"/>
    <row r="1823" ht="15" customHeight="1" x14ac:dyDescent="0.35"/>
    <row r="1824" ht="15" customHeight="1" x14ac:dyDescent="0.35"/>
    <row r="1825" ht="15" customHeight="1" x14ac:dyDescent="0.35"/>
    <row r="1826" ht="15" customHeight="1" x14ac:dyDescent="0.35"/>
    <row r="1827" ht="15" customHeight="1" x14ac:dyDescent="0.35"/>
    <row r="1828" ht="15" customHeight="1" x14ac:dyDescent="0.35"/>
    <row r="1829" ht="15" customHeight="1" x14ac:dyDescent="0.35"/>
    <row r="1830" ht="15" customHeight="1" x14ac:dyDescent="0.35"/>
    <row r="1831" ht="15" customHeight="1" x14ac:dyDescent="0.35"/>
    <row r="1832" ht="15" customHeight="1" x14ac:dyDescent="0.35"/>
    <row r="1833" ht="15" customHeight="1" x14ac:dyDescent="0.35"/>
    <row r="1834" ht="15" customHeight="1" x14ac:dyDescent="0.35"/>
    <row r="1835" ht="15" customHeight="1" x14ac:dyDescent="0.35"/>
    <row r="1836" ht="15" customHeight="1" x14ac:dyDescent="0.35"/>
    <row r="1837" ht="15" customHeight="1" x14ac:dyDescent="0.35"/>
    <row r="1838" ht="15" customHeight="1" x14ac:dyDescent="0.35"/>
    <row r="1839" ht="15" customHeight="1" x14ac:dyDescent="0.35"/>
    <row r="1840" ht="15" customHeight="1" x14ac:dyDescent="0.35"/>
    <row r="1841" ht="15" customHeight="1" x14ac:dyDescent="0.35"/>
    <row r="1842" ht="15" customHeight="1" x14ac:dyDescent="0.35"/>
    <row r="1843" ht="15" customHeight="1" x14ac:dyDescent="0.35"/>
    <row r="1844" ht="15" customHeight="1" x14ac:dyDescent="0.35"/>
    <row r="1845" ht="15" customHeight="1" x14ac:dyDescent="0.35"/>
    <row r="1846" ht="15" customHeight="1" x14ac:dyDescent="0.35"/>
    <row r="1847" ht="15" customHeight="1" x14ac:dyDescent="0.35"/>
    <row r="1848" ht="15" customHeight="1" x14ac:dyDescent="0.35"/>
    <row r="1849" ht="15" customHeight="1" x14ac:dyDescent="0.35"/>
    <row r="1850" ht="15" customHeight="1" x14ac:dyDescent="0.35"/>
    <row r="1851" ht="15" customHeight="1" x14ac:dyDescent="0.35"/>
    <row r="1852" ht="15" customHeight="1" x14ac:dyDescent="0.35"/>
    <row r="1853" ht="15" customHeight="1" x14ac:dyDescent="0.35"/>
    <row r="1854" ht="15" customHeight="1" x14ac:dyDescent="0.35"/>
    <row r="1855" ht="15" customHeight="1" x14ac:dyDescent="0.35"/>
    <row r="1856" ht="15" customHeight="1" x14ac:dyDescent="0.35"/>
    <row r="1857" ht="15" customHeight="1" x14ac:dyDescent="0.35"/>
    <row r="1858" ht="15" customHeight="1" x14ac:dyDescent="0.35"/>
    <row r="1859" ht="15" customHeight="1" x14ac:dyDescent="0.35"/>
    <row r="1860" ht="15" customHeight="1" x14ac:dyDescent="0.35"/>
    <row r="1861" ht="15" customHeight="1" x14ac:dyDescent="0.35"/>
    <row r="1862" ht="15" customHeight="1" x14ac:dyDescent="0.35"/>
    <row r="1863" ht="15" customHeight="1" x14ac:dyDescent="0.35"/>
    <row r="1864" ht="15" customHeight="1" x14ac:dyDescent="0.35"/>
    <row r="1865" ht="15" customHeight="1" x14ac:dyDescent="0.35"/>
    <row r="1866" ht="15" customHeight="1" x14ac:dyDescent="0.35"/>
    <row r="1867" ht="15" customHeight="1" x14ac:dyDescent="0.35"/>
    <row r="1868" ht="15" customHeight="1" x14ac:dyDescent="0.35"/>
    <row r="1869" ht="15" customHeight="1" x14ac:dyDescent="0.35"/>
    <row r="1870" ht="15" customHeight="1" x14ac:dyDescent="0.35"/>
    <row r="1871" ht="15" customHeight="1" x14ac:dyDescent="0.35"/>
    <row r="1872" ht="15" customHeight="1" x14ac:dyDescent="0.35"/>
    <row r="1873" ht="15" customHeight="1" x14ac:dyDescent="0.35"/>
    <row r="1874" ht="15" customHeight="1" x14ac:dyDescent="0.35"/>
    <row r="1875" ht="15" customHeight="1" x14ac:dyDescent="0.35"/>
    <row r="1876" ht="15" customHeight="1" x14ac:dyDescent="0.35"/>
    <row r="1877" ht="15" customHeight="1" x14ac:dyDescent="0.35"/>
    <row r="1878" ht="15" customHeight="1" x14ac:dyDescent="0.35"/>
    <row r="1879" ht="15" customHeight="1" x14ac:dyDescent="0.35"/>
    <row r="1880" ht="15" customHeight="1" x14ac:dyDescent="0.35"/>
    <row r="1881" ht="15" customHeight="1" x14ac:dyDescent="0.35"/>
    <row r="1882" ht="15" customHeight="1" x14ac:dyDescent="0.35"/>
    <row r="1883" ht="15" customHeight="1" x14ac:dyDescent="0.35"/>
    <row r="1884" ht="15" customHeight="1" x14ac:dyDescent="0.35"/>
    <row r="1885" ht="15" customHeight="1" x14ac:dyDescent="0.35"/>
    <row r="1886" ht="15" customHeight="1" x14ac:dyDescent="0.35"/>
    <row r="1887" ht="15" customHeight="1" x14ac:dyDescent="0.35"/>
    <row r="1888" ht="15" customHeight="1" x14ac:dyDescent="0.35"/>
    <row r="1889" ht="15" customHeight="1" x14ac:dyDescent="0.35"/>
    <row r="1890" ht="15" customHeight="1" x14ac:dyDescent="0.35"/>
    <row r="1891" ht="15" customHeight="1" x14ac:dyDescent="0.35"/>
    <row r="1892" ht="15" customHeight="1" x14ac:dyDescent="0.35"/>
    <row r="1893" ht="15" customHeight="1" x14ac:dyDescent="0.35"/>
    <row r="1894" ht="15" customHeight="1" x14ac:dyDescent="0.35"/>
    <row r="1895" ht="15" customHeight="1" x14ac:dyDescent="0.35"/>
    <row r="1896" ht="15" customHeight="1" x14ac:dyDescent="0.35"/>
    <row r="1897" ht="15" customHeight="1" x14ac:dyDescent="0.35"/>
    <row r="1898" ht="15" customHeight="1" x14ac:dyDescent="0.35"/>
    <row r="1899" ht="15" customHeight="1" x14ac:dyDescent="0.35"/>
    <row r="1900" ht="15" customHeight="1" x14ac:dyDescent="0.35"/>
    <row r="1901" ht="15" customHeight="1" x14ac:dyDescent="0.35"/>
    <row r="1902" ht="15" customHeight="1" x14ac:dyDescent="0.35"/>
    <row r="1903" ht="15" customHeight="1" x14ac:dyDescent="0.35"/>
    <row r="1904" ht="15" customHeight="1" x14ac:dyDescent="0.35"/>
    <row r="1905" ht="15" customHeight="1" x14ac:dyDescent="0.35"/>
    <row r="1906" ht="15" customHeight="1" x14ac:dyDescent="0.35"/>
    <row r="1907" ht="15" customHeight="1" x14ac:dyDescent="0.35"/>
    <row r="1908" ht="15" customHeight="1" x14ac:dyDescent="0.35"/>
    <row r="1909" ht="15" customHeight="1" x14ac:dyDescent="0.35"/>
    <row r="1910" ht="15" customHeight="1" x14ac:dyDescent="0.35"/>
    <row r="1911" ht="15" customHeight="1" x14ac:dyDescent="0.35"/>
    <row r="1912" ht="15" customHeight="1" x14ac:dyDescent="0.35"/>
    <row r="1913" ht="15" customHeight="1" x14ac:dyDescent="0.35"/>
    <row r="1914" ht="15" customHeight="1" x14ac:dyDescent="0.35"/>
    <row r="1915" ht="15" customHeight="1" x14ac:dyDescent="0.35"/>
    <row r="1916" ht="15" customHeight="1" x14ac:dyDescent="0.35"/>
    <row r="1917" ht="15" customHeight="1" x14ac:dyDescent="0.35"/>
    <row r="1918" ht="15" customHeight="1" x14ac:dyDescent="0.35"/>
    <row r="1919" ht="15" customHeight="1" x14ac:dyDescent="0.35"/>
    <row r="1920" ht="15" customHeight="1" x14ac:dyDescent="0.35"/>
    <row r="1921" ht="15" customHeight="1" x14ac:dyDescent="0.35"/>
    <row r="1922" ht="15" customHeight="1" x14ac:dyDescent="0.35"/>
    <row r="1923" ht="15" customHeight="1" x14ac:dyDescent="0.35"/>
    <row r="1924" ht="15" customHeight="1" x14ac:dyDescent="0.35"/>
    <row r="1925" ht="15" customHeight="1" x14ac:dyDescent="0.35"/>
    <row r="1926" ht="15" customHeight="1" x14ac:dyDescent="0.35"/>
    <row r="1927" ht="15" customHeight="1" x14ac:dyDescent="0.35"/>
    <row r="1928" ht="15" customHeight="1" x14ac:dyDescent="0.35"/>
    <row r="1929" ht="15" customHeight="1" x14ac:dyDescent="0.35"/>
    <row r="1930" ht="15" customHeight="1" x14ac:dyDescent="0.35"/>
    <row r="1931" ht="15" customHeight="1" x14ac:dyDescent="0.35"/>
    <row r="1932" ht="15" customHeight="1" x14ac:dyDescent="0.35"/>
    <row r="1933" ht="15" customHeight="1" x14ac:dyDescent="0.35"/>
    <row r="1934" ht="15" customHeight="1" x14ac:dyDescent="0.35"/>
    <row r="1935" ht="15" customHeight="1" x14ac:dyDescent="0.35"/>
    <row r="1936" ht="15" customHeight="1" x14ac:dyDescent="0.35"/>
    <row r="1937" ht="15" customHeight="1" x14ac:dyDescent="0.35"/>
    <row r="1938" ht="15" customHeight="1" x14ac:dyDescent="0.35"/>
    <row r="1939" ht="15" customHeight="1" x14ac:dyDescent="0.35"/>
    <row r="1940" ht="15" customHeight="1" x14ac:dyDescent="0.35"/>
    <row r="1941" ht="15" customHeight="1" x14ac:dyDescent="0.35"/>
    <row r="1942" ht="15" customHeight="1" x14ac:dyDescent="0.35"/>
    <row r="1943" ht="15" customHeight="1" x14ac:dyDescent="0.35"/>
    <row r="1944" ht="15" customHeight="1" x14ac:dyDescent="0.35"/>
    <row r="1945" ht="15" customHeight="1" x14ac:dyDescent="0.35"/>
    <row r="1946" ht="15" customHeight="1" x14ac:dyDescent="0.35"/>
    <row r="1947" ht="15" customHeight="1" x14ac:dyDescent="0.35"/>
    <row r="1948" ht="15" customHeight="1" x14ac:dyDescent="0.35"/>
    <row r="1949" ht="15" customHeight="1" x14ac:dyDescent="0.35"/>
    <row r="1950" ht="15" customHeight="1" x14ac:dyDescent="0.35"/>
    <row r="1951" ht="15" customHeight="1" x14ac:dyDescent="0.35"/>
    <row r="1952" ht="15" customHeight="1" x14ac:dyDescent="0.35"/>
    <row r="1953" ht="15" customHeight="1" x14ac:dyDescent="0.35"/>
    <row r="1954" ht="15" customHeight="1" x14ac:dyDescent="0.35"/>
    <row r="1955" ht="15" customHeight="1" x14ac:dyDescent="0.35"/>
    <row r="1956" ht="15" customHeight="1" x14ac:dyDescent="0.35"/>
    <row r="1957" ht="15" customHeight="1" x14ac:dyDescent="0.35"/>
    <row r="1958" ht="15" customHeight="1" x14ac:dyDescent="0.35"/>
    <row r="1959" ht="15" customHeight="1" x14ac:dyDescent="0.35"/>
    <row r="1960" ht="15" customHeight="1" x14ac:dyDescent="0.35"/>
    <row r="1961" ht="15" customHeight="1" x14ac:dyDescent="0.35"/>
    <row r="1962" ht="15" customHeight="1" x14ac:dyDescent="0.35"/>
    <row r="1963" ht="15" customHeight="1" x14ac:dyDescent="0.35"/>
    <row r="1964" ht="15" customHeight="1" x14ac:dyDescent="0.35"/>
    <row r="1965" ht="15" customHeight="1" x14ac:dyDescent="0.35"/>
    <row r="1966" ht="15" customHeight="1" x14ac:dyDescent="0.35"/>
    <row r="1967" ht="15" customHeight="1" x14ac:dyDescent="0.35"/>
    <row r="1968" ht="15" customHeight="1" x14ac:dyDescent="0.35"/>
    <row r="1969" ht="15" customHeight="1" x14ac:dyDescent="0.35"/>
    <row r="1970" ht="15" customHeight="1" x14ac:dyDescent="0.35"/>
    <row r="1971" ht="15" customHeight="1" x14ac:dyDescent="0.35"/>
    <row r="1972" ht="15" customHeight="1" x14ac:dyDescent="0.35"/>
    <row r="1973" ht="15" customHeight="1" x14ac:dyDescent="0.35"/>
    <row r="1974" ht="15" customHeight="1" x14ac:dyDescent="0.35"/>
    <row r="1975" ht="15" customHeight="1" x14ac:dyDescent="0.35"/>
    <row r="1976" ht="15" customHeight="1" x14ac:dyDescent="0.35"/>
    <row r="1977" ht="15" customHeight="1" x14ac:dyDescent="0.35"/>
    <row r="1978" ht="15" customHeight="1" x14ac:dyDescent="0.35"/>
    <row r="1979" ht="15" customHeight="1" x14ac:dyDescent="0.35"/>
    <row r="1980" ht="15" customHeight="1" x14ac:dyDescent="0.35"/>
    <row r="1981" ht="15" customHeight="1" x14ac:dyDescent="0.35"/>
    <row r="1982" ht="15" customHeight="1" x14ac:dyDescent="0.35"/>
    <row r="1983" ht="15" customHeight="1" x14ac:dyDescent="0.35"/>
    <row r="1984" ht="15" customHeight="1" x14ac:dyDescent="0.35"/>
    <row r="1985" ht="15" customHeight="1" x14ac:dyDescent="0.35"/>
    <row r="1986" ht="15" customHeight="1" x14ac:dyDescent="0.35"/>
    <row r="1987" ht="15" customHeight="1" x14ac:dyDescent="0.35"/>
    <row r="1988" ht="15" customHeight="1" x14ac:dyDescent="0.35"/>
    <row r="1989" ht="15" customHeight="1" x14ac:dyDescent="0.35"/>
    <row r="1990" ht="15" customHeight="1" x14ac:dyDescent="0.35"/>
    <row r="1991" ht="15" customHeight="1" x14ac:dyDescent="0.35"/>
    <row r="1992" ht="15" customHeight="1" x14ac:dyDescent="0.35"/>
    <row r="1993" ht="15" customHeight="1" x14ac:dyDescent="0.35"/>
    <row r="1994" ht="15" customHeight="1" x14ac:dyDescent="0.35"/>
    <row r="1995" ht="15" customHeight="1" x14ac:dyDescent="0.35"/>
    <row r="1996" ht="15" customHeight="1" x14ac:dyDescent="0.35"/>
    <row r="1997" ht="15" customHeight="1" x14ac:dyDescent="0.35"/>
    <row r="1998" ht="15" customHeight="1" x14ac:dyDescent="0.35"/>
    <row r="1999" ht="15" customHeight="1" x14ac:dyDescent="0.35"/>
    <row r="2000" ht="15" customHeight="1" x14ac:dyDescent="0.35"/>
    <row r="2001" ht="15" customHeight="1" x14ac:dyDescent="0.35"/>
    <row r="2002" ht="15" customHeight="1" x14ac:dyDescent="0.35"/>
    <row r="2003" ht="15" customHeight="1" x14ac:dyDescent="0.35"/>
    <row r="2004" ht="15" customHeight="1" x14ac:dyDescent="0.35"/>
    <row r="2005" ht="15" customHeight="1" x14ac:dyDescent="0.35"/>
    <row r="2006" ht="15" customHeight="1" x14ac:dyDescent="0.35"/>
    <row r="2007" ht="15" customHeight="1" x14ac:dyDescent="0.35"/>
    <row r="2008" ht="15" customHeight="1" x14ac:dyDescent="0.35"/>
    <row r="2009" ht="15" customHeight="1" x14ac:dyDescent="0.35"/>
    <row r="2010" ht="15" customHeight="1" x14ac:dyDescent="0.35"/>
    <row r="2011" ht="15" customHeight="1" x14ac:dyDescent="0.35"/>
    <row r="2012" ht="15" customHeight="1" x14ac:dyDescent="0.35"/>
    <row r="2013" ht="15" customHeight="1" x14ac:dyDescent="0.35"/>
    <row r="2014" ht="15" customHeight="1" x14ac:dyDescent="0.35"/>
    <row r="2015" ht="15" customHeight="1" x14ac:dyDescent="0.35"/>
    <row r="2016" ht="15" customHeight="1" x14ac:dyDescent="0.35"/>
    <row r="2017" ht="15" customHeight="1" x14ac:dyDescent="0.35"/>
    <row r="2018" ht="15" customHeight="1" x14ac:dyDescent="0.35"/>
    <row r="2019" ht="15" customHeight="1" x14ac:dyDescent="0.35"/>
    <row r="2020" ht="15" customHeight="1" x14ac:dyDescent="0.35"/>
    <row r="2021" ht="15" customHeight="1" x14ac:dyDescent="0.35"/>
    <row r="2022" ht="15" customHeight="1" x14ac:dyDescent="0.35"/>
    <row r="2023" ht="15" customHeight="1" x14ac:dyDescent="0.35"/>
    <row r="2024" ht="15" customHeight="1" x14ac:dyDescent="0.35"/>
    <row r="2025" ht="15" customHeight="1" x14ac:dyDescent="0.35"/>
    <row r="2026" ht="15" customHeight="1" x14ac:dyDescent="0.35"/>
    <row r="2027" ht="15" customHeight="1" x14ac:dyDescent="0.35"/>
    <row r="2028" ht="15" customHeight="1" x14ac:dyDescent="0.35"/>
    <row r="2029" ht="15" customHeight="1" x14ac:dyDescent="0.35"/>
    <row r="2030" ht="15" customHeight="1" x14ac:dyDescent="0.35"/>
    <row r="2031" ht="15" customHeight="1" x14ac:dyDescent="0.35"/>
    <row r="2032" ht="15" customHeight="1" x14ac:dyDescent="0.35"/>
    <row r="2033" ht="15" customHeight="1" x14ac:dyDescent="0.35"/>
    <row r="2034" ht="15" customHeight="1" x14ac:dyDescent="0.35"/>
    <row r="2035" ht="15" customHeight="1" x14ac:dyDescent="0.35"/>
    <row r="2036" ht="15" customHeight="1" x14ac:dyDescent="0.35"/>
    <row r="2037" ht="15" customHeight="1" x14ac:dyDescent="0.35"/>
    <row r="2038" ht="15" customHeight="1" x14ac:dyDescent="0.35"/>
    <row r="2039" ht="15" customHeight="1" x14ac:dyDescent="0.35"/>
    <row r="2040" ht="15" customHeight="1" x14ac:dyDescent="0.35"/>
    <row r="2041" ht="15" customHeight="1" x14ac:dyDescent="0.35"/>
    <row r="2042" ht="15" customHeight="1" x14ac:dyDescent="0.35"/>
    <row r="2043" ht="15" customHeight="1" x14ac:dyDescent="0.35"/>
    <row r="2044" ht="15" customHeight="1" x14ac:dyDescent="0.35"/>
    <row r="2045" ht="15" customHeight="1" x14ac:dyDescent="0.35"/>
    <row r="2046" ht="15" customHeight="1" x14ac:dyDescent="0.35"/>
    <row r="2047" ht="15" customHeight="1" x14ac:dyDescent="0.35"/>
    <row r="2048" ht="15" customHeight="1" x14ac:dyDescent="0.35"/>
    <row r="2049" ht="15" customHeight="1" x14ac:dyDescent="0.35"/>
    <row r="2050" ht="15" customHeight="1" x14ac:dyDescent="0.35"/>
    <row r="2051" ht="15" customHeight="1" x14ac:dyDescent="0.35"/>
    <row r="2052" ht="15" customHeight="1" x14ac:dyDescent="0.35"/>
    <row r="2053" ht="15" customHeight="1" x14ac:dyDescent="0.35"/>
    <row r="2054" ht="15" customHeight="1" x14ac:dyDescent="0.35"/>
    <row r="2055" ht="15" customHeight="1" x14ac:dyDescent="0.35"/>
    <row r="2056" ht="15" customHeight="1" x14ac:dyDescent="0.35"/>
    <row r="2057" ht="15" customHeight="1" x14ac:dyDescent="0.35"/>
    <row r="2058" ht="15" customHeight="1" x14ac:dyDescent="0.35"/>
    <row r="2059" ht="15" customHeight="1" x14ac:dyDescent="0.35"/>
    <row r="2060" ht="15" customHeight="1" x14ac:dyDescent="0.35"/>
    <row r="2061" ht="15" customHeight="1" x14ac:dyDescent="0.35"/>
    <row r="2062" ht="15" customHeight="1" x14ac:dyDescent="0.35"/>
    <row r="2063" ht="15" customHeight="1" x14ac:dyDescent="0.35"/>
    <row r="2064" ht="15" customHeight="1" x14ac:dyDescent="0.35"/>
    <row r="2065" ht="15" customHeight="1" x14ac:dyDescent="0.35"/>
    <row r="2066" ht="15" customHeight="1" x14ac:dyDescent="0.35"/>
    <row r="2067" ht="15" customHeight="1" x14ac:dyDescent="0.35"/>
    <row r="2068" ht="15" customHeight="1" x14ac:dyDescent="0.35"/>
    <row r="2069" ht="15" customHeight="1" x14ac:dyDescent="0.35"/>
    <row r="2070" ht="15" customHeight="1" x14ac:dyDescent="0.35"/>
    <row r="2071" ht="15" customHeight="1" x14ac:dyDescent="0.35"/>
    <row r="2072" ht="15" customHeight="1" x14ac:dyDescent="0.35"/>
    <row r="2073" ht="15" customHeight="1" x14ac:dyDescent="0.35"/>
    <row r="2074" ht="15" customHeight="1" x14ac:dyDescent="0.35"/>
    <row r="2075" ht="15" customHeight="1" x14ac:dyDescent="0.35"/>
    <row r="2076" ht="15" customHeight="1" x14ac:dyDescent="0.35"/>
    <row r="2077" ht="15" customHeight="1" x14ac:dyDescent="0.35"/>
    <row r="2078" ht="15" customHeight="1" x14ac:dyDescent="0.35"/>
    <row r="2079" ht="15" customHeight="1" x14ac:dyDescent="0.35"/>
    <row r="2080" ht="15" customHeight="1" x14ac:dyDescent="0.35"/>
    <row r="2081" ht="15" customHeight="1" x14ac:dyDescent="0.35"/>
    <row r="2082" ht="15" customHeight="1" x14ac:dyDescent="0.35"/>
    <row r="2083" ht="15" customHeight="1" x14ac:dyDescent="0.35"/>
    <row r="2084" ht="15" customHeight="1" x14ac:dyDescent="0.35"/>
    <row r="2085" ht="15" customHeight="1" x14ac:dyDescent="0.35"/>
    <row r="2086" ht="15" customHeight="1" x14ac:dyDescent="0.35"/>
    <row r="2087" ht="15" customHeight="1" x14ac:dyDescent="0.35"/>
    <row r="2088" ht="15" customHeight="1" x14ac:dyDescent="0.35"/>
    <row r="2089" ht="15" customHeight="1" x14ac:dyDescent="0.35"/>
    <row r="2090" ht="15" customHeight="1" x14ac:dyDescent="0.35"/>
    <row r="2091" ht="15" customHeight="1" x14ac:dyDescent="0.35"/>
    <row r="2092" ht="15" customHeight="1" x14ac:dyDescent="0.35"/>
    <row r="2093" ht="15" customHeight="1" x14ac:dyDescent="0.35"/>
    <row r="2094" ht="15" customHeight="1" x14ac:dyDescent="0.35"/>
    <row r="2095" ht="15" customHeight="1" x14ac:dyDescent="0.35"/>
    <row r="2096" ht="15" customHeight="1" x14ac:dyDescent="0.35"/>
    <row r="2097" ht="15" customHeight="1" x14ac:dyDescent="0.35"/>
    <row r="2098" ht="15" customHeight="1" x14ac:dyDescent="0.35"/>
    <row r="2099" ht="15" customHeight="1" x14ac:dyDescent="0.35"/>
    <row r="2100" ht="15" customHeight="1" x14ac:dyDescent="0.35"/>
    <row r="2101" ht="15" customHeight="1" x14ac:dyDescent="0.35"/>
    <row r="2102" ht="15" customHeight="1" x14ac:dyDescent="0.35"/>
    <row r="2103" ht="15" customHeight="1" x14ac:dyDescent="0.35"/>
    <row r="2104" ht="15" customHeight="1" x14ac:dyDescent="0.35"/>
    <row r="2105" ht="15" customHeight="1" x14ac:dyDescent="0.35"/>
    <row r="2106" ht="15" customHeight="1" x14ac:dyDescent="0.35"/>
    <row r="2107" ht="15" customHeight="1" x14ac:dyDescent="0.35"/>
    <row r="2108" ht="15" customHeight="1" x14ac:dyDescent="0.35"/>
    <row r="2109" ht="15" customHeight="1" x14ac:dyDescent="0.35"/>
    <row r="2110" ht="15" customHeight="1" x14ac:dyDescent="0.35"/>
    <row r="2111" ht="15" customHeight="1" x14ac:dyDescent="0.35"/>
    <row r="2112" ht="15" customHeight="1" x14ac:dyDescent="0.35"/>
    <row r="2113" ht="15" customHeight="1" x14ac:dyDescent="0.35"/>
    <row r="2114" ht="15" customHeight="1" x14ac:dyDescent="0.35"/>
    <row r="2115" ht="15" customHeight="1" x14ac:dyDescent="0.35"/>
    <row r="2116" ht="15" customHeight="1" x14ac:dyDescent="0.35"/>
    <row r="2117" ht="15" customHeight="1" x14ac:dyDescent="0.35"/>
    <row r="2118" ht="15" customHeight="1" x14ac:dyDescent="0.35"/>
    <row r="2119" ht="15" customHeight="1" x14ac:dyDescent="0.35"/>
    <row r="2120" ht="15" customHeight="1" x14ac:dyDescent="0.35"/>
    <row r="2121" ht="15" customHeight="1" x14ac:dyDescent="0.35"/>
    <row r="2122" ht="15" customHeight="1" x14ac:dyDescent="0.35"/>
    <row r="2123" ht="15" customHeight="1" x14ac:dyDescent="0.35"/>
    <row r="2124" ht="15" customHeight="1" x14ac:dyDescent="0.35"/>
    <row r="2125" ht="15" customHeight="1" x14ac:dyDescent="0.35"/>
    <row r="2126" ht="15" customHeight="1" x14ac:dyDescent="0.35"/>
    <row r="2127" ht="15" customHeight="1" x14ac:dyDescent="0.35"/>
    <row r="2128" ht="15" customHeight="1" x14ac:dyDescent="0.35"/>
    <row r="2129" ht="15" customHeight="1" x14ac:dyDescent="0.35"/>
    <row r="2130" ht="15" customHeight="1" x14ac:dyDescent="0.35"/>
    <row r="2131" ht="15" customHeight="1" x14ac:dyDescent="0.35"/>
    <row r="2132" ht="15" customHeight="1" x14ac:dyDescent="0.35"/>
    <row r="2133" ht="15" customHeight="1" x14ac:dyDescent="0.35"/>
    <row r="2134" ht="15" customHeight="1" x14ac:dyDescent="0.35"/>
    <row r="2135" ht="15" customHeight="1" x14ac:dyDescent="0.35"/>
    <row r="2136" ht="15" customHeight="1" x14ac:dyDescent="0.35"/>
    <row r="2137" ht="15" customHeight="1" x14ac:dyDescent="0.35"/>
    <row r="2138" ht="15" customHeight="1" x14ac:dyDescent="0.35"/>
    <row r="2139" ht="15" customHeight="1" x14ac:dyDescent="0.35"/>
    <row r="2140" ht="15" customHeight="1" x14ac:dyDescent="0.35"/>
    <row r="2141" ht="15" customHeight="1" x14ac:dyDescent="0.35"/>
    <row r="2142" ht="15" customHeight="1" x14ac:dyDescent="0.35"/>
    <row r="2143" ht="15" customHeight="1" x14ac:dyDescent="0.35"/>
    <row r="2144" ht="15" customHeight="1" x14ac:dyDescent="0.35"/>
    <row r="2145" ht="15" customHeight="1" x14ac:dyDescent="0.35"/>
    <row r="2146" ht="15" customHeight="1" x14ac:dyDescent="0.35"/>
    <row r="2147" ht="15" customHeight="1" x14ac:dyDescent="0.35"/>
    <row r="2148" ht="15" customHeight="1" x14ac:dyDescent="0.35"/>
    <row r="2149" ht="15" customHeight="1" x14ac:dyDescent="0.35"/>
    <row r="2150" ht="15" customHeight="1" x14ac:dyDescent="0.35"/>
    <row r="2151" ht="15" customHeight="1" x14ac:dyDescent="0.35"/>
    <row r="2152" ht="15" customHeight="1" x14ac:dyDescent="0.35"/>
    <row r="2153" ht="15" customHeight="1" x14ac:dyDescent="0.35"/>
    <row r="2154" ht="15" customHeight="1" x14ac:dyDescent="0.35"/>
    <row r="2155" ht="15" customHeight="1" x14ac:dyDescent="0.35"/>
    <row r="2156" ht="15" customHeight="1" x14ac:dyDescent="0.35"/>
    <row r="2157" ht="15" customHeight="1" x14ac:dyDescent="0.35"/>
    <row r="2158" ht="15" customHeight="1" x14ac:dyDescent="0.35"/>
    <row r="2159" ht="15" customHeight="1" x14ac:dyDescent="0.35"/>
    <row r="2160" ht="15" customHeight="1" x14ac:dyDescent="0.35"/>
    <row r="2161" ht="15" customHeight="1" x14ac:dyDescent="0.35"/>
    <row r="2162" ht="15" customHeight="1" x14ac:dyDescent="0.35"/>
    <row r="2163" ht="15" customHeight="1" x14ac:dyDescent="0.35"/>
    <row r="2164" ht="15" customHeight="1" x14ac:dyDescent="0.35"/>
    <row r="2165" ht="15" customHeight="1" x14ac:dyDescent="0.35"/>
    <row r="2166" ht="15" customHeight="1" x14ac:dyDescent="0.35"/>
    <row r="2167" ht="15" customHeight="1" x14ac:dyDescent="0.35"/>
    <row r="2168" ht="15" customHeight="1" x14ac:dyDescent="0.35"/>
    <row r="2169" ht="15" customHeight="1" x14ac:dyDescent="0.35"/>
    <row r="2170" ht="15" customHeight="1" x14ac:dyDescent="0.35"/>
    <row r="2171" ht="15" customHeight="1" x14ac:dyDescent="0.35"/>
    <row r="2172" ht="15" customHeight="1" x14ac:dyDescent="0.35"/>
    <row r="2173" ht="15" customHeight="1" x14ac:dyDescent="0.35"/>
    <row r="2174" ht="15" customHeight="1" x14ac:dyDescent="0.35"/>
    <row r="2175" ht="15" customHeight="1" x14ac:dyDescent="0.35"/>
    <row r="2176" ht="15" customHeight="1" x14ac:dyDescent="0.35"/>
    <row r="2177" ht="15" customHeight="1" x14ac:dyDescent="0.35"/>
    <row r="2178" ht="15" customHeight="1" x14ac:dyDescent="0.35"/>
    <row r="2179" ht="15" customHeight="1" x14ac:dyDescent="0.35"/>
    <row r="2180" ht="15" customHeight="1" x14ac:dyDescent="0.35"/>
    <row r="2181" ht="15" customHeight="1" x14ac:dyDescent="0.35"/>
    <row r="2182" ht="15" customHeight="1" x14ac:dyDescent="0.35"/>
    <row r="2183" ht="15" customHeight="1" x14ac:dyDescent="0.35"/>
    <row r="2184" ht="15" customHeight="1" x14ac:dyDescent="0.35"/>
    <row r="2185" ht="15" customHeight="1" x14ac:dyDescent="0.35"/>
    <row r="2186" ht="15" customHeight="1" x14ac:dyDescent="0.35"/>
    <row r="2187" ht="15" customHeight="1" x14ac:dyDescent="0.35"/>
    <row r="2188" ht="15" customHeight="1" x14ac:dyDescent="0.35"/>
    <row r="2189" ht="15" customHeight="1" x14ac:dyDescent="0.35"/>
    <row r="2190" ht="15" customHeight="1" x14ac:dyDescent="0.35"/>
    <row r="2191" ht="15" customHeight="1" x14ac:dyDescent="0.35"/>
    <row r="2192" ht="15" customHeight="1" x14ac:dyDescent="0.35"/>
    <row r="2193" ht="15" customHeight="1" x14ac:dyDescent="0.35"/>
    <row r="2194" ht="15" customHeight="1" x14ac:dyDescent="0.35"/>
    <row r="2195" ht="15" customHeight="1" x14ac:dyDescent="0.35"/>
    <row r="2196" ht="15" customHeight="1" x14ac:dyDescent="0.35"/>
    <row r="2197" ht="15" customHeight="1" x14ac:dyDescent="0.35"/>
    <row r="2198" ht="15" customHeight="1" x14ac:dyDescent="0.35"/>
    <row r="2199" ht="15" customHeight="1" x14ac:dyDescent="0.35"/>
    <row r="2200" ht="15" customHeight="1" x14ac:dyDescent="0.35"/>
    <row r="2201" ht="15" customHeight="1" x14ac:dyDescent="0.35"/>
    <row r="2202" ht="15" customHeight="1" x14ac:dyDescent="0.35"/>
    <row r="2203" ht="15" customHeight="1" x14ac:dyDescent="0.35"/>
    <row r="2204" ht="15" customHeight="1" x14ac:dyDescent="0.35"/>
    <row r="2205" ht="15" customHeight="1" x14ac:dyDescent="0.35"/>
    <row r="2206" ht="15" customHeight="1" x14ac:dyDescent="0.35"/>
    <row r="2207" ht="15" customHeight="1" x14ac:dyDescent="0.35"/>
    <row r="2208" ht="15" customHeight="1" x14ac:dyDescent="0.35"/>
    <row r="2209" ht="15" customHeight="1" x14ac:dyDescent="0.35"/>
    <row r="2210" ht="15" customHeight="1" x14ac:dyDescent="0.35"/>
    <row r="2211" ht="15" customHeight="1" x14ac:dyDescent="0.35"/>
    <row r="2212" ht="15" customHeight="1" x14ac:dyDescent="0.35"/>
    <row r="2213" ht="15" customHeight="1" x14ac:dyDescent="0.35"/>
    <row r="2214" ht="15" customHeight="1" x14ac:dyDescent="0.35"/>
    <row r="2215" ht="15" customHeight="1" x14ac:dyDescent="0.35"/>
    <row r="2216" ht="15" customHeight="1" x14ac:dyDescent="0.35"/>
    <row r="2217" ht="15" customHeight="1" x14ac:dyDescent="0.35"/>
    <row r="2218" ht="15" customHeight="1" x14ac:dyDescent="0.35"/>
    <row r="2219" ht="15" customHeight="1" x14ac:dyDescent="0.35"/>
    <row r="2220" ht="15" customHeight="1" x14ac:dyDescent="0.35"/>
    <row r="2221" ht="15" customHeight="1" x14ac:dyDescent="0.35"/>
    <row r="2222" ht="15" customHeight="1" x14ac:dyDescent="0.35"/>
    <row r="2223" ht="15" customHeight="1" x14ac:dyDescent="0.35"/>
    <row r="2224" ht="15" customHeight="1" x14ac:dyDescent="0.35"/>
    <row r="2225" ht="15" customHeight="1" x14ac:dyDescent="0.35"/>
    <row r="2226" ht="15" customHeight="1" x14ac:dyDescent="0.35"/>
    <row r="2227" ht="15" customHeight="1" x14ac:dyDescent="0.35"/>
    <row r="2228" ht="15" customHeight="1" x14ac:dyDescent="0.35"/>
    <row r="2229" ht="15" customHeight="1" x14ac:dyDescent="0.35"/>
    <row r="2230" ht="15" customHeight="1" x14ac:dyDescent="0.35"/>
    <row r="2231" ht="15" customHeight="1" x14ac:dyDescent="0.35"/>
    <row r="2232" ht="15" customHeight="1" x14ac:dyDescent="0.35"/>
    <row r="2233" ht="15" customHeight="1" x14ac:dyDescent="0.35"/>
    <row r="2234" ht="15" customHeight="1" x14ac:dyDescent="0.35"/>
    <row r="2235" ht="15" customHeight="1" x14ac:dyDescent="0.35"/>
    <row r="2236" ht="15" customHeight="1" x14ac:dyDescent="0.35"/>
    <row r="2237" ht="15" customHeight="1" x14ac:dyDescent="0.35"/>
    <row r="2238" ht="15" customHeight="1" x14ac:dyDescent="0.35"/>
    <row r="2239" ht="15" customHeight="1" x14ac:dyDescent="0.35"/>
    <row r="2240" ht="15" customHeight="1" x14ac:dyDescent="0.35"/>
    <row r="2241" ht="15" customHeight="1" x14ac:dyDescent="0.35"/>
    <row r="2242" ht="15" customHeight="1" x14ac:dyDescent="0.35"/>
    <row r="2243" ht="15" customHeight="1" x14ac:dyDescent="0.35"/>
    <row r="2244" ht="15" customHeight="1" x14ac:dyDescent="0.35"/>
    <row r="2245" ht="15" customHeight="1" x14ac:dyDescent="0.35"/>
    <row r="2246" ht="15" customHeight="1" x14ac:dyDescent="0.35"/>
    <row r="2247" ht="15" customHeight="1" x14ac:dyDescent="0.35"/>
    <row r="2248" ht="15" customHeight="1" x14ac:dyDescent="0.35"/>
    <row r="2249" ht="15" customHeight="1" x14ac:dyDescent="0.35"/>
    <row r="2250" ht="15" customHeight="1" x14ac:dyDescent="0.35"/>
    <row r="2251" ht="15" customHeight="1" x14ac:dyDescent="0.35"/>
    <row r="2252" ht="15" customHeight="1" x14ac:dyDescent="0.35"/>
    <row r="2253" ht="15" customHeight="1" x14ac:dyDescent="0.35"/>
    <row r="2254" ht="15" customHeight="1" x14ac:dyDescent="0.35"/>
    <row r="2255" ht="15" customHeight="1" x14ac:dyDescent="0.35"/>
    <row r="2256" ht="15" customHeight="1" x14ac:dyDescent="0.35"/>
    <row r="2257" ht="15" customHeight="1" x14ac:dyDescent="0.35"/>
    <row r="2258" ht="15" customHeight="1" x14ac:dyDescent="0.35"/>
    <row r="2259" ht="15" customHeight="1" x14ac:dyDescent="0.35"/>
    <row r="2260" ht="15" customHeight="1" x14ac:dyDescent="0.35"/>
    <row r="2261" ht="15" customHeight="1" x14ac:dyDescent="0.35"/>
    <row r="2262" ht="15" customHeight="1" x14ac:dyDescent="0.35"/>
    <row r="2263" ht="15" customHeight="1" x14ac:dyDescent="0.35"/>
    <row r="2264" ht="15" customHeight="1" x14ac:dyDescent="0.35"/>
    <row r="2265" ht="15" customHeight="1" x14ac:dyDescent="0.35"/>
    <row r="2266" ht="15" customHeight="1" x14ac:dyDescent="0.35"/>
    <row r="2267" ht="15" customHeight="1" x14ac:dyDescent="0.35"/>
    <row r="2268" ht="15" customHeight="1" x14ac:dyDescent="0.35"/>
    <row r="2269" ht="15" customHeight="1" x14ac:dyDescent="0.35"/>
    <row r="2270" ht="15" customHeight="1" x14ac:dyDescent="0.35"/>
    <row r="2271" ht="15" customHeight="1" x14ac:dyDescent="0.35"/>
    <row r="2272" ht="15" customHeight="1" x14ac:dyDescent="0.35"/>
    <row r="2273" ht="15" customHeight="1" x14ac:dyDescent="0.35"/>
    <row r="2274" ht="15" customHeight="1" x14ac:dyDescent="0.35"/>
    <row r="2275" ht="15" customHeight="1" x14ac:dyDescent="0.35"/>
    <row r="2276" ht="15" customHeight="1" x14ac:dyDescent="0.35"/>
    <row r="2277" ht="15" customHeight="1" x14ac:dyDescent="0.35"/>
    <row r="2278" ht="15" customHeight="1" x14ac:dyDescent="0.35"/>
    <row r="2279" ht="15" customHeight="1" x14ac:dyDescent="0.35"/>
    <row r="2280" ht="15" customHeight="1" x14ac:dyDescent="0.35"/>
    <row r="2281" ht="15" customHeight="1" x14ac:dyDescent="0.35"/>
    <row r="2282" ht="15" customHeight="1" x14ac:dyDescent="0.35"/>
    <row r="2283" ht="15" customHeight="1" x14ac:dyDescent="0.35"/>
    <row r="2284" ht="15" customHeight="1" x14ac:dyDescent="0.35"/>
    <row r="2285" ht="15" customHeight="1" x14ac:dyDescent="0.35"/>
    <row r="2286" ht="15" customHeight="1" x14ac:dyDescent="0.35"/>
    <row r="2287" ht="15" customHeight="1" x14ac:dyDescent="0.35"/>
    <row r="2288" ht="15" customHeight="1" x14ac:dyDescent="0.35"/>
    <row r="2289" ht="15" customHeight="1" x14ac:dyDescent="0.35"/>
    <row r="2290" ht="15" customHeight="1" x14ac:dyDescent="0.35"/>
    <row r="2291" ht="15" customHeight="1" x14ac:dyDescent="0.35"/>
    <row r="2292" ht="15" customHeight="1" x14ac:dyDescent="0.35"/>
    <row r="2293" ht="15" customHeight="1" x14ac:dyDescent="0.35"/>
    <row r="2294" ht="15" customHeight="1" x14ac:dyDescent="0.35"/>
    <row r="2295" ht="15" customHeight="1" x14ac:dyDescent="0.35"/>
    <row r="2296" ht="15" customHeight="1" x14ac:dyDescent="0.35"/>
    <row r="2297" ht="15" customHeight="1" x14ac:dyDescent="0.35"/>
    <row r="2298" ht="15" customHeight="1" x14ac:dyDescent="0.35"/>
    <row r="2299" ht="15" customHeight="1" x14ac:dyDescent="0.35"/>
    <row r="2300" ht="15" customHeight="1" x14ac:dyDescent="0.35"/>
    <row r="2301" ht="15" customHeight="1" x14ac:dyDescent="0.35"/>
    <row r="2302" ht="15" customHeight="1" x14ac:dyDescent="0.35"/>
    <row r="2303" ht="15" customHeight="1" x14ac:dyDescent="0.35"/>
    <row r="2304" ht="15" customHeight="1" x14ac:dyDescent="0.35"/>
    <row r="2305" ht="15" customHeight="1" x14ac:dyDescent="0.35"/>
    <row r="2306" ht="15" customHeight="1" x14ac:dyDescent="0.35"/>
    <row r="2307" ht="15" customHeight="1" x14ac:dyDescent="0.35"/>
    <row r="2308" ht="15" customHeight="1" x14ac:dyDescent="0.35"/>
    <row r="2309" ht="15" customHeight="1" x14ac:dyDescent="0.35"/>
    <row r="2310" ht="15" customHeight="1" x14ac:dyDescent="0.35"/>
    <row r="2311" ht="15" customHeight="1" x14ac:dyDescent="0.35"/>
    <row r="2312" ht="15" customHeight="1" x14ac:dyDescent="0.35"/>
    <row r="2313" ht="15" customHeight="1" x14ac:dyDescent="0.35"/>
    <row r="2314" ht="15" customHeight="1" x14ac:dyDescent="0.35"/>
    <row r="2315" ht="15" customHeight="1" x14ac:dyDescent="0.35"/>
    <row r="2316" ht="15" customHeight="1" x14ac:dyDescent="0.35"/>
    <row r="2317" ht="15" customHeight="1" x14ac:dyDescent="0.35"/>
    <row r="2318" ht="15" customHeight="1" x14ac:dyDescent="0.35"/>
    <row r="2319" ht="15" customHeight="1" x14ac:dyDescent="0.35"/>
    <row r="2320" ht="15" customHeight="1" x14ac:dyDescent="0.35"/>
    <row r="2321" ht="15" customHeight="1" x14ac:dyDescent="0.35"/>
    <row r="2322" ht="15" customHeight="1" x14ac:dyDescent="0.35"/>
    <row r="2323" ht="15" customHeight="1" x14ac:dyDescent="0.35"/>
    <row r="2324" ht="15" customHeight="1" x14ac:dyDescent="0.35"/>
    <row r="2325" ht="15" customHeight="1" x14ac:dyDescent="0.35"/>
    <row r="2326" ht="15" customHeight="1" x14ac:dyDescent="0.35"/>
    <row r="2327" ht="15" customHeight="1" x14ac:dyDescent="0.35"/>
    <row r="2328" ht="15" customHeight="1" x14ac:dyDescent="0.35"/>
    <row r="2329" ht="15" customHeight="1" x14ac:dyDescent="0.35"/>
    <row r="2330" ht="15" customHeight="1" x14ac:dyDescent="0.35"/>
    <row r="2331" ht="15" customHeight="1" x14ac:dyDescent="0.35"/>
    <row r="2332" ht="15" customHeight="1" x14ac:dyDescent="0.35"/>
    <row r="2333" ht="15" customHeight="1" x14ac:dyDescent="0.35"/>
    <row r="2334" ht="15" customHeight="1" x14ac:dyDescent="0.35"/>
    <row r="2335" ht="15" customHeight="1" x14ac:dyDescent="0.35"/>
    <row r="2336" ht="15" customHeight="1" x14ac:dyDescent="0.35"/>
    <row r="2337" ht="15" customHeight="1" x14ac:dyDescent="0.35"/>
    <row r="2338" ht="15" customHeight="1" x14ac:dyDescent="0.35"/>
    <row r="2339" ht="15" customHeight="1" x14ac:dyDescent="0.35"/>
    <row r="2340" ht="15" customHeight="1" x14ac:dyDescent="0.35"/>
    <row r="2341" ht="15" customHeight="1" x14ac:dyDescent="0.35"/>
    <row r="2342" ht="15" customHeight="1" x14ac:dyDescent="0.35"/>
    <row r="2343" ht="15" customHeight="1" x14ac:dyDescent="0.35"/>
    <row r="2344" ht="15" customHeight="1" x14ac:dyDescent="0.35"/>
    <row r="2345" ht="15" customHeight="1" x14ac:dyDescent="0.35"/>
    <row r="2346" ht="15" customHeight="1" x14ac:dyDescent="0.35"/>
    <row r="2347" ht="15" customHeight="1" x14ac:dyDescent="0.35"/>
    <row r="2348" ht="15" customHeight="1" x14ac:dyDescent="0.35"/>
    <row r="2349" ht="15" customHeight="1" x14ac:dyDescent="0.35"/>
    <row r="2350" ht="15" customHeight="1" x14ac:dyDescent="0.35"/>
    <row r="2351" ht="15" customHeight="1" x14ac:dyDescent="0.35"/>
    <row r="2352" ht="15" customHeight="1" x14ac:dyDescent="0.35"/>
    <row r="2353" ht="15" customHeight="1" x14ac:dyDescent="0.35"/>
    <row r="2354" ht="15" customHeight="1" x14ac:dyDescent="0.35"/>
    <row r="2355" ht="15" customHeight="1" x14ac:dyDescent="0.35"/>
    <row r="2356" ht="15" customHeight="1" x14ac:dyDescent="0.35"/>
    <row r="2357" ht="15" customHeight="1" x14ac:dyDescent="0.35"/>
    <row r="2358" ht="15" customHeight="1" x14ac:dyDescent="0.35"/>
    <row r="2359" ht="15" customHeight="1" x14ac:dyDescent="0.35"/>
    <row r="2360" ht="15" customHeight="1" x14ac:dyDescent="0.35"/>
    <row r="2361" ht="15" customHeight="1" x14ac:dyDescent="0.35"/>
    <row r="2362" ht="15" customHeight="1" x14ac:dyDescent="0.35"/>
    <row r="2363" ht="15" customHeight="1" x14ac:dyDescent="0.35"/>
    <row r="2364" ht="15" customHeight="1" x14ac:dyDescent="0.35"/>
    <row r="2365" ht="15" customHeight="1" x14ac:dyDescent="0.35"/>
    <row r="2366" ht="15" customHeight="1" x14ac:dyDescent="0.35"/>
    <row r="2367" ht="15" customHeight="1" x14ac:dyDescent="0.35"/>
    <row r="2368" ht="15" customHeight="1" x14ac:dyDescent="0.35"/>
    <row r="2369" ht="15" customHeight="1" x14ac:dyDescent="0.35"/>
    <row r="2370" ht="15" customHeight="1" x14ac:dyDescent="0.35"/>
    <row r="2371" ht="15" customHeight="1" x14ac:dyDescent="0.35"/>
    <row r="2372" ht="15" customHeight="1" x14ac:dyDescent="0.35"/>
    <row r="2373" ht="15" customHeight="1" x14ac:dyDescent="0.35"/>
    <row r="2374" ht="15" customHeight="1" x14ac:dyDescent="0.35"/>
    <row r="2375" ht="15" customHeight="1" x14ac:dyDescent="0.35"/>
    <row r="2376" ht="15" customHeight="1" x14ac:dyDescent="0.35"/>
    <row r="2377" ht="15" customHeight="1" x14ac:dyDescent="0.35"/>
    <row r="2378" ht="15" customHeight="1" x14ac:dyDescent="0.35"/>
    <row r="2379" ht="15" customHeight="1" x14ac:dyDescent="0.35"/>
    <row r="2380" ht="15" customHeight="1" x14ac:dyDescent="0.35"/>
    <row r="2381" ht="15" customHeight="1" x14ac:dyDescent="0.35"/>
    <row r="2382" ht="15" customHeight="1" x14ac:dyDescent="0.35"/>
    <row r="2383" ht="15" customHeight="1" x14ac:dyDescent="0.35"/>
    <row r="2384" ht="15" customHeight="1" x14ac:dyDescent="0.35"/>
    <row r="2385" ht="15" customHeight="1" x14ac:dyDescent="0.35"/>
    <row r="2386" ht="15" customHeight="1" x14ac:dyDescent="0.35"/>
    <row r="2387" ht="15" customHeight="1" x14ac:dyDescent="0.35"/>
    <row r="2388" ht="15" customHeight="1" x14ac:dyDescent="0.35"/>
    <row r="2389" ht="15" customHeight="1" x14ac:dyDescent="0.35"/>
    <row r="2390" ht="15" customHeight="1" x14ac:dyDescent="0.35"/>
    <row r="2391" ht="15" customHeight="1" x14ac:dyDescent="0.35"/>
    <row r="2392" ht="15" customHeight="1" x14ac:dyDescent="0.35"/>
    <row r="2393" ht="15" customHeight="1" x14ac:dyDescent="0.35"/>
    <row r="2394" ht="15" customHeight="1" x14ac:dyDescent="0.35"/>
    <row r="2395" ht="15" customHeight="1" x14ac:dyDescent="0.35"/>
    <row r="2396" ht="15" customHeight="1" x14ac:dyDescent="0.35"/>
    <row r="2397" ht="15" customHeight="1" x14ac:dyDescent="0.35"/>
    <row r="2398" ht="15" customHeight="1" x14ac:dyDescent="0.35"/>
    <row r="2399" ht="15" customHeight="1" x14ac:dyDescent="0.35"/>
    <row r="2400" ht="15" customHeight="1" x14ac:dyDescent="0.35"/>
    <row r="2401" ht="15" customHeight="1" x14ac:dyDescent="0.35"/>
    <row r="2402" ht="15" customHeight="1" x14ac:dyDescent="0.35"/>
    <row r="2403" ht="15" customHeight="1" x14ac:dyDescent="0.35"/>
    <row r="2404" ht="15" customHeight="1" x14ac:dyDescent="0.35"/>
    <row r="2405" ht="15" customHeight="1" x14ac:dyDescent="0.35"/>
    <row r="2406" ht="15" customHeight="1" x14ac:dyDescent="0.35"/>
    <row r="2407" ht="15" customHeight="1" x14ac:dyDescent="0.35"/>
    <row r="2408" ht="15" customHeight="1" x14ac:dyDescent="0.35"/>
    <row r="2409" ht="15" customHeight="1" x14ac:dyDescent="0.35"/>
    <row r="2410" ht="15" customHeight="1" x14ac:dyDescent="0.35"/>
    <row r="2411" ht="15" customHeight="1" x14ac:dyDescent="0.35"/>
    <row r="2412" ht="15" customHeight="1" x14ac:dyDescent="0.35"/>
    <row r="2413" ht="15" customHeight="1" x14ac:dyDescent="0.35"/>
    <row r="2414" ht="15" customHeight="1" x14ac:dyDescent="0.35"/>
    <row r="2415" ht="15" customHeight="1" x14ac:dyDescent="0.35"/>
    <row r="2416" ht="15" customHeight="1" x14ac:dyDescent="0.35"/>
    <row r="2417" ht="15" customHeight="1" x14ac:dyDescent="0.35"/>
    <row r="2418" ht="15" customHeight="1" x14ac:dyDescent="0.35"/>
    <row r="2419" ht="15" customHeight="1" x14ac:dyDescent="0.35"/>
    <row r="2420" ht="15" customHeight="1" x14ac:dyDescent="0.35"/>
    <row r="2421" ht="15" customHeight="1" x14ac:dyDescent="0.35"/>
    <row r="2422" ht="15" customHeight="1" x14ac:dyDescent="0.35"/>
    <row r="2423" ht="15" customHeight="1" x14ac:dyDescent="0.35"/>
    <row r="2424" ht="15" customHeight="1" x14ac:dyDescent="0.35"/>
    <row r="2425" ht="15" customHeight="1" x14ac:dyDescent="0.35"/>
    <row r="2426" ht="15" customHeight="1" x14ac:dyDescent="0.35"/>
    <row r="2427" ht="15" customHeight="1" x14ac:dyDescent="0.35"/>
    <row r="2428" ht="15" customHeight="1" x14ac:dyDescent="0.35"/>
    <row r="2429" ht="15" customHeight="1" x14ac:dyDescent="0.35"/>
    <row r="2430" ht="15" customHeight="1" x14ac:dyDescent="0.35"/>
    <row r="2431" ht="15" customHeight="1" x14ac:dyDescent="0.35"/>
    <row r="2432" ht="15" customHeight="1" x14ac:dyDescent="0.35"/>
    <row r="2433" ht="15" customHeight="1" x14ac:dyDescent="0.35"/>
    <row r="2434" ht="15" customHeight="1" x14ac:dyDescent="0.35"/>
    <row r="2435" ht="15" customHeight="1" x14ac:dyDescent="0.35"/>
    <row r="2436" ht="15" customHeight="1" x14ac:dyDescent="0.35"/>
    <row r="2437" ht="15" customHeight="1" x14ac:dyDescent="0.35"/>
    <row r="2438" ht="15" customHeight="1" x14ac:dyDescent="0.35"/>
    <row r="2439" ht="15" customHeight="1" x14ac:dyDescent="0.35"/>
    <row r="2440" ht="15" customHeight="1" x14ac:dyDescent="0.35"/>
    <row r="2441" ht="15" customHeight="1" x14ac:dyDescent="0.35"/>
    <row r="2442" ht="15" customHeight="1" x14ac:dyDescent="0.35"/>
    <row r="2443" ht="15" customHeight="1" x14ac:dyDescent="0.35"/>
    <row r="2444" ht="15" customHeight="1" x14ac:dyDescent="0.35"/>
    <row r="2445" ht="15" customHeight="1" x14ac:dyDescent="0.35"/>
    <row r="2446" ht="15" customHeight="1" x14ac:dyDescent="0.35"/>
    <row r="2447" ht="15" customHeight="1" x14ac:dyDescent="0.35"/>
    <row r="2448" ht="15" customHeight="1" x14ac:dyDescent="0.35"/>
    <row r="2449" ht="15" customHeight="1" x14ac:dyDescent="0.35"/>
    <row r="2450" ht="15" customHeight="1" x14ac:dyDescent="0.35"/>
    <row r="2451" ht="15" customHeight="1" x14ac:dyDescent="0.35"/>
    <row r="2452" ht="15" customHeight="1" x14ac:dyDescent="0.35"/>
    <row r="2453" ht="15" customHeight="1" x14ac:dyDescent="0.35"/>
    <row r="2454" ht="15" customHeight="1" x14ac:dyDescent="0.35"/>
    <row r="2455" ht="15" customHeight="1" x14ac:dyDescent="0.35"/>
    <row r="2456" ht="15" customHeight="1" x14ac:dyDescent="0.35"/>
    <row r="2457" ht="15" customHeight="1" x14ac:dyDescent="0.35"/>
    <row r="2458" ht="15" customHeight="1" x14ac:dyDescent="0.35"/>
    <row r="2459" ht="15" customHeight="1" x14ac:dyDescent="0.35"/>
    <row r="2460" ht="15" customHeight="1" x14ac:dyDescent="0.35"/>
    <row r="2461" ht="15" customHeight="1" x14ac:dyDescent="0.35"/>
    <row r="2462" ht="15" customHeight="1" x14ac:dyDescent="0.35"/>
    <row r="2463" ht="15" customHeight="1" x14ac:dyDescent="0.35"/>
    <row r="2464" ht="15" customHeight="1" x14ac:dyDescent="0.35"/>
    <row r="2465" ht="15" customHeight="1" x14ac:dyDescent="0.35"/>
    <row r="2466" ht="15" customHeight="1" x14ac:dyDescent="0.35"/>
    <row r="2467" ht="15" customHeight="1" x14ac:dyDescent="0.35"/>
    <row r="2468" ht="15" customHeight="1" x14ac:dyDescent="0.35"/>
    <row r="2469" ht="15" customHeight="1" x14ac:dyDescent="0.35"/>
    <row r="2470" ht="15" customHeight="1" x14ac:dyDescent="0.35"/>
    <row r="2471" ht="15" customHeight="1" x14ac:dyDescent="0.35"/>
    <row r="2472" ht="15" customHeight="1" x14ac:dyDescent="0.35"/>
    <row r="2473" ht="15" customHeight="1" x14ac:dyDescent="0.35"/>
    <row r="2474" ht="15" customHeight="1" x14ac:dyDescent="0.35"/>
    <row r="2475" ht="15" customHeight="1" x14ac:dyDescent="0.35"/>
    <row r="2476" ht="15" customHeight="1" x14ac:dyDescent="0.35"/>
    <row r="2477" ht="15" customHeight="1" x14ac:dyDescent="0.35"/>
    <row r="2478" ht="15" customHeight="1" x14ac:dyDescent="0.35"/>
    <row r="2479" ht="15" customHeight="1" x14ac:dyDescent="0.35"/>
    <row r="2480" ht="15" customHeight="1" x14ac:dyDescent="0.35"/>
    <row r="2481" ht="15" customHeight="1" x14ac:dyDescent="0.35"/>
    <row r="2482" ht="15" customHeight="1" x14ac:dyDescent="0.35"/>
    <row r="2483" ht="15" customHeight="1" x14ac:dyDescent="0.35"/>
    <row r="2484" ht="15" customHeight="1" x14ac:dyDescent="0.35"/>
    <row r="2485" ht="15" customHeight="1" x14ac:dyDescent="0.35"/>
    <row r="2486" ht="15" customHeight="1" x14ac:dyDescent="0.35"/>
    <row r="2487" ht="15" customHeight="1" x14ac:dyDescent="0.35"/>
    <row r="2488" ht="15" customHeight="1" x14ac:dyDescent="0.35"/>
    <row r="2489" ht="15" customHeight="1" x14ac:dyDescent="0.35"/>
    <row r="2490" ht="15" customHeight="1" x14ac:dyDescent="0.35"/>
    <row r="2491" ht="15" customHeight="1" x14ac:dyDescent="0.35"/>
    <row r="2492" ht="15" customHeight="1" x14ac:dyDescent="0.35"/>
    <row r="2493" ht="15" customHeight="1" x14ac:dyDescent="0.35"/>
    <row r="2494" ht="15" customHeight="1" x14ac:dyDescent="0.35"/>
    <row r="2495" ht="15" customHeight="1" x14ac:dyDescent="0.35"/>
    <row r="2496" ht="15" customHeight="1" x14ac:dyDescent="0.35"/>
    <row r="2497" ht="15" customHeight="1" x14ac:dyDescent="0.35"/>
    <row r="2498" ht="15" customHeight="1" x14ac:dyDescent="0.35"/>
    <row r="2499" ht="15" customHeight="1" x14ac:dyDescent="0.35"/>
    <row r="2500" ht="15" customHeight="1" x14ac:dyDescent="0.35"/>
    <row r="2501" ht="15" customHeight="1" x14ac:dyDescent="0.35"/>
    <row r="2502" ht="15" customHeight="1" x14ac:dyDescent="0.35"/>
    <row r="2503" ht="15" customHeight="1" x14ac:dyDescent="0.35"/>
    <row r="2504" ht="15" customHeight="1" x14ac:dyDescent="0.35"/>
    <row r="2505" ht="15" customHeight="1" x14ac:dyDescent="0.35"/>
    <row r="2506" ht="15" customHeight="1" x14ac:dyDescent="0.35"/>
    <row r="2507" ht="15" customHeight="1" x14ac:dyDescent="0.35"/>
    <row r="2508" ht="15" customHeight="1" x14ac:dyDescent="0.35"/>
    <row r="2509" ht="15" customHeight="1" x14ac:dyDescent="0.35"/>
    <row r="2510" ht="15" customHeight="1" x14ac:dyDescent="0.35"/>
    <row r="2511" ht="15" customHeight="1" x14ac:dyDescent="0.35"/>
    <row r="2512" ht="15" customHeight="1" x14ac:dyDescent="0.35"/>
    <row r="2513" ht="15" customHeight="1" x14ac:dyDescent="0.35"/>
    <row r="2514" ht="15" customHeight="1" x14ac:dyDescent="0.35"/>
    <row r="2515" ht="15" customHeight="1" x14ac:dyDescent="0.35"/>
    <row r="2516" ht="15" customHeight="1" x14ac:dyDescent="0.35"/>
    <row r="2517" ht="15" customHeight="1" x14ac:dyDescent="0.35"/>
    <row r="2518" ht="15" customHeight="1" x14ac:dyDescent="0.35"/>
    <row r="2519" ht="15" customHeight="1" x14ac:dyDescent="0.35"/>
    <row r="2520" ht="15" customHeight="1" x14ac:dyDescent="0.35"/>
    <row r="2521" ht="15" customHeight="1" x14ac:dyDescent="0.35"/>
    <row r="2522" ht="15" customHeight="1" x14ac:dyDescent="0.35"/>
    <row r="2523" ht="15" customHeight="1" x14ac:dyDescent="0.35"/>
    <row r="2524" ht="15" customHeight="1" x14ac:dyDescent="0.35"/>
    <row r="2525" ht="15" customHeight="1" x14ac:dyDescent="0.35"/>
    <row r="2526" ht="15" customHeight="1" x14ac:dyDescent="0.35"/>
    <row r="2527" ht="15" customHeight="1" x14ac:dyDescent="0.35"/>
    <row r="2528" ht="15" customHeight="1" x14ac:dyDescent="0.35"/>
    <row r="2529" ht="15" customHeight="1" x14ac:dyDescent="0.35"/>
    <row r="2530" ht="15" customHeight="1" x14ac:dyDescent="0.35"/>
    <row r="2531" ht="15" customHeight="1" x14ac:dyDescent="0.35"/>
    <row r="2532" ht="15" customHeight="1" x14ac:dyDescent="0.35"/>
    <row r="2533" ht="15" customHeight="1" x14ac:dyDescent="0.35"/>
    <row r="2534" ht="15" customHeight="1" x14ac:dyDescent="0.35"/>
    <row r="2535" ht="15" customHeight="1" x14ac:dyDescent="0.35"/>
    <row r="2536" ht="15" customHeight="1" x14ac:dyDescent="0.35"/>
    <row r="2537" ht="15" customHeight="1" x14ac:dyDescent="0.35"/>
    <row r="2538" ht="15" customHeight="1" x14ac:dyDescent="0.35"/>
    <row r="2539" ht="15" customHeight="1" x14ac:dyDescent="0.35"/>
    <row r="2540" ht="15" customHeight="1" x14ac:dyDescent="0.35"/>
    <row r="2541" ht="15" customHeight="1" x14ac:dyDescent="0.35"/>
    <row r="2542" ht="15" customHeight="1" x14ac:dyDescent="0.35"/>
    <row r="2543" ht="15" customHeight="1" x14ac:dyDescent="0.35"/>
    <row r="2544" ht="15" customHeight="1" x14ac:dyDescent="0.35"/>
    <row r="2545" ht="15" customHeight="1" x14ac:dyDescent="0.35"/>
    <row r="2546" ht="15" customHeight="1" x14ac:dyDescent="0.35"/>
    <row r="2547" ht="15" customHeight="1" x14ac:dyDescent="0.35"/>
    <row r="2548" ht="15" customHeight="1" x14ac:dyDescent="0.35"/>
    <row r="2549" ht="15" customHeight="1" x14ac:dyDescent="0.35"/>
    <row r="2550" ht="15" customHeight="1" x14ac:dyDescent="0.35"/>
    <row r="2551" ht="15" customHeight="1" x14ac:dyDescent="0.35"/>
    <row r="2552" ht="15" customHeight="1" x14ac:dyDescent="0.35"/>
    <row r="2553" ht="15" customHeight="1" x14ac:dyDescent="0.35"/>
    <row r="2554" ht="15" customHeight="1" x14ac:dyDescent="0.35"/>
    <row r="2555" ht="15" customHeight="1" x14ac:dyDescent="0.35"/>
    <row r="2556" ht="15" customHeight="1" x14ac:dyDescent="0.35"/>
    <row r="2557" ht="15" customHeight="1" x14ac:dyDescent="0.35"/>
    <row r="2558" ht="15" customHeight="1" x14ac:dyDescent="0.35"/>
    <row r="2559" ht="15" customHeight="1" x14ac:dyDescent="0.35"/>
    <row r="2560" ht="15" customHeight="1" x14ac:dyDescent="0.35"/>
    <row r="2561" ht="15" customHeight="1" x14ac:dyDescent="0.35"/>
    <row r="2562" ht="15" customHeight="1" x14ac:dyDescent="0.35"/>
    <row r="2563" ht="15" customHeight="1" x14ac:dyDescent="0.35"/>
    <row r="2564" ht="15" customHeight="1" x14ac:dyDescent="0.35"/>
    <row r="2565" ht="15" customHeight="1" x14ac:dyDescent="0.35"/>
    <row r="2566" ht="15" customHeight="1" x14ac:dyDescent="0.35"/>
    <row r="2567" ht="15" customHeight="1" x14ac:dyDescent="0.35"/>
    <row r="2568" ht="15" customHeight="1" x14ac:dyDescent="0.35"/>
    <row r="2569" ht="15" customHeight="1" x14ac:dyDescent="0.35"/>
    <row r="2570" ht="15" customHeight="1" x14ac:dyDescent="0.35"/>
    <row r="2571" ht="15" customHeight="1" x14ac:dyDescent="0.35"/>
    <row r="2572" ht="15" customHeight="1" x14ac:dyDescent="0.35"/>
    <row r="2573" ht="15" customHeight="1" x14ac:dyDescent="0.35"/>
    <row r="2574" ht="15" customHeight="1" x14ac:dyDescent="0.35"/>
    <row r="2575" ht="15" customHeight="1" x14ac:dyDescent="0.35"/>
    <row r="2576" ht="15" customHeight="1" x14ac:dyDescent="0.35"/>
    <row r="2577" ht="15" customHeight="1" x14ac:dyDescent="0.35"/>
    <row r="2578" ht="15" customHeight="1" x14ac:dyDescent="0.35"/>
    <row r="2579" ht="15" customHeight="1" x14ac:dyDescent="0.35"/>
    <row r="2580" ht="15" customHeight="1" x14ac:dyDescent="0.35"/>
    <row r="2581" ht="15" customHeight="1" x14ac:dyDescent="0.35"/>
    <row r="2582" ht="15" customHeight="1" x14ac:dyDescent="0.35"/>
    <row r="2583" ht="15" customHeight="1" x14ac:dyDescent="0.35"/>
    <row r="2584" ht="15" customHeight="1" x14ac:dyDescent="0.35"/>
    <row r="2585" ht="15" customHeight="1" x14ac:dyDescent="0.35"/>
    <row r="2586" ht="15" customHeight="1" x14ac:dyDescent="0.35"/>
    <row r="2587" ht="15" customHeight="1" x14ac:dyDescent="0.35"/>
    <row r="2588" ht="15" customHeight="1" x14ac:dyDescent="0.35"/>
    <row r="2589" ht="15" customHeight="1" x14ac:dyDescent="0.35"/>
    <row r="2590" ht="15" customHeight="1" x14ac:dyDescent="0.35"/>
    <row r="2591" ht="15" customHeight="1" x14ac:dyDescent="0.35"/>
    <row r="2592" ht="15" customHeight="1" x14ac:dyDescent="0.35"/>
    <row r="2593" ht="15" customHeight="1" x14ac:dyDescent="0.35"/>
    <row r="2594" ht="15" customHeight="1" x14ac:dyDescent="0.35"/>
    <row r="2595" ht="15" customHeight="1" x14ac:dyDescent="0.35"/>
    <row r="2596" ht="15" customHeight="1" x14ac:dyDescent="0.35"/>
    <row r="2597" ht="15" customHeight="1" x14ac:dyDescent="0.35"/>
    <row r="2598" ht="15" customHeight="1" x14ac:dyDescent="0.35"/>
    <row r="2599" ht="15" customHeight="1" x14ac:dyDescent="0.35"/>
    <row r="2600" ht="15" customHeight="1" x14ac:dyDescent="0.35"/>
    <row r="2601" ht="15" customHeight="1" x14ac:dyDescent="0.35"/>
    <row r="2602" ht="15" customHeight="1" x14ac:dyDescent="0.35"/>
    <row r="2603" ht="15" customHeight="1" x14ac:dyDescent="0.35"/>
    <row r="2604" ht="15" customHeight="1" x14ac:dyDescent="0.35"/>
    <row r="2605" ht="15" customHeight="1" x14ac:dyDescent="0.35"/>
    <row r="2606" ht="15" customHeight="1" x14ac:dyDescent="0.35"/>
    <row r="2607" ht="15" customHeight="1" x14ac:dyDescent="0.35"/>
    <row r="2608" ht="15" customHeight="1" x14ac:dyDescent="0.35"/>
    <row r="2609" ht="15" customHeight="1" x14ac:dyDescent="0.35"/>
    <row r="2610" ht="15" customHeight="1" x14ac:dyDescent="0.35"/>
    <row r="2611" ht="15" customHeight="1" x14ac:dyDescent="0.35"/>
    <row r="2612" ht="15" customHeight="1" x14ac:dyDescent="0.35"/>
    <row r="2613" ht="15" customHeight="1" x14ac:dyDescent="0.35"/>
    <row r="2614" ht="15" customHeight="1" x14ac:dyDescent="0.35"/>
    <row r="2615" ht="15" customHeight="1" x14ac:dyDescent="0.35"/>
    <row r="2616" ht="15" customHeight="1" x14ac:dyDescent="0.35"/>
    <row r="2617" ht="15" customHeight="1" x14ac:dyDescent="0.35"/>
    <row r="2618" ht="15" customHeight="1" x14ac:dyDescent="0.35"/>
    <row r="2619" ht="15" customHeight="1" x14ac:dyDescent="0.35"/>
    <row r="2620" ht="15" customHeight="1" x14ac:dyDescent="0.35"/>
    <row r="2621" ht="15" customHeight="1" x14ac:dyDescent="0.35"/>
    <row r="2622" ht="15" customHeight="1" x14ac:dyDescent="0.35"/>
    <row r="2623" ht="15" customHeight="1" x14ac:dyDescent="0.35"/>
    <row r="2624" ht="15" customHeight="1" x14ac:dyDescent="0.35"/>
    <row r="2625" ht="15" customHeight="1" x14ac:dyDescent="0.35"/>
    <row r="2626" ht="15" customHeight="1" x14ac:dyDescent="0.35"/>
    <row r="2627" ht="15" customHeight="1" x14ac:dyDescent="0.35"/>
    <row r="2628" ht="15" customHeight="1" x14ac:dyDescent="0.35"/>
    <row r="2629" ht="15" customHeight="1" x14ac:dyDescent="0.35"/>
    <row r="2630" ht="15" customHeight="1" x14ac:dyDescent="0.35"/>
    <row r="2631" ht="15" customHeight="1" x14ac:dyDescent="0.35"/>
    <row r="2632" ht="15" customHeight="1" x14ac:dyDescent="0.35"/>
    <row r="2633" ht="15" customHeight="1" x14ac:dyDescent="0.35"/>
    <row r="2634" ht="15" customHeight="1" x14ac:dyDescent="0.35"/>
    <row r="2635" ht="15" customHeight="1" x14ac:dyDescent="0.35"/>
    <row r="2636" ht="15" customHeight="1" x14ac:dyDescent="0.35"/>
    <row r="2637" ht="15" customHeight="1" x14ac:dyDescent="0.35"/>
    <row r="2638" ht="15" customHeight="1" x14ac:dyDescent="0.35"/>
    <row r="2639" ht="15" customHeight="1" x14ac:dyDescent="0.35"/>
    <row r="2640" ht="15" customHeight="1" x14ac:dyDescent="0.35"/>
    <row r="2641" ht="15" customHeight="1" x14ac:dyDescent="0.35"/>
    <row r="2642" ht="15" customHeight="1" x14ac:dyDescent="0.35"/>
    <row r="2643" ht="15" customHeight="1" x14ac:dyDescent="0.35"/>
    <row r="2644" ht="15" customHeight="1" x14ac:dyDescent="0.35"/>
    <row r="2645" ht="15" customHeight="1" x14ac:dyDescent="0.35"/>
    <row r="2646" ht="15" customHeight="1" x14ac:dyDescent="0.35"/>
    <row r="2647" ht="15" customHeight="1" x14ac:dyDescent="0.35"/>
    <row r="2648" ht="15" customHeight="1" x14ac:dyDescent="0.35"/>
    <row r="2649" ht="15" customHeight="1" x14ac:dyDescent="0.35"/>
    <row r="2650" ht="15" customHeight="1" x14ac:dyDescent="0.35"/>
    <row r="2651" ht="15" customHeight="1" x14ac:dyDescent="0.35"/>
    <row r="2652" ht="15" customHeight="1" x14ac:dyDescent="0.35"/>
    <row r="2653" ht="15" customHeight="1" x14ac:dyDescent="0.35"/>
    <row r="2654" ht="15" customHeight="1" x14ac:dyDescent="0.35"/>
    <row r="2655" ht="15" customHeight="1" x14ac:dyDescent="0.35"/>
    <row r="2656" ht="15" customHeight="1" x14ac:dyDescent="0.35"/>
    <row r="2657" ht="15" customHeight="1" x14ac:dyDescent="0.35"/>
    <row r="2658" ht="15" customHeight="1" x14ac:dyDescent="0.35"/>
    <row r="2659" ht="15" customHeight="1" x14ac:dyDescent="0.35"/>
    <row r="2660" ht="15" customHeight="1" x14ac:dyDescent="0.35"/>
    <row r="2661" ht="15" customHeight="1" x14ac:dyDescent="0.35"/>
    <row r="2662" ht="15" customHeight="1" x14ac:dyDescent="0.35"/>
    <row r="2663" ht="15" customHeight="1" x14ac:dyDescent="0.35"/>
    <row r="2664" ht="15" customHeight="1" x14ac:dyDescent="0.35"/>
    <row r="2665" ht="15" customHeight="1" x14ac:dyDescent="0.35"/>
    <row r="2666" ht="15" customHeight="1" x14ac:dyDescent="0.35"/>
    <row r="2667" ht="15" customHeight="1" x14ac:dyDescent="0.35"/>
    <row r="2668" ht="15" customHeight="1" x14ac:dyDescent="0.35"/>
    <row r="2669" ht="15" customHeight="1" x14ac:dyDescent="0.35"/>
    <row r="2670" ht="15" customHeight="1" x14ac:dyDescent="0.35"/>
    <row r="2671" ht="15" customHeight="1" x14ac:dyDescent="0.35"/>
    <row r="2672" ht="15" customHeight="1" x14ac:dyDescent="0.35"/>
    <row r="2673" ht="15" customHeight="1" x14ac:dyDescent="0.35"/>
    <row r="2674" ht="15" customHeight="1" x14ac:dyDescent="0.35"/>
    <row r="2675" ht="15" customHeight="1" x14ac:dyDescent="0.35"/>
    <row r="2676" ht="15" customHeight="1" x14ac:dyDescent="0.35"/>
    <row r="2677" ht="15" customHeight="1" x14ac:dyDescent="0.35"/>
    <row r="2678" ht="15" customHeight="1" x14ac:dyDescent="0.35"/>
    <row r="2679" ht="15" customHeight="1" x14ac:dyDescent="0.35"/>
    <row r="2680" ht="15" customHeight="1" x14ac:dyDescent="0.35"/>
    <row r="2681" ht="15" customHeight="1" x14ac:dyDescent="0.35"/>
    <row r="2682" ht="15" customHeight="1" x14ac:dyDescent="0.35"/>
    <row r="2683" ht="15" customHeight="1" x14ac:dyDescent="0.35"/>
    <row r="2684" ht="15" customHeight="1" x14ac:dyDescent="0.35"/>
    <row r="2685" ht="15" customHeight="1" x14ac:dyDescent="0.35"/>
    <row r="2686" ht="15" customHeight="1" x14ac:dyDescent="0.35"/>
    <row r="2687" ht="15" customHeight="1" x14ac:dyDescent="0.35"/>
    <row r="2688" ht="15" customHeight="1" x14ac:dyDescent="0.35"/>
    <row r="2689" ht="15" customHeight="1" x14ac:dyDescent="0.35"/>
    <row r="2690" ht="15" customHeight="1" x14ac:dyDescent="0.35"/>
    <row r="2691" ht="15" customHeight="1" x14ac:dyDescent="0.35"/>
    <row r="2692" ht="15" customHeight="1" x14ac:dyDescent="0.35"/>
    <row r="2693" ht="15" customHeight="1" x14ac:dyDescent="0.35"/>
    <row r="2694" ht="15" customHeight="1" x14ac:dyDescent="0.35"/>
    <row r="2695" ht="15" customHeight="1" x14ac:dyDescent="0.35"/>
    <row r="2696" ht="15" customHeight="1" x14ac:dyDescent="0.35"/>
    <row r="2697" ht="15" customHeight="1" x14ac:dyDescent="0.35"/>
    <row r="2698" ht="15" customHeight="1" x14ac:dyDescent="0.35"/>
    <row r="2699" ht="15" customHeight="1" x14ac:dyDescent="0.35"/>
    <row r="2700" ht="15" customHeight="1" x14ac:dyDescent="0.35"/>
    <row r="2701" ht="15" customHeight="1" x14ac:dyDescent="0.35"/>
    <row r="2702" ht="15" customHeight="1" x14ac:dyDescent="0.35"/>
    <row r="2703" ht="15" customHeight="1" x14ac:dyDescent="0.35"/>
    <row r="2704" ht="15" customHeight="1" x14ac:dyDescent="0.35"/>
    <row r="2705" ht="15" customHeight="1" x14ac:dyDescent="0.35"/>
    <row r="2706" ht="15" customHeight="1" x14ac:dyDescent="0.35"/>
    <row r="2707" ht="15" customHeight="1" x14ac:dyDescent="0.35"/>
    <row r="2708" ht="15" customHeight="1" x14ac:dyDescent="0.35"/>
    <row r="2709" ht="15" customHeight="1" x14ac:dyDescent="0.35"/>
    <row r="2710" ht="15" customHeight="1" x14ac:dyDescent="0.35"/>
    <row r="2711" ht="15" customHeight="1" x14ac:dyDescent="0.35"/>
    <row r="2712" ht="15" customHeight="1" x14ac:dyDescent="0.35"/>
    <row r="2713" ht="15" customHeight="1" x14ac:dyDescent="0.35"/>
    <row r="2714" ht="15" customHeight="1" x14ac:dyDescent="0.35"/>
    <row r="2715" ht="15" customHeight="1" x14ac:dyDescent="0.35"/>
    <row r="2716" ht="15" customHeight="1" x14ac:dyDescent="0.35"/>
    <row r="2717" ht="15" customHeight="1" x14ac:dyDescent="0.35"/>
    <row r="2718" ht="15" customHeight="1" x14ac:dyDescent="0.35"/>
    <row r="2719" ht="15" customHeight="1" x14ac:dyDescent="0.35"/>
    <row r="2720" ht="15" customHeight="1" x14ac:dyDescent="0.35"/>
    <row r="2721" ht="15" customHeight="1" x14ac:dyDescent="0.35"/>
    <row r="2722" ht="15" customHeight="1" x14ac:dyDescent="0.35"/>
    <row r="2723" ht="15" customHeight="1" x14ac:dyDescent="0.35"/>
    <row r="2724" ht="15" customHeight="1" x14ac:dyDescent="0.35"/>
    <row r="2725" ht="15" customHeight="1" x14ac:dyDescent="0.35"/>
    <row r="2726" ht="15" customHeight="1" x14ac:dyDescent="0.35"/>
    <row r="2727" ht="15" customHeight="1" x14ac:dyDescent="0.35"/>
    <row r="2728" ht="15" customHeight="1" x14ac:dyDescent="0.35"/>
    <row r="2729" ht="15" customHeight="1" x14ac:dyDescent="0.35"/>
    <row r="2730" ht="15" customHeight="1" x14ac:dyDescent="0.35"/>
    <row r="2731" ht="15" customHeight="1" x14ac:dyDescent="0.35"/>
    <row r="2732" ht="15" customHeight="1" x14ac:dyDescent="0.35"/>
    <row r="2733" ht="15" customHeight="1" x14ac:dyDescent="0.35"/>
    <row r="2734" ht="15" customHeight="1" x14ac:dyDescent="0.35"/>
    <row r="2735" ht="15" customHeight="1" x14ac:dyDescent="0.35"/>
    <row r="2736" ht="15" customHeight="1" x14ac:dyDescent="0.35"/>
    <row r="2737" ht="15" customHeight="1" x14ac:dyDescent="0.35"/>
    <row r="2738" ht="15" customHeight="1" x14ac:dyDescent="0.35"/>
    <row r="2739" ht="15" customHeight="1" x14ac:dyDescent="0.35"/>
    <row r="2740" ht="15" customHeight="1" x14ac:dyDescent="0.35"/>
    <row r="2741" ht="15" customHeight="1" x14ac:dyDescent="0.35"/>
    <row r="2742" ht="15" customHeight="1" x14ac:dyDescent="0.35"/>
    <row r="2743" ht="15" customHeight="1" x14ac:dyDescent="0.35"/>
    <row r="2744" ht="15" customHeight="1" x14ac:dyDescent="0.35"/>
    <row r="2745" ht="15" customHeight="1" x14ac:dyDescent="0.35"/>
    <row r="2746" ht="15" customHeight="1" x14ac:dyDescent="0.35"/>
    <row r="2747" ht="15" customHeight="1" x14ac:dyDescent="0.35"/>
    <row r="2748" ht="15" customHeight="1" x14ac:dyDescent="0.35"/>
    <row r="2749" ht="15" customHeight="1" x14ac:dyDescent="0.35"/>
    <row r="2750" ht="15" customHeight="1" x14ac:dyDescent="0.35"/>
    <row r="2751" ht="15" customHeight="1" x14ac:dyDescent="0.35"/>
    <row r="2752" ht="15" customHeight="1" x14ac:dyDescent="0.35"/>
    <row r="2753" ht="15" customHeight="1" x14ac:dyDescent="0.35"/>
    <row r="2754" ht="15" customHeight="1" x14ac:dyDescent="0.35"/>
    <row r="2755" ht="15" customHeight="1" x14ac:dyDescent="0.35"/>
    <row r="2756" ht="15" customHeight="1" x14ac:dyDescent="0.35"/>
    <row r="2757" ht="15" customHeight="1" x14ac:dyDescent="0.35"/>
    <row r="2758" ht="15" customHeight="1" x14ac:dyDescent="0.35"/>
    <row r="2759" ht="15" customHeight="1" x14ac:dyDescent="0.35"/>
    <row r="2760" ht="15" customHeight="1" x14ac:dyDescent="0.35"/>
    <row r="2761" ht="15" customHeight="1" x14ac:dyDescent="0.35"/>
    <row r="2762" ht="15" customHeight="1" x14ac:dyDescent="0.35"/>
    <row r="2763" ht="15" customHeight="1" x14ac:dyDescent="0.35"/>
    <row r="2764" ht="15" customHeight="1" x14ac:dyDescent="0.35"/>
    <row r="2765" ht="15" customHeight="1" x14ac:dyDescent="0.35"/>
    <row r="2766" ht="15" customHeight="1" x14ac:dyDescent="0.35"/>
    <row r="2767" ht="15" customHeight="1" x14ac:dyDescent="0.35"/>
    <row r="2768" ht="15" customHeight="1" x14ac:dyDescent="0.35"/>
    <row r="2769" ht="15" customHeight="1" x14ac:dyDescent="0.35"/>
    <row r="2770" ht="15" customHeight="1" x14ac:dyDescent="0.35"/>
    <row r="2771" ht="15" customHeight="1" x14ac:dyDescent="0.35"/>
    <row r="2772" ht="15" customHeight="1" x14ac:dyDescent="0.35"/>
    <row r="2773" ht="15" customHeight="1" x14ac:dyDescent="0.35"/>
    <row r="2774" ht="15" customHeight="1" x14ac:dyDescent="0.35"/>
    <row r="2775" ht="15" customHeight="1" x14ac:dyDescent="0.35"/>
    <row r="2776" ht="15" customHeight="1" x14ac:dyDescent="0.35"/>
    <row r="2777" ht="15" customHeight="1" x14ac:dyDescent="0.35"/>
    <row r="2778" ht="15" customHeight="1" x14ac:dyDescent="0.35"/>
    <row r="2779" ht="15" customHeight="1" x14ac:dyDescent="0.35"/>
    <row r="2780" ht="15" customHeight="1" x14ac:dyDescent="0.35"/>
    <row r="2781" ht="15" customHeight="1" x14ac:dyDescent="0.35"/>
    <row r="2782" ht="15" customHeight="1" x14ac:dyDescent="0.35"/>
    <row r="2783" ht="15" customHeight="1" x14ac:dyDescent="0.35"/>
    <row r="2784" ht="15" customHeight="1" x14ac:dyDescent="0.35"/>
    <row r="2785" ht="15" customHeight="1" x14ac:dyDescent="0.35"/>
    <row r="2786" ht="15" customHeight="1" x14ac:dyDescent="0.35"/>
    <row r="2787" ht="15" customHeight="1" x14ac:dyDescent="0.35"/>
    <row r="2788" ht="15" customHeight="1" x14ac:dyDescent="0.35"/>
    <row r="2789" ht="15" customHeight="1" x14ac:dyDescent="0.35"/>
    <row r="2790" ht="15" customHeight="1" x14ac:dyDescent="0.35"/>
    <row r="2791" ht="15" customHeight="1" x14ac:dyDescent="0.35"/>
    <row r="2792" ht="15" customHeight="1" x14ac:dyDescent="0.35"/>
    <row r="2793" ht="15" customHeight="1" x14ac:dyDescent="0.35"/>
    <row r="2794" ht="15" customHeight="1" x14ac:dyDescent="0.35"/>
    <row r="2795" ht="15" customHeight="1" x14ac:dyDescent="0.35"/>
    <row r="2796" ht="15" customHeight="1" x14ac:dyDescent="0.35"/>
    <row r="2797" ht="15" customHeight="1" x14ac:dyDescent="0.35"/>
    <row r="2798" ht="15" customHeight="1" x14ac:dyDescent="0.35"/>
    <row r="2799" ht="15" customHeight="1" x14ac:dyDescent="0.35"/>
    <row r="2800" ht="15" customHeight="1" x14ac:dyDescent="0.35"/>
    <row r="2801" ht="15" customHeight="1" x14ac:dyDescent="0.35"/>
    <row r="2802" ht="15" customHeight="1" x14ac:dyDescent="0.35"/>
    <row r="2803" ht="15" customHeight="1" x14ac:dyDescent="0.35"/>
    <row r="2804" ht="15" customHeight="1" x14ac:dyDescent="0.35"/>
    <row r="2805" ht="15" customHeight="1" x14ac:dyDescent="0.35"/>
    <row r="2806" ht="15" customHeight="1" x14ac:dyDescent="0.35"/>
    <row r="2807" ht="15" customHeight="1" x14ac:dyDescent="0.35"/>
    <row r="2808" ht="15" customHeight="1" x14ac:dyDescent="0.35"/>
    <row r="2809" ht="15" customHeight="1" x14ac:dyDescent="0.35"/>
    <row r="2810" ht="15" customHeight="1" x14ac:dyDescent="0.35"/>
    <row r="2811" ht="15" customHeight="1" x14ac:dyDescent="0.35"/>
    <row r="2812" ht="15" customHeight="1" x14ac:dyDescent="0.35"/>
    <row r="2813" ht="15" customHeight="1" x14ac:dyDescent="0.35"/>
    <row r="2814" ht="15" customHeight="1" x14ac:dyDescent="0.35"/>
    <row r="2815" ht="15" customHeight="1" x14ac:dyDescent="0.35"/>
    <row r="2816" ht="15" customHeight="1" x14ac:dyDescent="0.35"/>
    <row r="2817" ht="15" customHeight="1" x14ac:dyDescent="0.35"/>
    <row r="2818" ht="15" customHeight="1" x14ac:dyDescent="0.35"/>
    <row r="2819" ht="15" customHeight="1" x14ac:dyDescent="0.35"/>
    <row r="2820" ht="15" customHeight="1" x14ac:dyDescent="0.35"/>
    <row r="2821" ht="15" customHeight="1" x14ac:dyDescent="0.35"/>
    <row r="2822" ht="15" customHeight="1" x14ac:dyDescent="0.35"/>
    <row r="2823" ht="15" customHeight="1" x14ac:dyDescent="0.35"/>
    <row r="2824" ht="15" customHeight="1" x14ac:dyDescent="0.35"/>
    <row r="2825" ht="15" customHeight="1" x14ac:dyDescent="0.35"/>
    <row r="2826" ht="15" customHeight="1" x14ac:dyDescent="0.35"/>
    <row r="2827" ht="15" customHeight="1" x14ac:dyDescent="0.35"/>
    <row r="2828" ht="15" customHeight="1" x14ac:dyDescent="0.35"/>
    <row r="2829" ht="15" customHeight="1" x14ac:dyDescent="0.35"/>
    <row r="2830" ht="15" customHeight="1" x14ac:dyDescent="0.35"/>
    <row r="2831" ht="15" customHeight="1" x14ac:dyDescent="0.35"/>
    <row r="2832" ht="15" customHeight="1" x14ac:dyDescent="0.35"/>
    <row r="2833" ht="15" customHeight="1" x14ac:dyDescent="0.35"/>
    <row r="2834" ht="15" customHeight="1" x14ac:dyDescent="0.35"/>
    <row r="2835" ht="15" customHeight="1" x14ac:dyDescent="0.35"/>
    <row r="2836" ht="15" customHeight="1" x14ac:dyDescent="0.35"/>
    <row r="2837" ht="15" customHeight="1" x14ac:dyDescent="0.35"/>
    <row r="2838" ht="15" customHeight="1" x14ac:dyDescent="0.35"/>
    <row r="2839" ht="15" customHeight="1" x14ac:dyDescent="0.35"/>
    <row r="2840" ht="15" customHeight="1" x14ac:dyDescent="0.35"/>
    <row r="2841" ht="15" customHeight="1" x14ac:dyDescent="0.35"/>
    <row r="2842" ht="15" customHeight="1" x14ac:dyDescent="0.35"/>
    <row r="2843" ht="15" customHeight="1" x14ac:dyDescent="0.35"/>
    <row r="2844" ht="15" customHeight="1" x14ac:dyDescent="0.35"/>
    <row r="2845" ht="15" customHeight="1" x14ac:dyDescent="0.35"/>
    <row r="2846" ht="15" customHeight="1" x14ac:dyDescent="0.35"/>
    <row r="2847" ht="15" customHeight="1" x14ac:dyDescent="0.35"/>
    <row r="2848" ht="15" customHeight="1" x14ac:dyDescent="0.35"/>
    <row r="2849" ht="15" customHeight="1" x14ac:dyDescent="0.35"/>
    <row r="2850" ht="15" customHeight="1" x14ac:dyDescent="0.35"/>
    <row r="2851" ht="15" customHeight="1" x14ac:dyDescent="0.35"/>
    <row r="2852" ht="15" customHeight="1" x14ac:dyDescent="0.35"/>
    <row r="2853" ht="15" customHeight="1" x14ac:dyDescent="0.35"/>
    <row r="2854" ht="15" customHeight="1" x14ac:dyDescent="0.35"/>
    <row r="2855" ht="15" customHeight="1" x14ac:dyDescent="0.35"/>
    <row r="2856" ht="15" customHeight="1" x14ac:dyDescent="0.35"/>
    <row r="2857" ht="15" customHeight="1" x14ac:dyDescent="0.35"/>
    <row r="2858" ht="15" customHeight="1" x14ac:dyDescent="0.35"/>
    <row r="2859" ht="15" customHeight="1" x14ac:dyDescent="0.35"/>
    <row r="2860" ht="15" customHeight="1" x14ac:dyDescent="0.35"/>
    <row r="2861" ht="15" customHeight="1" x14ac:dyDescent="0.35"/>
    <row r="2862" ht="15" customHeight="1" x14ac:dyDescent="0.35"/>
    <row r="2863" ht="15" customHeight="1" x14ac:dyDescent="0.35"/>
    <row r="2864" ht="15" customHeight="1" x14ac:dyDescent="0.35"/>
    <row r="2865" ht="15" customHeight="1" x14ac:dyDescent="0.35"/>
    <row r="2866" ht="15" customHeight="1" x14ac:dyDescent="0.35"/>
    <row r="2867" ht="15" customHeight="1" x14ac:dyDescent="0.35"/>
    <row r="2868" ht="15" customHeight="1" x14ac:dyDescent="0.35"/>
    <row r="2869" ht="15" customHeight="1" x14ac:dyDescent="0.35"/>
    <row r="2870" ht="15" customHeight="1" x14ac:dyDescent="0.35"/>
    <row r="2871" ht="15" customHeight="1" x14ac:dyDescent="0.35"/>
    <row r="2872" ht="15" customHeight="1" x14ac:dyDescent="0.35"/>
    <row r="2873" ht="15" customHeight="1" x14ac:dyDescent="0.35"/>
    <row r="2874" ht="15" customHeight="1" x14ac:dyDescent="0.35"/>
    <row r="2875" ht="15" customHeight="1" x14ac:dyDescent="0.35"/>
    <row r="2876" ht="15" customHeight="1" x14ac:dyDescent="0.35"/>
    <row r="2877" ht="15" customHeight="1" x14ac:dyDescent="0.35"/>
    <row r="2878" ht="15" customHeight="1" x14ac:dyDescent="0.35"/>
    <row r="2879" ht="15" customHeight="1" x14ac:dyDescent="0.35"/>
    <row r="2880" ht="15" customHeight="1" x14ac:dyDescent="0.35"/>
    <row r="2881" ht="15" customHeight="1" x14ac:dyDescent="0.35"/>
    <row r="2882" ht="15" customHeight="1" x14ac:dyDescent="0.35"/>
    <row r="2883" ht="15" customHeight="1" x14ac:dyDescent="0.35"/>
    <row r="2884" ht="15" customHeight="1" x14ac:dyDescent="0.35"/>
    <row r="2885" ht="15" customHeight="1" x14ac:dyDescent="0.35"/>
    <row r="2886" ht="15" customHeight="1" x14ac:dyDescent="0.35"/>
    <row r="2887" ht="15" customHeight="1" x14ac:dyDescent="0.35"/>
    <row r="2888" ht="15" customHeight="1" x14ac:dyDescent="0.35"/>
    <row r="2889" ht="15" customHeight="1" x14ac:dyDescent="0.35"/>
    <row r="2890" ht="15" customHeight="1" x14ac:dyDescent="0.35"/>
    <row r="2891" ht="15" customHeight="1" x14ac:dyDescent="0.35"/>
    <row r="2892" ht="15" customHeight="1" x14ac:dyDescent="0.35"/>
    <row r="2893" ht="15" customHeight="1" x14ac:dyDescent="0.35"/>
    <row r="2894" ht="15" customHeight="1" x14ac:dyDescent="0.35"/>
    <row r="2895" ht="15" customHeight="1" x14ac:dyDescent="0.35"/>
    <row r="2896" ht="15" customHeight="1" x14ac:dyDescent="0.35"/>
    <row r="2897" ht="15" customHeight="1" x14ac:dyDescent="0.35"/>
    <row r="2898" ht="15" customHeight="1" x14ac:dyDescent="0.35"/>
    <row r="2899" ht="15" customHeight="1" x14ac:dyDescent="0.35"/>
    <row r="2900" ht="15" customHeight="1" x14ac:dyDescent="0.35"/>
    <row r="2901" ht="15" customHeight="1" x14ac:dyDescent="0.35"/>
    <row r="2902" ht="15" customHeight="1" x14ac:dyDescent="0.35"/>
    <row r="2903" ht="15" customHeight="1" x14ac:dyDescent="0.35"/>
    <row r="2904" ht="15" customHeight="1" x14ac:dyDescent="0.35"/>
    <row r="2905" ht="15" customHeight="1" x14ac:dyDescent="0.35"/>
    <row r="2906" ht="15" customHeight="1" x14ac:dyDescent="0.35"/>
    <row r="2907" ht="15" customHeight="1" x14ac:dyDescent="0.35"/>
    <row r="2908" ht="15" customHeight="1" x14ac:dyDescent="0.35"/>
    <row r="2909" ht="15" customHeight="1" x14ac:dyDescent="0.35"/>
    <row r="2910" ht="15" customHeight="1" x14ac:dyDescent="0.35"/>
    <row r="2911" ht="15" customHeight="1" x14ac:dyDescent="0.35"/>
    <row r="2912" ht="15" customHeight="1" x14ac:dyDescent="0.35"/>
    <row r="2913" ht="15" customHeight="1" x14ac:dyDescent="0.35"/>
    <row r="2914" ht="15" customHeight="1" x14ac:dyDescent="0.35"/>
    <row r="2915" ht="15" customHeight="1" x14ac:dyDescent="0.35"/>
    <row r="2916" ht="15" customHeight="1" x14ac:dyDescent="0.35"/>
    <row r="2917" ht="15" customHeight="1" x14ac:dyDescent="0.35"/>
    <row r="2918" ht="15" customHeight="1" x14ac:dyDescent="0.35"/>
    <row r="2919" ht="15" customHeight="1" x14ac:dyDescent="0.35"/>
    <row r="2920" ht="15" customHeight="1" x14ac:dyDescent="0.35"/>
    <row r="2921" ht="15" customHeight="1" x14ac:dyDescent="0.35"/>
    <row r="2922" ht="15" customHeight="1" x14ac:dyDescent="0.35"/>
    <row r="2923" ht="15" customHeight="1" x14ac:dyDescent="0.35"/>
    <row r="2924" ht="15" customHeight="1" x14ac:dyDescent="0.35"/>
    <row r="2925" ht="15" customHeight="1" x14ac:dyDescent="0.35"/>
    <row r="2926" ht="15" customHeight="1" x14ac:dyDescent="0.35"/>
    <row r="2927" ht="15" customHeight="1" x14ac:dyDescent="0.35"/>
    <row r="2928" ht="15" customHeight="1" x14ac:dyDescent="0.35"/>
    <row r="2929" ht="15" customHeight="1" x14ac:dyDescent="0.35"/>
    <row r="2930" ht="15" customHeight="1" x14ac:dyDescent="0.35"/>
    <row r="2931" ht="15" customHeight="1" x14ac:dyDescent="0.35"/>
    <row r="2932" ht="15" customHeight="1" x14ac:dyDescent="0.35"/>
    <row r="2933" ht="15" customHeight="1" x14ac:dyDescent="0.35"/>
    <row r="2934" ht="15" customHeight="1" x14ac:dyDescent="0.35"/>
    <row r="2935" ht="15" customHeight="1" x14ac:dyDescent="0.35"/>
    <row r="2936" ht="15" customHeight="1" x14ac:dyDescent="0.35"/>
    <row r="2937" ht="15" customHeight="1" x14ac:dyDescent="0.35"/>
    <row r="2938" ht="15" customHeight="1" x14ac:dyDescent="0.35"/>
    <row r="2939" ht="15" customHeight="1" x14ac:dyDescent="0.35"/>
    <row r="2940" ht="15" customHeight="1" x14ac:dyDescent="0.35"/>
    <row r="2941" ht="15" customHeight="1" x14ac:dyDescent="0.35"/>
    <row r="2942" ht="15" customHeight="1" x14ac:dyDescent="0.35"/>
    <row r="2943" ht="15" customHeight="1" x14ac:dyDescent="0.35"/>
    <row r="2944" ht="15" customHeight="1" x14ac:dyDescent="0.35"/>
    <row r="2945" ht="15" customHeight="1" x14ac:dyDescent="0.35"/>
    <row r="2946" ht="15" customHeight="1" x14ac:dyDescent="0.35"/>
    <row r="2947" ht="15" customHeight="1" x14ac:dyDescent="0.35"/>
    <row r="2948" ht="15" customHeight="1" x14ac:dyDescent="0.35"/>
    <row r="2949" ht="15" customHeight="1" x14ac:dyDescent="0.35"/>
    <row r="2950" ht="15" customHeight="1" x14ac:dyDescent="0.35"/>
    <row r="2951" ht="15" customHeight="1" x14ac:dyDescent="0.35"/>
    <row r="2952" ht="15" customHeight="1" x14ac:dyDescent="0.35"/>
    <row r="2953" ht="15" customHeight="1" x14ac:dyDescent="0.35"/>
    <row r="2954" ht="15" customHeight="1" x14ac:dyDescent="0.35"/>
    <row r="2955" ht="15" customHeight="1" x14ac:dyDescent="0.35"/>
    <row r="2956" ht="15" customHeight="1" x14ac:dyDescent="0.35"/>
    <row r="2957" ht="15" customHeight="1" x14ac:dyDescent="0.35"/>
    <row r="2958" ht="15" customHeight="1" x14ac:dyDescent="0.35"/>
    <row r="2959" ht="15" customHeight="1" x14ac:dyDescent="0.35"/>
    <row r="2960" ht="15" customHeight="1" x14ac:dyDescent="0.35"/>
    <row r="2961" ht="15" customHeight="1" x14ac:dyDescent="0.35"/>
    <row r="2962" ht="15" customHeight="1" x14ac:dyDescent="0.35"/>
    <row r="2963" ht="15" customHeight="1" x14ac:dyDescent="0.35"/>
    <row r="2964" ht="15" customHeight="1" x14ac:dyDescent="0.35"/>
    <row r="2965" ht="15" customHeight="1" x14ac:dyDescent="0.35"/>
    <row r="2966" ht="15" customHeight="1" x14ac:dyDescent="0.35"/>
    <row r="2967" ht="15" customHeight="1" x14ac:dyDescent="0.35"/>
    <row r="2968" ht="15" customHeight="1" x14ac:dyDescent="0.35"/>
    <row r="2969" ht="15" customHeight="1" x14ac:dyDescent="0.35"/>
    <row r="2970" ht="15" customHeight="1" x14ac:dyDescent="0.35"/>
    <row r="2971" ht="15" customHeight="1" x14ac:dyDescent="0.35"/>
    <row r="2972" ht="15" customHeight="1" x14ac:dyDescent="0.35"/>
    <row r="2973" ht="15" customHeight="1" x14ac:dyDescent="0.35"/>
    <row r="2974" ht="15" customHeight="1" x14ac:dyDescent="0.35"/>
    <row r="2975" ht="15" customHeight="1" x14ac:dyDescent="0.35"/>
    <row r="2976" ht="15" customHeight="1" x14ac:dyDescent="0.35"/>
    <row r="2977" ht="15" customHeight="1" x14ac:dyDescent="0.35"/>
    <row r="2978" ht="15" customHeight="1" x14ac:dyDescent="0.35"/>
    <row r="2979" ht="15" customHeight="1" x14ac:dyDescent="0.35"/>
    <row r="2980" ht="15" customHeight="1" x14ac:dyDescent="0.35"/>
    <row r="2981" ht="15" customHeight="1" x14ac:dyDescent="0.35"/>
    <row r="2982" ht="15" customHeight="1" x14ac:dyDescent="0.35"/>
    <row r="2983" ht="15" customHeight="1" x14ac:dyDescent="0.35"/>
    <row r="2984" ht="15" customHeight="1" x14ac:dyDescent="0.35"/>
    <row r="2985" ht="15" customHeight="1" x14ac:dyDescent="0.35"/>
    <row r="2986" ht="15" customHeight="1" x14ac:dyDescent="0.35"/>
    <row r="2987" ht="15" customHeight="1" x14ac:dyDescent="0.35"/>
    <row r="2988" ht="15" customHeight="1" x14ac:dyDescent="0.35"/>
    <row r="2989" ht="15" customHeight="1" x14ac:dyDescent="0.35"/>
    <row r="2990" ht="15" customHeight="1" x14ac:dyDescent="0.35"/>
    <row r="2991" ht="15" customHeight="1" x14ac:dyDescent="0.35"/>
    <row r="2992" ht="15" customHeight="1" x14ac:dyDescent="0.35"/>
    <row r="2993" ht="15" customHeight="1" x14ac:dyDescent="0.35"/>
    <row r="2994" ht="15" customHeight="1" x14ac:dyDescent="0.35"/>
    <row r="2995" ht="15" customHeight="1" x14ac:dyDescent="0.35"/>
    <row r="2996" ht="15" customHeight="1" x14ac:dyDescent="0.35"/>
    <row r="2997" ht="15" customHeight="1" x14ac:dyDescent="0.35"/>
    <row r="2998" ht="15" customHeight="1" x14ac:dyDescent="0.35"/>
    <row r="2999" ht="15" customHeight="1" x14ac:dyDescent="0.35"/>
    <row r="3000" ht="15" customHeight="1" x14ac:dyDescent="0.35"/>
    <row r="3001" ht="15" customHeight="1" x14ac:dyDescent="0.35"/>
    <row r="3002" ht="15" customHeight="1" x14ac:dyDescent="0.35"/>
    <row r="3003" ht="15" customHeight="1" x14ac:dyDescent="0.35"/>
    <row r="3004" ht="15" customHeight="1" x14ac:dyDescent="0.35"/>
    <row r="3005" ht="15" customHeight="1" x14ac:dyDescent="0.35"/>
    <row r="3006" ht="15" customHeight="1" x14ac:dyDescent="0.35"/>
    <row r="3007" ht="15" customHeight="1" x14ac:dyDescent="0.35"/>
    <row r="3008" ht="15" customHeight="1" x14ac:dyDescent="0.35"/>
    <row r="3009" ht="15" customHeight="1" x14ac:dyDescent="0.35"/>
    <row r="3010" ht="15" customHeight="1" x14ac:dyDescent="0.35"/>
    <row r="3011" ht="15" customHeight="1" x14ac:dyDescent="0.35"/>
    <row r="3012" ht="15" customHeight="1" x14ac:dyDescent="0.35"/>
    <row r="3013" ht="15" customHeight="1" x14ac:dyDescent="0.35"/>
    <row r="3014" ht="15" customHeight="1" x14ac:dyDescent="0.35"/>
    <row r="3015" ht="15" customHeight="1" x14ac:dyDescent="0.35"/>
    <row r="3016" ht="15" customHeight="1" x14ac:dyDescent="0.35"/>
    <row r="3017" ht="15" customHeight="1" x14ac:dyDescent="0.35"/>
    <row r="3018" ht="15" customHeight="1" x14ac:dyDescent="0.35"/>
    <row r="3019" ht="15" customHeight="1" x14ac:dyDescent="0.35"/>
    <row r="3020" ht="15" customHeight="1" x14ac:dyDescent="0.35"/>
    <row r="3021" ht="15" customHeight="1" x14ac:dyDescent="0.35"/>
    <row r="3022" ht="15" customHeight="1" x14ac:dyDescent="0.35"/>
    <row r="3023" ht="15" customHeight="1" x14ac:dyDescent="0.35"/>
    <row r="3024" ht="15" customHeight="1" x14ac:dyDescent="0.35"/>
    <row r="3025" ht="15" customHeight="1" x14ac:dyDescent="0.35"/>
    <row r="3026" ht="15" customHeight="1" x14ac:dyDescent="0.35"/>
    <row r="3027" ht="15" customHeight="1" x14ac:dyDescent="0.35"/>
    <row r="3028" ht="15" customHeight="1" x14ac:dyDescent="0.35"/>
    <row r="3029" ht="15" customHeight="1" x14ac:dyDescent="0.35"/>
    <row r="3030" ht="15" customHeight="1" x14ac:dyDescent="0.35"/>
    <row r="3031" ht="15" customHeight="1" x14ac:dyDescent="0.35"/>
    <row r="3032" ht="15" customHeight="1" x14ac:dyDescent="0.35"/>
    <row r="3033" ht="15" customHeight="1" x14ac:dyDescent="0.35"/>
    <row r="3034" ht="15" customHeight="1" x14ac:dyDescent="0.35"/>
    <row r="3035" ht="15" customHeight="1" x14ac:dyDescent="0.35"/>
    <row r="3036" ht="15" customHeight="1" x14ac:dyDescent="0.35"/>
    <row r="3037" ht="15" customHeight="1" x14ac:dyDescent="0.35"/>
    <row r="3038" ht="15" customHeight="1" x14ac:dyDescent="0.35"/>
    <row r="3039" ht="15" customHeight="1" x14ac:dyDescent="0.35"/>
    <row r="3040" ht="15" customHeight="1" x14ac:dyDescent="0.35"/>
    <row r="3041" ht="15" customHeight="1" x14ac:dyDescent="0.35"/>
    <row r="3042" ht="15" customHeight="1" x14ac:dyDescent="0.35"/>
    <row r="3043" ht="15" customHeight="1" x14ac:dyDescent="0.35"/>
    <row r="3044" ht="15" customHeight="1" x14ac:dyDescent="0.35"/>
    <row r="3045" ht="15" customHeight="1" x14ac:dyDescent="0.35"/>
    <row r="3046" ht="15" customHeight="1" x14ac:dyDescent="0.35"/>
    <row r="3047" ht="15" customHeight="1" x14ac:dyDescent="0.35"/>
    <row r="3048" ht="15" customHeight="1" x14ac:dyDescent="0.35"/>
    <row r="3049" ht="15" customHeight="1" x14ac:dyDescent="0.35"/>
    <row r="3050" ht="15" customHeight="1" x14ac:dyDescent="0.35"/>
    <row r="3051" ht="15" customHeight="1" x14ac:dyDescent="0.35"/>
    <row r="3052" ht="15" customHeight="1" x14ac:dyDescent="0.35"/>
    <row r="3053" ht="15" customHeight="1" x14ac:dyDescent="0.35"/>
    <row r="3054" ht="15" customHeight="1" x14ac:dyDescent="0.35"/>
    <row r="3055" ht="15" customHeight="1" x14ac:dyDescent="0.35"/>
    <row r="3056" ht="15" customHeight="1" x14ac:dyDescent="0.35"/>
    <row r="3057" ht="15" customHeight="1" x14ac:dyDescent="0.35"/>
    <row r="3058" ht="15" customHeight="1" x14ac:dyDescent="0.35"/>
    <row r="3059" ht="15" customHeight="1" x14ac:dyDescent="0.35"/>
    <row r="3060" ht="15" customHeight="1" x14ac:dyDescent="0.35"/>
    <row r="3061" ht="15" customHeight="1" x14ac:dyDescent="0.35"/>
    <row r="3062" ht="15" customHeight="1" x14ac:dyDescent="0.35"/>
    <row r="3063" ht="15" customHeight="1" x14ac:dyDescent="0.35"/>
    <row r="3064" ht="15" customHeight="1" x14ac:dyDescent="0.35"/>
    <row r="3065" ht="15" customHeight="1" x14ac:dyDescent="0.35"/>
    <row r="3066" ht="15" customHeight="1" x14ac:dyDescent="0.35"/>
    <row r="3067" ht="15" customHeight="1" x14ac:dyDescent="0.35"/>
    <row r="3068" ht="15" customHeight="1" x14ac:dyDescent="0.35"/>
    <row r="3069" ht="15" customHeight="1" x14ac:dyDescent="0.35"/>
    <row r="3070" ht="15" customHeight="1" x14ac:dyDescent="0.35"/>
    <row r="3071" ht="15" customHeight="1" x14ac:dyDescent="0.35"/>
    <row r="3072" ht="15" customHeight="1" x14ac:dyDescent="0.35"/>
    <row r="3073" ht="15" customHeight="1" x14ac:dyDescent="0.35"/>
    <row r="3074" ht="15" customHeight="1" x14ac:dyDescent="0.35"/>
    <row r="3075" ht="15" customHeight="1" x14ac:dyDescent="0.35"/>
    <row r="3076" ht="15" customHeight="1" x14ac:dyDescent="0.35"/>
    <row r="3077" ht="15" customHeight="1" x14ac:dyDescent="0.35"/>
    <row r="3078" ht="15" customHeight="1" x14ac:dyDescent="0.35"/>
    <row r="3079" ht="15" customHeight="1" x14ac:dyDescent="0.35"/>
    <row r="3080" ht="15" customHeight="1" x14ac:dyDescent="0.35"/>
    <row r="3081" ht="15" customHeight="1" x14ac:dyDescent="0.35"/>
    <row r="3082" ht="15" customHeight="1" x14ac:dyDescent="0.35"/>
    <row r="3083" ht="15" customHeight="1" x14ac:dyDescent="0.35"/>
    <row r="3084" ht="15" customHeight="1" x14ac:dyDescent="0.35"/>
    <row r="3085" ht="15" customHeight="1" x14ac:dyDescent="0.35"/>
    <row r="3086" ht="15" customHeight="1" x14ac:dyDescent="0.35"/>
    <row r="3087" ht="15" customHeight="1" x14ac:dyDescent="0.35"/>
    <row r="3088" ht="15" customHeight="1" x14ac:dyDescent="0.35"/>
    <row r="3089" ht="15" customHeight="1" x14ac:dyDescent="0.35"/>
    <row r="3090" ht="15" customHeight="1" x14ac:dyDescent="0.35"/>
    <row r="3091" ht="15" customHeight="1" x14ac:dyDescent="0.35"/>
    <row r="3092" ht="15" customHeight="1" x14ac:dyDescent="0.35"/>
    <row r="3093" ht="15" customHeight="1" x14ac:dyDescent="0.35"/>
    <row r="3094" ht="15" customHeight="1" x14ac:dyDescent="0.35"/>
    <row r="3095" ht="15" customHeight="1" x14ac:dyDescent="0.35"/>
    <row r="3096" ht="15" customHeight="1" x14ac:dyDescent="0.35"/>
    <row r="3097" ht="15" customHeight="1" x14ac:dyDescent="0.35"/>
    <row r="3098" ht="15" customHeight="1" x14ac:dyDescent="0.35"/>
    <row r="3099" ht="15" customHeight="1" x14ac:dyDescent="0.35"/>
    <row r="3100" ht="15" customHeight="1" x14ac:dyDescent="0.35"/>
    <row r="3101" ht="15" customHeight="1" x14ac:dyDescent="0.35"/>
    <row r="3102" ht="15" customHeight="1" x14ac:dyDescent="0.35"/>
    <row r="3103" ht="15" customHeight="1" x14ac:dyDescent="0.35"/>
    <row r="3104" ht="15" customHeight="1" x14ac:dyDescent="0.35"/>
    <row r="3105" ht="15" customHeight="1" x14ac:dyDescent="0.35"/>
    <row r="3106" ht="15" customHeight="1" x14ac:dyDescent="0.35"/>
    <row r="3107" ht="15" customHeight="1" x14ac:dyDescent="0.35"/>
    <row r="3108" ht="15" customHeight="1" x14ac:dyDescent="0.35"/>
    <row r="3109" ht="15" customHeight="1" x14ac:dyDescent="0.35"/>
    <row r="3110" ht="15" customHeight="1" x14ac:dyDescent="0.35"/>
    <row r="3111" ht="15" customHeight="1" x14ac:dyDescent="0.35"/>
    <row r="3112" ht="15" customHeight="1" x14ac:dyDescent="0.35"/>
    <row r="3113" ht="15" customHeight="1" x14ac:dyDescent="0.35"/>
    <row r="3114" ht="15" customHeight="1" x14ac:dyDescent="0.35"/>
    <row r="3115" ht="15" customHeight="1" x14ac:dyDescent="0.35"/>
    <row r="3116" ht="15" customHeight="1" x14ac:dyDescent="0.35"/>
    <row r="3117" ht="15" customHeight="1" x14ac:dyDescent="0.35"/>
    <row r="3118" ht="15" customHeight="1" x14ac:dyDescent="0.35"/>
    <row r="3119" ht="15" customHeight="1" x14ac:dyDescent="0.35"/>
    <row r="3120" ht="15" customHeight="1" x14ac:dyDescent="0.35"/>
    <row r="3121" ht="15" customHeight="1" x14ac:dyDescent="0.35"/>
    <row r="3122" ht="15" customHeight="1" x14ac:dyDescent="0.35"/>
    <row r="3123" ht="15" customHeight="1" x14ac:dyDescent="0.35"/>
    <row r="3124" ht="15" customHeight="1" x14ac:dyDescent="0.35"/>
    <row r="3125" ht="15" customHeight="1" x14ac:dyDescent="0.35"/>
    <row r="3126" ht="15" customHeight="1" x14ac:dyDescent="0.35"/>
    <row r="3127" ht="15" customHeight="1" x14ac:dyDescent="0.35"/>
    <row r="3128" ht="15" customHeight="1" x14ac:dyDescent="0.35"/>
    <row r="3129" ht="15" customHeight="1" x14ac:dyDescent="0.35"/>
    <row r="3130" ht="15" customHeight="1" x14ac:dyDescent="0.35"/>
    <row r="3131" ht="15" customHeight="1" x14ac:dyDescent="0.35"/>
    <row r="3132" ht="15" customHeight="1" x14ac:dyDescent="0.35"/>
    <row r="3133" ht="15" customHeight="1" x14ac:dyDescent="0.35"/>
    <row r="3134" ht="15" customHeight="1" x14ac:dyDescent="0.35"/>
    <row r="3135" ht="15" customHeight="1" x14ac:dyDescent="0.35"/>
    <row r="3136" ht="15" customHeight="1" x14ac:dyDescent="0.35"/>
    <row r="3137" ht="15" customHeight="1" x14ac:dyDescent="0.35"/>
    <row r="3138" ht="15" customHeight="1" x14ac:dyDescent="0.35"/>
    <row r="3139" ht="15" customHeight="1" x14ac:dyDescent="0.35"/>
    <row r="3140" ht="15" customHeight="1" x14ac:dyDescent="0.35"/>
    <row r="3141" ht="15" customHeight="1" x14ac:dyDescent="0.35"/>
    <row r="3142" ht="15" customHeight="1" x14ac:dyDescent="0.35"/>
    <row r="3143" ht="15" customHeight="1" x14ac:dyDescent="0.35"/>
    <row r="3144" ht="15" customHeight="1" x14ac:dyDescent="0.35"/>
    <row r="3145" ht="15" customHeight="1" x14ac:dyDescent="0.35"/>
    <row r="3146" ht="15" customHeight="1" x14ac:dyDescent="0.35"/>
    <row r="3147" ht="15" customHeight="1" x14ac:dyDescent="0.35"/>
    <row r="3148" ht="15" customHeight="1" x14ac:dyDescent="0.35"/>
    <row r="3149" ht="15" customHeight="1" x14ac:dyDescent="0.35"/>
    <row r="3150" ht="15" customHeight="1" x14ac:dyDescent="0.35"/>
    <row r="3151" ht="15" customHeight="1" x14ac:dyDescent="0.35"/>
    <row r="3152" ht="15" customHeight="1" x14ac:dyDescent="0.35"/>
    <row r="3153" ht="15" customHeight="1" x14ac:dyDescent="0.35"/>
    <row r="3154" ht="15" customHeight="1" x14ac:dyDescent="0.35"/>
    <row r="3155" ht="15" customHeight="1" x14ac:dyDescent="0.35"/>
    <row r="3156" ht="15" customHeight="1" x14ac:dyDescent="0.35"/>
    <row r="3157" ht="15" customHeight="1" x14ac:dyDescent="0.35"/>
    <row r="3158" ht="15" customHeight="1" x14ac:dyDescent="0.35"/>
    <row r="3159" ht="15" customHeight="1" x14ac:dyDescent="0.35"/>
    <row r="3160" ht="15" customHeight="1" x14ac:dyDescent="0.35"/>
    <row r="3161" ht="15" customHeight="1" x14ac:dyDescent="0.35"/>
    <row r="3162" ht="15" customHeight="1" x14ac:dyDescent="0.35"/>
    <row r="3163" ht="15" customHeight="1" x14ac:dyDescent="0.35"/>
    <row r="3164" ht="15" customHeight="1" x14ac:dyDescent="0.35"/>
    <row r="3165" ht="15" customHeight="1" x14ac:dyDescent="0.35"/>
    <row r="3166" ht="15" customHeight="1" x14ac:dyDescent="0.35"/>
    <row r="3167" ht="15" customHeight="1" x14ac:dyDescent="0.35"/>
    <row r="3168" ht="15" customHeight="1" x14ac:dyDescent="0.35"/>
    <row r="3169" ht="15" customHeight="1" x14ac:dyDescent="0.35"/>
    <row r="3170" ht="15" customHeight="1" x14ac:dyDescent="0.35"/>
    <row r="3171" ht="15" customHeight="1" x14ac:dyDescent="0.35"/>
    <row r="3172" ht="15" customHeight="1" x14ac:dyDescent="0.35"/>
    <row r="3173" ht="15" customHeight="1" x14ac:dyDescent="0.35"/>
    <row r="3174" ht="15" customHeight="1" x14ac:dyDescent="0.35"/>
    <row r="3175" ht="15" customHeight="1" x14ac:dyDescent="0.35"/>
    <row r="3176" ht="15" customHeight="1" x14ac:dyDescent="0.35"/>
    <row r="3177" ht="15" customHeight="1" x14ac:dyDescent="0.35"/>
    <row r="3178" ht="15" customHeight="1" x14ac:dyDescent="0.35"/>
    <row r="3179" ht="15" customHeight="1" x14ac:dyDescent="0.35"/>
    <row r="3180" ht="15" customHeight="1" x14ac:dyDescent="0.35"/>
    <row r="3181" ht="15" customHeight="1" x14ac:dyDescent="0.35"/>
    <row r="3182" ht="15" customHeight="1" x14ac:dyDescent="0.35"/>
    <row r="3183" ht="15" customHeight="1" x14ac:dyDescent="0.35"/>
    <row r="3184" ht="15" customHeight="1" x14ac:dyDescent="0.35"/>
    <row r="3185" ht="15" customHeight="1" x14ac:dyDescent="0.35"/>
    <row r="3186" ht="15" customHeight="1" x14ac:dyDescent="0.35"/>
    <row r="3187" ht="15" customHeight="1" x14ac:dyDescent="0.35"/>
    <row r="3188" ht="15" customHeight="1" x14ac:dyDescent="0.35"/>
    <row r="3189" ht="15" customHeight="1" x14ac:dyDescent="0.35"/>
    <row r="3190" ht="15" customHeight="1" x14ac:dyDescent="0.35"/>
    <row r="3191" ht="15" customHeight="1" x14ac:dyDescent="0.35"/>
    <row r="3192" ht="15" customHeight="1" x14ac:dyDescent="0.35"/>
    <row r="3193" ht="15" customHeight="1" x14ac:dyDescent="0.35"/>
    <row r="3194" ht="15" customHeight="1" x14ac:dyDescent="0.35"/>
    <row r="3195" ht="15" customHeight="1" x14ac:dyDescent="0.35"/>
    <row r="3196" ht="15" customHeight="1" x14ac:dyDescent="0.35"/>
    <row r="3197" ht="15" customHeight="1" x14ac:dyDescent="0.35"/>
    <row r="3198" ht="15" customHeight="1" x14ac:dyDescent="0.35"/>
    <row r="3199" ht="15" customHeight="1" x14ac:dyDescent="0.35"/>
    <row r="3200" ht="15" customHeight="1" x14ac:dyDescent="0.35"/>
    <row r="3201" ht="15" customHeight="1" x14ac:dyDescent="0.35"/>
    <row r="3202" ht="15" customHeight="1" x14ac:dyDescent="0.35"/>
    <row r="3203" ht="15" customHeight="1" x14ac:dyDescent="0.35"/>
    <row r="3204" ht="15" customHeight="1" x14ac:dyDescent="0.35"/>
    <row r="3205" ht="15" customHeight="1" x14ac:dyDescent="0.35"/>
    <row r="3206" ht="15" customHeight="1" x14ac:dyDescent="0.35"/>
    <row r="3207" ht="15" customHeight="1" x14ac:dyDescent="0.35"/>
    <row r="3208" ht="15" customHeight="1" x14ac:dyDescent="0.35"/>
    <row r="3209" ht="15" customHeight="1" x14ac:dyDescent="0.35"/>
    <row r="3210" ht="15" customHeight="1" x14ac:dyDescent="0.35"/>
    <row r="3211" ht="15" customHeight="1" x14ac:dyDescent="0.35"/>
    <row r="3212" ht="15" customHeight="1" x14ac:dyDescent="0.35"/>
    <row r="3213" ht="15" customHeight="1" x14ac:dyDescent="0.35"/>
    <row r="3214" ht="15" customHeight="1" x14ac:dyDescent="0.35"/>
    <row r="3215" ht="15" customHeight="1" x14ac:dyDescent="0.35"/>
    <row r="3216" ht="15" customHeight="1" x14ac:dyDescent="0.35"/>
    <row r="3217" ht="15" customHeight="1" x14ac:dyDescent="0.35"/>
    <row r="3218" ht="15" customHeight="1" x14ac:dyDescent="0.35"/>
    <row r="3219" ht="15" customHeight="1" x14ac:dyDescent="0.35"/>
    <row r="3220" ht="15" customHeight="1" x14ac:dyDescent="0.35"/>
    <row r="3221" ht="15" customHeight="1" x14ac:dyDescent="0.35"/>
    <row r="3222" ht="15" customHeight="1" x14ac:dyDescent="0.35"/>
    <row r="3223" ht="15" customHeight="1" x14ac:dyDescent="0.35"/>
    <row r="3224" ht="15" customHeight="1" x14ac:dyDescent="0.35"/>
    <row r="3225" ht="15" customHeight="1" x14ac:dyDescent="0.35"/>
    <row r="3226" ht="15" customHeight="1" x14ac:dyDescent="0.35"/>
    <row r="3227" ht="15" customHeight="1" x14ac:dyDescent="0.35"/>
    <row r="3228" ht="15" customHeight="1" x14ac:dyDescent="0.35"/>
    <row r="3229" ht="15" customHeight="1" x14ac:dyDescent="0.35"/>
    <row r="3230" ht="15" customHeight="1" x14ac:dyDescent="0.35"/>
    <row r="3231" ht="15" customHeight="1" x14ac:dyDescent="0.35"/>
    <row r="3232" ht="15" customHeight="1" x14ac:dyDescent="0.35"/>
    <row r="3233" ht="15" customHeight="1" x14ac:dyDescent="0.35"/>
    <row r="3234" ht="15" customHeight="1" x14ac:dyDescent="0.35"/>
    <row r="3235" ht="15" customHeight="1" x14ac:dyDescent="0.35"/>
    <row r="3236" ht="15" customHeight="1" x14ac:dyDescent="0.35"/>
    <row r="3237" ht="15" customHeight="1" x14ac:dyDescent="0.35"/>
    <row r="3238" ht="15" customHeight="1" x14ac:dyDescent="0.35"/>
    <row r="3239" ht="15" customHeight="1" x14ac:dyDescent="0.35"/>
    <row r="3240" ht="15" customHeight="1" x14ac:dyDescent="0.35"/>
    <row r="3241" ht="15" customHeight="1" x14ac:dyDescent="0.35"/>
    <row r="3242" ht="15" customHeight="1" x14ac:dyDescent="0.35"/>
    <row r="3243" ht="15" customHeight="1" x14ac:dyDescent="0.35"/>
    <row r="3244" ht="15" customHeight="1" x14ac:dyDescent="0.35"/>
    <row r="3245" ht="15" customHeight="1" x14ac:dyDescent="0.35"/>
    <row r="3246" ht="15" customHeight="1" x14ac:dyDescent="0.35"/>
    <row r="3247" ht="15" customHeight="1" x14ac:dyDescent="0.35"/>
    <row r="3248" ht="15" customHeight="1" x14ac:dyDescent="0.35"/>
    <row r="3249" ht="15" customHeight="1" x14ac:dyDescent="0.35"/>
    <row r="3250" ht="15" customHeight="1" x14ac:dyDescent="0.35"/>
    <row r="3251" ht="15" customHeight="1" x14ac:dyDescent="0.35"/>
    <row r="3252" ht="15" customHeight="1" x14ac:dyDescent="0.35"/>
    <row r="3253" ht="15" customHeight="1" x14ac:dyDescent="0.35"/>
    <row r="3254" ht="15" customHeight="1" x14ac:dyDescent="0.35"/>
    <row r="3255" ht="15" customHeight="1" x14ac:dyDescent="0.35"/>
    <row r="3256" ht="15" customHeight="1" x14ac:dyDescent="0.35"/>
    <row r="3257" ht="15" customHeight="1" x14ac:dyDescent="0.35"/>
    <row r="3258" ht="15" customHeight="1" x14ac:dyDescent="0.35"/>
    <row r="3259" ht="15" customHeight="1" x14ac:dyDescent="0.35"/>
    <row r="3260" ht="15" customHeight="1" x14ac:dyDescent="0.35"/>
    <row r="3261" ht="15" customHeight="1" x14ac:dyDescent="0.35"/>
    <row r="3262" ht="15" customHeight="1" x14ac:dyDescent="0.35"/>
    <row r="3263" ht="15" customHeight="1" x14ac:dyDescent="0.35"/>
    <row r="3264" ht="15" customHeight="1" x14ac:dyDescent="0.35"/>
    <row r="3265" ht="15" customHeight="1" x14ac:dyDescent="0.35"/>
    <row r="3266" ht="15" customHeight="1" x14ac:dyDescent="0.35"/>
    <row r="3267" ht="15" customHeight="1" x14ac:dyDescent="0.35"/>
    <row r="3268" ht="15" customHeight="1" x14ac:dyDescent="0.35"/>
    <row r="3269" ht="15" customHeight="1" x14ac:dyDescent="0.35"/>
    <row r="3270" ht="15" customHeight="1" x14ac:dyDescent="0.35"/>
    <row r="3271" ht="15" customHeight="1" x14ac:dyDescent="0.35"/>
    <row r="3272" ht="15" customHeight="1" x14ac:dyDescent="0.35"/>
    <row r="3273" ht="15" customHeight="1" x14ac:dyDescent="0.35"/>
    <row r="3274" ht="15" customHeight="1" x14ac:dyDescent="0.35"/>
    <row r="3275" ht="15" customHeight="1" x14ac:dyDescent="0.35"/>
    <row r="3276" ht="15" customHeight="1" x14ac:dyDescent="0.35"/>
    <row r="3277" ht="15" customHeight="1" x14ac:dyDescent="0.35"/>
    <row r="3278" ht="15" customHeight="1" x14ac:dyDescent="0.35"/>
    <row r="3279" ht="15" customHeight="1" x14ac:dyDescent="0.35"/>
    <row r="3280" ht="15" customHeight="1" x14ac:dyDescent="0.35"/>
    <row r="3281" ht="15" customHeight="1" x14ac:dyDescent="0.35"/>
    <row r="3282" ht="15" customHeight="1" x14ac:dyDescent="0.35"/>
    <row r="3283" ht="15" customHeight="1" x14ac:dyDescent="0.35"/>
    <row r="3284" ht="15" customHeight="1" x14ac:dyDescent="0.35"/>
    <row r="3285" ht="15" customHeight="1" x14ac:dyDescent="0.35"/>
    <row r="3286" ht="15" customHeight="1" x14ac:dyDescent="0.35"/>
    <row r="3287" ht="15" customHeight="1" x14ac:dyDescent="0.35"/>
    <row r="3288" ht="15" customHeight="1" x14ac:dyDescent="0.35"/>
    <row r="3289" ht="15" customHeight="1" x14ac:dyDescent="0.35"/>
    <row r="3290" ht="15" customHeight="1" x14ac:dyDescent="0.35"/>
    <row r="3291" ht="15" customHeight="1" x14ac:dyDescent="0.35"/>
    <row r="3292" ht="15" customHeight="1" x14ac:dyDescent="0.35"/>
    <row r="3293" ht="15" customHeight="1" x14ac:dyDescent="0.35"/>
    <row r="3294" ht="15" customHeight="1" x14ac:dyDescent="0.35"/>
    <row r="3295" ht="15" customHeight="1" x14ac:dyDescent="0.35"/>
    <row r="3296" ht="15" customHeight="1" x14ac:dyDescent="0.35"/>
    <row r="3297" ht="15" customHeight="1" x14ac:dyDescent="0.35"/>
    <row r="3298" ht="15" customHeight="1" x14ac:dyDescent="0.35"/>
    <row r="3299" ht="15" customHeight="1" x14ac:dyDescent="0.35"/>
    <row r="3300" ht="15" customHeight="1" x14ac:dyDescent="0.35"/>
    <row r="3301" ht="15" customHeight="1" x14ac:dyDescent="0.35"/>
    <row r="3302" ht="15" customHeight="1" x14ac:dyDescent="0.35"/>
    <row r="3303" ht="15" customHeight="1" x14ac:dyDescent="0.35"/>
    <row r="3304" ht="15" customHeight="1" x14ac:dyDescent="0.35"/>
    <row r="3305" ht="15" customHeight="1" x14ac:dyDescent="0.35"/>
    <row r="3306" ht="15" customHeight="1" x14ac:dyDescent="0.35"/>
    <row r="3307" ht="15" customHeight="1" x14ac:dyDescent="0.35"/>
    <row r="3308" ht="15" customHeight="1" x14ac:dyDescent="0.35"/>
    <row r="3309" ht="15" customHeight="1" x14ac:dyDescent="0.35"/>
    <row r="3310" ht="15" customHeight="1" x14ac:dyDescent="0.35"/>
    <row r="3311" ht="15" customHeight="1" x14ac:dyDescent="0.35"/>
    <row r="3312" ht="15" customHeight="1" x14ac:dyDescent="0.35"/>
    <row r="3313" ht="15" customHeight="1" x14ac:dyDescent="0.35"/>
    <row r="3314" ht="15" customHeight="1" x14ac:dyDescent="0.35"/>
    <row r="3315" ht="15" customHeight="1" x14ac:dyDescent="0.35"/>
    <row r="3316" ht="15" customHeight="1" x14ac:dyDescent="0.35"/>
    <row r="3317" ht="15" customHeight="1" x14ac:dyDescent="0.35"/>
    <row r="3318" ht="15" customHeight="1" x14ac:dyDescent="0.35"/>
    <row r="3319" ht="15" customHeight="1" x14ac:dyDescent="0.35"/>
    <row r="3320" ht="15" customHeight="1" x14ac:dyDescent="0.35"/>
    <row r="3321" ht="15" customHeight="1" x14ac:dyDescent="0.35"/>
    <row r="3322" ht="15" customHeight="1" x14ac:dyDescent="0.35"/>
    <row r="3323" ht="15" customHeight="1" x14ac:dyDescent="0.35"/>
    <row r="3324" ht="15" customHeight="1" x14ac:dyDescent="0.35"/>
    <row r="3325" ht="15" customHeight="1" x14ac:dyDescent="0.35"/>
    <row r="3326" ht="15" customHeight="1" x14ac:dyDescent="0.35"/>
    <row r="3327" ht="15" customHeight="1" x14ac:dyDescent="0.35"/>
    <row r="3328" ht="15" customHeight="1" x14ac:dyDescent="0.35"/>
    <row r="3329" ht="15" customHeight="1" x14ac:dyDescent="0.35"/>
    <row r="3330" ht="15" customHeight="1" x14ac:dyDescent="0.35"/>
    <row r="3331" ht="15" customHeight="1" x14ac:dyDescent="0.35"/>
    <row r="3332" ht="15" customHeight="1" x14ac:dyDescent="0.35"/>
    <row r="3333" ht="15" customHeight="1" x14ac:dyDescent="0.35"/>
    <row r="3334" ht="15" customHeight="1" x14ac:dyDescent="0.35"/>
    <row r="3335" ht="15" customHeight="1" x14ac:dyDescent="0.35"/>
    <row r="3336" ht="15" customHeight="1" x14ac:dyDescent="0.35"/>
    <row r="3337" ht="15" customHeight="1" x14ac:dyDescent="0.35"/>
    <row r="3338" ht="15" customHeight="1" x14ac:dyDescent="0.35"/>
    <row r="3339" ht="15" customHeight="1" x14ac:dyDescent="0.35"/>
    <row r="3340" ht="15" customHeight="1" x14ac:dyDescent="0.35"/>
    <row r="3341" ht="15" customHeight="1" x14ac:dyDescent="0.35"/>
    <row r="3342" ht="15" customHeight="1" x14ac:dyDescent="0.35"/>
    <row r="3343" ht="15" customHeight="1" x14ac:dyDescent="0.35"/>
    <row r="3344" ht="15" customHeight="1" x14ac:dyDescent="0.35"/>
    <row r="3345" ht="15" customHeight="1" x14ac:dyDescent="0.35"/>
    <row r="3346" ht="15" customHeight="1" x14ac:dyDescent="0.35"/>
    <row r="3347" ht="15" customHeight="1" x14ac:dyDescent="0.35"/>
    <row r="3348" ht="15" customHeight="1" x14ac:dyDescent="0.35"/>
    <row r="3349" ht="15" customHeight="1" x14ac:dyDescent="0.35"/>
    <row r="3350" ht="15" customHeight="1" x14ac:dyDescent="0.35"/>
    <row r="3351" ht="15" customHeight="1" x14ac:dyDescent="0.35"/>
    <row r="3352" ht="15" customHeight="1" x14ac:dyDescent="0.35"/>
    <row r="3353" ht="15" customHeight="1" x14ac:dyDescent="0.35"/>
    <row r="3354" ht="15" customHeight="1" x14ac:dyDescent="0.35"/>
    <row r="3355" ht="15" customHeight="1" x14ac:dyDescent="0.35"/>
    <row r="3356" ht="15" customHeight="1" x14ac:dyDescent="0.35"/>
    <row r="3357" ht="15" customHeight="1" x14ac:dyDescent="0.35"/>
    <row r="3358" ht="15" customHeight="1" x14ac:dyDescent="0.35"/>
    <row r="3359" ht="15" customHeight="1" x14ac:dyDescent="0.35"/>
    <row r="3360" ht="15" customHeight="1" x14ac:dyDescent="0.35"/>
    <row r="3361" ht="15" customHeight="1" x14ac:dyDescent="0.35"/>
    <row r="3362" ht="15" customHeight="1" x14ac:dyDescent="0.35"/>
    <row r="3363" ht="15" customHeight="1" x14ac:dyDescent="0.35"/>
    <row r="3364" ht="15" customHeight="1" x14ac:dyDescent="0.35"/>
    <row r="3365" ht="15" customHeight="1" x14ac:dyDescent="0.35"/>
    <row r="3366" ht="15" customHeight="1" x14ac:dyDescent="0.35"/>
    <row r="3367" ht="15" customHeight="1" x14ac:dyDescent="0.35"/>
    <row r="3368" ht="15" customHeight="1" x14ac:dyDescent="0.35"/>
    <row r="3369" ht="15" customHeight="1" x14ac:dyDescent="0.35"/>
    <row r="3370" ht="15" customHeight="1" x14ac:dyDescent="0.35"/>
    <row r="3371" ht="15" customHeight="1" x14ac:dyDescent="0.35"/>
    <row r="3372" ht="15" customHeight="1" x14ac:dyDescent="0.35"/>
    <row r="3373" ht="15" customHeight="1" x14ac:dyDescent="0.35"/>
    <row r="3374" ht="15" customHeight="1" x14ac:dyDescent="0.35"/>
    <row r="3375" ht="15" customHeight="1" x14ac:dyDescent="0.35"/>
    <row r="3376" ht="15" customHeight="1" x14ac:dyDescent="0.35"/>
    <row r="3377" ht="15" customHeight="1" x14ac:dyDescent="0.35"/>
    <row r="3378" ht="15" customHeight="1" x14ac:dyDescent="0.35"/>
    <row r="3379" ht="15" customHeight="1" x14ac:dyDescent="0.35"/>
    <row r="3380" ht="15" customHeight="1" x14ac:dyDescent="0.35"/>
    <row r="3381" ht="15" customHeight="1" x14ac:dyDescent="0.35"/>
    <row r="3382" ht="15" customHeight="1" x14ac:dyDescent="0.35"/>
    <row r="3383" ht="15" customHeight="1" x14ac:dyDescent="0.35"/>
    <row r="3384" ht="15" customHeight="1" x14ac:dyDescent="0.35"/>
    <row r="3385" ht="15" customHeight="1" x14ac:dyDescent="0.35"/>
    <row r="3386" ht="15" customHeight="1" x14ac:dyDescent="0.35"/>
    <row r="3387" ht="15" customHeight="1" x14ac:dyDescent="0.35"/>
    <row r="3388" ht="15" customHeight="1" x14ac:dyDescent="0.35"/>
    <row r="3389" ht="15" customHeight="1" x14ac:dyDescent="0.35"/>
    <row r="3390" ht="15" customHeight="1" x14ac:dyDescent="0.35"/>
    <row r="3391" ht="15" customHeight="1" x14ac:dyDescent="0.35"/>
    <row r="3392" ht="15" customHeight="1" x14ac:dyDescent="0.35"/>
    <row r="3393" ht="15" customHeight="1" x14ac:dyDescent="0.35"/>
    <row r="3394" ht="15" customHeight="1" x14ac:dyDescent="0.35"/>
    <row r="3395" ht="15" customHeight="1" x14ac:dyDescent="0.35"/>
    <row r="3396" ht="15" customHeight="1" x14ac:dyDescent="0.35"/>
    <row r="3397" ht="15" customHeight="1" x14ac:dyDescent="0.35"/>
    <row r="3398" ht="15" customHeight="1" x14ac:dyDescent="0.35"/>
    <row r="3399" ht="15" customHeight="1" x14ac:dyDescent="0.35"/>
    <row r="3400" ht="15" customHeight="1" x14ac:dyDescent="0.35"/>
    <row r="3401" ht="15" customHeight="1" x14ac:dyDescent="0.35"/>
    <row r="3402" ht="15" customHeight="1" x14ac:dyDescent="0.35"/>
    <row r="3403" ht="15" customHeight="1" x14ac:dyDescent="0.35"/>
    <row r="3404" ht="15" customHeight="1" x14ac:dyDescent="0.35"/>
    <row r="3405" ht="15" customHeight="1" x14ac:dyDescent="0.35"/>
    <row r="3406" ht="15" customHeight="1" x14ac:dyDescent="0.35"/>
    <row r="3407" ht="15" customHeight="1" x14ac:dyDescent="0.35"/>
    <row r="3408" ht="15" customHeight="1" x14ac:dyDescent="0.35"/>
    <row r="3409" ht="15" customHeight="1" x14ac:dyDescent="0.35"/>
    <row r="3410" ht="15" customHeight="1" x14ac:dyDescent="0.35"/>
    <row r="3411" ht="15" customHeight="1" x14ac:dyDescent="0.35"/>
    <row r="3412" ht="15" customHeight="1" x14ac:dyDescent="0.35"/>
    <row r="3413" ht="15" customHeight="1" x14ac:dyDescent="0.35"/>
    <row r="3414" ht="15" customHeight="1" x14ac:dyDescent="0.35"/>
    <row r="3415" ht="15" customHeight="1" x14ac:dyDescent="0.35"/>
    <row r="3416" ht="15" customHeight="1" x14ac:dyDescent="0.35"/>
    <row r="3417" ht="15" customHeight="1" x14ac:dyDescent="0.35"/>
    <row r="3418" ht="15" customHeight="1" x14ac:dyDescent="0.35"/>
    <row r="3419" ht="15" customHeight="1" x14ac:dyDescent="0.35"/>
    <row r="3420" ht="15" customHeight="1" x14ac:dyDescent="0.35"/>
    <row r="3421" ht="15" customHeight="1" x14ac:dyDescent="0.35"/>
    <row r="3422" ht="15" customHeight="1" x14ac:dyDescent="0.35"/>
    <row r="3423" ht="15" customHeight="1" x14ac:dyDescent="0.35"/>
    <row r="3424" ht="15" customHeight="1" x14ac:dyDescent="0.35"/>
    <row r="3425" ht="15" customHeight="1" x14ac:dyDescent="0.35"/>
    <row r="3426" ht="15" customHeight="1" x14ac:dyDescent="0.35"/>
    <row r="3427" ht="15" customHeight="1" x14ac:dyDescent="0.35"/>
    <row r="3428" ht="15" customHeight="1" x14ac:dyDescent="0.35"/>
    <row r="3429" ht="15" customHeight="1" x14ac:dyDescent="0.35"/>
    <row r="3430" ht="15" customHeight="1" x14ac:dyDescent="0.35"/>
    <row r="3431" ht="15" customHeight="1" x14ac:dyDescent="0.35"/>
    <row r="3432" ht="15" customHeight="1" x14ac:dyDescent="0.35"/>
    <row r="3433" ht="15" customHeight="1" x14ac:dyDescent="0.35"/>
    <row r="3434" ht="15" customHeight="1" x14ac:dyDescent="0.35"/>
    <row r="3435" ht="15" customHeight="1" x14ac:dyDescent="0.35"/>
    <row r="3436" ht="15" customHeight="1" x14ac:dyDescent="0.35"/>
    <row r="3437" ht="15" customHeight="1" x14ac:dyDescent="0.35"/>
    <row r="3438" ht="15" customHeight="1" x14ac:dyDescent="0.35"/>
    <row r="3439" ht="15" customHeight="1" x14ac:dyDescent="0.35"/>
    <row r="3440" ht="15" customHeight="1" x14ac:dyDescent="0.35"/>
    <row r="3441" ht="15" customHeight="1" x14ac:dyDescent="0.35"/>
    <row r="3442" ht="15" customHeight="1" x14ac:dyDescent="0.35"/>
    <row r="3443" ht="15" customHeight="1" x14ac:dyDescent="0.35"/>
    <row r="3444" ht="15" customHeight="1" x14ac:dyDescent="0.35"/>
    <row r="3445" ht="15" customHeight="1" x14ac:dyDescent="0.35"/>
    <row r="3446" ht="15" customHeight="1" x14ac:dyDescent="0.35"/>
    <row r="3447" ht="15" customHeight="1" x14ac:dyDescent="0.35"/>
    <row r="3448" ht="15" customHeight="1" x14ac:dyDescent="0.35"/>
    <row r="3449" ht="15" customHeight="1" x14ac:dyDescent="0.35"/>
    <row r="3450" ht="15" customHeight="1" x14ac:dyDescent="0.35"/>
    <row r="3451" ht="15" customHeight="1" x14ac:dyDescent="0.35"/>
    <row r="3452" ht="15" customHeight="1" x14ac:dyDescent="0.35"/>
    <row r="3453" ht="15" customHeight="1" x14ac:dyDescent="0.35"/>
    <row r="3454" ht="15" customHeight="1" x14ac:dyDescent="0.35"/>
    <row r="3455" ht="15" customHeight="1" x14ac:dyDescent="0.35"/>
    <row r="3456" ht="15" customHeight="1" x14ac:dyDescent="0.35"/>
    <row r="3457" ht="15" customHeight="1" x14ac:dyDescent="0.35"/>
    <row r="3458" ht="15" customHeight="1" x14ac:dyDescent="0.35"/>
    <row r="3459" ht="15" customHeight="1" x14ac:dyDescent="0.35"/>
    <row r="3460" ht="15" customHeight="1" x14ac:dyDescent="0.35"/>
    <row r="3461" ht="15" customHeight="1" x14ac:dyDescent="0.35"/>
    <row r="3462" ht="15" customHeight="1" x14ac:dyDescent="0.35"/>
    <row r="3463" ht="15" customHeight="1" x14ac:dyDescent="0.35"/>
    <row r="3464" ht="15" customHeight="1" x14ac:dyDescent="0.35"/>
    <row r="3465" ht="15" customHeight="1" x14ac:dyDescent="0.35"/>
    <row r="3466" ht="15" customHeight="1" x14ac:dyDescent="0.35"/>
    <row r="3467" ht="15" customHeight="1" x14ac:dyDescent="0.35"/>
    <row r="3468" ht="15" customHeight="1" x14ac:dyDescent="0.35"/>
    <row r="3469" ht="15" customHeight="1" x14ac:dyDescent="0.35"/>
    <row r="3470" ht="15" customHeight="1" x14ac:dyDescent="0.35"/>
    <row r="3471" ht="15" customHeight="1" x14ac:dyDescent="0.35"/>
    <row r="3472" ht="15" customHeight="1" x14ac:dyDescent="0.35"/>
    <row r="3473" ht="15" customHeight="1" x14ac:dyDescent="0.35"/>
    <row r="3474" ht="15" customHeight="1" x14ac:dyDescent="0.35"/>
    <row r="3475" ht="15" customHeight="1" x14ac:dyDescent="0.35"/>
    <row r="3476" ht="15" customHeight="1" x14ac:dyDescent="0.35"/>
    <row r="3477" ht="15" customHeight="1" x14ac:dyDescent="0.35"/>
    <row r="3478" ht="15" customHeight="1" x14ac:dyDescent="0.35"/>
    <row r="3479" ht="15" customHeight="1" x14ac:dyDescent="0.35"/>
    <row r="3480" ht="15" customHeight="1" x14ac:dyDescent="0.35"/>
    <row r="3481" ht="15" customHeight="1" x14ac:dyDescent="0.35"/>
    <row r="3482" ht="15" customHeight="1" x14ac:dyDescent="0.35"/>
    <row r="3483" ht="15" customHeight="1" x14ac:dyDescent="0.35"/>
    <row r="3484" ht="15" customHeight="1" x14ac:dyDescent="0.35"/>
    <row r="3485" ht="15" customHeight="1" x14ac:dyDescent="0.35"/>
    <row r="3486" ht="15" customHeight="1" x14ac:dyDescent="0.35"/>
    <row r="3487" ht="15" customHeight="1" x14ac:dyDescent="0.35"/>
    <row r="3488" ht="15" customHeight="1" x14ac:dyDescent="0.35"/>
    <row r="3489" ht="15" customHeight="1" x14ac:dyDescent="0.35"/>
    <row r="3490" ht="15" customHeight="1" x14ac:dyDescent="0.35"/>
    <row r="3491" ht="15" customHeight="1" x14ac:dyDescent="0.35"/>
    <row r="3492" ht="15" customHeight="1" x14ac:dyDescent="0.35"/>
    <row r="3493" ht="15" customHeight="1" x14ac:dyDescent="0.35"/>
    <row r="3494" ht="15" customHeight="1" x14ac:dyDescent="0.35"/>
    <row r="3495" ht="15" customHeight="1" x14ac:dyDescent="0.35"/>
    <row r="3496" ht="15" customHeight="1" x14ac:dyDescent="0.35"/>
    <row r="3497" ht="15" customHeight="1" x14ac:dyDescent="0.35"/>
    <row r="3498" ht="15" customHeight="1" x14ac:dyDescent="0.35"/>
    <row r="3499" ht="15" customHeight="1" x14ac:dyDescent="0.35"/>
    <row r="3500" ht="15" customHeight="1" x14ac:dyDescent="0.35"/>
    <row r="3501" ht="15" customHeight="1" x14ac:dyDescent="0.35"/>
    <row r="3502" ht="15" customHeight="1" x14ac:dyDescent="0.35"/>
    <row r="3503" ht="15" customHeight="1" x14ac:dyDescent="0.35"/>
    <row r="3504" ht="15" customHeight="1" x14ac:dyDescent="0.35"/>
    <row r="3505" ht="15" customHeight="1" x14ac:dyDescent="0.35"/>
    <row r="3506" ht="15" customHeight="1" x14ac:dyDescent="0.35"/>
    <row r="3507" ht="15" customHeight="1" x14ac:dyDescent="0.35"/>
    <row r="3508" ht="15" customHeight="1" x14ac:dyDescent="0.35"/>
    <row r="3509" ht="15" customHeight="1" x14ac:dyDescent="0.35"/>
    <row r="3510" ht="15" customHeight="1" x14ac:dyDescent="0.35"/>
    <row r="3511" ht="15" customHeight="1" x14ac:dyDescent="0.35"/>
    <row r="3512" ht="15" customHeight="1" x14ac:dyDescent="0.35"/>
    <row r="3513" ht="15" customHeight="1" x14ac:dyDescent="0.35"/>
    <row r="3514" ht="15" customHeight="1" x14ac:dyDescent="0.35"/>
    <row r="3515" ht="15" customHeight="1" x14ac:dyDescent="0.35"/>
    <row r="3516" ht="15" customHeight="1" x14ac:dyDescent="0.35"/>
    <row r="3517" ht="15" customHeight="1" x14ac:dyDescent="0.35"/>
    <row r="3518" ht="15" customHeight="1" x14ac:dyDescent="0.35"/>
    <row r="3519" ht="15" customHeight="1" x14ac:dyDescent="0.35"/>
    <row r="3520" ht="15" customHeight="1" x14ac:dyDescent="0.35"/>
    <row r="3521" ht="15" customHeight="1" x14ac:dyDescent="0.35"/>
    <row r="3522" ht="15" customHeight="1" x14ac:dyDescent="0.35"/>
    <row r="3523" ht="15" customHeight="1" x14ac:dyDescent="0.35"/>
    <row r="3524" ht="15" customHeight="1" x14ac:dyDescent="0.35"/>
    <row r="3525" ht="15" customHeight="1" x14ac:dyDescent="0.35"/>
    <row r="3526" ht="15" customHeight="1" x14ac:dyDescent="0.35"/>
    <row r="3527" ht="15" customHeight="1" x14ac:dyDescent="0.35"/>
    <row r="3528" ht="15" customHeight="1" x14ac:dyDescent="0.35"/>
    <row r="3529" ht="15" customHeight="1" x14ac:dyDescent="0.35"/>
    <row r="3530" ht="15" customHeight="1" x14ac:dyDescent="0.35"/>
    <row r="3531" ht="15" customHeight="1" x14ac:dyDescent="0.35"/>
    <row r="3532" ht="15" customHeight="1" x14ac:dyDescent="0.35"/>
    <row r="3533" ht="15" customHeight="1" x14ac:dyDescent="0.35"/>
    <row r="3534" ht="15" customHeight="1" x14ac:dyDescent="0.35"/>
    <row r="3535" ht="15" customHeight="1" x14ac:dyDescent="0.35"/>
    <row r="3536" ht="15" customHeight="1" x14ac:dyDescent="0.35"/>
    <row r="3537" ht="15" customHeight="1" x14ac:dyDescent="0.35"/>
    <row r="3538" ht="15" customHeight="1" x14ac:dyDescent="0.35"/>
    <row r="3539" ht="15" customHeight="1" x14ac:dyDescent="0.35"/>
    <row r="3540" ht="15" customHeight="1" x14ac:dyDescent="0.35"/>
    <row r="3541" ht="15" customHeight="1" x14ac:dyDescent="0.35"/>
    <row r="3542" ht="15" customHeight="1" x14ac:dyDescent="0.35"/>
    <row r="3543" ht="15" customHeight="1" x14ac:dyDescent="0.35"/>
    <row r="3544" ht="15" customHeight="1" x14ac:dyDescent="0.35"/>
    <row r="3545" ht="15" customHeight="1" x14ac:dyDescent="0.35"/>
    <row r="3546" ht="15" customHeight="1" x14ac:dyDescent="0.35"/>
    <row r="3547" ht="15" customHeight="1" x14ac:dyDescent="0.35"/>
    <row r="3548" ht="15" customHeight="1" x14ac:dyDescent="0.35"/>
    <row r="3549" ht="15" customHeight="1" x14ac:dyDescent="0.35"/>
    <row r="3550" ht="15" customHeight="1" x14ac:dyDescent="0.35"/>
    <row r="3551" ht="15" customHeight="1" x14ac:dyDescent="0.35"/>
    <row r="3552" ht="15" customHeight="1" x14ac:dyDescent="0.35"/>
    <row r="3553" ht="15" customHeight="1" x14ac:dyDescent="0.35"/>
    <row r="3554" ht="15" customHeight="1" x14ac:dyDescent="0.35"/>
    <row r="3555" ht="15" customHeight="1" x14ac:dyDescent="0.35"/>
    <row r="3556" ht="15" customHeight="1" x14ac:dyDescent="0.35"/>
    <row r="3557" ht="15" customHeight="1" x14ac:dyDescent="0.35"/>
    <row r="3558" ht="15" customHeight="1" x14ac:dyDescent="0.35"/>
    <row r="3559" ht="15" customHeight="1" x14ac:dyDescent="0.35"/>
    <row r="3560" ht="15" customHeight="1" x14ac:dyDescent="0.35"/>
    <row r="3561" ht="15" customHeight="1" x14ac:dyDescent="0.35"/>
    <row r="3562" ht="15" customHeight="1" x14ac:dyDescent="0.35"/>
    <row r="3563" ht="15" customHeight="1" x14ac:dyDescent="0.35"/>
    <row r="3564" ht="15" customHeight="1" x14ac:dyDescent="0.35"/>
    <row r="3565" ht="15" customHeight="1" x14ac:dyDescent="0.35"/>
    <row r="3566" ht="15" customHeight="1" x14ac:dyDescent="0.35"/>
    <row r="3567" ht="15" customHeight="1" x14ac:dyDescent="0.35"/>
    <row r="3568" ht="15" customHeight="1" x14ac:dyDescent="0.35"/>
    <row r="3569" ht="15" customHeight="1" x14ac:dyDescent="0.35"/>
    <row r="3570" ht="15" customHeight="1" x14ac:dyDescent="0.35"/>
    <row r="3571" ht="15" customHeight="1" x14ac:dyDescent="0.35"/>
    <row r="3572" ht="15" customHeight="1" x14ac:dyDescent="0.35"/>
    <row r="3573" ht="15" customHeight="1" x14ac:dyDescent="0.35"/>
    <row r="3574" ht="15" customHeight="1" x14ac:dyDescent="0.35"/>
    <row r="3575" ht="15" customHeight="1" x14ac:dyDescent="0.35"/>
    <row r="3576" ht="15" customHeight="1" x14ac:dyDescent="0.35"/>
    <row r="3577" ht="15" customHeight="1" x14ac:dyDescent="0.35"/>
    <row r="3578" ht="15" customHeight="1" x14ac:dyDescent="0.35"/>
    <row r="3579" ht="15" customHeight="1" x14ac:dyDescent="0.35"/>
    <row r="3580" ht="15" customHeight="1" x14ac:dyDescent="0.35"/>
    <row r="3581" ht="15" customHeight="1" x14ac:dyDescent="0.35"/>
    <row r="3582" ht="15" customHeight="1" x14ac:dyDescent="0.35"/>
    <row r="3583" ht="15" customHeight="1" x14ac:dyDescent="0.35"/>
    <row r="3584" ht="15" customHeight="1" x14ac:dyDescent="0.35"/>
    <row r="3585" ht="15" customHeight="1" x14ac:dyDescent="0.35"/>
    <row r="3586" ht="15" customHeight="1" x14ac:dyDescent="0.35"/>
    <row r="3587" ht="15" customHeight="1" x14ac:dyDescent="0.35"/>
    <row r="3588" ht="15" customHeight="1" x14ac:dyDescent="0.35"/>
    <row r="3589" ht="15" customHeight="1" x14ac:dyDescent="0.35"/>
    <row r="3590" ht="15" customHeight="1" x14ac:dyDescent="0.35"/>
    <row r="3591" ht="15" customHeight="1" x14ac:dyDescent="0.35"/>
    <row r="3592" ht="15" customHeight="1" x14ac:dyDescent="0.35"/>
    <row r="3593" ht="15" customHeight="1" x14ac:dyDescent="0.35"/>
    <row r="3594" ht="15" customHeight="1" x14ac:dyDescent="0.35"/>
    <row r="3595" ht="15" customHeight="1" x14ac:dyDescent="0.35"/>
    <row r="3596" ht="15" customHeight="1" x14ac:dyDescent="0.35"/>
    <row r="3597" ht="15" customHeight="1" x14ac:dyDescent="0.35"/>
    <row r="3598" ht="15" customHeight="1" x14ac:dyDescent="0.35"/>
    <row r="3599" ht="15" customHeight="1" x14ac:dyDescent="0.35"/>
    <row r="3600" ht="15" customHeight="1" x14ac:dyDescent="0.35"/>
    <row r="3601" ht="15" customHeight="1" x14ac:dyDescent="0.35"/>
    <row r="3602" ht="15" customHeight="1" x14ac:dyDescent="0.35"/>
    <row r="3603" ht="15" customHeight="1" x14ac:dyDescent="0.35"/>
    <row r="3604" ht="15" customHeight="1" x14ac:dyDescent="0.35"/>
    <row r="3605" ht="15" customHeight="1" x14ac:dyDescent="0.35"/>
    <row r="3606" ht="15" customHeight="1" x14ac:dyDescent="0.35"/>
    <row r="3607" ht="15" customHeight="1" x14ac:dyDescent="0.35"/>
    <row r="3608" ht="15" customHeight="1" x14ac:dyDescent="0.35"/>
    <row r="3609" ht="15" customHeight="1" x14ac:dyDescent="0.35"/>
    <row r="3610" ht="15" customHeight="1" x14ac:dyDescent="0.35"/>
    <row r="3611" ht="15" customHeight="1" x14ac:dyDescent="0.35"/>
    <row r="3612" ht="15" customHeight="1" x14ac:dyDescent="0.35"/>
    <row r="3613" ht="15" customHeight="1" x14ac:dyDescent="0.35"/>
    <row r="3614" ht="15" customHeight="1" x14ac:dyDescent="0.35"/>
    <row r="3615" ht="15" customHeight="1" x14ac:dyDescent="0.35"/>
    <row r="3616" ht="15" customHeight="1" x14ac:dyDescent="0.35"/>
    <row r="3617" ht="15" customHeight="1" x14ac:dyDescent="0.35"/>
    <row r="3618" ht="15" customHeight="1" x14ac:dyDescent="0.35"/>
    <row r="3619" ht="15" customHeight="1" x14ac:dyDescent="0.35"/>
    <row r="3620" ht="15" customHeight="1" x14ac:dyDescent="0.35"/>
    <row r="3621" ht="15" customHeight="1" x14ac:dyDescent="0.35"/>
    <row r="3622" ht="15" customHeight="1" x14ac:dyDescent="0.35"/>
    <row r="3623" ht="15" customHeight="1" x14ac:dyDescent="0.35"/>
    <row r="3624" ht="15" customHeight="1" x14ac:dyDescent="0.35"/>
    <row r="3625" ht="15" customHeight="1" x14ac:dyDescent="0.35"/>
    <row r="3626" ht="15" customHeight="1" x14ac:dyDescent="0.35"/>
    <row r="3627" ht="15" customHeight="1" x14ac:dyDescent="0.35"/>
    <row r="3628" ht="15" customHeight="1" x14ac:dyDescent="0.35"/>
    <row r="3629" ht="15" customHeight="1" x14ac:dyDescent="0.35"/>
    <row r="3630" ht="15" customHeight="1" x14ac:dyDescent="0.35"/>
    <row r="3631" ht="15" customHeight="1" x14ac:dyDescent="0.35"/>
    <row r="3632" ht="15" customHeight="1" x14ac:dyDescent="0.35"/>
    <row r="3633" ht="15" customHeight="1" x14ac:dyDescent="0.35"/>
    <row r="3634" ht="15" customHeight="1" x14ac:dyDescent="0.35"/>
    <row r="3635" ht="15" customHeight="1" x14ac:dyDescent="0.35"/>
    <row r="3636" ht="15" customHeight="1" x14ac:dyDescent="0.35"/>
    <row r="3637" ht="15" customHeight="1" x14ac:dyDescent="0.35"/>
    <row r="3638" ht="15" customHeight="1" x14ac:dyDescent="0.35"/>
    <row r="3639" ht="15" customHeight="1" x14ac:dyDescent="0.35"/>
    <row r="3640" ht="15" customHeight="1" x14ac:dyDescent="0.35"/>
    <row r="3641" ht="15" customHeight="1" x14ac:dyDescent="0.35"/>
    <row r="3642" ht="15" customHeight="1" x14ac:dyDescent="0.35"/>
    <row r="3643" ht="15" customHeight="1" x14ac:dyDescent="0.35"/>
    <row r="3644" ht="15" customHeight="1" x14ac:dyDescent="0.35"/>
    <row r="3645" ht="15" customHeight="1" x14ac:dyDescent="0.35"/>
    <row r="3646" ht="15" customHeight="1" x14ac:dyDescent="0.35"/>
    <row r="3647" ht="15" customHeight="1" x14ac:dyDescent="0.35"/>
    <row r="3648" ht="15" customHeight="1" x14ac:dyDescent="0.35"/>
    <row r="3649" ht="15" customHeight="1" x14ac:dyDescent="0.35"/>
    <row r="3650" ht="15" customHeight="1" x14ac:dyDescent="0.35"/>
    <row r="3651" ht="15" customHeight="1" x14ac:dyDescent="0.35"/>
    <row r="3652" ht="15" customHeight="1" x14ac:dyDescent="0.35"/>
    <row r="3653" ht="15" customHeight="1" x14ac:dyDescent="0.35"/>
    <row r="3654" ht="15" customHeight="1" x14ac:dyDescent="0.35"/>
    <row r="3655" ht="15" customHeight="1" x14ac:dyDescent="0.35"/>
    <row r="3656" ht="15" customHeight="1" x14ac:dyDescent="0.35"/>
    <row r="3657" ht="15" customHeight="1" x14ac:dyDescent="0.35"/>
    <row r="3658" ht="15" customHeight="1" x14ac:dyDescent="0.35"/>
    <row r="3659" ht="15" customHeight="1" x14ac:dyDescent="0.35"/>
    <row r="3660" ht="15" customHeight="1" x14ac:dyDescent="0.35"/>
    <row r="3661" ht="15" customHeight="1" x14ac:dyDescent="0.35"/>
    <row r="3662" ht="15" customHeight="1" x14ac:dyDescent="0.35"/>
    <row r="3663" ht="15" customHeight="1" x14ac:dyDescent="0.35"/>
    <row r="3664" ht="15" customHeight="1" x14ac:dyDescent="0.35"/>
    <row r="3665" ht="15" customHeight="1" x14ac:dyDescent="0.35"/>
    <row r="3666" ht="15" customHeight="1" x14ac:dyDescent="0.35"/>
    <row r="3667" ht="15" customHeight="1" x14ac:dyDescent="0.35"/>
    <row r="3668" ht="15" customHeight="1" x14ac:dyDescent="0.35"/>
    <row r="3669" ht="15" customHeight="1" x14ac:dyDescent="0.35"/>
    <row r="3670" ht="15" customHeight="1" x14ac:dyDescent="0.35"/>
    <row r="3671" ht="15" customHeight="1" x14ac:dyDescent="0.35"/>
    <row r="3672" ht="15" customHeight="1" x14ac:dyDescent="0.35"/>
    <row r="3673" ht="15" customHeight="1" x14ac:dyDescent="0.35"/>
    <row r="3674" ht="15" customHeight="1" x14ac:dyDescent="0.35"/>
    <row r="3675" ht="15" customHeight="1" x14ac:dyDescent="0.35"/>
    <row r="3676" ht="15" customHeight="1" x14ac:dyDescent="0.35"/>
    <row r="3677" ht="15" customHeight="1" x14ac:dyDescent="0.35"/>
    <row r="3678" ht="15" customHeight="1" x14ac:dyDescent="0.35"/>
    <row r="3679" ht="15" customHeight="1" x14ac:dyDescent="0.35"/>
    <row r="3680" ht="15" customHeight="1" x14ac:dyDescent="0.35"/>
    <row r="3681" ht="15" customHeight="1" x14ac:dyDescent="0.35"/>
    <row r="3682" ht="15" customHeight="1" x14ac:dyDescent="0.35"/>
    <row r="3683" ht="15" customHeight="1" x14ac:dyDescent="0.35"/>
    <row r="3684" ht="15" customHeight="1" x14ac:dyDescent="0.35"/>
    <row r="3685" ht="15" customHeight="1" x14ac:dyDescent="0.35"/>
    <row r="3686" ht="15" customHeight="1" x14ac:dyDescent="0.35"/>
    <row r="3687" ht="15" customHeight="1" x14ac:dyDescent="0.35"/>
    <row r="3688" ht="15" customHeight="1" x14ac:dyDescent="0.35"/>
    <row r="3689" ht="15" customHeight="1" x14ac:dyDescent="0.35"/>
    <row r="3690" ht="15" customHeight="1" x14ac:dyDescent="0.35"/>
    <row r="3691" ht="15" customHeight="1" x14ac:dyDescent="0.35"/>
    <row r="3692" ht="15" customHeight="1" x14ac:dyDescent="0.35"/>
    <row r="3693" ht="15" customHeight="1" x14ac:dyDescent="0.35"/>
    <row r="3694" ht="15" customHeight="1" x14ac:dyDescent="0.35"/>
    <row r="3695" ht="15" customHeight="1" x14ac:dyDescent="0.35"/>
    <row r="3696" ht="15" customHeight="1" x14ac:dyDescent="0.35"/>
    <row r="3697" ht="15" customHeight="1" x14ac:dyDescent="0.35"/>
    <row r="3698" ht="15" customHeight="1" x14ac:dyDescent="0.35"/>
    <row r="3699" ht="15" customHeight="1" x14ac:dyDescent="0.35"/>
    <row r="3700" ht="15" customHeight="1" x14ac:dyDescent="0.35"/>
    <row r="3701" ht="15" customHeight="1" x14ac:dyDescent="0.35"/>
    <row r="3702" ht="15" customHeight="1" x14ac:dyDescent="0.35"/>
    <row r="3703" ht="15" customHeight="1" x14ac:dyDescent="0.35"/>
    <row r="3704" ht="15" customHeight="1" x14ac:dyDescent="0.35"/>
    <row r="3705" ht="15" customHeight="1" x14ac:dyDescent="0.35"/>
    <row r="3706" ht="15" customHeight="1" x14ac:dyDescent="0.35"/>
    <row r="3707" ht="15" customHeight="1" x14ac:dyDescent="0.35"/>
    <row r="3708" ht="15" customHeight="1" x14ac:dyDescent="0.35"/>
    <row r="3709" ht="15" customHeight="1" x14ac:dyDescent="0.35"/>
    <row r="3710" ht="15" customHeight="1" x14ac:dyDescent="0.35"/>
    <row r="3711" ht="15" customHeight="1" x14ac:dyDescent="0.35"/>
    <row r="3712" ht="15" customHeight="1" x14ac:dyDescent="0.35"/>
    <row r="3713" ht="15" customHeight="1" x14ac:dyDescent="0.35"/>
    <row r="3714" ht="15" customHeight="1" x14ac:dyDescent="0.35"/>
    <row r="3715" ht="15" customHeight="1" x14ac:dyDescent="0.35"/>
    <row r="3716" ht="15" customHeight="1" x14ac:dyDescent="0.35"/>
    <row r="3717" ht="15" customHeight="1" x14ac:dyDescent="0.35"/>
    <row r="3718" ht="15" customHeight="1" x14ac:dyDescent="0.35"/>
    <row r="3719" ht="15" customHeight="1" x14ac:dyDescent="0.35"/>
    <row r="3720" ht="15" customHeight="1" x14ac:dyDescent="0.35"/>
    <row r="3721" ht="15" customHeight="1" x14ac:dyDescent="0.35"/>
    <row r="3722" ht="15" customHeight="1" x14ac:dyDescent="0.35"/>
    <row r="3723" ht="15" customHeight="1" x14ac:dyDescent="0.35"/>
    <row r="3724" ht="15" customHeight="1" x14ac:dyDescent="0.35"/>
    <row r="3725" ht="15" customHeight="1" x14ac:dyDescent="0.35"/>
    <row r="3726" ht="15" customHeight="1" x14ac:dyDescent="0.35"/>
    <row r="3727" ht="15" customHeight="1" x14ac:dyDescent="0.35"/>
    <row r="3728" ht="15" customHeight="1" x14ac:dyDescent="0.35"/>
    <row r="3729" ht="15" customHeight="1" x14ac:dyDescent="0.35"/>
    <row r="3730" ht="15" customHeight="1" x14ac:dyDescent="0.35"/>
    <row r="3731" ht="15" customHeight="1" x14ac:dyDescent="0.35"/>
    <row r="3732" ht="15" customHeight="1" x14ac:dyDescent="0.35"/>
    <row r="3733" ht="15" customHeight="1" x14ac:dyDescent="0.35"/>
    <row r="3734" ht="15" customHeight="1" x14ac:dyDescent="0.35"/>
    <row r="3735" ht="15" customHeight="1" x14ac:dyDescent="0.35"/>
    <row r="3736" ht="15" customHeight="1" x14ac:dyDescent="0.35"/>
    <row r="3737" ht="15" customHeight="1" x14ac:dyDescent="0.35"/>
    <row r="3738" ht="15" customHeight="1" x14ac:dyDescent="0.35"/>
    <row r="3739" ht="15" customHeight="1" x14ac:dyDescent="0.35"/>
    <row r="3740" ht="15" customHeight="1" x14ac:dyDescent="0.35"/>
    <row r="3741" ht="15" customHeight="1" x14ac:dyDescent="0.35"/>
    <row r="3742" ht="15" customHeight="1" x14ac:dyDescent="0.35"/>
    <row r="3743" ht="15" customHeight="1" x14ac:dyDescent="0.35"/>
    <row r="3744" ht="15" customHeight="1" x14ac:dyDescent="0.35"/>
    <row r="3745" ht="15" customHeight="1" x14ac:dyDescent="0.35"/>
    <row r="3746" ht="15" customHeight="1" x14ac:dyDescent="0.35"/>
    <row r="3747" ht="15" customHeight="1" x14ac:dyDescent="0.35"/>
    <row r="3748" ht="15" customHeight="1" x14ac:dyDescent="0.35"/>
    <row r="3749" ht="15" customHeight="1" x14ac:dyDescent="0.35"/>
    <row r="3750" ht="15" customHeight="1" x14ac:dyDescent="0.35"/>
    <row r="3751" ht="15" customHeight="1" x14ac:dyDescent="0.35"/>
    <row r="3752" ht="15" customHeight="1" x14ac:dyDescent="0.35"/>
    <row r="3753" ht="15" customHeight="1" x14ac:dyDescent="0.35"/>
    <row r="3754" ht="15" customHeight="1" x14ac:dyDescent="0.35"/>
    <row r="3755" ht="15" customHeight="1" x14ac:dyDescent="0.35"/>
    <row r="3756" ht="15" customHeight="1" x14ac:dyDescent="0.35"/>
    <row r="3757" ht="15" customHeight="1" x14ac:dyDescent="0.35"/>
    <row r="3758" ht="15" customHeight="1" x14ac:dyDescent="0.35"/>
    <row r="3759" ht="15" customHeight="1" x14ac:dyDescent="0.35"/>
    <row r="3760" ht="15" customHeight="1" x14ac:dyDescent="0.35"/>
    <row r="3761" ht="15" customHeight="1" x14ac:dyDescent="0.35"/>
    <row r="3762" ht="15" customHeight="1" x14ac:dyDescent="0.35"/>
    <row r="3763" ht="15" customHeight="1" x14ac:dyDescent="0.35"/>
    <row r="3764" ht="15" customHeight="1" x14ac:dyDescent="0.35"/>
    <row r="3765" ht="15" customHeight="1" x14ac:dyDescent="0.35"/>
    <row r="3766" ht="15" customHeight="1" x14ac:dyDescent="0.35"/>
    <row r="3767" ht="15" customHeight="1" x14ac:dyDescent="0.35"/>
    <row r="3768" ht="15" customHeight="1" x14ac:dyDescent="0.35"/>
    <row r="3769" ht="15" customHeight="1" x14ac:dyDescent="0.35"/>
    <row r="3770" ht="15" customHeight="1" x14ac:dyDescent="0.35"/>
    <row r="3771" ht="15" customHeight="1" x14ac:dyDescent="0.35"/>
    <row r="3772" ht="15" customHeight="1" x14ac:dyDescent="0.35"/>
  </sheetData>
  <mergeCells count="12">
    <mergeCell ref="B11:E11"/>
    <mergeCell ref="B7:B10"/>
    <mergeCell ref="D7:G7"/>
    <mergeCell ref="D8:G8"/>
    <mergeCell ref="D9:E9"/>
    <mergeCell ref="F9:G9"/>
    <mergeCell ref="D10:E10"/>
    <mergeCell ref="D3:F3"/>
    <mergeCell ref="D4:F4"/>
    <mergeCell ref="D5:E5"/>
    <mergeCell ref="D6:E6"/>
    <mergeCell ref="F10:G10"/>
  </mergeCells>
  <conditionalFormatting pivot="1" sqref="C14:C6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{D75FDBDE-63DB-40C3-8BB2-5C5FC7FDE917}</x14:id>
        </ext>
      </extLst>
    </cfRule>
  </conditionalFormatting>
  <conditionalFormatting pivot="1" sqref="D14:D6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{43B951CE-47C1-4D9C-B18F-6E5C8A00B163}</x14:id>
        </ext>
      </extLst>
    </cfRule>
  </conditionalFormatting>
  <conditionalFormatting sqref="C8:G8 C10 F10 B4:D4 G4">
    <cfRule type="containsBlanks" dxfId="296" priority="1">
      <formula>LEN(TRIM(B4))=0</formula>
    </cfRule>
  </conditionalFormatting>
  <pageMargins left="0.7" right="0.7" top="0.78740157499999996" bottom="0.78740157499999996" header="0.3" footer="0.3"/>
  <pageSetup paperSize="8" scale="83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75FDBDE-63DB-40C3-8BB2-5C5FC7FDE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C14:C61</xm:sqref>
        </x14:conditionalFormatting>
        <x14:conditionalFormatting xmlns:xm="http://schemas.microsoft.com/office/excel/2006/main" pivot="1">
          <x14:cfRule type="dataBar" id="{43B951CE-47C1-4D9C-B18F-6E5C8A00B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D14:D61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34998626667073579"/>
  </sheetPr>
  <dimension ref="A1:L1500"/>
  <sheetViews>
    <sheetView workbookViewId="0">
      <selection activeCell="G6" sqref="G6:J6 G9:J9 G12:J12 G15:J15 G19:J19 G22:J22 G25:J25 G28:J28 G31:J31 G34:J34 G37:J37 G40:J40 G43:J43 G46:J46 G49:J49 G52:J52 G55:J55 G58:J58 G61:J61 G64:J64 G67:J67 G70:J70 G73:J73 G76:J76 G79:J79"/>
      <pivotSelection pane="bottomRight" showHeader="1" extendable="1" start="2" max="77" activeRow="5" activeCol="6" click="1" r:id="rId1">
        <pivotArea dataOnly="0" fieldPosition="0">
          <references count="1">
            <reference field="0" count="0"/>
          </references>
        </pivotArea>
      </pivotSelection>
    </sheetView>
  </sheetViews>
  <sheetFormatPr defaultRowHeight="12.75" x14ac:dyDescent="0.35"/>
  <cols>
    <col min="1" max="1" width="12.1328125" style="899" bestFit="1" customWidth="1"/>
    <col min="2" max="2" width="14.3984375" style="900" bestFit="1" customWidth="1"/>
    <col min="3" max="3" width="43.59765625" style="900" bestFit="1" customWidth="1"/>
    <col min="4" max="4" width="11.73046875" style="900" bestFit="1" customWidth="1"/>
    <col min="5" max="5" width="12.3984375" style="901" customWidth="1"/>
    <col min="7" max="7" width="14.73046875" customWidth="1"/>
    <col min="8" max="8" width="21.86328125" customWidth="1"/>
    <col min="9" max="9" width="38.1328125" style="749" customWidth="1"/>
    <col min="10" max="10" width="36.1328125" style="749" customWidth="1"/>
  </cols>
  <sheetData>
    <row r="1" spans="1:12" ht="31.5" customHeight="1" thickBot="1" x14ac:dyDescent="0.4">
      <c r="A1" s="1047" t="s">
        <v>727</v>
      </c>
      <c r="B1" s="1048"/>
      <c r="C1" s="1048"/>
      <c r="D1" s="1048"/>
      <c r="E1" s="1049"/>
      <c r="G1" s="1053" t="s">
        <v>728</v>
      </c>
      <c r="H1" s="1054"/>
      <c r="I1" s="1054"/>
      <c r="J1" s="1055"/>
    </row>
    <row r="2" spans="1:12" ht="13.15" thickBot="1" x14ac:dyDescent="0.4">
      <c r="A2" s="1050"/>
      <c r="B2" s="1051"/>
      <c r="C2" s="1051"/>
      <c r="D2" s="1051"/>
      <c r="E2" s="1052"/>
      <c r="I2" s="898" t="s">
        <v>683</v>
      </c>
    </row>
    <row r="3" spans="1:12" x14ac:dyDescent="0.35">
      <c r="A3" s="899" t="s">
        <v>729</v>
      </c>
      <c r="B3" s="900" t="s">
        <v>98</v>
      </c>
      <c r="C3" s="900" t="s">
        <v>730</v>
      </c>
      <c r="D3" s="900" t="s">
        <v>731</v>
      </c>
      <c r="E3" s="901" t="s">
        <v>732</v>
      </c>
      <c r="G3" s="897" t="s">
        <v>733</v>
      </c>
      <c r="H3" s="897" t="s">
        <v>32</v>
      </c>
      <c r="I3" s="749" t="s">
        <v>486</v>
      </c>
      <c r="J3" s="749" t="s">
        <v>485</v>
      </c>
    </row>
    <row r="4" spans="1:12" x14ac:dyDescent="0.35">
      <c r="A4" s="902" t="str">
        <f t="shared" ref="A4" si="0">IF(H4="",IF(G4="","","Součet"),"Účet")</f>
        <v/>
      </c>
      <c r="B4" s="903" t="str">
        <f>IF(Tabulka4[[#This Row],[Typ úlohy]]="Součet",G4,IF(Tabulka4[[#This Row],[Typ úlohy]]="Účet",B3,""))</f>
        <v/>
      </c>
      <c r="C4" s="903" t="str">
        <f>IF(Tabulka4[[#This Row],[Typ úlohy]]="Účet",H4,"")</f>
        <v/>
      </c>
      <c r="D4" s="903" t="str">
        <f>IF(Tabulka4[[#This Row],[Typ úlohy]]="Účet",GETPIVOTDATA("Součet z Celková hmotnost položek [kg]",$G$2,"Zkratka kalkulační položky",B4,"Výrobce / Dodavatel",C4),"")</f>
        <v/>
      </c>
      <c r="E4" s="904" t="str">
        <f>IF(Tabulka4[[#This Row],[Typ úlohy]]="Účet",GETPIVOTDATA("Součet z Celková cena bez DPH (CZK)",$G$3,"Zkratka kalkulační položky",B4,"Výrobce / Dodavatel",C4),"")</f>
        <v/>
      </c>
      <c r="G4" s="537" t="s">
        <v>735</v>
      </c>
      <c r="I4" s="749">
        <v>0</v>
      </c>
      <c r="J4" s="749">
        <v>0</v>
      </c>
    </row>
    <row r="5" spans="1:12" x14ac:dyDescent="0.35">
      <c r="A5" s="902" t="str">
        <f t="shared" ref="A5:A68" si="1">IF(H5="",IF(G5="","","Součet"),"Účet")</f>
        <v/>
      </c>
      <c r="B5" s="903" t="str">
        <f>IF(Tabulka4[[#This Row],[Typ úlohy]]="Součet",G5,IF(Tabulka4[[#This Row],[Typ úlohy]]="Účet",B4,""))</f>
        <v/>
      </c>
      <c r="C5" s="903" t="str">
        <f>IF(Tabulka4[[#This Row],[Typ úlohy]]="Účet",H5,"")</f>
        <v/>
      </c>
      <c r="D5" s="903" t="str">
        <f>IF(Tabulka4[[#This Row],[Typ úlohy]]="Účet",GETPIVOTDATA("Součet z Celková hmotnost položek [kg]",$G$2,"Zkratka kalkulační položky",B5,"Výrobce / Dodavatel",C5),"")</f>
        <v/>
      </c>
      <c r="E5" s="904" t="str">
        <f>IF(Tabulka4[[#This Row],[Typ úlohy]]="Účet",GETPIVOTDATA("Součet z Celková cena bez DPH (CZK)",$G$3,"Zkratka kalkulační položky",B5,"Výrobce / Dodavatel",C5),"")</f>
        <v/>
      </c>
      <c r="H5" s="537"/>
      <c r="I5" s="749">
        <v>0</v>
      </c>
      <c r="J5" s="749">
        <v>0</v>
      </c>
    </row>
    <row r="6" spans="1:12" x14ac:dyDescent="0.35">
      <c r="A6" s="902" t="str">
        <f t="shared" si="1"/>
        <v/>
      </c>
      <c r="B6" s="903" t="str">
        <f>IF(Tabulka4[[#This Row],[Typ úlohy]]="Součet",G6,IF(Tabulka4[[#This Row],[Typ úlohy]]="Účet",B5,""))</f>
        <v/>
      </c>
      <c r="C6" s="903" t="str">
        <f>IF(Tabulka4[[#This Row],[Typ úlohy]]="Účet",H6,"")</f>
        <v/>
      </c>
      <c r="D6" s="903" t="str">
        <f>IF(Tabulka4[[#This Row],[Typ úlohy]]="Účet",GETPIVOTDATA("Součet z Celková hmotnost položek [kg]",$G$2,"Zkratka kalkulační položky",B6,"Výrobce / Dodavatel",C6),"")</f>
        <v/>
      </c>
      <c r="E6" s="904" t="str">
        <f>IF(Tabulka4[[#This Row],[Typ úlohy]]="Účet",GETPIVOTDATA("Součet z Celková cena bez DPH (CZK)",$G$3,"Zkratka kalkulační položky",B6,"Výrobce / Dodavatel",C6),"")</f>
        <v/>
      </c>
      <c r="G6" s="537"/>
    </row>
    <row r="7" spans="1:12" x14ac:dyDescent="0.35">
      <c r="A7" s="902" t="str">
        <f t="shared" si="1"/>
        <v>Součet</v>
      </c>
      <c r="B7" s="903" t="str">
        <f>IF(Tabulka4[[#This Row],[Typ úlohy]]="Součet",G7,IF(Tabulka4[[#This Row],[Typ úlohy]]="Účet",B6,""))</f>
        <v>ELMO</v>
      </c>
      <c r="C7" s="903" t="str">
        <f>IF(Tabulka4[[#This Row],[Typ úlohy]]="Účet",H7,"")</f>
        <v/>
      </c>
      <c r="D7" s="903" t="str">
        <f>IF(Tabulka4[[#This Row],[Typ úlohy]]="Účet",GETPIVOTDATA("Součet z Celková hmotnost položek [kg]",$G$2,"Zkratka kalkulační položky",B7,"Výrobce / Dodavatel",C7),"")</f>
        <v/>
      </c>
      <c r="E7" s="904" t="str">
        <f>IF(Tabulka4[[#This Row],[Typ úlohy]]="Účet",GETPIVOTDATA("Součet z Celková cena bez DPH (CZK)",$G$3,"Zkratka kalkulační položky",B7,"Výrobce / Dodavatel",C7),"")</f>
        <v/>
      </c>
      <c r="G7" s="537" t="s">
        <v>831</v>
      </c>
      <c r="I7" s="749">
        <v>2700</v>
      </c>
      <c r="J7" s="749">
        <v>199881</v>
      </c>
    </row>
    <row r="8" spans="1:12" x14ac:dyDescent="0.35">
      <c r="A8" s="902" t="str">
        <f t="shared" si="1"/>
        <v>Účet</v>
      </c>
      <c r="B8" s="903" t="str">
        <f>IF(Tabulka4[[#This Row],[Typ úlohy]]="Součet",G8,IF(Tabulka4[[#This Row],[Typ úlohy]]="Účet",B7,""))</f>
        <v>ELMO</v>
      </c>
      <c r="C8" s="903" t="str">
        <f>IF(Tabulka4[[#This Row],[Typ úlohy]]="Účet",H8,"")</f>
        <v>SEW</v>
      </c>
      <c r="D8" s="903">
        <f>IF(Tabulka4[[#This Row],[Typ úlohy]]="Účet",GETPIVOTDATA("Součet z Celková hmotnost položek [kg]",$G$2,"Zkratka kalkulační položky",B8,"Výrobce / Dodavatel",C8),"")</f>
        <v>2700</v>
      </c>
      <c r="E8" s="904">
        <f>IF(Tabulka4[[#This Row],[Typ úlohy]]="Účet",GETPIVOTDATA("Součet z Celková cena bez DPH (CZK)",$G$3,"Zkratka kalkulační položky",B8,"Výrobce / Dodavatel",C8),"")</f>
        <v>199881</v>
      </c>
      <c r="H8" s="537" t="s">
        <v>851</v>
      </c>
      <c r="I8" s="749">
        <v>2700</v>
      </c>
      <c r="J8" s="749">
        <v>199881</v>
      </c>
    </row>
    <row r="9" spans="1:12" x14ac:dyDescent="0.35">
      <c r="A9" s="902" t="str">
        <f t="shared" si="1"/>
        <v/>
      </c>
      <c r="B9" s="903" t="str">
        <f>IF(Tabulka4[[#This Row],[Typ úlohy]]="Součet",G9,IF(Tabulka4[[#This Row],[Typ úlohy]]="Účet",B8,""))</f>
        <v/>
      </c>
      <c r="C9" s="903" t="str">
        <f>IF(Tabulka4[[#This Row],[Typ úlohy]]="Účet",H9,"")</f>
        <v/>
      </c>
      <c r="D9" s="903" t="str">
        <f>IF(Tabulka4[[#This Row],[Typ úlohy]]="Účet",GETPIVOTDATA("Součet z Celková hmotnost položek [kg]",$G$2,"Zkratka kalkulační položky",B9,"Výrobce / Dodavatel",C9),"")</f>
        <v/>
      </c>
      <c r="E9" s="904" t="str">
        <f>IF(Tabulka4[[#This Row],[Typ úlohy]]="Účet",GETPIVOTDATA("Součet z Celková cena bez DPH (CZK)",$G$3,"Zkratka kalkulační položky",B9,"Výrobce / Dodavatel",C9),"")</f>
        <v/>
      </c>
      <c r="G9" s="537"/>
    </row>
    <row r="10" spans="1:12" x14ac:dyDescent="0.35">
      <c r="A10" s="902" t="str">
        <f t="shared" si="1"/>
        <v>Součet</v>
      </c>
      <c r="B10" s="903" t="str">
        <f>IF(Tabulka4[[#This Row],[Typ úlohy]]="Součet",G10,IF(Tabulka4[[#This Row],[Typ úlohy]]="Účet",B9,""))</f>
        <v>ELRS</v>
      </c>
      <c r="C10" s="903" t="str">
        <f>IF(Tabulka4[[#This Row],[Typ úlohy]]="Účet",H10,"")</f>
        <v/>
      </c>
      <c r="D10" s="903" t="str">
        <f>IF(Tabulka4[[#This Row],[Typ úlohy]]="Účet",GETPIVOTDATA("Součet z Celková hmotnost položek [kg]",$G$2,"Zkratka kalkulační položky",B10,"Výrobce / Dodavatel",C10),"")</f>
        <v/>
      </c>
      <c r="E10" s="904" t="str">
        <f>IF(Tabulka4[[#This Row],[Typ úlohy]]="Účet",GETPIVOTDATA("Součet z Celková cena bez DPH (CZK)",$G$3,"Zkratka kalkulační položky",B10,"Výrobce / Dodavatel",C10),"")</f>
        <v/>
      </c>
      <c r="G10" s="537" t="s">
        <v>847</v>
      </c>
      <c r="I10" s="749">
        <v>0</v>
      </c>
      <c r="J10" s="749">
        <v>1500000</v>
      </c>
      <c r="L10" s="1"/>
    </row>
    <row r="11" spans="1:12" x14ac:dyDescent="0.35">
      <c r="A11" s="902" t="str">
        <f t="shared" si="1"/>
        <v>Účet</v>
      </c>
      <c r="B11" s="903" t="str">
        <f>IF(Tabulka4[[#This Row],[Typ úlohy]]="Součet",G11,IF(Tabulka4[[#This Row],[Typ úlohy]]="Účet",B10,""))</f>
        <v>ELRS</v>
      </c>
      <c r="C11" s="903" t="str">
        <f>IF(Tabulka4[[#This Row],[Typ úlohy]]="Účet",H11,"")</f>
        <v>N/A</v>
      </c>
      <c r="D11" s="903">
        <f>IF(Tabulka4[[#This Row],[Typ úlohy]]="Účet",GETPIVOTDATA("Součet z Celková hmotnost položek [kg]",$G$2,"Zkratka kalkulační položky",B11,"Výrobce / Dodavatel",C11),"")</f>
        <v>0</v>
      </c>
      <c r="E11" s="904">
        <f>IF(Tabulka4[[#This Row],[Typ úlohy]]="Účet",GETPIVOTDATA("Součet z Celková cena bez DPH (CZK)",$G$3,"Zkratka kalkulační položky",B11,"Výrobce / Dodavatel",C11),"")</f>
        <v>1500000</v>
      </c>
      <c r="H11" s="537" t="s">
        <v>681</v>
      </c>
      <c r="I11" s="749">
        <v>0</v>
      </c>
      <c r="J11" s="749">
        <v>1500000</v>
      </c>
    </row>
    <row r="12" spans="1:12" x14ac:dyDescent="0.35">
      <c r="A12" s="902" t="str">
        <f t="shared" si="1"/>
        <v/>
      </c>
      <c r="B12" s="903" t="str">
        <f>IF(Tabulka4[[#This Row],[Typ úlohy]]="Součet",G12,IF(Tabulka4[[#This Row],[Typ úlohy]]="Účet",B11,""))</f>
        <v/>
      </c>
      <c r="C12" s="903" t="str">
        <f>IF(Tabulka4[[#This Row],[Typ úlohy]]="Účet",H12,"")</f>
        <v/>
      </c>
      <c r="D12" s="903" t="str">
        <f>IF(Tabulka4[[#This Row],[Typ úlohy]]="Účet",GETPIVOTDATA("Součet z Celková hmotnost položek [kg]",$G$2,"Zkratka kalkulační položky",B12,"Výrobce / Dodavatel",C12),"")</f>
        <v/>
      </c>
      <c r="E12" s="904" t="str">
        <f>IF(Tabulka4[[#This Row],[Typ úlohy]]="Účet",GETPIVOTDATA("Součet z Celková cena bez DPH (CZK)",$G$3,"Zkratka kalkulační položky",B12,"Výrobce / Dodavatel",C12),"")</f>
        <v/>
      </c>
      <c r="G12" s="537"/>
    </row>
    <row r="13" spans="1:12" x14ac:dyDescent="0.35">
      <c r="A13" s="902" t="str">
        <f t="shared" si="1"/>
        <v>Součet</v>
      </c>
      <c r="B13" s="903" t="str">
        <f>IF(Tabulka4[[#This Row],[Typ úlohy]]="Součet",G13,IF(Tabulka4[[#This Row],[Typ úlohy]]="Účet",B12,""))</f>
        <v>ELSP</v>
      </c>
      <c r="C13" s="903" t="str">
        <f>IF(Tabulka4[[#This Row],[Typ úlohy]]="Účet",H13,"")</f>
        <v/>
      </c>
      <c r="D13" s="903" t="str">
        <f>IF(Tabulka4[[#This Row],[Typ úlohy]]="Účet",GETPIVOTDATA("Součet z Celková hmotnost položek [kg]",$G$2,"Zkratka kalkulační položky",B13,"Výrobce / Dodavatel",C13),"")</f>
        <v/>
      </c>
      <c r="E13" s="904" t="str">
        <f>IF(Tabulka4[[#This Row],[Typ úlohy]]="Účet",GETPIVOTDATA("Součet z Celková cena bez DPH (CZK)",$G$3,"Zkratka kalkulační položky",B13,"Výrobce / Dodavatel",C13),"")</f>
        <v/>
      </c>
      <c r="G13" s="537" t="s">
        <v>834</v>
      </c>
      <c r="I13" s="749">
        <v>56</v>
      </c>
      <c r="J13" s="749">
        <v>30000</v>
      </c>
    </row>
    <row r="14" spans="1:12" x14ac:dyDescent="0.35">
      <c r="A14" s="902" t="str">
        <f t="shared" si="1"/>
        <v>Účet</v>
      </c>
      <c r="B14" s="903" t="str">
        <f>IF(Tabulka4[[#This Row],[Typ úlohy]]="Součet",G14,IF(Tabulka4[[#This Row],[Typ úlohy]]="Účet",B13,""))</f>
        <v>ELSP</v>
      </c>
      <c r="C14" s="903" t="str">
        <f>IF(Tabulka4[[#This Row],[Typ úlohy]]="Účet",H14,"")</f>
        <v>N/A</v>
      </c>
      <c r="D14" s="903">
        <f>IF(Tabulka4[[#This Row],[Typ úlohy]]="Účet",GETPIVOTDATA("Součet z Celková hmotnost položek [kg]",$G$2,"Zkratka kalkulační položky",B14,"Výrobce / Dodavatel",C14),"")</f>
        <v>56</v>
      </c>
      <c r="E14" s="904">
        <f>IF(Tabulka4[[#This Row],[Typ úlohy]]="Účet",GETPIVOTDATA("Součet z Celková cena bez DPH (CZK)",$G$3,"Zkratka kalkulační položky",B14,"Výrobce / Dodavatel",C14),"")</f>
        <v>30000</v>
      </c>
      <c r="H14" s="537" t="s">
        <v>681</v>
      </c>
      <c r="I14" s="749">
        <v>56</v>
      </c>
      <c r="J14" s="749">
        <v>30000</v>
      </c>
    </row>
    <row r="15" spans="1:12" x14ac:dyDescent="0.35">
      <c r="A15" s="902" t="str">
        <f t="shared" si="1"/>
        <v/>
      </c>
      <c r="B15" s="903" t="str">
        <f>IF(Tabulka4[[#This Row],[Typ úlohy]]="Součet",G15,IF(Tabulka4[[#This Row],[Typ úlohy]]="Účet",B14,""))</f>
        <v/>
      </c>
      <c r="C15" s="903" t="str">
        <f>IF(Tabulka4[[#This Row],[Typ úlohy]]="Účet",H15,"")</f>
        <v/>
      </c>
      <c r="D15" s="903" t="str">
        <f>IF(Tabulka4[[#This Row],[Typ úlohy]]="Účet",GETPIVOTDATA("Součet z Celková hmotnost položek [kg]",$G$2,"Zkratka kalkulační položky",B15,"Výrobce / Dodavatel",C15),"")</f>
        <v/>
      </c>
      <c r="E15" s="904" t="str">
        <f>IF(Tabulka4[[#This Row],[Typ úlohy]]="Účet",GETPIVOTDATA("Součet z Celková cena bez DPH (CZK)",$G$3,"Zkratka kalkulační položky",B15,"Výrobce / Dodavatel",C15),"")</f>
        <v/>
      </c>
      <c r="G15" s="537"/>
    </row>
    <row r="16" spans="1:12" x14ac:dyDescent="0.35">
      <c r="A16" s="902" t="str">
        <f t="shared" si="1"/>
        <v>Součet</v>
      </c>
      <c r="B16" s="903" t="str">
        <f>IF(Tabulka4[[#This Row],[Typ úlohy]]="Součet",G16,IF(Tabulka4[[#This Row],[Typ úlohy]]="Účet",B15,""))</f>
        <v>OKS1</v>
      </c>
      <c r="C16" s="903" t="str">
        <f>IF(Tabulka4[[#This Row],[Typ úlohy]]="Účet",H16,"")</f>
        <v/>
      </c>
      <c r="D16" s="903" t="str">
        <f>IF(Tabulka4[[#This Row],[Typ úlohy]]="Účet",GETPIVOTDATA("Součet z Celková hmotnost položek [kg]",$G$2,"Zkratka kalkulační položky",B16,"Výrobce / Dodavatel",C16),"")</f>
        <v/>
      </c>
      <c r="E16" s="904" t="str">
        <f>IF(Tabulka4[[#This Row],[Typ úlohy]]="Účet",GETPIVOTDATA("Součet z Celková cena bez DPH (CZK)",$G$3,"Zkratka kalkulační položky",B16,"Výrobce / Dodavatel",C16),"")</f>
        <v/>
      </c>
      <c r="G16" s="537" t="s">
        <v>764</v>
      </c>
      <c r="I16" s="749">
        <v>115049.90000000001</v>
      </c>
      <c r="J16" s="749">
        <v>16106986</v>
      </c>
    </row>
    <row r="17" spans="1:10" x14ac:dyDescent="0.35">
      <c r="A17" s="902" t="str">
        <f t="shared" si="1"/>
        <v>Účet</v>
      </c>
      <c r="B17" s="903" t="str">
        <f>IF(Tabulka4[[#This Row],[Typ úlohy]]="Součet",G17,IF(Tabulka4[[#This Row],[Typ úlohy]]="Účet",B16,""))</f>
        <v>OKS1</v>
      </c>
      <c r="C17" s="903" t="str">
        <f>IF(Tabulka4[[#This Row],[Typ úlohy]]="Účet",H17,"")</f>
        <v>N/A</v>
      </c>
      <c r="D17" s="903">
        <f>IF(Tabulka4[[#This Row],[Typ úlohy]]="Účet",GETPIVOTDATA("Součet z Celková hmotnost položek [kg]",$G$2,"Zkratka kalkulační položky",B17,"Výrobce / Dodavatel",C17),"")</f>
        <v>112327.1</v>
      </c>
      <c r="E17" s="904">
        <f>IF(Tabulka4[[#This Row],[Typ úlohy]]="Účet",GETPIVOTDATA("Součet z Celková cena bez DPH (CZK)",$G$3,"Zkratka kalkulační položky",B17,"Výrobce / Dodavatel",C17),"")</f>
        <v>15725794</v>
      </c>
      <c r="H17" s="537" t="s">
        <v>681</v>
      </c>
      <c r="I17" s="749">
        <v>112327.1</v>
      </c>
      <c r="J17" s="749">
        <v>15725794</v>
      </c>
    </row>
    <row r="18" spans="1:10" x14ac:dyDescent="0.35">
      <c r="A18" s="902" t="str">
        <f t="shared" si="1"/>
        <v>Účet</v>
      </c>
      <c r="B18" s="903" t="str">
        <f>IF(Tabulka4[[#This Row],[Typ úlohy]]="Součet",G18,IF(Tabulka4[[#This Row],[Typ úlohy]]="Účet",B17,""))</f>
        <v>OKS1</v>
      </c>
      <c r="C18" s="903" t="str">
        <f>IF(Tabulka4[[#This Row],[Typ úlohy]]="Účet",H18,"")</f>
        <v>Svařenec</v>
      </c>
      <c r="D18" s="903">
        <f>IF(Tabulka4[[#This Row],[Typ úlohy]]="Účet",GETPIVOTDATA("Součet z Celková hmotnost položek [kg]",$G$2,"Zkratka kalkulační položky",B18,"Výrobce / Dodavatel",C18),"")</f>
        <v>2722.8</v>
      </c>
      <c r="E18" s="904">
        <f>IF(Tabulka4[[#This Row],[Typ úlohy]]="Účet",GETPIVOTDATA("Součet z Celková cena bez DPH (CZK)",$G$3,"Zkratka kalkulační položky",B18,"Výrobce / Dodavatel",C18),"")</f>
        <v>381192</v>
      </c>
      <c r="H18" s="537" t="s">
        <v>763</v>
      </c>
      <c r="I18" s="749">
        <v>2722.8</v>
      </c>
      <c r="J18" s="749">
        <v>381192</v>
      </c>
    </row>
    <row r="19" spans="1:10" x14ac:dyDescent="0.35">
      <c r="A19" s="902" t="str">
        <f t="shared" si="1"/>
        <v/>
      </c>
      <c r="B19" s="903" t="str">
        <f>IF(Tabulka4[[#This Row],[Typ úlohy]]="Součet",G19,IF(Tabulka4[[#This Row],[Typ úlohy]]="Účet",B18,""))</f>
        <v/>
      </c>
      <c r="C19" s="903" t="str">
        <f>IF(Tabulka4[[#This Row],[Typ úlohy]]="Účet",H19,"")</f>
        <v/>
      </c>
      <c r="D19" s="903" t="str">
        <f>IF(Tabulka4[[#This Row],[Typ úlohy]]="Účet",GETPIVOTDATA("Součet z Celková hmotnost položek [kg]",$G$2,"Zkratka kalkulační položky",B19,"Výrobce / Dodavatel",C19),"")</f>
        <v/>
      </c>
      <c r="E19" s="904" t="str">
        <f>IF(Tabulka4[[#This Row],[Typ úlohy]]="Účet",GETPIVOTDATA("Součet z Celková cena bez DPH (CZK)",$G$3,"Zkratka kalkulační položky",B19,"Výrobce / Dodavatel",C19),"")</f>
        <v/>
      </c>
      <c r="G19" s="537"/>
    </row>
    <row r="20" spans="1:10" x14ac:dyDescent="0.35">
      <c r="A20" s="902" t="str">
        <f t="shared" si="1"/>
        <v>Součet</v>
      </c>
      <c r="B20" s="903" t="str">
        <f>IF(Tabulka4[[#This Row],[Typ úlohy]]="Součet",G20,IF(Tabulka4[[#This Row],[Typ úlohy]]="Účet",B19,""))</f>
        <v>OKS2</v>
      </c>
      <c r="C20" s="903" t="str">
        <f>IF(Tabulka4[[#This Row],[Typ úlohy]]="Účet",H20,"")</f>
        <v/>
      </c>
      <c r="D20" s="903" t="str">
        <f>IF(Tabulka4[[#This Row],[Typ úlohy]]="Účet",GETPIVOTDATA("Součet z Celková hmotnost položek [kg]",$G$2,"Zkratka kalkulační položky",B20,"Výrobce / Dodavatel",C20),"")</f>
        <v/>
      </c>
      <c r="E20" s="904" t="str">
        <f>IF(Tabulka4[[#This Row],[Typ úlohy]]="Účet",GETPIVOTDATA("Součet z Celková cena bez DPH (CZK)",$G$3,"Zkratka kalkulační položky",B20,"Výrobce / Dodavatel",C20),"")</f>
        <v/>
      </c>
      <c r="G20" s="537" t="s">
        <v>768</v>
      </c>
      <c r="I20" s="749">
        <v>992.19999999999993</v>
      </c>
      <c r="J20" s="749">
        <v>109181.59999999999</v>
      </c>
    </row>
    <row r="21" spans="1:10" x14ac:dyDescent="0.35">
      <c r="A21" s="902" t="str">
        <f t="shared" si="1"/>
        <v>Účet</v>
      </c>
      <c r="B21" s="903" t="str">
        <f>IF(Tabulka4[[#This Row],[Typ úlohy]]="Součet",G21,IF(Tabulka4[[#This Row],[Typ úlohy]]="Účet",B20,""))</f>
        <v>OKS2</v>
      </c>
      <c r="C21" s="903" t="str">
        <f>IF(Tabulka4[[#This Row],[Typ úlohy]]="Účet",H21,"")</f>
        <v>N/A</v>
      </c>
      <c r="D21" s="903">
        <f>IF(Tabulka4[[#This Row],[Typ úlohy]]="Účet",GETPIVOTDATA("Součet z Celková hmotnost položek [kg]",$G$2,"Zkratka kalkulační položky",B21,"Výrobce / Dodavatel",C21),"")</f>
        <v>992.19999999999993</v>
      </c>
      <c r="E21" s="904">
        <f>IF(Tabulka4[[#This Row],[Typ úlohy]]="Účet",GETPIVOTDATA("Součet z Celková cena bez DPH (CZK)",$G$3,"Zkratka kalkulační položky",B21,"Výrobce / Dodavatel",C21),"")</f>
        <v>109181.59999999999</v>
      </c>
      <c r="H21" s="537" t="s">
        <v>681</v>
      </c>
      <c r="I21" s="749">
        <v>992.19999999999993</v>
      </c>
      <c r="J21" s="749">
        <v>109181.59999999999</v>
      </c>
    </row>
    <row r="22" spans="1:10" x14ac:dyDescent="0.35">
      <c r="A22" s="902" t="str">
        <f t="shared" si="1"/>
        <v/>
      </c>
      <c r="B22" s="903" t="str">
        <f>IF(Tabulka4[[#This Row],[Typ úlohy]]="Součet",G22,IF(Tabulka4[[#This Row],[Typ úlohy]]="Účet",B21,""))</f>
        <v/>
      </c>
      <c r="C22" s="903" t="str">
        <f>IF(Tabulka4[[#This Row],[Typ úlohy]]="Účet",H22,"")</f>
        <v/>
      </c>
      <c r="D22" s="903" t="str">
        <f>IF(Tabulka4[[#This Row],[Typ úlohy]]="Účet",GETPIVOTDATA("Součet z Celková hmotnost položek [kg]",$G$2,"Zkratka kalkulační položky",B22,"Výrobce / Dodavatel",C22),"")</f>
        <v/>
      </c>
      <c r="E22" s="904" t="str">
        <f>IF(Tabulka4[[#This Row],[Typ úlohy]]="Účet",GETPIVOTDATA("Součet z Celková cena bez DPH (CZK)",$G$3,"Zkratka kalkulační položky",B22,"Výrobce / Dodavatel",C22),"")</f>
        <v/>
      </c>
      <c r="G22" s="537"/>
    </row>
    <row r="23" spans="1:10" x14ac:dyDescent="0.35">
      <c r="A23" s="902" t="str">
        <f t="shared" si="1"/>
        <v>Součet</v>
      </c>
      <c r="B23" s="903" t="str">
        <f>IF(Tabulka4[[#This Row],[Typ úlohy]]="Součet",G23,IF(Tabulka4[[#This Row],[Typ úlohy]]="Účet",B22,""))</f>
        <v>OKS3</v>
      </c>
      <c r="C23" s="903" t="str">
        <f>IF(Tabulka4[[#This Row],[Typ úlohy]]="Účet",H23,"")</f>
        <v/>
      </c>
      <c r="D23" s="903" t="str">
        <f>IF(Tabulka4[[#This Row],[Typ úlohy]]="Účet",GETPIVOTDATA("Součet z Celková hmotnost položek [kg]",$G$2,"Zkratka kalkulační položky",B23,"Výrobce / Dodavatel",C23),"")</f>
        <v/>
      </c>
      <c r="E23" s="904" t="str">
        <f>IF(Tabulka4[[#This Row],[Typ úlohy]]="Účet",GETPIVOTDATA("Součet z Celková cena bez DPH (CZK)",$G$3,"Zkratka kalkulační položky",B23,"Výrobce / Dodavatel",C23),"")</f>
        <v/>
      </c>
      <c r="G23" s="537" t="s">
        <v>769</v>
      </c>
      <c r="I23" s="749">
        <v>674.99999999999989</v>
      </c>
      <c r="J23" s="749">
        <v>54178.879999999997</v>
      </c>
    </row>
    <row r="24" spans="1:10" x14ac:dyDescent="0.35">
      <c r="A24" s="902" t="str">
        <f t="shared" si="1"/>
        <v>Účet</v>
      </c>
      <c r="B24" s="903" t="str">
        <f>IF(Tabulka4[[#This Row],[Typ úlohy]]="Součet",G24,IF(Tabulka4[[#This Row],[Typ úlohy]]="Účet",B23,""))</f>
        <v>OKS3</v>
      </c>
      <c r="C24" s="903" t="str">
        <f>IF(Tabulka4[[#This Row],[Typ úlohy]]="Účet",H24,"")</f>
        <v>N/A</v>
      </c>
      <c r="D24" s="903">
        <f>IF(Tabulka4[[#This Row],[Typ úlohy]]="Účet",GETPIVOTDATA("Součet z Celková hmotnost položek [kg]",$G$2,"Zkratka kalkulační položky",B24,"Výrobce / Dodavatel",C24),"")</f>
        <v>674.99999999999989</v>
      </c>
      <c r="E24" s="904">
        <f>IF(Tabulka4[[#This Row],[Typ úlohy]]="Účet",GETPIVOTDATA("Součet z Celková cena bez DPH (CZK)",$G$3,"Zkratka kalkulační položky",B24,"Výrobce / Dodavatel",C24),"")</f>
        <v>54178.879999999997</v>
      </c>
      <c r="H24" s="537" t="s">
        <v>681</v>
      </c>
      <c r="I24" s="749">
        <v>674.99999999999989</v>
      </c>
      <c r="J24" s="749">
        <v>54178.879999999997</v>
      </c>
    </row>
    <row r="25" spans="1:10" x14ac:dyDescent="0.35">
      <c r="A25" s="902" t="str">
        <f t="shared" si="1"/>
        <v/>
      </c>
      <c r="B25" s="903" t="str">
        <f>IF(Tabulka4[[#This Row],[Typ úlohy]]="Součet",G25,IF(Tabulka4[[#This Row],[Typ úlohy]]="Účet",B24,""))</f>
        <v/>
      </c>
      <c r="C25" s="903" t="str">
        <f>IF(Tabulka4[[#This Row],[Typ úlohy]]="Účet",H25,"")</f>
        <v/>
      </c>
      <c r="D25" s="903" t="str">
        <f>IF(Tabulka4[[#This Row],[Typ úlohy]]="Účet",GETPIVOTDATA("Součet z Celková hmotnost položek [kg]",$G$2,"Zkratka kalkulační položky",B25,"Výrobce / Dodavatel",C25),"")</f>
        <v/>
      </c>
      <c r="E25" s="904" t="str">
        <f>IF(Tabulka4[[#This Row],[Typ úlohy]]="Účet",GETPIVOTDATA("Součet z Celková cena bez DPH (CZK)",$G$3,"Zkratka kalkulační položky",B25,"Výrobce / Dodavatel",C25),"")</f>
        <v/>
      </c>
      <c r="G25" s="537"/>
    </row>
    <row r="26" spans="1:10" x14ac:dyDescent="0.35">
      <c r="A26" s="902" t="str">
        <f t="shared" si="1"/>
        <v>Součet</v>
      </c>
      <c r="B26" s="903" t="str">
        <f>IF(Tabulka4[[#This Row],[Typ úlohy]]="Součet",G26,IF(Tabulka4[[#This Row],[Typ úlohy]]="Účet",B25,""))</f>
        <v>OSZO</v>
      </c>
      <c r="C26" s="903" t="str">
        <f>IF(Tabulka4[[#This Row],[Typ úlohy]]="Účet",H26,"")</f>
        <v/>
      </c>
      <c r="D26" s="903" t="str">
        <f>IF(Tabulka4[[#This Row],[Typ úlohy]]="Účet",GETPIVOTDATA("Součet z Celková hmotnost položek [kg]",$G$2,"Zkratka kalkulační položky",B26,"Výrobce / Dodavatel",C26),"")</f>
        <v/>
      </c>
      <c r="E26" s="904" t="str">
        <f>IF(Tabulka4[[#This Row],[Typ úlohy]]="Účet",GETPIVOTDATA("Součet z Celková cena bez DPH (CZK)",$G$3,"Zkratka kalkulační položky",B26,"Výrobce / Dodavatel",C26),"")</f>
        <v/>
      </c>
      <c r="G26" s="537" t="s">
        <v>843</v>
      </c>
      <c r="I26" s="749">
        <v>0</v>
      </c>
      <c r="J26" s="749">
        <v>0.05</v>
      </c>
    </row>
    <row r="27" spans="1:10" x14ac:dyDescent="0.35">
      <c r="A27" s="902" t="str">
        <f t="shared" si="1"/>
        <v>Účet</v>
      </c>
      <c r="B27" s="903" t="str">
        <f>IF(Tabulka4[[#This Row],[Typ úlohy]]="Součet",G27,IF(Tabulka4[[#This Row],[Typ úlohy]]="Účet",B26,""))</f>
        <v>OSZO</v>
      </c>
      <c r="C27" s="903" t="str">
        <f>IF(Tabulka4[[#This Row],[Typ úlohy]]="Účet",H27,"")</f>
        <v>N/A</v>
      </c>
      <c r="D27" s="903">
        <f>IF(Tabulka4[[#This Row],[Typ úlohy]]="Účet",GETPIVOTDATA("Součet z Celková hmotnost položek [kg]",$G$2,"Zkratka kalkulační položky",B27,"Výrobce / Dodavatel",C27),"")</f>
        <v>0</v>
      </c>
      <c r="E27" s="904">
        <f>IF(Tabulka4[[#This Row],[Typ úlohy]]="Účet",GETPIVOTDATA("Součet z Celková cena bez DPH (CZK)",$G$3,"Zkratka kalkulační položky",B27,"Výrobce / Dodavatel",C27),"")</f>
        <v>0.05</v>
      </c>
      <c r="H27" s="537" t="s">
        <v>681</v>
      </c>
      <c r="I27" s="749">
        <v>0</v>
      </c>
      <c r="J27" s="749">
        <v>0.05</v>
      </c>
    </row>
    <row r="28" spans="1:10" x14ac:dyDescent="0.35">
      <c r="A28" s="902" t="str">
        <f t="shared" si="1"/>
        <v/>
      </c>
      <c r="B28" s="903" t="str">
        <f>IF(Tabulka4[[#This Row],[Typ úlohy]]="Součet",G28,IF(Tabulka4[[#This Row],[Typ úlohy]]="Účet",B27,""))</f>
        <v/>
      </c>
      <c r="C28" s="903" t="str">
        <f>IF(Tabulka4[[#This Row],[Typ úlohy]]="Účet",H28,"")</f>
        <v/>
      </c>
      <c r="D28" s="903" t="str">
        <f>IF(Tabulka4[[#This Row],[Typ úlohy]]="Účet",GETPIVOTDATA("Součet z Celková hmotnost položek [kg]",$G$2,"Zkratka kalkulační položky",B28,"Výrobce / Dodavatel",C28),"")</f>
        <v/>
      </c>
      <c r="E28" s="904" t="str">
        <f>IF(Tabulka4[[#This Row],[Typ úlohy]]="Účet",GETPIVOTDATA("Součet z Celková cena bez DPH (CZK)",$G$3,"Zkratka kalkulační položky",B28,"Výrobce / Dodavatel",C28),"")</f>
        <v/>
      </c>
      <c r="G28" s="537"/>
    </row>
    <row r="29" spans="1:10" x14ac:dyDescent="0.35">
      <c r="A29" s="902" t="str">
        <f t="shared" si="1"/>
        <v>Součet</v>
      </c>
      <c r="B29" s="903" t="str">
        <f>IF(Tabulka4[[#This Row],[Typ úlohy]]="Součet",G29,IF(Tabulka4[[#This Row],[Typ úlohy]]="Účet",B28,""))</f>
        <v>PRDP</v>
      </c>
      <c r="C29" s="903" t="str">
        <f>IF(Tabulka4[[#This Row],[Typ úlohy]]="Účet",H29,"")</f>
        <v/>
      </c>
      <c r="D29" s="903" t="str">
        <f>IF(Tabulka4[[#This Row],[Typ úlohy]]="Účet",GETPIVOTDATA("Součet z Celková hmotnost položek [kg]",$G$2,"Zkratka kalkulační položky",B29,"Výrobce / Dodavatel",C29),"")</f>
        <v/>
      </c>
      <c r="E29" s="904" t="str">
        <f>IF(Tabulka4[[#This Row],[Typ úlohy]]="Účet",GETPIVOTDATA("Součet z Celková cena bez DPH (CZK)",$G$3,"Zkratka kalkulační položky",B29,"Výrobce / Dodavatel",C29),"")</f>
        <v/>
      </c>
      <c r="G29" s="537" t="s">
        <v>860</v>
      </c>
      <c r="I29" s="749">
        <v>1</v>
      </c>
      <c r="J29" s="749">
        <v>300000</v>
      </c>
    </row>
    <row r="30" spans="1:10" x14ac:dyDescent="0.35">
      <c r="A30" s="902" t="str">
        <f t="shared" si="1"/>
        <v>Účet</v>
      </c>
      <c r="B30" s="903" t="str">
        <f>IF(Tabulka4[[#This Row],[Typ úlohy]]="Součet",G30,IF(Tabulka4[[#This Row],[Typ úlohy]]="Účet",B29,""))</f>
        <v>PRDP</v>
      </c>
      <c r="C30" s="903" t="str">
        <f>IF(Tabulka4[[#This Row],[Typ úlohy]]="Účet",H30,"")</f>
        <v>N/A</v>
      </c>
      <c r="D30" s="903">
        <f>IF(Tabulka4[[#This Row],[Typ úlohy]]="Účet",GETPIVOTDATA("Součet z Celková hmotnost položek [kg]",$G$2,"Zkratka kalkulační položky",B30,"Výrobce / Dodavatel",C30),"")</f>
        <v>1</v>
      </c>
      <c r="E30" s="904">
        <f>IF(Tabulka4[[#This Row],[Typ úlohy]]="Účet",GETPIVOTDATA("Součet z Celková cena bez DPH (CZK)",$G$3,"Zkratka kalkulační položky",B30,"Výrobce / Dodavatel",C30),"")</f>
        <v>300000</v>
      </c>
      <c r="H30" s="537" t="s">
        <v>681</v>
      </c>
      <c r="I30" s="749">
        <v>1</v>
      </c>
      <c r="J30" s="749">
        <v>300000</v>
      </c>
    </row>
    <row r="31" spans="1:10" x14ac:dyDescent="0.35">
      <c r="A31" s="902" t="str">
        <f t="shared" si="1"/>
        <v/>
      </c>
      <c r="B31" s="903" t="str">
        <f>IF(Tabulka4[[#This Row],[Typ úlohy]]="Součet",G31,IF(Tabulka4[[#This Row],[Typ úlohy]]="Účet",B30,""))</f>
        <v/>
      </c>
      <c r="C31" s="903" t="str">
        <f>IF(Tabulka4[[#This Row],[Typ úlohy]]="Účet",H31,"")</f>
        <v/>
      </c>
      <c r="D31" s="903" t="str">
        <f>IF(Tabulka4[[#This Row],[Typ úlohy]]="Účet",GETPIVOTDATA("Součet z Celková hmotnost položek [kg]",$G$2,"Zkratka kalkulační položky",B31,"Výrobce / Dodavatel",C31),"")</f>
        <v/>
      </c>
      <c r="E31" s="904" t="str">
        <f>IF(Tabulka4[[#This Row],[Typ úlohy]]="Účet",GETPIVOTDATA("Součet z Celková cena bez DPH (CZK)",$G$3,"Zkratka kalkulační položky",B31,"Výrobce / Dodavatel",C31),"")</f>
        <v/>
      </c>
      <c r="G31" s="537"/>
    </row>
    <row r="32" spans="1:10" x14ac:dyDescent="0.35">
      <c r="A32" s="902" t="str">
        <f t="shared" si="1"/>
        <v>Součet</v>
      </c>
      <c r="B32" s="903" t="str">
        <f>IF(Tabulka4[[#This Row],[Typ úlohy]]="Součet",G32,IF(Tabulka4[[#This Row],[Typ úlohy]]="Účet",B31,""))</f>
        <v>PRMZ</v>
      </c>
      <c r="C32" s="903" t="str">
        <f>IF(Tabulka4[[#This Row],[Typ úlohy]]="Účet",H32,"")</f>
        <v/>
      </c>
      <c r="D32" s="903" t="str">
        <f>IF(Tabulka4[[#This Row],[Typ úlohy]]="Účet",GETPIVOTDATA("Součet z Celková hmotnost položek [kg]",$G$2,"Zkratka kalkulační položky",B32,"Výrobce / Dodavatel",C32),"")</f>
        <v/>
      </c>
      <c r="E32" s="904" t="str">
        <f>IF(Tabulka4[[#This Row],[Typ úlohy]]="Účet",GETPIVOTDATA("Součet z Celková cena bez DPH (CZK)",$G$3,"Zkratka kalkulační položky",B32,"Výrobce / Dodavatel",C32),"")</f>
        <v/>
      </c>
      <c r="G32" s="537" t="s">
        <v>861</v>
      </c>
      <c r="I32" s="749">
        <v>2</v>
      </c>
      <c r="J32" s="749">
        <v>5754840</v>
      </c>
    </row>
    <row r="33" spans="1:10" x14ac:dyDescent="0.35">
      <c r="A33" s="902" t="str">
        <f t="shared" si="1"/>
        <v>Účet</v>
      </c>
      <c r="B33" s="903" t="str">
        <f>IF(Tabulka4[[#This Row],[Typ úlohy]]="Součet",G33,IF(Tabulka4[[#This Row],[Typ úlohy]]="Účet",B32,""))</f>
        <v>PRMZ</v>
      </c>
      <c r="C33" s="903" t="str">
        <f>IF(Tabulka4[[#This Row],[Typ úlohy]]="Účet",H33,"")</f>
        <v>N/A</v>
      </c>
      <c r="D33" s="903">
        <f>IF(Tabulka4[[#This Row],[Typ úlohy]]="Účet",GETPIVOTDATA("Součet z Celková hmotnost položek [kg]",$G$2,"Zkratka kalkulační položky",B33,"Výrobce / Dodavatel",C33),"")</f>
        <v>2</v>
      </c>
      <c r="E33" s="904">
        <f>IF(Tabulka4[[#This Row],[Typ úlohy]]="Účet",GETPIVOTDATA("Součet z Celková cena bez DPH (CZK)",$G$3,"Zkratka kalkulační položky",B33,"Výrobce / Dodavatel",C33),"")</f>
        <v>5754840</v>
      </c>
      <c r="H33" s="537" t="s">
        <v>681</v>
      </c>
      <c r="I33" s="749">
        <v>2</v>
      </c>
      <c r="J33" s="749">
        <v>5754840</v>
      </c>
    </row>
    <row r="34" spans="1:10" x14ac:dyDescent="0.35">
      <c r="A34" s="902" t="str">
        <f t="shared" si="1"/>
        <v/>
      </c>
      <c r="B34" s="903" t="str">
        <f>IF(Tabulka4[[#This Row],[Typ úlohy]]="Součet",G34,IF(Tabulka4[[#This Row],[Typ úlohy]]="Účet",B33,""))</f>
        <v/>
      </c>
      <c r="C34" s="903" t="str">
        <f>IF(Tabulka4[[#This Row],[Typ úlohy]]="Účet",H34,"")</f>
        <v/>
      </c>
      <c r="D34" s="903" t="str">
        <f>IF(Tabulka4[[#This Row],[Typ úlohy]]="Účet",GETPIVOTDATA("Součet z Celková hmotnost položek [kg]",$G$2,"Zkratka kalkulační položky",B34,"Výrobce / Dodavatel",C34),"")</f>
        <v/>
      </c>
      <c r="E34" s="904" t="str">
        <f>IF(Tabulka4[[#This Row],[Typ úlohy]]="Účet",GETPIVOTDATA("Součet z Celková cena bez DPH (CZK)",$G$3,"Zkratka kalkulační položky",B34,"Výrobce / Dodavatel",C34),"")</f>
        <v/>
      </c>
      <c r="G34" s="537"/>
    </row>
    <row r="35" spans="1:10" x14ac:dyDescent="0.35">
      <c r="A35" s="902" t="str">
        <f t="shared" si="1"/>
        <v>Součet</v>
      </c>
      <c r="B35" s="903" t="str">
        <f>IF(Tabulka4[[#This Row],[Typ úlohy]]="Součet",G35,IF(Tabulka4[[#This Row],[Typ úlohy]]="Účet",B34,""))</f>
        <v>STLO</v>
      </c>
      <c r="C35" s="903" t="str">
        <f>IF(Tabulka4[[#This Row],[Typ úlohy]]="Účet",H35,"")</f>
        <v/>
      </c>
      <c r="D35" s="903" t="str">
        <f>IF(Tabulka4[[#This Row],[Typ úlohy]]="Účet",GETPIVOTDATA("Součet z Celková hmotnost položek [kg]",$G$2,"Zkratka kalkulační položky",B35,"Výrobce / Dodavatel",C35),"")</f>
        <v/>
      </c>
      <c r="E35" s="904" t="str">
        <f>IF(Tabulka4[[#This Row],[Typ úlohy]]="Účet",GETPIVOTDATA("Součet z Celková cena bez DPH (CZK)",$G$3,"Zkratka kalkulační položky",B35,"Výrobce / Dodavatel",C35),"")</f>
        <v/>
      </c>
      <c r="G35" s="537" t="s">
        <v>797</v>
      </c>
      <c r="I35" s="749">
        <v>2027.2</v>
      </c>
      <c r="J35" s="749">
        <v>1262000</v>
      </c>
    </row>
    <row r="36" spans="1:10" x14ac:dyDescent="0.35">
      <c r="A36" s="902" t="str">
        <f t="shared" si="1"/>
        <v>Účet</v>
      </c>
      <c r="B36" s="903" t="str">
        <f>IF(Tabulka4[[#This Row],[Typ úlohy]]="Součet",G36,IF(Tabulka4[[#This Row],[Typ úlohy]]="Účet",B35,""))</f>
        <v>STLO</v>
      </c>
      <c r="C36" s="903" t="str">
        <f>IF(Tabulka4[[#This Row],[Typ úlohy]]="Účet",H36,"")</f>
        <v>N/A</v>
      </c>
      <c r="D36" s="903">
        <f>IF(Tabulka4[[#This Row],[Typ úlohy]]="Účet",GETPIVOTDATA("Součet z Celková hmotnost položek [kg]",$G$2,"Zkratka kalkulační položky",B36,"Výrobce / Dodavatel",C36),"")</f>
        <v>2027.2</v>
      </c>
      <c r="E36" s="904">
        <f>IF(Tabulka4[[#This Row],[Typ úlohy]]="Účet",GETPIVOTDATA("Součet z Celková cena bez DPH (CZK)",$G$3,"Zkratka kalkulační položky",B36,"Výrobce / Dodavatel",C36),"")</f>
        <v>1262000</v>
      </c>
      <c r="H36" s="537" t="s">
        <v>681</v>
      </c>
      <c r="I36" s="749">
        <v>2027.2</v>
      </c>
      <c r="J36" s="749">
        <v>1262000</v>
      </c>
    </row>
    <row r="37" spans="1:10" x14ac:dyDescent="0.35">
      <c r="A37" s="902" t="str">
        <f t="shared" si="1"/>
        <v/>
      </c>
      <c r="B37" s="903" t="str">
        <f>IF(Tabulka4[[#This Row],[Typ úlohy]]="Součet",G37,IF(Tabulka4[[#This Row],[Typ úlohy]]="Účet",B36,""))</f>
        <v/>
      </c>
      <c r="C37" s="903" t="str">
        <f>IF(Tabulka4[[#This Row],[Typ úlohy]]="Účet",H37,"")</f>
        <v/>
      </c>
      <c r="D37" s="903" t="str">
        <f>IF(Tabulka4[[#This Row],[Typ úlohy]]="Účet",GETPIVOTDATA("Součet z Celková hmotnost položek [kg]",$G$2,"Zkratka kalkulační položky",B37,"Výrobce / Dodavatel",C37),"")</f>
        <v/>
      </c>
      <c r="E37" s="904" t="str">
        <f>IF(Tabulka4[[#This Row],[Typ úlohy]]="Účet",GETPIVOTDATA("Součet z Celková cena bez DPH (CZK)",$G$3,"Zkratka kalkulační položky",B37,"Výrobce / Dodavatel",C37),"")</f>
        <v/>
      </c>
      <c r="G37" s="537"/>
    </row>
    <row r="38" spans="1:10" x14ac:dyDescent="0.35">
      <c r="A38" s="902" t="str">
        <f t="shared" si="1"/>
        <v>Součet</v>
      </c>
      <c r="B38" s="903" t="str">
        <f>IF(Tabulka4[[#This Row],[Typ úlohy]]="Součet",G38,IF(Tabulka4[[#This Row],[Typ úlohy]]="Účet",B37,""))</f>
        <v>STO1</v>
      </c>
      <c r="C38" s="903" t="str">
        <f>IF(Tabulka4[[#This Row],[Typ úlohy]]="Účet",H38,"")</f>
        <v/>
      </c>
      <c r="D38" s="903" t="str">
        <f>IF(Tabulka4[[#This Row],[Typ úlohy]]="Účet",GETPIVOTDATA("Součet z Celková hmotnost položek [kg]",$G$2,"Zkratka kalkulační položky",B38,"Výrobce / Dodavatel",C38),"")</f>
        <v/>
      </c>
      <c r="E38" s="904" t="str">
        <f>IF(Tabulka4[[#This Row],[Typ úlohy]]="Účet",GETPIVOTDATA("Součet z Celková cena bez DPH (CZK)",$G$3,"Zkratka kalkulační položky",B38,"Výrobce / Dodavatel",C38),"")</f>
        <v/>
      </c>
      <c r="G38" s="537" t="s">
        <v>829</v>
      </c>
      <c r="I38" s="749">
        <v>2581.8000000000002</v>
      </c>
      <c r="J38" s="749">
        <v>374361</v>
      </c>
    </row>
    <row r="39" spans="1:10" x14ac:dyDescent="0.35">
      <c r="A39" s="902" t="str">
        <f t="shared" si="1"/>
        <v>Účet</v>
      </c>
      <c r="B39" s="903" t="str">
        <f>IF(Tabulka4[[#This Row],[Typ úlohy]]="Součet",G39,IF(Tabulka4[[#This Row],[Typ úlohy]]="Účet",B38,""))</f>
        <v>STO1</v>
      </c>
      <c r="C39" s="903" t="str">
        <f>IF(Tabulka4[[#This Row],[Typ úlohy]]="Účet",H39,"")</f>
        <v>N/A</v>
      </c>
      <c r="D39" s="903">
        <f>IF(Tabulka4[[#This Row],[Typ úlohy]]="Účet",GETPIVOTDATA("Součet z Celková hmotnost položek [kg]",$G$2,"Zkratka kalkulační položky",B39,"Výrobce / Dodavatel",C39),"")</f>
        <v>2581.8000000000002</v>
      </c>
      <c r="E39" s="904">
        <f>IF(Tabulka4[[#This Row],[Typ úlohy]]="Účet",GETPIVOTDATA("Součet z Celková cena bez DPH (CZK)",$G$3,"Zkratka kalkulační položky",B39,"Výrobce / Dodavatel",C39),"")</f>
        <v>374361</v>
      </c>
      <c r="H39" s="537" t="s">
        <v>681</v>
      </c>
      <c r="I39" s="749">
        <v>2581.8000000000002</v>
      </c>
      <c r="J39" s="749">
        <v>374361</v>
      </c>
    </row>
    <row r="40" spans="1:10" x14ac:dyDescent="0.35">
      <c r="A40" s="902" t="str">
        <f t="shared" si="1"/>
        <v/>
      </c>
      <c r="B40" s="903" t="str">
        <f>IF(Tabulka4[[#This Row],[Typ úlohy]]="Součet",G40,IF(Tabulka4[[#This Row],[Typ úlohy]]="Účet",B39,""))</f>
        <v/>
      </c>
      <c r="C40" s="903" t="str">
        <f>IF(Tabulka4[[#This Row],[Typ úlohy]]="Účet",H40,"")</f>
        <v/>
      </c>
      <c r="D40" s="903" t="str">
        <f>IF(Tabulka4[[#This Row],[Typ úlohy]]="Účet",GETPIVOTDATA("Součet z Celková hmotnost položek [kg]",$G$2,"Zkratka kalkulační položky",B40,"Výrobce / Dodavatel",C40),"")</f>
        <v/>
      </c>
      <c r="E40" s="904" t="str">
        <f>IF(Tabulka4[[#This Row],[Typ úlohy]]="Účet",GETPIVOTDATA("Součet z Celková cena bez DPH (CZK)",$G$3,"Zkratka kalkulační položky",B40,"Výrobce / Dodavatel",C40),"")</f>
        <v/>
      </c>
      <c r="G40" s="537"/>
    </row>
    <row r="41" spans="1:10" x14ac:dyDescent="0.35">
      <c r="A41" s="902" t="str">
        <f t="shared" si="1"/>
        <v>Součet</v>
      </c>
      <c r="B41" s="903" t="str">
        <f>IF(Tabulka4[[#This Row],[Typ úlohy]]="Součet",G41,IF(Tabulka4[[#This Row],[Typ úlohy]]="Účet",B40,""))</f>
        <v>STO2</v>
      </c>
      <c r="C41" s="903" t="str">
        <f>IF(Tabulka4[[#This Row],[Typ úlohy]]="Účet",H41,"")</f>
        <v/>
      </c>
      <c r="D41" s="903" t="str">
        <f>IF(Tabulka4[[#This Row],[Typ úlohy]]="Účet",GETPIVOTDATA("Součet z Celková hmotnost položek [kg]",$G$2,"Zkratka kalkulační položky",B41,"Výrobce / Dodavatel",C41),"")</f>
        <v/>
      </c>
      <c r="E41" s="904" t="str">
        <f>IF(Tabulka4[[#This Row],[Typ úlohy]]="Účet",GETPIVOTDATA("Součet z Celková cena bez DPH (CZK)",$G$3,"Zkratka kalkulační položky",B41,"Výrobce / Dodavatel",C41),"")</f>
        <v/>
      </c>
      <c r="G41" s="537" t="s">
        <v>773</v>
      </c>
      <c r="I41" s="749">
        <v>7498.7999999999984</v>
      </c>
      <c r="J41" s="749">
        <v>862391.9</v>
      </c>
    </row>
    <row r="42" spans="1:10" x14ac:dyDescent="0.35">
      <c r="A42" s="902" t="str">
        <f t="shared" si="1"/>
        <v>Účet</v>
      </c>
      <c r="B42" s="903" t="str">
        <f>IF(Tabulka4[[#This Row],[Typ úlohy]]="Součet",G42,IF(Tabulka4[[#This Row],[Typ úlohy]]="Účet",B41,""))</f>
        <v>STO2</v>
      </c>
      <c r="C42" s="903" t="str">
        <f>IF(Tabulka4[[#This Row],[Typ úlohy]]="Účet",H42,"")</f>
        <v>N/A</v>
      </c>
      <c r="D42" s="903">
        <f>IF(Tabulka4[[#This Row],[Typ úlohy]]="Účet",GETPIVOTDATA("Součet z Celková hmotnost položek [kg]",$G$2,"Zkratka kalkulační položky",B42,"Výrobce / Dodavatel",C42),"")</f>
        <v>7498.7999999999984</v>
      </c>
      <c r="E42" s="904">
        <f>IF(Tabulka4[[#This Row],[Typ úlohy]]="Účet",GETPIVOTDATA("Součet z Celková cena bez DPH (CZK)",$G$3,"Zkratka kalkulační položky",B42,"Výrobce / Dodavatel",C42),"")</f>
        <v>862391.9</v>
      </c>
      <c r="H42" s="537" t="s">
        <v>681</v>
      </c>
      <c r="I42" s="749">
        <v>7498.7999999999984</v>
      </c>
      <c r="J42" s="749">
        <v>862391.9</v>
      </c>
    </row>
    <row r="43" spans="1:10" x14ac:dyDescent="0.35">
      <c r="A43" s="902" t="str">
        <f t="shared" si="1"/>
        <v/>
      </c>
      <c r="B43" s="903" t="str">
        <f>IF(Tabulka4[[#This Row],[Typ úlohy]]="Součet",G43,IF(Tabulka4[[#This Row],[Typ úlohy]]="Účet",B42,""))</f>
        <v/>
      </c>
      <c r="C43" s="903" t="str">
        <f>IF(Tabulka4[[#This Row],[Typ úlohy]]="Účet",H43,"")</f>
        <v/>
      </c>
      <c r="D43" s="903" t="str">
        <f>IF(Tabulka4[[#This Row],[Typ úlohy]]="Účet",GETPIVOTDATA("Součet z Celková hmotnost položek [kg]",$G$2,"Zkratka kalkulační položky",B43,"Výrobce / Dodavatel",C43),"")</f>
        <v/>
      </c>
      <c r="E43" s="904" t="str">
        <f>IF(Tabulka4[[#This Row],[Typ úlohy]]="Účet",GETPIVOTDATA("Součet z Celková cena bez DPH (CZK)",$G$3,"Zkratka kalkulační položky",B43,"Výrobce / Dodavatel",C43),"")</f>
        <v/>
      </c>
      <c r="G43" s="537"/>
    </row>
    <row r="44" spans="1:10" x14ac:dyDescent="0.35">
      <c r="A44" s="902" t="str">
        <f t="shared" si="1"/>
        <v>Součet</v>
      </c>
      <c r="B44" s="903" t="str">
        <f>IF(Tabulka4[[#This Row],[Typ úlohy]]="Součet",G44,IF(Tabulka4[[#This Row],[Typ úlohy]]="Účet",B43,""))</f>
        <v>STO3</v>
      </c>
      <c r="C44" s="903" t="str">
        <f>IF(Tabulka4[[#This Row],[Typ úlohy]]="Účet",H44,"")</f>
        <v/>
      </c>
      <c r="D44" s="903" t="str">
        <f>IF(Tabulka4[[#This Row],[Typ úlohy]]="Účet",GETPIVOTDATA("Součet z Celková hmotnost položek [kg]",$G$2,"Zkratka kalkulační položky",B44,"Výrobce / Dodavatel",C44),"")</f>
        <v/>
      </c>
      <c r="E44" s="904" t="str">
        <f>IF(Tabulka4[[#This Row],[Typ úlohy]]="Účet",GETPIVOTDATA("Součet z Celková cena bez DPH (CZK)",$G$3,"Zkratka kalkulační položky",B44,"Výrobce / Dodavatel",C44),"")</f>
        <v/>
      </c>
      <c r="G44" s="537" t="s">
        <v>784</v>
      </c>
      <c r="I44" s="749">
        <v>681.6</v>
      </c>
      <c r="J44" s="749">
        <v>58007.399999999994</v>
      </c>
    </row>
    <row r="45" spans="1:10" x14ac:dyDescent="0.35">
      <c r="A45" s="902" t="str">
        <f t="shared" si="1"/>
        <v>Účet</v>
      </c>
      <c r="B45" s="903" t="str">
        <f>IF(Tabulka4[[#This Row],[Typ úlohy]]="Součet",G45,IF(Tabulka4[[#This Row],[Typ úlohy]]="Účet",B44,""))</f>
        <v>STO3</v>
      </c>
      <c r="C45" s="903" t="str">
        <f>IF(Tabulka4[[#This Row],[Typ úlohy]]="Účet",H45,"")</f>
        <v>N/A</v>
      </c>
      <c r="D45" s="903">
        <f>IF(Tabulka4[[#This Row],[Typ úlohy]]="Účet",GETPIVOTDATA("Součet z Celková hmotnost položek [kg]",$G$2,"Zkratka kalkulační položky",B45,"Výrobce / Dodavatel",C45),"")</f>
        <v>681.6</v>
      </c>
      <c r="E45" s="904">
        <f>IF(Tabulka4[[#This Row],[Typ úlohy]]="Účet",GETPIVOTDATA("Součet z Celková cena bez DPH (CZK)",$G$3,"Zkratka kalkulační položky",B45,"Výrobce / Dodavatel",C45),"")</f>
        <v>58007.399999999994</v>
      </c>
      <c r="H45" s="537" t="s">
        <v>681</v>
      </c>
      <c r="I45" s="749">
        <v>681.6</v>
      </c>
      <c r="J45" s="749">
        <v>58007.399999999994</v>
      </c>
    </row>
    <row r="46" spans="1:10" x14ac:dyDescent="0.35">
      <c r="A46" s="902" t="str">
        <f t="shared" si="1"/>
        <v/>
      </c>
      <c r="B46" s="903" t="str">
        <f>IF(Tabulka4[[#This Row],[Typ úlohy]]="Součet",G46,IF(Tabulka4[[#This Row],[Typ úlohy]]="Účet",B45,""))</f>
        <v/>
      </c>
      <c r="C46" s="903" t="str">
        <f>IF(Tabulka4[[#This Row],[Typ úlohy]]="Účet",H46,"")</f>
        <v/>
      </c>
      <c r="D46" s="903" t="str">
        <f>IF(Tabulka4[[#This Row],[Typ úlohy]]="Účet",GETPIVOTDATA("Součet z Celková hmotnost položek [kg]",$G$2,"Zkratka kalkulační položky",B46,"Výrobce / Dodavatel",C46),"")</f>
        <v/>
      </c>
      <c r="E46" s="904" t="str">
        <f>IF(Tabulka4[[#This Row],[Typ úlohy]]="Účet",GETPIVOTDATA("Součet z Celková cena bez DPH (CZK)",$G$3,"Zkratka kalkulační položky",B46,"Výrobce / Dodavatel",C46),"")</f>
        <v/>
      </c>
      <c r="G46" s="537"/>
    </row>
    <row r="47" spans="1:10" x14ac:dyDescent="0.35">
      <c r="A47" s="902" t="str">
        <f t="shared" si="1"/>
        <v>Součet</v>
      </c>
      <c r="B47" s="903" t="str">
        <f>IF(Tabulka4[[#This Row],[Typ úlohy]]="Součet",G47,IF(Tabulka4[[#This Row],[Typ úlohy]]="Účet",B46,""))</f>
        <v>STPR</v>
      </c>
      <c r="C47" s="903" t="str">
        <f>IF(Tabulka4[[#This Row],[Typ úlohy]]="Účet",H47,"")</f>
        <v/>
      </c>
      <c r="D47" s="903" t="str">
        <f>IF(Tabulka4[[#This Row],[Typ úlohy]]="Účet",GETPIVOTDATA("Součet z Celková hmotnost položek [kg]",$G$2,"Zkratka kalkulační položky",B47,"Výrobce / Dodavatel",C47),"")</f>
        <v/>
      </c>
      <c r="E47" s="904" t="str">
        <f>IF(Tabulka4[[#This Row],[Typ úlohy]]="Účet",GETPIVOTDATA("Součet z Celková cena bez DPH (CZK)",$G$3,"Zkratka kalkulační položky",B47,"Výrobce / Dodavatel",C47),"")</f>
        <v/>
      </c>
      <c r="G47" s="537" t="s">
        <v>832</v>
      </c>
      <c r="I47" s="749">
        <v>7000</v>
      </c>
      <c r="J47" s="749">
        <v>1650375</v>
      </c>
    </row>
    <row r="48" spans="1:10" x14ac:dyDescent="0.35">
      <c r="A48" s="902" t="str">
        <f t="shared" si="1"/>
        <v>Účet</v>
      </c>
      <c r="B48" s="903" t="str">
        <f>IF(Tabulka4[[#This Row],[Typ úlohy]]="Součet",G48,IF(Tabulka4[[#This Row],[Typ úlohy]]="Účet",B47,""))</f>
        <v>STPR</v>
      </c>
      <c r="C48" s="903" t="str">
        <f>IF(Tabulka4[[#This Row],[Typ úlohy]]="Účet",H48,"")</f>
        <v>N/A</v>
      </c>
      <c r="D48" s="903">
        <f>IF(Tabulka4[[#This Row],[Typ úlohy]]="Účet",GETPIVOTDATA("Součet z Celková hmotnost položek [kg]",$G$2,"Zkratka kalkulační položky",B48,"Výrobce / Dodavatel",C48),"")</f>
        <v>7000</v>
      </c>
      <c r="E48" s="904">
        <f>IF(Tabulka4[[#This Row],[Typ úlohy]]="Účet",GETPIVOTDATA("Součet z Celková cena bez DPH (CZK)",$G$3,"Zkratka kalkulační položky",B48,"Výrobce / Dodavatel",C48),"")</f>
        <v>1650375</v>
      </c>
      <c r="H48" s="537" t="s">
        <v>681</v>
      </c>
      <c r="I48" s="749">
        <v>7000</v>
      </c>
      <c r="J48" s="749">
        <v>1650375</v>
      </c>
    </row>
    <row r="49" spans="1:10" x14ac:dyDescent="0.35">
      <c r="A49" s="902" t="str">
        <f t="shared" si="1"/>
        <v/>
      </c>
      <c r="B49" s="903" t="str">
        <f>IF(Tabulka4[[#This Row],[Typ úlohy]]="Součet",G49,IF(Tabulka4[[#This Row],[Typ úlohy]]="Účet",B48,""))</f>
        <v/>
      </c>
      <c r="C49" s="903" t="str">
        <f>IF(Tabulka4[[#This Row],[Typ úlohy]]="Účet",H49,"")</f>
        <v/>
      </c>
      <c r="D49" s="903" t="str">
        <f>IF(Tabulka4[[#This Row],[Typ úlohy]]="Účet",GETPIVOTDATA("Součet z Celková hmotnost položek [kg]",$G$2,"Zkratka kalkulační položky",B49,"Výrobce / Dodavatel",C49),"")</f>
        <v/>
      </c>
      <c r="E49" s="904" t="str">
        <f>IF(Tabulka4[[#This Row],[Typ úlohy]]="Účet",GETPIVOTDATA("Součet z Celková cena bez DPH (CZK)",$G$3,"Zkratka kalkulační položky",B49,"Výrobce / Dodavatel",C49),"")</f>
        <v/>
      </c>
      <c r="G49" s="537"/>
    </row>
    <row r="50" spans="1:10" x14ac:dyDescent="0.35">
      <c r="A50" s="902" t="str">
        <f t="shared" si="1"/>
        <v>Součet</v>
      </c>
      <c r="B50" s="903" t="str">
        <f>IF(Tabulka4[[#This Row],[Typ úlohy]]="Součet",G50,IF(Tabulka4[[#This Row],[Typ úlohy]]="Účet",B49,""))</f>
        <v>STSM</v>
      </c>
      <c r="C50" s="903" t="str">
        <f>IF(Tabulka4[[#This Row],[Typ úlohy]]="Účet",H50,"")</f>
        <v/>
      </c>
      <c r="D50" s="903" t="str">
        <f>IF(Tabulka4[[#This Row],[Typ úlohy]]="Účet",GETPIVOTDATA("Součet z Celková hmotnost položek [kg]",$G$2,"Zkratka kalkulační položky",B50,"Výrobce / Dodavatel",C50),"")</f>
        <v/>
      </c>
      <c r="E50" s="904" t="str">
        <f>IF(Tabulka4[[#This Row],[Typ úlohy]]="Účet",GETPIVOTDATA("Součet z Celková cena bez DPH (CZK)",$G$3,"Zkratka kalkulační položky",B50,"Výrobce / Dodavatel",C50),"")</f>
        <v/>
      </c>
      <c r="G50" s="537" t="s">
        <v>766</v>
      </c>
      <c r="I50" s="749">
        <v>1096.4000000000001</v>
      </c>
      <c r="J50" s="749">
        <v>120766.03</v>
      </c>
    </row>
    <row r="51" spans="1:10" x14ac:dyDescent="0.35">
      <c r="A51" s="902" t="str">
        <f t="shared" si="1"/>
        <v>Účet</v>
      </c>
      <c r="B51" s="903" t="str">
        <f>IF(Tabulka4[[#This Row],[Typ úlohy]]="Součet",G51,IF(Tabulka4[[#This Row],[Typ úlohy]]="Účet",B50,""))</f>
        <v>STSM</v>
      </c>
      <c r="C51" s="903" t="str">
        <f>IF(Tabulka4[[#This Row],[Typ úlohy]]="Účet",H51,"")</f>
        <v>N/A</v>
      </c>
      <c r="D51" s="903">
        <f>IF(Tabulka4[[#This Row],[Typ úlohy]]="Účet",GETPIVOTDATA("Součet z Celková hmotnost položek [kg]",$G$2,"Zkratka kalkulační položky",B51,"Výrobce / Dodavatel",C51),"")</f>
        <v>1096.4000000000001</v>
      </c>
      <c r="E51" s="904">
        <f>IF(Tabulka4[[#This Row],[Typ úlohy]]="Účet",GETPIVOTDATA("Součet z Celková cena bez DPH (CZK)",$G$3,"Zkratka kalkulační položky",B51,"Výrobce / Dodavatel",C51),"")</f>
        <v>120766.03</v>
      </c>
      <c r="H51" s="537" t="s">
        <v>681</v>
      </c>
      <c r="I51" s="749">
        <v>1096.4000000000001</v>
      </c>
      <c r="J51" s="749">
        <v>120766.03</v>
      </c>
    </row>
    <row r="52" spans="1:10" x14ac:dyDescent="0.35">
      <c r="A52" s="902" t="str">
        <f t="shared" si="1"/>
        <v/>
      </c>
      <c r="B52" s="903" t="str">
        <f>IF(Tabulka4[[#This Row],[Typ úlohy]]="Součet",G52,IF(Tabulka4[[#This Row],[Typ úlohy]]="Účet",B51,""))</f>
        <v/>
      </c>
      <c r="C52" s="903" t="str">
        <f>IF(Tabulka4[[#This Row],[Typ úlohy]]="Účet",H52,"")</f>
        <v/>
      </c>
      <c r="D52" s="903" t="str">
        <f>IF(Tabulka4[[#This Row],[Typ úlohy]]="Účet",GETPIVOTDATA("Součet z Celková hmotnost položek [kg]",$G$2,"Zkratka kalkulační položky",B52,"Výrobce / Dodavatel",C52),"")</f>
        <v/>
      </c>
      <c r="E52" s="904" t="str">
        <f>IF(Tabulka4[[#This Row],[Typ úlohy]]="Účet",GETPIVOTDATA("Součet z Celková cena bez DPH (CZK)",$G$3,"Zkratka kalkulační položky",B52,"Výrobce / Dodavatel",C52),"")</f>
        <v/>
      </c>
      <c r="G52" s="537"/>
    </row>
    <row r="53" spans="1:10" x14ac:dyDescent="0.35">
      <c r="A53" s="902" t="str">
        <f t="shared" si="1"/>
        <v>Součet</v>
      </c>
      <c r="B53" s="903" t="str">
        <f>IF(Tabulka4[[#This Row],[Typ úlohy]]="Součet",G53,IF(Tabulka4[[#This Row],[Typ úlohy]]="Účet",B52,""))</f>
        <v>STSP</v>
      </c>
      <c r="C53" s="903" t="str">
        <f>IF(Tabulka4[[#This Row],[Typ úlohy]]="Účet",H53,"")</f>
        <v/>
      </c>
      <c r="D53" s="903" t="str">
        <f>IF(Tabulka4[[#This Row],[Typ úlohy]]="Účet",GETPIVOTDATA("Součet z Celková hmotnost položek [kg]",$G$2,"Zkratka kalkulační položky",B53,"Výrobce / Dodavatel",C53),"")</f>
        <v/>
      </c>
      <c r="E53" s="904" t="str">
        <f>IF(Tabulka4[[#This Row],[Typ úlohy]]="Účet",GETPIVOTDATA("Součet z Celková cena bez DPH (CZK)",$G$3,"Zkratka kalkulační položky",B53,"Výrobce / Dodavatel",C53),"")</f>
        <v/>
      </c>
      <c r="G53" s="537" t="s">
        <v>828</v>
      </c>
      <c r="I53" s="749">
        <v>814.2</v>
      </c>
      <c r="J53" s="749">
        <v>347500</v>
      </c>
    </row>
    <row r="54" spans="1:10" x14ac:dyDescent="0.35">
      <c r="A54" s="902" t="str">
        <f t="shared" si="1"/>
        <v>Účet</v>
      </c>
      <c r="B54" s="903" t="str">
        <f>IF(Tabulka4[[#This Row],[Typ úlohy]]="Součet",G54,IF(Tabulka4[[#This Row],[Typ úlohy]]="Účet",B53,""))</f>
        <v>STSP</v>
      </c>
      <c r="C54" s="903" t="str">
        <f>IF(Tabulka4[[#This Row],[Typ úlohy]]="Účet",H54,"")</f>
        <v>N/A</v>
      </c>
      <c r="D54" s="903">
        <f>IF(Tabulka4[[#This Row],[Typ úlohy]]="Účet",GETPIVOTDATA("Součet z Celková hmotnost položek [kg]",$G$2,"Zkratka kalkulační položky",B54,"Výrobce / Dodavatel",C54),"")</f>
        <v>814.2</v>
      </c>
      <c r="E54" s="904">
        <f>IF(Tabulka4[[#This Row],[Typ úlohy]]="Účet",GETPIVOTDATA("Součet z Celková cena bez DPH (CZK)",$G$3,"Zkratka kalkulační položky",B54,"Výrobce / Dodavatel",C54),"")</f>
        <v>347500</v>
      </c>
      <c r="H54" s="537" t="s">
        <v>681</v>
      </c>
      <c r="I54" s="749">
        <v>814.2</v>
      </c>
      <c r="J54" s="749">
        <v>347500</v>
      </c>
    </row>
    <row r="55" spans="1:10" x14ac:dyDescent="0.35">
      <c r="A55" s="902" t="str">
        <f t="shared" si="1"/>
        <v/>
      </c>
      <c r="B55" s="903" t="str">
        <f>IF(Tabulka4[[#This Row],[Typ úlohy]]="Součet",G55,IF(Tabulka4[[#This Row],[Typ úlohy]]="Účet",B54,""))</f>
        <v/>
      </c>
      <c r="C55" s="903" t="str">
        <f>IF(Tabulka4[[#This Row],[Typ úlohy]]="Účet",H55,"")</f>
        <v/>
      </c>
      <c r="D55" s="903" t="str">
        <f>IF(Tabulka4[[#This Row],[Typ úlohy]]="Účet",GETPIVOTDATA("Součet z Celková hmotnost položek [kg]",$G$2,"Zkratka kalkulační položky",B55,"Výrobce / Dodavatel",C55),"")</f>
        <v/>
      </c>
      <c r="E55" s="904" t="str">
        <f>IF(Tabulka4[[#This Row],[Typ úlohy]]="Účet",GETPIVOTDATA("Součet z Celková cena bez DPH (CZK)",$G$3,"Zkratka kalkulační položky",B55,"Výrobce / Dodavatel",C55),"")</f>
        <v/>
      </c>
      <c r="G55" s="537"/>
    </row>
    <row r="56" spans="1:10" x14ac:dyDescent="0.35">
      <c r="A56" s="902" t="str">
        <f t="shared" si="1"/>
        <v>Součet</v>
      </c>
      <c r="B56" s="903" t="str">
        <f>IF(Tabulka4[[#This Row],[Typ úlohy]]="Součet",G56,IF(Tabulka4[[#This Row],[Typ úlohy]]="Účet",B55,""))</f>
        <v>SUKA</v>
      </c>
      <c r="C56" s="903" t="str">
        <f>IF(Tabulka4[[#This Row],[Typ úlohy]]="Účet",H56,"")</f>
        <v/>
      </c>
      <c r="D56" s="903" t="str">
        <f>IF(Tabulka4[[#This Row],[Typ úlohy]]="Účet",GETPIVOTDATA("Součet z Celková hmotnost položek [kg]",$G$2,"Zkratka kalkulační položky",B56,"Výrobce / Dodavatel",C56),"")</f>
        <v/>
      </c>
      <c r="E56" s="904" t="str">
        <f>IF(Tabulka4[[#This Row],[Typ úlohy]]="Účet",GETPIVOTDATA("Součet z Celková cena bez DPH (CZK)",$G$3,"Zkratka kalkulační položky",B56,"Výrobce / Dodavatel",C56),"")</f>
        <v/>
      </c>
      <c r="G56" s="537" t="s">
        <v>849</v>
      </c>
      <c r="I56" s="749">
        <v>0</v>
      </c>
      <c r="J56" s="749">
        <v>800000</v>
      </c>
    </row>
    <row r="57" spans="1:10" x14ac:dyDescent="0.35">
      <c r="A57" s="902" t="str">
        <f t="shared" si="1"/>
        <v>Účet</v>
      </c>
      <c r="B57" s="903" t="str">
        <f>IF(Tabulka4[[#This Row],[Typ úlohy]]="Součet",G57,IF(Tabulka4[[#This Row],[Typ úlohy]]="Účet",B56,""))</f>
        <v>SUKA</v>
      </c>
      <c r="C57" s="903" t="str">
        <f>IF(Tabulka4[[#This Row],[Typ úlohy]]="Účet",H57,"")</f>
        <v>N/A</v>
      </c>
      <c r="D57" s="903">
        <f>IF(Tabulka4[[#This Row],[Typ úlohy]]="Účet",GETPIVOTDATA("Součet z Celková hmotnost položek [kg]",$G$2,"Zkratka kalkulační položky",B57,"Výrobce / Dodavatel",C57),"")</f>
        <v>0</v>
      </c>
      <c r="E57" s="904">
        <f>IF(Tabulka4[[#This Row],[Typ úlohy]]="Účet",GETPIVOTDATA("Součet z Celková cena bez DPH (CZK)",$G$3,"Zkratka kalkulační položky",B57,"Výrobce / Dodavatel",C57),"")</f>
        <v>800000</v>
      </c>
      <c r="H57" s="537" t="s">
        <v>681</v>
      </c>
      <c r="I57" s="749">
        <v>0</v>
      </c>
      <c r="J57" s="749">
        <v>800000</v>
      </c>
    </row>
    <row r="58" spans="1:10" x14ac:dyDescent="0.35">
      <c r="A58" s="902" t="str">
        <f t="shared" si="1"/>
        <v/>
      </c>
      <c r="B58" s="903" t="str">
        <f>IF(Tabulka4[[#This Row],[Typ úlohy]]="Součet",G58,IF(Tabulka4[[#This Row],[Typ úlohy]]="Účet",B57,""))</f>
        <v/>
      </c>
      <c r="C58" s="903" t="str">
        <f>IF(Tabulka4[[#This Row],[Typ úlohy]]="Účet",H58,"")</f>
        <v/>
      </c>
      <c r="D58" s="903" t="str">
        <f>IF(Tabulka4[[#This Row],[Typ úlohy]]="Účet",GETPIVOTDATA("Součet z Celková hmotnost položek [kg]",$G$2,"Zkratka kalkulační položky",B58,"Výrobce / Dodavatel",C58),"")</f>
        <v/>
      </c>
      <c r="E58" s="904" t="str">
        <f>IF(Tabulka4[[#This Row],[Typ úlohy]]="Účet",GETPIVOTDATA("Součet z Celková cena bez DPH (CZK)",$G$3,"Zkratka kalkulační položky",B58,"Výrobce / Dodavatel",C58),"")</f>
        <v/>
      </c>
      <c r="G58" s="537"/>
    </row>
    <row r="59" spans="1:10" x14ac:dyDescent="0.35">
      <c r="A59" s="902" t="str">
        <f t="shared" si="1"/>
        <v>Součet</v>
      </c>
      <c r="B59" s="903" t="str">
        <f>IF(Tabulka4[[#This Row],[Typ úlohy]]="Součet",G59,IF(Tabulka4[[#This Row],[Typ úlohy]]="Účet",B58,""))</f>
        <v>SUOS</v>
      </c>
      <c r="C59" s="903" t="str">
        <f>IF(Tabulka4[[#This Row],[Typ úlohy]]="Účet",H59,"")</f>
        <v/>
      </c>
      <c r="D59" s="903" t="str">
        <f>IF(Tabulka4[[#This Row],[Typ úlohy]]="Účet",GETPIVOTDATA("Součet z Celková hmotnost položek [kg]",$G$2,"Zkratka kalkulační položky",B59,"Výrobce / Dodavatel",C59),"")</f>
        <v/>
      </c>
      <c r="E59" s="904" t="str">
        <f>IF(Tabulka4[[#This Row],[Typ úlohy]]="Účet",GETPIVOTDATA("Součet z Celková cena bez DPH (CZK)",$G$3,"Zkratka kalkulační položky",B59,"Výrobce / Dodavatel",C59),"")</f>
        <v/>
      </c>
      <c r="G59" s="537" t="s">
        <v>798</v>
      </c>
      <c r="I59" s="749">
        <v>1095.2000000000003</v>
      </c>
      <c r="J59" s="749">
        <v>427700</v>
      </c>
    </row>
    <row r="60" spans="1:10" x14ac:dyDescent="0.35">
      <c r="A60" s="902" t="str">
        <f t="shared" si="1"/>
        <v>Účet</v>
      </c>
      <c r="B60" s="903" t="str">
        <f>IF(Tabulka4[[#This Row],[Typ úlohy]]="Součet",G60,IF(Tabulka4[[#This Row],[Typ úlohy]]="Účet",B59,""))</f>
        <v>SUOS</v>
      </c>
      <c r="C60" s="903" t="str">
        <f>IF(Tabulka4[[#This Row],[Typ úlohy]]="Účet",H60,"")</f>
        <v>N/A</v>
      </c>
      <c r="D60" s="903">
        <f>IF(Tabulka4[[#This Row],[Typ úlohy]]="Účet",GETPIVOTDATA("Součet z Celková hmotnost položek [kg]",$G$2,"Zkratka kalkulační položky",B60,"Výrobce / Dodavatel",C60),"")</f>
        <v>1095.2000000000003</v>
      </c>
      <c r="E60" s="904">
        <f>IF(Tabulka4[[#This Row],[Typ úlohy]]="Účet",GETPIVOTDATA("Součet z Celková cena bez DPH (CZK)",$G$3,"Zkratka kalkulační položky",B60,"Výrobce / Dodavatel",C60),"")</f>
        <v>427700</v>
      </c>
      <c r="H60" s="537" t="s">
        <v>681</v>
      </c>
      <c r="I60" s="749">
        <v>1095.2000000000003</v>
      </c>
      <c r="J60" s="749">
        <v>427700</v>
      </c>
    </row>
    <row r="61" spans="1:10" x14ac:dyDescent="0.35">
      <c r="A61" s="902" t="str">
        <f t="shared" si="1"/>
        <v/>
      </c>
      <c r="B61" s="903" t="str">
        <f>IF(Tabulka4[[#This Row],[Typ úlohy]]="Součet",G61,IF(Tabulka4[[#This Row],[Typ úlohy]]="Účet",B60,""))</f>
        <v/>
      </c>
      <c r="C61" s="903" t="str">
        <f>IF(Tabulka4[[#This Row],[Typ úlohy]]="Účet",H61,"")</f>
        <v/>
      </c>
      <c r="D61" s="903" t="str">
        <f>IF(Tabulka4[[#This Row],[Typ úlohy]]="Účet",GETPIVOTDATA("Součet z Celková hmotnost položek [kg]",$G$2,"Zkratka kalkulační položky",B61,"Výrobce / Dodavatel",C61),"")</f>
        <v/>
      </c>
      <c r="E61" s="904" t="str">
        <f>IF(Tabulka4[[#This Row],[Typ úlohy]]="Účet",GETPIVOTDATA("Součet z Celková cena bez DPH (CZK)",$G$3,"Zkratka kalkulační položky",B61,"Výrobce / Dodavatel",C61),"")</f>
        <v/>
      </c>
      <c r="G61" s="537"/>
    </row>
    <row r="62" spans="1:10" x14ac:dyDescent="0.35">
      <c r="A62" s="902" t="str">
        <f t="shared" si="1"/>
        <v>Součet</v>
      </c>
      <c r="B62" s="903" t="str">
        <f>IF(Tabulka4[[#This Row],[Typ úlohy]]="Součet",G62,IF(Tabulka4[[#This Row],[Typ úlohy]]="Účet",B61,""))</f>
        <v>SUSM</v>
      </c>
      <c r="C62" s="903" t="str">
        <f>IF(Tabulka4[[#This Row],[Typ úlohy]]="Účet",H62,"")</f>
        <v/>
      </c>
      <c r="D62" s="903" t="str">
        <f>IF(Tabulka4[[#This Row],[Typ úlohy]]="Účet",GETPIVOTDATA("Součet z Celková hmotnost položek [kg]",$G$2,"Zkratka kalkulační položky",B62,"Výrobce / Dodavatel",C62),"")</f>
        <v/>
      </c>
      <c r="E62" s="904" t="str">
        <f>IF(Tabulka4[[#This Row],[Typ úlohy]]="Účet",GETPIVOTDATA("Součet z Celková cena bez DPH (CZK)",$G$3,"Zkratka kalkulační položky",B62,"Výrobce / Dodavatel",C62),"")</f>
        <v/>
      </c>
      <c r="G62" s="537" t="s">
        <v>848</v>
      </c>
      <c r="I62" s="749">
        <v>0</v>
      </c>
      <c r="J62" s="749">
        <v>1000000</v>
      </c>
    </row>
    <row r="63" spans="1:10" x14ac:dyDescent="0.35">
      <c r="A63" s="902" t="str">
        <f t="shared" si="1"/>
        <v>Účet</v>
      </c>
      <c r="B63" s="903" t="str">
        <f>IF(Tabulka4[[#This Row],[Typ úlohy]]="Součet",G63,IF(Tabulka4[[#This Row],[Typ úlohy]]="Účet",B62,""))</f>
        <v>SUSM</v>
      </c>
      <c r="C63" s="903" t="str">
        <f>IF(Tabulka4[[#This Row],[Typ úlohy]]="Účet",H63,"")</f>
        <v>N/A</v>
      </c>
      <c r="D63" s="903">
        <f>IF(Tabulka4[[#This Row],[Typ úlohy]]="Účet",GETPIVOTDATA("Součet z Celková hmotnost položek [kg]",$G$2,"Zkratka kalkulační položky",B63,"Výrobce / Dodavatel",C63),"")</f>
        <v>0</v>
      </c>
      <c r="E63" s="904">
        <f>IF(Tabulka4[[#This Row],[Typ úlohy]]="Účet",GETPIVOTDATA("Součet z Celková cena bez DPH (CZK)",$G$3,"Zkratka kalkulační položky",B63,"Výrobce / Dodavatel",C63),"")</f>
        <v>1000000</v>
      </c>
      <c r="H63" s="537" t="s">
        <v>681</v>
      </c>
      <c r="I63" s="749">
        <v>0</v>
      </c>
      <c r="J63" s="749">
        <v>1000000</v>
      </c>
    </row>
    <row r="64" spans="1:10" x14ac:dyDescent="0.35">
      <c r="A64" s="902" t="str">
        <f t="shared" si="1"/>
        <v/>
      </c>
      <c r="B64" s="903" t="str">
        <f>IF(Tabulka4[[#This Row],[Typ úlohy]]="Součet",G64,IF(Tabulka4[[#This Row],[Typ úlohy]]="Účet",B63,""))</f>
        <v/>
      </c>
      <c r="C64" s="903" t="str">
        <f>IF(Tabulka4[[#This Row],[Typ úlohy]]="Účet",H64,"")</f>
        <v/>
      </c>
      <c r="D64" s="903" t="str">
        <f>IF(Tabulka4[[#This Row],[Typ úlohy]]="Účet",GETPIVOTDATA("Součet z Celková hmotnost položek [kg]",$G$2,"Zkratka kalkulační položky",B64,"Výrobce / Dodavatel",C64),"")</f>
        <v/>
      </c>
      <c r="E64" s="904" t="str">
        <f>IF(Tabulka4[[#This Row],[Typ úlohy]]="Účet",GETPIVOTDATA("Součet z Celková cena bez DPH (CZK)",$G$3,"Zkratka kalkulační položky",B64,"Výrobce / Dodavatel",C64),"")</f>
        <v/>
      </c>
      <c r="G64" s="537"/>
    </row>
    <row r="65" spans="1:10" x14ac:dyDescent="0.35">
      <c r="A65" s="902" t="str">
        <f t="shared" si="1"/>
        <v>Součet</v>
      </c>
      <c r="B65" s="903" t="str">
        <f>IF(Tabulka4[[#This Row],[Typ úlohy]]="Součet",G65,IF(Tabulka4[[#This Row],[Typ úlohy]]="Účet",B64,""))</f>
        <v>N/A</v>
      </c>
      <c r="C65" s="903" t="str">
        <f>IF(Tabulka4[[#This Row],[Typ úlohy]]="Účet",H65,"")</f>
        <v/>
      </c>
      <c r="D65" s="903" t="str">
        <f>IF(Tabulka4[[#This Row],[Typ úlohy]]="Účet",GETPIVOTDATA("Součet z Celková hmotnost položek [kg]",$G$2,"Zkratka kalkulační položky",B65,"Výrobce / Dodavatel",C65),"")</f>
        <v/>
      </c>
      <c r="E65" s="904" t="str">
        <f>IF(Tabulka4[[#This Row],[Typ úlohy]]="Účet",GETPIVOTDATA("Součet z Celková cena bez DPH (CZK)",$G$3,"Zkratka kalkulační položky",B65,"Výrobce / Dodavatel",C65),"")</f>
        <v/>
      </c>
      <c r="G65" s="537" t="s">
        <v>681</v>
      </c>
      <c r="I65" s="749">
        <v>0</v>
      </c>
      <c r="J65" s="749">
        <v>1115006.7</v>
      </c>
    </row>
    <row r="66" spans="1:10" x14ac:dyDescent="0.35">
      <c r="A66" s="902" t="str">
        <f t="shared" si="1"/>
        <v>Účet</v>
      </c>
      <c r="B66" s="903" t="str">
        <f>IF(Tabulka4[[#This Row],[Typ úlohy]]="Součet",G66,IF(Tabulka4[[#This Row],[Typ úlohy]]="Účet",B65,""))</f>
        <v>N/A</v>
      </c>
      <c r="C66" s="903" t="str">
        <f>IF(Tabulka4[[#This Row],[Typ úlohy]]="Účet",H66,"")</f>
        <v>N/A</v>
      </c>
      <c r="D66" s="903">
        <f>IF(Tabulka4[[#This Row],[Typ úlohy]]="Účet",GETPIVOTDATA("Součet z Celková hmotnost položek [kg]",$G$2,"Zkratka kalkulační položky",B66,"Výrobce / Dodavatel",C66),"")</f>
        <v>0</v>
      </c>
      <c r="E66" s="904">
        <f>IF(Tabulka4[[#This Row],[Typ úlohy]]="Účet",GETPIVOTDATA("Součet z Celková cena bez DPH (CZK)",$G$3,"Zkratka kalkulační položky",B66,"Výrobce / Dodavatel",C66),"")</f>
        <v>1115006.7</v>
      </c>
      <c r="H66" s="537" t="s">
        <v>681</v>
      </c>
      <c r="I66" s="749">
        <v>0</v>
      </c>
      <c r="J66" s="749">
        <v>1115006.7</v>
      </c>
    </row>
    <row r="67" spans="1:10" x14ac:dyDescent="0.35">
      <c r="A67" s="902" t="str">
        <f t="shared" si="1"/>
        <v/>
      </c>
      <c r="B67" s="903" t="str">
        <f>IF(Tabulka4[[#This Row],[Typ úlohy]]="Součet",G67,IF(Tabulka4[[#This Row],[Typ úlohy]]="Účet",B66,""))</f>
        <v/>
      </c>
      <c r="C67" s="903" t="str">
        <f>IF(Tabulka4[[#This Row],[Typ úlohy]]="Účet",H67,"")</f>
        <v/>
      </c>
      <c r="D67" s="903" t="str">
        <f>IF(Tabulka4[[#This Row],[Typ úlohy]]="Účet",GETPIVOTDATA("Součet z Celková hmotnost položek [kg]",$G$2,"Zkratka kalkulační položky",B67,"Výrobce / Dodavatel",C67),"")</f>
        <v/>
      </c>
      <c r="E67" s="904" t="str">
        <f>IF(Tabulka4[[#This Row],[Typ úlohy]]="Účet",GETPIVOTDATA("Součet z Celková cena bez DPH (CZK)",$G$3,"Zkratka kalkulační položky",B67,"Výrobce / Dodavatel",C67),"")</f>
        <v/>
      </c>
      <c r="G67" s="537"/>
    </row>
    <row r="68" spans="1:10" x14ac:dyDescent="0.35">
      <c r="A68" s="902" t="str">
        <f t="shared" si="1"/>
        <v>Součet</v>
      </c>
      <c r="B68" s="903" t="str">
        <f>IF(Tabulka4[[#This Row],[Typ úlohy]]="Součet",G68,IF(Tabulka4[[#This Row],[Typ úlohy]]="Účet",B67,""))</f>
        <v>STBR</v>
      </c>
      <c r="C68" s="903" t="str">
        <f>IF(Tabulka4[[#This Row],[Typ úlohy]]="Účet",H68,"")</f>
        <v/>
      </c>
      <c r="D68" s="903" t="str">
        <f>IF(Tabulka4[[#This Row],[Typ úlohy]]="Účet",GETPIVOTDATA("Součet z Celková hmotnost položek [kg]",$G$2,"Zkratka kalkulační položky",B68,"Výrobce / Dodavatel",C68),"")</f>
        <v/>
      </c>
      <c r="E68" s="904" t="str">
        <f>IF(Tabulka4[[#This Row],[Typ úlohy]]="Účet",GETPIVOTDATA("Součet z Celková cena bez DPH (CZK)",$G$3,"Zkratka kalkulační položky",B68,"Výrobce / Dodavatel",C68),"")</f>
        <v/>
      </c>
      <c r="G68" s="537" t="s">
        <v>785</v>
      </c>
      <c r="I68" s="749">
        <v>813.4</v>
      </c>
      <c r="J68" s="749">
        <v>297000</v>
      </c>
    </row>
    <row r="69" spans="1:10" x14ac:dyDescent="0.35">
      <c r="A69" s="902" t="str">
        <f t="shared" ref="A69:A132" si="2">IF(H69="",IF(G69="","","Součet"),"Účet")</f>
        <v>Účet</v>
      </c>
      <c r="B69" s="903" t="str">
        <f>IF(Tabulka4[[#This Row],[Typ úlohy]]="Součet",G69,IF(Tabulka4[[#This Row],[Typ úlohy]]="Účet",B68,""))</f>
        <v>STBR</v>
      </c>
      <c r="C69" s="903" t="str">
        <f>IF(Tabulka4[[#This Row],[Typ úlohy]]="Účet",H69,"")</f>
        <v>N/A</v>
      </c>
      <c r="D69" s="903">
        <f>IF(Tabulka4[[#This Row],[Typ úlohy]]="Účet",GETPIVOTDATA("Součet z Celková hmotnost položek [kg]",$G$2,"Zkratka kalkulační položky",B69,"Výrobce / Dodavatel",C69),"")</f>
        <v>813.4</v>
      </c>
      <c r="E69" s="904">
        <f>IF(Tabulka4[[#This Row],[Typ úlohy]]="Účet",GETPIVOTDATA("Součet z Celková cena bez DPH (CZK)",$G$3,"Zkratka kalkulační položky",B69,"Výrobce / Dodavatel",C69),"")</f>
        <v>297000</v>
      </c>
      <c r="H69" s="537" t="s">
        <v>681</v>
      </c>
      <c r="I69" s="749">
        <v>813.4</v>
      </c>
      <c r="J69" s="749">
        <v>297000</v>
      </c>
    </row>
    <row r="70" spans="1:10" x14ac:dyDescent="0.35">
      <c r="A70" s="902" t="str">
        <f t="shared" si="2"/>
        <v/>
      </c>
      <c r="B70" s="903" t="str">
        <f>IF(Tabulka4[[#This Row],[Typ úlohy]]="Součet",G70,IF(Tabulka4[[#This Row],[Typ úlohy]]="Účet",B69,""))</f>
        <v/>
      </c>
      <c r="C70" s="903" t="str">
        <f>IF(Tabulka4[[#This Row],[Typ úlohy]]="Účet",H70,"")</f>
        <v/>
      </c>
      <c r="D70" s="903" t="str">
        <f>IF(Tabulka4[[#This Row],[Typ úlohy]]="Účet",GETPIVOTDATA("Součet z Celková hmotnost položek [kg]",$G$2,"Zkratka kalkulační položky",B70,"Výrobce / Dodavatel",C70),"")</f>
        <v/>
      </c>
      <c r="E70" s="904" t="str">
        <f>IF(Tabulka4[[#This Row],[Typ úlohy]]="Účet",GETPIVOTDATA("Součet z Celková cena bez DPH (CZK)",$G$3,"Zkratka kalkulační položky",B70,"Výrobce / Dodavatel",C70),"")</f>
        <v/>
      </c>
      <c r="G70" s="537"/>
    </row>
    <row r="71" spans="1:10" x14ac:dyDescent="0.35">
      <c r="A71" s="902" t="str">
        <f t="shared" si="2"/>
        <v>Součet</v>
      </c>
      <c r="B71" s="903" t="str">
        <f>IF(Tabulka4[[#This Row],[Typ úlohy]]="Součet",G71,IF(Tabulka4[[#This Row],[Typ úlohy]]="Účet",B70,""))</f>
        <v>STNO</v>
      </c>
      <c r="C71" s="903" t="str">
        <f>IF(Tabulka4[[#This Row],[Typ úlohy]]="Účet",H71,"")</f>
        <v/>
      </c>
      <c r="D71" s="903" t="str">
        <f>IF(Tabulka4[[#This Row],[Typ úlohy]]="Účet",GETPIVOTDATA("Součet z Celková hmotnost položek [kg]",$G$2,"Zkratka kalkulační položky",B71,"Výrobce / Dodavatel",C71),"")</f>
        <v/>
      </c>
      <c r="E71" s="904" t="str">
        <f>IF(Tabulka4[[#This Row],[Typ úlohy]]="Účet",GETPIVOTDATA("Součet z Celková cena bez DPH (CZK)",$G$3,"Zkratka kalkulační položky",B71,"Výrobce / Dodavatel",C71),"")</f>
        <v/>
      </c>
      <c r="G71" s="537" t="s">
        <v>835</v>
      </c>
      <c r="I71" s="749">
        <v>30.8</v>
      </c>
      <c r="J71" s="749">
        <v>3395.92</v>
      </c>
    </row>
    <row r="72" spans="1:10" x14ac:dyDescent="0.35">
      <c r="A72" s="902" t="str">
        <f t="shared" si="2"/>
        <v>Účet</v>
      </c>
      <c r="B72" s="903" t="str">
        <f>IF(Tabulka4[[#This Row],[Typ úlohy]]="Součet",G72,IF(Tabulka4[[#This Row],[Typ úlohy]]="Účet",B71,""))</f>
        <v>STNO</v>
      </c>
      <c r="C72" s="903" t="str">
        <f>IF(Tabulka4[[#This Row],[Typ úlohy]]="Účet",H72,"")</f>
        <v>N/A</v>
      </c>
      <c r="D72" s="903">
        <f>IF(Tabulka4[[#This Row],[Typ úlohy]]="Účet",GETPIVOTDATA("Součet z Celková hmotnost položek [kg]",$G$2,"Zkratka kalkulační položky",B72,"Výrobce / Dodavatel",C72),"")</f>
        <v>30.8</v>
      </c>
      <c r="E72" s="904">
        <f>IF(Tabulka4[[#This Row],[Typ úlohy]]="Účet",GETPIVOTDATA("Součet z Celková cena bez DPH (CZK)",$G$3,"Zkratka kalkulační položky",B72,"Výrobce / Dodavatel",C72),"")</f>
        <v>3395.92</v>
      </c>
      <c r="H72" s="537" t="s">
        <v>681</v>
      </c>
      <c r="I72" s="749">
        <v>30.8</v>
      </c>
      <c r="J72" s="749">
        <v>3395.92</v>
      </c>
    </row>
    <row r="73" spans="1:10" x14ac:dyDescent="0.35">
      <c r="A73" s="902" t="str">
        <f t="shared" si="2"/>
        <v/>
      </c>
      <c r="B73" s="903" t="str">
        <f>IF(Tabulka4[[#This Row],[Typ úlohy]]="Součet",G73,IF(Tabulka4[[#This Row],[Typ úlohy]]="Účet",B72,""))</f>
        <v/>
      </c>
      <c r="C73" s="903" t="str">
        <f>IF(Tabulka4[[#This Row],[Typ úlohy]]="Účet",H73,"")</f>
        <v/>
      </c>
      <c r="D73" s="903" t="str">
        <f>IF(Tabulka4[[#This Row],[Typ úlohy]]="Účet",GETPIVOTDATA("Součet z Celková hmotnost položek [kg]",$G$2,"Zkratka kalkulační položky",B73,"Výrobce / Dodavatel",C73),"")</f>
        <v/>
      </c>
      <c r="E73" s="904" t="str">
        <f>IF(Tabulka4[[#This Row],[Typ úlohy]]="Účet",GETPIVOTDATA("Součet z Celková cena bez DPH (CZK)",$G$3,"Zkratka kalkulační položky",B73,"Výrobce / Dodavatel",C73),"")</f>
        <v/>
      </c>
      <c r="G73" s="537"/>
    </row>
    <row r="74" spans="1:10" x14ac:dyDescent="0.35">
      <c r="A74" s="902" t="str">
        <f t="shared" si="2"/>
        <v>Součet</v>
      </c>
      <c r="B74" s="903" t="str">
        <f>IF(Tabulka4[[#This Row],[Typ úlohy]]="Součet",G74,IF(Tabulka4[[#This Row],[Typ úlohy]]="Účet",B73,""))</f>
        <v>OKHM</v>
      </c>
      <c r="C74" s="903" t="str">
        <f>IF(Tabulka4[[#This Row],[Typ úlohy]]="Účet",H74,"")</f>
        <v/>
      </c>
      <c r="D74" s="903" t="str">
        <f>IF(Tabulka4[[#This Row],[Typ úlohy]]="Účet",GETPIVOTDATA("Součet z Celková hmotnost položek [kg]",$G$2,"Zkratka kalkulační položky",B74,"Výrobce / Dodavatel",C74),"")</f>
        <v/>
      </c>
      <c r="E74" s="904" t="str">
        <f>IF(Tabulka4[[#This Row],[Typ úlohy]]="Účet",GETPIVOTDATA("Součet z Celková cena bez DPH (CZK)",$G$3,"Zkratka kalkulační položky",B74,"Výrobce / Dodavatel",C74),"")</f>
        <v/>
      </c>
      <c r="G74" s="537" t="s">
        <v>767</v>
      </c>
      <c r="I74" s="749">
        <v>625.20000000000005</v>
      </c>
      <c r="J74" s="749">
        <v>25012.799999999999</v>
      </c>
    </row>
    <row r="75" spans="1:10" x14ac:dyDescent="0.35">
      <c r="A75" s="902" t="str">
        <f t="shared" si="2"/>
        <v>Účet</v>
      </c>
      <c r="B75" s="903" t="str">
        <f>IF(Tabulka4[[#This Row],[Typ úlohy]]="Součet",G75,IF(Tabulka4[[#This Row],[Typ úlohy]]="Účet",B74,""))</f>
        <v>OKHM</v>
      </c>
      <c r="C75" s="903" t="str">
        <f>IF(Tabulka4[[#This Row],[Typ úlohy]]="Účet",H75,"")</f>
        <v>N/A</v>
      </c>
      <c r="D75" s="903">
        <f>IF(Tabulka4[[#This Row],[Typ úlohy]]="Účet",GETPIVOTDATA("Součet z Celková hmotnost položek [kg]",$G$2,"Zkratka kalkulační položky",B75,"Výrobce / Dodavatel",C75),"")</f>
        <v>625.20000000000005</v>
      </c>
      <c r="E75" s="904">
        <f>IF(Tabulka4[[#This Row],[Typ úlohy]]="Účet",GETPIVOTDATA("Součet z Celková cena bez DPH (CZK)",$G$3,"Zkratka kalkulační položky",B75,"Výrobce / Dodavatel",C75),"")</f>
        <v>25012.799999999999</v>
      </c>
      <c r="H75" s="537" t="s">
        <v>681</v>
      </c>
      <c r="I75" s="749">
        <v>625.20000000000005</v>
      </c>
      <c r="J75" s="749">
        <v>25012.799999999999</v>
      </c>
    </row>
    <row r="76" spans="1:10" x14ac:dyDescent="0.35">
      <c r="A76" s="902" t="str">
        <f t="shared" si="2"/>
        <v/>
      </c>
      <c r="B76" s="903" t="str">
        <f>IF(Tabulka4[[#This Row],[Typ úlohy]]="Součet",G76,IF(Tabulka4[[#This Row],[Typ úlohy]]="Účet",B75,""))</f>
        <v/>
      </c>
      <c r="C76" s="903" t="str">
        <f>IF(Tabulka4[[#This Row],[Typ úlohy]]="Účet",H76,"")</f>
        <v/>
      </c>
      <c r="D76" s="903" t="str">
        <f>IF(Tabulka4[[#This Row],[Typ úlohy]]="Účet",GETPIVOTDATA("Součet z Celková hmotnost položek [kg]",$G$2,"Zkratka kalkulační položky",B76,"Výrobce / Dodavatel",C76),"")</f>
        <v/>
      </c>
      <c r="E76" s="904" t="str">
        <f>IF(Tabulka4[[#This Row],[Typ úlohy]]="Účet",GETPIVOTDATA("Součet z Celková cena bez DPH (CZK)",$G$3,"Zkratka kalkulační položky",B76,"Výrobce / Dodavatel",C76),"")</f>
        <v/>
      </c>
      <c r="G76" s="537"/>
    </row>
    <row r="77" spans="1:10" x14ac:dyDescent="0.35">
      <c r="A77" s="902" t="str">
        <f t="shared" si="2"/>
        <v>Součet</v>
      </c>
      <c r="B77" s="903" t="str">
        <f>IF(Tabulka4[[#This Row],[Typ úlohy]]="Součet",G77,IF(Tabulka4[[#This Row],[Typ úlohy]]="Účet",B76,""))</f>
        <v>OSTS</v>
      </c>
      <c r="C77" s="903" t="str">
        <f>IF(Tabulka4[[#This Row],[Typ úlohy]]="Účet",H77,"")</f>
        <v/>
      </c>
      <c r="D77" s="903" t="str">
        <f>IF(Tabulka4[[#This Row],[Typ úlohy]]="Účet",GETPIVOTDATA("Součet z Celková hmotnost položek [kg]",$G$2,"Zkratka kalkulační položky",B77,"Výrobce / Dodavatel",C77),"")</f>
        <v/>
      </c>
      <c r="E77" s="904" t="str">
        <f>IF(Tabulka4[[#This Row],[Typ úlohy]]="Účet",GETPIVOTDATA("Součet z Celková cena bez DPH (CZK)",$G$3,"Zkratka kalkulační položky",B77,"Výrobce / Dodavatel",C77),"")</f>
        <v/>
      </c>
      <c r="G77" s="537" t="s">
        <v>844</v>
      </c>
      <c r="I77" s="749">
        <v>126.4</v>
      </c>
      <c r="J77" s="749">
        <v>20000</v>
      </c>
    </row>
    <row r="78" spans="1:10" x14ac:dyDescent="0.35">
      <c r="A78" s="902" t="str">
        <f t="shared" si="2"/>
        <v>Účet</v>
      </c>
      <c r="B78" s="903" t="str">
        <f>IF(Tabulka4[[#This Row],[Typ úlohy]]="Součet",G78,IF(Tabulka4[[#This Row],[Typ úlohy]]="Účet",B77,""))</f>
        <v>OSTS</v>
      </c>
      <c r="C78" s="903" t="str">
        <f>IF(Tabulka4[[#This Row],[Typ úlohy]]="Účet",H78,"")</f>
        <v>N/A</v>
      </c>
      <c r="D78" s="903">
        <f>IF(Tabulka4[[#This Row],[Typ úlohy]]="Účet",GETPIVOTDATA("Součet z Celková hmotnost položek [kg]",$G$2,"Zkratka kalkulační položky",B78,"Výrobce / Dodavatel",C78),"")</f>
        <v>126.4</v>
      </c>
      <c r="E78" s="904">
        <f>IF(Tabulka4[[#This Row],[Typ úlohy]]="Účet",GETPIVOTDATA("Součet z Celková cena bez DPH (CZK)",$G$3,"Zkratka kalkulační položky",B78,"Výrobce / Dodavatel",C78),"")</f>
        <v>20000</v>
      </c>
      <c r="H78" s="537" t="s">
        <v>681</v>
      </c>
      <c r="I78" s="749">
        <v>126.4</v>
      </c>
      <c r="J78" s="749">
        <v>20000</v>
      </c>
    </row>
    <row r="79" spans="1:10" x14ac:dyDescent="0.35">
      <c r="A79" s="902" t="str">
        <f t="shared" si="2"/>
        <v/>
      </c>
      <c r="B79" s="903" t="str">
        <f>IF(Tabulka4[[#This Row],[Typ úlohy]]="Součet",G79,IF(Tabulka4[[#This Row],[Typ úlohy]]="Účet",B78,""))</f>
        <v/>
      </c>
      <c r="C79" s="903" t="str">
        <f>IF(Tabulka4[[#This Row],[Typ úlohy]]="Účet",H79,"")</f>
        <v/>
      </c>
      <c r="D79" s="903" t="str">
        <f>IF(Tabulka4[[#This Row],[Typ úlohy]]="Účet",GETPIVOTDATA("Součet z Celková hmotnost položek [kg]",$G$2,"Zkratka kalkulační položky",B79,"Výrobce / Dodavatel",C79),"")</f>
        <v/>
      </c>
      <c r="E79" s="904" t="str">
        <f>IF(Tabulka4[[#This Row],[Typ úlohy]]="Účet",GETPIVOTDATA("Součet z Celková cena bez DPH (CZK)",$G$3,"Zkratka kalkulační položky",B79,"Výrobce / Dodavatel",C79),"")</f>
        <v/>
      </c>
      <c r="G79" s="537"/>
    </row>
    <row r="80" spans="1:10" x14ac:dyDescent="0.35">
      <c r="A80" s="902" t="str">
        <f t="shared" si="2"/>
        <v>Součet</v>
      </c>
      <c r="B80" s="903" t="str">
        <f>IF(Tabulka4[[#This Row],[Typ úlohy]]="Součet",G80,IF(Tabulka4[[#This Row],[Typ úlohy]]="Účet",B79,""))</f>
        <v>Celkový součet</v>
      </c>
      <c r="C80" s="903" t="str">
        <f>IF(Tabulka4[[#This Row],[Typ úlohy]]="Účet",H80,"")</f>
        <v/>
      </c>
      <c r="D80" s="903" t="str">
        <f>IF(Tabulka4[[#This Row],[Typ úlohy]]="Účet",GETPIVOTDATA("Součet z Celková hmotnost položek [kg]",$G$2,"Zkratka kalkulační položky",B80,"Výrobce / Dodavatel",C80),"")</f>
        <v/>
      </c>
      <c r="E80" s="904" t="str">
        <f>IF(Tabulka4[[#This Row],[Typ úlohy]]="Účet",GETPIVOTDATA("Součet z Celková cena bez DPH (CZK)",$G$3,"Zkratka kalkulační položky",B80,"Výrobce / Dodavatel",C80),"")</f>
        <v/>
      </c>
      <c r="G80" s="537" t="s">
        <v>677</v>
      </c>
      <c r="I80" s="749">
        <v>143867.1</v>
      </c>
      <c r="J80" s="749">
        <v>32418584.280000001</v>
      </c>
    </row>
    <row r="81" spans="1:10" x14ac:dyDescent="0.35">
      <c r="A81" s="902" t="str">
        <f t="shared" si="2"/>
        <v/>
      </c>
      <c r="B81" s="903" t="str">
        <f>IF(Tabulka4[[#This Row],[Typ úlohy]]="Součet",G81,IF(Tabulka4[[#This Row],[Typ úlohy]]="Účet",B80,""))</f>
        <v/>
      </c>
      <c r="C81" s="903" t="str">
        <f>IF(Tabulka4[[#This Row],[Typ úlohy]]="Účet",H81,"")</f>
        <v/>
      </c>
      <c r="D81" s="903" t="str">
        <f>IF(Tabulka4[[#This Row],[Typ úlohy]]="Účet",GETPIVOTDATA("Součet z Celková hmotnost položek [kg]",$G$2,"Zkratka kalkulační položky",B81,"Výrobce / Dodavatel",C81),"")</f>
        <v/>
      </c>
      <c r="E81" s="904" t="str">
        <f>IF(Tabulka4[[#This Row],[Typ úlohy]]="Účet",GETPIVOTDATA("Součet z Celková cena bez DPH (CZK)",$G$3,"Zkratka kalkulační položky",B81,"Výrobce / Dodavatel",C81),"")</f>
        <v/>
      </c>
      <c r="I81"/>
      <c r="J81"/>
    </row>
    <row r="82" spans="1:10" x14ac:dyDescent="0.35">
      <c r="A82" s="902" t="str">
        <f t="shared" si="2"/>
        <v/>
      </c>
      <c r="B82" s="903" t="str">
        <f>IF(Tabulka4[[#This Row],[Typ úlohy]]="Součet",G82,IF(Tabulka4[[#This Row],[Typ úlohy]]="Účet",B81,""))</f>
        <v/>
      </c>
      <c r="C82" s="903" t="str">
        <f>IF(Tabulka4[[#This Row],[Typ úlohy]]="Účet",H82,"")</f>
        <v/>
      </c>
      <c r="D82" s="903" t="str">
        <f>IF(Tabulka4[[#This Row],[Typ úlohy]]="Účet",GETPIVOTDATA("Součet z Celková hmotnost položek [kg]",$G$2,"Zkratka kalkulační položky",B82,"Výrobce / Dodavatel",C82),"")</f>
        <v/>
      </c>
      <c r="E82" s="904" t="str">
        <f>IF(Tabulka4[[#This Row],[Typ úlohy]]="Účet",GETPIVOTDATA("Součet z Celková cena bez DPH (CZK)",$G$3,"Zkratka kalkulační položky",B82,"Výrobce / Dodavatel",C82),"")</f>
        <v/>
      </c>
      <c r="I82"/>
      <c r="J82"/>
    </row>
    <row r="83" spans="1:10" x14ac:dyDescent="0.35">
      <c r="A83" s="902" t="str">
        <f t="shared" si="2"/>
        <v/>
      </c>
      <c r="B83" s="903" t="str">
        <f>IF(Tabulka4[[#This Row],[Typ úlohy]]="Součet",G83,IF(Tabulka4[[#This Row],[Typ úlohy]]="Účet",B82,""))</f>
        <v/>
      </c>
      <c r="C83" s="903" t="str">
        <f>IF(Tabulka4[[#This Row],[Typ úlohy]]="Účet",H83,"")</f>
        <v/>
      </c>
      <c r="D83" s="903" t="str">
        <f>IF(Tabulka4[[#This Row],[Typ úlohy]]="Účet",GETPIVOTDATA("Součet z Celková hmotnost položek [kg]",$G$2,"Zkratka kalkulační položky",B83,"Výrobce / Dodavatel",C83),"")</f>
        <v/>
      </c>
      <c r="E83" s="904" t="str">
        <f>IF(Tabulka4[[#This Row],[Typ úlohy]]="Účet",GETPIVOTDATA("Součet z Celková cena bez DPH (CZK)",$G$3,"Zkratka kalkulační položky",B83,"Výrobce / Dodavatel",C83),"")</f>
        <v/>
      </c>
      <c r="I83"/>
      <c r="J83"/>
    </row>
    <row r="84" spans="1:10" x14ac:dyDescent="0.35">
      <c r="A84" s="902" t="str">
        <f t="shared" si="2"/>
        <v/>
      </c>
      <c r="B84" s="903" t="str">
        <f>IF(Tabulka4[[#This Row],[Typ úlohy]]="Součet",G84,IF(Tabulka4[[#This Row],[Typ úlohy]]="Účet",B83,""))</f>
        <v/>
      </c>
      <c r="C84" s="903" t="str">
        <f>IF(Tabulka4[[#This Row],[Typ úlohy]]="Účet",H84,"")</f>
        <v/>
      </c>
      <c r="D84" s="903" t="str">
        <f>IF(Tabulka4[[#This Row],[Typ úlohy]]="Účet",GETPIVOTDATA("Součet z Celková hmotnost položek [kg]",$G$2,"Zkratka kalkulační položky",B84,"Výrobce / Dodavatel",C84),"")</f>
        <v/>
      </c>
      <c r="E84" s="904" t="str">
        <f>IF(Tabulka4[[#This Row],[Typ úlohy]]="Účet",GETPIVOTDATA("Součet z Celková cena bez DPH (CZK)",$G$3,"Zkratka kalkulační položky",B84,"Výrobce / Dodavatel",C84),"")</f>
        <v/>
      </c>
      <c r="I84"/>
      <c r="J84"/>
    </row>
    <row r="85" spans="1:10" x14ac:dyDescent="0.35">
      <c r="A85" s="902" t="str">
        <f t="shared" si="2"/>
        <v/>
      </c>
      <c r="B85" s="903" t="str">
        <f>IF(Tabulka4[[#This Row],[Typ úlohy]]="Součet",G85,IF(Tabulka4[[#This Row],[Typ úlohy]]="Účet",B84,""))</f>
        <v/>
      </c>
      <c r="C85" s="903" t="str">
        <f>IF(Tabulka4[[#This Row],[Typ úlohy]]="Účet",H85,"")</f>
        <v/>
      </c>
      <c r="D85" s="903" t="str">
        <f>IF(Tabulka4[[#This Row],[Typ úlohy]]="Účet",GETPIVOTDATA("Součet z Celková hmotnost položek [kg]",$G$2,"Zkratka kalkulační položky",B85,"Výrobce / Dodavatel",C85),"")</f>
        <v/>
      </c>
      <c r="E85" s="904" t="str">
        <f>IF(Tabulka4[[#This Row],[Typ úlohy]]="Účet",GETPIVOTDATA("Součet z Celková cena bez DPH (CZK)",$G$3,"Zkratka kalkulační položky",B85,"Výrobce / Dodavatel",C85),"")</f>
        <v/>
      </c>
      <c r="I85"/>
      <c r="J85"/>
    </row>
    <row r="86" spans="1:10" x14ac:dyDescent="0.35">
      <c r="A86" s="902" t="str">
        <f t="shared" si="2"/>
        <v/>
      </c>
      <c r="B86" s="903" t="str">
        <f>IF(Tabulka4[[#This Row],[Typ úlohy]]="Součet",G86,IF(Tabulka4[[#This Row],[Typ úlohy]]="Účet",B85,""))</f>
        <v/>
      </c>
      <c r="C86" s="903" t="str">
        <f>IF(Tabulka4[[#This Row],[Typ úlohy]]="Účet",H86,"")</f>
        <v/>
      </c>
      <c r="D86" s="903" t="str">
        <f>IF(Tabulka4[[#This Row],[Typ úlohy]]="Účet",GETPIVOTDATA("Součet z Celková hmotnost položek [kg]",$G$2,"Zkratka kalkulační položky",B86,"Výrobce / Dodavatel",C86),"")</f>
        <v/>
      </c>
      <c r="E86" s="904" t="str">
        <f>IF(Tabulka4[[#This Row],[Typ úlohy]]="Účet",GETPIVOTDATA("Součet z Celková cena bez DPH (CZK)",$G$3,"Zkratka kalkulační položky",B86,"Výrobce / Dodavatel",C86),"")</f>
        <v/>
      </c>
      <c r="I86"/>
      <c r="J86"/>
    </row>
    <row r="87" spans="1:10" x14ac:dyDescent="0.35">
      <c r="A87" s="902" t="str">
        <f t="shared" si="2"/>
        <v/>
      </c>
      <c r="B87" s="903" t="str">
        <f>IF(Tabulka4[[#This Row],[Typ úlohy]]="Součet",G87,IF(Tabulka4[[#This Row],[Typ úlohy]]="Účet",B86,""))</f>
        <v/>
      </c>
      <c r="C87" s="903" t="str">
        <f>IF(Tabulka4[[#This Row],[Typ úlohy]]="Účet",H87,"")</f>
        <v/>
      </c>
      <c r="D87" s="903" t="str">
        <f>IF(Tabulka4[[#This Row],[Typ úlohy]]="Účet",GETPIVOTDATA("Součet z Celková hmotnost položek [kg]",$G$2,"Zkratka kalkulační položky",B87,"Výrobce / Dodavatel",C87),"")</f>
        <v/>
      </c>
      <c r="E87" s="904" t="str">
        <f>IF(Tabulka4[[#This Row],[Typ úlohy]]="Účet",GETPIVOTDATA("Součet z Celková cena bez DPH (CZK)",$G$3,"Zkratka kalkulační položky",B87,"Výrobce / Dodavatel",C87),"")</f>
        <v/>
      </c>
      <c r="I87"/>
      <c r="J87"/>
    </row>
    <row r="88" spans="1:10" x14ac:dyDescent="0.35">
      <c r="A88" s="902" t="str">
        <f t="shared" si="2"/>
        <v/>
      </c>
      <c r="B88" s="903" t="str">
        <f>IF(Tabulka4[[#This Row],[Typ úlohy]]="Součet",G88,IF(Tabulka4[[#This Row],[Typ úlohy]]="Účet",B87,""))</f>
        <v/>
      </c>
      <c r="C88" s="903" t="str">
        <f>IF(Tabulka4[[#This Row],[Typ úlohy]]="Účet",H88,"")</f>
        <v/>
      </c>
      <c r="D88" s="903" t="str">
        <f>IF(Tabulka4[[#This Row],[Typ úlohy]]="Účet",GETPIVOTDATA("Součet z Celková hmotnost položek [kg]",$G$2,"Zkratka kalkulační položky",B88,"Výrobce / Dodavatel",C88),"")</f>
        <v/>
      </c>
      <c r="E88" s="904" t="str">
        <f>IF(Tabulka4[[#This Row],[Typ úlohy]]="Účet",GETPIVOTDATA("Součet z Celková cena bez DPH (CZK)",$G$3,"Zkratka kalkulační položky",B88,"Výrobce / Dodavatel",C88),"")</f>
        <v/>
      </c>
      <c r="I88"/>
      <c r="J88"/>
    </row>
    <row r="89" spans="1:10" x14ac:dyDescent="0.35">
      <c r="A89" s="902" t="str">
        <f t="shared" si="2"/>
        <v/>
      </c>
      <c r="B89" s="903" t="str">
        <f>IF(Tabulka4[[#This Row],[Typ úlohy]]="Součet",G89,IF(Tabulka4[[#This Row],[Typ úlohy]]="Účet",B88,""))</f>
        <v/>
      </c>
      <c r="C89" s="903" t="str">
        <f>IF(Tabulka4[[#This Row],[Typ úlohy]]="Účet",H89,"")</f>
        <v/>
      </c>
      <c r="D89" s="903" t="str">
        <f>IF(Tabulka4[[#This Row],[Typ úlohy]]="Účet",GETPIVOTDATA("Součet z Celková hmotnost položek [kg]",$G$2,"Zkratka kalkulační položky",B89,"Výrobce / Dodavatel",C89),"")</f>
        <v/>
      </c>
      <c r="E89" s="904" t="str">
        <f>IF(Tabulka4[[#This Row],[Typ úlohy]]="Účet",GETPIVOTDATA("Součet z Celková cena bez DPH (CZK)",$G$3,"Zkratka kalkulační položky",B89,"Výrobce / Dodavatel",C89),"")</f>
        <v/>
      </c>
      <c r="I89"/>
      <c r="J89"/>
    </row>
    <row r="90" spans="1:10" x14ac:dyDescent="0.35">
      <c r="A90" s="902" t="str">
        <f t="shared" si="2"/>
        <v/>
      </c>
      <c r="B90" s="903" t="str">
        <f>IF(Tabulka4[[#This Row],[Typ úlohy]]="Součet",G90,IF(Tabulka4[[#This Row],[Typ úlohy]]="Účet",B89,""))</f>
        <v/>
      </c>
      <c r="C90" s="903" t="str">
        <f>IF(Tabulka4[[#This Row],[Typ úlohy]]="Účet",H90,"")</f>
        <v/>
      </c>
      <c r="D90" s="903" t="str">
        <f>IF(Tabulka4[[#This Row],[Typ úlohy]]="Účet",GETPIVOTDATA("Součet z Celková hmotnost položek [kg]",$G$2,"Zkratka kalkulační položky",B90,"Výrobce / Dodavatel",C90),"")</f>
        <v/>
      </c>
      <c r="E90" s="904" t="str">
        <f>IF(Tabulka4[[#This Row],[Typ úlohy]]="Účet",GETPIVOTDATA("Součet z Celková cena bez DPH (CZK)",$G$3,"Zkratka kalkulační položky",B90,"Výrobce / Dodavatel",C90),"")</f>
        <v/>
      </c>
      <c r="I90"/>
      <c r="J90"/>
    </row>
    <row r="91" spans="1:10" x14ac:dyDescent="0.35">
      <c r="A91" s="902" t="str">
        <f t="shared" si="2"/>
        <v/>
      </c>
      <c r="B91" s="903" t="str">
        <f>IF(Tabulka4[[#This Row],[Typ úlohy]]="Součet",G91,IF(Tabulka4[[#This Row],[Typ úlohy]]="Účet",B90,""))</f>
        <v/>
      </c>
      <c r="C91" s="903" t="str">
        <f>IF(Tabulka4[[#This Row],[Typ úlohy]]="Účet",H91,"")</f>
        <v/>
      </c>
      <c r="D91" s="903" t="str">
        <f>IF(Tabulka4[[#This Row],[Typ úlohy]]="Účet",GETPIVOTDATA("Součet z Celková hmotnost položek [kg]",$G$2,"Zkratka kalkulační položky",B91,"Výrobce / Dodavatel",C91),"")</f>
        <v/>
      </c>
      <c r="E91" s="904" t="str">
        <f>IF(Tabulka4[[#This Row],[Typ úlohy]]="Účet",GETPIVOTDATA("Součet z Celková cena bez DPH (CZK)",$G$3,"Zkratka kalkulační položky",B91,"Výrobce / Dodavatel",C91),"")</f>
        <v/>
      </c>
      <c r="I91"/>
      <c r="J91"/>
    </row>
    <row r="92" spans="1:10" x14ac:dyDescent="0.35">
      <c r="A92" s="902" t="str">
        <f t="shared" si="2"/>
        <v/>
      </c>
      <c r="B92" s="903" t="str">
        <f>IF(Tabulka4[[#This Row],[Typ úlohy]]="Součet",G92,IF(Tabulka4[[#This Row],[Typ úlohy]]="Účet",B91,""))</f>
        <v/>
      </c>
      <c r="C92" s="903" t="str">
        <f>IF(Tabulka4[[#This Row],[Typ úlohy]]="Účet",H92,"")</f>
        <v/>
      </c>
      <c r="D92" s="903" t="str">
        <f>IF(Tabulka4[[#This Row],[Typ úlohy]]="Účet",GETPIVOTDATA("Součet z Celková hmotnost položek [kg]",$G$2,"Zkratka kalkulační položky",B92,"Výrobce / Dodavatel",C92),"")</f>
        <v/>
      </c>
      <c r="E92" s="904" t="str">
        <f>IF(Tabulka4[[#This Row],[Typ úlohy]]="Účet",GETPIVOTDATA("Součet z Celková cena bez DPH (CZK)",$G$3,"Zkratka kalkulační položky",B92,"Výrobce / Dodavatel",C92),"")</f>
        <v/>
      </c>
      <c r="I92"/>
      <c r="J92"/>
    </row>
    <row r="93" spans="1:10" x14ac:dyDescent="0.35">
      <c r="A93" s="902" t="str">
        <f t="shared" si="2"/>
        <v/>
      </c>
      <c r="B93" s="903" t="str">
        <f>IF(Tabulka4[[#This Row],[Typ úlohy]]="Součet",G93,IF(Tabulka4[[#This Row],[Typ úlohy]]="Účet",B92,""))</f>
        <v/>
      </c>
      <c r="C93" s="903" t="str">
        <f>IF(Tabulka4[[#This Row],[Typ úlohy]]="Účet",H93,"")</f>
        <v/>
      </c>
      <c r="D93" s="903" t="str">
        <f>IF(Tabulka4[[#This Row],[Typ úlohy]]="Účet",GETPIVOTDATA("Součet z Celková hmotnost položek [kg]",$G$2,"Zkratka kalkulační položky",B93,"Výrobce / Dodavatel",C93),"")</f>
        <v/>
      </c>
      <c r="E93" s="904" t="str">
        <f>IF(Tabulka4[[#This Row],[Typ úlohy]]="Účet",GETPIVOTDATA("Součet z Celková cena bez DPH (CZK)",$G$3,"Zkratka kalkulační položky",B93,"Výrobce / Dodavatel",C93),"")</f>
        <v/>
      </c>
      <c r="I93"/>
      <c r="J93"/>
    </row>
    <row r="94" spans="1:10" x14ac:dyDescent="0.35">
      <c r="A94" s="902" t="str">
        <f t="shared" si="2"/>
        <v/>
      </c>
      <c r="B94" s="903" t="str">
        <f>IF(Tabulka4[[#This Row],[Typ úlohy]]="Součet",G94,IF(Tabulka4[[#This Row],[Typ úlohy]]="Účet",B93,""))</f>
        <v/>
      </c>
      <c r="C94" s="903" t="str">
        <f>IF(Tabulka4[[#This Row],[Typ úlohy]]="Účet",H94,"")</f>
        <v/>
      </c>
      <c r="D94" s="903" t="str">
        <f>IF(Tabulka4[[#This Row],[Typ úlohy]]="Účet",GETPIVOTDATA("Součet z Celková hmotnost položek [kg]",$G$2,"Zkratka kalkulační položky",B94,"Výrobce / Dodavatel",C94),"")</f>
        <v/>
      </c>
      <c r="E94" s="904" t="str">
        <f>IF(Tabulka4[[#This Row],[Typ úlohy]]="Účet",GETPIVOTDATA("Součet z Celková cena bez DPH (CZK)",$G$3,"Zkratka kalkulační položky",B94,"Výrobce / Dodavatel",C94),"")</f>
        <v/>
      </c>
      <c r="I94"/>
      <c r="J94"/>
    </row>
    <row r="95" spans="1:10" x14ac:dyDescent="0.35">
      <c r="A95" s="902" t="str">
        <f t="shared" si="2"/>
        <v/>
      </c>
      <c r="B95" s="903" t="str">
        <f>IF(Tabulka4[[#This Row],[Typ úlohy]]="Součet",G95,IF(Tabulka4[[#This Row],[Typ úlohy]]="Účet",B94,""))</f>
        <v/>
      </c>
      <c r="C95" s="903" t="str">
        <f>IF(Tabulka4[[#This Row],[Typ úlohy]]="Účet",H95,"")</f>
        <v/>
      </c>
      <c r="D95" s="903" t="str">
        <f>IF(Tabulka4[[#This Row],[Typ úlohy]]="Účet",GETPIVOTDATA("Součet z Celková hmotnost položek [kg]",$G$2,"Zkratka kalkulační položky",B95,"Výrobce / Dodavatel",C95),"")</f>
        <v/>
      </c>
      <c r="E95" s="904" t="str">
        <f>IF(Tabulka4[[#This Row],[Typ úlohy]]="Účet",GETPIVOTDATA("Součet z Celková cena bez DPH (CZK)",$G$3,"Zkratka kalkulační položky",B95,"Výrobce / Dodavatel",C95),"")</f>
        <v/>
      </c>
      <c r="I95"/>
      <c r="J95"/>
    </row>
    <row r="96" spans="1:10" x14ac:dyDescent="0.35">
      <c r="A96" s="902" t="str">
        <f t="shared" si="2"/>
        <v/>
      </c>
      <c r="B96" s="903" t="str">
        <f>IF(Tabulka4[[#This Row],[Typ úlohy]]="Součet",G96,IF(Tabulka4[[#This Row],[Typ úlohy]]="Účet",B95,""))</f>
        <v/>
      </c>
      <c r="C96" s="903" t="str">
        <f>IF(Tabulka4[[#This Row],[Typ úlohy]]="Účet",H96,"")</f>
        <v/>
      </c>
      <c r="D96" s="903" t="str">
        <f>IF(Tabulka4[[#This Row],[Typ úlohy]]="Účet",GETPIVOTDATA("Součet z Celková hmotnost položek [kg]",$G$2,"Zkratka kalkulační položky",B96,"Výrobce / Dodavatel",C96),"")</f>
        <v/>
      </c>
      <c r="E96" s="904" t="str">
        <f>IF(Tabulka4[[#This Row],[Typ úlohy]]="Účet",GETPIVOTDATA("Součet z Celková cena bez DPH (CZK)",$G$3,"Zkratka kalkulační položky",B96,"Výrobce / Dodavatel",C96),"")</f>
        <v/>
      </c>
      <c r="I96"/>
      <c r="J96"/>
    </row>
    <row r="97" spans="1:10" x14ac:dyDescent="0.35">
      <c r="A97" s="902" t="str">
        <f t="shared" si="2"/>
        <v/>
      </c>
      <c r="B97" s="903" t="str">
        <f>IF(Tabulka4[[#This Row],[Typ úlohy]]="Součet",G97,IF(Tabulka4[[#This Row],[Typ úlohy]]="Účet",B96,""))</f>
        <v/>
      </c>
      <c r="C97" s="903" t="str">
        <f>IF(Tabulka4[[#This Row],[Typ úlohy]]="Účet",H97,"")</f>
        <v/>
      </c>
      <c r="D97" s="903" t="str">
        <f>IF(Tabulka4[[#This Row],[Typ úlohy]]="Účet",GETPIVOTDATA("Součet z Celková hmotnost položek [kg]",$G$2,"Zkratka kalkulační položky",B97,"Výrobce / Dodavatel",C97),"")</f>
        <v/>
      </c>
      <c r="E97" s="904" t="str">
        <f>IF(Tabulka4[[#This Row],[Typ úlohy]]="Účet",GETPIVOTDATA("Součet z Celková cena bez DPH (CZK)",$G$3,"Zkratka kalkulační položky",B97,"Výrobce / Dodavatel",C97),"")</f>
        <v/>
      </c>
      <c r="I97"/>
      <c r="J97"/>
    </row>
    <row r="98" spans="1:10" x14ac:dyDescent="0.35">
      <c r="A98" s="902" t="str">
        <f t="shared" si="2"/>
        <v/>
      </c>
      <c r="B98" s="903" t="str">
        <f>IF(Tabulka4[[#This Row],[Typ úlohy]]="Součet",G98,IF(Tabulka4[[#This Row],[Typ úlohy]]="Účet",B97,""))</f>
        <v/>
      </c>
      <c r="C98" s="903" t="str">
        <f>IF(Tabulka4[[#This Row],[Typ úlohy]]="Účet",H98,"")</f>
        <v/>
      </c>
      <c r="D98" s="903" t="str">
        <f>IF(Tabulka4[[#This Row],[Typ úlohy]]="Účet",GETPIVOTDATA("Součet z Celková hmotnost položek [kg]",$G$2,"Zkratka kalkulační položky",B98,"Výrobce / Dodavatel",C98),"")</f>
        <v/>
      </c>
      <c r="E98" s="904" t="str">
        <f>IF(Tabulka4[[#This Row],[Typ úlohy]]="Účet",GETPIVOTDATA("Součet z Celková cena bez DPH (CZK)",$G$3,"Zkratka kalkulační položky",B98,"Výrobce / Dodavatel",C98),"")</f>
        <v/>
      </c>
      <c r="I98"/>
      <c r="J98"/>
    </row>
    <row r="99" spans="1:10" x14ac:dyDescent="0.35">
      <c r="A99" s="902" t="str">
        <f t="shared" si="2"/>
        <v/>
      </c>
      <c r="B99" s="903" t="str">
        <f>IF(Tabulka4[[#This Row],[Typ úlohy]]="Součet",G99,IF(Tabulka4[[#This Row],[Typ úlohy]]="Účet",B98,""))</f>
        <v/>
      </c>
      <c r="C99" s="903" t="str">
        <f>IF(Tabulka4[[#This Row],[Typ úlohy]]="Účet",H99,"")</f>
        <v/>
      </c>
      <c r="D99" s="903" t="str">
        <f>IF(Tabulka4[[#This Row],[Typ úlohy]]="Účet",GETPIVOTDATA("Součet z Celková hmotnost položek [kg]",$G$2,"Zkratka kalkulační položky",B99,"Výrobce / Dodavatel",C99),"")</f>
        <v/>
      </c>
      <c r="E99" s="904" t="str">
        <f>IF(Tabulka4[[#This Row],[Typ úlohy]]="Účet",GETPIVOTDATA("Součet z Celková cena bez DPH (CZK)",$G$3,"Zkratka kalkulační položky",B99,"Výrobce / Dodavatel",C99),"")</f>
        <v/>
      </c>
      <c r="I99"/>
      <c r="J99"/>
    </row>
    <row r="100" spans="1:10" x14ac:dyDescent="0.35">
      <c r="A100" s="902" t="str">
        <f t="shared" si="2"/>
        <v/>
      </c>
      <c r="B100" s="903" t="str">
        <f>IF(Tabulka4[[#This Row],[Typ úlohy]]="Součet",G100,IF(Tabulka4[[#This Row],[Typ úlohy]]="Účet",B99,""))</f>
        <v/>
      </c>
      <c r="C100" s="903" t="str">
        <f>IF(Tabulka4[[#This Row],[Typ úlohy]]="Účet",H100,"")</f>
        <v/>
      </c>
      <c r="D100" s="903" t="str">
        <f>IF(Tabulka4[[#This Row],[Typ úlohy]]="Účet",GETPIVOTDATA("Součet z Celková hmotnost položek [kg]",$G$2,"Zkratka kalkulační položky",B100,"Výrobce / Dodavatel",C100),"")</f>
        <v/>
      </c>
      <c r="E100" s="904" t="str">
        <f>IF(Tabulka4[[#This Row],[Typ úlohy]]="Účet",GETPIVOTDATA("Součet z Celková cena bez DPH (CZK)",$G$3,"Zkratka kalkulační položky",B100,"Výrobce / Dodavatel",C100),"")</f>
        <v/>
      </c>
      <c r="I100"/>
      <c r="J100"/>
    </row>
    <row r="101" spans="1:10" x14ac:dyDescent="0.35">
      <c r="A101" s="902" t="str">
        <f t="shared" si="2"/>
        <v/>
      </c>
      <c r="B101" s="903" t="str">
        <f>IF(Tabulka4[[#This Row],[Typ úlohy]]="Součet",G101,IF(Tabulka4[[#This Row],[Typ úlohy]]="Účet",B100,""))</f>
        <v/>
      </c>
      <c r="C101" s="903" t="str">
        <f>IF(Tabulka4[[#This Row],[Typ úlohy]]="Účet",H101,"")</f>
        <v/>
      </c>
      <c r="D101" s="903" t="str">
        <f>IF(Tabulka4[[#This Row],[Typ úlohy]]="Účet",GETPIVOTDATA("Součet z Celková hmotnost položek [kg]",$G$2,"Zkratka kalkulační položky",B101,"Výrobce / Dodavatel",C101),"")</f>
        <v/>
      </c>
      <c r="E101" s="904" t="str">
        <f>IF(Tabulka4[[#This Row],[Typ úlohy]]="Účet",GETPIVOTDATA("Součet z Celková cena bez DPH (CZK)",$G$3,"Zkratka kalkulační položky",B101,"Výrobce / Dodavatel",C101),"")</f>
        <v/>
      </c>
      <c r="I101"/>
      <c r="J101"/>
    </row>
    <row r="102" spans="1:10" x14ac:dyDescent="0.35">
      <c r="A102" s="902" t="str">
        <f t="shared" si="2"/>
        <v/>
      </c>
      <c r="B102" s="903" t="str">
        <f>IF(Tabulka4[[#This Row],[Typ úlohy]]="Součet",G102,IF(Tabulka4[[#This Row],[Typ úlohy]]="Účet",B101,""))</f>
        <v/>
      </c>
      <c r="C102" s="903" t="str">
        <f>IF(Tabulka4[[#This Row],[Typ úlohy]]="Účet",H102,"")</f>
        <v/>
      </c>
      <c r="D102" s="903" t="str">
        <f>IF(Tabulka4[[#This Row],[Typ úlohy]]="Účet",GETPIVOTDATA("Součet z Celková hmotnost položek [kg]",$G$2,"Zkratka kalkulační položky",B102,"Výrobce / Dodavatel",C102),"")</f>
        <v/>
      </c>
      <c r="E102" s="904" t="str">
        <f>IF(Tabulka4[[#This Row],[Typ úlohy]]="Účet",GETPIVOTDATA("Součet z Celková cena bez DPH (CZK)",$G$3,"Zkratka kalkulační položky",B102,"Výrobce / Dodavatel",C102),"")</f>
        <v/>
      </c>
      <c r="I102"/>
      <c r="J102"/>
    </row>
    <row r="103" spans="1:10" x14ac:dyDescent="0.35">
      <c r="A103" s="902" t="str">
        <f t="shared" si="2"/>
        <v/>
      </c>
      <c r="B103" s="903" t="str">
        <f>IF(Tabulka4[[#This Row],[Typ úlohy]]="Součet",G103,IF(Tabulka4[[#This Row],[Typ úlohy]]="Účet",B102,""))</f>
        <v/>
      </c>
      <c r="C103" s="903" t="str">
        <f>IF(Tabulka4[[#This Row],[Typ úlohy]]="Účet",H103,"")</f>
        <v/>
      </c>
      <c r="D103" s="903" t="str">
        <f>IF(Tabulka4[[#This Row],[Typ úlohy]]="Účet",GETPIVOTDATA("Součet z Celková hmotnost položek [kg]",$G$2,"Zkratka kalkulační položky",B103,"Výrobce / Dodavatel",C103),"")</f>
        <v/>
      </c>
      <c r="E103" s="904" t="str">
        <f>IF(Tabulka4[[#This Row],[Typ úlohy]]="Účet",GETPIVOTDATA("Součet z Celková cena bez DPH (CZK)",$G$3,"Zkratka kalkulační položky",B103,"Výrobce / Dodavatel",C103),"")</f>
        <v/>
      </c>
      <c r="I103"/>
      <c r="J103"/>
    </row>
    <row r="104" spans="1:10" x14ac:dyDescent="0.35">
      <c r="A104" s="902" t="str">
        <f t="shared" si="2"/>
        <v/>
      </c>
      <c r="B104" s="903" t="str">
        <f>IF(Tabulka4[[#This Row],[Typ úlohy]]="Součet",G104,IF(Tabulka4[[#This Row],[Typ úlohy]]="Účet",B103,""))</f>
        <v/>
      </c>
      <c r="C104" s="903" t="str">
        <f>IF(Tabulka4[[#This Row],[Typ úlohy]]="Účet",H104,"")</f>
        <v/>
      </c>
      <c r="D104" s="903" t="str">
        <f>IF(Tabulka4[[#This Row],[Typ úlohy]]="Účet",GETPIVOTDATA("Součet z Celková hmotnost položek [kg]",$G$2,"Zkratka kalkulační položky",B104,"Výrobce / Dodavatel",C104),"")</f>
        <v/>
      </c>
      <c r="E104" s="904" t="str">
        <f>IF(Tabulka4[[#This Row],[Typ úlohy]]="Účet",GETPIVOTDATA("Součet z Celková cena bez DPH (CZK)",$G$3,"Zkratka kalkulační položky",B104,"Výrobce / Dodavatel",C104),"")</f>
        <v/>
      </c>
      <c r="I104"/>
      <c r="J104"/>
    </row>
    <row r="105" spans="1:10" x14ac:dyDescent="0.35">
      <c r="A105" s="902" t="str">
        <f t="shared" si="2"/>
        <v/>
      </c>
      <c r="B105" s="903" t="str">
        <f>IF(Tabulka4[[#This Row],[Typ úlohy]]="Součet",G105,IF(Tabulka4[[#This Row],[Typ úlohy]]="Účet",B104,""))</f>
        <v/>
      </c>
      <c r="C105" s="903" t="str">
        <f>IF(Tabulka4[[#This Row],[Typ úlohy]]="Účet",H105,"")</f>
        <v/>
      </c>
      <c r="D105" s="903" t="str">
        <f>IF(Tabulka4[[#This Row],[Typ úlohy]]="Účet",GETPIVOTDATA("Součet z Celková hmotnost položek [kg]",$G$2,"Zkratka kalkulační položky",B105,"Výrobce / Dodavatel",C105),"")</f>
        <v/>
      </c>
      <c r="E105" s="904" t="str">
        <f>IF(Tabulka4[[#This Row],[Typ úlohy]]="Účet",GETPIVOTDATA("Součet z Celková cena bez DPH (CZK)",$G$3,"Zkratka kalkulační položky",B105,"Výrobce / Dodavatel",C105),"")</f>
        <v/>
      </c>
      <c r="I105"/>
      <c r="J105"/>
    </row>
    <row r="106" spans="1:10" x14ac:dyDescent="0.35">
      <c r="A106" s="902" t="str">
        <f t="shared" si="2"/>
        <v/>
      </c>
      <c r="B106" s="903" t="str">
        <f>IF(Tabulka4[[#This Row],[Typ úlohy]]="Součet",G106,IF(Tabulka4[[#This Row],[Typ úlohy]]="Účet",B105,""))</f>
        <v/>
      </c>
      <c r="C106" s="903" t="str">
        <f>IF(Tabulka4[[#This Row],[Typ úlohy]]="Účet",H106,"")</f>
        <v/>
      </c>
      <c r="D106" s="903" t="str">
        <f>IF(Tabulka4[[#This Row],[Typ úlohy]]="Účet",GETPIVOTDATA("Součet z Celková hmotnost položek [kg]",$G$2,"Zkratka kalkulační položky",B106,"Výrobce / Dodavatel",C106),"")</f>
        <v/>
      </c>
      <c r="E106" s="904" t="str">
        <f>IF(Tabulka4[[#This Row],[Typ úlohy]]="Účet",GETPIVOTDATA("Součet z Celková cena bez DPH (CZK)",$G$3,"Zkratka kalkulační položky",B106,"Výrobce / Dodavatel",C106),"")</f>
        <v/>
      </c>
      <c r="I106"/>
      <c r="J106"/>
    </row>
    <row r="107" spans="1:10" x14ac:dyDescent="0.35">
      <c r="A107" s="902" t="str">
        <f t="shared" si="2"/>
        <v/>
      </c>
      <c r="B107" s="903" t="str">
        <f>IF(Tabulka4[[#This Row],[Typ úlohy]]="Součet",G107,IF(Tabulka4[[#This Row],[Typ úlohy]]="Účet",B106,""))</f>
        <v/>
      </c>
      <c r="C107" s="903" t="str">
        <f>IF(Tabulka4[[#This Row],[Typ úlohy]]="Účet",H107,"")</f>
        <v/>
      </c>
      <c r="D107" s="903" t="str">
        <f>IF(Tabulka4[[#This Row],[Typ úlohy]]="Účet",GETPIVOTDATA("Součet z Celková hmotnost položek [kg]",$G$2,"Zkratka kalkulační položky",B107,"Výrobce / Dodavatel",C107),"")</f>
        <v/>
      </c>
      <c r="E107" s="904" t="str">
        <f>IF(Tabulka4[[#This Row],[Typ úlohy]]="Účet",GETPIVOTDATA("Součet z Celková cena bez DPH (CZK)",$G$3,"Zkratka kalkulační položky",B107,"Výrobce / Dodavatel",C107),"")</f>
        <v/>
      </c>
      <c r="I107"/>
      <c r="J107"/>
    </row>
    <row r="108" spans="1:10" x14ac:dyDescent="0.35">
      <c r="A108" s="902" t="str">
        <f t="shared" si="2"/>
        <v/>
      </c>
      <c r="B108" s="903" t="str">
        <f>IF(Tabulka4[[#This Row],[Typ úlohy]]="Součet",G108,IF(Tabulka4[[#This Row],[Typ úlohy]]="Účet",B107,""))</f>
        <v/>
      </c>
      <c r="C108" s="903" t="str">
        <f>IF(Tabulka4[[#This Row],[Typ úlohy]]="Účet",H108,"")</f>
        <v/>
      </c>
      <c r="D108" s="903" t="str">
        <f>IF(Tabulka4[[#This Row],[Typ úlohy]]="Účet",GETPIVOTDATA("Součet z Celková hmotnost položek [kg]",$G$2,"Zkratka kalkulační položky",B108,"Výrobce / Dodavatel",C108),"")</f>
        <v/>
      </c>
      <c r="E108" s="904" t="str">
        <f>IF(Tabulka4[[#This Row],[Typ úlohy]]="Účet",GETPIVOTDATA("Součet z Celková cena bez DPH (CZK)",$G$3,"Zkratka kalkulační položky",B108,"Výrobce / Dodavatel",C108),"")</f>
        <v/>
      </c>
      <c r="I108"/>
      <c r="J108"/>
    </row>
    <row r="109" spans="1:10" x14ac:dyDescent="0.35">
      <c r="A109" s="902" t="str">
        <f t="shared" si="2"/>
        <v/>
      </c>
      <c r="B109" s="903" t="str">
        <f>IF(Tabulka4[[#This Row],[Typ úlohy]]="Součet",G109,IF(Tabulka4[[#This Row],[Typ úlohy]]="Účet",B108,""))</f>
        <v/>
      </c>
      <c r="C109" s="903" t="str">
        <f>IF(Tabulka4[[#This Row],[Typ úlohy]]="Účet",H109,"")</f>
        <v/>
      </c>
      <c r="D109" s="903" t="str">
        <f>IF(Tabulka4[[#This Row],[Typ úlohy]]="Účet",GETPIVOTDATA("Součet z Celková hmotnost položek [kg]",$G$2,"Zkratka kalkulační položky",B109,"Výrobce / Dodavatel",C109),"")</f>
        <v/>
      </c>
      <c r="E109" s="904" t="str">
        <f>IF(Tabulka4[[#This Row],[Typ úlohy]]="Účet",GETPIVOTDATA("Součet z Celková cena bez DPH (CZK)",$G$3,"Zkratka kalkulační položky",B109,"Výrobce / Dodavatel",C109),"")</f>
        <v/>
      </c>
      <c r="I109"/>
      <c r="J109"/>
    </row>
    <row r="110" spans="1:10" x14ac:dyDescent="0.35">
      <c r="A110" s="902" t="str">
        <f t="shared" si="2"/>
        <v/>
      </c>
      <c r="B110" s="903" t="str">
        <f>IF(Tabulka4[[#This Row],[Typ úlohy]]="Součet",G110,IF(Tabulka4[[#This Row],[Typ úlohy]]="Účet",B109,""))</f>
        <v/>
      </c>
      <c r="C110" s="903" t="str">
        <f>IF(Tabulka4[[#This Row],[Typ úlohy]]="Účet",H110,"")</f>
        <v/>
      </c>
      <c r="D110" s="903" t="str">
        <f>IF(Tabulka4[[#This Row],[Typ úlohy]]="Účet",GETPIVOTDATA("Součet z Celková hmotnost položek [kg]",$G$2,"Zkratka kalkulační položky",B110,"Výrobce / Dodavatel",C110),"")</f>
        <v/>
      </c>
      <c r="E110" s="904" t="str">
        <f>IF(Tabulka4[[#This Row],[Typ úlohy]]="Účet",GETPIVOTDATA("Součet z Celková cena bez DPH (CZK)",$G$3,"Zkratka kalkulační položky",B110,"Výrobce / Dodavatel",C110),"")</f>
        <v/>
      </c>
      <c r="I110"/>
      <c r="J110"/>
    </row>
    <row r="111" spans="1:10" x14ac:dyDescent="0.35">
      <c r="A111" s="902" t="str">
        <f t="shared" si="2"/>
        <v/>
      </c>
      <c r="B111" s="903" t="str">
        <f>IF(Tabulka4[[#This Row],[Typ úlohy]]="Součet",G111,IF(Tabulka4[[#This Row],[Typ úlohy]]="Účet",B110,""))</f>
        <v/>
      </c>
      <c r="C111" s="903" t="str">
        <f>IF(Tabulka4[[#This Row],[Typ úlohy]]="Účet",H111,"")</f>
        <v/>
      </c>
      <c r="D111" s="903" t="str">
        <f>IF(Tabulka4[[#This Row],[Typ úlohy]]="Účet",GETPIVOTDATA("Součet z Celková hmotnost položek [kg]",$G$2,"Zkratka kalkulační položky",B111,"Výrobce / Dodavatel",C111),"")</f>
        <v/>
      </c>
      <c r="E111" s="904" t="str">
        <f>IF(Tabulka4[[#This Row],[Typ úlohy]]="Účet",GETPIVOTDATA("Součet z Celková cena bez DPH (CZK)",$G$3,"Zkratka kalkulační položky",B111,"Výrobce / Dodavatel",C111),"")</f>
        <v/>
      </c>
      <c r="I111"/>
      <c r="J111"/>
    </row>
    <row r="112" spans="1:10" x14ac:dyDescent="0.35">
      <c r="A112" s="902" t="str">
        <f t="shared" si="2"/>
        <v/>
      </c>
      <c r="B112" s="903" t="str">
        <f>IF(Tabulka4[[#This Row],[Typ úlohy]]="Součet",G112,IF(Tabulka4[[#This Row],[Typ úlohy]]="Účet",B111,""))</f>
        <v/>
      </c>
      <c r="C112" s="903" t="str">
        <f>IF(Tabulka4[[#This Row],[Typ úlohy]]="Účet",H112,"")</f>
        <v/>
      </c>
      <c r="D112" s="903" t="str">
        <f>IF(Tabulka4[[#This Row],[Typ úlohy]]="Účet",GETPIVOTDATA("Součet z Celková hmotnost položek [kg]",$G$2,"Zkratka kalkulační položky",B112,"Výrobce / Dodavatel",C112),"")</f>
        <v/>
      </c>
      <c r="E112" s="904" t="str">
        <f>IF(Tabulka4[[#This Row],[Typ úlohy]]="Účet",GETPIVOTDATA("Součet z Celková cena bez DPH (CZK)",$G$3,"Zkratka kalkulační položky",B112,"Výrobce / Dodavatel",C112),"")</f>
        <v/>
      </c>
      <c r="I112"/>
      <c r="J112"/>
    </row>
    <row r="113" spans="1:10" x14ac:dyDescent="0.35">
      <c r="A113" s="902" t="str">
        <f t="shared" si="2"/>
        <v/>
      </c>
      <c r="B113" s="903" t="str">
        <f>IF(Tabulka4[[#This Row],[Typ úlohy]]="Součet",G113,IF(Tabulka4[[#This Row],[Typ úlohy]]="Účet",B112,""))</f>
        <v/>
      </c>
      <c r="C113" s="903" t="str">
        <f>IF(Tabulka4[[#This Row],[Typ úlohy]]="Účet",H113,"")</f>
        <v/>
      </c>
      <c r="D113" s="903" t="str">
        <f>IF(Tabulka4[[#This Row],[Typ úlohy]]="Účet",GETPIVOTDATA("Součet z Celková hmotnost položek [kg]",$G$2,"Zkratka kalkulační položky",B113,"Výrobce / Dodavatel",C113),"")</f>
        <v/>
      </c>
      <c r="E113" s="904" t="str">
        <f>IF(Tabulka4[[#This Row],[Typ úlohy]]="Účet",GETPIVOTDATA("Součet z Celková cena bez DPH (CZK)",$G$3,"Zkratka kalkulační položky",B113,"Výrobce / Dodavatel",C113),"")</f>
        <v/>
      </c>
      <c r="I113"/>
      <c r="J113"/>
    </row>
    <row r="114" spans="1:10" x14ac:dyDescent="0.35">
      <c r="A114" s="902" t="str">
        <f t="shared" si="2"/>
        <v/>
      </c>
      <c r="B114" s="903" t="str">
        <f>IF(Tabulka4[[#This Row],[Typ úlohy]]="Součet",G114,IF(Tabulka4[[#This Row],[Typ úlohy]]="Účet",B113,""))</f>
        <v/>
      </c>
      <c r="C114" s="903" t="str">
        <f>IF(Tabulka4[[#This Row],[Typ úlohy]]="Účet",H114,"")</f>
        <v/>
      </c>
      <c r="D114" s="903" t="str">
        <f>IF(Tabulka4[[#This Row],[Typ úlohy]]="Účet",GETPIVOTDATA("Součet z Celková hmotnost položek [kg]",$G$2,"Zkratka kalkulační položky",B114,"Výrobce / Dodavatel",C114),"")</f>
        <v/>
      </c>
      <c r="E114" s="904" t="str">
        <f>IF(Tabulka4[[#This Row],[Typ úlohy]]="Účet",GETPIVOTDATA("Součet z Celková cena bez DPH (CZK)",$G$3,"Zkratka kalkulační položky",B114,"Výrobce / Dodavatel",C114),"")</f>
        <v/>
      </c>
      <c r="I114"/>
      <c r="J114"/>
    </row>
    <row r="115" spans="1:10" x14ac:dyDescent="0.35">
      <c r="A115" s="902" t="str">
        <f t="shared" si="2"/>
        <v/>
      </c>
      <c r="B115" s="903" t="str">
        <f>IF(Tabulka4[[#This Row],[Typ úlohy]]="Součet",G115,IF(Tabulka4[[#This Row],[Typ úlohy]]="Účet",B114,""))</f>
        <v/>
      </c>
      <c r="C115" s="903" t="str">
        <f>IF(Tabulka4[[#This Row],[Typ úlohy]]="Účet",H115,"")</f>
        <v/>
      </c>
      <c r="D115" s="903" t="str">
        <f>IF(Tabulka4[[#This Row],[Typ úlohy]]="Účet",GETPIVOTDATA("Součet z Celková hmotnost položek [kg]",$G$2,"Zkratka kalkulační položky",B115,"Výrobce / Dodavatel",C115),"")</f>
        <v/>
      </c>
      <c r="E115" s="904" t="str">
        <f>IF(Tabulka4[[#This Row],[Typ úlohy]]="Účet",GETPIVOTDATA("Součet z Celková cena bez DPH (CZK)",$G$3,"Zkratka kalkulační položky",B115,"Výrobce / Dodavatel",C115),"")</f>
        <v/>
      </c>
      <c r="I115"/>
      <c r="J115"/>
    </row>
    <row r="116" spans="1:10" x14ac:dyDescent="0.35">
      <c r="A116" s="902" t="str">
        <f t="shared" si="2"/>
        <v/>
      </c>
      <c r="B116" s="903" t="str">
        <f>IF(Tabulka4[[#This Row],[Typ úlohy]]="Součet",G116,IF(Tabulka4[[#This Row],[Typ úlohy]]="Účet",B115,""))</f>
        <v/>
      </c>
      <c r="C116" s="903" t="str">
        <f>IF(Tabulka4[[#This Row],[Typ úlohy]]="Účet",H116,"")</f>
        <v/>
      </c>
      <c r="D116" s="903" t="str">
        <f>IF(Tabulka4[[#This Row],[Typ úlohy]]="Účet",GETPIVOTDATA("Součet z Celková hmotnost položek [kg]",$G$2,"Zkratka kalkulační položky",B116,"Výrobce / Dodavatel",C116),"")</f>
        <v/>
      </c>
      <c r="E116" s="904" t="str">
        <f>IF(Tabulka4[[#This Row],[Typ úlohy]]="Účet",GETPIVOTDATA("Součet z Celková cena bez DPH (CZK)",$G$3,"Zkratka kalkulační položky",B116,"Výrobce / Dodavatel",C116),"")</f>
        <v/>
      </c>
      <c r="I116"/>
      <c r="J116"/>
    </row>
    <row r="117" spans="1:10" x14ac:dyDescent="0.35">
      <c r="A117" s="902" t="str">
        <f t="shared" si="2"/>
        <v/>
      </c>
      <c r="B117" s="903" t="str">
        <f>IF(Tabulka4[[#This Row],[Typ úlohy]]="Součet",G117,IF(Tabulka4[[#This Row],[Typ úlohy]]="Účet",B116,""))</f>
        <v/>
      </c>
      <c r="C117" s="903" t="str">
        <f>IF(Tabulka4[[#This Row],[Typ úlohy]]="Účet",H117,"")</f>
        <v/>
      </c>
      <c r="D117" s="903" t="str">
        <f>IF(Tabulka4[[#This Row],[Typ úlohy]]="Účet",GETPIVOTDATA("Součet z Celková hmotnost položek [kg]",$G$2,"Zkratka kalkulační položky",B117,"Výrobce / Dodavatel",C117),"")</f>
        <v/>
      </c>
      <c r="E117" s="904" t="str">
        <f>IF(Tabulka4[[#This Row],[Typ úlohy]]="Účet",GETPIVOTDATA("Součet z Celková cena bez DPH (CZK)",$G$3,"Zkratka kalkulační položky",B117,"Výrobce / Dodavatel",C117),"")</f>
        <v/>
      </c>
      <c r="I117"/>
      <c r="J117"/>
    </row>
    <row r="118" spans="1:10" x14ac:dyDescent="0.35">
      <c r="A118" s="902" t="str">
        <f t="shared" si="2"/>
        <v/>
      </c>
      <c r="B118" s="903" t="str">
        <f>IF(Tabulka4[[#This Row],[Typ úlohy]]="Součet",G118,IF(Tabulka4[[#This Row],[Typ úlohy]]="Účet",B117,""))</f>
        <v/>
      </c>
      <c r="C118" s="903" t="str">
        <f>IF(Tabulka4[[#This Row],[Typ úlohy]]="Účet",H118,"")</f>
        <v/>
      </c>
      <c r="D118" s="903" t="str">
        <f>IF(Tabulka4[[#This Row],[Typ úlohy]]="Účet",GETPIVOTDATA("Součet z Celková hmotnost položek [kg]",$G$2,"Zkratka kalkulační položky",B118,"Výrobce / Dodavatel",C118),"")</f>
        <v/>
      </c>
      <c r="E118" s="904" t="str">
        <f>IF(Tabulka4[[#This Row],[Typ úlohy]]="Účet",GETPIVOTDATA("Součet z Celková cena bez DPH (CZK)",$G$3,"Zkratka kalkulační položky",B118,"Výrobce / Dodavatel",C118),"")</f>
        <v/>
      </c>
      <c r="I118"/>
      <c r="J118"/>
    </row>
    <row r="119" spans="1:10" x14ac:dyDescent="0.35">
      <c r="A119" s="902" t="str">
        <f t="shared" si="2"/>
        <v/>
      </c>
      <c r="B119" s="903" t="str">
        <f>IF(Tabulka4[[#This Row],[Typ úlohy]]="Součet",G119,IF(Tabulka4[[#This Row],[Typ úlohy]]="Účet",B118,""))</f>
        <v/>
      </c>
      <c r="C119" s="903" t="str">
        <f>IF(Tabulka4[[#This Row],[Typ úlohy]]="Účet",H119,"")</f>
        <v/>
      </c>
      <c r="D119" s="903" t="str">
        <f>IF(Tabulka4[[#This Row],[Typ úlohy]]="Účet",GETPIVOTDATA("Součet z Celková hmotnost položek [kg]",$G$2,"Zkratka kalkulační položky",B119,"Výrobce / Dodavatel",C119),"")</f>
        <v/>
      </c>
      <c r="E119" s="904" t="str">
        <f>IF(Tabulka4[[#This Row],[Typ úlohy]]="Účet",GETPIVOTDATA("Součet z Celková cena bez DPH (CZK)",$G$3,"Zkratka kalkulační položky",B119,"Výrobce / Dodavatel",C119),"")</f>
        <v/>
      </c>
      <c r="I119"/>
      <c r="J119"/>
    </row>
    <row r="120" spans="1:10" x14ac:dyDescent="0.35">
      <c r="A120" s="902" t="str">
        <f t="shared" si="2"/>
        <v/>
      </c>
      <c r="B120" s="903" t="str">
        <f>IF(Tabulka4[[#This Row],[Typ úlohy]]="Součet",G120,IF(Tabulka4[[#This Row],[Typ úlohy]]="Účet",B119,""))</f>
        <v/>
      </c>
      <c r="C120" s="903" t="str">
        <f>IF(Tabulka4[[#This Row],[Typ úlohy]]="Účet",H120,"")</f>
        <v/>
      </c>
      <c r="D120" s="903" t="str">
        <f>IF(Tabulka4[[#This Row],[Typ úlohy]]="Účet",GETPIVOTDATA("Součet z Celková hmotnost položek [kg]",$G$2,"Zkratka kalkulační položky",B120,"Výrobce / Dodavatel",C120),"")</f>
        <v/>
      </c>
      <c r="E120" s="904" t="str">
        <f>IF(Tabulka4[[#This Row],[Typ úlohy]]="Účet",GETPIVOTDATA("Součet z Celková cena bez DPH (CZK)",$G$3,"Zkratka kalkulační položky",B120,"Výrobce / Dodavatel",C120),"")</f>
        <v/>
      </c>
      <c r="I120"/>
      <c r="J120"/>
    </row>
    <row r="121" spans="1:10" x14ac:dyDescent="0.35">
      <c r="A121" s="902" t="str">
        <f t="shared" si="2"/>
        <v/>
      </c>
      <c r="B121" s="903" t="str">
        <f>IF(Tabulka4[[#This Row],[Typ úlohy]]="Součet",G121,IF(Tabulka4[[#This Row],[Typ úlohy]]="Účet",B120,""))</f>
        <v/>
      </c>
      <c r="C121" s="903" t="str">
        <f>IF(Tabulka4[[#This Row],[Typ úlohy]]="Účet",H121,"")</f>
        <v/>
      </c>
      <c r="D121" s="903" t="str">
        <f>IF(Tabulka4[[#This Row],[Typ úlohy]]="Účet",GETPIVOTDATA("Součet z Celková hmotnost položek [kg]",$G$2,"Zkratka kalkulační položky",B121,"Výrobce / Dodavatel",C121),"")</f>
        <v/>
      </c>
      <c r="E121" s="904" t="str">
        <f>IF(Tabulka4[[#This Row],[Typ úlohy]]="Účet",GETPIVOTDATA("Součet z Celková cena bez DPH (CZK)",$G$3,"Zkratka kalkulační položky",B121,"Výrobce / Dodavatel",C121),"")</f>
        <v/>
      </c>
      <c r="I121"/>
      <c r="J121"/>
    </row>
    <row r="122" spans="1:10" x14ac:dyDescent="0.35">
      <c r="A122" s="902" t="str">
        <f t="shared" si="2"/>
        <v/>
      </c>
      <c r="B122" s="903" t="str">
        <f>IF(Tabulka4[[#This Row],[Typ úlohy]]="Součet",G122,IF(Tabulka4[[#This Row],[Typ úlohy]]="Účet",B121,""))</f>
        <v/>
      </c>
      <c r="C122" s="903" t="str">
        <f>IF(Tabulka4[[#This Row],[Typ úlohy]]="Účet",H122,"")</f>
        <v/>
      </c>
      <c r="D122" s="903" t="str">
        <f>IF(Tabulka4[[#This Row],[Typ úlohy]]="Účet",GETPIVOTDATA("Součet z Celková hmotnost položek [kg]",$G$2,"Zkratka kalkulační položky",B122,"Výrobce / Dodavatel",C122),"")</f>
        <v/>
      </c>
      <c r="E122" s="904" t="str">
        <f>IF(Tabulka4[[#This Row],[Typ úlohy]]="Účet",GETPIVOTDATA("Součet z Celková cena bez DPH (CZK)",$G$3,"Zkratka kalkulační položky",B122,"Výrobce / Dodavatel",C122),"")</f>
        <v/>
      </c>
      <c r="I122"/>
      <c r="J122"/>
    </row>
    <row r="123" spans="1:10" x14ac:dyDescent="0.35">
      <c r="A123" s="902" t="str">
        <f t="shared" si="2"/>
        <v/>
      </c>
      <c r="B123" s="903" t="str">
        <f>IF(Tabulka4[[#This Row],[Typ úlohy]]="Součet",G123,IF(Tabulka4[[#This Row],[Typ úlohy]]="Účet",B122,""))</f>
        <v/>
      </c>
      <c r="C123" s="903" t="str">
        <f>IF(Tabulka4[[#This Row],[Typ úlohy]]="Účet",H123,"")</f>
        <v/>
      </c>
      <c r="D123" s="903" t="str">
        <f>IF(Tabulka4[[#This Row],[Typ úlohy]]="Účet",GETPIVOTDATA("Součet z Celková hmotnost položek [kg]",$G$2,"Zkratka kalkulační položky",B123,"Výrobce / Dodavatel",C123),"")</f>
        <v/>
      </c>
      <c r="E123" s="904" t="str">
        <f>IF(Tabulka4[[#This Row],[Typ úlohy]]="Účet",GETPIVOTDATA("Součet z Celková cena bez DPH (CZK)",$G$3,"Zkratka kalkulační položky",B123,"Výrobce / Dodavatel",C123),"")</f>
        <v/>
      </c>
      <c r="I123"/>
      <c r="J123"/>
    </row>
    <row r="124" spans="1:10" x14ac:dyDescent="0.35">
      <c r="A124" s="902" t="str">
        <f t="shared" si="2"/>
        <v/>
      </c>
      <c r="B124" s="903" t="str">
        <f>IF(Tabulka4[[#This Row],[Typ úlohy]]="Součet",G124,IF(Tabulka4[[#This Row],[Typ úlohy]]="Účet",B123,""))</f>
        <v/>
      </c>
      <c r="C124" s="903" t="str">
        <f>IF(Tabulka4[[#This Row],[Typ úlohy]]="Účet",H124,"")</f>
        <v/>
      </c>
      <c r="D124" s="903" t="str">
        <f>IF(Tabulka4[[#This Row],[Typ úlohy]]="Účet",GETPIVOTDATA("Součet z Celková hmotnost položek [kg]",$G$2,"Zkratka kalkulační položky",B124,"Výrobce / Dodavatel",C124),"")</f>
        <v/>
      </c>
      <c r="E124" s="904" t="str">
        <f>IF(Tabulka4[[#This Row],[Typ úlohy]]="Účet",GETPIVOTDATA("Součet z Celková cena bez DPH (CZK)",$G$3,"Zkratka kalkulační položky",B124,"Výrobce / Dodavatel",C124),"")</f>
        <v/>
      </c>
      <c r="I124"/>
      <c r="J124"/>
    </row>
    <row r="125" spans="1:10" x14ac:dyDescent="0.35">
      <c r="A125" s="902" t="str">
        <f t="shared" si="2"/>
        <v/>
      </c>
      <c r="B125" s="903" t="str">
        <f>IF(Tabulka4[[#This Row],[Typ úlohy]]="Součet",G125,IF(Tabulka4[[#This Row],[Typ úlohy]]="Účet",B124,""))</f>
        <v/>
      </c>
      <c r="C125" s="903" t="str">
        <f>IF(Tabulka4[[#This Row],[Typ úlohy]]="Účet",H125,"")</f>
        <v/>
      </c>
      <c r="D125" s="903" t="str">
        <f>IF(Tabulka4[[#This Row],[Typ úlohy]]="Účet",GETPIVOTDATA("Součet z Celková hmotnost položek [kg]",$G$2,"Zkratka kalkulační položky",B125,"Výrobce / Dodavatel",C125),"")</f>
        <v/>
      </c>
      <c r="E125" s="904" t="str">
        <f>IF(Tabulka4[[#This Row],[Typ úlohy]]="Účet",GETPIVOTDATA("Součet z Celková cena bez DPH (CZK)",$G$3,"Zkratka kalkulační položky",B125,"Výrobce / Dodavatel",C125),"")</f>
        <v/>
      </c>
      <c r="I125"/>
      <c r="J125"/>
    </row>
    <row r="126" spans="1:10" x14ac:dyDescent="0.35">
      <c r="A126" s="902" t="str">
        <f t="shared" si="2"/>
        <v/>
      </c>
      <c r="B126" s="903" t="str">
        <f>IF(Tabulka4[[#This Row],[Typ úlohy]]="Součet",G126,IF(Tabulka4[[#This Row],[Typ úlohy]]="Účet",B125,""))</f>
        <v/>
      </c>
      <c r="C126" s="903" t="str">
        <f>IF(Tabulka4[[#This Row],[Typ úlohy]]="Účet",H126,"")</f>
        <v/>
      </c>
      <c r="D126" s="903" t="str">
        <f>IF(Tabulka4[[#This Row],[Typ úlohy]]="Účet",GETPIVOTDATA("Součet z Celková hmotnost položek [kg]",$G$2,"Zkratka kalkulační položky",B126,"Výrobce / Dodavatel",C126),"")</f>
        <v/>
      </c>
      <c r="E126" s="904" t="str">
        <f>IF(Tabulka4[[#This Row],[Typ úlohy]]="Účet",GETPIVOTDATA("Součet z Celková cena bez DPH (CZK)",$G$3,"Zkratka kalkulační položky",B126,"Výrobce / Dodavatel",C126),"")</f>
        <v/>
      </c>
      <c r="I126"/>
      <c r="J126"/>
    </row>
    <row r="127" spans="1:10" x14ac:dyDescent="0.35">
      <c r="A127" s="902" t="str">
        <f t="shared" si="2"/>
        <v/>
      </c>
      <c r="B127" s="903" t="str">
        <f>IF(Tabulka4[[#This Row],[Typ úlohy]]="Součet",G127,IF(Tabulka4[[#This Row],[Typ úlohy]]="Účet",B126,""))</f>
        <v/>
      </c>
      <c r="C127" s="903" t="str">
        <f>IF(Tabulka4[[#This Row],[Typ úlohy]]="Účet",H127,"")</f>
        <v/>
      </c>
      <c r="D127" s="903" t="str">
        <f>IF(Tabulka4[[#This Row],[Typ úlohy]]="Účet",GETPIVOTDATA("Součet z Celková hmotnost položek [kg]",$G$2,"Zkratka kalkulační položky",B127,"Výrobce / Dodavatel",C127),"")</f>
        <v/>
      </c>
      <c r="E127" s="904" t="str">
        <f>IF(Tabulka4[[#This Row],[Typ úlohy]]="Účet",GETPIVOTDATA("Součet z Celková cena bez DPH (CZK)",$G$3,"Zkratka kalkulační položky",B127,"Výrobce / Dodavatel",C127),"")</f>
        <v/>
      </c>
      <c r="I127"/>
      <c r="J127"/>
    </row>
    <row r="128" spans="1:10" x14ac:dyDescent="0.35">
      <c r="A128" s="902" t="str">
        <f t="shared" si="2"/>
        <v/>
      </c>
      <c r="B128" s="903" t="str">
        <f>IF(Tabulka4[[#This Row],[Typ úlohy]]="Součet",G128,IF(Tabulka4[[#This Row],[Typ úlohy]]="Účet",B127,""))</f>
        <v/>
      </c>
      <c r="C128" s="903" t="str">
        <f>IF(Tabulka4[[#This Row],[Typ úlohy]]="Účet",H128,"")</f>
        <v/>
      </c>
      <c r="D128" s="903" t="str">
        <f>IF(Tabulka4[[#This Row],[Typ úlohy]]="Účet",GETPIVOTDATA("Součet z Celková hmotnost položek [kg]",$G$2,"Zkratka kalkulační položky",B128,"Výrobce / Dodavatel",C128),"")</f>
        <v/>
      </c>
      <c r="E128" s="904" t="str">
        <f>IF(Tabulka4[[#This Row],[Typ úlohy]]="Účet",GETPIVOTDATA("Součet z Celková cena bez DPH (CZK)",$G$3,"Zkratka kalkulační položky",B128,"Výrobce / Dodavatel",C128),"")</f>
        <v/>
      </c>
      <c r="I128"/>
      <c r="J128"/>
    </row>
    <row r="129" spans="1:10" x14ac:dyDescent="0.35">
      <c r="A129" s="902" t="str">
        <f t="shared" si="2"/>
        <v/>
      </c>
      <c r="B129" s="903" t="str">
        <f>IF(Tabulka4[[#This Row],[Typ úlohy]]="Součet",G129,IF(Tabulka4[[#This Row],[Typ úlohy]]="Účet",B128,""))</f>
        <v/>
      </c>
      <c r="C129" s="903" t="str">
        <f>IF(Tabulka4[[#This Row],[Typ úlohy]]="Účet",H129,"")</f>
        <v/>
      </c>
      <c r="D129" s="903" t="str">
        <f>IF(Tabulka4[[#This Row],[Typ úlohy]]="Účet",GETPIVOTDATA("Součet z Celková hmotnost položek [kg]",$G$2,"Zkratka kalkulační položky",B129,"Výrobce / Dodavatel",C129),"")</f>
        <v/>
      </c>
      <c r="E129" s="904" t="str">
        <f>IF(Tabulka4[[#This Row],[Typ úlohy]]="Účet",GETPIVOTDATA("Součet z Celková cena bez DPH (CZK)",$G$3,"Zkratka kalkulační položky",B129,"Výrobce / Dodavatel",C129),"")</f>
        <v/>
      </c>
      <c r="I129"/>
      <c r="J129"/>
    </row>
    <row r="130" spans="1:10" x14ac:dyDescent="0.35">
      <c r="A130" s="902" t="str">
        <f t="shared" si="2"/>
        <v/>
      </c>
      <c r="B130" s="903" t="str">
        <f>IF(Tabulka4[[#This Row],[Typ úlohy]]="Součet",G130,IF(Tabulka4[[#This Row],[Typ úlohy]]="Účet",B129,""))</f>
        <v/>
      </c>
      <c r="C130" s="903" t="str">
        <f>IF(Tabulka4[[#This Row],[Typ úlohy]]="Účet",H130,"")</f>
        <v/>
      </c>
      <c r="D130" s="903" t="str">
        <f>IF(Tabulka4[[#This Row],[Typ úlohy]]="Účet",GETPIVOTDATA("Součet z Celková hmotnost položek [kg]",$G$2,"Zkratka kalkulační položky",B130,"Výrobce / Dodavatel",C130),"")</f>
        <v/>
      </c>
      <c r="E130" s="904" t="str">
        <f>IF(Tabulka4[[#This Row],[Typ úlohy]]="Účet",GETPIVOTDATA("Součet z Celková cena bez DPH (CZK)",$G$3,"Zkratka kalkulační položky",B130,"Výrobce / Dodavatel",C130),"")</f>
        <v/>
      </c>
      <c r="I130"/>
      <c r="J130"/>
    </row>
    <row r="131" spans="1:10" x14ac:dyDescent="0.35">
      <c r="A131" s="902" t="str">
        <f t="shared" si="2"/>
        <v/>
      </c>
      <c r="B131" s="903" t="str">
        <f>IF(Tabulka4[[#This Row],[Typ úlohy]]="Součet",G131,IF(Tabulka4[[#This Row],[Typ úlohy]]="Účet",B130,""))</f>
        <v/>
      </c>
      <c r="C131" s="903" t="str">
        <f>IF(Tabulka4[[#This Row],[Typ úlohy]]="Účet",H131,"")</f>
        <v/>
      </c>
      <c r="D131" s="903" t="str">
        <f>IF(Tabulka4[[#This Row],[Typ úlohy]]="Účet",GETPIVOTDATA("Součet z Celková hmotnost položek [kg]",$G$2,"Zkratka kalkulační položky",B131,"Výrobce / Dodavatel",C131),"")</f>
        <v/>
      </c>
      <c r="E131" s="904" t="str">
        <f>IF(Tabulka4[[#This Row],[Typ úlohy]]="Účet",GETPIVOTDATA("Součet z Celková cena bez DPH (CZK)",$G$3,"Zkratka kalkulační položky",B131,"Výrobce / Dodavatel",C131),"")</f>
        <v/>
      </c>
      <c r="I131"/>
      <c r="J131"/>
    </row>
    <row r="132" spans="1:10" x14ac:dyDescent="0.35">
      <c r="A132" s="902" t="str">
        <f t="shared" si="2"/>
        <v/>
      </c>
      <c r="B132" s="903" t="str">
        <f>IF(Tabulka4[[#This Row],[Typ úlohy]]="Součet",G132,IF(Tabulka4[[#This Row],[Typ úlohy]]="Účet",B131,""))</f>
        <v/>
      </c>
      <c r="C132" s="903" t="str">
        <f>IF(Tabulka4[[#This Row],[Typ úlohy]]="Účet",H132,"")</f>
        <v/>
      </c>
      <c r="D132" s="903" t="str">
        <f>IF(Tabulka4[[#This Row],[Typ úlohy]]="Účet",GETPIVOTDATA("Součet z Celková hmotnost položek [kg]",$G$2,"Zkratka kalkulační položky",B132,"Výrobce / Dodavatel",C132),"")</f>
        <v/>
      </c>
      <c r="E132" s="904" t="str">
        <f>IF(Tabulka4[[#This Row],[Typ úlohy]]="Účet",GETPIVOTDATA("Součet z Celková cena bez DPH (CZK)",$G$3,"Zkratka kalkulační položky",B132,"Výrobce / Dodavatel",C132),"")</f>
        <v/>
      </c>
      <c r="I132"/>
      <c r="J132"/>
    </row>
    <row r="133" spans="1:10" x14ac:dyDescent="0.35">
      <c r="A133" s="902" t="str">
        <f t="shared" ref="A133:A196" si="3">IF(H133="",IF(G133="","","Součet"),"Účet")</f>
        <v/>
      </c>
      <c r="B133" s="903" t="str">
        <f>IF(Tabulka4[[#This Row],[Typ úlohy]]="Součet",G133,IF(Tabulka4[[#This Row],[Typ úlohy]]="Účet",B132,""))</f>
        <v/>
      </c>
      <c r="C133" s="903" t="str">
        <f>IF(Tabulka4[[#This Row],[Typ úlohy]]="Účet",H133,"")</f>
        <v/>
      </c>
      <c r="D133" s="903" t="str">
        <f>IF(Tabulka4[[#This Row],[Typ úlohy]]="Účet",GETPIVOTDATA("Součet z Celková hmotnost položek [kg]",$G$2,"Zkratka kalkulační položky",B133,"Výrobce / Dodavatel",C133),"")</f>
        <v/>
      </c>
      <c r="E133" s="904" t="str">
        <f>IF(Tabulka4[[#This Row],[Typ úlohy]]="Účet",GETPIVOTDATA("Součet z Celková cena bez DPH (CZK)",$G$3,"Zkratka kalkulační položky",B133,"Výrobce / Dodavatel",C133),"")</f>
        <v/>
      </c>
      <c r="I133"/>
      <c r="J133"/>
    </row>
    <row r="134" spans="1:10" x14ac:dyDescent="0.35">
      <c r="A134" s="902" t="str">
        <f t="shared" si="3"/>
        <v/>
      </c>
      <c r="B134" s="903" t="str">
        <f>IF(Tabulka4[[#This Row],[Typ úlohy]]="Součet",G134,IF(Tabulka4[[#This Row],[Typ úlohy]]="Účet",B133,""))</f>
        <v/>
      </c>
      <c r="C134" s="903" t="str">
        <f>IF(Tabulka4[[#This Row],[Typ úlohy]]="Účet",H134,"")</f>
        <v/>
      </c>
      <c r="D134" s="903" t="str">
        <f>IF(Tabulka4[[#This Row],[Typ úlohy]]="Účet",GETPIVOTDATA("Součet z Celková hmotnost položek [kg]",$G$2,"Zkratka kalkulační položky",B134,"Výrobce / Dodavatel",C134),"")</f>
        <v/>
      </c>
      <c r="E134" s="904" t="str">
        <f>IF(Tabulka4[[#This Row],[Typ úlohy]]="Účet",GETPIVOTDATA("Součet z Celková cena bez DPH (CZK)",$G$3,"Zkratka kalkulační položky",B134,"Výrobce / Dodavatel",C134),"")</f>
        <v/>
      </c>
      <c r="I134"/>
      <c r="J134"/>
    </row>
    <row r="135" spans="1:10" x14ac:dyDescent="0.35">
      <c r="A135" s="902" t="str">
        <f t="shared" si="3"/>
        <v/>
      </c>
      <c r="B135" s="903" t="str">
        <f>IF(Tabulka4[[#This Row],[Typ úlohy]]="Součet",G135,IF(Tabulka4[[#This Row],[Typ úlohy]]="Účet",B134,""))</f>
        <v/>
      </c>
      <c r="C135" s="903" t="str">
        <f>IF(Tabulka4[[#This Row],[Typ úlohy]]="Účet",H135,"")</f>
        <v/>
      </c>
      <c r="D135" s="903" t="str">
        <f>IF(Tabulka4[[#This Row],[Typ úlohy]]="Účet",GETPIVOTDATA("Součet z Celková hmotnost položek [kg]",$G$2,"Zkratka kalkulační položky",B135,"Výrobce / Dodavatel",C135),"")</f>
        <v/>
      </c>
      <c r="E135" s="904" t="str">
        <f>IF(Tabulka4[[#This Row],[Typ úlohy]]="Účet",GETPIVOTDATA("Součet z Celková cena bez DPH (CZK)",$G$3,"Zkratka kalkulační položky",B135,"Výrobce / Dodavatel",C135),"")</f>
        <v/>
      </c>
      <c r="I135"/>
      <c r="J135"/>
    </row>
    <row r="136" spans="1:10" x14ac:dyDescent="0.35">
      <c r="A136" s="902" t="str">
        <f t="shared" si="3"/>
        <v/>
      </c>
      <c r="B136" s="903" t="str">
        <f>IF(Tabulka4[[#This Row],[Typ úlohy]]="Součet",G136,IF(Tabulka4[[#This Row],[Typ úlohy]]="Účet",B135,""))</f>
        <v/>
      </c>
      <c r="C136" s="903" t="str">
        <f>IF(Tabulka4[[#This Row],[Typ úlohy]]="Účet",H136,"")</f>
        <v/>
      </c>
      <c r="D136" s="903" t="str">
        <f>IF(Tabulka4[[#This Row],[Typ úlohy]]="Účet",GETPIVOTDATA("Součet z Celková hmotnost položek [kg]",$G$2,"Zkratka kalkulační položky",B136,"Výrobce / Dodavatel",C136),"")</f>
        <v/>
      </c>
      <c r="E136" s="904" t="str">
        <f>IF(Tabulka4[[#This Row],[Typ úlohy]]="Účet",GETPIVOTDATA("Součet z Celková cena bez DPH (CZK)",$G$3,"Zkratka kalkulační položky",B136,"Výrobce / Dodavatel",C136),"")</f>
        <v/>
      </c>
      <c r="I136"/>
      <c r="J136"/>
    </row>
    <row r="137" spans="1:10" x14ac:dyDescent="0.35">
      <c r="A137" s="902" t="str">
        <f t="shared" si="3"/>
        <v/>
      </c>
      <c r="B137" s="903" t="str">
        <f>IF(Tabulka4[[#This Row],[Typ úlohy]]="Součet",G137,IF(Tabulka4[[#This Row],[Typ úlohy]]="Účet",B136,""))</f>
        <v/>
      </c>
      <c r="C137" s="903" t="str">
        <f>IF(Tabulka4[[#This Row],[Typ úlohy]]="Účet",H137,"")</f>
        <v/>
      </c>
      <c r="D137" s="903" t="str">
        <f>IF(Tabulka4[[#This Row],[Typ úlohy]]="Účet",GETPIVOTDATA("Součet z Celková hmotnost položek [kg]",$G$2,"Zkratka kalkulační položky",B137,"Výrobce / Dodavatel",C137),"")</f>
        <v/>
      </c>
      <c r="E137" s="904" t="str">
        <f>IF(Tabulka4[[#This Row],[Typ úlohy]]="Účet",GETPIVOTDATA("Součet z Celková cena bez DPH (CZK)",$G$3,"Zkratka kalkulační položky",B137,"Výrobce / Dodavatel",C137),"")</f>
        <v/>
      </c>
      <c r="I137"/>
      <c r="J137"/>
    </row>
    <row r="138" spans="1:10" x14ac:dyDescent="0.35">
      <c r="A138" s="902" t="str">
        <f t="shared" si="3"/>
        <v/>
      </c>
      <c r="B138" s="903" t="str">
        <f>IF(Tabulka4[[#This Row],[Typ úlohy]]="Součet",G138,IF(Tabulka4[[#This Row],[Typ úlohy]]="Účet",B137,""))</f>
        <v/>
      </c>
      <c r="C138" s="903" t="str">
        <f>IF(Tabulka4[[#This Row],[Typ úlohy]]="Účet",H138,"")</f>
        <v/>
      </c>
      <c r="D138" s="903" t="str">
        <f>IF(Tabulka4[[#This Row],[Typ úlohy]]="Účet",GETPIVOTDATA("Součet z Celková hmotnost položek [kg]",$G$2,"Zkratka kalkulační položky",B138,"Výrobce / Dodavatel",C138),"")</f>
        <v/>
      </c>
      <c r="E138" s="904" t="str">
        <f>IF(Tabulka4[[#This Row],[Typ úlohy]]="Účet",GETPIVOTDATA("Součet z Celková cena bez DPH (CZK)",$G$3,"Zkratka kalkulační položky",B138,"Výrobce / Dodavatel",C138),"")</f>
        <v/>
      </c>
      <c r="I138"/>
      <c r="J138"/>
    </row>
    <row r="139" spans="1:10" x14ac:dyDescent="0.35">
      <c r="A139" s="902" t="str">
        <f t="shared" si="3"/>
        <v/>
      </c>
      <c r="B139" s="903" t="str">
        <f>IF(Tabulka4[[#This Row],[Typ úlohy]]="Součet",G139,IF(Tabulka4[[#This Row],[Typ úlohy]]="Účet",B138,""))</f>
        <v/>
      </c>
      <c r="C139" s="903" t="str">
        <f>IF(Tabulka4[[#This Row],[Typ úlohy]]="Účet",H139,"")</f>
        <v/>
      </c>
      <c r="D139" s="903" t="str">
        <f>IF(Tabulka4[[#This Row],[Typ úlohy]]="Účet",GETPIVOTDATA("Součet z Celková hmotnost položek [kg]",$G$2,"Zkratka kalkulační položky",B139,"Výrobce / Dodavatel",C139),"")</f>
        <v/>
      </c>
      <c r="E139" s="904" t="str">
        <f>IF(Tabulka4[[#This Row],[Typ úlohy]]="Účet",GETPIVOTDATA("Součet z Celková cena bez DPH (CZK)",$G$3,"Zkratka kalkulační položky",B139,"Výrobce / Dodavatel",C139),"")</f>
        <v/>
      </c>
      <c r="I139"/>
      <c r="J139"/>
    </row>
    <row r="140" spans="1:10" x14ac:dyDescent="0.35">
      <c r="A140" s="902" t="str">
        <f t="shared" si="3"/>
        <v/>
      </c>
      <c r="B140" s="903" t="str">
        <f>IF(Tabulka4[[#This Row],[Typ úlohy]]="Součet",G140,IF(Tabulka4[[#This Row],[Typ úlohy]]="Účet",B139,""))</f>
        <v/>
      </c>
      <c r="C140" s="903" t="str">
        <f>IF(Tabulka4[[#This Row],[Typ úlohy]]="Účet",H140,"")</f>
        <v/>
      </c>
      <c r="D140" s="903" t="str">
        <f>IF(Tabulka4[[#This Row],[Typ úlohy]]="Účet",GETPIVOTDATA("Součet z Celková hmotnost položek [kg]",$G$2,"Zkratka kalkulační položky",B140,"Výrobce / Dodavatel",C140),"")</f>
        <v/>
      </c>
      <c r="E140" s="904" t="str">
        <f>IF(Tabulka4[[#This Row],[Typ úlohy]]="Účet",GETPIVOTDATA("Součet z Celková cena bez DPH (CZK)",$G$3,"Zkratka kalkulační položky",B140,"Výrobce / Dodavatel",C140),"")</f>
        <v/>
      </c>
      <c r="I140"/>
      <c r="J140"/>
    </row>
    <row r="141" spans="1:10" x14ac:dyDescent="0.35">
      <c r="A141" s="902" t="str">
        <f t="shared" si="3"/>
        <v/>
      </c>
      <c r="B141" s="903" t="str">
        <f>IF(Tabulka4[[#This Row],[Typ úlohy]]="Součet",G141,IF(Tabulka4[[#This Row],[Typ úlohy]]="Účet",B140,""))</f>
        <v/>
      </c>
      <c r="C141" s="903" t="str">
        <f>IF(Tabulka4[[#This Row],[Typ úlohy]]="Účet",H141,"")</f>
        <v/>
      </c>
      <c r="D141" s="903" t="str">
        <f>IF(Tabulka4[[#This Row],[Typ úlohy]]="Účet",GETPIVOTDATA("Součet z Celková hmotnost položek [kg]",$G$2,"Zkratka kalkulační položky",B141,"Výrobce / Dodavatel",C141),"")</f>
        <v/>
      </c>
      <c r="E141" s="904" t="str">
        <f>IF(Tabulka4[[#This Row],[Typ úlohy]]="Účet",GETPIVOTDATA("Součet z Celková cena bez DPH (CZK)",$G$3,"Zkratka kalkulační položky",B141,"Výrobce / Dodavatel",C141),"")</f>
        <v/>
      </c>
      <c r="I141"/>
      <c r="J141"/>
    </row>
    <row r="142" spans="1:10" x14ac:dyDescent="0.35">
      <c r="A142" s="902" t="str">
        <f t="shared" si="3"/>
        <v/>
      </c>
      <c r="B142" s="903" t="str">
        <f>IF(Tabulka4[[#This Row],[Typ úlohy]]="Součet",G142,IF(Tabulka4[[#This Row],[Typ úlohy]]="Účet",B141,""))</f>
        <v/>
      </c>
      <c r="C142" s="903" t="str">
        <f>IF(Tabulka4[[#This Row],[Typ úlohy]]="Účet",H142,"")</f>
        <v/>
      </c>
      <c r="D142" s="903" t="str">
        <f>IF(Tabulka4[[#This Row],[Typ úlohy]]="Účet",GETPIVOTDATA("Součet z Celková hmotnost položek [kg]",$G$2,"Zkratka kalkulační položky",B142,"Výrobce / Dodavatel",C142),"")</f>
        <v/>
      </c>
      <c r="E142" s="904" t="str">
        <f>IF(Tabulka4[[#This Row],[Typ úlohy]]="Účet",GETPIVOTDATA("Součet z Celková cena bez DPH (CZK)",$G$3,"Zkratka kalkulační položky",B142,"Výrobce / Dodavatel",C142),"")</f>
        <v/>
      </c>
      <c r="I142"/>
      <c r="J142"/>
    </row>
    <row r="143" spans="1:10" x14ac:dyDescent="0.35">
      <c r="A143" s="902" t="str">
        <f t="shared" si="3"/>
        <v/>
      </c>
      <c r="B143" s="903" t="str">
        <f>IF(Tabulka4[[#This Row],[Typ úlohy]]="Součet",G143,IF(Tabulka4[[#This Row],[Typ úlohy]]="Účet",B142,""))</f>
        <v/>
      </c>
      <c r="C143" s="903" t="str">
        <f>IF(Tabulka4[[#This Row],[Typ úlohy]]="Účet",H143,"")</f>
        <v/>
      </c>
      <c r="D143" s="903" t="str">
        <f>IF(Tabulka4[[#This Row],[Typ úlohy]]="Účet",GETPIVOTDATA("Součet z Celková hmotnost položek [kg]",$G$2,"Zkratka kalkulační položky",B143,"Výrobce / Dodavatel",C143),"")</f>
        <v/>
      </c>
      <c r="E143" s="904" t="str">
        <f>IF(Tabulka4[[#This Row],[Typ úlohy]]="Účet",GETPIVOTDATA("Součet z Celková cena bez DPH (CZK)",$G$3,"Zkratka kalkulační položky",B143,"Výrobce / Dodavatel",C143),"")</f>
        <v/>
      </c>
      <c r="I143"/>
      <c r="J143"/>
    </row>
    <row r="144" spans="1:10" x14ac:dyDescent="0.35">
      <c r="A144" s="902" t="str">
        <f t="shared" si="3"/>
        <v/>
      </c>
      <c r="B144" s="903" t="str">
        <f>IF(Tabulka4[[#This Row],[Typ úlohy]]="Součet",G144,IF(Tabulka4[[#This Row],[Typ úlohy]]="Účet",B143,""))</f>
        <v/>
      </c>
      <c r="C144" s="903" t="str">
        <f>IF(Tabulka4[[#This Row],[Typ úlohy]]="Účet",H144,"")</f>
        <v/>
      </c>
      <c r="D144" s="903" t="str">
        <f>IF(Tabulka4[[#This Row],[Typ úlohy]]="Účet",GETPIVOTDATA("Součet z Celková hmotnost položek [kg]",$G$2,"Zkratka kalkulační položky",B144,"Výrobce / Dodavatel",C144),"")</f>
        <v/>
      </c>
      <c r="E144" s="904" t="str">
        <f>IF(Tabulka4[[#This Row],[Typ úlohy]]="Účet",GETPIVOTDATA("Součet z Celková cena bez DPH (CZK)",$G$3,"Zkratka kalkulační položky",B144,"Výrobce / Dodavatel",C144),"")</f>
        <v/>
      </c>
      <c r="I144"/>
      <c r="J144"/>
    </row>
    <row r="145" spans="1:10" x14ac:dyDescent="0.35">
      <c r="A145" s="902" t="str">
        <f t="shared" si="3"/>
        <v/>
      </c>
      <c r="B145" s="903" t="str">
        <f>IF(Tabulka4[[#This Row],[Typ úlohy]]="Součet",G145,IF(Tabulka4[[#This Row],[Typ úlohy]]="Účet",B144,""))</f>
        <v/>
      </c>
      <c r="C145" s="903" t="str">
        <f>IF(Tabulka4[[#This Row],[Typ úlohy]]="Účet",H145,"")</f>
        <v/>
      </c>
      <c r="D145" s="903" t="str">
        <f>IF(Tabulka4[[#This Row],[Typ úlohy]]="Účet",GETPIVOTDATA("Součet z Celková hmotnost položek [kg]",$G$2,"Zkratka kalkulační položky",B145,"Výrobce / Dodavatel",C145),"")</f>
        <v/>
      </c>
      <c r="E145" s="904" t="str">
        <f>IF(Tabulka4[[#This Row],[Typ úlohy]]="Účet",GETPIVOTDATA("Součet z Celková cena bez DPH (CZK)",$G$3,"Zkratka kalkulační položky",B145,"Výrobce / Dodavatel",C145),"")</f>
        <v/>
      </c>
      <c r="I145"/>
      <c r="J145"/>
    </row>
    <row r="146" spans="1:10" x14ac:dyDescent="0.35">
      <c r="A146" s="902" t="str">
        <f t="shared" si="3"/>
        <v/>
      </c>
      <c r="B146" s="903" t="str">
        <f>IF(Tabulka4[[#This Row],[Typ úlohy]]="Součet",G146,IF(Tabulka4[[#This Row],[Typ úlohy]]="Účet",B145,""))</f>
        <v/>
      </c>
      <c r="C146" s="903" t="str">
        <f>IF(Tabulka4[[#This Row],[Typ úlohy]]="Účet",H146,"")</f>
        <v/>
      </c>
      <c r="D146" s="903" t="str">
        <f>IF(Tabulka4[[#This Row],[Typ úlohy]]="Účet",GETPIVOTDATA("Součet z Celková hmotnost položek [kg]",$G$2,"Zkratka kalkulační položky",B146,"Výrobce / Dodavatel",C146),"")</f>
        <v/>
      </c>
      <c r="E146" s="904" t="str">
        <f>IF(Tabulka4[[#This Row],[Typ úlohy]]="Účet",GETPIVOTDATA("Součet z Celková cena bez DPH (CZK)",$G$3,"Zkratka kalkulační položky",B146,"Výrobce / Dodavatel",C146),"")</f>
        <v/>
      </c>
      <c r="I146"/>
      <c r="J146"/>
    </row>
    <row r="147" spans="1:10" x14ac:dyDescent="0.35">
      <c r="A147" s="902" t="str">
        <f t="shared" si="3"/>
        <v/>
      </c>
      <c r="B147" s="903" t="str">
        <f>IF(Tabulka4[[#This Row],[Typ úlohy]]="Součet",G147,IF(Tabulka4[[#This Row],[Typ úlohy]]="Účet",B146,""))</f>
        <v/>
      </c>
      <c r="C147" s="903" t="str">
        <f>IF(Tabulka4[[#This Row],[Typ úlohy]]="Účet",H147,"")</f>
        <v/>
      </c>
      <c r="D147" s="903" t="str">
        <f>IF(Tabulka4[[#This Row],[Typ úlohy]]="Účet",GETPIVOTDATA("Součet z Celková hmotnost položek [kg]",$G$2,"Zkratka kalkulační položky",B147,"Výrobce / Dodavatel",C147),"")</f>
        <v/>
      </c>
      <c r="E147" s="904" t="str">
        <f>IF(Tabulka4[[#This Row],[Typ úlohy]]="Účet",GETPIVOTDATA("Součet z Celková cena bez DPH (CZK)",$G$3,"Zkratka kalkulační položky",B147,"Výrobce / Dodavatel",C147),"")</f>
        <v/>
      </c>
      <c r="I147"/>
      <c r="J147"/>
    </row>
    <row r="148" spans="1:10" x14ac:dyDescent="0.35">
      <c r="A148" s="902" t="str">
        <f t="shared" si="3"/>
        <v/>
      </c>
      <c r="B148" s="903" t="str">
        <f>IF(Tabulka4[[#This Row],[Typ úlohy]]="Součet",G148,IF(Tabulka4[[#This Row],[Typ úlohy]]="Účet",B147,""))</f>
        <v/>
      </c>
      <c r="C148" s="903" t="str">
        <f>IF(Tabulka4[[#This Row],[Typ úlohy]]="Účet",H148,"")</f>
        <v/>
      </c>
      <c r="D148" s="903" t="str">
        <f>IF(Tabulka4[[#This Row],[Typ úlohy]]="Účet",GETPIVOTDATA("Součet z Celková hmotnost položek [kg]",$G$2,"Zkratka kalkulační položky",B148,"Výrobce / Dodavatel",C148),"")</f>
        <v/>
      </c>
      <c r="E148" s="904" t="str">
        <f>IF(Tabulka4[[#This Row],[Typ úlohy]]="Účet",GETPIVOTDATA("Součet z Celková cena bez DPH (CZK)",$G$3,"Zkratka kalkulační položky",B148,"Výrobce / Dodavatel",C148),"")</f>
        <v/>
      </c>
      <c r="I148"/>
      <c r="J148"/>
    </row>
    <row r="149" spans="1:10" x14ac:dyDescent="0.35">
      <c r="A149" s="902" t="str">
        <f t="shared" si="3"/>
        <v/>
      </c>
      <c r="B149" s="903" t="str">
        <f>IF(Tabulka4[[#This Row],[Typ úlohy]]="Součet",G149,IF(Tabulka4[[#This Row],[Typ úlohy]]="Účet",B148,""))</f>
        <v/>
      </c>
      <c r="C149" s="903" t="str">
        <f>IF(Tabulka4[[#This Row],[Typ úlohy]]="Účet",H149,"")</f>
        <v/>
      </c>
      <c r="D149" s="903" t="str">
        <f>IF(Tabulka4[[#This Row],[Typ úlohy]]="Účet",GETPIVOTDATA("Součet z Celková hmotnost položek [kg]",$G$2,"Zkratka kalkulační položky",B149,"Výrobce / Dodavatel",C149),"")</f>
        <v/>
      </c>
      <c r="E149" s="904" t="str">
        <f>IF(Tabulka4[[#This Row],[Typ úlohy]]="Účet",GETPIVOTDATA("Součet z Celková cena bez DPH (CZK)",$G$3,"Zkratka kalkulační položky",B149,"Výrobce / Dodavatel",C149),"")</f>
        <v/>
      </c>
      <c r="I149"/>
      <c r="J149"/>
    </row>
    <row r="150" spans="1:10" x14ac:dyDescent="0.35">
      <c r="A150" s="902" t="str">
        <f t="shared" si="3"/>
        <v/>
      </c>
      <c r="B150" s="903" t="str">
        <f>IF(Tabulka4[[#This Row],[Typ úlohy]]="Součet",G150,IF(Tabulka4[[#This Row],[Typ úlohy]]="Účet",B149,""))</f>
        <v/>
      </c>
      <c r="C150" s="903" t="str">
        <f>IF(Tabulka4[[#This Row],[Typ úlohy]]="Účet",H150,"")</f>
        <v/>
      </c>
      <c r="D150" s="903" t="str">
        <f>IF(Tabulka4[[#This Row],[Typ úlohy]]="Účet",GETPIVOTDATA("Součet z Celková hmotnost položek [kg]",$G$2,"Zkratka kalkulační položky",B150,"Výrobce / Dodavatel",C150),"")</f>
        <v/>
      </c>
      <c r="E150" s="904" t="str">
        <f>IF(Tabulka4[[#This Row],[Typ úlohy]]="Účet",GETPIVOTDATA("Součet z Celková cena bez DPH (CZK)",$G$3,"Zkratka kalkulační položky",B150,"Výrobce / Dodavatel",C150),"")</f>
        <v/>
      </c>
      <c r="I150"/>
      <c r="J150"/>
    </row>
    <row r="151" spans="1:10" x14ac:dyDescent="0.35">
      <c r="A151" s="902" t="str">
        <f t="shared" si="3"/>
        <v/>
      </c>
      <c r="B151" s="903" t="str">
        <f>IF(Tabulka4[[#This Row],[Typ úlohy]]="Součet",G151,IF(Tabulka4[[#This Row],[Typ úlohy]]="Účet",B150,""))</f>
        <v/>
      </c>
      <c r="C151" s="903" t="str">
        <f>IF(Tabulka4[[#This Row],[Typ úlohy]]="Účet",H151,"")</f>
        <v/>
      </c>
      <c r="D151" s="903" t="str">
        <f>IF(Tabulka4[[#This Row],[Typ úlohy]]="Účet",GETPIVOTDATA("Součet z Celková hmotnost položek [kg]",$G$2,"Zkratka kalkulační položky",B151,"Výrobce / Dodavatel",C151),"")</f>
        <v/>
      </c>
      <c r="E151" s="904" t="str">
        <f>IF(Tabulka4[[#This Row],[Typ úlohy]]="Účet",GETPIVOTDATA("Součet z Celková cena bez DPH (CZK)",$G$3,"Zkratka kalkulační položky",B151,"Výrobce / Dodavatel",C151),"")</f>
        <v/>
      </c>
      <c r="I151"/>
      <c r="J151"/>
    </row>
    <row r="152" spans="1:10" x14ac:dyDescent="0.35">
      <c r="A152" s="902" t="str">
        <f t="shared" si="3"/>
        <v/>
      </c>
      <c r="B152" s="903" t="str">
        <f>IF(Tabulka4[[#This Row],[Typ úlohy]]="Součet",G152,IF(Tabulka4[[#This Row],[Typ úlohy]]="Účet",B151,""))</f>
        <v/>
      </c>
      <c r="C152" s="903" t="str">
        <f>IF(Tabulka4[[#This Row],[Typ úlohy]]="Účet",H152,"")</f>
        <v/>
      </c>
      <c r="D152" s="903" t="str">
        <f>IF(Tabulka4[[#This Row],[Typ úlohy]]="Účet",GETPIVOTDATA("Součet z Celková hmotnost položek [kg]",$G$2,"Zkratka kalkulační položky",B152,"Výrobce / Dodavatel",C152),"")</f>
        <v/>
      </c>
      <c r="E152" s="904" t="str">
        <f>IF(Tabulka4[[#This Row],[Typ úlohy]]="Účet",GETPIVOTDATA("Součet z Celková cena bez DPH (CZK)",$G$3,"Zkratka kalkulační položky",B152,"Výrobce / Dodavatel",C152),"")</f>
        <v/>
      </c>
      <c r="I152"/>
      <c r="J152"/>
    </row>
    <row r="153" spans="1:10" x14ac:dyDescent="0.35">
      <c r="A153" s="902" t="str">
        <f t="shared" si="3"/>
        <v/>
      </c>
      <c r="B153" s="903" t="str">
        <f>IF(Tabulka4[[#This Row],[Typ úlohy]]="Součet",G153,IF(Tabulka4[[#This Row],[Typ úlohy]]="Účet",B152,""))</f>
        <v/>
      </c>
      <c r="C153" s="903" t="str">
        <f>IF(Tabulka4[[#This Row],[Typ úlohy]]="Účet",H153,"")</f>
        <v/>
      </c>
      <c r="D153" s="903" t="str">
        <f>IF(Tabulka4[[#This Row],[Typ úlohy]]="Účet",GETPIVOTDATA("Součet z Celková hmotnost položek [kg]",$G$2,"Zkratka kalkulační položky",B153,"Výrobce / Dodavatel",C153),"")</f>
        <v/>
      </c>
      <c r="E153" s="904" t="str">
        <f>IF(Tabulka4[[#This Row],[Typ úlohy]]="Účet",GETPIVOTDATA("Součet z Celková cena bez DPH (CZK)",$G$3,"Zkratka kalkulační položky",B153,"Výrobce / Dodavatel",C153),"")</f>
        <v/>
      </c>
      <c r="I153"/>
      <c r="J153"/>
    </row>
    <row r="154" spans="1:10" x14ac:dyDescent="0.35">
      <c r="A154" s="902" t="str">
        <f t="shared" si="3"/>
        <v/>
      </c>
      <c r="B154" s="903" t="str">
        <f>IF(Tabulka4[[#This Row],[Typ úlohy]]="Součet",G154,IF(Tabulka4[[#This Row],[Typ úlohy]]="Účet",B153,""))</f>
        <v/>
      </c>
      <c r="C154" s="903" t="str">
        <f>IF(Tabulka4[[#This Row],[Typ úlohy]]="Účet",H154,"")</f>
        <v/>
      </c>
      <c r="D154" s="903" t="str">
        <f>IF(Tabulka4[[#This Row],[Typ úlohy]]="Účet",GETPIVOTDATA("Součet z Celková hmotnost položek [kg]",$G$2,"Zkratka kalkulační položky",B154,"Výrobce / Dodavatel",C154),"")</f>
        <v/>
      </c>
      <c r="E154" s="904" t="str">
        <f>IF(Tabulka4[[#This Row],[Typ úlohy]]="Účet",GETPIVOTDATA("Součet z Celková cena bez DPH (CZK)",$G$3,"Zkratka kalkulační položky",B154,"Výrobce / Dodavatel",C154),"")</f>
        <v/>
      </c>
      <c r="I154"/>
      <c r="J154"/>
    </row>
    <row r="155" spans="1:10" x14ac:dyDescent="0.35">
      <c r="A155" s="902" t="str">
        <f t="shared" si="3"/>
        <v/>
      </c>
      <c r="B155" s="903" t="str">
        <f>IF(Tabulka4[[#This Row],[Typ úlohy]]="Součet",G155,IF(Tabulka4[[#This Row],[Typ úlohy]]="Účet",B154,""))</f>
        <v/>
      </c>
      <c r="C155" s="903" t="str">
        <f>IF(Tabulka4[[#This Row],[Typ úlohy]]="Účet",H155,"")</f>
        <v/>
      </c>
      <c r="D155" s="903" t="str">
        <f>IF(Tabulka4[[#This Row],[Typ úlohy]]="Účet",GETPIVOTDATA("Součet z Celková hmotnost položek [kg]",$G$2,"Zkratka kalkulační položky",B155,"Výrobce / Dodavatel",C155),"")</f>
        <v/>
      </c>
      <c r="E155" s="904" t="str">
        <f>IF(Tabulka4[[#This Row],[Typ úlohy]]="Účet",GETPIVOTDATA("Součet z Celková cena bez DPH (CZK)",$G$3,"Zkratka kalkulační položky",B155,"Výrobce / Dodavatel",C155),"")</f>
        <v/>
      </c>
      <c r="I155"/>
      <c r="J155"/>
    </row>
    <row r="156" spans="1:10" x14ac:dyDescent="0.35">
      <c r="A156" s="902" t="str">
        <f t="shared" si="3"/>
        <v/>
      </c>
      <c r="B156" s="903" t="str">
        <f>IF(Tabulka4[[#This Row],[Typ úlohy]]="Součet",G156,IF(Tabulka4[[#This Row],[Typ úlohy]]="Účet",B155,""))</f>
        <v/>
      </c>
      <c r="C156" s="903" t="str">
        <f>IF(Tabulka4[[#This Row],[Typ úlohy]]="Účet",H156,"")</f>
        <v/>
      </c>
      <c r="D156" s="903" t="str">
        <f>IF(Tabulka4[[#This Row],[Typ úlohy]]="Účet",GETPIVOTDATA("Součet z Celková hmotnost položek [kg]",$G$2,"Zkratka kalkulační položky",B156,"Výrobce / Dodavatel",C156),"")</f>
        <v/>
      </c>
      <c r="E156" s="904" t="str">
        <f>IF(Tabulka4[[#This Row],[Typ úlohy]]="Účet",GETPIVOTDATA("Součet z Celková cena bez DPH (CZK)",$G$3,"Zkratka kalkulační položky",B156,"Výrobce / Dodavatel",C156),"")</f>
        <v/>
      </c>
      <c r="I156"/>
      <c r="J156"/>
    </row>
    <row r="157" spans="1:10" x14ac:dyDescent="0.35">
      <c r="A157" s="902" t="str">
        <f t="shared" si="3"/>
        <v/>
      </c>
      <c r="B157" s="903" t="str">
        <f>IF(Tabulka4[[#This Row],[Typ úlohy]]="Součet",G157,IF(Tabulka4[[#This Row],[Typ úlohy]]="Účet",B156,""))</f>
        <v/>
      </c>
      <c r="C157" s="903" t="str">
        <f>IF(Tabulka4[[#This Row],[Typ úlohy]]="Účet",H157,"")</f>
        <v/>
      </c>
      <c r="D157" s="903" t="str">
        <f>IF(Tabulka4[[#This Row],[Typ úlohy]]="Účet",GETPIVOTDATA("Součet z Celková hmotnost položek [kg]",$G$2,"Zkratka kalkulační položky",B157,"Výrobce / Dodavatel",C157),"")</f>
        <v/>
      </c>
      <c r="E157" s="904" t="str">
        <f>IF(Tabulka4[[#This Row],[Typ úlohy]]="Účet",GETPIVOTDATA("Součet z Celková cena bez DPH (CZK)",$G$3,"Zkratka kalkulační položky",B157,"Výrobce / Dodavatel",C157),"")</f>
        <v/>
      </c>
      <c r="I157"/>
      <c r="J157"/>
    </row>
    <row r="158" spans="1:10" x14ac:dyDescent="0.35">
      <c r="A158" s="902" t="str">
        <f t="shared" si="3"/>
        <v/>
      </c>
      <c r="B158" s="903" t="str">
        <f>IF(Tabulka4[[#This Row],[Typ úlohy]]="Součet",G158,IF(Tabulka4[[#This Row],[Typ úlohy]]="Účet",B157,""))</f>
        <v/>
      </c>
      <c r="C158" s="903" t="str">
        <f>IF(Tabulka4[[#This Row],[Typ úlohy]]="Účet",H158,"")</f>
        <v/>
      </c>
      <c r="D158" s="903" t="str">
        <f>IF(Tabulka4[[#This Row],[Typ úlohy]]="Účet",GETPIVOTDATA("Součet z Celková hmotnost položek [kg]",$G$2,"Zkratka kalkulační položky",B158,"Výrobce / Dodavatel",C158),"")</f>
        <v/>
      </c>
      <c r="E158" s="904" t="str">
        <f>IF(Tabulka4[[#This Row],[Typ úlohy]]="Účet",GETPIVOTDATA("Součet z Celková cena bez DPH (CZK)",$G$3,"Zkratka kalkulační položky",B158,"Výrobce / Dodavatel",C158),"")</f>
        <v/>
      </c>
      <c r="I158"/>
      <c r="J158"/>
    </row>
    <row r="159" spans="1:10" x14ac:dyDescent="0.35">
      <c r="A159" s="902" t="str">
        <f t="shared" si="3"/>
        <v/>
      </c>
      <c r="B159" s="903" t="str">
        <f>IF(Tabulka4[[#This Row],[Typ úlohy]]="Součet",G159,IF(Tabulka4[[#This Row],[Typ úlohy]]="Účet",B158,""))</f>
        <v/>
      </c>
      <c r="C159" s="903" t="str">
        <f>IF(Tabulka4[[#This Row],[Typ úlohy]]="Účet",H159,"")</f>
        <v/>
      </c>
      <c r="D159" s="903" t="str">
        <f>IF(Tabulka4[[#This Row],[Typ úlohy]]="Účet",GETPIVOTDATA("Součet z Celková hmotnost položek [kg]",$G$2,"Zkratka kalkulační položky",B159,"Výrobce / Dodavatel",C159),"")</f>
        <v/>
      </c>
      <c r="E159" s="904" t="str">
        <f>IF(Tabulka4[[#This Row],[Typ úlohy]]="Účet",GETPIVOTDATA("Součet z Celková cena bez DPH (CZK)",$G$3,"Zkratka kalkulační položky",B159,"Výrobce / Dodavatel",C159),"")</f>
        <v/>
      </c>
      <c r="I159"/>
      <c r="J159"/>
    </row>
    <row r="160" spans="1:10" x14ac:dyDescent="0.35">
      <c r="A160" s="902" t="str">
        <f t="shared" si="3"/>
        <v/>
      </c>
      <c r="B160" s="903" t="str">
        <f>IF(Tabulka4[[#This Row],[Typ úlohy]]="Součet",G160,IF(Tabulka4[[#This Row],[Typ úlohy]]="Účet",B159,""))</f>
        <v/>
      </c>
      <c r="C160" s="903" t="str">
        <f>IF(Tabulka4[[#This Row],[Typ úlohy]]="Účet",H160,"")</f>
        <v/>
      </c>
      <c r="D160" s="903" t="str">
        <f>IF(Tabulka4[[#This Row],[Typ úlohy]]="Účet",GETPIVOTDATA("Součet z Celková hmotnost položek [kg]",$G$2,"Zkratka kalkulační položky",B160,"Výrobce / Dodavatel",C160),"")</f>
        <v/>
      </c>
      <c r="E160" s="904" t="str">
        <f>IF(Tabulka4[[#This Row],[Typ úlohy]]="Účet",GETPIVOTDATA("Součet z Celková cena bez DPH (CZK)",$G$3,"Zkratka kalkulační položky",B160,"Výrobce / Dodavatel",C160),"")</f>
        <v/>
      </c>
      <c r="I160"/>
      <c r="J160"/>
    </row>
    <row r="161" spans="1:10" x14ac:dyDescent="0.35">
      <c r="A161" s="902" t="str">
        <f t="shared" si="3"/>
        <v/>
      </c>
      <c r="B161" s="903" t="str">
        <f>IF(Tabulka4[[#This Row],[Typ úlohy]]="Součet",G161,IF(Tabulka4[[#This Row],[Typ úlohy]]="Účet",B160,""))</f>
        <v/>
      </c>
      <c r="C161" s="903" t="str">
        <f>IF(Tabulka4[[#This Row],[Typ úlohy]]="Účet",H161,"")</f>
        <v/>
      </c>
      <c r="D161" s="903" t="str">
        <f>IF(Tabulka4[[#This Row],[Typ úlohy]]="Účet",GETPIVOTDATA("Součet z Celková hmotnost položek [kg]",$G$2,"Zkratka kalkulační položky",B161,"Výrobce / Dodavatel",C161),"")</f>
        <v/>
      </c>
      <c r="E161" s="904" t="str">
        <f>IF(Tabulka4[[#This Row],[Typ úlohy]]="Účet",GETPIVOTDATA("Součet z Celková cena bez DPH (CZK)",$G$3,"Zkratka kalkulační položky",B161,"Výrobce / Dodavatel",C161),"")</f>
        <v/>
      </c>
      <c r="I161"/>
      <c r="J161"/>
    </row>
    <row r="162" spans="1:10" x14ac:dyDescent="0.35">
      <c r="A162" s="902" t="str">
        <f t="shared" si="3"/>
        <v/>
      </c>
      <c r="B162" s="903" t="str">
        <f>IF(Tabulka4[[#This Row],[Typ úlohy]]="Součet",G162,IF(Tabulka4[[#This Row],[Typ úlohy]]="Účet",B161,""))</f>
        <v/>
      </c>
      <c r="C162" s="903" t="str">
        <f>IF(Tabulka4[[#This Row],[Typ úlohy]]="Účet",H162,"")</f>
        <v/>
      </c>
      <c r="D162" s="903" t="str">
        <f>IF(Tabulka4[[#This Row],[Typ úlohy]]="Účet",GETPIVOTDATA("Součet z Celková hmotnost položek [kg]",$G$2,"Zkratka kalkulační položky",B162,"Výrobce / Dodavatel",C162),"")</f>
        <v/>
      </c>
      <c r="E162" s="904" t="str">
        <f>IF(Tabulka4[[#This Row],[Typ úlohy]]="Účet",GETPIVOTDATA("Součet z Celková cena bez DPH (CZK)",$G$3,"Zkratka kalkulační položky",B162,"Výrobce / Dodavatel",C162),"")</f>
        <v/>
      </c>
      <c r="I162"/>
      <c r="J162"/>
    </row>
    <row r="163" spans="1:10" x14ac:dyDescent="0.35">
      <c r="A163" s="902" t="str">
        <f t="shared" si="3"/>
        <v/>
      </c>
      <c r="B163" s="903" t="str">
        <f>IF(Tabulka4[[#This Row],[Typ úlohy]]="Součet",G163,IF(Tabulka4[[#This Row],[Typ úlohy]]="Účet",B162,""))</f>
        <v/>
      </c>
      <c r="C163" s="903" t="str">
        <f>IF(Tabulka4[[#This Row],[Typ úlohy]]="Účet",H163,"")</f>
        <v/>
      </c>
      <c r="D163" s="903" t="str">
        <f>IF(Tabulka4[[#This Row],[Typ úlohy]]="Účet",GETPIVOTDATA("Součet z Celková hmotnost položek [kg]",$G$2,"Zkratka kalkulační položky",B163,"Výrobce / Dodavatel",C163),"")</f>
        <v/>
      </c>
      <c r="E163" s="904" t="str">
        <f>IF(Tabulka4[[#This Row],[Typ úlohy]]="Účet",GETPIVOTDATA("Součet z Celková cena bez DPH (CZK)",$G$3,"Zkratka kalkulační položky",B163,"Výrobce / Dodavatel",C163),"")</f>
        <v/>
      </c>
      <c r="I163"/>
      <c r="J163"/>
    </row>
    <row r="164" spans="1:10" x14ac:dyDescent="0.35">
      <c r="A164" s="902" t="str">
        <f t="shared" si="3"/>
        <v/>
      </c>
      <c r="B164" s="903" t="str">
        <f>IF(Tabulka4[[#This Row],[Typ úlohy]]="Součet",G164,IF(Tabulka4[[#This Row],[Typ úlohy]]="Účet",B163,""))</f>
        <v/>
      </c>
      <c r="C164" s="903" t="str">
        <f>IF(Tabulka4[[#This Row],[Typ úlohy]]="Účet",H164,"")</f>
        <v/>
      </c>
      <c r="D164" s="903" t="str">
        <f>IF(Tabulka4[[#This Row],[Typ úlohy]]="Účet",GETPIVOTDATA("Součet z Celková hmotnost položek [kg]",$G$2,"Zkratka kalkulační položky",B164,"Výrobce / Dodavatel",C164),"")</f>
        <v/>
      </c>
      <c r="E164" s="904" t="str">
        <f>IF(Tabulka4[[#This Row],[Typ úlohy]]="Účet",GETPIVOTDATA("Součet z Celková cena bez DPH (CZK)",$G$3,"Zkratka kalkulační položky",B164,"Výrobce / Dodavatel",C164),"")</f>
        <v/>
      </c>
      <c r="I164"/>
      <c r="J164"/>
    </row>
    <row r="165" spans="1:10" x14ac:dyDescent="0.35">
      <c r="A165" s="902" t="str">
        <f t="shared" si="3"/>
        <v/>
      </c>
      <c r="B165" s="903" t="str">
        <f>IF(Tabulka4[[#This Row],[Typ úlohy]]="Součet",G165,IF(Tabulka4[[#This Row],[Typ úlohy]]="Účet",B164,""))</f>
        <v/>
      </c>
      <c r="C165" s="903" t="str">
        <f>IF(Tabulka4[[#This Row],[Typ úlohy]]="Účet",H165,"")</f>
        <v/>
      </c>
      <c r="D165" s="903" t="str">
        <f>IF(Tabulka4[[#This Row],[Typ úlohy]]="Účet",GETPIVOTDATA("Součet z Celková hmotnost položek [kg]",$G$2,"Zkratka kalkulační položky",B165,"Výrobce / Dodavatel",C165),"")</f>
        <v/>
      </c>
      <c r="E165" s="904" t="str">
        <f>IF(Tabulka4[[#This Row],[Typ úlohy]]="Účet",GETPIVOTDATA("Součet z Celková cena bez DPH (CZK)",$G$3,"Zkratka kalkulační položky",B165,"Výrobce / Dodavatel",C165),"")</f>
        <v/>
      </c>
      <c r="I165"/>
      <c r="J165"/>
    </row>
    <row r="166" spans="1:10" x14ac:dyDescent="0.35">
      <c r="A166" s="902" t="str">
        <f t="shared" si="3"/>
        <v/>
      </c>
      <c r="B166" s="903" t="str">
        <f>IF(Tabulka4[[#This Row],[Typ úlohy]]="Součet",G166,IF(Tabulka4[[#This Row],[Typ úlohy]]="Účet",B165,""))</f>
        <v/>
      </c>
      <c r="C166" s="903" t="str">
        <f>IF(Tabulka4[[#This Row],[Typ úlohy]]="Účet",H166,"")</f>
        <v/>
      </c>
      <c r="D166" s="903" t="str">
        <f>IF(Tabulka4[[#This Row],[Typ úlohy]]="Účet",GETPIVOTDATA("Součet z Celková hmotnost položek [kg]",$G$2,"Zkratka kalkulační položky",B166,"Výrobce / Dodavatel",C166),"")</f>
        <v/>
      </c>
      <c r="E166" s="904" t="str">
        <f>IF(Tabulka4[[#This Row],[Typ úlohy]]="Účet",GETPIVOTDATA("Součet z Celková cena bez DPH (CZK)",$G$3,"Zkratka kalkulační položky",B166,"Výrobce / Dodavatel",C166),"")</f>
        <v/>
      </c>
      <c r="I166"/>
      <c r="J166"/>
    </row>
    <row r="167" spans="1:10" x14ac:dyDescent="0.35">
      <c r="A167" s="902" t="str">
        <f t="shared" si="3"/>
        <v/>
      </c>
      <c r="B167" s="903" t="str">
        <f>IF(Tabulka4[[#This Row],[Typ úlohy]]="Součet",G167,IF(Tabulka4[[#This Row],[Typ úlohy]]="Účet",B166,""))</f>
        <v/>
      </c>
      <c r="C167" s="903" t="str">
        <f>IF(Tabulka4[[#This Row],[Typ úlohy]]="Účet",H167,"")</f>
        <v/>
      </c>
      <c r="D167" s="903" t="str">
        <f>IF(Tabulka4[[#This Row],[Typ úlohy]]="Účet",GETPIVOTDATA("Součet z Celková hmotnost položek [kg]",$G$2,"Zkratka kalkulační položky",B167,"Výrobce / Dodavatel",C167),"")</f>
        <v/>
      </c>
      <c r="E167" s="904" t="str">
        <f>IF(Tabulka4[[#This Row],[Typ úlohy]]="Účet",GETPIVOTDATA("Součet z Celková cena bez DPH (CZK)",$G$3,"Zkratka kalkulační položky",B167,"Výrobce / Dodavatel",C167),"")</f>
        <v/>
      </c>
      <c r="I167"/>
      <c r="J167"/>
    </row>
    <row r="168" spans="1:10" x14ac:dyDescent="0.35">
      <c r="A168" s="902" t="str">
        <f t="shared" si="3"/>
        <v/>
      </c>
      <c r="B168" s="903" t="str">
        <f>IF(Tabulka4[[#This Row],[Typ úlohy]]="Součet",G168,IF(Tabulka4[[#This Row],[Typ úlohy]]="Účet",B167,""))</f>
        <v/>
      </c>
      <c r="C168" s="903" t="str">
        <f>IF(Tabulka4[[#This Row],[Typ úlohy]]="Účet",H168,"")</f>
        <v/>
      </c>
      <c r="D168" s="903" t="str">
        <f>IF(Tabulka4[[#This Row],[Typ úlohy]]="Účet",GETPIVOTDATA("Součet z Celková hmotnost položek [kg]",$G$2,"Zkratka kalkulační položky",B168,"Výrobce / Dodavatel",C168),"")</f>
        <v/>
      </c>
      <c r="E168" s="904" t="str">
        <f>IF(Tabulka4[[#This Row],[Typ úlohy]]="Účet",GETPIVOTDATA("Součet z Celková cena bez DPH (CZK)",$G$3,"Zkratka kalkulační položky",B168,"Výrobce / Dodavatel",C168),"")</f>
        <v/>
      </c>
      <c r="I168"/>
      <c r="J168"/>
    </row>
    <row r="169" spans="1:10" x14ac:dyDescent="0.35">
      <c r="A169" s="902" t="str">
        <f t="shared" si="3"/>
        <v/>
      </c>
      <c r="B169" s="903" t="str">
        <f>IF(Tabulka4[[#This Row],[Typ úlohy]]="Součet",G169,IF(Tabulka4[[#This Row],[Typ úlohy]]="Účet",B168,""))</f>
        <v/>
      </c>
      <c r="C169" s="903" t="str">
        <f>IF(Tabulka4[[#This Row],[Typ úlohy]]="Účet",H169,"")</f>
        <v/>
      </c>
      <c r="D169" s="903" t="str">
        <f>IF(Tabulka4[[#This Row],[Typ úlohy]]="Účet",GETPIVOTDATA("Součet z Celková hmotnost položek [kg]",$G$2,"Zkratka kalkulační položky",B169,"Výrobce / Dodavatel",C169),"")</f>
        <v/>
      </c>
      <c r="E169" s="904" t="str">
        <f>IF(Tabulka4[[#This Row],[Typ úlohy]]="Účet",GETPIVOTDATA("Součet z Celková cena bez DPH (CZK)",$G$3,"Zkratka kalkulační položky",B169,"Výrobce / Dodavatel",C169),"")</f>
        <v/>
      </c>
      <c r="I169"/>
      <c r="J169"/>
    </row>
    <row r="170" spans="1:10" x14ac:dyDescent="0.35">
      <c r="A170" s="902" t="str">
        <f t="shared" si="3"/>
        <v/>
      </c>
      <c r="B170" s="903" t="str">
        <f>IF(Tabulka4[[#This Row],[Typ úlohy]]="Součet",G170,IF(Tabulka4[[#This Row],[Typ úlohy]]="Účet",B169,""))</f>
        <v/>
      </c>
      <c r="C170" s="903" t="str">
        <f>IF(Tabulka4[[#This Row],[Typ úlohy]]="Účet",H170,"")</f>
        <v/>
      </c>
      <c r="D170" s="903" t="str">
        <f>IF(Tabulka4[[#This Row],[Typ úlohy]]="Účet",GETPIVOTDATA("Součet z Celková hmotnost položek [kg]",$G$2,"Zkratka kalkulační položky",B170,"Výrobce / Dodavatel",C170),"")</f>
        <v/>
      </c>
      <c r="E170" s="904" t="str">
        <f>IF(Tabulka4[[#This Row],[Typ úlohy]]="Účet",GETPIVOTDATA("Součet z Celková cena bez DPH (CZK)",$G$3,"Zkratka kalkulační položky",B170,"Výrobce / Dodavatel",C170),"")</f>
        <v/>
      </c>
      <c r="I170"/>
      <c r="J170"/>
    </row>
    <row r="171" spans="1:10" x14ac:dyDescent="0.35">
      <c r="A171" s="902" t="str">
        <f t="shared" si="3"/>
        <v/>
      </c>
      <c r="B171" s="903" t="str">
        <f>IF(Tabulka4[[#This Row],[Typ úlohy]]="Součet",G171,IF(Tabulka4[[#This Row],[Typ úlohy]]="Účet",B170,""))</f>
        <v/>
      </c>
      <c r="C171" s="903" t="str">
        <f>IF(Tabulka4[[#This Row],[Typ úlohy]]="Účet",H171,"")</f>
        <v/>
      </c>
      <c r="D171" s="903" t="str">
        <f>IF(Tabulka4[[#This Row],[Typ úlohy]]="Účet",GETPIVOTDATA("Součet z Celková hmotnost položek [kg]",$G$2,"Zkratka kalkulační položky",B171,"Výrobce / Dodavatel",C171),"")</f>
        <v/>
      </c>
      <c r="E171" s="904" t="str">
        <f>IF(Tabulka4[[#This Row],[Typ úlohy]]="Účet",GETPIVOTDATA("Součet z Celková cena bez DPH (CZK)",$G$3,"Zkratka kalkulační položky",B171,"Výrobce / Dodavatel",C171),"")</f>
        <v/>
      </c>
      <c r="I171"/>
      <c r="J171"/>
    </row>
    <row r="172" spans="1:10" x14ac:dyDescent="0.35">
      <c r="A172" s="902" t="str">
        <f t="shared" si="3"/>
        <v/>
      </c>
      <c r="B172" s="903" t="str">
        <f>IF(Tabulka4[[#This Row],[Typ úlohy]]="Součet",G172,IF(Tabulka4[[#This Row],[Typ úlohy]]="Účet",B171,""))</f>
        <v/>
      </c>
      <c r="C172" s="903" t="str">
        <f>IF(Tabulka4[[#This Row],[Typ úlohy]]="Účet",H172,"")</f>
        <v/>
      </c>
      <c r="D172" s="903" t="str">
        <f>IF(Tabulka4[[#This Row],[Typ úlohy]]="Účet",GETPIVOTDATA("Součet z Celková hmotnost položek [kg]",$G$2,"Zkratka kalkulační položky",B172,"Výrobce / Dodavatel",C172),"")</f>
        <v/>
      </c>
      <c r="E172" s="904" t="str">
        <f>IF(Tabulka4[[#This Row],[Typ úlohy]]="Účet",GETPIVOTDATA("Součet z Celková cena bez DPH (CZK)",$G$3,"Zkratka kalkulační položky",B172,"Výrobce / Dodavatel",C172),"")</f>
        <v/>
      </c>
      <c r="I172"/>
      <c r="J172"/>
    </row>
    <row r="173" spans="1:10" x14ac:dyDescent="0.35">
      <c r="A173" s="902" t="str">
        <f t="shared" si="3"/>
        <v/>
      </c>
      <c r="B173" s="903" t="str">
        <f>IF(Tabulka4[[#This Row],[Typ úlohy]]="Součet",G173,IF(Tabulka4[[#This Row],[Typ úlohy]]="Účet",B172,""))</f>
        <v/>
      </c>
      <c r="C173" s="903" t="str">
        <f>IF(Tabulka4[[#This Row],[Typ úlohy]]="Účet",H173,"")</f>
        <v/>
      </c>
      <c r="D173" s="903" t="str">
        <f>IF(Tabulka4[[#This Row],[Typ úlohy]]="Účet",GETPIVOTDATA("Součet z Celková hmotnost položek [kg]",$G$2,"Zkratka kalkulační položky",B173,"Výrobce / Dodavatel",C173),"")</f>
        <v/>
      </c>
      <c r="E173" s="904" t="str">
        <f>IF(Tabulka4[[#This Row],[Typ úlohy]]="Účet",GETPIVOTDATA("Součet z Celková cena bez DPH (CZK)",$G$3,"Zkratka kalkulační položky",B173,"Výrobce / Dodavatel",C173),"")</f>
        <v/>
      </c>
      <c r="I173"/>
      <c r="J173"/>
    </row>
    <row r="174" spans="1:10" x14ac:dyDescent="0.35">
      <c r="A174" s="902" t="str">
        <f t="shared" si="3"/>
        <v/>
      </c>
      <c r="B174" s="903" t="str">
        <f>IF(Tabulka4[[#This Row],[Typ úlohy]]="Součet",G174,IF(Tabulka4[[#This Row],[Typ úlohy]]="Účet",B173,""))</f>
        <v/>
      </c>
      <c r="C174" s="903" t="str">
        <f>IF(Tabulka4[[#This Row],[Typ úlohy]]="Účet",H174,"")</f>
        <v/>
      </c>
      <c r="D174" s="903" t="str">
        <f>IF(Tabulka4[[#This Row],[Typ úlohy]]="Účet",GETPIVOTDATA("Součet z Celková hmotnost položek [kg]",$G$2,"Zkratka kalkulační položky",B174,"Výrobce / Dodavatel",C174),"")</f>
        <v/>
      </c>
      <c r="E174" s="904" t="str">
        <f>IF(Tabulka4[[#This Row],[Typ úlohy]]="Účet",GETPIVOTDATA("Součet z Celková cena bez DPH (CZK)",$G$3,"Zkratka kalkulační položky",B174,"Výrobce / Dodavatel",C174),"")</f>
        <v/>
      </c>
      <c r="I174"/>
      <c r="J174"/>
    </row>
    <row r="175" spans="1:10" x14ac:dyDescent="0.35">
      <c r="A175" s="902" t="str">
        <f t="shared" si="3"/>
        <v/>
      </c>
      <c r="B175" s="903" t="str">
        <f>IF(Tabulka4[[#This Row],[Typ úlohy]]="Součet",G175,IF(Tabulka4[[#This Row],[Typ úlohy]]="Účet",B174,""))</f>
        <v/>
      </c>
      <c r="C175" s="903" t="str">
        <f>IF(Tabulka4[[#This Row],[Typ úlohy]]="Účet",H175,"")</f>
        <v/>
      </c>
      <c r="D175" s="903" t="str">
        <f>IF(Tabulka4[[#This Row],[Typ úlohy]]="Účet",GETPIVOTDATA("Součet z Celková hmotnost položek [kg]",$G$2,"Zkratka kalkulační položky",B175,"Výrobce / Dodavatel",C175),"")</f>
        <v/>
      </c>
      <c r="E175" s="904" t="str">
        <f>IF(Tabulka4[[#This Row],[Typ úlohy]]="Účet",GETPIVOTDATA("Součet z Celková cena bez DPH (CZK)",$G$3,"Zkratka kalkulační položky",B175,"Výrobce / Dodavatel",C175),"")</f>
        <v/>
      </c>
      <c r="I175"/>
      <c r="J175"/>
    </row>
    <row r="176" spans="1:10" x14ac:dyDescent="0.35">
      <c r="A176" s="902" t="str">
        <f t="shared" si="3"/>
        <v/>
      </c>
      <c r="B176" s="903" t="str">
        <f>IF(Tabulka4[[#This Row],[Typ úlohy]]="Součet",G176,IF(Tabulka4[[#This Row],[Typ úlohy]]="Účet",B175,""))</f>
        <v/>
      </c>
      <c r="C176" s="903" t="str">
        <f>IF(Tabulka4[[#This Row],[Typ úlohy]]="Účet",H176,"")</f>
        <v/>
      </c>
      <c r="D176" s="903" t="str">
        <f>IF(Tabulka4[[#This Row],[Typ úlohy]]="Účet",GETPIVOTDATA("Součet z Celková hmotnost položek [kg]",$G$2,"Zkratka kalkulační položky",B176,"Výrobce / Dodavatel",C176),"")</f>
        <v/>
      </c>
      <c r="E176" s="904" t="str">
        <f>IF(Tabulka4[[#This Row],[Typ úlohy]]="Účet",GETPIVOTDATA("Součet z Celková cena bez DPH (CZK)",$G$3,"Zkratka kalkulační položky",B176,"Výrobce / Dodavatel",C176),"")</f>
        <v/>
      </c>
      <c r="I176"/>
      <c r="J176"/>
    </row>
    <row r="177" spans="1:10" x14ac:dyDescent="0.35">
      <c r="A177" s="902" t="str">
        <f t="shared" si="3"/>
        <v/>
      </c>
      <c r="B177" s="903" t="str">
        <f>IF(Tabulka4[[#This Row],[Typ úlohy]]="Součet",G177,IF(Tabulka4[[#This Row],[Typ úlohy]]="Účet",B176,""))</f>
        <v/>
      </c>
      <c r="C177" s="903" t="str">
        <f>IF(Tabulka4[[#This Row],[Typ úlohy]]="Účet",H177,"")</f>
        <v/>
      </c>
      <c r="D177" s="903" t="str">
        <f>IF(Tabulka4[[#This Row],[Typ úlohy]]="Účet",GETPIVOTDATA("Součet z Celková hmotnost položek [kg]",$G$2,"Zkratka kalkulační položky",B177,"Výrobce / Dodavatel",C177),"")</f>
        <v/>
      </c>
      <c r="E177" s="904" t="str">
        <f>IF(Tabulka4[[#This Row],[Typ úlohy]]="Účet",GETPIVOTDATA("Součet z Celková cena bez DPH (CZK)",$G$3,"Zkratka kalkulační položky",B177,"Výrobce / Dodavatel",C177),"")</f>
        <v/>
      </c>
      <c r="I177"/>
      <c r="J177"/>
    </row>
    <row r="178" spans="1:10" x14ac:dyDescent="0.35">
      <c r="A178" s="902" t="str">
        <f t="shared" si="3"/>
        <v/>
      </c>
      <c r="B178" s="903" t="str">
        <f>IF(Tabulka4[[#This Row],[Typ úlohy]]="Součet",G178,IF(Tabulka4[[#This Row],[Typ úlohy]]="Účet",B177,""))</f>
        <v/>
      </c>
      <c r="C178" s="903" t="str">
        <f>IF(Tabulka4[[#This Row],[Typ úlohy]]="Účet",H178,"")</f>
        <v/>
      </c>
      <c r="D178" s="903" t="str">
        <f>IF(Tabulka4[[#This Row],[Typ úlohy]]="Účet",GETPIVOTDATA("Součet z Celková hmotnost položek [kg]",$G$2,"Zkratka kalkulační položky",B178,"Výrobce / Dodavatel",C178),"")</f>
        <v/>
      </c>
      <c r="E178" s="904" t="str">
        <f>IF(Tabulka4[[#This Row],[Typ úlohy]]="Účet",GETPIVOTDATA("Součet z Celková cena bez DPH (CZK)",$G$3,"Zkratka kalkulační položky",B178,"Výrobce / Dodavatel",C178),"")</f>
        <v/>
      </c>
      <c r="I178"/>
      <c r="J178"/>
    </row>
    <row r="179" spans="1:10" x14ac:dyDescent="0.35">
      <c r="A179" s="902" t="str">
        <f t="shared" si="3"/>
        <v/>
      </c>
      <c r="B179" s="903" t="str">
        <f>IF(Tabulka4[[#This Row],[Typ úlohy]]="Součet",G179,IF(Tabulka4[[#This Row],[Typ úlohy]]="Účet",B178,""))</f>
        <v/>
      </c>
      <c r="C179" s="903" t="str">
        <f>IF(Tabulka4[[#This Row],[Typ úlohy]]="Účet",H179,"")</f>
        <v/>
      </c>
      <c r="D179" s="903" t="str">
        <f>IF(Tabulka4[[#This Row],[Typ úlohy]]="Účet",GETPIVOTDATA("Součet z Celková hmotnost položek [kg]",$G$2,"Zkratka kalkulační položky",B179,"Výrobce / Dodavatel",C179),"")</f>
        <v/>
      </c>
      <c r="E179" s="904" t="str">
        <f>IF(Tabulka4[[#This Row],[Typ úlohy]]="Účet",GETPIVOTDATA("Součet z Celková cena bez DPH (CZK)",$G$3,"Zkratka kalkulační položky",B179,"Výrobce / Dodavatel",C179),"")</f>
        <v/>
      </c>
      <c r="I179"/>
      <c r="J179"/>
    </row>
    <row r="180" spans="1:10" x14ac:dyDescent="0.35">
      <c r="A180" s="902" t="str">
        <f t="shared" si="3"/>
        <v/>
      </c>
      <c r="B180" s="903" t="str">
        <f>IF(Tabulka4[[#This Row],[Typ úlohy]]="Součet",G180,IF(Tabulka4[[#This Row],[Typ úlohy]]="Účet",B179,""))</f>
        <v/>
      </c>
      <c r="C180" s="903" t="str">
        <f>IF(Tabulka4[[#This Row],[Typ úlohy]]="Účet",H180,"")</f>
        <v/>
      </c>
      <c r="D180" s="903" t="str">
        <f>IF(Tabulka4[[#This Row],[Typ úlohy]]="Účet",GETPIVOTDATA("Součet z Celková hmotnost položek [kg]",$G$2,"Zkratka kalkulační položky",B180,"Výrobce / Dodavatel",C180),"")</f>
        <v/>
      </c>
      <c r="E180" s="904" t="str">
        <f>IF(Tabulka4[[#This Row],[Typ úlohy]]="Účet",GETPIVOTDATA("Součet z Celková cena bez DPH (CZK)",$G$3,"Zkratka kalkulační položky",B180,"Výrobce / Dodavatel",C180),"")</f>
        <v/>
      </c>
      <c r="I180"/>
      <c r="J180"/>
    </row>
    <row r="181" spans="1:10" x14ac:dyDescent="0.35">
      <c r="A181" s="902" t="str">
        <f t="shared" si="3"/>
        <v/>
      </c>
      <c r="B181" s="903" t="str">
        <f>IF(Tabulka4[[#This Row],[Typ úlohy]]="Součet",G181,IF(Tabulka4[[#This Row],[Typ úlohy]]="Účet",B180,""))</f>
        <v/>
      </c>
      <c r="C181" s="903" t="str">
        <f>IF(Tabulka4[[#This Row],[Typ úlohy]]="Účet",H181,"")</f>
        <v/>
      </c>
      <c r="D181" s="903" t="str">
        <f>IF(Tabulka4[[#This Row],[Typ úlohy]]="Účet",GETPIVOTDATA("Součet z Celková hmotnost položek [kg]",$G$2,"Zkratka kalkulační položky",B181,"Výrobce / Dodavatel",C181),"")</f>
        <v/>
      </c>
      <c r="E181" s="904" t="str">
        <f>IF(Tabulka4[[#This Row],[Typ úlohy]]="Účet",GETPIVOTDATA("Součet z Celková cena bez DPH (CZK)",$G$3,"Zkratka kalkulační položky",B181,"Výrobce / Dodavatel",C181),"")</f>
        <v/>
      </c>
      <c r="I181"/>
      <c r="J181"/>
    </row>
    <row r="182" spans="1:10" x14ac:dyDescent="0.35">
      <c r="A182" s="902" t="str">
        <f t="shared" si="3"/>
        <v/>
      </c>
      <c r="B182" s="903" t="str">
        <f>IF(Tabulka4[[#This Row],[Typ úlohy]]="Součet",G182,IF(Tabulka4[[#This Row],[Typ úlohy]]="Účet",B181,""))</f>
        <v/>
      </c>
      <c r="C182" s="903" t="str">
        <f>IF(Tabulka4[[#This Row],[Typ úlohy]]="Účet",H182,"")</f>
        <v/>
      </c>
      <c r="D182" s="903" t="str">
        <f>IF(Tabulka4[[#This Row],[Typ úlohy]]="Účet",GETPIVOTDATA("Součet z Celková hmotnost položek [kg]",$G$2,"Zkratka kalkulační položky",B182,"Výrobce / Dodavatel",C182),"")</f>
        <v/>
      </c>
      <c r="E182" s="904" t="str">
        <f>IF(Tabulka4[[#This Row],[Typ úlohy]]="Účet",GETPIVOTDATA("Součet z Celková cena bez DPH (CZK)",$G$3,"Zkratka kalkulační položky",B182,"Výrobce / Dodavatel",C182),"")</f>
        <v/>
      </c>
      <c r="I182"/>
      <c r="J182"/>
    </row>
    <row r="183" spans="1:10" x14ac:dyDescent="0.35">
      <c r="A183" s="902" t="str">
        <f t="shared" si="3"/>
        <v/>
      </c>
      <c r="B183" s="903" t="str">
        <f>IF(Tabulka4[[#This Row],[Typ úlohy]]="Součet",G183,IF(Tabulka4[[#This Row],[Typ úlohy]]="Účet",B182,""))</f>
        <v/>
      </c>
      <c r="C183" s="903" t="str">
        <f>IF(Tabulka4[[#This Row],[Typ úlohy]]="Účet",H183,"")</f>
        <v/>
      </c>
      <c r="D183" s="903" t="str">
        <f>IF(Tabulka4[[#This Row],[Typ úlohy]]="Účet",GETPIVOTDATA("Součet z Celková hmotnost položek [kg]",$G$2,"Zkratka kalkulační položky",B183,"Výrobce / Dodavatel",C183),"")</f>
        <v/>
      </c>
      <c r="E183" s="904" t="str">
        <f>IF(Tabulka4[[#This Row],[Typ úlohy]]="Účet",GETPIVOTDATA("Součet z Celková cena bez DPH (CZK)",$G$3,"Zkratka kalkulační položky",B183,"Výrobce / Dodavatel",C183),"")</f>
        <v/>
      </c>
      <c r="I183"/>
      <c r="J183"/>
    </row>
    <row r="184" spans="1:10" x14ac:dyDescent="0.35">
      <c r="A184" s="902" t="str">
        <f t="shared" si="3"/>
        <v/>
      </c>
      <c r="B184" s="903" t="str">
        <f>IF(Tabulka4[[#This Row],[Typ úlohy]]="Součet",G184,IF(Tabulka4[[#This Row],[Typ úlohy]]="Účet",B183,""))</f>
        <v/>
      </c>
      <c r="C184" s="903" t="str">
        <f>IF(Tabulka4[[#This Row],[Typ úlohy]]="Účet",H184,"")</f>
        <v/>
      </c>
      <c r="D184" s="903" t="str">
        <f>IF(Tabulka4[[#This Row],[Typ úlohy]]="Účet",GETPIVOTDATA("Součet z Celková hmotnost položek [kg]",$G$2,"Zkratka kalkulační položky",B184,"Výrobce / Dodavatel",C184),"")</f>
        <v/>
      </c>
      <c r="E184" s="904" t="str">
        <f>IF(Tabulka4[[#This Row],[Typ úlohy]]="Účet",GETPIVOTDATA("Součet z Celková cena bez DPH (CZK)",$G$3,"Zkratka kalkulační položky",B184,"Výrobce / Dodavatel",C184),"")</f>
        <v/>
      </c>
      <c r="I184"/>
      <c r="J184"/>
    </row>
    <row r="185" spans="1:10" x14ac:dyDescent="0.35">
      <c r="A185" s="902" t="str">
        <f t="shared" si="3"/>
        <v/>
      </c>
      <c r="B185" s="903" t="str">
        <f>IF(Tabulka4[[#This Row],[Typ úlohy]]="Součet",G185,IF(Tabulka4[[#This Row],[Typ úlohy]]="Účet",B184,""))</f>
        <v/>
      </c>
      <c r="C185" s="903" t="str">
        <f>IF(Tabulka4[[#This Row],[Typ úlohy]]="Účet",H185,"")</f>
        <v/>
      </c>
      <c r="D185" s="903" t="str">
        <f>IF(Tabulka4[[#This Row],[Typ úlohy]]="Účet",GETPIVOTDATA("Součet z Celková hmotnost položek [kg]",$G$2,"Zkratka kalkulační položky",B185,"Výrobce / Dodavatel",C185),"")</f>
        <v/>
      </c>
      <c r="E185" s="904" t="str">
        <f>IF(Tabulka4[[#This Row],[Typ úlohy]]="Účet",GETPIVOTDATA("Součet z Celková cena bez DPH (CZK)",$G$3,"Zkratka kalkulační položky",B185,"Výrobce / Dodavatel",C185),"")</f>
        <v/>
      </c>
      <c r="I185"/>
      <c r="J185"/>
    </row>
    <row r="186" spans="1:10" x14ac:dyDescent="0.35">
      <c r="A186" s="902" t="str">
        <f t="shared" si="3"/>
        <v/>
      </c>
      <c r="B186" s="903" t="str">
        <f>IF(Tabulka4[[#This Row],[Typ úlohy]]="Součet",G186,IF(Tabulka4[[#This Row],[Typ úlohy]]="Účet",B185,""))</f>
        <v/>
      </c>
      <c r="C186" s="903" t="str">
        <f>IF(Tabulka4[[#This Row],[Typ úlohy]]="Účet",H186,"")</f>
        <v/>
      </c>
      <c r="D186" s="903" t="str">
        <f>IF(Tabulka4[[#This Row],[Typ úlohy]]="Účet",GETPIVOTDATA("Součet z Celková hmotnost položek [kg]",$G$2,"Zkratka kalkulační položky",B186,"Výrobce / Dodavatel",C186),"")</f>
        <v/>
      </c>
      <c r="E186" s="904" t="str">
        <f>IF(Tabulka4[[#This Row],[Typ úlohy]]="Účet",GETPIVOTDATA("Součet z Celková cena bez DPH (CZK)",$G$3,"Zkratka kalkulační položky",B186,"Výrobce / Dodavatel",C186),"")</f>
        <v/>
      </c>
      <c r="I186"/>
      <c r="J186"/>
    </row>
    <row r="187" spans="1:10" x14ac:dyDescent="0.35">
      <c r="A187" s="902" t="str">
        <f t="shared" si="3"/>
        <v/>
      </c>
      <c r="B187" s="903" t="str">
        <f>IF(Tabulka4[[#This Row],[Typ úlohy]]="Součet",G187,IF(Tabulka4[[#This Row],[Typ úlohy]]="Účet",B186,""))</f>
        <v/>
      </c>
      <c r="C187" s="903" t="str">
        <f>IF(Tabulka4[[#This Row],[Typ úlohy]]="Účet",H187,"")</f>
        <v/>
      </c>
      <c r="D187" s="903" t="str">
        <f>IF(Tabulka4[[#This Row],[Typ úlohy]]="Účet",GETPIVOTDATA("Součet z Celková hmotnost položek [kg]",$G$2,"Zkratka kalkulační položky",B187,"Výrobce / Dodavatel",C187),"")</f>
        <v/>
      </c>
      <c r="E187" s="904" t="str">
        <f>IF(Tabulka4[[#This Row],[Typ úlohy]]="Účet",GETPIVOTDATA("Součet z Celková cena bez DPH (CZK)",$G$3,"Zkratka kalkulační položky",B187,"Výrobce / Dodavatel",C187),"")</f>
        <v/>
      </c>
      <c r="I187"/>
      <c r="J187"/>
    </row>
    <row r="188" spans="1:10" x14ac:dyDescent="0.35">
      <c r="A188" s="902" t="str">
        <f t="shared" si="3"/>
        <v/>
      </c>
      <c r="B188" s="903" t="str">
        <f>IF(Tabulka4[[#This Row],[Typ úlohy]]="Součet",G188,IF(Tabulka4[[#This Row],[Typ úlohy]]="Účet",B187,""))</f>
        <v/>
      </c>
      <c r="C188" s="903" t="str">
        <f>IF(Tabulka4[[#This Row],[Typ úlohy]]="Účet",H188,"")</f>
        <v/>
      </c>
      <c r="D188" s="903" t="str">
        <f>IF(Tabulka4[[#This Row],[Typ úlohy]]="Účet",GETPIVOTDATA("Součet z Celková hmotnost položek [kg]",$G$2,"Zkratka kalkulační položky",B188,"Výrobce / Dodavatel",C188),"")</f>
        <v/>
      </c>
      <c r="E188" s="904" t="str">
        <f>IF(Tabulka4[[#This Row],[Typ úlohy]]="Účet",GETPIVOTDATA("Součet z Celková cena bez DPH (CZK)",$G$3,"Zkratka kalkulační položky",B188,"Výrobce / Dodavatel",C188),"")</f>
        <v/>
      </c>
      <c r="I188"/>
      <c r="J188"/>
    </row>
    <row r="189" spans="1:10" x14ac:dyDescent="0.35">
      <c r="A189" s="902" t="str">
        <f t="shared" si="3"/>
        <v/>
      </c>
      <c r="B189" s="903" t="str">
        <f>IF(Tabulka4[[#This Row],[Typ úlohy]]="Součet",G189,IF(Tabulka4[[#This Row],[Typ úlohy]]="Účet",B188,""))</f>
        <v/>
      </c>
      <c r="C189" s="903" t="str">
        <f>IF(Tabulka4[[#This Row],[Typ úlohy]]="Účet",H189,"")</f>
        <v/>
      </c>
      <c r="D189" s="903" t="str">
        <f>IF(Tabulka4[[#This Row],[Typ úlohy]]="Účet",GETPIVOTDATA("Součet z Celková hmotnost položek [kg]",$G$2,"Zkratka kalkulační položky",B189,"Výrobce / Dodavatel",C189),"")</f>
        <v/>
      </c>
      <c r="E189" s="904" t="str">
        <f>IF(Tabulka4[[#This Row],[Typ úlohy]]="Účet",GETPIVOTDATA("Součet z Celková cena bez DPH (CZK)",$G$3,"Zkratka kalkulační položky",B189,"Výrobce / Dodavatel",C189),"")</f>
        <v/>
      </c>
      <c r="I189"/>
      <c r="J189"/>
    </row>
    <row r="190" spans="1:10" x14ac:dyDescent="0.35">
      <c r="A190" s="902" t="str">
        <f t="shared" si="3"/>
        <v/>
      </c>
      <c r="B190" s="903" t="str">
        <f>IF(Tabulka4[[#This Row],[Typ úlohy]]="Součet",G190,IF(Tabulka4[[#This Row],[Typ úlohy]]="Účet",B189,""))</f>
        <v/>
      </c>
      <c r="C190" s="903" t="str">
        <f>IF(Tabulka4[[#This Row],[Typ úlohy]]="Účet",H190,"")</f>
        <v/>
      </c>
      <c r="D190" s="903" t="str">
        <f>IF(Tabulka4[[#This Row],[Typ úlohy]]="Účet",GETPIVOTDATA("Součet z Celková hmotnost položek [kg]",$G$2,"Zkratka kalkulační položky",B190,"Výrobce / Dodavatel",C190),"")</f>
        <v/>
      </c>
      <c r="E190" s="904" t="str">
        <f>IF(Tabulka4[[#This Row],[Typ úlohy]]="Účet",GETPIVOTDATA("Součet z Celková cena bez DPH (CZK)",$G$3,"Zkratka kalkulační položky",B190,"Výrobce / Dodavatel",C190),"")</f>
        <v/>
      </c>
      <c r="I190"/>
      <c r="J190"/>
    </row>
    <row r="191" spans="1:10" x14ac:dyDescent="0.35">
      <c r="A191" s="902" t="str">
        <f t="shared" si="3"/>
        <v/>
      </c>
      <c r="B191" s="903" t="str">
        <f>IF(Tabulka4[[#This Row],[Typ úlohy]]="Součet",G191,IF(Tabulka4[[#This Row],[Typ úlohy]]="Účet",B190,""))</f>
        <v/>
      </c>
      <c r="C191" s="903" t="str">
        <f>IF(Tabulka4[[#This Row],[Typ úlohy]]="Účet",H191,"")</f>
        <v/>
      </c>
      <c r="D191" s="903" t="str">
        <f>IF(Tabulka4[[#This Row],[Typ úlohy]]="Účet",GETPIVOTDATA("Součet z Celková hmotnost položek [kg]",$G$2,"Zkratka kalkulační položky",B191,"Výrobce / Dodavatel",C191),"")</f>
        <v/>
      </c>
      <c r="E191" s="904" t="str">
        <f>IF(Tabulka4[[#This Row],[Typ úlohy]]="Účet",GETPIVOTDATA("Součet z Celková cena bez DPH (CZK)",$G$3,"Zkratka kalkulační položky",B191,"Výrobce / Dodavatel",C191),"")</f>
        <v/>
      </c>
      <c r="I191"/>
      <c r="J191"/>
    </row>
    <row r="192" spans="1:10" x14ac:dyDescent="0.35">
      <c r="A192" s="902" t="str">
        <f t="shared" si="3"/>
        <v/>
      </c>
      <c r="B192" s="903" t="str">
        <f>IF(Tabulka4[[#This Row],[Typ úlohy]]="Součet",G192,IF(Tabulka4[[#This Row],[Typ úlohy]]="Účet",B191,""))</f>
        <v/>
      </c>
      <c r="C192" s="903" t="str">
        <f>IF(Tabulka4[[#This Row],[Typ úlohy]]="Účet",H192,"")</f>
        <v/>
      </c>
      <c r="D192" s="903" t="str">
        <f>IF(Tabulka4[[#This Row],[Typ úlohy]]="Účet",GETPIVOTDATA("Součet z Celková hmotnost položek [kg]",$G$2,"Zkratka kalkulační položky",B192,"Výrobce / Dodavatel",C192),"")</f>
        <v/>
      </c>
      <c r="E192" s="904" t="str">
        <f>IF(Tabulka4[[#This Row],[Typ úlohy]]="Účet",GETPIVOTDATA("Součet z Celková cena bez DPH (CZK)",$G$3,"Zkratka kalkulační položky",B192,"Výrobce / Dodavatel",C192),"")</f>
        <v/>
      </c>
      <c r="I192"/>
      <c r="J192"/>
    </row>
    <row r="193" spans="1:10" x14ac:dyDescent="0.35">
      <c r="A193" s="902" t="str">
        <f t="shared" si="3"/>
        <v/>
      </c>
      <c r="B193" s="903" t="str">
        <f>IF(Tabulka4[[#This Row],[Typ úlohy]]="Součet",G193,IF(Tabulka4[[#This Row],[Typ úlohy]]="Účet",B192,""))</f>
        <v/>
      </c>
      <c r="C193" s="903" t="str">
        <f>IF(Tabulka4[[#This Row],[Typ úlohy]]="Účet",H193,"")</f>
        <v/>
      </c>
      <c r="D193" s="903" t="str">
        <f>IF(Tabulka4[[#This Row],[Typ úlohy]]="Účet",GETPIVOTDATA("Součet z Celková hmotnost položek [kg]",$G$2,"Zkratka kalkulační položky",B193,"Výrobce / Dodavatel",C193),"")</f>
        <v/>
      </c>
      <c r="E193" s="904" t="str">
        <f>IF(Tabulka4[[#This Row],[Typ úlohy]]="Účet",GETPIVOTDATA("Součet z Celková cena bez DPH (CZK)",$G$3,"Zkratka kalkulační položky",B193,"Výrobce / Dodavatel",C193),"")</f>
        <v/>
      </c>
      <c r="I193"/>
      <c r="J193"/>
    </row>
    <row r="194" spans="1:10" x14ac:dyDescent="0.35">
      <c r="A194" s="902" t="str">
        <f t="shared" si="3"/>
        <v/>
      </c>
      <c r="B194" s="903" t="str">
        <f>IF(Tabulka4[[#This Row],[Typ úlohy]]="Součet",G194,IF(Tabulka4[[#This Row],[Typ úlohy]]="Účet",B193,""))</f>
        <v/>
      </c>
      <c r="C194" s="903" t="str">
        <f>IF(Tabulka4[[#This Row],[Typ úlohy]]="Účet",H194,"")</f>
        <v/>
      </c>
      <c r="D194" s="903" t="str">
        <f>IF(Tabulka4[[#This Row],[Typ úlohy]]="Účet",GETPIVOTDATA("Součet z Celková hmotnost položek [kg]",$G$2,"Zkratka kalkulační položky",B194,"Výrobce / Dodavatel",C194),"")</f>
        <v/>
      </c>
      <c r="E194" s="904" t="str">
        <f>IF(Tabulka4[[#This Row],[Typ úlohy]]="Účet",GETPIVOTDATA("Součet z Celková cena bez DPH (CZK)",$G$3,"Zkratka kalkulační položky",B194,"Výrobce / Dodavatel",C194),"")</f>
        <v/>
      </c>
      <c r="I194"/>
      <c r="J194"/>
    </row>
    <row r="195" spans="1:10" x14ac:dyDescent="0.35">
      <c r="A195" s="902" t="str">
        <f t="shared" si="3"/>
        <v/>
      </c>
      <c r="B195" s="903" t="str">
        <f>IF(Tabulka4[[#This Row],[Typ úlohy]]="Součet",G195,IF(Tabulka4[[#This Row],[Typ úlohy]]="Účet",B194,""))</f>
        <v/>
      </c>
      <c r="C195" s="903" t="str">
        <f>IF(Tabulka4[[#This Row],[Typ úlohy]]="Účet",H195,"")</f>
        <v/>
      </c>
      <c r="D195" s="903" t="str">
        <f>IF(Tabulka4[[#This Row],[Typ úlohy]]="Účet",GETPIVOTDATA("Součet z Celková hmotnost položek [kg]",$G$2,"Zkratka kalkulační položky",B195,"Výrobce / Dodavatel",C195),"")</f>
        <v/>
      </c>
      <c r="E195" s="904" t="str">
        <f>IF(Tabulka4[[#This Row],[Typ úlohy]]="Účet",GETPIVOTDATA("Součet z Celková cena bez DPH (CZK)",$G$3,"Zkratka kalkulační položky",B195,"Výrobce / Dodavatel",C195),"")</f>
        <v/>
      </c>
      <c r="I195"/>
      <c r="J195"/>
    </row>
    <row r="196" spans="1:10" x14ac:dyDescent="0.35">
      <c r="A196" s="902" t="str">
        <f t="shared" si="3"/>
        <v/>
      </c>
      <c r="B196" s="903" t="str">
        <f>IF(Tabulka4[[#This Row],[Typ úlohy]]="Součet",G196,IF(Tabulka4[[#This Row],[Typ úlohy]]="Účet",B195,""))</f>
        <v/>
      </c>
      <c r="C196" s="903" t="str">
        <f>IF(Tabulka4[[#This Row],[Typ úlohy]]="Účet",H196,"")</f>
        <v/>
      </c>
      <c r="D196" s="903" t="str">
        <f>IF(Tabulka4[[#This Row],[Typ úlohy]]="Účet",GETPIVOTDATA("Součet z Celková hmotnost položek [kg]",$G$2,"Zkratka kalkulační položky",B196,"Výrobce / Dodavatel",C196),"")</f>
        <v/>
      </c>
      <c r="E196" s="904" t="str">
        <f>IF(Tabulka4[[#This Row],[Typ úlohy]]="Účet",GETPIVOTDATA("Součet z Celková cena bez DPH (CZK)",$G$3,"Zkratka kalkulační položky",B196,"Výrobce / Dodavatel",C196),"")</f>
        <v/>
      </c>
      <c r="I196"/>
      <c r="J196"/>
    </row>
    <row r="197" spans="1:10" x14ac:dyDescent="0.35">
      <c r="A197" s="902" t="str">
        <f t="shared" ref="A197:A260" si="4">IF(H197="",IF(G197="","","Součet"),"Účet")</f>
        <v/>
      </c>
      <c r="B197" s="903" t="str">
        <f>IF(Tabulka4[[#This Row],[Typ úlohy]]="Součet",G197,IF(Tabulka4[[#This Row],[Typ úlohy]]="Účet",B196,""))</f>
        <v/>
      </c>
      <c r="C197" s="903" t="str">
        <f>IF(Tabulka4[[#This Row],[Typ úlohy]]="Účet",H197,"")</f>
        <v/>
      </c>
      <c r="D197" s="903" t="str">
        <f>IF(Tabulka4[[#This Row],[Typ úlohy]]="Účet",GETPIVOTDATA("Součet z Celková hmotnost položek [kg]",$G$2,"Zkratka kalkulační položky",B197,"Výrobce / Dodavatel",C197),"")</f>
        <v/>
      </c>
      <c r="E197" s="904" t="str">
        <f>IF(Tabulka4[[#This Row],[Typ úlohy]]="Účet",GETPIVOTDATA("Součet z Celková cena bez DPH (CZK)",$G$3,"Zkratka kalkulační položky",B197,"Výrobce / Dodavatel",C197),"")</f>
        <v/>
      </c>
      <c r="I197"/>
      <c r="J197"/>
    </row>
    <row r="198" spans="1:10" x14ac:dyDescent="0.35">
      <c r="A198" s="902" t="str">
        <f t="shared" si="4"/>
        <v/>
      </c>
      <c r="B198" s="903" t="str">
        <f>IF(Tabulka4[[#This Row],[Typ úlohy]]="Součet",G198,IF(Tabulka4[[#This Row],[Typ úlohy]]="Účet",B197,""))</f>
        <v/>
      </c>
      <c r="C198" s="903" t="str">
        <f>IF(Tabulka4[[#This Row],[Typ úlohy]]="Účet",H198,"")</f>
        <v/>
      </c>
      <c r="D198" s="903" t="str">
        <f>IF(Tabulka4[[#This Row],[Typ úlohy]]="Účet",GETPIVOTDATA("Součet z Celková hmotnost položek [kg]",$G$2,"Zkratka kalkulační položky",B198,"Výrobce / Dodavatel",C198),"")</f>
        <v/>
      </c>
      <c r="E198" s="904" t="str">
        <f>IF(Tabulka4[[#This Row],[Typ úlohy]]="Účet",GETPIVOTDATA("Součet z Celková cena bez DPH (CZK)",$G$3,"Zkratka kalkulační položky",B198,"Výrobce / Dodavatel",C198),"")</f>
        <v/>
      </c>
      <c r="I198"/>
      <c r="J198"/>
    </row>
    <row r="199" spans="1:10" x14ac:dyDescent="0.35">
      <c r="A199" s="902" t="str">
        <f t="shared" si="4"/>
        <v/>
      </c>
      <c r="B199" s="903" t="str">
        <f>IF(Tabulka4[[#This Row],[Typ úlohy]]="Součet",G199,IF(Tabulka4[[#This Row],[Typ úlohy]]="Účet",B198,""))</f>
        <v/>
      </c>
      <c r="C199" s="903" t="str">
        <f>IF(Tabulka4[[#This Row],[Typ úlohy]]="Účet",H199,"")</f>
        <v/>
      </c>
      <c r="D199" s="903" t="str">
        <f>IF(Tabulka4[[#This Row],[Typ úlohy]]="Účet",GETPIVOTDATA("Součet z Celková hmotnost položek [kg]",$G$2,"Zkratka kalkulační položky",B199,"Výrobce / Dodavatel",C199),"")</f>
        <v/>
      </c>
      <c r="E199" s="904" t="str">
        <f>IF(Tabulka4[[#This Row],[Typ úlohy]]="Účet",GETPIVOTDATA("Součet z Celková cena bez DPH (CZK)",$G$3,"Zkratka kalkulační položky",B199,"Výrobce / Dodavatel",C199),"")</f>
        <v/>
      </c>
      <c r="I199"/>
      <c r="J199"/>
    </row>
    <row r="200" spans="1:10" x14ac:dyDescent="0.35">
      <c r="A200" s="902" t="str">
        <f t="shared" si="4"/>
        <v/>
      </c>
      <c r="B200" s="903" t="str">
        <f>IF(Tabulka4[[#This Row],[Typ úlohy]]="Součet",G200,IF(Tabulka4[[#This Row],[Typ úlohy]]="Účet",B199,""))</f>
        <v/>
      </c>
      <c r="C200" s="903" t="str">
        <f>IF(Tabulka4[[#This Row],[Typ úlohy]]="Účet",H200,"")</f>
        <v/>
      </c>
      <c r="D200" s="903" t="str">
        <f>IF(Tabulka4[[#This Row],[Typ úlohy]]="Účet",GETPIVOTDATA("Součet z Celková hmotnost položek [kg]",$G$2,"Zkratka kalkulační položky",B200,"Výrobce / Dodavatel",C200),"")</f>
        <v/>
      </c>
      <c r="E200" s="904" t="str">
        <f>IF(Tabulka4[[#This Row],[Typ úlohy]]="Účet",GETPIVOTDATA("Součet z Celková cena bez DPH (CZK)",$G$3,"Zkratka kalkulační položky",B200,"Výrobce / Dodavatel",C200),"")</f>
        <v/>
      </c>
      <c r="I200"/>
      <c r="J200"/>
    </row>
    <row r="201" spans="1:10" x14ac:dyDescent="0.35">
      <c r="A201" s="902" t="str">
        <f t="shared" si="4"/>
        <v/>
      </c>
      <c r="B201" s="903" t="str">
        <f>IF(Tabulka4[[#This Row],[Typ úlohy]]="Součet",G201,IF(Tabulka4[[#This Row],[Typ úlohy]]="Účet",B200,""))</f>
        <v/>
      </c>
      <c r="C201" s="903" t="str">
        <f>IF(Tabulka4[[#This Row],[Typ úlohy]]="Účet",H201,"")</f>
        <v/>
      </c>
      <c r="D201" s="903" t="str">
        <f>IF(Tabulka4[[#This Row],[Typ úlohy]]="Účet",GETPIVOTDATA("Součet z Celková hmotnost položek [kg]",$G$2,"Zkratka kalkulační položky",B201,"Výrobce / Dodavatel",C201),"")</f>
        <v/>
      </c>
      <c r="E201" s="904" t="str">
        <f>IF(Tabulka4[[#This Row],[Typ úlohy]]="Účet",GETPIVOTDATA("Součet z Celková cena bez DPH (CZK)",$G$3,"Zkratka kalkulační položky",B201,"Výrobce / Dodavatel",C201),"")</f>
        <v/>
      </c>
      <c r="I201"/>
      <c r="J201"/>
    </row>
    <row r="202" spans="1:10" x14ac:dyDescent="0.35">
      <c r="A202" s="902" t="str">
        <f t="shared" si="4"/>
        <v/>
      </c>
      <c r="B202" s="903" t="str">
        <f>IF(Tabulka4[[#This Row],[Typ úlohy]]="Součet",G202,IF(Tabulka4[[#This Row],[Typ úlohy]]="Účet",B201,""))</f>
        <v/>
      </c>
      <c r="C202" s="903" t="str">
        <f>IF(Tabulka4[[#This Row],[Typ úlohy]]="Účet",H202,"")</f>
        <v/>
      </c>
      <c r="D202" s="903" t="str">
        <f>IF(Tabulka4[[#This Row],[Typ úlohy]]="Účet",GETPIVOTDATA("Součet z Celková hmotnost položek [kg]",$G$2,"Zkratka kalkulační položky",B202,"Výrobce / Dodavatel",C202),"")</f>
        <v/>
      </c>
      <c r="E202" s="904" t="str">
        <f>IF(Tabulka4[[#This Row],[Typ úlohy]]="Účet",GETPIVOTDATA("Součet z Celková cena bez DPH (CZK)",$G$3,"Zkratka kalkulační položky",B202,"Výrobce / Dodavatel",C202),"")</f>
        <v/>
      </c>
      <c r="I202"/>
      <c r="J202"/>
    </row>
    <row r="203" spans="1:10" x14ac:dyDescent="0.35">
      <c r="A203" s="902" t="str">
        <f t="shared" si="4"/>
        <v/>
      </c>
      <c r="B203" s="903" t="str">
        <f>IF(Tabulka4[[#This Row],[Typ úlohy]]="Součet",G203,IF(Tabulka4[[#This Row],[Typ úlohy]]="Účet",B202,""))</f>
        <v/>
      </c>
      <c r="C203" s="903" t="str">
        <f>IF(Tabulka4[[#This Row],[Typ úlohy]]="Účet",H203,"")</f>
        <v/>
      </c>
      <c r="D203" s="903" t="str">
        <f>IF(Tabulka4[[#This Row],[Typ úlohy]]="Účet",GETPIVOTDATA("Součet z Celková hmotnost položek [kg]",$G$2,"Zkratka kalkulační položky",B203,"Výrobce / Dodavatel",C203),"")</f>
        <v/>
      </c>
      <c r="E203" s="904" t="str">
        <f>IF(Tabulka4[[#This Row],[Typ úlohy]]="Účet",GETPIVOTDATA("Součet z Celková cena bez DPH (CZK)",$G$3,"Zkratka kalkulační položky",B203,"Výrobce / Dodavatel",C203),"")</f>
        <v/>
      </c>
      <c r="I203"/>
      <c r="J203"/>
    </row>
    <row r="204" spans="1:10" x14ac:dyDescent="0.35">
      <c r="A204" s="902" t="str">
        <f t="shared" si="4"/>
        <v/>
      </c>
      <c r="B204" s="903" t="str">
        <f>IF(Tabulka4[[#This Row],[Typ úlohy]]="Součet",G204,IF(Tabulka4[[#This Row],[Typ úlohy]]="Účet",B203,""))</f>
        <v/>
      </c>
      <c r="C204" s="903" t="str">
        <f>IF(Tabulka4[[#This Row],[Typ úlohy]]="Účet",H204,"")</f>
        <v/>
      </c>
      <c r="D204" s="903" t="str">
        <f>IF(Tabulka4[[#This Row],[Typ úlohy]]="Účet",GETPIVOTDATA("Součet z Celková hmotnost položek [kg]",$G$2,"Zkratka kalkulační položky",B204,"Výrobce / Dodavatel",C204),"")</f>
        <v/>
      </c>
      <c r="E204" s="904" t="str">
        <f>IF(Tabulka4[[#This Row],[Typ úlohy]]="Účet",GETPIVOTDATA("Součet z Celková cena bez DPH (CZK)",$G$3,"Zkratka kalkulační položky",B204,"Výrobce / Dodavatel",C204),"")</f>
        <v/>
      </c>
      <c r="I204"/>
      <c r="J204"/>
    </row>
    <row r="205" spans="1:10" x14ac:dyDescent="0.35">
      <c r="A205" s="902" t="str">
        <f t="shared" si="4"/>
        <v/>
      </c>
      <c r="B205" s="903" t="str">
        <f>IF(Tabulka4[[#This Row],[Typ úlohy]]="Součet",G205,IF(Tabulka4[[#This Row],[Typ úlohy]]="Účet",B204,""))</f>
        <v/>
      </c>
      <c r="C205" s="903" t="str">
        <f>IF(Tabulka4[[#This Row],[Typ úlohy]]="Účet",H205,"")</f>
        <v/>
      </c>
      <c r="D205" s="903" t="str">
        <f>IF(Tabulka4[[#This Row],[Typ úlohy]]="Účet",GETPIVOTDATA("Součet z Celková hmotnost položek [kg]",$G$2,"Zkratka kalkulační položky",B205,"Výrobce / Dodavatel",C205),"")</f>
        <v/>
      </c>
      <c r="E205" s="904" t="str">
        <f>IF(Tabulka4[[#This Row],[Typ úlohy]]="Účet",GETPIVOTDATA("Součet z Celková cena bez DPH (CZK)",$G$3,"Zkratka kalkulační položky",B205,"Výrobce / Dodavatel",C205),"")</f>
        <v/>
      </c>
      <c r="I205"/>
      <c r="J205"/>
    </row>
    <row r="206" spans="1:10" x14ac:dyDescent="0.35">
      <c r="A206" s="902" t="str">
        <f t="shared" si="4"/>
        <v/>
      </c>
      <c r="B206" s="903" t="str">
        <f>IF(Tabulka4[[#This Row],[Typ úlohy]]="Součet",G206,IF(Tabulka4[[#This Row],[Typ úlohy]]="Účet",B205,""))</f>
        <v/>
      </c>
      <c r="C206" s="903" t="str">
        <f>IF(Tabulka4[[#This Row],[Typ úlohy]]="Účet",H206,"")</f>
        <v/>
      </c>
      <c r="D206" s="903" t="str">
        <f>IF(Tabulka4[[#This Row],[Typ úlohy]]="Účet",GETPIVOTDATA("Součet z Celková hmotnost položek [kg]",$G$2,"Zkratka kalkulační položky",B206,"Výrobce / Dodavatel",C206),"")</f>
        <v/>
      </c>
      <c r="E206" s="904" t="str">
        <f>IF(Tabulka4[[#This Row],[Typ úlohy]]="Účet",GETPIVOTDATA("Součet z Celková cena bez DPH (CZK)",$G$3,"Zkratka kalkulační položky",B206,"Výrobce / Dodavatel",C206),"")</f>
        <v/>
      </c>
      <c r="I206"/>
      <c r="J206"/>
    </row>
    <row r="207" spans="1:10" x14ac:dyDescent="0.35">
      <c r="A207" s="902" t="str">
        <f t="shared" si="4"/>
        <v/>
      </c>
      <c r="B207" s="903" t="str">
        <f>IF(Tabulka4[[#This Row],[Typ úlohy]]="Součet",G207,IF(Tabulka4[[#This Row],[Typ úlohy]]="Účet",B206,""))</f>
        <v/>
      </c>
      <c r="C207" s="903" t="str">
        <f>IF(Tabulka4[[#This Row],[Typ úlohy]]="Účet",H207,"")</f>
        <v/>
      </c>
      <c r="D207" s="903" t="str">
        <f>IF(Tabulka4[[#This Row],[Typ úlohy]]="Účet",GETPIVOTDATA("Součet z Celková hmotnost položek [kg]",$G$2,"Zkratka kalkulační položky",B207,"Výrobce / Dodavatel",C207),"")</f>
        <v/>
      </c>
      <c r="E207" s="904" t="str">
        <f>IF(Tabulka4[[#This Row],[Typ úlohy]]="Účet",GETPIVOTDATA("Součet z Celková cena bez DPH (CZK)",$G$3,"Zkratka kalkulační položky",B207,"Výrobce / Dodavatel",C207),"")</f>
        <v/>
      </c>
      <c r="I207"/>
      <c r="J207"/>
    </row>
    <row r="208" spans="1:10" x14ac:dyDescent="0.35">
      <c r="A208" s="902" t="str">
        <f t="shared" si="4"/>
        <v/>
      </c>
      <c r="B208" s="903" t="str">
        <f>IF(Tabulka4[[#This Row],[Typ úlohy]]="Součet",G208,IF(Tabulka4[[#This Row],[Typ úlohy]]="Účet",B207,""))</f>
        <v/>
      </c>
      <c r="C208" s="903" t="str">
        <f>IF(Tabulka4[[#This Row],[Typ úlohy]]="Účet",H208,"")</f>
        <v/>
      </c>
      <c r="D208" s="903" t="str">
        <f>IF(Tabulka4[[#This Row],[Typ úlohy]]="Účet",GETPIVOTDATA("Součet z Celková hmotnost položek [kg]",$G$2,"Zkratka kalkulační položky",B208,"Výrobce / Dodavatel",C208),"")</f>
        <v/>
      </c>
      <c r="E208" s="904" t="str">
        <f>IF(Tabulka4[[#This Row],[Typ úlohy]]="Účet",GETPIVOTDATA("Součet z Celková cena bez DPH (CZK)",$G$3,"Zkratka kalkulační položky",B208,"Výrobce / Dodavatel",C208),"")</f>
        <v/>
      </c>
      <c r="I208"/>
      <c r="J208"/>
    </row>
    <row r="209" spans="1:10" x14ac:dyDescent="0.35">
      <c r="A209" s="902" t="str">
        <f t="shared" si="4"/>
        <v/>
      </c>
      <c r="B209" s="903" t="str">
        <f>IF(Tabulka4[[#This Row],[Typ úlohy]]="Součet",G209,IF(Tabulka4[[#This Row],[Typ úlohy]]="Účet",B208,""))</f>
        <v/>
      </c>
      <c r="C209" s="903" t="str">
        <f>IF(Tabulka4[[#This Row],[Typ úlohy]]="Účet",H209,"")</f>
        <v/>
      </c>
      <c r="D209" s="903" t="str">
        <f>IF(Tabulka4[[#This Row],[Typ úlohy]]="Účet",GETPIVOTDATA("Součet z Celková hmotnost položek [kg]",$G$2,"Zkratka kalkulační položky",B209,"Výrobce / Dodavatel",C209),"")</f>
        <v/>
      </c>
      <c r="E209" s="904" t="str">
        <f>IF(Tabulka4[[#This Row],[Typ úlohy]]="Účet",GETPIVOTDATA("Součet z Celková cena bez DPH (CZK)",$G$3,"Zkratka kalkulační položky",B209,"Výrobce / Dodavatel",C209),"")</f>
        <v/>
      </c>
      <c r="I209"/>
      <c r="J209"/>
    </row>
    <row r="210" spans="1:10" x14ac:dyDescent="0.35">
      <c r="A210" s="902" t="str">
        <f t="shared" si="4"/>
        <v/>
      </c>
      <c r="B210" s="903" t="str">
        <f>IF(Tabulka4[[#This Row],[Typ úlohy]]="Součet",G210,IF(Tabulka4[[#This Row],[Typ úlohy]]="Účet",B209,""))</f>
        <v/>
      </c>
      <c r="C210" s="903" t="str">
        <f>IF(Tabulka4[[#This Row],[Typ úlohy]]="Účet",H210,"")</f>
        <v/>
      </c>
      <c r="D210" s="903" t="str">
        <f>IF(Tabulka4[[#This Row],[Typ úlohy]]="Účet",GETPIVOTDATA("Součet z Celková hmotnost položek [kg]",$G$2,"Zkratka kalkulační položky",B210,"Výrobce / Dodavatel",C210),"")</f>
        <v/>
      </c>
      <c r="E210" s="904" t="str">
        <f>IF(Tabulka4[[#This Row],[Typ úlohy]]="Účet",GETPIVOTDATA("Součet z Celková cena bez DPH (CZK)",$G$3,"Zkratka kalkulační položky",B210,"Výrobce / Dodavatel",C210),"")</f>
        <v/>
      </c>
      <c r="I210"/>
      <c r="J210"/>
    </row>
    <row r="211" spans="1:10" x14ac:dyDescent="0.35">
      <c r="A211" s="902" t="str">
        <f t="shared" si="4"/>
        <v/>
      </c>
      <c r="B211" s="903" t="str">
        <f>IF(Tabulka4[[#This Row],[Typ úlohy]]="Součet",G211,IF(Tabulka4[[#This Row],[Typ úlohy]]="Účet",B210,""))</f>
        <v/>
      </c>
      <c r="C211" s="903" t="str">
        <f>IF(Tabulka4[[#This Row],[Typ úlohy]]="Účet",H211,"")</f>
        <v/>
      </c>
      <c r="D211" s="903" t="str">
        <f>IF(Tabulka4[[#This Row],[Typ úlohy]]="Účet",GETPIVOTDATA("Součet z Celková hmotnost položek [kg]",$G$2,"Zkratka kalkulační položky",B211,"Výrobce / Dodavatel",C211),"")</f>
        <v/>
      </c>
      <c r="E211" s="904" t="str">
        <f>IF(Tabulka4[[#This Row],[Typ úlohy]]="Účet",GETPIVOTDATA("Součet z Celková cena bez DPH (CZK)",$G$3,"Zkratka kalkulační položky",B211,"Výrobce / Dodavatel",C211),"")</f>
        <v/>
      </c>
      <c r="I211"/>
      <c r="J211"/>
    </row>
    <row r="212" spans="1:10" x14ac:dyDescent="0.35">
      <c r="A212" s="902" t="str">
        <f t="shared" si="4"/>
        <v/>
      </c>
      <c r="B212" s="903" t="str">
        <f>IF(Tabulka4[[#This Row],[Typ úlohy]]="Součet",G212,IF(Tabulka4[[#This Row],[Typ úlohy]]="Účet",B211,""))</f>
        <v/>
      </c>
      <c r="C212" s="903" t="str">
        <f>IF(Tabulka4[[#This Row],[Typ úlohy]]="Účet",H212,"")</f>
        <v/>
      </c>
      <c r="D212" s="903" t="str">
        <f>IF(Tabulka4[[#This Row],[Typ úlohy]]="Účet",GETPIVOTDATA("Součet z Celková hmotnost položek [kg]",$G$2,"Zkratka kalkulační položky",B212,"Výrobce / Dodavatel",C212),"")</f>
        <v/>
      </c>
      <c r="E212" s="904" t="str">
        <f>IF(Tabulka4[[#This Row],[Typ úlohy]]="Účet",GETPIVOTDATA("Součet z Celková cena bez DPH (CZK)",$G$3,"Zkratka kalkulační položky",B212,"Výrobce / Dodavatel",C212),"")</f>
        <v/>
      </c>
      <c r="I212"/>
      <c r="J212"/>
    </row>
    <row r="213" spans="1:10" x14ac:dyDescent="0.35">
      <c r="A213" s="902" t="str">
        <f t="shared" si="4"/>
        <v/>
      </c>
      <c r="B213" s="903" t="str">
        <f>IF(Tabulka4[[#This Row],[Typ úlohy]]="Součet",G213,IF(Tabulka4[[#This Row],[Typ úlohy]]="Účet",B212,""))</f>
        <v/>
      </c>
      <c r="C213" s="903" t="str">
        <f>IF(Tabulka4[[#This Row],[Typ úlohy]]="Účet",H213,"")</f>
        <v/>
      </c>
      <c r="D213" s="903" t="str">
        <f>IF(Tabulka4[[#This Row],[Typ úlohy]]="Účet",GETPIVOTDATA("Součet z Celková hmotnost položek [kg]",$G$2,"Zkratka kalkulační položky",B213,"Výrobce / Dodavatel",C213),"")</f>
        <v/>
      </c>
      <c r="E213" s="904" t="str">
        <f>IF(Tabulka4[[#This Row],[Typ úlohy]]="Účet",GETPIVOTDATA("Součet z Celková cena bez DPH (CZK)",$G$3,"Zkratka kalkulační položky",B213,"Výrobce / Dodavatel",C213),"")</f>
        <v/>
      </c>
      <c r="I213"/>
      <c r="J213"/>
    </row>
    <row r="214" spans="1:10" x14ac:dyDescent="0.35">
      <c r="A214" s="902" t="str">
        <f t="shared" si="4"/>
        <v/>
      </c>
      <c r="B214" s="903" t="str">
        <f>IF(Tabulka4[[#This Row],[Typ úlohy]]="Součet",G214,IF(Tabulka4[[#This Row],[Typ úlohy]]="Účet",B213,""))</f>
        <v/>
      </c>
      <c r="C214" s="903" t="str">
        <f>IF(Tabulka4[[#This Row],[Typ úlohy]]="Účet",H214,"")</f>
        <v/>
      </c>
      <c r="D214" s="903" t="str">
        <f>IF(Tabulka4[[#This Row],[Typ úlohy]]="Účet",GETPIVOTDATA("Součet z Celková hmotnost položek [kg]",$G$2,"Zkratka kalkulační položky",B214,"Výrobce / Dodavatel",C214),"")</f>
        <v/>
      </c>
      <c r="E214" s="904" t="str">
        <f>IF(Tabulka4[[#This Row],[Typ úlohy]]="Účet",GETPIVOTDATA("Součet z Celková cena bez DPH (CZK)",$G$3,"Zkratka kalkulační položky",B214,"Výrobce / Dodavatel",C214),"")</f>
        <v/>
      </c>
      <c r="I214"/>
      <c r="J214"/>
    </row>
    <row r="215" spans="1:10" x14ac:dyDescent="0.35">
      <c r="A215" s="902" t="str">
        <f t="shared" si="4"/>
        <v/>
      </c>
      <c r="B215" s="903" t="str">
        <f>IF(Tabulka4[[#This Row],[Typ úlohy]]="Součet",G215,IF(Tabulka4[[#This Row],[Typ úlohy]]="Účet",B214,""))</f>
        <v/>
      </c>
      <c r="C215" s="903" t="str">
        <f>IF(Tabulka4[[#This Row],[Typ úlohy]]="Účet",H215,"")</f>
        <v/>
      </c>
      <c r="D215" s="903" t="str">
        <f>IF(Tabulka4[[#This Row],[Typ úlohy]]="Účet",GETPIVOTDATA("Součet z Celková hmotnost položek [kg]",$G$2,"Zkratka kalkulační položky",B215,"Výrobce / Dodavatel",C215),"")</f>
        <v/>
      </c>
      <c r="E215" s="904" t="str">
        <f>IF(Tabulka4[[#This Row],[Typ úlohy]]="Účet",GETPIVOTDATA("Součet z Celková cena bez DPH (CZK)",$G$3,"Zkratka kalkulační položky",B215,"Výrobce / Dodavatel",C215),"")</f>
        <v/>
      </c>
      <c r="I215"/>
      <c r="J215"/>
    </row>
    <row r="216" spans="1:10" x14ac:dyDescent="0.35">
      <c r="A216" s="902" t="str">
        <f t="shared" si="4"/>
        <v/>
      </c>
      <c r="B216" s="903" t="str">
        <f>IF(Tabulka4[[#This Row],[Typ úlohy]]="Součet",G216,IF(Tabulka4[[#This Row],[Typ úlohy]]="Účet",B215,""))</f>
        <v/>
      </c>
      <c r="C216" s="903" t="str">
        <f>IF(Tabulka4[[#This Row],[Typ úlohy]]="Účet",H216,"")</f>
        <v/>
      </c>
      <c r="D216" s="903" t="str">
        <f>IF(Tabulka4[[#This Row],[Typ úlohy]]="Účet",GETPIVOTDATA("Součet z Celková hmotnost položek [kg]",$G$2,"Zkratka kalkulační položky",B216,"Výrobce / Dodavatel",C216),"")</f>
        <v/>
      </c>
      <c r="E216" s="904" t="str">
        <f>IF(Tabulka4[[#This Row],[Typ úlohy]]="Účet",GETPIVOTDATA("Součet z Celková cena bez DPH (CZK)",$G$3,"Zkratka kalkulační položky",B216,"Výrobce / Dodavatel",C216),"")</f>
        <v/>
      </c>
      <c r="I216"/>
      <c r="J216"/>
    </row>
    <row r="217" spans="1:10" x14ac:dyDescent="0.35">
      <c r="A217" s="902" t="str">
        <f t="shared" si="4"/>
        <v/>
      </c>
      <c r="B217" s="903" t="str">
        <f>IF(Tabulka4[[#This Row],[Typ úlohy]]="Součet",G217,IF(Tabulka4[[#This Row],[Typ úlohy]]="Účet",B216,""))</f>
        <v/>
      </c>
      <c r="C217" s="903" t="str">
        <f>IF(Tabulka4[[#This Row],[Typ úlohy]]="Účet",H217,"")</f>
        <v/>
      </c>
      <c r="D217" s="903" t="str">
        <f>IF(Tabulka4[[#This Row],[Typ úlohy]]="Účet",GETPIVOTDATA("Součet z Celková hmotnost položek [kg]",$G$2,"Zkratka kalkulační položky",B217,"Výrobce / Dodavatel",C217),"")</f>
        <v/>
      </c>
      <c r="E217" s="904" t="str">
        <f>IF(Tabulka4[[#This Row],[Typ úlohy]]="Účet",GETPIVOTDATA("Součet z Celková cena bez DPH (CZK)",$G$3,"Zkratka kalkulační položky",B217,"Výrobce / Dodavatel",C217),"")</f>
        <v/>
      </c>
      <c r="I217"/>
      <c r="J217"/>
    </row>
    <row r="218" spans="1:10" x14ac:dyDescent="0.35">
      <c r="A218" s="902" t="str">
        <f t="shared" si="4"/>
        <v/>
      </c>
      <c r="B218" s="903" t="str">
        <f>IF(Tabulka4[[#This Row],[Typ úlohy]]="Součet",G218,IF(Tabulka4[[#This Row],[Typ úlohy]]="Účet",B217,""))</f>
        <v/>
      </c>
      <c r="C218" s="903" t="str">
        <f>IF(Tabulka4[[#This Row],[Typ úlohy]]="Účet",H218,"")</f>
        <v/>
      </c>
      <c r="D218" s="903" t="str">
        <f>IF(Tabulka4[[#This Row],[Typ úlohy]]="Účet",GETPIVOTDATA("Součet z Celková hmotnost položek [kg]",$G$2,"Zkratka kalkulační položky",B218,"Výrobce / Dodavatel",C218),"")</f>
        <v/>
      </c>
      <c r="E218" s="904" t="str">
        <f>IF(Tabulka4[[#This Row],[Typ úlohy]]="Účet",GETPIVOTDATA("Součet z Celková cena bez DPH (CZK)",$G$3,"Zkratka kalkulační položky",B218,"Výrobce / Dodavatel",C218),"")</f>
        <v/>
      </c>
      <c r="I218"/>
      <c r="J218"/>
    </row>
    <row r="219" spans="1:10" x14ac:dyDescent="0.35">
      <c r="A219" s="902" t="str">
        <f t="shared" si="4"/>
        <v/>
      </c>
      <c r="B219" s="903" t="str">
        <f>IF(Tabulka4[[#This Row],[Typ úlohy]]="Součet",G219,IF(Tabulka4[[#This Row],[Typ úlohy]]="Účet",B218,""))</f>
        <v/>
      </c>
      <c r="C219" s="903" t="str">
        <f>IF(Tabulka4[[#This Row],[Typ úlohy]]="Účet",H219,"")</f>
        <v/>
      </c>
      <c r="D219" s="903" t="str">
        <f>IF(Tabulka4[[#This Row],[Typ úlohy]]="Účet",GETPIVOTDATA("Součet z Celková hmotnost položek [kg]",$G$2,"Zkratka kalkulační položky",B219,"Výrobce / Dodavatel",C219),"")</f>
        <v/>
      </c>
      <c r="E219" s="904" t="str">
        <f>IF(Tabulka4[[#This Row],[Typ úlohy]]="Účet",GETPIVOTDATA("Součet z Celková cena bez DPH (CZK)",$G$3,"Zkratka kalkulační položky",B219,"Výrobce / Dodavatel",C219),"")</f>
        <v/>
      </c>
      <c r="I219"/>
      <c r="J219"/>
    </row>
    <row r="220" spans="1:10" x14ac:dyDescent="0.35">
      <c r="A220" s="902" t="str">
        <f t="shared" si="4"/>
        <v/>
      </c>
      <c r="B220" s="903" t="str">
        <f>IF(Tabulka4[[#This Row],[Typ úlohy]]="Součet",G220,IF(Tabulka4[[#This Row],[Typ úlohy]]="Účet",B219,""))</f>
        <v/>
      </c>
      <c r="C220" s="903" t="str">
        <f>IF(Tabulka4[[#This Row],[Typ úlohy]]="Účet",H220,"")</f>
        <v/>
      </c>
      <c r="D220" s="903" t="str">
        <f>IF(Tabulka4[[#This Row],[Typ úlohy]]="Účet",GETPIVOTDATA("Součet z Celková hmotnost položek [kg]",$G$2,"Zkratka kalkulační položky",B220,"Výrobce / Dodavatel",C220),"")</f>
        <v/>
      </c>
      <c r="E220" s="904" t="str">
        <f>IF(Tabulka4[[#This Row],[Typ úlohy]]="Účet",GETPIVOTDATA("Součet z Celková cena bez DPH (CZK)",$G$3,"Zkratka kalkulační položky",B220,"Výrobce / Dodavatel",C220),"")</f>
        <v/>
      </c>
      <c r="I220"/>
      <c r="J220"/>
    </row>
    <row r="221" spans="1:10" x14ac:dyDescent="0.35">
      <c r="A221" s="902" t="str">
        <f t="shared" si="4"/>
        <v/>
      </c>
      <c r="B221" s="903" t="str">
        <f>IF(Tabulka4[[#This Row],[Typ úlohy]]="Součet",G221,IF(Tabulka4[[#This Row],[Typ úlohy]]="Účet",B220,""))</f>
        <v/>
      </c>
      <c r="C221" s="903" t="str">
        <f>IF(Tabulka4[[#This Row],[Typ úlohy]]="Účet",H221,"")</f>
        <v/>
      </c>
      <c r="D221" s="903" t="str">
        <f>IF(Tabulka4[[#This Row],[Typ úlohy]]="Účet",GETPIVOTDATA("Součet z Celková hmotnost položek [kg]",$G$2,"Zkratka kalkulační položky",B221,"Výrobce / Dodavatel",C221),"")</f>
        <v/>
      </c>
      <c r="E221" s="904" t="str">
        <f>IF(Tabulka4[[#This Row],[Typ úlohy]]="Účet",GETPIVOTDATA("Součet z Celková cena bez DPH (CZK)",$G$3,"Zkratka kalkulační položky",B221,"Výrobce / Dodavatel",C221),"")</f>
        <v/>
      </c>
      <c r="I221"/>
      <c r="J221"/>
    </row>
    <row r="222" spans="1:10" x14ac:dyDescent="0.35">
      <c r="A222" s="902" t="str">
        <f t="shared" si="4"/>
        <v/>
      </c>
      <c r="B222" s="903" t="str">
        <f>IF(Tabulka4[[#This Row],[Typ úlohy]]="Součet",G222,IF(Tabulka4[[#This Row],[Typ úlohy]]="Účet",B221,""))</f>
        <v/>
      </c>
      <c r="C222" s="903" t="str">
        <f>IF(Tabulka4[[#This Row],[Typ úlohy]]="Účet",H222,"")</f>
        <v/>
      </c>
      <c r="D222" s="903" t="str">
        <f>IF(Tabulka4[[#This Row],[Typ úlohy]]="Účet",GETPIVOTDATA("Součet z Celková hmotnost položek [kg]",$G$2,"Zkratka kalkulační položky",B222,"Výrobce / Dodavatel",C222),"")</f>
        <v/>
      </c>
      <c r="E222" s="904" t="str">
        <f>IF(Tabulka4[[#This Row],[Typ úlohy]]="Účet",GETPIVOTDATA("Součet z Celková cena bez DPH (CZK)",$G$3,"Zkratka kalkulační položky",B222,"Výrobce / Dodavatel",C222),"")</f>
        <v/>
      </c>
      <c r="I222"/>
      <c r="J222"/>
    </row>
    <row r="223" spans="1:10" x14ac:dyDescent="0.35">
      <c r="A223" s="902" t="str">
        <f t="shared" si="4"/>
        <v/>
      </c>
      <c r="B223" s="903" t="str">
        <f>IF(Tabulka4[[#This Row],[Typ úlohy]]="Součet",G223,IF(Tabulka4[[#This Row],[Typ úlohy]]="Účet",B222,""))</f>
        <v/>
      </c>
      <c r="C223" s="903" t="str">
        <f>IF(Tabulka4[[#This Row],[Typ úlohy]]="Účet",H223,"")</f>
        <v/>
      </c>
      <c r="D223" s="903" t="str">
        <f>IF(Tabulka4[[#This Row],[Typ úlohy]]="Účet",GETPIVOTDATA("Součet z Celková hmotnost položek [kg]",$G$2,"Zkratka kalkulační položky",B223,"Výrobce / Dodavatel",C223),"")</f>
        <v/>
      </c>
      <c r="E223" s="904" t="str">
        <f>IF(Tabulka4[[#This Row],[Typ úlohy]]="Účet",GETPIVOTDATA("Součet z Celková cena bez DPH (CZK)",$G$3,"Zkratka kalkulační položky",B223,"Výrobce / Dodavatel",C223),"")</f>
        <v/>
      </c>
      <c r="I223"/>
      <c r="J223"/>
    </row>
    <row r="224" spans="1:10" x14ac:dyDescent="0.35">
      <c r="A224" s="902" t="str">
        <f t="shared" si="4"/>
        <v/>
      </c>
      <c r="B224" s="903" t="str">
        <f>IF(Tabulka4[[#This Row],[Typ úlohy]]="Součet",G224,IF(Tabulka4[[#This Row],[Typ úlohy]]="Účet",B223,""))</f>
        <v/>
      </c>
      <c r="C224" s="903" t="str">
        <f>IF(Tabulka4[[#This Row],[Typ úlohy]]="Účet",H224,"")</f>
        <v/>
      </c>
      <c r="D224" s="903" t="str">
        <f>IF(Tabulka4[[#This Row],[Typ úlohy]]="Účet",GETPIVOTDATA("Součet z Celková hmotnost položek [kg]",$G$2,"Zkratka kalkulační položky",B224,"Výrobce / Dodavatel",C224),"")</f>
        <v/>
      </c>
      <c r="E224" s="904" t="str">
        <f>IF(Tabulka4[[#This Row],[Typ úlohy]]="Účet",GETPIVOTDATA("Součet z Celková cena bez DPH (CZK)",$G$3,"Zkratka kalkulační položky",B224,"Výrobce / Dodavatel",C224),"")</f>
        <v/>
      </c>
    </row>
    <row r="225" spans="1:5" x14ac:dyDescent="0.35">
      <c r="A225" s="902" t="str">
        <f t="shared" si="4"/>
        <v/>
      </c>
      <c r="B225" s="903" t="str">
        <f>IF(Tabulka4[[#This Row],[Typ úlohy]]="Součet",G225,IF(Tabulka4[[#This Row],[Typ úlohy]]="Účet",B224,""))</f>
        <v/>
      </c>
      <c r="C225" s="903" t="str">
        <f>IF(Tabulka4[[#This Row],[Typ úlohy]]="Účet",H225,"")</f>
        <v/>
      </c>
      <c r="D225" s="903" t="str">
        <f>IF(Tabulka4[[#This Row],[Typ úlohy]]="Účet",GETPIVOTDATA("Součet z Celková hmotnost položek [kg]",$G$2,"Zkratka kalkulační položky",B225,"Výrobce / Dodavatel",C225),"")</f>
        <v/>
      </c>
      <c r="E225" s="904" t="str">
        <f>IF(Tabulka4[[#This Row],[Typ úlohy]]="Účet",GETPIVOTDATA("Součet z Celková cena bez DPH (CZK)",$G$3,"Zkratka kalkulační položky",B225,"Výrobce / Dodavatel",C225),"")</f>
        <v/>
      </c>
    </row>
    <row r="226" spans="1:5" x14ac:dyDescent="0.35">
      <c r="A226" s="902" t="str">
        <f t="shared" si="4"/>
        <v/>
      </c>
      <c r="B226" s="903" t="str">
        <f>IF(Tabulka4[[#This Row],[Typ úlohy]]="Součet",G226,IF(Tabulka4[[#This Row],[Typ úlohy]]="Účet",B225,""))</f>
        <v/>
      </c>
      <c r="C226" s="903" t="str">
        <f>IF(Tabulka4[[#This Row],[Typ úlohy]]="Účet",H226,"")</f>
        <v/>
      </c>
      <c r="D226" s="903" t="str">
        <f>IF(Tabulka4[[#This Row],[Typ úlohy]]="Účet",GETPIVOTDATA("Součet z Celková hmotnost položek [kg]",$G$2,"Zkratka kalkulační položky",B226,"Výrobce / Dodavatel",C226),"")</f>
        <v/>
      </c>
      <c r="E226" s="904" t="str">
        <f>IF(Tabulka4[[#This Row],[Typ úlohy]]="Účet",GETPIVOTDATA("Součet z Celková cena bez DPH (CZK)",$G$3,"Zkratka kalkulační položky",B226,"Výrobce / Dodavatel",C226),"")</f>
        <v/>
      </c>
    </row>
    <row r="227" spans="1:5" x14ac:dyDescent="0.35">
      <c r="A227" s="902" t="str">
        <f t="shared" si="4"/>
        <v/>
      </c>
      <c r="B227" s="903" t="str">
        <f>IF(Tabulka4[[#This Row],[Typ úlohy]]="Součet",G227,IF(Tabulka4[[#This Row],[Typ úlohy]]="Účet",B226,""))</f>
        <v/>
      </c>
      <c r="C227" s="903" t="str">
        <f>IF(Tabulka4[[#This Row],[Typ úlohy]]="Účet",H227,"")</f>
        <v/>
      </c>
      <c r="D227" s="903" t="str">
        <f>IF(Tabulka4[[#This Row],[Typ úlohy]]="Účet",GETPIVOTDATA("Součet z Celková hmotnost položek [kg]",$G$2,"Zkratka kalkulační položky",B227,"Výrobce / Dodavatel",C227),"")</f>
        <v/>
      </c>
      <c r="E227" s="904" t="str">
        <f>IF(Tabulka4[[#This Row],[Typ úlohy]]="Účet",GETPIVOTDATA("Součet z Celková cena bez DPH (CZK)",$G$3,"Zkratka kalkulační položky",B227,"Výrobce / Dodavatel",C227),"")</f>
        <v/>
      </c>
    </row>
    <row r="228" spans="1:5" x14ac:dyDescent="0.35">
      <c r="A228" s="902" t="str">
        <f t="shared" si="4"/>
        <v/>
      </c>
      <c r="B228" s="903" t="str">
        <f>IF(Tabulka4[[#This Row],[Typ úlohy]]="Součet",G228,IF(Tabulka4[[#This Row],[Typ úlohy]]="Účet",B227,""))</f>
        <v/>
      </c>
      <c r="C228" s="903" t="str">
        <f>IF(Tabulka4[[#This Row],[Typ úlohy]]="Účet",H228,"")</f>
        <v/>
      </c>
      <c r="D228" s="903" t="str">
        <f>IF(Tabulka4[[#This Row],[Typ úlohy]]="Účet",GETPIVOTDATA("Součet z Celková hmotnost položek [kg]",$G$2,"Zkratka kalkulační položky",B228,"Výrobce / Dodavatel",C228),"")</f>
        <v/>
      </c>
      <c r="E228" s="904" t="str">
        <f>IF(Tabulka4[[#This Row],[Typ úlohy]]="Účet",GETPIVOTDATA("Součet z Celková cena bez DPH (CZK)",$G$3,"Zkratka kalkulační položky",B228,"Výrobce / Dodavatel",C228),"")</f>
        <v/>
      </c>
    </row>
    <row r="229" spans="1:5" x14ac:dyDescent="0.35">
      <c r="A229" s="902" t="str">
        <f t="shared" si="4"/>
        <v/>
      </c>
      <c r="B229" s="903" t="str">
        <f>IF(Tabulka4[[#This Row],[Typ úlohy]]="Součet",G229,IF(Tabulka4[[#This Row],[Typ úlohy]]="Účet",B228,""))</f>
        <v/>
      </c>
      <c r="C229" s="903" t="str">
        <f>IF(Tabulka4[[#This Row],[Typ úlohy]]="Účet",H229,"")</f>
        <v/>
      </c>
      <c r="D229" s="903" t="str">
        <f>IF(Tabulka4[[#This Row],[Typ úlohy]]="Účet",GETPIVOTDATA("Součet z Celková hmotnost položek [kg]",$G$2,"Zkratka kalkulační položky",B229,"Výrobce / Dodavatel",C229),"")</f>
        <v/>
      </c>
      <c r="E229" s="904" t="str">
        <f>IF(Tabulka4[[#This Row],[Typ úlohy]]="Účet",GETPIVOTDATA("Součet z Celková cena bez DPH (CZK)",$G$3,"Zkratka kalkulační položky",B229,"Výrobce / Dodavatel",C229),"")</f>
        <v/>
      </c>
    </row>
    <row r="230" spans="1:5" x14ac:dyDescent="0.35">
      <c r="A230" s="902" t="str">
        <f t="shared" si="4"/>
        <v/>
      </c>
      <c r="B230" s="903" t="str">
        <f>IF(Tabulka4[[#This Row],[Typ úlohy]]="Součet",G230,IF(Tabulka4[[#This Row],[Typ úlohy]]="Účet",B229,""))</f>
        <v/>
      </c>
      <c r="C230" s="903" t="str">
        <f>IF(Tabulka4[[#This Row],[Typ úlohy]]="Účet",H230,"")</f>
        <v/>
      </c>
      <c r="D230" s="903" t="str">
        <f>IF(Tabulka4[[#This Row],[Typ úlohy]]="Účet",GETPIVOTDATA("Součet z Celková hmotnost položek [kg]",$G$2,"Zkratka kalkulační položky",B230,"Výrobce / Dodavatel",C230),"")</f>
        <v/>
      </c>
      <c r="E230" s="904" t="str">
        <f>IF(Tabulka4[[#This Row],[Typ úlohy]]="Účet",GETPIVOTDATA("Součet z Celková cena bez DPH (CZK)",$G$3,"Zkratka kalkulační položky",B230,"Výrobce / Dodavatel",C230),"")</f>
        <v/>
      </c>
    </row>
    <row r="231" spans="1:5" x14ac:dyDescent="0.35">
      <c r="A231" s="902" t="str">
        <f t="shared" si="4"/>
        <v/>
      </c>
      <c r="B231" s="903" t="str">
        <f>IF(Tabulka4[[#This Row],[Typ úlohy]]="Součet",G231,IF(Tabulka4[[#This Row],[Typ úlohy]]="Účet",B230,""))</f>
        <v/>
      </c>
      <c r="C231" s="903" t="str">
        <f>IF(Tabulka4[[#This Row],[Typ úlohy]]="Účet",H231,"")</f>
        <v/>
      </c>
      <c r="D231" s="903" t="str">
        <f>IF(Tabulka4[[#This Row],[Typ úlohy]]="Účet",GETPIVOTDATA("Součet z Celková hmotnost položek [kg]",$G$2,"Zkratka kalkulační položky",B231,"Výrobce / Dodavatel",C231),"")</f>
        <v/>
      </c>
      <c r="E231" s="904" t="str">
        <f>IF(Tabulka4[[#This Row],[Typ úlohy]]="Účet",GETPIVOTDATA("Součet z Celková cena bez DPH (CZK)",$G$3,"Zkratka kalkulační položky",B231,"Výrobce / Dodavatel",C231),"")</f>
        <v/>
      </c>
    </row>
    <row r="232" spans="1:5" x14ac:dyDescent="0.35">
      <c r="A232" s="902" t="str">
        <f t="shared" si="4"/>
        <v/>
      </c>
      <c r="B232" s="903" t="str">
        <f>IF(Tabulka4[[#This Row],[Typ úlohy]]="Součet",G232,IF(Tabulka4[[#This Row],[Typ úlohy]]="Účet",B231,""))</f>
        <v/>
      </c>
      <c r="C232" s="903" t="str">
        <f>IF(Tabulka4[[#This Row],[Typ úlohy]]="Účet",H232,"")</f>
        <v/>
      </c>
      <c r="D232" s="903" t="str">
        <f>IF(Tabulka4[[#This Row],[Typ úlohy]]="Účet",GETPIVOTDATA("Součet z Celková hmotnost položek [kg]",$G$2,"Zkratka kalkulační položky",B232,"Výrobce / Dodavatel",C232),"")</f>
        <v/>
      </c>
      <c r="E232" s="904" t="str">
        <f>IF(Tabulka4[[#This Row],[Typ úlohy]]="Účet",GETPIVOTDATA("Součet z Celková cena bez DPH (CZK)",$G$3,"Zkratka kalkulační položky",B232,"Výrobce / Dodavatel",C232),"")</f>
        <v/>
      </c>
    </row>
    <row r="233" spans="1:5" x14ac:dyDescent="0.35">
      <c r="A233" s="902" t="str">
        <f t="shared" si="4"/>
        <v/>
      </c>
      <c r="B233" s="903" t="str">
        <f>IF(Tabulka4[[#This Row],[Typ úlohy]]="Součet",G233,IF(Tabulka4[[#This Row],[Typ úlohy]]="Účet",B232,""))</f>
        <v/>
      </c>
      <c r="C233" s="903" t="str">
        <f>IF(Tabulka4[[#This Row],[Typ úlohy]]="Účet",H233,"")</f>
        <v/>
      </c>
      <c r="D233" s="903" t="str">
        <f>IF(Tabulka4[[#This Row],[Typ úlohy]]="Účet",GETPIVOTDATA("Součet z Celková hmotnost položek [kg]",$G$2,"Zkratka kalkulační položky",B233,"Výrobce / Dodavatel",C233),"")</f>
        <v/>
      </c>
      <c r="E233" s="904" t="str">
        <f>IF(Tabulka4[[#This Row],[Typ úlohy]]="Účet",GETPIVOTDATA("Součet z Celková cena bez DPH (CZK)",$G$3,"Zkratka kalkulační položky",B233,"Výrobce / Dodavatel",C233),"")</f>
        <v/>
      </c>
    </row>
    <row r="234" spans="1:5" x14ac:dyDescent="0.35">
      <c r="A234" s="902" t="str">
        <f t="shared" si="4"/>
        <v/>
      </c>
      <c r="B234" s="903" t="str">
        <f>IF(Tabulka4[[#This Row],[Typ úlohy]]="Součet",G234,IF(Tabulka4[[#This Row],[Typ úlohy]]="Účet",B233,""))</f>
        <v/>
      </c>
      <c r="C234" s="903" t="str">
        <f>IF(Tabulka4[[#This Row],[Typ úlohy]]="Účet",H234,"")</f>
        <v/>
      </c>
      <c r="D234" s="903" t="str">
        <f>IF(Tabulka4[[#This Row],[Typ úlohy]]="Účet",GETPIVOTDATA("Součet z Celková hmotnost položek [kg]",$G$2,"Zkratka kalkulační položky",B234,"Výrobce / Dodavatel",C234),"")</f>
        <v/>
      </c>
      <c r="E234" s="904" t="str">
        <f>IF(Tabulka4[[#This Row],[Typ úlohy]]="Účet",GETPIVOTDATA("Součet z Celková cena bez DPH (CZK)",$G$3,"Zkratka kalkulační položky",B234,"Výrobce / Dodavatel",C234),"")</f>
        <v/>
      </c>
    </row>
    <row r="235" spans="1:5" x14ac:dyDescent="0.35">
      <c r="A235" s="902" t="str">
        <f t="shared" si="4"/>
        <v/>
      </c>
      <c r="B235" s="903" t="str">
        <f>IF(Tabulka4[[#This Row],[Typ úlohy]]="Součet",G235,IF(Tabulka4[[#This Row],[Typ úlohy]]="Účet",B234,""))</f>
        <v/>
      </c>
      <c r="C235" s="903" t="str">
        <f>IF(Tabulka4[[#This Row],[Typ úlohy]]="Účet",H235,"")</f>
        <v/>
      </c>
      <c r="D235" s="903" t="str">
        <f>IF(Tabulka4[[#This Row],[Typ úlohy]]="Účet",GETPIVOTDATA("Součet z Celková hmotnost položek [kg]",$G$2,"Zkratka kalkulační položky",B235,"Výrobce / Dodavatel",C235),"")</f>
        <v/>
      </c>
      <c r="E235" s="904" t="str">
        <f>IF(Tabulka4[[#This Row],[Typ úlohy]]="Účet",GETPIVOTDATA("Součet z Celková cena bez DPH (CZK)",$G$3,"Zkratka kalkulační položky",B235,"Výrobce / Dodavatel",C235),"")</f>
        <v/>
      </c>
    </row>
    <row r="236" spans="1:5" x14ac:dyDescent="0.35">
      <c r="A236" s="902" t="str">
        <f t="shared" si="4"/>
        <v/>
      </c>
      <c r="B236" s="903" t="str">
        <f>IF(Tabulka4[[#This Row],[Typ úlohy]]="Součet",G236,IF(Tabulka4[[#This Row],[Typ úlohy]]="Účet",B235,""))</f>
        <v/>
      </c>
      <c r="C236" s="903" t="str">
        <f>IF(Tabulka4[[#This Row],[Typ úlohy]]="Účet",H236,"")</f>
        <v/>
      </c>
      <c r="D236" s="903" t="str">
        <f>IF(Tabulka4[[#This Row],[Typ úlohy]]="Účet",GETPIVOTDATA("Součet z Celková hmotnost položek [kg]",$G$2,"Zkratka kalkulační položky",B236,"Výrobce / Dodavatel",C236),"")</f>
        <v/>
      </c>
      <c r="E236" s="904" t="str">
        <f>IF(Tabulka4[[#This Row],[Typ úlohy]]="Účet",GETPIVOTDATA("Součet z Celková cena bez DPH (CZK)",$G$3,"Zkratka kalkulační položky",B236,"Výrobce / Dodavatel",C236),"")</f>
        <v/>
      </c>
    </row>
    <row r="237" spans="1:5" x14ac:dyDescent="0.35">
      <c r="A237" s="902" t="str">
        <f t="shared" si="4"/>
        <v/>
      </c>
      <c r="B237" s="903" t="str">
        <f>IF(Tabulka4[[#This Row],[Typ úlohy]]="Součet",G237,IF(Tabulka4[[#This Row],[Typ úlohy]]="Účet",B236,""))</f>
        <v/>
      </c>
      <c r="C237" s="903" t="str">
        <f>IF(Tabulka4[[#This Row],[Typ úlohy]]="Účet",H237,"")</f>
        <v/>
      </c>
      <c r="D237" s="903" t="str">
        <f>IF(Tabulka4[[#This Row],[Typ úlohy]]="Účet",GETPIVOTDATA("Součet z Celková hmotnost položek [kg]",$G$2,"Zkratka kalkulační položky",B237,"Výrobce / Dodavatel",C237),"")</f>
        <v/>
      </c>
      <c r="E237" s="904" t="str">
        <f>IF(Tabulka4[[#This Row],[Typ úlohy]]="Účet",GETPIVOTDATA("Součet z Celková cena bez DPH (CZK)",$G$3,"Zkratka kalkulační položky",B237,"Výrobce / Dodavatel",C237),"")</f>
        <v/>
      </c>
    </row>
    <row r="238" spans="1:5" x14ac:dyDescent="0.35">
      <c r="A238" s="902" t="str">
        <f t="shared" si="4"/>
        <v/>
      </c>
      <c r="B238" s="903" t="str">
        <f>IF(Tabulka4[[#This Row],[Typ úlohy]]="Součet",G238,IF(Tabulka4[[#This Row],[Typ úlohy]]="Účet",B237,""))</f>
        <v/>
      </c>
      <c r="C238" s="903" t="str">
        <f>IF(Tabulka4[[#This Row],[Typ úlohy]]="Účet",H238,"")</f>
        <v/>
      </c>
      <c r="D238" s="903" t="str">
        <f>IF(Tabulka4[[#This Row],[Typ úlohy]]="Účet",GETPIVOTDATA("Součet z Celková hmotnost položek [kg]",$G$2,"Zkratka kalkulační položky",B238,"Výrobce / Dodavatel",C238),"")</f>
        <v/>
      </c>
      <c r="E238" s="904" t="str">
        <f>IF(Tabulka4[[#This Row],[Typ úlohy]]="Účet",GETPIVOTDATA("Součet z Celková cena bez DPH (CZK)",$G$3,"Zkratka kalkulační položky",B238,"Výrobce / Dodavatel",C238),"")</f>
        <v/>
      </c>
    </row>
    <row r="239" spans="1:5" x14ac:dyDescent="0.35">
      <c r="A239" s="902" t="str">
        <f t="shared" si="4"/>
        <v/>
      </c>
      <c r="B239" s="903" t="str">
        <f>IF(Tabulka4[[#This Row],[Typ úlohy]]="Součet",G239,IF(Tabulka4[[#This Row],[Typ úlohy]]="Účet",B238,""))</f>
        <v/>
      </c>
      <c r="C239" s="903" t="str">
        <f>IF(Tabulka4[[#This Row],[Typ úlohy]]="Účet",H239,"")</f>
        <v/>
      </c>
      <c r="D239" s="903" t="str">
        <f>IF(Tabulka4[[#This Row],[Typ úlohy]]="Účet",GETPIVOTDATA("Součet z Celková hmotnost položek [kg]",$G$2,"Zkratka kalkulační položky",B239,"Výrobce / Dodavatel",C239),"")</f>
        <v/>
      </c>
      <c r="E239" s="904" t="str">
        <f>IF(Tabulka4[[#This Row],[Typ úlohy]]="Účet",GETPIVOTDATA("Součet z Celková cena bez DPH (CZK)",$G$3,"Zkratka kalkulační položky",B239,"Výrobce / Dodavatel",C239),"")</f>
        <v/>
      </c>
    </row>
    <row r="240" spans="1:5" x14ac:dyDescent="0.35">
      <c r="A240" s="902" t="str">
        <f t="shared" si="4"/>
        <v/>
      </c>
      <c r="B240" s="903" t="str">
        <f>IF(Tabulka4[[#This Row],[Typ úlohy]]="Součet",G240,IF(Tabulka4[[#This Row],[Typ úlohy]]="Účet",B239,""))</f>
        <v/>
      </c>
      <c r="C240" s="903" t="str">
        <f>IF(Tabulka4[[#This Row],[Typ úlohy]]="Účet",H240,"")</f>
        <v/>
      </c>
      <c r="D240" s="903" t="str">
        <f>IF(Tabulka4[[#This Row],[Typ úlohy]]="Účet",GETPIVOTDATA("Součet z Celková hmotnost položek [kg]",$G$2,"Zkratka kalkulační položky",B240,"Výrobce / Dodavatel",C240),"")</f>
        <v/>
      </c>
      <c r="E240" s="904" t="str">
        <f>IF(Tabulka4[[#This Row],[Typ úlohy]]="Účet",GETPIVOTDATA("Součet z Celková cena bez DPH (CZK)",$G$3,"Zkratka kalkulační položky",B240,"Výrobce / Dodavatel",C240),"")</f>
        <v/>
      </c>
    </row>
    <row r="241" spans="1:5" x14ac:dyDescent="0.35">
      <c r="A241" s="902" t="str">
        <f t="shared" si="4"/>
        <v/>
      </c>
      <c r="B241" s="903" t="str">
        <f>IF(Tabulka4[[#This Row],[Typ úlohy]]="Součet",G241,IF(Tabulka4[[#This Row],[Typ úlohy]]="Účet",B240,""))</f>
        <v/>
      </c>
      <c r="C241" s="903" t="str">
        <f>IF(Tabulka4[[#This Row],[Typ úlohy]]="Účet",H241,"")</f>
        <v/>
      </c>
      <c r="D241" s="903" t="str">
        <f>IF(Tabulka4[[#This Row],[Typ úlohy]]="Účet",GETPIVOTDATA("Součet z Celková hmotnost položek [kg]",$G$2,"Zkratka kalkulační položky",B241,"Výrobce / Dodavatel",C241),"")</f>
        <v/>
      </c>
      <c r="E241" s="904" t="str">
        <f>IF(Tabulka4[[#This Row],[Typ úlohy]]="Účet",GETPIVOTDATA("Součet z Celková cena bez DPH (CZK)",$G$3,"Zkratka kalkulační položky",B241,"Výrobce / Dodavatel",C241),"")</f>
        <v/>
      </c>
    </row>
    <row r="242" spans="1:5" x14ac:dyDescent="0.35">
      <c r="A242" s="902" t="str">
        <f t="shared" si="4"/>
        <v/>
      </c>
      <c r="B242" s="903" t="str">
        <f>IF(Tabulka4[[#This Row],[Typ úlohy]]="Součet",G242,IF(Tabulka4[[#This Row],[Typ úlohy]]="Účet",B241,""))</f>
        <v/>
      </c>
      <c r="C242" s="903" t="str">
        <f>IF(Tabulka4[[#This Row],[Typ úlohy]]="Účet",H242,"")</f>
        <v/>
      </c>
      <c r="D242" s="903" t="str">
        <f>IF(Tabulka4[[#This Row],[Typ úlohy]]="Účet",GETPIVOTDATA("Součet z Celková hmotnost položek [kg]",$G$2,"Zkratka kalkulační položky",B242,"Výrobce / Dodavatel",C242),"")</f>
        <v/>
      </c>
      <c r="E242" s="904" t="str">
        <f>IF(Tabulka4[[#This Row],[Typ úlohy]]="Účet",GETPIVOTDATA("Součet z Celková cena bez DPH (CZK)",$G$3,"Zkratka kalkulační položky",B242,"Výrobce / Dodavatel",C242),"")</f>
        <v/>
      </c>
    </row>
    <row r="243" spans="1:5" x14ac:dyDescent="0.35">
      <c r="A243" s="902" t="str">
        <f t="shared" si="4"/>
        <v/>
      </c>
      <c r="B243" s="903" t="str">
        <f>IF(Tabulka4[[#This Row],[Typ úlohy]]="Součet",G243,IF(Tabulka4[[#This Row],[Typ úlohy]]="Účet",B242,""))</f>
        <v/>
      </c>
      <c r="C243" s="903" t="str">
        <f>IF(Tabulka4[[#This Row],[Typ úlohy]]="Účet",H243,"")</f>
        <v/>
      </c>
      <c r="D243" s="903" t="str">
        <f>IF(Tabulka4[[#This Row],[Typ úlohy]]="Účet",GETPIVOTDATA("Součet z Celková hmotnost položek [kg]",$G$2,"Zkratka kalkulační položky",B243,"Výrobce / Dodavatel",C243),"")</f>
        <v/>
      </c>
      <c r="E243" s="904" t="str">
        <f>IF(Tabulka4[[#This Row],[Typ úlohy]]="Účet",GETPIVOTDATA("Součet z Celková cena bez DPH (CZK)",$G$3,"Zkratka kalkulační položky",B243,"Výrobce / Dodavatel",C243),"")</f>
        <v/>
      </c>
    </row>
    <row r="244" spans="1:5" x14ac:dyDescent="0.35">
      <c r="A244" s="902" t="str">
        <f t="shared" si="4"/>
        <v/>
      </c>
      <c r="B244" s="903" t="str">
        <f>IF(Tabulka4[[#This Row],[Typ úlohy]]="Součet",G244,IF(Tabulka4[[#This Row],[Typ úlohy]]="Účet",B243,""))</f>
        <v/>
      </c>
      <c r="C244" s="903" t="str">
        <f>IF(Tabulka4[[#This Row],[Typ úlohy]]="Účet",H244,"")</f>
        <v/>
      </c>
      <c r="D244" s="903" t="str">
        <f>IF(Tabulka4[[#This Row],[Typ úlohy]]="Účet",GETPIVOTDATA("Součet z Celková hmotnost položek [kg]",$G$2,"Zkratka kalkulační položky",B244,"Výrobce / Dodavatel",C244),"")</f>
        <v/>
      </c>
      <c r="E244" s="904" t="str">
        <f>IF(Tabulka4[[#This Row],[Typ úlohy]]="Účet",GETPIVOTDATA("Součet z Celková cena bez DPH (CZK)",$G$3,"Zkratka kalkulační položky",B244,"Výrobce / Dodavatel",C244),"")</f>
        <v/>
      </c>
    </row>
    <row r="245" spans="1:5" x14ac:dyDescent="0.35">
      <c r="A245" s="902" t="str">
        <f t="shared" si="4"/>
        <v/>
      </c>
      <c r="B245" s="903" t="str">
        <f>IF(Tabulka4[[#This Row],[Typ úlohy]]="Součet",G245,IF(Tabulka4[[#This Row],[Typ úlohy]]="Účet",B244,""))</f>
        <v/>
      </c>
      <c r="C245" s="903" t="str">
        <f>IF(Tabulka4[[#This Row],[Typ úlohy]]="Účet",H245,"")</f>
        <v/>
      </c>
      <c r="D245" s="903" t="str">
        <f>IF(Tabulka4[[#This Row],[Typ úlohy]]="Účet",GETPIVOTDATA("Součet z Celková hmotnost položek [kg]",$G$2,"Zkratka kalkulační položky",B245,"Výrobce / Dodavatel",C245),"")</f>
        <v/>
      </c>
      <c r="E245" s="904" t="str">
        <f>IF(Tabulka4[[#This Row],[Typ úlohy]]="Účet",GETPIVOTDATA("Součet z Celková cena bez DPH (CZK)",$G$3,"Zkratka kalkulační položky",B245,"Výrobce / Dodavatel",C245),"")</f>
        <v/>
      </c>
    </row>
    <row r="246" spans="1:5" x14ac:dyDescent="0.35">
      <c r="A246" s="902" t="str">
        <f t="shared" si="4"/>
        <v/>
      </c>
      <c r="B246" s="903" t="str">
        <f>IF(Tabulka4[[#This Row],[Typ úlohy]]="Součet",G246,IF(Tabulka4[[#This Row],[Typ úlohy]]="Účet",B245,""))</f>
        <v/>
      </c>
      <c r="C246" s="903" t="str">
        <f>IF(Tabulka4[[#This Row],[Typ úlohy]]="Účet",H246,"")</f>
        <v/>
      </c>
      <c r="D246" s="903" t="str">
        <f>IF(Tabulka4[[#This Row],[Typ úlohy]]="Účet",GETPIVOTDATA("Součet z Celková hmotnost položek [kg]",$G$2,"Zkratka kalkulační položky",B246,"Výrobce / Dodavatel",C246),"")</f>
        <v/>
      </c>
      <c r="E246" s="904" t="str">
        <f>IF(Tabulka4[[#This Row],[Typ úlohy]]="Účet",GETPIVOTDATA("Součet z Celková cena bez DPH (CZK)",$G$3,"Zkratka kalkulační položky",B246,"Výrobce / Dodavatel",C246),"")</f>
        <v/>
      </c>
    </row>
    <row r="247" spans="1:5" x14ac:dyDescent="0.35">
      <c r="A247" s="902" t="str">
        <f t="shared" si="4"/>
        <v/>
      </c>
      <c r="B247" s="903" t="str">
        <f>IF(Tabulka4[[#This Row],[Typ úlohy]]="Součet",G247,IF(Tabulka4[[#This Row],[Typ úlohy]]="Účet",B246,""))</f>
        <v/>
      </c>
      <c r="C247" s="903" t="str">
        <f>IF(Tabulka4[[#This Row],[Typ úlohy]]="Účet",H247,"")</f>
        <v/>
      </c>
      <c r="D247" s="903" t="str">
        <f>IF(Tabulka4[[#This Row],[Typ úlohy]]="Účet",GETPIVOTDATA("Součet z Celková hmotnost položek [kg]",$G$2,"Zkratka kalkulační položky",B247,"Výrobce / Dodavatel",C247),"")</f>
        <v/>
      </c>
      <c r="E247" s="904" t="str">
        <f>IF(Tabulka4[[#This Row],[Typ úlohy]]="Účet",GETPIVOTDATA("Součet z Celková cena bez DPH (CZK)",$G$3,"Zkratka kalkulační položky",B247,"Výrobce / Dodavatel",C247),"")</f>
        <v/>
      </c>
    </row>
    <row r="248" spans="1:5" x14ac:dyDescent="0.35">
      <c r="A248" s="902" t="str">
        <f t="shared" si="4"/>
        <v/>
      </c>
      <c r="B248" s="903" t="str">
        <f>IF(Tabulka4[[#This Row],[Typ úlohy]]="Součet",G248,IF(Tabulka4[[#This Row],[Typ úlohy]]="Účet",B247,""))</f>
        <v/>
      </c>
      <c r="C248" s="903" t="str">
        <f>IF(Tabulka4[[#This Row],[Typ úlohy]]="Účet",H248,"")</f>
        <v/>
      </c>
      <c r="D248" s="903" t="str">
        <f>IF(Tabulka4[[#This Row],[Typ úlohy]]="Účet",GETPIVOTDATA("Součet z Celková hmotnost položek [kg]",$G$2,"Zkratka kalkulační položky",B248,"Výrobce / Dodavatel",C248),"")</f>
        <v/>
      </c>
      <c r="E248" s="904" t="str">
        <f>IF(Tabulka4[[#This Row],[Typ úlohy]]="Účet",GETPIVOTDATA("Součet z Celková cena bez DPH (CZK)",$G$3,"Zkratka kalkulační položky",B248,"Výrobce / Dodavatel",C248),"")</f>
        <v/>
      </c>
    </row>
    <row r="249" spans="1:5" x14ac:dyDescent="0.35">
      <c r="A249" s="902" t="str">
        <f t="shared" si="4"/>
        <v/>
      </c>
      <c r="B249" s="903" t="str">
        <f>IF(Tabulka4[[#This Row],[Typ úlohy]]="Součet",G249,IF(Tabulka4[[#This Row],[Typ úlohy]]="Účet",B248,""))</f>
        <v/>
      </c>
      <c r="C249" s="903" t="str">
        <f>IF(Tabulka4[[#This Row],[Typ úlohy]]="Účet",H249,"")</f>
        <v/>
      </c>
      <c r="D249" s="903" t="str">
        <f>IF(Tabulka4[[#This Row],[Typ úlohy]]="Účet",GETPIVOTDATA("Součet z Celková hmotnost položek [kg]",$G$2,"Zkratka kalkulační položky",B249,"Výrobce / Dodavatel",C249),"")</f>
        <v/>
      </c>
      <c r="E249" s="904" t="str">
        <f>IF(Tabulka4[[#This Row],[Typ úlohy]]="Účet",GETPIVOTDATA("Součet z Celková cena bez DPH (CZK)",$G$3,"Zkratka kalkulační položky",B249,"Výrobce / Dodavatel",C249),"")</f>
        <v/>
      </c>
    </row>
    <row r="250" spans="1:5" x14ac:dyDescent="0.35">
      <c r="A250" s="902" t="str">
        <f t="shared" si="4"/>
        <v/>
      </c>
      <c r="B250" s="903" t="str">
        <f>IF(Tabulka4[[#This Row],[Typ úlohy]]="Součet",G250,IF(Tabulka4[[#This Row],[Typ úlohy]]="Účet",B249,""))</f>
        <v/>
      </c>
      <c r="C250" s="903" t="str">
        <f>IF(Tabulka4[[#This Row],[Typ úlohy]]="Účet",H250,"")</f>
        <v/>
      </c>
      <c r="D250" s="903" t="str">
        <f>IF(Tabulka4[[#This Row],[Typ úlohy]]="Účet",GETPIVOTDATA("Součet z Celková hmotnost položek [kg]",$G$2,"Zkratka kalkulační položky",B250,"Výrobce / Dodavatel",C250),"")</f>
        <v/>
      </c>
      <c r="E250" s="904" t="str">
        <f>IF(Tabulka4[[#This Row],[Typ úlohy]]="Účet",GETPIVOTDATA("Součet z Celková cena bez DPH (CZK)",$G$3,"Zkratka kalkulační položky",B250,"Výrobce / Dodavatel",C250),"")</f>
        <v/>
      </c>
    </row>
    <row r="251" spans="1:5" x14ac:dyDescent="0.35">
      <c r="A251" s="902" t="str">
        <f t="shared" si="4"/>
        <v/>
      </c>
      <c r="B251" s="903" t="str">
        <f>IF(Tabulka4[[#This Row],[Typ úlohy]]="Součet",G251,IF(Tabulka4[[#This Row],[Typ úlohy]]="Účet",B250,""))</f>
        <v/>
      </c>
      <c r="C251" s="903" t="str">
        <f>IF(Tabulka4[[#This Row],[Typ úlohy]]="Účet",H251,"")</f>
        <v/>
      </c>
      <c r="D251" s="903" t="str">
        <f>IF(Tabulka4[[#This Row],[Typ úlohy]]="Účet",GETPIVOTDATA("Součet z Celková hmotnost položek [kg]",$G$2,"Zkratka kalkulační položky",B251,"Výrobce / Dodavatel",C251),"")</f>
        <v/>
      </c>
      <c r="E251" s="904" t="str">
        <f>IF(Tabulka4[[#This Row],[Typ úlohy]]="Účet",GETPIVOTDATA("Součet z Celková cena bez DPH (CZK)",$G$3,"Zkratka kalkulační položky",B251,"Výrobce / Dodavatel",C251),"")</f>
        <v/>
      </c>
    </row>
    <row r="252" spans="1:5" x14ac:dyDescent="0.35">
      <c r="A252" s="902" t="str">
        <f t="shared" si="4"/>
        <v/>
      </c>
      <c r="B252" s="903" t="str">
        <f>IF(Tabulka4[[#This Row],[Typ úlohy]]="Součet",G252,IF(Tabulka4[[#This Row],[Typ úlohy]]="Účet",B251,""))</f>
        <v/>
      </c>
      <c r="C252" s="903" t="str">
        <f>IF(Tabulka4[[#This Row],[Typ úlohy]]="Účet",H252,"")</f>
        <v/>
      </c>
      <c r="D252" s="903" t="str">
        <f>IF(Tabulka4[[#This Row],[Typ úlohy]]="Účet",GETPIVOTDATA("Součet z Celková hmotnost položek [kg]",$G$2,"Zkratka kalkulační položky",B252,"Výrobce / Dodavatel",C252),"")</f>
        <v/>
      </c>
      <c r="E252" s="904" t="str">
        <f>IF(Tabulka4[[#This Row],[Typ úlohy]]="Účet",GETPIVOTDATA("Součet z Celková cena bez DPH (CZK)",$G$3,"Zkratka kalkulační položky",B252,"Výrobce / Dodavatel",C252),"")</f>
        <v/>
      </c>
    </row>
    <row r="253" spans="1:5" x14ac:dyDescent="0.35">
      <c r="A253" s="902" t="str">
        <f t="shared" si="4"/>
        <v/>
      </c>
      <c r="B253" s="903" t="str">
        <f>IF(Tabulka4[[#This Row],[Typ úlohy]]="Součet",G253,IF(Tabulka4[[#This Row],[Typ úlohy]]="Účet",B252,""))</f>
        <v/>
      </c>
      <c r="C253" s="903" t="str">
        <f>IF(Tabulka4[[#This Row],[Typ úlohy]]="Účet",H253,"")</f>
        <v/>
      </c>
      <c r="D253" s="903" t="str">
        <f>IF(Tabulka4[[#This Row],[Typ úlohy]]="Účet",GETPIVOTDATA("Součet z Celková hmotnost položek [kg]",$G$2,"Zkratka kalkulační položky",B253,"Výrobce / Dodavatel",C253),"")</f>
        <v/>
      </c>
      <c r="E253" s="904" t="str">
        <f>IF(Tabulka4[[#This Row],[Typ úlohy]]="Účet",GETPIVOTDATA("Součet z Celková cena bez DPH (CZK)",$G$3,"Zkratka kalkulační položky",B253,"Výrobce / Dodavatel",C253),"")</f>
        <v/>
      </c>
    </row>
    <row r="254" spans="1:5" x14ac:dyDescent="0.35">
      <c r="A254" s="902" t="str">
        <f t="shared" si="4"/>
        <v/>
      </c>
      <c r="B254" s="903" t="str">
        <f>IF(Tabulka4[[#This Row],[Typ úlohy]]="Součet",G254,IF(Tabulka4[[#This Row],[Typ úlohy]]="Účet",B253,""))</f>
        <v/>
      </c>
      <c r="C254" s="903" t="str">
        <f>IF(Tabulka4[[#This Row],[Typ úlohy]]="Účet",H254,"")</f>
        <v/>
      </c>
      <c r="D254" s="903" t="str">
        <f>IF(Tabulka4[[#This Row],[Typ úlohy]]="Účet",GETPIVOTDATA("Součet z Celková hmotnost položek [kg]",$G$2,"Zkratka kalkulační položky",B254,"Výrobce / Dodavatel",C254),"")</f>
        <v/>
      </c>
      <c r="E254" s="904" t="str">
        <f>IF(Tabulka4[[#This Row],[Typ úlohy]]="Účet",GETPIVOTDATA("Součet z Celková cena bez DPH (CZK)",$G$3,"Zkratka kalkulační položky",B254,"Výrobce / Dodavatel",C254),"")</f>
        <v/>
      </c>
    </row>
    <row r="255" spans="1:5" x14ac:dyDescent="0.35">
      <c r="A255" s="902" t="str">
        <f t="shared" si="4"/>
        <v/>
      </c>
      <c r="B255" s="903" t="str">
        <f>IF(Tabulka4[[#This Row],[Typ úlohy]]="Součet",G255,IF(Tabulka4[[#This Row],[Typ úlohy]]="Účet",B254,""))</f>
        <v/>
      </c>
      <c r="C255" s="903" t="str">
        <f>IF(Tabulka4[[#This Row],[Typ úlohy]]="Účet",H255,"")</f>
        <v/>
      </c>
      <c r="D255" s="903" t="str">
        <f>IF(Tabulka4[[#This Row],[Typ úlohy]]="Účet",GETPIVOTDATA("Součet z Celková hmotnost položek [kg]",$G$2,"Zkratka kalkulační položky",B255,"Výrobce / Dodavatel",C255),"")</f>
        <v/>
      </c>
      <c r="E255" s="904" t="str">
        <f>IF(Tabulka4[[#This Row],[Typ úlohy]]="Účet",GETPIVOTDATA("Součet z Celková cena bez DPH (CZK)",$G$3,"Zkratka kalkulační položky",B255,"Výrobce / Dodavatel",C255),"")</f>
        <v/>
      </c>
    </row>
    <row r="256" spans="1:5" x14ac:dyDescent="0.35">
      <c r="A256" s="902" t="str">
        <f t="shared" si="4"/>
        <v/>
      </c>
      <c r="B256" s="903" t="str">
        <f>IF(Tabulka4[[#This Row],[Typ úlohy]]="Součet",G256,IF(Tabulka4[[#This Row],[Typ úlohy]]="Účet",B255,""))</f>
        <v/>
      </c>
      <c r="C256" s="903" t="str">
        <f>IF(Tabulka4[[#This Row],[Typ úlohy]]="Účet",H256,"")</f>
        <v/>
      </c>
      <c r="D256" s="903" t="str">
        <f>IF(Tabulka4[[#This Row],[Typ úlohy]]="Účet",GETPIVOTDATA("Součet z Celková hmotnost položek [kg]",$G$2,"Zkratka kalkulační položky",B256,"Výrobce / Dodavatel",C256),"")</f>
        <v/>
      </c>
      <c r="E256" s="904" t="str">
        <f>IF(Tabulka4[[#This Row],[Typ úlohy]]="Účet",GETPIVOTDATA("Součet z Celková cena bez DPH (CZK)",$G$3,"Zkratka kalkulační položky",B256,"Výrobce / Dodavatel",C256),"")</f>
        <v/>
      </c>
    </row>
    <row r="257" spans="1:5" x14ac:dyDescent="0.35">
      <c r="A257" s="902" t="str">
        <f t="shared" si="4"/>
        <v/>
      </c>
      <c r="B257" s="903" t="str">
        <f>IF(Tabulka4[[#This Row],[Typ úlohy]]="Součet",G257,IF(Tabulka4[[#This Row],[Typ úlohy]]="Účet",B256,""))</f>
        <v/>
      </c>
      <c r="C257" s="903" t="str">
        <f>IF(Tabulka4[[#This Row],[Typ úlohy]]="Účet",H257,"")</f>
        <v/>
      </c>
      <c r="D257" s="903" t="str">
        <f>IF(Tabulka4[[#This Row],[Typ úlohy]]="Účet",GETPIVOTDATA("Součet z Celková hmotnost položek [kg]",$G$2,"Zkratka kalkulační položky",B257,"Výrobce / Dodavatel",C257),"")</f>
        <v/>
      </c>
      <c r="E257" s="904" t="str">
        <f>IF(Tabulka4[[#This Row],[Typ úlohy]]="Účet",GETPIVOTDATA("Součet z Celková cena bez DPH (CZK)",$G$3,"Zkratka kalkulační položky",B257,"Výrobce / Dodavatel",C257),"")</f>
        <v/>
      </c>
    </row>
    <row r="258" spans="1:5" x14ac:dyDescent="0.35">
      <c r="A258" s="902" t="str">
        <f t="shared" si="4"/>
        <v/>
      </c>
      <c r="B258" s="903" t="str">
        <f>IF(Tabulka4[[#This Row],[Typ úlohy]]="Součet",G258,IF(Tabulka4[[#This Row],[Typ úlohy]]="Účet",B257,""))</f>
        <v/>
      </c>
      <c r="C258" s="903" t="str">
        <f>IF(Tabulka4[[#This Row],[Typ úlohy]]="Účet",H258,"")</f>
        <v/>
      </c>
      <c r="D258" s="903" t="str">
        <f>IF(Tabulka4[[#This Row],[Typ úlohy]]="Účet",GETPIVOTDATA("Součet z Celková hmotnost položek [kg]",$G$2,"Zkratka kalkulační položky",B258,"Výrobce / Dodavatel",C258),"")</f>
        <v/>
      </c>
      <c r="E258" s="904" t="str">
        <f>IF(Tabulka4[[#This Row],[Typ úlohy]]="Účet",GETPIVOTDATA("Součet z Celková cena bez DPH (CZK)",$G$3,"Zkratka kalkulační položky",B258,"Výrobce / Dodavatel",C258),"")</f>
        <v/>
      </c>
    </row>
    <row r="259" spans="1:5" x14ac:dyDescent="0.35">
      <c r="A259" s="902" t="str">
        <f t="shared" si="4"/>
        <v/>
      </c>
      <c r="B259" s="903" t="str">
        <f>IF(Tabulka4[[#This Row],[Typ úlohy]]="Součet",G259,IF(Tabulka4[[#This Row],[Typ úlohy]]="Účet",B258,""))</f>
        <v/>
      </c>
      <c r="C259" s="903" t="str">
        <f>IF(Tabulka4[[#This Row],[Typ úlohy]]="Účet",H259,"")</f>
        <v/>
      </c>
      <c r="D259" s="903" t="str">
        <f>IF(Tabulka4[[#This Row],[Typ úlohy]]="Účet",GETPIVOTDATA("Součet z Celková hmotnost položek [kg]",$G$2,"Zkratka kalkulační položky",B259,"Výrobce / Dodavatel",C259),"")</f>
        <v/>
      </c>
      <c r="E259" s="904" t="str">
        <f>IF(Tabulka4[[#This Row],[Typ úlohy]]="Účet",GETPIVOTDATA("Součet z Celková cena bez DPH (CZK)",$G$3,"Zkratka kalkulační položky",B259,"Výrobce / Dodavatel",C259),"")</f>
        <v/>
      </c>
    </row>
    <row r="260" spans="1:5" x14ac:dyDescent="0.35">
      <c r="A260" s="902" t="str">
        <f t="shared" si="4"/>
        <v/>
      </c>
      <c r="B260" s="903" t="str">
        <f>IF(Tabulka4[[#This Row],[Typ úlohy]]="Součet",G260,IF(Tabulka4[[#This Row],[Typ úlohy]]="Účet",B259,""))</f>
        <v/>
      </c>
      <c r="C260" s="903" t="str">
        <f>IF(Tabulka4[[#This Row],[Typ úlohy]]="Účet",H260,"")</f>
        <v/>
      </c>
      <c r="D260" s="903" t="str">
        <f>IF(Tabulka4[[#This Row],[Typ úlohy]]="Účet",GETPIVOTDATA("Součet z Celková hmotnost položek [kg]",$G$2,"Zkratka kalkulační položky",B260,"Výrobce / Dodavatel",C260),"")</f>
        <v/>
      </c>
      <c r="E260" s="904" t="str">
        <f>IF(Tabulka4[[#This Row],[Typ úlohy]]="Účet",GETPIVOTDATA("Součet z Celková cena bez DPH (CZK)",$G$3,"Zkratka kalkulační položky",B260,"Výrobce / Dodavatel",C260),"")</f>
        <v/>
      </c>
    </row>
    <row r="261" spans="1:5" x14ac:dyDescent="0.35">
      <c r="A261" s="902" t="str">
        <f t="shared" ref="A261:A324" si="5">IF(H261="",IF(G261="","","Součet"),"Účet")</f>
        <v/>
      </c>
      <c r="B261" s="903" t="str">
        <f>IF(Tabulka4[[#This Row],[Typ úlohy]]="Součet",G261,IF(Tabulka4[[#This Row],[Typ úlohy]]="Účet",B260,""))</f>
        <v/>
      </c>
      <c r="C261" s="903" t="str">
        <f>IF(Tabulka4[[#This Row],[Typ úlohy]]="Účet",H261,"")</f>
        <v/>
      </c>
      <c r="D261" s="903" t="str">
        <f>IF(Tabulka4[[#This Row],[Typ úlohy]]="Účet",GETPIVOTDATA("Součet z Celková hmotnost položek [kg]",$G$2,"Zkratka kalkulační položky",B261,"Výrobce / Dodavatel",C261),"")</f>
        <v/>
      </c>
      <c r="E261" s="904" t="str">
        <f>IF(Tabulka4[[#This Row],[Typ úlohy]]="Účet",GETPIVOTDATA("Součet z Celková cena bez DPH (CZK)",$G$3,"Zkratka kalkulační položky",B261,"Výrobce / Dodavatel",C261),"")</f>
        <v/>
      </c>
    </row>
    <row r="262" spans="1:5" x14ac:dyDescent="0.35">
      <c r="A262" s="902" t="str">
        <f t="shared" si="5"/>
        <v/>
      </c>
      <c r="B262" s="903" t="str">
        <f>IF(Tabulka4[[#This Row],[Typ úlohy]]="Součet",G262,IF(Tabulka4[[#This Row],[Typ úlohy]]="Účet",B261,""))</f>
        <v/>
      </c>
      <c r="C262" s="903" t="str">
        <f>IF(Tabulka4[[#This Row],[Typ úlohy]]="Účet",H262,"")</f>
        <v/>
      </c>
      <c r="D262" s="903" t="str">
        <f>IF(Tabulka4[[#This Row],[Typ úlohy]]="Účet",GETPIVOTDATA("Součet z Celková hmotnost položek [kg]",$G$2,"Zkratka kalkulační položky",B262,"Výrobce / Dodavatel",C262),"")</f>
        <v/>
      </c>
      <c r="E262" s="904" t="str">
        <f>IF(Tabulka4[[#This Row],[Typ úlohy]]="Účet",GETPIVOTDATA("Součet z Celková cena bez DPH (CZK)",$G$3,"Zkratka kalkulační položky",B262,"Výrobce / Dodavatel",C262),"")</f>
        <v/>
      </c>
    </row>
    <row r="263" spans="1:5" x14ac:dyDescent="0.35">
      <c r="A263" s="902" t="str">
        <f t="shared" si="5"/>
        <v/>
      </c>
      <c r="B263" s="903" t="str">
        <f>IF(Tabulka4[[#This Row],[Typ úlohy]]="Součet",G263,IF(Tabulka4[[#This Row],[Typ úlohy]]="Účet",B262,""))</f>
        <v/>
      </c>
      <c r="C263" s="903" t="str">
        <f>IF(Tabulka4[[#This Row],[Typ úlohy]]="Účet",H263,"")</f>
        <v/>
      </c>
      <c r="D263" s="903" t="str">
        <f>IF(Tabulka4[[#This Row],[Typ úlohy]]="Účet",GETPIVOTDATA("Součet z Celková hmotnost položek [kg]",$G$2,"Zkratka kalkulační položky",B263,"Výrobce / Dodavatel",C263),"")</f>
        <v/>
      </c>
      <c r="E263" s="904" t="str">
        <f>IF(Tabulka4[[#This Row],[Typ úlohy]]="Účet",GETPIVOTDATA("Součet z Celková cena bez DPH (CZK)",$G$3,"Zkratka kalkulační položky",B263,"Výrobce / Dodavatel",C263),"")</f>
        <v/>
      </c>
    </row>
    <row r="264" spans="1:5" x14ac:dyDescent="0.35">
      <c r="A264" s="902" t="str">
        <f t="shared" si="5"/>
        <v/>
      </c>
      <c r="B264" s="903" t="str">
        <f>IF(Tabulka4[[#This Row],[Typ úlohy]]="Součet",G264,IF(Tabulka4[[#This Row],[Typ úlohy]]="Účet",B263,""))</f>
        <v/>
      </c>
      <c r="C264" s="903" t="str">
        <f>IF(Tabulka4[[#This Row],[Typ úlohy]]="Účet",H264,"")</f>
        <v/>
      </c>
      <c r="D264" s="903" t="str">
        <f>IF(Tabulka4[[#This Row],[Typ úlohy]]="Účet",GETPIVOTDATA("Součet z Celková hmotnost položek [kg]",$G$2,"Zkratka kalkulační položky",B264,"Výrobce / Dodavatel",C264),"")</f>
        <v/>
      </c>
      <c r="E264" s="904" t="str">
        <f>IF(Tabulka4[[#This Row],[Typ úlohy]]="Účet",GETPIVOTDATA("Součet z Celková cena bez DPH (CZK)",$G$3,"Zkratka kalkulační položky",B264,"Výrobce / Dodavatel",C264),"")</f>
        <v/>
      </c>
    </row>
    <row r="265" spans="1:5" x14ac:dyDescent="0.35">
      <c r="A265" s="902" t="str">
        <f t="shared" si="5"/>
        <v/>
      </c>
      <c r="B265" s="903" t="str">
        <f>IF(Tabulka4[[#This Row],[Typ úlohy]]="Součet",G265,IF(Tabulka4[[#This Row],[Typ úlohy]]="Účet",B264,""))</f>
        <v/>
      </c>
      <c r="C265" s="903" t="str">
        <f>IF(Tabulka4[[#This Row],[Typ úlohy]]="Účet",H265,"")</f>
        <v/>
      </c>
      <c r="D265" s="903" t="str">
        <f>IF(Tabulka4[[#This Row],[Typ úlohy]]="Účet",GETPIVOTDATA("Součet z Celková hmotnost položek [kg]",$G$2,"Zkratka kalkulační položky",B265,"Výrobce / Dodavatel",C265),"")</f>
        <v/>
      </c>
      <c r="E265" s="904" t="str">
        <f>IF(Tabulka4[[#This Row],[Typ úlohy]]="Účet",GETPIVOTDATA("Součet z Celková cena bez DPH (CZK)",$G$3,"Zkratka kalkulační položky",B265,"Výrobce / Dodavatel",C265),"")</f>
        <v/>
      </c>
    </row>
    <row r="266" spans="1:5" x14ac:dyDescent="0.35">
      <c r="A266" s="902" t="str">
        <f t="shared" si="5"/>
        <v/>
      </c>
      <c r="B266" s="903" t="str">
        <f>IF(Tabulka4[[#This Row],[Typ úlohy]]="Součet",G266,IF(Tabulka4[[#This Row],[Typ úlohy]]="Účet",B265,""))</f>
        <v/>
      </c>
      <c r="C266" s="903" t="str">
        <f>IF(Tabulka4[[#This Row],[Typ úlohy]]="Účet",H266,"")</f>
        <v/>
      </c>
      <c r="D266" s="903" t="str">
        <f>IF(Tabulka4[[#This Row],[Typ úlohy]]="Účet",GETPIVOTDATA("Součet z Celková hmotnost položek [kg]",$G$2,"Zkratka kalkulační položky",B266,"Výrobce / Dodavatel",C266),"")</f>
        <v/>
      </c>
      <c r="E266" s="904" t="str">
        <f>IF(Tabulka4[[#This Row],[Typ úlohy]]="Účet",GETPIVOTDATA("Součet z Celková cena bez DPH (CZK)",$G$3,"Zkratka kalkulační položky",B266,"Výrobce / Dodavatel",C266),"")</f>
        <v/>
      </c>
    </row>
    <row r="267" spans="1:5" x14ac:dyDescent="0.35">
      <c r="A267" s="902" t="str">
        <f t="shared" si="5"/>
        <v/>
      </c>
      <c r="B267" s="903" t="str">
        <f>IF(Tabulka4[[#This Row],[Typ úlohy]]="Součet",G267,IF(Tabulka4[[#This Row],[Typ úlohy]]="Účet",B266,""))</f>
        <v/>
      </c>
      <c r="C267" s="903" t="str">
        <f>IF(Tabulka4[[#This Row],[Typ úlohy]]="Účet",H267,"")</f>
        <v/>
      </c>
      <c r="D267" s="903" t="str">
        <f>IF(Tabulka4[[#This Row],[Typ úlohy]]="Účet",GETPIVOTDATA("Součet z Celková hmotnost položek [kg]",$G$2,"Zkratka kalkulační položky",B267,"Výrobce / Dodavatel",C267),"")</f>
        <v/>
      </c>
      <c r="E267" s="904" t="str">
        <f>IF(Tabulka4[[#This Row],[Typ úlohy]]="Účet",GETPIVOTDATA("Součet z Celková cena bez DPH (CZK)",$G$3,"Zkratka kalkulační položky",B267,"Výrobce / Dodavatel",C267),"")</f>
        <v/>
      </c>
    </row>
    <row r="268" spans="1:5" x14ac:dyDescent="0.35">
      <c r="A268" s="902" t="str">
        <f t="shared" si="5"/>
        <v/>
      </c>
      <c r="B268" s="903" t="str">
        <f>IF(Tabulka4[[#This Row],[Typ úlohy]]="Součet",G268,IF(Tabulka4[[#This Row],[Typ úlohy]]="Účet",B267,""))</f>
        <v/>
      </c>
      <c r="C268" s="903" t="str">
        <f>IF(Tabulka4[[#This Row],[Typ úlohy]]="Účet",H268,"")</f>
        <v/>
      </c>
      <c r="D268" s="903" t="str">
        <f>IF(Tabulka4[[#This Row],[Typ úlohy]]="Účet",GETPIVOTDATA("Součet z Celková hmotnost položek [kg]",$G$2,"Zkratka kalkulační položky",B268,"Výrobce / Dodavatel",C268),"")</f>
        <v/>
      </c>
      <c r="E268" s="904" t="str">
        <f>IF(Tabulka4[[#This Row],[Typ úlohy]]="Účet",GETPIVOTDATA("Součet z Celková cena bez DPH (CZK)",$G$3,"Zkratka kalkulační položky",B268,"Výrobce / Dodavatel",C268),"")</f>
        <v/>
      </c>
    </row>
    <row r="269" spans="1:5" x14ac:dyDescent="0.35">
      <c r="A269" s="902" t="str">
        <f t="shared" si="5"/>
        <v/>
      </c>
      <c r="B269" s="903" t="str">
        <f>IF(Tabulka4[[#This Row],[Typ úlohy]]="Součet",G269,IF(Tabulka4[[#This Row],[Typ úlohy]]="Účet",B268,""))</f>
        <v/>
      </c>
      <c r="C269" s="903" t="str">
        <f>IF(Tabulka4[[#This Row],[Typ úlohy]]="Účet",H269,"")</f>
        <v/>
      </c>
      <c r="D269" s="903" t="str">
        <f>IF(Tabulka4[[#This Row],[Typ úlohy]]="Účet",GETPIVOTDATA("Součet z Celková hmotnost položek [kg]",$G$2,"Zkratka kalkulační položky",B269,"Výrobce / Dodavatel",C269),"")</f>
        <v/>
      </c>
      <c r="E269" s="904" t="str">
        <f>IF(Tabulka4[[#This Row],[Typ úlohy]]="Účet",GETPIVOTDATA("Součet z Celková cena bez DPH (CZK)",$G$3,"Zkratka kalkulační položky",B269,"Výrobce / Dodavatel",C269),"")</f>
        <v/>
      </c>
    </row>
    <row r="270" spans="1:5" x14ac:dyDescent="0.35">
      <c r="A270" s="902" t="str">
        <f t="shared" si="5"/>
        <v/>
      </c>
      <c r="B270" s="903" t="str">
        <f>IF(Tabulka4[[#This Row],[Typ úlohy]]="Součet",G270,IF(Tabulka4[[#This Row],[Typ úlohy]]="Účet",B269,""))</f>
        <v/>
      </c>
      <c r="C270" s="903" t="str">
        <f>IF(Tabulka4[[#This Row],[Typ úlohy]]="Účet",H270,"")</f>
        <v/>
      </c>
      <c r="D270" s="903" t="str">
        <f>IF(Tabulka4[[#This Row],[Typ úlohy]]="Účet",GETPIVOTDATA("Součet z Celková hmotnost položek [kg]",$G$2,"Zkratka kalkulační položky",B270,"Výrobce / Dodavatel",C270),"")</f>
        <v/>
      </c>
      <c r="E270" s="904" t="str">
        <f>IF(Tabulka4[[#This Row],[Typ úlohy]]="Účet",GETPIVOTDATA("Součet z Celková cena bez DPH (CZK)",$G$3,"Zkratka kalkulační položky",B270,"Výrobce / Dodavatel",C270),"")</f>
        <v/>
      </c>
    </row>
    <row r="271" spans="1:5" x14ac:dyDescent="0.35">
      <c r="A271" s="902" t="str">
        <f t="shared" si="5"/>
        <v/>
      </c>
      <c r="B271" s="903" t="str">
        <f>IF(Tabulka4[[#This Row],[Typ úlohy]]="Součet",G271,IF(Tabulka4[[#This Row],[Typ úlohy]]="Účet",B270,""))</f>
        <v/>
      </c>
      <c r="C271" s="903" t="str">
        <f>IF(Tabulka4[[#This Row],[Typ úlohy]]="Účet",H271,"")</f>
        <v/>
      </c>
      <c r="D271" s="903" t="str">
        <f>IF(Tabulka4[[#This Row],[Typ úlohy]]="Účet",GETPIVOTDATA("Součet z Celková hmotnost položek [kg]",$G$2,"Zkratka kalkulační položky",B271,"Výrobce / Dodavatel",C271),"")</f>
        <v/>
      </c>
      <c r="E271" s="904" t="str">
        <f>IF(Tabulka4[[#This Row],[Typ úlohy]]="Účet",GETPIVOTDATA("Součet z Celková cena bez DPH (CZK)",$G$3,"Zkratka kalkulační položky",B271,"Výrobce / Dodavatel",C271),"")</f>
        <v/>
      </c>
    </row>
    <row r="272" spans="1:5" x14ac:dyDescent="0.35">
      <c r="A272" s="902" t="str">
        <f t="shared" si="5"/>
        <v/>
      </c>
      <c r="B272" s="903" t="str">
        <f>IF(Tabulka4[[#This Row],[Typ úlohy]]="Součet",G272,IF(Tabulka4[[#This Row],[Typ úlohy]]="Účet",B271,""))</f>
        <v/>
      </c>
      <c r="C272" s="903" t="str">
        <f>IF(Tabulka4[[#This Row],[Typ úlohy]]="Účet",H272,"")</f>
        <v/>
      </c>
      <c r="D272" s="903" t="str">
        <f>IF(Tabulka4[[#This Row],[Typ úlohy]]="Účet",GETPIVOTDATA("Součet z Celková hmotnost položek [kg]",$G$2,"Zkratka kalkulační položky",B272,"Výrobce / Dodavatel",C272),"")</f>
        <v/>
      </c>
      <c r="E272" s="904" t="str">
        <f>IF(Tabulka4[[#This Row],[Typ úlohy]]="Účet",GETPIVOTDATA("Součet z Celková cena bez DPH (CZK)",$G$3,"Zkratka kalkulační položky",B272,"Výrobce / Dodavatel",C272),"")</f>
        <v/>
      </c>
    </row>
    <row r="273" spans="1:5" x14ac:dyDescent="0.35">
      <c r="A273" s="902" t="str">
        <f t="shared" si="5"/>
        <v/>
      </c>
      <c r="B273" s="903" t="str">
        <f>IF(Tabulka4[[#This Row],[Typ úlohy]]="Součet",G273,IF(Tabulka4[[#This Row],[Typ úlohy]]="Účet",B272,""))</f>
        <v/>
      </c>
      <c r="C273" s="903" t="str">
        <f>IF(Tabulka4[[#This Row],[Typ úlohy]]="Účet",H273,"")</f>
        <v/>
      </c>
      <c r="D273" s="903" t="str">
        <f>IF(Tabulka4[[#This Row],[Typ úlohy]]="Účet",GETPIVOTDATA("Součet z Celková hmotnost položek [kg]",$G$2,"Zkratka kalkulační položky",B273,"Výrobce / Dodavatel",C273),"")</f>
        <v/>
      </c>
      <c r="E273" s="904" t="str">
        <f>IF(Tabulka4[[#This Row],[Typ úlohy]]="Účet",GETPIVOTDATA("Součet z Celková cena bez DPH (CZK)",$G$3,"Zkratka kalkulační položky",B273,"Výrobce / Dodavatel",C273),"")</f>
        <v/>
      </c>
    </row>
    <row r="274" spans="1:5" x14ac:dyDescent="0.35">
      <c r="A274" s="902" t="str">
        <f t="shared" si="5"/>
        <v/>
      </c>
      <c r="B274" s="903" t="str">
        <f>IF(Tabulka4[[#This Row],[Typ úlohy]]="Součet",G274,IF(Tabulka4[[#This Row],[Typ úlohy]]="Účet",B273,""))</f>
        <v/>
      </c>
      <c r="C274" s="903" t="str">
        <f>IF(Tabulka4[[#This Row],[Typ úlohy]]="Účet",H274,"")</f>
        <v/>
      </c>
      <c r="D274" s="903" t="str">
        <f>IF(Tabulka4[[#This Row],[Typ úlohy]]="Účet",GETPIVOTDATA("Součet z Celková hmotnost položek [kg]",$G$2,"Zkratka kalkulační položky",B274,"Výrobce / Dodavatel",C274),"")</f>
        <v/>
      </c>
      <c r="E274" s="904" t="str">
        <f>IF(Tabulka4[[#This Row],[Typ úlohy]]="Účet",GETPIVOTDATA("Součet z Celková cena bez DPH (CZK)",$G$3,"Zkratka kalkulační položky",B274,"Výrobce / Dodavatel",C274),"")</f>
        <v/>
      </c>
    </row>
    <row r="275" spans="1:5" x14ac:dyDescent="0.35">
      <c r="A275" s="902" t="str">
        <f t="shared" si="5"/>
        <v/>
      </c>
      <c r="B275" s="903" t="str">
        <f>IF(Tabulka4[[#This Row],[Typ úlohy]]="Součet",G275,IF(Tabulka4[[#This Row],[Typ úlohy]]="Účet",B274,""))</f>
        <v/>
      </c>
      <c r="C275" s="903" t="str">
        <f>IF(Tabulka4[[#This Row],[Typ úlohy]]="Účet",H275,"")</f>
        <v/>
      </c>
      <c r="D275" s="903" t="str">
        <f>IF(Tabulka4[[#This Row],[Typ úlohy]]="Účet",GETPIVOTDATA("Součet z Celková hmotnost položek [kg]",$G$2,"Zkratka kalkulační položky",B275,"Výrobce / Dodavatel",C275),"")</f>
        <v/>
      </c>
      <c r="E275" s="904" t="str">
        <f>IF(Tabulka4[[#This Row],[Typ úlohy]]="Účet",GETPIVOTDATA("Součet z Celková cena bez DPH (CZK)",$G$3,"Zkratka kalkulační položky",B275,"Výrobce / Dodavatel",C275),"")</f>
        <v/>
      </c>
    </row>
    <row r="276" spans="1:5" x14ac:dyDescent="0.35">
      <c r="A276" s="902" t="str">
        <f t="shared" si="5"/>
        <v/>
      </c>
      <c r="B276" s="903" t="str">
        <f>IF(Tabulka4[[#This Row],[Typ úlohy]]="Součet",G276,IF(Tabulka4[[#This Row],[Typ úlohy]]="Účet",B275,""))</f>
        <v/>
      </c>
      <c r="C276" s="903" t="str">
        <f>IF(Tabulka4[[#This Row],[Typ úlohy]]="Účet",H276,"")</f>
        <v/>
      </c>
      <c r="D276" s="903" t="str">
        <f>IF(Tabulka4[[#This Row],[Typ úlohy]]="Účet",GETPIVOTDATA("Součet z Celková hmotnost položek [kg]",$G$2,"Zkratka kalkulační položky",B276,"Výrobce / Dodavatel",C276),"")</f>
        <v/>
      </c>
      <c r="E276" s="904" t="str">
        <f>IF(Tabulka4[[#This Row],[Typ úlohy]]="Účet",GETPIVOTDATA("Součet z Celková cena bez DPH (CZK)",$G$3,"Zkratka kalkulační položky",B276,"Výrobce / Dodavatel",C276),"")</f>
        <v/>
      </c>
    </row>
    <row r="277" spans="1:5" x14ac:dyDescent="0.35">
      <c r="A277" s="902" t="str">
        <f t="shared" si="5"/>
        <v/>
      </c>
      <c r="B277" s="903" t="str">
        <f>IF(Tabulka4[[#This Row],[Typ úlohy]]="Součet",G277,IF(Tabulka4[[#This Row],[Typ úlohy]]="Účet",B276,""))</f>
        <v/>
      </c>
      <c r="C277" s="903" t="str">
        <f>IF(Tabulka4[[#This Row],[Typ úlohy]]="Účet",H277,"")</f>
        <v/>
      </c>
      <c r="D277" s="903" t="str">
        <f>IF(Tabulka4[[#This Row],[Typ úlohy]]="Účet",GETPIVOTDATA("Součet z Celková hmotnost položek [kg]",$G$2,"Zkratka kalkulační položky",B277,"Výrobce / Dodavatel",C277),"")</f>
        <v/>
      </c>
      <c r="E277" s="904" t="str">
        <f>IF(Tabulka4[[#This Row],[Typ úlohy]]="Účet",GETPIVOTDATA("Součet z Celková cena bez DPH (CZK)",$G$3,"Zkratka kalkulační položky",B277,"Výrobce / Dodavatel",C277),"")</f>
        <v/>
      </c>
    </row>
    <row r="278" spans="1:5" x14ac:dyDescent="0.35">
      <c r="A278" s="902" t="str">
        <f t="shared" si="5"/>
        <v/>
      </c>
      <c r="B278" s="903" t="str">
        <f>IF(Tabulka4[[#This Row],[Typ úlohy]]="Součet",G278,IF(Tabulka4[[#This Row],[Typ úlohy]]="Účet",B277,""))</f>
        <v/>
      </c>
      <c r="C278" s="903" t="str">
        <f>IF(Tabulka4[[#This Row],[Typ úlohy]]="Účet",H278,"")</f>
        <v/>
      </c>
      <c r="D278" s="903" t="str">
        <f>IF(Tabulka4[[#This Row],[Typ úlohy]]="Účet",GETPIVOTDATA("Součet z Celková hmotnost položek [kg]",$G$2,"Zkratka kalkulační položky",B278,"Výrobce / Dodavatel",C278),"")</f>
        <v/>
      </c>
      <c r="E278" s="904" t="str">
        <f>IF(Tabulka4[[#This Row],[Typ úlohy]]="Účet",GETPIVOTDATA("Součet z Celková cena bez DPH (CZK)",$G$3,"Zkratka kalkulační položky",B278,"Výrobce / Dodavatel",C278),"")</f>
        <v/>
      </c>
    </row>
    <row r="279" spans="1:5" x14ac:dyDescent="0.35">
      <c r="A279" s="902" t="str">
        <f t="shared" si="5"/>
        <v/>
      </c>
      <c r="B279" s="903" t="str">
        <f>IF(Tabulka4[[#This Row],[Typ úlohy]]="Součet",G279,IF(Tabulka4[[#This Row],[Typ úlohy]]="Účet",B278,""))</f>
        <v/>
      </c>
      <c r="C279" s="903" t="str">
        <f>IF(Tabulka4[[#This Row],[Typ úlohy]]="Účet",H279,"")</f>
        <v/>
      </c>
      <c r="D279" s="903" t="str">
        <f>IF(Tabulka4[[#This Row],[Typ úlohy]]="Účet",GETPIVOTDATA("Součet z Celková hmotnost položek [kg]",$G$2,"Zkratka kalkulační položky",B279,"Výrobce / Dodavatel",C279),"")</f>
        <v/>
      </c>
      <c r="E279" s="904" t="str">
        <f>IF(Tabulka4[[#This Row],[Typ úlohy]]="Účet",GETPIVOTDATA("Součet z Celková cena bez DPH (CZK)",$G$3,"Zkratka kalkulační položky",B279,"Výrobce / Dodavatel",C279),"")</f>
        <v/>
      </c>
    </row>
    <row r="280" spans="1:5" x14ac:dyDescent="0.35">
      <c r="A280" s="902" t="str">
        <f t="shared" si="5"/>
        <v/>
      </c>
      <c r="B280" s="903" t="str">
        <f>IF(Tabulka4[[#This Row],[Typ úlohy]]="Součet",G280,IF(Tabulka4[[#This Row],[Typ úlohy]]="Účet",B279,""))</f>
        <v/>
      </c>
      <c r="C280" s="903" t="str">
        <f>IF(Tabulka4[[#This Row],[Typ úlohy]]="Účet",H280,"")</f>
        <v/>
      </c>
      <c r="D280" s="903" t="str">
        <f>IF(Tabulka4[[#This Row],[Typ úlohy]]="Účet",GETPIVOTDATA("Součet z Celková hmotnost položek [kg]",$G$2,"Zkratka kalkulační položky",B280,"Výrobce / Dodavatel",C280),"")</f>
        <v/>
      </c>
      <c r="E280" s="904" t="str">
        <f>IF(Tabulka4[[#This Row],[Typ úlohy]]="Účet",GETPIVOTDATA("Součet z Celková cena bez DPH (CZK)",$G$3,"Zkratka kalkulační položky",B280,"Výrobce / Dodavatel",C280),"")</f>
        <v/>
      </c>
    </row>
    <row r="281" spans="1:5" x14ac:dyDescent="0.35">
      <c r="A281" s="902" t="str">
        <f t="shared" si="5"/>
        <v/>
      </c>
      <c r="B281" s="903" t="str">
        <f>IF(Tabulka4[[#This Row],[Typ úlohy]]="Součet",G281,IF(Tabulka4[[#This Row],[Typ úlohy]]="Účet",B280,""))</f>
        <v/>
      </c>
      <c r="C281" s="903" t="str">
        <f>IF(Tabulka4[[#This Row],[Typ úlohy]]="Účet",H281,"")</f>
        <v/>
      </c>
      <c r="D281" s="903" t="str">
        <f>IF(Tabulka4[[#This Row],[Typ úlohy]]="Účet",GETPIVOTDATA("Součet z Celková hmotnost položek [kg]",$G$2,"Zkratka kalkulační položky",B281,"Výrobce / Dodavatel",C281),"")</f>
        <v/>
      </c>
      <c r="E281" s="904" t="str">
        <f>IF(Tabulka4[[#This Row],[Typ úlohy]]="Účet",GETPIVOTDATA("Součet z Celková cena bez DPH (CZK)",$G$3,"Zkratka kalkulační položky",B281,"Výrobce / Dodavatel",C281),"")</f>
        <v/>
      </c>
    </row>
    <row r="282" spans="1:5" x14ac:dyDescent="0.35">
      <c r="A282" s="902" t="str">
        <f t="shared" si="5"/>
        <v/>
      </c>
      <c r="B282" s="903" t="str">
        <f>IF(Tabulka4[[#This Row],[Typ úlohy]]="Součet",G282,IF(Tabulka4[[#This Row],[Typ úlohy]]="Účet",B281,""))</f>
        <v/>
      </c>
      <c r="C282" s="903" t="str">
        <f>IF(Tabulka4[[#This Row],[Typ úlohy]]="Účet",H282,"")</f>
        <v/>
      </c>
      <c r="D282" s="903" t="str">
        <f>IF(Tabulka4[[#This Row],[Typ úlohy]]="Účet",GETPIVOTDATA("Součet z Celková hmotnost položek [kg]",$G$2,"Zkratka kalkulační položky",B282,"Výrobce / Dodavatel",C282),"")</f>
        <v/>
      </c>
      <c r="E282" s="904" t="str">
        <f>IF(Tabulka4[[#This Row],[Typ úlohy]]="Účet",GETPIVOTDATA("Součet z Celková cena bez DPH (CZK)",$G$3,"Zkratka kalkulační položky",B282,"Výrobce / Dodavatel",C282),"")</f>
        <v/>
      </c>
    </row>
    <row r="283" spans="1:5" x14ac:dyDescent="0.35">
      <c r="A283" s="902" t="str">
        <f t="shared" si="5"/>
        <v/>
      </c>
      <c r="B283" s="903" t="str">
        <f>IF(Tabulka4[[#This Row],[Typ úlohy]]="Součet",G283,IF(Tabulka4[[#This Row],[Typ úlohy]]="Účet",B282,""))</f>
        <v/>
      </c>
      <c r="C283" s="903" t="str">
        <f>IF(Tabulka4[[#This Row],[Typ úlohy]]="Účet",H283,"")</f>
        <v/>
      </c>
      <c r="D283" s="903" t="str">
        <f>IF(Tabulka4[[#This Row],[Typ úlohy]]="Účet",GETPIVOTDATA("Součet z Celková hmotnost položek [kg]",$G$2,"Zkratka kalkulační položky",B283,"Výrobce / Dodavatel",C283),"")</f>
        <v/>
      </c>
      <c r="E283" s="904" t="str">
        <f>IF(Tabulka4[[#This Row],[Typ úlohy]]="Účet",GETPIVOTDATA("Součet z Celková cena bez DPH (CZK)",$G$3,"Zkratka kalkulační položky",B283,"Výrobce / Dodavatel",C283),"")</f>
        <v/>
      </c>
    </row>
    <row r="284" spans="1:5" x14ac:dyDescent="0.35">
      <c r="A284" s="902" t="str">
        <f t="shared" si="5"/>
        <v/>
      </c>
      <c r="B284" s="903" t="str">
        <f>IF(Tabulka4[[#This Row],[Typ úlohy]]="Součet",G284,IF(Tabulka4[[#This Row],[Typ úlohy]]="Účet",B283,""))</f>
        <v/>
      </c>
      <c r="C284" s="903" t="str">
        <f>IF(Tabulka4[[#This Row],[Typ úlohy]]="Účet",H284,"")</f>
        <v/>
      </c>
      <c r="D284" s="903" t="str">
        <f>IF(Tabulka4[[#This Row],[Typ úlohy]]="Účet",GETPIVOTDATA("Součet z Celková hmotnost položek [kg]",$G$2,"Zkratka kalkulační položky",B284,"Výrobce / Dodavatel",C284),"")</f>
        <v/>
      </c>
      <c r="E284" s="904" t="str">
        <f>IF(Tabulka4[[#This Row],[Typ úlohy]]="Účet",GETPIVOTDATA("Součet z Celková cena bez DPH (CZK)",$G$3,"Zkratka kalkulační položky",B284,"Výrobce / Dodavatel",C284),"")</f>
        <v/>
      </c>
    </row>
    <row r="285" spans="1:5" x14ac:dyDescent="0.35">
      <c r="A285" s="902" t="str">
        <f t="shared" si="5"/>
        <v/>
      </c>
      <c r="B285" s="903" t="str">
        <f>IF(Tabulka4[[#This Row],[Typ úlohy]]="Součet",G285,IF(Tabulka4[[#This Row],[Typ úlohy]]="Účet",B284,""))</f>
        <v/>
      </c>
      <c r="C285" s="903" t="str">
        <f>IF(Tabulka4[[#This Row],[Typ úlohy]]="Účet",H285,"")</f>
        <v/>
      </c>
      <c r="D285" s="903" t="str">
        <f>IF(Tabulka4[[#This Row],[Typ úlohy]]="Účet",GETPIVOTDATA("Součet z Celková hmotnost položek [kg]",$G$2,"Zkratka kalkulační položky",B285,"Výrobce / Dodavatel",C285),"")</f>
        <v/>
      </c>
      <c r="E285" s="904" t="str">
        <f>IF(Tabulka4[[#This Row],[Typ úlohy]]="Účet",GETPIVOTDATA("Součet z Celková cena bez DPH (CZK)",$G$3,"Zkratka kalkulační položky",B285,"Výrobce / Dodavatel",C285),"")</f>
        <v/>
      </c>
    </row>
    <row r="286" spans="1:5" x14ac:dyDescent="0.35">
      <c r="A286" s="902" t="str">
        <f t="shared" si="5"/>
        <v/>
      </c>
      <c r="B286" s="903" t="str">
        <f>IF(Tabulka4[[#This Row],[Typ úlohy]]="Součet",G286,IF(Tabulka4[[#This Row],[Typ úlohy]]="Účet",B285,""))</f>
        <v/>
      </c>
      <c r="C286" s="903" t="str">
        <f>IF(Tabulka4[[#This Row],[Typ úlohy]]="Účet",H286,"")</f>
        <v/>
      </c>
      <c r="D286" s="903" t="str">
        <f>IF(Tabulka4[[#This Row],[Typ úlohy]]="Účet",GETPIVOTDATA("Součet z Celková hmotnost položek [kg]",$G$2,"Zkratka kalkulační položky",B286,"Výrobce / Dodavatel",C286),"")</f>
        <v/>
      </c>
      <c r="E286" s="904" t="str">
        <f>IF(Tabulka4[[#This Row],[Typ úlohy]]="Účet",GETPIVOTDATA("Součet z Celková cena bez DPH (CZK)",$G$3,"Zkratka kalkulační položky",B286,"Výrobce / Dodavatel",C286),"")</f>
        <v/>
      </c>
    </row>
    <row r="287" spans="1:5" x14ac:dyDescent="0.35">
      <c r="A287" s="902" t="str">
        <f t="shared" si="5"/>
        <v/>
      </c>
      <c r="B287" s="903" t="str">
        <f>IF(Tabulka4[[#This Row],[Typ úlohy]]="Součet",G287,IF(Tabulka4[[#This Row],[Typ úlohy]]="Účet",B286,""))</f>
        <v/>
      </c>
      <c r="C287" s="903" t="str">
        <f>IF(Tabulka4[[#This Row],[Typ úlohy]]="Účet",H287,"")</f>
        <v/>
      </c>
      <c r="D287" s="903" t="str">
        <f>IF(Tabulka4[[#This Row],[Typ úlohy]]="Účet",GETPIVOTDATA("Součet z Celková hmotnost položek [kg]",$G$2,"Zkratka kalkulační položky",B287,"Výrobce / Dodavatel",C287),"")</f>
        <v/>
      </c>
      <c r="E287" s="904" t="str">
        <f>IF(Tabulka4[[#This Row],[Typ úlohy]]="Účet",GETPIVOTDATA("Součet z Celková cena bez DPH (CZK)",$G$3,"Zkratka kalkulační položky",B287,"Výrobce / Dodavatel",C287),"")</f>
        <v/>
      </c>
    </row>
    <row r="288" spans="1:5" x14ac:dyDescent="0.35">
      <c r="A288" s="902" t="str">
        <f t="shared" si="5"/>
        <v/>
      </c>
      <c r="B288" s="903" t="str">
        <f>IF(Tabulka4[[#This Row],[Typ úlohy]]="Součet",G288,IF(Tabulka4[[#This Row],[Typ úlohy]]="Účet",B287,""))</f>
        <v/>
      </c>
      <c r="C288" s="903" t="str">
        <f>IF(Tabulka4[[#This Row],[Typ úlohy]]="Účet",H288,"")</f>
        <v/>
      </c>
      <c r="D288" s="903" t="str">
        <f>IF(Tabulka4[[#This Row],[Typ úlohy]]="Účet",GETPIVOTDATA("Součet z Celková hmotnost položek [kg]",$G$2,"Zkratka kalkulační položky",B288,"Výrobce / Dodavatel",C288),"")</f>
        <v/>
      </c>
      <c r="E288" s="904" t="str">
        <f>IF(Tabulka4[[#This Row],[Typ úlohy]]="Účet",GETPIVOTDATA("Součet z Celková cena bez DPH (CZK)",$G$3,"Zkratka kalkulační položky",B288,"Výrobce / Dodavatel",C288),"")</f>
        <v/>
      </c>
    </row>
    <row r="289" spans="1:5" x14ac:dyDescent="0.35">
      <c r="A289" s="902" t="str">
        <f t="shared" si="5"/>
        <v/>
      </c>
      <c r="B289" s="903" t="str">
        <f>IF(Tabulka4[[#This Row],[Typ úlohy]]="Součet",G289,IF(Tabulka4[[#This Row],[Typ úlohy]]="Účet",B288,""))</f>
        <v/>
      </c>
      <c r="C289" s="903" t="str">
        <f>IF(Tabulka4[[#This Row],[Typ úlohy]]="Účet",H289,"")</f>
        <v/>
      </c>
      <c r="D289" s="903" t="str">
        <f>IF(Tabulka4[[#This Row],[Typ úlohy]]="Účet",GETPIVOTDATA("Součet z Celková hmotnost položek [kg]",$G$2,"Zkratka kalkulační položky",B289,"Výrobce / Dodavatel",C289),"")</f>
        <v/>
      </c>
      <c r="E289" s="904" t="str">
        <f>IF(Tabulka4[[#This Row],[Typ úlohy]]="Účet",GETPIVOTDATA("Součet z Celková cena bez DPH (CZK)",$G$3,"Zkratka kalkulační položky",B289,"Výrobce / Dodavatel",C289),"")</f>
        <v/>
      </c>
    </row>
    <row r="290" spans="1:5" x14ac:dyDescent="0.35">
      <c r="A290" s="902" t="str">
        <f t="shared" si="5"/>
        <v/>
      </c>
      <c r="B290" s="903" t="str">
        <f>IF(Tabulka4[[#This Row],[Typ úlohy]]="Součet",G290,IF(Tabulka4[[#This Row],[Typ úlohy]]="Účet",B289,""))</f>
        <v/>
      </c>
      <c r="C290" s="903" t="str">
        <f>IF(Tabulka4[[#This Row],[Typ úlohy]]="Účet",H290,"")</f>
        <v/>
      </c>
      <c r="D290" s="903" t="str">
        <f>IF(Tabulka4[[#This Row],[Typ úlohy]]="Účet",GETPIVOTDATA("Součet z Celková hmotnost položek [kg]",$G$2,"Zkratka kalkulační položky",B290,"Výrobce / Dodavatel",C290),"")</f>
        <v/>
      </c>
      <c r="E290" s="904" t="str">
        <f>IF(Tabulka4[[#This Row],[Typ úlohy]]="Účet",GETPIVOTDATA("Součet z Celková cena bez DPH (CZK)",$G$3,"Zkratka kalkulační položky",B290,"Výrobce / Dodavatel",C290),"")</f>
        <v/>
      </c>
    </row>
    <row r="291" spans="1:5" x14ac:dyDescent="0.35">
      <c r="A291" s="902" t="str">
        <f t="shared" si="5"/>
        <v/>
      </c>
      <c r="B291" s="903" t="str">
        <f>IF(Tabulka4[[#This Row],[Typ úlohy]]="Součet",G291,IF(Tabulka4[[#This Row],[Typ úlohy]]="Účet",B290,""))</f>
        <v/>
      </c>
      <c r="C291" s="903" t="str">
        <f>IF(Tabulka4[[#This Row],[Typ úlohy]]="Účet",H291,"")</f>
        <v/>
      </c>
      <c r="D291" s="903" t="str">
        <f>IF(Tabulka4[[#This Row],[Typ úlohy]]="Účet",GETPIVOTDATA("Součet z Celková hmotnost položek [kg]",$G$2,"Zkratka kalkulační položky",B291,"Výrobce / Dodavatel",C291),"")</f>
        <v/>
      </c>
      <c r="E291" s="904" t="str">
        <f>IF(Tabulka4[[#This Row],[Typ úlohy]]="Účet",GETPIVOTDATA("Součet z Celková cena bez DPH (CZK)",$G$3,"Zkratka kalkulační položky",B291,"Výrobce / Dodavatel",C291),"")</f>
        <v/>
      </c>
    </row>
    <row r="292" spans="1:5" x14ac:dyDescent="0.35">
      <c r="A292" s="902" t="str">
        <f t="shared" si="5"/>
        <v/>
      </c>
      <c r="B292" s="903" t="str">
        <f>IF(Tabulka4[[#This Row],[Typ úlohy]]="Součet",G292,IF(Tabulka4[[#This Row],[Typ úlohy]]="Účet",B291,""))</f>
        <v/>
      </c>
      <c r="C292" s="903" t="str">
        <f>IF(Tabulka4[[#This Row],[Typ úlohy]]="Účet",H292,"")</f>
        <v/>
      </c>
      <c r="D292" s="903" t="str">
        <f>IF(Tabulka4[[#This Row],[Typ úlohy]]="Účet",GETPIVOTDATA("Součet z Celková hmotnost položek [kg]",$G$2,"Zkratka kalkulační položky",B292,"Výrobce / Dodavatel",C292),"")</f>
        <v/>
      </c>
      <c r="E292" s="904" t="str">
        <f>IF(Tabulka4[[#This Row],[Typ úlohy]]="Účet",GETPIVOTDATA("Součet z Celková cena bez DPH (CZK)",$G$3,"Zkratka kalkulační položky",B292,"Výrobce / Dodavatel",C292),"")</f>
        <v/>
      </c>
    </row>
    <row r="293" spans="1:5" x14ac:dyDescent="0.35">
      <c r="A293" s="902" t="str">
        <f t="shared" si="5"/>
        <v/>
      </c>
      <c r="B293" s="903" t="str">
        <f>IF(Tabulka4[[#This Row],[Typ úlohy]]="Součet",G293,IF(Tabulka4[[#This Row],[Typ úlohy]]="Účet",B292,""))</f>
        <v/>
      </c>
      <c r="C293" s="903" t="str">
        <f>IF(Tabulka4[[#This Row],[Typ úlohy]]="Účet",H293,"")</f>
        <v/>
      </c>
      <c r="D293" s="903" t="str">
        <f>IF(Tabulka4[[#This Row],[Typ úlohy]]="Účet",GETPIVOTDATA("Součet z Celková hmotnost položek [kg]",$G$2,"Zkratka kalkulační položky",B293,"Výrobce / Dodavatel",C293),"")</f>
        <v/>
      </c>
      <c r="E293" s="904" t="str">
        <f>IF(Tabulka4[[#This Row],[Typ úlohy]]="Účet",GETPIVOTDATA("Součet z Celková cena bez DPH (CZK)",$G$3,"Zkratka kalkulační položky",B293,"Výrobce / Dodavatel",C293),"")</f>
        <v/>
      </c>
    </row>
    <row r="294" spans="1:5" x14ac:dyDescent="0.35">
      <c r="A294" s="902" t="str">
        <f t="shared" si="5"/>
        <v/>
      </c>
      <c r="B294" s="903" t="str">
        <f>IF(Tabulka4[[#This Row],[Typ úlohy]]="Součet",G294,IF(Tabulka4[[#This Row],[Typ úlohy]]="Účet",B293,""))</f>
        <v/>
      </c>
      <c r="C294" s="903" t="str">
        <f>IF(Tabulka4[[#This Row],[Typ úlohy]]="Účet",H294,"")</f>
        <v/>
      </c>
      <c r="D294" s="903" t="str">
        <f>IF(Tabulka4[[#This Row],[Typ úlohy]]="Účet",GETPIVOTDATA("Součet z Celková hmotnost položek [kg]",$G$2,"Zkratka kalkulační položky",B294,"Výrobce / Dodavatel",C294),"")</f>
        <v/>
      </c>
      <c r="E294" s="904" t="str">
        <f>IF(Tabulka4[[#This Row],[Typ úlohy]]="Účet",GETPIVOTDATA("Součet z Celková cena bez DPH (CZK)",$G$3,"Zkratka kalkulační položky",B294,"Výrobce / Dodavatel",C294),"")</f>
        <v/>
      </c>
    </row>
    <row r="295" spans="1:5" x14ac:dyDescent="0.35">
      <c r="A295" s="902" t="str">
        <f t="shared" si="5"/>
        <v/>
      </c>
      <c r="B295" s="903" t="str">
        <f>IF(Tabulka4[[#This Row],[Typ úlohy]]="Součet",G295,IF(Tabulka4[[#This Row],[Typ úlohy]]="Účet",B294,""))</f>
        <v/>
      </c>
      <c r="C295" s="903" t="str">
        <f>IF(Tabulka4[[#This Row],[Typ úlohy]]="Účet",H295,"")</f>
        <v/>
      </c>
      <c r="D295" s="903" t="str">
        <f>IF(Tabulka4[[#This Row],[Typ úlohy]]="Účet",GETPIVOTDATA("Součet z Celková hmotnost položek [kg]",$G$2,"Zkratka kalkulační položky",B295,"Výrobce / Dodavatel",C295),"")</f>
        <v/>
      </c>
      <c r="E295" s="904" t="str">
        <f>IF(Tabulka4[[#This Row],[Typ úlohy]]="Účet",GETPIVOTDATA("Součet z Celková cena bez DPH (CZK)",$G$3,"Zkratka kalkulační položky",B295,"Výrobce / Dodavatel",C295),"")</f>
        <v/>
      </c>
    </row>
    <row r="296" spans="1:5" x14ac:dyDescent="0.35">
      <c r="A296" s="902" t="str">
        <f t="shared" si="5"/>
        <v/>
      </c>
      <c r="B296" s="903" t="str">
        <f>IF(Tabulka4[[#This Row],[Typ úlohy]]="Součet",G296,IF(Tabulka4[[#This Row],[Typ úlohy]]="Účet",B295,""))</f>
        <v/>
      </c>
      <c r="C296" s="903" t="str">
        <f>IF(Tabulka4[[#This Row],[Typ úlohy]]="Účet",H296,"")</f>
        <v/>
      </c>
      <c r="D296" s="903" t="str">
        <f>IF(Tabulka4[[#This Row],[Typ úlohy]]="Účet",GETPIVOTDATA("Součet z Celková hmotnost položek [kg]",$G$2,"Zkratka kalkulační položky",B296,"Výrobce / Dodavatel",C296),"")</f>
        <v/>
      </c>
      <c r="E296" s="904" t="str">
        <f>IF(Tabulka4[[#This Row],[Typ úlohy]]="Účet",GETPIVOTDATA("Součet z Celková cena bez DPH (CZK)",$G$3,"Zkratka kalkulační položky",B296,"Výrobce / Dodavatel",C296),"")</f>
        <v/>
      </c>
    </row>
    <row r="297" spans="1:5" x14ac:dyDescent="0.35">
      <c r="A297" s="902" t="str">
        <f t="shared" si="5"/>
        <v/>
      </c>
      <c r="B297" s="903" t="str">
        <f>IF(Tabulka4[[#This Row],[Typ úlohy]]="Součet",G297,IF(Tabulka4[[#This Row],[Typ úlohy]]="Účet",B296,""))</f>
        <v/>
      </c>
      <c r="C297" s="903" t="str">
        <f>IF(Tabulka4[[#This Row],[Typ úlohy]]="Účet",H297,"")</f>
        <v/>
      </c>
      <c r="D297" s="903" t="str">
        <f>IF(Tabulka4[[#This Row],[Typ úlohy]]="Účet",GETPIVOTDATA("Součet z Celková hmotnost položek [kg]",$G$2,"Zkratka kalkulační položky",B297,"Výrobce / Dodavatel",C297),"")</f>
        <v/>
      </c>
      <c r="E297" s="904" t="str">
        <f>IF(Tabulka4[[#This Row],[Typ úlohy]]="Účet",GETPIVOTDATA("Součet z Celková cena bez DPH (CZK)",$G$3,"Zkratka kalkulační položky",B297,"Výrobce / Dodavatel",C297),"")</f>
        <v/>
      </c>
    </row>
    <row r="298" spans="1:5" x14ac:dyDescent="0.35">
      <c r="A298" s="902" t="str">
        <f t="shared" si="5"/>
        <v/>
      </c>
      <c r="B298" s="903" t="str">
        <f>IF(Tabulka4[[#This Row],[Typ úlohy]]="Součet",G298,IF(Tabulka4[[#This Row],[Typ úlohy]]="Účet",B297,""))</f>
        <v/>
      </c>
      <c r="C298" s="903" t="str">
        <f>IF(Tabulka4[[#This Row],[Typ úlohy]]="Účet",H298,"")</f>
        <v/>
      </c>
      <c r="D298" s="903" t="str">
        <f>IF(Tabulka4[[#This Row],[Typ úlohy]]="Účet",GETPIVOTDATA("Součet z Celková hmotnost položek [kg]",$G$2,"Zkratka kalkulační položky",B298,"Výrobce / Dodavatel",C298),"")</f>
        <v/>
      </c>
      <c r="E298" s="904" t="str">
        <f>IF(Tabulka4[[#This Row],[Typ úlohy]]="Účet",GETPIVOTDATA("Součet z Celková cena bez DPH (CZK)",$G$3,"Zkratka kalkulační položky",B298,"Výrobce / Dodavatel",C298),"")</f>
        <v/>
      </c>
    </row>
    <row r="299" spans="1:5" x14ac:dyDescent="0.35">
      <c r="A299" s="902" t="str">
        <f t="shared" si="5"/>
        <v/>
      </c>
      <c r="B299" s="903" t="str">
        <f>IF(Tabulka4[[#This Row],[Typ úlohy]]="Součet",G299,IF(Tabulka4[[#This Row],[Typ úlohy]]="Účet",B298,""))</f>
        <v/>
      </c>
      <c r="C299" s="903" t="str">
        <f>IF(Tabulka4[[#This Row],[Typ úlohy]]="Účet",H299,"")</f>
        <v/>
      </c>
      <c r="D299" s="903" t="str">
        <f>IF(Tabulka4[[#This Row],[Typ úlohy]]="Účet",GETPIVOTDATA("Součet z Celková hmotnost položek [kg]",$G$2,"Zkratka kalkulační položky",B299,"Výrobce / Dodavatel",C299),"")</f>
        <v/>
      </c>
      <c r="E299" s="904" t="str">
        <f>IF(Tabulka4[[#This Row],[Typ úlohy]]="Účet",GETPIVOTDATA("Součet z Celková cena bez DPH (CZK)",$G$3,"Zkratka kalkulační položky",B299,"Výrobce / Dodavatel",C299),"")</f>
        <v/>
      </c>
    </row>
    <row r="300" spans="1:5" x14ac:dyDescent="0.35">
      <c r="A300" s="902" t="str">
        <f t="shared" si="5"/>
        <v/>
      </c>
      <c r="B300" s="903" t="str">
        <f>IF(Tabulka4[[#This Row],[Typ úlohy]]="Součet",G300,IF(Tabulka4[[#This Row],[Typ úlohy]]="Účet",B299,""))</f>
        <v/>
      </c>
      <c r="C300" s="903" t="str">
        <f>IF(Tabulka4[[#This Row],[Typ úlohy]]="Účet",H300,"")</f>
        <v/>
      </c>
      <c r="D300" s="903" t="str">
        <f>IF(Tabulka4[[#This Row],[Typ úlohy]]="Účet",GETPIVOTDATA("Součet z Celková hmotnost položek [kg]",$G$2,"Zkratka kalkulační položky",B300,"Výrobce / Dodavatel",C300),"")</f>
        <v/>
      </c>
      <c r="E300" s="904" t="str">
        <f>IF(Tabulka4[[#This Row],[Typ úlohy]]="Účet",GETPIVOTDATA("Součet z Celková cena bez DPH (CZK)",$G$3,"Zkratka kalkulační položky",B300,"Výrobce / Dodavatel",C300),"")</f>
        <v/>
      </c>
    </row>
    <row r="301" spans="1:5" x14ac:dyDescent="0.35">
      <c r="A301" s="902" t="str">
        <f t="shared" si="5"/>
        <v/>
      </c>
      <c r="B301" s="903" t="str">
        <f>IF(Tabulka4[[#This Row],[Typ úlohy]]="Součet",G301,IF(Tabulka4[[#This Row],[Typ úlohy]]="Účet",B300,""))</f>
        <v/>
      </c>
      <c r="C301" s="903" t="str">
        <f>IF(Tabulka4[[#This Row],[Typ úlohy]]="Účet",H301,"")</f>
        <v/>
      </c>
      <c r="D301" s="903" t="str">
        <f>IF(Tabulka4[[#This Row],[Typ úlohy]]="Účet",GETPIVOTDATA("Součet z Celková hmotnost položek [kg]",$G$2,"Zkratka kalkulační položky",B301,"Výrobce / Dodavatel",C301),"")</f>
        <v/>
      </c>
      <c r="E301" s="904" t="str">
        <f>IF(Tabulka4[[#This Row],[Typ úlohy]]="Účet",GETPIVOTDATA("Součet z Celková cena bez DPH (CZK)",$G$3,"Zkratka kalkulační položky",B301,"Výrobce / Dodavatel",C301),"")</f>
        <v/>
      </c>
    </row>
    <row r="302" spans="1:5" x14ac:dyDescent="0.35">
      <c r="A302" s="902" t="str">
        <f t="shared" si="5"/>
        <v/>
      </c>
      <c r="B302" s="903" t="str">
        <f>IF(Tabulka4[[#This Row],[Typ úlohy]]="Součet",G302,IF(Tabulka4[[#This Row],[Typ úlohy]]="Účet",B301,""))</f>
        <v/>
      </c>
      <c r="C302" s="903" t="str">
        <f>IF(Tabulka4[[#This Row],[Typ úlohy]]="Účet",H302,"")</f>
        <v/>
      </c>
      <c r="D302" s="903" t="str">
        <f>IF(Tabulka4[[#This Row],[Typ úlohy]]="Účet",GETPIVOTDATA("Součet z Celková hmotnost položek [kg]",$G$2,"Zkratka kalkulační položky",B302,"Výrobce / Dodavatel",C302),"")</f>
        <v/>
      </c>
      <c r="E302" s="904" t="str">
        <f>IF(Tabulka4[[#This Row],[Typ úlohy]]="Účet",GETPIVOTDATA("Součet z Celková cena bez DPH (CZK)",$G$3,"Zkratka kalkulační položky",B302,"Výrobce / Dodavatel",C302),"")</f>
        <v/>
      </c>
    </row>
    <row r="303" spans="1:5" x14ac:dyDescent="0.35">
      <c r="A303" s="902" t="str">
        <f t="shared" si="5"/>
        <v/>
      </c>
      <c r="B303" s="903" t="str">
        <f>IF(Tabulka4[[#This Row],[Typ úlohy]]="Součet",G303,IF(Tabulka4[[#This Row],[Typ úlohy]]="Účet",B302,""))</f>
        <v/>
      </c>
      <c r="C303" s="903" t="str">
        <f>IF(Tabulka4[[#This Row],[Typ úlohy]]="Účet",H303,"")</f>
        <v/>
      </c>
      <c r="D303" s="903" t="str">
        <f>IF(Tabulka4[[#This Row],[Typ úlohy]]="Účet",GETPIVOTDATA("Součet z Celková hmotnost položek [kg]",$G$2,"Zkratka kalkulační položky",B303,"Výrobce / Dodavatel",C303),"")</f>
        <v/>
      </c>
      <c r="E303" s="904" t="str">
        <f>IF(Tabulka4[[#This Row],[Typ úlohy]]="Účet",GETPIVOTDATA("Součet z Celková cena bez DPH (CZK)",$G$3,"Zkratka kalkulační položky",B303,"Výrobce / Dodavatel",C303),"")</f>
        <v/>
      </c>
    </row>
    <row r="304" spans="1:5" x14ac:dyDescent="0.35">
      <c r="A304" s="902" t="str">
        <f t="shared" si="5"/>
        <v/>
      </c>
      <c r="B304" s="903" t="str">
        <f>IF(Tabulka4[[#This Row],[Typ úlohy]]="Součet",G304,IF(Tabulka4[[#This Row],[Typ úlohy]]="Účet",B303,""))</f>
        <v/>
      </c>
      <c r="C304" s="903" t="str">
        <f>IF(Tabulka4[[#This Row],[Typ úlohy]]="Účet",H304,"")</f>
        <v/>
      </c>
      <c r="D304" s="903" t="str">
        <f>IF(Tabulka4[[#This Row],[Typ úlohy]]="Účet",GETPIVOTDATA("Součet z Celková hmotnost položek [kg]",$G$2,"Zkratka kalkulační položky",B304,"Výrobce / Dodavatel",C304),"")</f>
        <v/>
      </c>
      <c r="E304" s="904" t="str">
        <f>IF(Tabulka4[[#This Row],[Typ úlohy]]="Účet",GETPIVOTDATA("Součet z Celková cena bez DPH (CZK)",$G$3,"Zkratka kalkulační položky",B304,"Výrobce / Dodavatel",C304),"")</f>
        <v/>
      </c>
    </row>
    <row r="305" spans="1:5" x14ac:dyDescent="0.35">
      <c r="A305" s="902" t="str">
        <f t="shared" si="5"/>
        <v/>
      </c>
      <c r="B305" s="903" t="str">
        <f>IF(Tabulka4[[#This Row],[Typ úlohy]]="Součet",G305,IF(Tabulka4[[#This Row],[Typ úlohy]]="Účet",B304,""))</f>
        <v/>
      </c>
      <c r="C305" s="903" t="str">
        <f>IF(Tabulka4[[#This Row],[Typ úlohy]]="Účet",H305,"")</f>
        <v/>
      </c>
      <c r="D305" s="903" t="str">
        <f>IF(Tabulka4[[#This Row],[Typ úlohy]]="Účet",GETPIVOTDATA("Součet z Celková hmotnost položek [kg]",$G$2,"Zkratka kalkulační položky",B305,"Výrobce / Dodavatel",C305),"")</f>
        <v/>
      </c>
      <c r="E305" s="904" t="str">
        <f>IF(Tabulka4[[#This Row],[Typ úlohy]]="Účet",GETPIVOTDATA("Součet z Celková cena bez DPH (CZK)",$G$3,"Zkratka kalkulační položky",B305,"Výrobce / Dodavatel",C305),"")</f>
        <v/>
      </c>
    </row>
    <row r="306" spans="1:5" x14ac:dyDescent="0.35">
      <c r="A306" s="902" t="str">
        <f t="shared" si="5"/>
        <v/>
      </c>
      <c r="B306" s="903" t="str">
        <f>IF(Tabulka4[[#This Row],[Typ úlohy]]="Součet",G306,IF(Tabulka4[[#This Row],[Typ úlohy]]="Účet",B305,""))</f>
        <v/>
      </c>
      <c r="C306" s="903" t="str">
        <f>IF(Tabulka4[[#This Row],[Typ úlohy]]="Účet",H306,"")</f>
        <v/>
      </c>
      <c r="D306" s="903" t="str">
        <f>IF(Tabulka4[[#This Row],[Typ úlohy]]="Účet",GETPIVOTDATA("Součet z Celková hmotnost položek [kg]",$G$2,"Zkratka kalkulační položky",B306,"Výrobce / Dodavatel",C306),"")</f>
        <v/>
      </c>
      <c r="E306" s="904" t="str">
        <f>IF(Tabulka4[[#This Row],[Typ úlohy]]="Účet",GETPIVOTDATA("Součet z Celková cena bez DPH (CZK)",$G$3,"Zkratka kalkulační položky",B306,"Výrobce / Dodavatel",C306),"")</f>
        <v/>
      </c>
    </row>
    <row r="307" spans="1:5" x14ac:dyDescent="0.35">
      <c r="A307" s="902" t="str">
        <f t="shared" si="5"/>
        <v/>
      </c>
      <c r="B307" s="903" t="str">
        <f>IF(Tabulka4[[#This Row],[Typ úlohy]]="Součet",G307,IF(Tabulka4[[#This Row],[Typ úlohy]]="Účet",B306,""))</f>
        <v/>
      </c>
      <c r="C307" s="903" t="str">
        <f>IF(Tabulka4[[#This Row],[Typ úlohy]]="Účet",H307,"")</f>
        <v/>
      </c>
      <c r="D307" s="903" t="str">
        <f>IF(Tabulka4[[#This Row],[Typ úlohy]]="Účet",GETPIVOTDATA("Součet z Celková hmotnost položek [kg]",$G$2,"Zkratka kalkulační položky",B307,"Výrobce / Dodavatel",C307),"")</f>
        <v/>
      </c>
      <c r="E307" s="904" t="str">
        <f>IF(Tabulka4[[#This Row],[Typ úlohy]]="Účet",GETPIVOTDATA("Součet z Celková cena bez DPH (CZK)",$G$3,"Zkratka kalkulační položky",B307,"Výrobce / Dodavatel",C307),"")</f>
        <v/>
      </c>
    </row>
    <row r="308" spans="1:5" x14ac:dyDescent="0.35">
      <c r="A308" s="902" t="str">
        <f t="shared" si="5"/>
        <v/>
      </c>
      <c r="B308" s="903" t="str">
        <f>IF(Tabulka4[[#This Row],[Typ úlohy]]="Součet",G308,IF(Tabulka4[[#This Row],[Typ úlohy]]="Účet",B307,""))</f>
        <v/>
      </c>
      <c r="C308" s="903" t="str">
        <f>IF(Tabulka4[[#This Row],[Typ úlohy]]="Účet",H308,"")</f>
        <v/>
      </c>
      <c r="D308" s="903" t="str">
        <f>IF(Tabulka4[[#This Row],[Typ úlohy]]="Účet",GETPIVOTDATA("Součet z Celková hmotnost položek [kg]",$G$2,"Zkratka kalkulační položky",B308,"Výrobce / Dodavatel",C308),"")</f>
        <v/>
      </c>
      <c r="E308" s="904" t="str">
        <f>IF(Tabulka4[[#This Row],[Typ úlohy]]="Účet",GETPIVOTDATA("Součet z Celková cena bez DPH (CZK)",$G$3,"Zkratka kalkulační položky",B308,"Výrobce / Dodavatel",C308),"")</f>
        <v/>
      </c>
    </row>
    <row r="309" spans="1:5" x14ac:dyDescent="0.35">
      <c r="A309" s="902" t="str">
        <f t="shared" si="5"/>
        <v/>
      </c>
      <c r="B309" s="903" t="str">
        <f>IF(Tabulka4[[#This Row],[Typ úlohy]]="Součet",G309,IF(Tabulka4[[#This Row],[Typ úlohy]]="Účet",B308,""))</f>
        <v/>
      </c>
      <c r="C309" s="903" t="str">
        <f>IF(Tabulka4[[#This Row],[Typ úlohy]]="Účet",H309,"")</f>
        <v/>
      </c>
      <c r="D309" s="903" t="str">
        <f>IF(Tabulka4[[#This Row],[Typ úlohy]]="Účet",GETPIVOTDATA("Součet z Celková hmotnost položek [kg]",$G$2,"Zkratka kalkulační položky",B309,"Výrobce / Dodavatel",C309),"")</f>
        <v/>
      </c>
      <c r="E309" s="904" t="str">
        <f>IF(Tabulka4[[#This Row],[Typ úlohy]]="Účet",GETPIVOTDATA("Součet z Celková cena bez DPH (CZK)",$G$3,"Zkratka kalkulační položky",B309,"Výrobce / Dodavatel",C309),"")</f>
        <v/>
      </c>
    </row>
    <row r="310" spans="1:5" x14ac:dyDescent="0.35">
      <c r="A310" s="902" t="str">
        <f t="shared" si="5"/>
        <v/>
      </c>
      <c r="B310" s="903" t="str">
        <f>IF(Tabulka4[[#This Row],[Typ úlohy]]="Součet",G310,IF(Tabulka4[[#This Row],[Typ úlohy]]="Účet",B309,""))</f>
        <v/>
      </c>
      <c r="C310" s="903" t="str">
        <f>IF(Tabulka4[[#This Row],[Typ úlohy]]="Účet",H310,"")</f>
        <v/>
      </c>
      <c r="D310" s="903" t="str">
        <f>IF(Tabulka4[[#This Row],[Typ úlohy]]="Účet",GETPIVOTDATA("Součet z Celková hmotnost položek [kg]",$G$2,"Zkratka kalkulační položky",B310,"Výrobce / Dodavatel",C310),"")</f>
        <v/>
      </c>
      <c r="E310" s="904" t="str">
        <f>IF(Tabulka4[[#This Row],[Typ úlohy]]="Účet",GETPIVOTDATA("Součet z Celková cena bez DPH (CZK)",$G$3,"Zkratka kalkulační položky",B310,"Výrobce / Dodavatel",C310),"")</f>
        <v/>
      </c>
    </row>
    <row r="311" spans="1:5" x14ac:dyDescent="0.35">
      <c r="A311" s="902" t="str">
        <f t="shared" si="5"/>
        <v/>
      </c>
      <c r="B311" s="903" t="str">
        <f>IF(Tabulka4[[#This Row],[Typ úlohy]]="Součet",G311,IF(Tabulka4[[#This Row],[Typ úlohy]]="Účet",B310,""))</f>
        <v/>
      </c>
      <c r="C311" s="903" t="str">
        <f>IF(Tabulka4[[#This Row],[Typ úlohy]]="Účet",H311,"")</f>
        <v/>
      </c>
      <c r="D311" s="903" t="str">
        <f>IF(Tabulka4[[#This Row],[Typ úlohy]]="Účet",GETPIVOTDATA("Součet z Celková hmotnost položek [kg]",$G$2,"Zkratka kalkulační položky",B311,"Výrobce / Dodavatel",C311),"")</f>
        <v/>
      </c>
      <c r="E311" s="904" t="str">
        <f>IF(Tabulka4[[#This Row],[Typ úlohy]]="Účet",GETPIVOTDATA("Součet z Celková cena bez DPH (CZK)",$G$3,"Zkratka kalkulační položky",B311,"Výrobce / Dodavatel",C311),"")</f>
        <v/>
      </c>
    </row>
    <row r="312" spans="1:5" x14ac:dyDescent="0.35">
      <c r="A312" s="902" t="str">
        <f t="shared" si="5"/>
        <v/>
      </c>
      <c r="B312" s="903" t="str">
        <f>IF(Tabulka4[[#This Row],[Typ úlohy]]="Součet",G312,IF(Tabulka4[[#This Row],[Typ úlohy]]="Účet",B311,""))</f>
        <v/>
      </c>
      <c r="C312" s="903" t="str">
        <f>IF(Tabulka4[[#This Row],[Typ úlohy]]="Účet",H312,"")</f>
        <v/>
      </c>
      <c r="D312" s="903" t="str">
        <f>IF(Tabulka4[[#This Row],[Typ úlohy]]="Účet",GETPIVOTDATA("Součet z Celková hmotnost položek [kg]",$G$2,"Zkratka kalkulační položky",B312,"Výrobce / Dodavatel",C312),"")</f>
        <v/>
      </c>
      <c r="E312" s="904" t="str">
        <f>IF(Tabulka4[[#This Row],[Typ úlohy]]="Účet",GETPIVOTDATA("Součet z Celková cena bez DPH (CZK)",$G$3,"Zkratka kalkulační položky",B312,"Výrobce / Dodavatel",C312),"")</f>
        <v/>
      </c>
    </row>
    <row r="313" spans="1:5" x14ac:dyDescent="0.35">
      <c r="A313" s="902" t="str">
        <f t="shared" si="5"/>
        <v/>
      </c>
      <c r="B313" s="903" t="str">
        <f>IF(Tabulka4[[#This Row],[Typ úlohy]]="Součet",G313,IF(Tabulka4[[#This Row],[Typ úlohy]]="Účet",B312,""))</f>
        <v/>
      </c>
      <c r="C313" s="903" t="str">
        <f>IF(Tabulka4[[#This Row],[Typ úlohy]]="Účet",H313,"")</f>
        <v/>
      </c>
      <c r="D313" s="903" t="str">
        <f>IF(Tabulka4[[#This Row],[Typ úlohy]]="Účet",GETPIVOTDATA("Součet z Celková hmotnost položek [kg]",$G$2,"Zkratka kalkulační položky",B313,"Výrobce / Dodavatel",C313),"")</f>
        <v/>
      </c>
      <c r="E313" s="904" t="str">
        <f>IF(Tabulka4[[#This Row],[Typ úlohy]]="Účet",GETPIVOTDATA("Součet z Celková cena bez DPH (CZK)",$G$3,"Zkratka kalkulační položky",B313,"Výrobce / Dodavatel",C313),"")</f>
        <v/>
      </c>
    </row>
    <row r="314" spans="1:5" x14ac:dyDescent="0.35">
      <c r="A314" s="902" t="str">
        <f t="shared" si="5"/>
        <v/>
      </c>
      <c r="B314" s="903" t="str">
        <f>IF(Tabulka4[[#This Row],[Typ úlohy]]="Součet",G314,IF(Tabulka4[[#This Row],[Typ úlohy]]="Účet",B313,""))</f>
        <v/>
      </c>
      <c r="C314" s="903" t="str">
        <f>IF(Tabulka4[[#This Row],[Typ úlohy]]="Účet",H314,"")</f>
        <v/>
      </c>
      <c r="D314" s="903" t="str">
        <f>IF(Tabulka4[[#This Row],[Typ úlohy]]="Účet",GETPIVOTDATA("Součet z Celková hmotnost položek [kg]",$G$2,"Zkratka kalkulační položky",B314,"Výrobce / Dodavatel",C314),"")</f>
        <v/>
      </c>
      <c r="E314" s="904" t="str">
        <f>IF(Tabulka4[[#This Row],[Typ úlohy]]="Účet",GETPIVOTDATA("Součet z Celková cena bez DPH (CZK)",$G$3,"Zkratka kalkulační položky",B314,"Výrobce / Dodavatel",C314),"")</f>
        <v/>
      </c>
    </row>
    <row r="315" spans="1:5" x14ac:dyDescent="0.35">
      <c r="A315" s="902" t="str">
        <f t="shared" si="5"/>
        <v/>
      </c>
      <c r="B315" s="903" t="str">
        <f>IF(Tabulka4[[#This Row],[Typ úlohy]]="Součet",G315,IF(Tabulka4[[#This Row],[Typ úlohy]]="Účet",B314,""))</f>
        <v/>
      </c>
      <c r="C315" s="903" t="str">
        <f>IF(Tabulka4[[#This Row],[Typ úlohy]]="Účet",H315,"")</f>
        <v/>
      </c>
      <c r="D315" s="903" t="str">
        <f>IF(Tabulka4[[#This Row],[Typ úlohy]]="Účet",GETPIVOTDATA("Součet z Celková hmotnost položek [kg]",$G$2,"Zkratka kalkulační položky",B315,"Výrobce / Dodavatel",C315),"")</f>
        <v/>
      </c>
      <c r="E315" s="904" t="str">
        <f>IF(Tabulka4[[#This Row],[Typ úlohy]]="Účet",GETPIVOTDATA("Součet z Celková cena bez DPH (CZK)",$G$3,"Zkratka kalkulační položky",B315,"Výrobce / Dodavatel",C315),"")</f>
        <v/>
      </c>
    </row>
    <row r="316" spans="1:5" x14ac:dyDescent="0.35">
      <c r="A316" s="902" t="str">
        <f t="shared" si="5"/>
        <v/>
      </c>
      <c r="B316" s="903" t="str">
        <f>IF(Tabulka4[[#This Row],[Typ úlohy]]="Součet",G316,IF(Tabulka4[[#This Row],[Typ úlohy]]="Účet",B315,""))</f>
        <v/>
      </c>
      <c r="C316" s="903" t="str">
        <f>IF(Tabulka4[[#This Row],[Typ úlohy]]="Účet",H316,"")</f>
        <v/>
      </c>
      <c r="D316" s="903" t="str">
        <f>IF(Tabulka4[[#This Row],[Typ úlohy]]="Účet",GETPIVOTDATA("Součet z Celková hmotnost položek [kg]",$G$2,"Zkratka kalkulační položky",B316,"Výrobce / Dodavatel",C316),"")</f>
        <v/>
      </c>
      <c r="E316" s="904" t="str">
        <f>IF(Tabulka4[[#This Row],[Typ úlohy]]="Účet",GETPIVOTDATA("Součet z Celková cena bez DPH (CZK)",$G$3,"Zkratka kalkulační položky",B316,"Výrobce / Dodavatel",C316),"")</f>
        <v/>
      </c>
    </row>
    <row r="317" spans="1:5" x14ac:dyDescent="0.35">
      <c r="A317" s="902" t="str">
        <f t="shared" si="5"/>
        <v/>
      </c>
      <c r="B317" s="903" t="str">
        <f>IF(Tabulka4[[#This Row],[Typ úlohy]]="Součet",G317,IF(Tabulka4[[#This Row],[Typ úlohy]]="Účet",B316,""))</f>
        <v/>
      </c>
      <c r="C317" s="903" t="str">
        <f>IF(Tabulka4[[#This Row],[Typ úlohy]]="Účet",H317,"")</f>
        <v/>
      </c>
      <c r="D317" s="903" t="str">
        <f>IF(Tabulka4[[#This Row],[Typ úlohy]]="Účet",GETPIVOTDATA("Součet z Celková hmotnost položek [kg]",$G$2,"Zkratka kalkulační položky",B317,"Výrobce / Dodavatel",C317),"")</f>
        <v/>
      </c>
      <c r="E317" s="904" t="str">
        <f>IF(Tabulka4[[#This Row],[Typ úlohy]]="Účet",GETPIVOTDATA("Součet z Celková cena bez DPH (CZK)",$G$3,"Zkratka kalkulační položky",B317,"Výrobce / Dodavatel",C317),"")</f>
        <v/>
      </c>
    </row>
    <row r="318" spans="1:5" x14ac:dyDescent="0.35">
      <c r="A318" s="902" t="str">
        <f t="shared" si="5"/>
        <v/>
      </c>
      <c r="B318" s="903" t="str">
        <f>IF(Tabulka4[[#This Row],[Typ úlohy]]="Součet",G318,IF(Tabulka4[[#This Row],[Typ úlohy]]="Účet",B317,""))</f>
        <v/>
      </c>
      <c r="C318" s="903" t="str">
        <f>IF(Tabulka4[[#This Row],[Typ úlohy]]="Účet",H318,"")</f>
        <v/>
      </c>
      <c r="D318" s="903" t="str">
        <f>IF(Tabulka4[[#This Row],[Typ úlohy]]="Účet",GETPIVOTDATA("Součet z Celková hmotnost položek [kg]",$G$2,"Zkratka kalkulační položky",B318,"Výrobce / Dodavatel",C318),"")</f>
        <v/>
      </c>
      <c r="E318" s="904" t="str">
        <f>IF(Tabulka4[[#This Row],[Typ úlohy]]="Účet",GETPIVOTDATA("Součet z Celková cena bez DPH (CZK)",$G$3,"Zkratka kalkulační položky",B318,"Výrobce / Dodavatel",C318),"")</f>
        <v/>
      </c>
    </row>
    <row r="319" spans="1:5" x14ac:dyDescent="0.35">
      <c r="A319" s="902" t="str">
        <f t="shared" si="5"/>
        <v/>
      </c>
      <c r="B319" s="903" t="str">
        <f>IF(Tabulka4[[#This Row],[Typ úlohy]]="Součet",G319,IF(Tabulka4[[#This Row],[Typ úlohy]]="Účet",B318,""))</f>
        <v/>
      </c>
      <c r="C319" s="903" t="str">
        <f>IF(Tabulka4[[#This Row],[Typ úlohy]]="Účet",H319,"")</f>
        <v/>
      </c>
      <c r="D319" s="903" t="str">
        <f>IF(Tabulka4[[#This Row],[Typ úlohy]]="Účet",GETPIVOTDATA("Součet z Celková hmotnost položek [kg]",$G$2,"Zkratka kalkulační položky",B319,"Výrobce / Dodavatel",C319),"")</f>
        <v/>
      </c>
      <c r="E319" s="904" t="str">
        <f>IF(Tabulka4[[#This Row],[Typ úlohy]]="Účet",GETPIVOTDATA("Součet z Celková cena bez DPH (CZK)",$G$3,"Zkratka kalkulační položky",B319,"Výrobce / Dodavatel",C319),"")</f>
        <v/>
      </c>
    </row>
    <row r="320" spans="1:5" x14ac:dyDescent="0.35">
      <c r="A320" s="902" t="str">
        <f t="shared" si="5"/>
        <v/>
      </c>
      <c r="B320" s="903" t="str">
        <f>IF(Tabulka4[[#This Row],[Typ úlohy]]="Součet",G320,IF(Tabulka4[[#This Row],[Typ úlohy]]="Účet",B319,""))</f>
        <v/>
      </c>
      <c r="C320" s="903" t="str">
        <f>IF(Tabulka4[[#This Row],[Typ úlohy]]="Účet",H320,"")</f>
        <v/>
      </c>
      <c r="D320" s="903" t="str">
        <f>IF(Tabulka4[[#This Row],[Typ úlohy]]="Účet",GETPIVOTDATA("Součet z Celková hmotnost položek [kg]",$G$2,"Zkratka kalkulační položky",B320,"Výrobce / Dodavatel",C320),"")</f>
        <v/>
      </c>
      <c r="E320" s="904" t="str">
        <f>IF(Tabulka4[[#This Row],[Typ úlohy]]="Účet",GETPIVOTDATA("Součet z Celková cena bez DPH (CZK)",$G$3,"Zkratka kalkulační položky",B320,"Výrobce / Dodavatel",C320),"")</f>
        <v/>
      </c>
    </row>
    <row r="321" spans="1:5" x14ac:dyDescent="0.35">
      <c r="A321" s="902" t="str">
        <f t="shared" si="5"/>
        <v/>
      </c>
      <c r="B321" s="903" t="str">
        <f>IF(Tabulka4[[#This Row],[Typ úlohy]]="Součet",G321,IF(Tabulka4[[#This Row],[Typ úlohy]]="Účet",B320,""))</f>
        <v/>
      </c>
      <c r="C321" s="903" t="str">
        <f>IF(Tabulka4[[#This Row],[Typ úlohy]]="Účet",H321,"")</f>
        <v/>
      </c>
      <c r="D321" s="903" t="str">
        <f>IF(Tabulka4[[#This Row],[Typ úlohy]]="Účet",GETPIVOTDATA("Součet z Celková hmotnost položek [kg]",$G$2,"Zkratka kalkulační položky",B321,"Výrobce / Dodavatel",C321),"")</f>
        <v/>
      </c>
      <c r="E321" s="904" t="str">
        <f>IF(Tabulka4[[#This Row],[Typ úlohy]]="Účet",GETPIVOTDATA("Součet z Celková cena bez DPH (CZK)",$G$3,"Zkratka kalkulační položky",B321,"Výrobce / Dodavatel",C321),"")</f>
        <v/>
      </c>
    </row>
    <row r="322" spans="1:5" x14ac:dyDescent="0.35">
      <c r="A322" s="902" t="str">
        <f t="shared" si="5"/>
        <v/>
      </c>
      <c r="B322" s="903" t="str">
        <f>IF(Tabulka4[[#This Row],[Typ úlohy]]="Součet",G322,IF(Tabulka4[[#This Row],[Typ úlohy]]="Účet",B321,""))</f>
        <v/>
      </c>
      <c r="C322" s="903" t="str">
        <f>IF(Tabulka4[[#This Row],[Typ úlohy]]="Účet",H322,"")</f>
        <v/>
      </c>
      <c r="D322" s="903" t="str">
        <f>IF(Tabulka4[[#This Row],[Typ úlohy]]="Účet",GETPIVOTDATA("Součet z Celková hmotnost položek [kg]",$G$2,"Zkratka kalkulační položky",B322,"Výrobce / Dodavatel",C322),"")</f>
        <v/>
      </c>
      <c r="E322" s="904" t="str">
        <f>IF(Tabulka4[[#This Row],[Typ úlohy]]="Účet",GETPIVOTDATA("Součet z Celková cena bez DPH (CZK)",$G$3,"Zkratka kalkulační položky",B322,"Výrobce / Dodavatel",C322),"")</f>
        <v/>
      </c>
    </row>
    <row r="323" spans="1:5" x14ac:dyDescent="0.35">
      <c r="A323" s="902" t="str">
        <f t="shared" si="5"/>
        <v/>
      </c>
      <c r="B323" s="903" t="str">
        <f>IF(Tabulka4[[#This Row],[Typ úlohy]]="Součet",G323,IF(Tabulka4[[#This Row],[Typ úlohy]]="Účet",B322,""))</f>
        <v/>
      </c>
      <c r="C323" s="903" t="str">
        <f>IF(Tabulka4[[#This Row],[Typ úlohy]]="Účet",H323,"")</f>
        <v/>
      </c>
      <c r="D323" s="903" t="str">
        <f>IF(Tabulka4[[#This Row],[Typ úlohy]]="Účet",GETPIVOTDATA("Součet z Celková hmotnost položek [kg]",$G$2,"Zkratka kalkulační položky",B323,"Výrobce / Dodavatel",C323),"")</f>
        <v/>
      </c>
      <c r="E323" s="904" t="str">
        <f>IF(Tabulka4[[#This Row],[Typ úlohy]]="Účet",GETPIVOTDATA("Součet z Celková cena bez DPH (CZK)",$G$3,"Zkratka kalkulační položky",B323,"Výrobce / Dodavatel",C323),"")</f>
        <v/>
      </c>
    </row>
    <row r="324" spans="1:5" x14ac:dyDescent="0.35">
      <c r="A324" s="902" t="str">
        <f t="shared" si="5"/>
        <v/>
      </c>
      <c r="B324" s="903" t="str">
        <f>IF(Tabulka4[[#This Row],[Typ úlohy]]="Součet",G324,IF(Tabulka4[[#This Row],[Typ úlohy]]="Účet",B323,""))</f>
        <v/>
      </c>
      <c r="C324" s="903" t="str">
        <f>IF(Tabulka4[[#This Row],[Typ úlohy]]="Účet",H324,"")</f>
        <v/>
      </c>
      <c r="D324" s="903" t="str">
        <f>IF(Tabulka4[[#This Row],[Typ úlohy]]="Účet",GETPIVOTDATA("Součet z Celková hmotnost položek [kg]",$G$2,"Zkratka kalkulační položky",B324,"Výrobce / Dodavatel",C324),"")</f>
        <v/>
      </c>
      <c r="E324" s="904" t="str">
        <f>IF(Tabulka4[[#This Row],[Typ úlohy]]="Účet",GETPIVOTDATA("Součet z Celková cena bez DPH (CZK)",$G$3,"Zkratka kalkulační položky",B324,"Výrobce / Dodavatel",C324),"")</f>
        <v/>
      </c>
    </row>
    <row r="325" spans="1:5" x14ac:dyDescent="0.35">
      <c r="A325" s="902" t="str">
        <f t="shared" ref="A325:A388" si="6">IF(H325="",IF(G325="","","Součet"),"Účet")</f>
        <v/>
      </c>
      <c r="B325" s="903" t="str">
        <f>IF(Tabulka4[[#This Row],[Typ úlohy]]="Součet",G325,IF(Tabulka4[[#This Row],[Typ úlohy]]="Účet",B324,""))</f>
        <v/>
      </c>
      <c r="C325" s="903" t="str">
        <f>IF(Tabulka4[[#This Row],[Typ úlohy]]="Účet",H325,"")</f>
        <v/>
      </c>
      <c r="D325" s="903" t="str">
        <f>IF(Tabulka4[[#This Row],[Typ úlohy]]="Účet",GETPIVOTDATA("Součet z Celková hmotnost položek [kg]",$G$2,"Zkratka kalkulační položky",B325,"Výrobce / Dodavatel",C325),"")</f>
        <v/>
      </c>
      <c r="E325" s="904" t="str">
        <f>IF(Tabulka4[[#This Row],[Typ úlohy]]="Účet",GETPIVOTDATA("Součet z Celková cena bez DPH (CZK)",$G$3,"Zkratka kalkulační položky",B325,"Výrobce / Dodavatel",C325),"")</f>
        <v/>
      </c>
    </row>
    <row r="326" spans="1:5" x14ac:dyDescent="0.35">
      <c r="A326" s="902" t="str">
        <f t="shared" si="6"/>
        <v/>
      </c>
      <c r="B326" s="903" t="str">
        <f>IF(Tabulka4[[#This Row],[Typ úlohy]]="Součet",G326,IF(Tabulka4[[#This Row],[Typ úlohy]]="Účet",B325,""))</f>
        <v/>
      </c>
      <c r="C326" s="903" t="str">
        <f>IF(Tabulka4[[#This Row],[Typ úlohy]]="Účet",H326,"")</f>
        <v/>
      </c>
      <c r="D326" s="903" t="str">
        <f>IF(Tabulka4[[#This Row],[Typ úlohy]]="Účet",GETPIVOTDATA("Součet z Celková hmotnost položek [kg]",$G$2,"Zkratka kalkulační položky",B326,"Výrobce / Dodavatel",C326),"")</f>
        <v/>
      </c>
      <c r="E326" s="904" t="str">
        <f>IF(Tabulka4[[#This Row],[Typ úlohy]]="Účet",GETPIVOTDATA("Součet z Celková cena bez DPH (CZK)",$G$3,"Zkratka kalkulační položky",B326,"Výrobce / Dodavatel",C326),"")</f>
        <v/>
      </c>
    </row>
    <row r="327" spans="1:5" x14ac:dyDescent="0.35">
      <c r="A327" s="902" t="str">
        <f t="shared" si="6"/>
        <v/>
      </c>
      <c r="B327" s="903" t="str">
        <f>IF(Tabulka4[[#This Row],[Typ úlohy]]="Součet",G327,IF(Tabulka4[[#This Row],[Typ úlohy]]="Účet",B326,""))</f>
        <v/>
      </c>
      <c r="C327" s="903" t="str">
        <f>IF(Tabulka4[[#This Row],[Typ úlohy]]="Účet",H327,"")</f>
        <v/>
      </c>
      <c r="D327" s="903" t="str">
        <f>IF(Tabulka4[[#This Row],[Typ úlohy]]="Účet",GETPIVOTDATA("Součet z Celková hmotnost položek [kg]",$G$2,"Zkratka kalkulační položky",B327,"Výrobce / Dodavatel",C327),"")</f>
        <v/>
      </c>
      <c r="E327" s="904" t="str">
        <f>IF(Tabulka4[[#This Row],[Typ úlohy]]="Účet",GETPIVOTDATA("Součet z Celková cena bez DPH (CZK)",$G$3,"Zkratka kalkulační položky",B327,"Výrobce / Dodavatel",C327),"")</f>
        <v/>
      </c>
    </row>
    <row r="328" spans="1:5" x14ac:dyDescent="0.35">
      <c r="A328" s="902" t="str">
        <f t="shared" si="6"/>
        <v/>
      </c>
      <c r="B328" s="903" t="str">
        <f>IF(Tabulka4[[#This Row],[Typ úlohy]]="Součet",G328,IF(Tabulka4[[#This Row],[Typ úlohy]]="Účet",B327,""))</f>
        <v/>
      </c>
      <c r="C328" s="903" t="str">
        <f>IF(Tabulka4[[#This Row],[Typ úlohy]]="Účet",H328,"")</f>
        <v/>
      </c>
      <c r="D328" s="903" t="str">
        <f>IF(Tabulka4[[#This Row],[Typ úlohy]]="Účet",GETPIVOTDATA("Součet z Celková hmotnost položek [kg]",$G$2,"Zkratka kalkulační položky",B328,"Výrobce / Dodavatel",C328),"")</f>
        <v/>
      </c>
      <c r="E328" s="904" t="str">
        <f>IF(Tabulka4[[#This Row],[Typ úlohy]]="Účet",GETPIVOTDATA("Součet z Celková cena bez DPH (CZK)",$G$3,"Zkratka kalkulační položky",B328,"Výrobce / Dodavatel",C328),"")</f>
        <v/>
      </c>
    </row>
    <row r="329" spans="1:5" x14ac:dyDescent="0.35">
      <c r="A329" s="902" t="str">
        <f t="shared" si="6"/>
        <v/>
      </c>
      <c r="B329" s="903" t="str">
        <f>IF(Tabulka4[[#This Row],[Typ úlohy]]="Součet",G329,IF(Tabulka4[[#This Row],[Typ úlohy]]="Účet",B328,""))</f>
        <v/>
      </c>
      <c r="C329" s="903" t="str">
        <f>IF(Tabulka4[[#This Row],[Typ úlohy]]="Účet",H329,"")</f>
        <v/>
      </c>
      <c r="D329" s="903" t="str">
        <f>IF(Tabulka4[[#This Row],[Typ úlohy]]="Účet",GETPIVOTDATA("Součet z Celková hmotnost položek [kg]",$G$2,"Zkratka kalkulační položky",B329,"Výrobce / Dodavatel",C329),"")</f>
        <v/>
      </c>
      <c r="E329" s="904" t="str">
        <f>IF(Tabulka4[[#This Row],[Typ úlohy]]="Účet",GETPIVOTDATA("Součet z Celková cena bez DPH (CZK)",$G$3,"Zkratka kalkulační položky",B329,"Výrobce / Dodavatel",C329),"")</f>
        <v/>
      </c>
    </row>
    <row r="330" spans="1:5" x14ac:dyDescent="0.35">
      <c r="A330" s="902" t="str">
        <f t="shared" si="6"/>
        <v/>
      </c>
      <c r="B330" s="903" t="str">
        <f>IF(Tabulka4[[#This Row],[Typ úlohy]]="Součet",G330,IF(Tabulka4[[#This Row],[Typ úlohy]]="Účet",B329,""))</f>
        <v/>
      </c>
      <c r="C330" s="903" t="str">
        <f>IF(Tabulka4[[#This Row],[Typ úlohy]]="Účet",H330,"")</f>
        <v/>
      </c>
      <c r="D330" s="903" t="str">
        <f>IF(Tabulka4[[#This Row],[Typ úlohy]]="Účet",GETPIVOTDATA("Součet z Celková hmotnost položek [kg]",$G$2,"Zkratka kalkulační položky",B330,"Výrobce / Dodavatel",C330),"")</f>
        <v/>
      </c>
      <c r="E330" s="904" t="str">
        <f>IF(Tabulka4[[#This Row],[Typ úlohy]]="Účet",GETPIVOTDATA("Součet z Celková cena bez DPH (CZK)",$G$3,"Zkratka kalkulační položky",B330,"Výrobce / Dodavatel",C330),"")</f>
        <v/>
      </c>
    </row>
    <row r="331" spans="1:5" x14ac:dyDescent="0.35">
      <c r="A331" s="902" t="str">
        <f t="shared" si="6"/>
        <v/>
      </c>
      <c r="B331" s="903" t="str">
        <f>IF(Tabulka4[[#This Row],[Typ úlohy]]="Součet",G331,IF(Tabulka4[[#This Row],[Typ úlohy]]="Účet",B330,""))</f>
        <v/>
      </c>
      <c r="C331" s="903" t="str">
        <f>IF(Tabulka4[[#This Row],[Typ úlohy]]="Účet",H331,"")</f>
        <v/>
      </c>
      <c r="D331" s="903" t="str">
        <f>IF(Tabulka4[[#This Row],[Typ úlohy]]="Účet",GETPIVOTDATA("Součet z Celková hmotnost položek [kg]",$G$2,"Zkratka kalkulační položky",B331,"Výrobce / Dodavatel",C331),"")</f>
        <v/>
      </c>
      <c r="E331" s="904" t="str">
        <f>IF(Tabulka4[[#This Row],[Typ úlohy]]="Účet",GETPIVOTDATA("Součet z Celková cena bez DPH (CZK)",$G$3,"Zkratka kalkulační položky",B331,"Výrobce / Dodavatel",C331),"")</f>
        <v/>
      </c>
    </row>
    <row r="332" spans="1:5" x14ac:dyDescent="0.35">
      <c r="A332" s="902" t="str">
        <f t="shared" si="6"/>
        <v/>
      </c>
      <c r="B332" s="903" t="str">
        <f>IF(Tabulka4[[#This Row],[Typ úlohy]]="Součet",G332,IF(Tabulka4[[#This Row],[Typ úlohy]]="Účet",B331,""))</f>
        <v/>
      </c>
      <c r="C332" s="903" t="str">
        <f>IF(Tabulka4[[#This Row],[Typ úlohy]]="Účet",H332,"")</f>
        <v/>
      </c>
      <c r="D332" s="903" t="str">
        <f>IF(Tabulka4[[#This Row],[Typ úlohy]]="Účet",GETPIVOTDATA("Součet z Celková hmotnost položek [kg]",$G$2,"Zkratka kalkulační položky",B332,"Výrobce / Dodavatel",C332),"")</f>
        <v/>
      </c>
      <c r="E332" s="904" t="str">
        <f>IF(Tabulka4[[#This Row],[Typ úlohy]]="Účet",GETPIVOTDATA("Součet z Celková cena bez DPH (CZK)",$G$3,"Zkratka kalkulační položky",B332,"Výrobce / Dodavatel",C332),"")</f>
        <v/>
      </c>
    </row>
    <row r="333" spans="1:5" x14ac:dyDescent="0.35">
      <c r="A333" s="902" t="str">
        <f t="shared" si="6"/>
        <v/>
      </c>
      <c r="B333" s="903" t="str">
        <f>IF(Tabulka4[[#This Row],[Typ úlohy]]="Součet",G333,IF(Tabulka4[[#This Row],[Typ úlohy]]="Účet",B332,""))</f>
        <v/>
      </c>
      <c r="C333" s="903" t="str">
        <f>IF(Tabulka4[[#This Row],[Typ úlohy]]="Účet",H333,"")</f>
        <v/>
      </c>
      <c r="D333" s="903" t="str">
        <f>IF(Tabulka4[[#This Row],[Typ úlohy]]="Účet",GETPIVOTDATA("Součet z Celková hmotnost položek [kg]",$G$2,"Zkratka kalkulační položky",B333,"Výrobce / Dodavatel",C333),"")</f>
        <v/>
      </c>
      <c r="E333" s="904" t="str">
        <f>IF(Tabulka4[[#This Row],[Typ úlohy]]="Účet",GETPIVOTDATA("Součet z Celková cena bez DPH (CZK)",$G$3,"Zkratka kalkulační položky",B333,"Výrobce / Dodavatel",C333),"")</f>
        <v/>
      </c>
    </row>
    <row r="334" spans="1:5" x14ac:dyDescent="0.35">
      <c r="A334" s="902" t="str">
        <f t="shared" si="6"/>
        <v/>
      </c>
      <c r="B334" s="903" t="str">
        <f>IF(Tabulka4[[#This Row],[Typ úlohy]]="Součet",G334,IF(Tabulka4[[#This Row],[Typ úlohy]]="Účet",B333,""))</f>
        <v/>
      </c>
      <c r="C334" s="903" t="str">
        <f>IF(Tabulka4[[#This Row],[Typ úlohy]]="Účet",H334,"")</f>
        <v/>
      </c>
      <c r="D334" s="903" t="str">
        <f>IF(Tabulka4[[#This Row],[Typ úlohy]]="Účet",GETPIVOTDATA("Součet z Celková hmotnost položek [kg]",$G$2,"Zkratka kalkulační položky",B334,"Výrobce / Dodavatel",C334),"")</f>
        <v/>
      </c>
      <c r="E334" s="904" t="str">
        <f>IF(Tabulka4[[#This Row],[Typ úlohy]]="Účet",GETPIVOTDATA("Součet z Celková cena bez DPH (CZK)",$G$3,"Zkratka kalkulační položky",B334,"Výrobce / Dodavatel",C334),"")</f>
        <v/>
      </c>
    </row>
    <row r="335" spans="1:5" x14ac:dyDescent="0.35">
      <c r="A335" s="902" t="str">
        <f t="shared" si="6"/>
        <v/>
      </c>
      <c r="B335" s="903" t="str">
        <f>IF(Tabulka4[[#This Row],[Typ úlohy]]="Součet",G335,IF(Tabulka4[[#This Row],[Typ úlohy]]="Účet",B334,""))</f>
        <v/>
      </c>
      <c r="C335" s="903" t="str">
        <f>IF(Tabulka4[[#This Row],[Typ úlohy]]="Účet",H335,"")</f>
        <v/>
      </c>
      <c r="D335" s="903" t="str">
        <f>IF(Tabulka4[[#This Row],[Typ úlohy]]="Účet",GETPIVOTDATA("Součet z Celková hmotnost položek [kg]",$G$2,"Zkratka kalkulační položky",B335,"Výrobce / Dodavatel",C335),"")</f>
        <v/>
      </c>
      <c r="E335" s="904" t="str">
        <f>IF(Tabulka4[[#This Row],[Typ úlohy]]="Účet",GETPIVOTDATA("Součet z Celková cena bez DPH (CZK)",$G$3,"Zkratka kalkulační položky",B335,"Výrobce / Dodavatel",C335),"")</f>
        <v/>
      </c>
    </row>
    <row r="336" spans="1:5" x14ac:dyDescent="0.35">
      <c r="A336" s="902" t="str">
        <f t="shared" si="6"/>
        <v/>
      </c>
      <c r="B336" s="903" t="str">
        <f>IF(Tabulka4[[#This Row],[Typ úlohy]]="Součet",G336,IF(Tabulka4[[#This Row],[Typ úlohy]]="Účet",B335,""))</f>
        <v/>
      </c>
      <c r="C336" s="903" t="str">
        <f>IF(Tabulka4[[#This Row],[Typ úlohy]]="Účet",H336,"")</f>
        <v/>
      </c>
      <c r="D336" s="903" t="str">
        <f>IF(Tabulka4[[#This Row],[Typ úlohy]]="Účet",GETPIVOTDATA("Součet z Celková hmotnost položek [kg]",$G$2,"Zkratka kalkulační položky",B336,"Výrobce / Dodavatel",C336),"")</f>
        <v/>
      </c>
      <c r="E336" s="904" t="str">
        <f>IF(Tabulka4[[#This Row],[Typ úlohy]]="Účet",GETPIVOTDATA("Součet z Celková cena bez DPH (CZK)",$G$3,"Zkratka kalkulační položky",B336,"Výrobce / Dodavatel",C336),"")</f>
        <v/>
      </c>
    </row>
    <row r="337" spans="1:5" x14ac:dyDescent="0.35">
      <c r="A337" s="902" t="str">
        <f t="shared" si="6"/>
        <v/>
      </c>
      <c r="B337" s="903" t="str">
        <f>IF(Tabulka4[[#This Row],[Typ úlohy]]="Součet",G337,IF(Tabulka4[[#This Row],[Typ úlohy]]="Účet",B336,""))</f>
        <v/>
      </c>
      <c r="C337" s="903" t="str">
        <f>IF(Tabulka4[[#This Row],[Typ úlohy]]="Účet",H337,"")</f>
        <v/>
      </c>
      <c r="D337" s="903" t="str">
        <f>IF(Tabulka4[[#This Row],[Typ úlohy]]="Účet",GETPIVOTDATA("Součet z Celková hmotnost položek [kg]",$G$2,"Zkratka kalkulační položky",B337,"Výrobce / Dodavatel",C337),"")</f>
        <v/>
      </c>
      <c r="E337" s="904" t="str">
        <f>IF(Tabulka4[[#This Row],[Typ úlohy]]="Účet",GETPIVOTDATA("Součet z Celková cena bez DPH (CZK)",$G$3,"Zkratka kalkulační položky",B337,"Výrobce / Dodavatel",C337),"")</f>
        <v/>
      </c>
    </row>
    <row r="338" spans="1:5" x14ac:dyDescent="0.35">
      <c r="A338" s="902" t="str">
        <f t="shared" si="6"/>
        <v/>
      </c>
      <c r="B338" s="903" t="str">
        <f>IF(Tabulka4[[#This Row],[Typ úlohy]]="Součet",G338,IF(Tabulka4[[#This Row],[Typ úlohy]]="Účet",B337,""))</f>
        <v/>
      </c>
      <c r="C338" s="903" t="str">
        <f>IF(Tabulka4[[#This Row],[Typ úlohy]]="Účet",H338,"")</f>
        <v/>
      </c>
      <c r="D338" s="903" t="str">
        <f>IF(Tabulka4[[#This Row],[Typ úlohy]]="Účet",GETPIVOTDATA("Součet z Celková hmotnost položek [kg]",$G$2,"Zkratka kalkulační položky",B338,"Výrobce / Dodavatel",C338),"")</f>
        <v/>
      </c>
      <c r="E338" s="904" t="str">
        <f>IF(Tabulka4[[#This Row],[Typ úlohy]]="Účet",GETPIVOTDATA("Součet z Celková cena bez DPH (CZK)",$G$3,"Zkratka kalkulační položky",B338,"Výrobce / Dodavatel",C338),"")</f>
        <v/>
      </c>
    </row>
    <row r="339" spans="1:5" x14ac:dyDescent="0.35">
      <c r="A339" s="902" t="str">
        <f t="shared" si="6"/>
        <v/>
      </c>
      <c r="B339" s="903" t="str">
        <f>IF(Tabulka4[[#This Row],[Typ úlohy]]="Součet",G339,IF(Tabulka4[[#This Row],[Typ úlohy]]="Účet",B338,""))</f>
        <v/>
      </c>
      <c r="C339" s="903" t="str">
        <f>IF(Tabulka4[[#This Row],[Typ úlohy]]="Účet",H339,"")</f>
        <v/>
      </c>
      <c r="D339" s="903" t="str">
        <f>IF(Tabulka4[[#This Row],[Typ úlohy]]="Účet",GETPIVOTDATA("Součet z Celková hmotnost položek [kg]",$G$2,"Zkratka kalkulační položky",B339,"Výrobce / Dodavatel",C339),"")</f>
        <v/>
      </c>
      <c r="E339" s="904" t="str">
        <f>IF(Tabulka4[[#This Row],[Typ úlohy]]="Účet",GETPIVOTDATA("Součet z Celková cena bez DPH (CZK)",$G$3,"Zkratka kalkulační položky",B339,"Výrobce / Dodavatel",C339),"")</f>
        <v/>
      </c>
    </row>
    <row r="340" spans="1:5" x14ac:dyDescent="0.35">
      <c r="A340" s="902" t="str">
        <f t="shared" si="6"/>
        <v/>
      </c>
      <c r="B340" s="903" t="str">
        <f>IF(Tabulka4[[#This Row],[Typ úlohy]]="Součet",G340,IF(Tabulka4[[#This Row],[Typ úlohy]]="Účet",B339,""))</f>
        <v/>
      </c>
      <c r="C340" s="903" t="str">
        <f>IF(Tabulka4[[#This Row],[Typ úlohy]]="Účet",H340,"")</f>
        <v/>
      </c>
      <c r="D340" s="903" t="str">
        <f>IF(Tabulka4[[#This Row],[Typ úlohy]]="Účet",GETPIVOTDATA("Součet z Celková hmotnost položek [kg]",$G$2,"Zkratka kalkulační položky",B340,"Výrobce / Dodavatel",C340),"")</f>
        <v/>
      </c>
      <c r="E340" s="904" t="str">
        <f>IF(Tabulka4[[#This Row],[Typ úlohy]]="Účet",GETPIVOTDATA("Součet z Celková cena bez DPH (CZK)",$G$3,"Zkratka kalkulační položky",B340,"Výrobce / Dodavatel",C340),"")</f>
        <v/>
      </c>
    </row>
    <row r="341" spans="1:5" x14ac:dyDescent="0.35">
      <c r="A341" s="902" t="str">
        <f t="shared" si="6"/>
        <v/>
      </c>
      <c r="B341" s="903" t="str">
        <f>IF(Tabulka4[[#This Row],[Typ úlohy]]="Součet",G341,IF(Tabulka4[[#This Row],[Typ úlohy]]="Účet",B340,""))</f>
        <v/>
      </c>
      <c r="C341" s="903" t="str">
        <f>IF(Tabulka4[[#This Row],[Typ úlohy]]="Účet",H341,"")</f>
        <v/>
      </c>
      <c r="D341" s="903" t="str">
        <f>IF(Tabulka4[[#This Row],[Typ úlohy]]="Účet",GETPIVOTDATA("Součet z Celková hmotnost položek [kg]",$G$2,"Zkratka kalkulační položky",B341,"Výrobce / Dodavatel",C341),"")</f>
        <v/>
      </c>
      <c r="E341" s="904" t="str">
        <f>IF(Tabulka4[[#This Row],[Typ úlohy]]="Účet",GETPIVOTDATA("Součet z Celková cena bez DPH (CZK)",$G$3,"Zkratka kalkulační položky",B341,"Výrobce / Dodavatel",C341),"")</f>
        <v/>
      </c>
    </row>
    <row r="342" spans="1:5" x14ac:dyDescent="0.35">
      <c r="A342" s="902" t="str">
        <f t="shared" si="6"/>
        <v/>
      </c>
      <c r="B342" s="903" t="str">
        <f>IF(Tabulka4[[#This Row],[Typ úlohy]]="Součet",G342,IF(Tabulka4[[#This Row],[Typ úlohy]]="Účet",B341,""))</f>
        <v/>
      </c>
      <c r="C342" s="903" t="str">
        <f>IF(Tabulka4[[#This Row],[Typ úlohy]]="Účet",H342,"")</f>
        <v/>
      </c>
      <c r="D342" s="903" t="str">
        <f>IF(Tabulka4[[#This Row],[Typ úlohy]]="Účet",GETPIVOTDATA("Součet z Celková hmotnost položek [kg]",$G$2,"Zkratka kalkulační položky",B342,"Výrobce / Dodavatel",C342),"")</f>
        <v/>
      </c>
      <c r="E342" s="904" t="str">
        <f>IF(Tabulka4[[#This Row],[Typ úlohy]]="Účet",GETPIVOTDATA("Součet z Celková cena bez DPH (CZK)",$G$3,"Zkratka kalkulační položky",B342,"Výrobce / Dodavatel",C342),"")</f>
        <v/>
      </c>
    </row>
    <row r="343" spans="1:5" x14ac:dyDescent="0.35">
      <c r="A343" s="902" t="str">
        <f t="shared" si="6"/>
        <v/>
      </c>
      <c r="B343" s="903" t="str">
        <f>IF(Tabulka4[[#This Row],[Typ úlohy]]="Součet",G343,IF(Tabulka4[[#This Row],[Typ úlohy]]="Účet",B342,""))</f>
        <v/>
      </c>
      <c r="C343" s="903" t="str">
        <f>IF(Tabulka4[[#This Row],[Typ úlohy]]="Účet",H343,"")</f>
        <v/>
      </c>
      <c r="D343" s="903" t="str">
        <f>IF(Tabulka4[[#This Row],[Typ úlohy]]="Účet",GETPIVOTDATA("Součet z Celková hmotnost položek [kg]",$G$2,"Zkratka kalkulační položky",B343,"Výrobce / Dodavatel",C343),"")</f>
        <v/>
      </c>
      <c r="E343" s="904" t="str">
        <f>IF(Tabulka4[[#This Row],[Typ úlohy]]="Účet",GETPIVOTDATA("Součet z Celková cena bez DPH (CZK)",$G$3,"Zkratka kalkulační položky",B343,"Výrobce / Dodavatel",C343),"")</f>
        <v/>
      </c>
    </row>
    <row r="344" spans="1:5" x14ac:dyDescent="0.35">
      <c r="A344" s="902" t="str">
        <f t="shared" si="6"/>
        <v/>
      </c>
      <c r="B344" s="903" t="str">
        <f>IF(Tabulka4[[#This Row],[Typ úlohy]]="Součet",G344,IF(Tabulka4[[#This Row],[Typ úlohy]]="Účet",B343,""))</f>
        <v/>
      </c>
      <c r="C344" s="903" t="str">
        <f>IF(Tabulka4[[#This Row],[Typ úlohy]]="Účet",H344,"")</f>
        <v/>
      </c>
      <c r="D344" s="903" t="str">
        <f>IF(Tabulka4[[#This Row],[Typ úlohy]]="Účet",GETPIVOTDATA("Součet z Celková hmotnost položek [kg]",$G$2,"Zkratka kalkulační položky",B344,"Výrobce / Dodavatel",C344),"")</f>
        <v/>
      </c>
      <c r="E344" s="904" t="str">
        <f>IF(Tabulka4[[#This Row],[Typ úlohy]]="Účet",GETPIVOTDATA("Součet z Celková cena bez DPH (CZK)",$G$3,"Zkratka kalkulační položky",B344,"Výrobce / Dodavatel",C344),"")</f>
        <v/>
      </c>
    </row>
    <row r="345" spans="1:5" x14ac:dyDescent="0.35">
      <c r="A345" s="902" t="str">
        <f t="shared" si="6"/>
        <v/>
      </c>
      <c r="B345" s="903" t="str">
        <f>IF(Tabulka4[[#This Row],[Typ úlohy]]="Součet",G345,IF(Tabulka4[[#This Row],[Typ úlohy]]="Účet",B344,""))</f>
        <v/>
      </c>
      <c r="C345" s="903" t="str">
        <f>IF(Tabulka4[[#This Row],[Typ úlohy]]="Účet",H345,"")</f>
        <v/>
      </c>
      <c r="D345" s="903" t="str">
        <f>IF(Tabulka4[[#This Row],[Typ úlohy]]="Účet",GETPIVOTDATA("Součet z Celková hmotnost položek [kg]",$G$2,"Zkratka kalkulační položky",B345,"Výrobce / Dodavatel",C345),"")</f>
        <v/>
      </c>
      <c r="E345" s="904" t="str">
        <f>IF(Tabulka4[[#This Row],[Typ úlohy]]="Účet",GETPIVOTDATA("Součet z Celková cena bez DPH (CZK)",$G$3,"Zkratka kalkulační položky",B345,"Výrobce / Dodavatel",C345),"")</f>
        <v/>
      </c>
    </row>
    <row r="346" spans="1:5" x14ac:dyDescent="0.35">
      <c r="A346" s="902" t="str">
        <f t="shared" si="6"/>
        <v/>
      </c>
      <c r="B346" s="903" t="str">
        <f>IF(Tabulka4[[#This Row],[Typ úlohy]]="Součet",G346,IF(Tabulka4[[#This Row],[Typ úlohy]]="Účet",B345,""))</f>
        <v/>
      </c>
      <c r="C346" s="903" t="str">
        <f>IF(Tabulka4[[#This Row],[Typ úlohy]]="Účet",H346,"")</f>
        <v/>
      </c>
      <c r="D346" s="903" t="str">
        <f>IF(Tabulka4[[#This Row],[Typ úlohy]]="Účet",GETPIVOTDATA("Součet z Celková hmotnost položek [kg]",$G$2,"Zkratka kalkulační položky",B346,"Výrobce / Dodavatel",C346),"")</f>
        <v/>
      </c>
      <c r="E346" s="904" t="str">
        <f>IF(Tabulka4[[#This Row],[Typ úlohy]]="Účet",GETPIVOTDATA("Součet z Celková cena bez DPH (CZK)",$G$3,"Zkratka kalkulační položky",B346,"Výrobce / Dodavatel",C346),"")</f>
        <v/>
      </c>
    </row>
    <row r="347" spans="1:5" x14ac:dyDescent="0.35">
      <c r="A347" s="902" t="str">
        <f t="shared" si="6"/>
        <v/>
      </c>
      <c r="B347" s="903" t="str">
        <f>IF(Tabulka4[[#This Row],[Typ úlohy]]="Součet",G347,IF(Tabulka4[[#This Row],[Typ úlohy]]="Účet",B346,""))</f>
        <v/>
      </c>
      <c r="C347" s="903" t="str">
        <f>IF(Tabulka4[[#This Row],[Typ úlohy]]="Účet",H347,"")</f>
        <v/>
      </c>
      <c r="D347" s="903" t="str">
        <f>IF(Tabulka4[[#This Row],[Typ úlohy]]="Účet",GETPIVOTDATA("Součet z Celková hmotnost položek [kg]",$G$2,"Zkratka kalkulační položky",B347,"Výrobce / Dodavatel",C347),"")</f>
        <v/>
      </c>
      <c r="E347" s="904" t="str">
        <f>IF(Tabulka4[[#This Row],[Typ úlohy]]="Účet",GETPIVOTDATA("Součet z Celková cena bez DPH (CZK)",$G$3,"Zkratka kalkulační položky",B347,"Výrobce / Dodavatel",C347),"")</f>
        <v/>
      </c>
    </row>
    <row r="348" spans="1:5" x14ac:dyDescent="0.35">
      <c r="A348" s="902" t="str">
        <f t="shared" si="6"/>
        <v/>
      </c>
      <c r="B348" s="903" t="str">
        <f>IF(Tabulka4[[#This Row],[Typ úlohy]]="Součet",G348,IF(Tabulka4[[#This Row],[Typ úlohy]]="Účet",B347,""))</f>
        <v/>
      </c>
      <c r="C348" s="903" t="str">
        <f>IF(Tabulka4[[#This Row],[Typ úlohy]]="Účet",H348,"")</f>
        <v/>
      </c>
      <c r="D348" s="903" t="str">
        <f>IF(Tabulka4[[#This Row],[Typ úlohy]]="Účet",GETPIVOTDATA("Součet z Celková hmotnost položek [kg]",$G$2,"Zkratka kalkulační položky",B348,"Výrobce / Dodavatel",C348),"")</f>
        <v/>
      </c>
      <c r="E348" s="904" t="str">
        <f>IF(Tabulka4[[#This Row],[Typ úlohy]]="Účet",GETPIVOTDATA("Součet z Celková cena bez DPH (CZK)",$G$3,"Zkratka kalkulační položky",B348,"Výrobce / Dodavatel",C348),"")</f>
        <v/>
      </c>
    </row>
    <row r="349" spans="1:5" x14ac:dyDescent="0.35">
      <c r="A349" s="902" t="str">
        <f t="shared" si="6"/>
        <v/>
      </c>
      <c r="B349" s="903" t="str">
        <f>IF(Tabulka4[[#This Row],[Typ úlohy]]="Součet",G349,IF(Tabulka4[[#This Row],[Typ úlohy]]="Účet",B348,""))</f>
        <v/>
      </c>
      <c r="C349" s="903" t="str">
        <f>IF(Tabulka4[[#This Row],[Typ úlohy]]="Účet",H349,"")</f>
        <v/>
      </c>
      <c r="D349" s="903" t="str">
        <f>IF(Tabulka4[[#This Row],[Typ úlohy]]="Účet",GETPIVOTDATA("Součet z Celková hmotnost položek [kg]",$G$2,"Zkratka kalkulační položky",B349,"Výrobce / Dodavatel",C349),"")</f>
        <v/>
      </c>
      <c r="E349" s="904" t="str">
        <f>IF(Tabulka4[[#This Row],[Typ úlohy]]="Účet",GETPIVOTDATA("Součet z Celková cena bez DPH (CZK)",$G$3,"Zkratka kalkulační položky",B349,"Výrobce / Dodavatel",C349),"")</f>
        <v/>
      </c>
    </row>
    <row r="350" spans="1:5" x14ac:dyDescent="0.35">
      <c r="A350" s="902" t="str">
        <f t="shared" si="6"/>
        <v/>
      </c>
      <c r="B350" s="903" t="str">
        <f>IF(Tabulka4[[#This Row],[Typ úlohy]]="Součet",G350,IF(Tabulka4[[#This Row],[Typ úlohy]]="Účet",B349,""))</f>
        <v/>
      </c>
      <c r="C350" s="903" t="str">
        <f>IF(Tabulka4[[#This Row],[Typ úlohy]]="Účet",H350,"")</f>
        <v/>
      </c>
      <c r="D350" s="903" t="str">
        <f>IF(Tabulka4[[#This Row],[Typ úlohy]]="Účet",GETPIVOTDATA("Součet z Celková hmotnost položek [kg]",$G$2,"Zkratka kalkulační položky",B350,"Výrobce / Dodavatel",C350),"")</f>
        <v/>
      </c>
      <c r="E350" s="904" t="str">
        <f>IF(Tabulka4[[#This Row],[Typ úlohy]]="Účet",GETPIVOTDATA("Součet z Celková cena bez DPH (CZK)",$G$3,"Zkratka kalkulační položky",B350,"Výrobce / Dodavatel",C350),"")</f>
        <v/>
      </c>
    </row>
    <row r="351" spans="1:5" x14ac:dyDescent="0.35">
      <c r="A351" s="902" t="str">
        <f t="shared" si="6"/>
        <v/>
      </c>
      <c r="B351" s="903" t="str">
        <f>IF(Tabulka4[[#This Row],[Typ úlohy]]="Součet",G351,IF(Tabulka4[[#This Row],[Typ úlohy]]="Účet",B350,""))</f>
        <v/>
      </c>
      <c r="C351" s="903" t="str">
        <f>IF(Tabulka4[[#This Row],[Typ úlohy]]="Účet",H351,"")</f>
        <v/>
      </c>
      <c r="D351" s="903" t="str">
        <f>IF(Tabulka4[[#This Row],[Typ úlohy]]="Účet",GETPIVOTDATA("Součet z Celková hmotnost položek [kg]",$G$2,"Zkratka kalkulační položky",B351,"Výrobce / Dodavatel",C351),"")</f>
        <v/>
      </c>
      <c r="E351" s="904" t="str">
        <f>IF(Tabulka4[[#This Row],[Typ úlohy]]="Účet",GETPIVOTDATA("Součet z Celková cena bez DPH (CZK)",$G$3,"Zkratka kalkulační položky",B351,"Výrobce / Dodavatel",C351),"")</f>
        <v/>
      </c>
    </row>
    <row r="352" spans="1:5" x14ac:dyDescent="0.35">
      <c r="A352" s="902" t="str">
        <f t="shared" si="6"/>
        <v/>
      </c>
      <c r="B352" s="903" t="str">
        <f>IF(Tabulka4[[#This Row],[Typ úlohy]]="Součet",G352,IF(Tabulka4[[#This Row],[Typ úlohy]]="Účet",B351,""))</f>
        <v/>
      </c>
      <c r="C352" s="903" t="str">
        <f>IF(Tabulka4[[#This Row],[Typ úlohy]]="Účet",H352,"")</f>
        <v/>
      </c>
      <c r="D352" s="903" t="str">
        <f>IF(Tabulka4[[#This Row],[Typ úlohy]]="Účet",GETPIVOTDATA("Součet z Celková hmotnost položek [kg]",$G$2,"Zkratka kalkulační položky",B352,"Výrobce / Dodavatel",C352),"")</f>
        <v/>
      </c>
      <c r="E352" s="904" t="str">
        <f>IF(Tabulka4[[#This Row],[Typ úlohy]]="Účet",GETPIVOTDATA("Součet z Celková cena bez DPH (CZK)",$G$3,"Zkratka kalkulační položky",B352,"Výrobce / Dodavatel",C352),"")</f>
        <v/>
      </c>
    </row>
    <row r="353" spans="1:5" x14ac:dyDescent="0.35">
      <c r="A353" s="902" t="str">
        <f t="shared" si="6"/>
        <v/>
      </c>
      <c r="B353" s="903" t="str">
        <f>IF(Tabulka4[[#This Row],[Typ úlohy]]="Součet",G353,IF(Tabulka4[[#This Row],[Typ úlohy]]="Účet",B352,""))</f>
        <v/>
      </c>
      <c r="C353" s="903" t="str">
        <f>IF(Tabulka4[[#This Row],[Typ úlohy]]="Účet",H353,"")</f>
        <v/>
      </c>
      <c r="D353" s="903" t="str">
        <f>IF(Tabulka4[[#This Row],[Typ úlohy]]="Účet",GETPIVOTDATA("Součet z Celková hmotnost položek [kg]",$G$2,"Zkratka kalkulační položky",B353,"Výrobce / Dodavatel",C353),"")</f>
        <v/>
      </c>
      <c r="E353" s="904" t="str">
        <f>IF(Tabulka4[[#This Row],[Typ úlohy]]="Účet",GETPIVOTDATA("Součet z Celková cena bez DPH (CZK)",$G$3,"Zkratka kalkulační položky",B353,"Výrobce / Dodavatel",C353),"")</f>
        <v/>
      </c>
    </row>
    <row r="354" spans="1:5" x14ac:dyDescent="0.35">
      <c r="A354" s="902" t="str">
        <f t="shared" si="6"/>
        <v/>
      </c>
      <c r="B354" s="903" t="str">
        <f>IF(Tabulka4[[#This Row],[Typ úlohy]]="Součet",G354,IF(Tabulka4[[#This Row],[Typ úlohy]]="Účet",B353,""))</f>
        <v/>
      </c>
      <c r="C354" s="903" t="str">
        <f>IF(Tabulka4[[#This Row],[Typ úlohy]]="Účet",H354,"")</f>
        <v/>
      </c>
      <c r="D354" s="903" t="str">
        <f>IF(Tabulka4[[#This Row],[Typ úlohy]]="Účet",GETPIVOTDATA("Součet z Celková hmotnost položek [kg]",$G$2,"Zkratka kalkulační položky",B354,"Výrobce / Dodavatel",C354),"")</f>
        <v/>
      </c>
      <c r="E354" s="904" t="str">
        <f>IF(Tabulka4[[#This Row],[Typ úlohy]]="Účet",GETPIVOTDATA("Součet z Celková cena bez DPH (CZK)",$G$3,"Zkratka kalkulační položky",B354,"Výrobce / Dodavatel",C354),"")</f>
        <v/>
      </c>
    </row>
    <row r="355" spans="1:5" x14ac:dyDescent="0.35">
      <c r="A355" s="902" t="str">
        <f t="shared" si="6"/>
        <v/>
      </c>
      <c r="B355" s="903" t="str">
        <f>IF(Tabulka4[[#This Row],[Typ úlohy]]="Součet",G355,IF(Tabulka4[[#This Row],[Typ úlohy]]="Účet",B354,""))</f>
        <v/>
      </c>
      <c r="C355" s="903" t="str">
        <f>IF(Tabulka4[[#This Row],[Typ úlohy]]="Účet",H355,"")</f>
        <v/>
      </c>
      <c r="D355" s="903" t="str">
        <f>IF(Tabulka4[[#This Row],[Typ úlohy]]="Účet",GETPIVOTDATA("Součet z Celková hmotnost položek [kg]",$G$2,"Zkratka kalkulační položky",B355,"Výrobce / Dodavatel",C355),"")</f>
        <v/>
      </c>
      <c r="E355" s="904" t="str">
        <f>IF(Tabulka4[[#This Row],[Typ úlohy]]="Účet",GETPIVOTDATA("Součet z Celková cena bez DPH (CZK)",$G$3,"Zkratka kalkulační položky",B355,"Výrobce / Dodavatel",C355),"")</f>
        <v/>
      </c>
    </row>
    <row r="356" spans="1:5" x14ac:dyDescent="0.35">
      <c r="A356" s="902" t="str">
        <f t="shared" si="6"/>
        <v/>
      </c>
      <c r="B356" s="903" t="str">
        <f>IF(Tabulka4[[#This Row],[Typ úlohy]]="Součet",G356,IF(Tabulka4[[#This Row],[Typ úlohy]]="Účet",B355,""))</f>
        <v/>
      </c>
      <c r="C356" s="903" t="str">
        <f>IF(Tabulka4[[#This Row],[Typ úlohy]]="Účet",H356,"")</f>
        <v/>
      </c>
      <c r="D356" s="903" t="str">
        <f>IF(Tabulka4[[#This Row],[Typ úlohy]]="Účet",GETPIVOTDATA("Součet z Celková hmotnost položek [kg]",$G$2,"Zkratka kalkulační položky",B356,"Výrobce / Dodavatel",C356),"")</f>
        <v/>
      </c>
      <c r="E356" s="904" t="str">
        <f>IF(Tabulka4[[#This Row],[Typ úlohy]]="Účet",GETPIVOTDATA("Součet z Celková cena bez DPH (CZK)",$G$3,"Zkratka kalkulační položky",B356,"Výrobce / Dodavatel",C356),"")</f>
        <v/>
      </c>
    </row>
    <row r="357" spans="1:5" x14ac:dyDescent="0.35">
      <c r="A357" s="902" t="str">
        <f t="shared" si="6"/>
        <v/>
      </c>
      <c r="B357" s="903" t="str">
        <f>IF(Tabulka4[[#This Row],[Typ úlohy]]="Součet",G357,IF(Tabulka4[[#This Row],[Typ úlohy]]="Účet",B356,""))</f>
        <v/>
      </c>
      <c r="C357" s="903" t="str">
        <f>IF(Tabulka4[[#This Row],[Typ úlohy]]="Účet",H357,"")</f>
        <v/>
      </c>
      <c r="D357" s="903" t="str">
        <f>IF(Tabulka4[[#This Row],[Typ úlohy]]="Účet",GETPIVOTDATA("Součet z Celková hmotnost položek [kg]",$G$2,"Zkratka kalkulační položky",B357,"Výrobce / Dodavatel",C357),"")</f>
        <v/>
      </c>
      <c r="E357" s="904" t="str">
        <f>IF(Tabulka4[[#This Row],[Typ úlohy]]="Účet",GETPIVOTDATA("Součet z Celková cena bez DPH (CZK)",$G$3,"Zkratka kalkulační položky",B357,"Výrobce / Dodavatel",C357),"")</f>
        <v/>
      </c>
    </row>
    <row r="358" spans="1:5" x14ac:dyDescent="0.35">
      <c r="A358" s="902" t="str">
        <f t="shared" si="6"/>
        <v/>
      </c>
      <c r="B358" s="903" t="str">
        <f>IF(Tabulka4[[#This Row],[Typ úlohy]]="Součet",G358,IF(Tabulka4[[#This Row],[Typ úlohy]]="Účet",B357,""))</f>
        <v/>
      </c>
      <c r="C358" s="903" t="str">
        <f>IF(Tabulka4[[#This Row],[Typ úlohy]]="Účet",H358,"")</f>
        <v/>
      </c>
      <c r="D358" s="903" t="str">
        <f>IF(Tabulka4[[#This Row],[Typ úlohy]]="Účet",GETPIVOTDATA("Součet z Celková hmotnost položek [kg]",$G$2,"Zkratka kalkulační položky",B358,"Výrobce / Dodavatel",C358),"")</f>
        <v/>
      </c>
      <c r="E358" s="904" t="str">
        <f>IF(Tabulka4[[#This Row],[Typ úlohy]]="Účet",GETPIVOTDATA("Součet z Celková cena bez DPH (CZK)",$G$3,"Zkratka kalkulační položky",B358,"Výrobce / Dodavatel",C358),"")</f>
        <v/>
      </c>
    </row>
    <row r="359" spans="1:5" x14ac:dyDescent="0.35">
      <c r="A359" s="902" t="str">
        <f t="shared" si="6"/>
        <v/>
      </c>
      <c r="B359" s="903" t="str">
        <f>IF(Tabulka4[[#This Row],[Typ úlohy]]="Součet",G359,IF(Tabulka4[[#This Row],[Typ úlohy]]="Účet",B358,""))</f>
        <v/>
      </c>
      <c r="C359" s="903" t="str">
        <f>IF(Tabulka4[[#This Row],[Typ úlohy]]="Účet",H359,"")</f>
        <v/>
      </c>
      <c r="D359" s="903" t="str">
        <f>IF(Tabulka4[[#This Row],[Typ úlohy]]="Účet",GETPIVOTDATA("Součet z Celková hmotnost položek [kg]",$G$2,"Zkratka kalkulační položky",B359,"Výrobce / Dodavatel",C359),"")</f>
        <v/>
      </c>
      <c r="E359" s="904" t="str">
        <f>IF(Tabulka4[[#This Row],[Typ úlohy]]="Účet",GETPIVOTDATA("Součet z Celková cena bez DPH (CZK)",$G$3,"Zkratka kalkulační položky",B359,"Výrobce / Dodavatel",C359),"")</f>
        <v/>
      </c>
    </row>
    <row r="360" spans="1:5" x14ac:dyDescent="0.35">
      <c r="A360" s="902" t="str">
        <f t="shared" si="6"/>
        <v/>
      </c>
      <c r="B360" s="903" t="str">
        <f>IF(Tabulka4[[#This Row],[Typ úlohy]]="Součet",G360,IF(Tabulka4[[#This Row],[Typ úlohy]]="Účet",B359,""))</f>
        <v/>
      </c>
      <c r="C360" s="903" t="str">
        <f>IF(Tabulka4[[#This Row],[Typ úlohy]]="Účet",H360,"")</f>
        <v/>
      </c>
      <c r="D360" s="903" t="str">
        <f>IF(Tabulka4[[#This Row],[Typ úlohy]]="Účet",GETPIVOTDATA("Součet z Celková hmotnost položek [kg]",$G$2,"Zkratka kalkulační položky",B360,"Výrobce / Dodavatel",C360),"")</f>
        <v/>
      </c>
      <c r="E360" s="904" t="str">
        <f>IF(Tabulka4[[#This Row],[Typ úlohy]]="Účet",GETPIVOTDATA("Součet z Celková cena bez DPH (CZK)",$G$3,"Zkratka kalkulační položky",B360,"Výrobce / Dodavatel",C360),"")</f>
        <v/>
      </c>
    </row>
    <row r="361" spans="1:5" x14ac:dyDescent="0.35">
      <c r="A361" s="902" t="str">
        <f t="shared" si="6"/>
        <v/>
      </c>
      <c r="B361" s="903" t="str">
        <f>IF(Tabulka4[[#This Row],[Typ úlohy]]="Součet",G361,IF(Tabulka4[[#This Row],[Typ úlohy]]="Účet",B360,""))</f>
        <v/>
      </c>
      <c r="C361" s="903" t="str">
        <f>IF(Tabulka4[[#This Row],[Typ úlohy]]="Účet",H361,"")</f>
        <v/>
      </c>
      <c r="D361" s="903" t="str">
        <f>IF(Tabulka4[[#This Row],[Typ úlohy]]="Účet",GETPIVOTDATA("Součet z Celková hmotnost položek [kg]",$G$2,"Zkratka kalkulační položky",B361,"Výrobce / Dodavatel",C361),"")</f>
        <v/>
      </c>
      <c r="E361" s="904" t="str">
        <f>IF(Tabulka4[[#This Row],[Typ úlohy]]="Účet",GETPIVOTDATA("Součet z Celková cena bez DPH (CZK)",$G$3,"Zkratka kalkulační položky",B361,"Výrobce / Dodavatel",C361),"")</f>
        <v/>
      </c>
    </row>
    <row r="362" spans="1:5" x14ac:dyDescent="0.35">
      <c r="A362" s="902" t="str">
        <f t="shared" si="6"/>
        <v/>
      </c>
      <c r="B362" s="903" t="str">
        <f>IF(Tabulka4[[#This Row],[Typ úlohy]]="Součet",G362,IF(Tabulka4[[#This Row],[Typ úlohy]]="Účet",B361,""))</f>
        <v/>
      </c>
      <c r="C362" s="903" t="str">
        <f>IF(Tabulka4[[#This Row],[Typ úlohy]]="Účet",H362,"")</f>
        <v/>
      </c>
      <c r="D362" s="903" t="str">
        <f>IF(Tabulka4[[#This Row],[Typ úlohy]]="Účet",GETPIVOTDATA("Součet z Celková hmotnost položek [kg]",$G$2,"Zkratka kalkulační položky",B362,"Výrobce / Dodavatel",C362),"")</f>
        <v/>
      </c>
      <c r="E362" s="904" t="str">
        <f>IF(Tabulka4[[#This Row],[Typ úlohy]]="Účet",GETPIVOTDATA("Součet z Celková cena bez DPH (CZK)",$G$3,"Zkratka kalkulační položky",B362,"Výrobce / Dodavatel",C362),"")</f>
        <v/>
      </c>
    </row>
    <row r="363" spans="1:5" x14ac:dyDescent="0.35">
      <c r="A363" s="902" t="str">
        <f t="shared" si="6"/>
        <v/>
      </c>
      <c r="B363" s="903" t="str">
        <f>IF(Tabulka4[[#This Row],[Typ úlohy]]="Součet",G363,IF(Tabulka4[[#This Row],[Typ úlohy]]="Účet",B362,""))</f>
        <v/>
      </c>
      <c r="C363" s="903" t="str">
        <f>IF(Tabulka4[[#This Row],[Typ úlohy]]="Účet",H363,"")</f>
        <v/>
      </c>
      <c r="D363" s="903" t="str">
        <f>IF(Tabulka4[[#This Row],[Typ úlohy]]="Účet",GETPIVOTDATA("Součet z Celková hmotnost položek [kg]",$G$2,"Zkratka kalkulační položky",B363,"Výrobce / Dodavatel",C363),"")</f>
        <v/>
      </c>
      <c r="E363" s="904" t="str">
        <f>IF(Tabulka4[[#This Row],[Typ úlohy]]="Účet",GETPIVOTDATA("Součet z Celková cena bez DPH (CZK)",$G$3,"Zkratka kalkulační položky",B363,"Výrobce / Dodavatel",C363),"")</f>
        <v/>
      </c>
    </row>
    <row r="364" spans="1:5" x14ac:dyDescent="0.35">
      <c r="A364" s="902" t="str">
        <f t="shared" si="6"/>
        <v/>
      </c>
      <c r="B364" s="903" t="str">
        <f>IF(Tabulka4[[#This Row],[Typ úlohy]]="Součet",G364,IF(Tabulka4[[#This Row],[Typ úlohy]]="Účet",B363,""))</f>
        <v/>
      </c>
      <c r="C364" s="903" t="str">
        <f>IF(Tabulka4[[#This Row],[Typ úlohy]]="Účet",H364,"")</f>
        <v/>
      </c>
      <c r="D364" s="903" t="str">
        <f>IF(Tabulka4[[#This Row],[Typ úlohy]]="Účet",GETPIVOTDATA("Součet z Celková hmotnost položek [kg]",$G$2,"Zkratka kalkulační položky",B364,"Výrobce / Dodavatel",C364),"")</f>
        <v/>
      </c>
      <c r="E364" s="904" t="str">
        <f>IF(Tabulka4[[#This Row],[Typ úlohy]]="Účet",GETPIVOTDATA("Součet z Celková cena bez DPH (CZK)",$G$3,"Zkratka kalkulační položky",B364,"Výrobce / Dodavatel",C364),"")</f>
        <v/>
      </c>
    </row>
    <row r="365" spans="1:5" x14ac:dyDescent="0.35">
      <c r="A365" s="902" t="str">
        <f t="shared" si="6"/>
        <v/>
      </c>
      <c r="B365" s="903" t="str">
        <f>IF(Tabulka4[[#This Row],[Typ úlohy]]="Součet",G365,IF(Tabulka4[[#This Row],[Typ úlohy]]="Účet",B364,""))</f>
        <v/>
      </c>
      <c r="C365" s="903" t="str">
        <f>IF(Tabulka4[[#This Row],[Typ úlohy]]="Účet",H365,"")</f>
        <v/>
      </c>
      <c r="D365" s="903" t="str">
        <f>IF(Tabulka4[[#This Row],[Typ úlohy]]="Účet",GETPIVOTDATA("Součet z Celková hmotnost položek [kg]",$G$2,"Zkratka kalkulační položky",B365,"Výrobce / Dodavatel",C365),"")</f>
        <v/>
      </c>
      <c r="E365" s="904" t="str">
        <f>IF(Tabulka4[[#This Row],[Typ úlohy]]="Účet",GETPIVOTDATA("Součet z Celková cena bez DPH (CZK)",$G$3,"Zkratka kalkulační položky",B365,"Výrobce / Dodavatel",C365),"")</f>
        <v/>
      </c>
    </row>
    <row r="366" spans="1:5" x14ac:dyDescent="0.35">
      <c r="A366" s="902" t="str">
        <f t="shared" si="6"/>
        <v/>
      </c>
      <c r="B366" s="903" t="str">
        <f>IF(Tabulka4[[#This Row],[Typ úlohy]]="Součet",G366,IF(Tabulka4[[#This Row],[Typ úlohy]]="Účet",B365,""))</f>
        <v/>
      </c>
      <c r="C366" s="903" t="str">
        <f>IF(Tabulka4[[#This Row],[Typ úlohy]]="Účet",H366,"")</f>
        <v/>
      </c>
      <c r="D366" s="903" t="str">
        <f>IF(Tabulka4[[#This Row],[Typ úlohy]]="Účet",GETPIVOTDATA("Součet z Celková hmotnost položek [kg]",$G$2,"Zkratka kalkulační položky",B366,"Výrobce / Dodavatel",C366),"")</f>
        <v/>
      </c>
      <c r="E366" s="904" t="str">
        <f>IF(Tabulka4[[#This Row],[Typ úlohy]]="Účet",GETPIVOTDATA("Součet z Celková cena bez DPH (CZK)",$G$3,"Zkratka kalkulační položky",B366,"Výrobce / Dodavatel",C366),"")</f>
        <v/>
      </c>
    </row>
    <row r="367" spans="1:5" x14ac:dyDescent="0.35">
      <c r="A367" s="902" t="str">
        <f t="shared" si="6"/>
        <v/>
      </c>
      <c r="B367" s="903" t="str">
        <f>IF(Tabulka4[[#This Row],[Typ úlohy]]="Součet",G367,IF(Tabulka4[[#This Row],[Typ úlohy]]="Účet",B366,""))</f>
        <v/>
      </c>
      <c r="C367" s="903" t="str">
        <f>IF(Tabulka4[[#This Row],[Typ úlohy]]="Účet",H367,"")</f>
        <v/>
      </c>
      <c r="D367" s="903" t="str">
        <f>IF(Tabulka4[[#This Row],[Typ úlohy]]="Účet",GETPIVOTDATA("Součet z Celková hmotnost položek [kg]",$G$2,"Zkratka kalkulační položky",B367,"Výrobce / Dodavatel",C367),"")</f>
        <v/>
      </c>
      <c r="E367" s="904" t="str">
        <f>IF(Tabulka4[[#This Row],[Typ úlohy]]="Účet",GETPIVOTDATA("Součet z Celková cena bez DPH (CZK)",$G$3,"Zkratka kalkulační položky",B367,"Výrobce / Dodavatel",C367),"")</f>
        <v/>
      </c>
    </row>
    <row r="368" spans="1:5" x14ac:dyDescent="0.35">
      <c r="A368" s="902" t="str">
        <f t="shared" si="6"/>
        <v/>
      </c>
      <c r="B368" s="903" t="str">
        <f>IF(Tabulka4[[#This Row],[Typ úlohy]]="Součet",G368,IF(Tabulka4[[#This Row],[Typ úlohy]]="Účet",B367,""))</f>
        <v/>
      </c>
      <c r="C368" s="903" t="str">
        <f>IF(Tabulka4[[#This Row],[Typ úlohy]]="Účet",H368,"")</f>
        <v/>
      </c>
      <c r="D368" s="903" t="str">
        <f>IF(Tabulka4[[#This Row],[Typ úlohy]]="Účet",GETPIVOTDATA("Součet z Celková hmotnost položek [kg]",$G$2,"Zkratka kalkulační položky",B368,"Výrobce / Dodavatel",C368),"")</f>
        <v/>
      </c>
      <c r="E368" s="904" t="str">
        <f>IF(Tabulka4[[#This Row],[Typ úlohy]]="Účet",GETPIVOTDATA("Součet z Celková cena bez DPH (CZK)",$G$3,"Zkratka kalkulační položky",B368,"Výrobce / Dodavatel",C368),"")</f>
        <v/>
      </c>
    </row>
    <row r="369" spans="1:5" x14ac:dyDescent="0.35">
      <c r="A369" s="902" t="str">
        <f t="shared" si="6"/>
        <v/>
      </c>
      <c r="B369" s="903" t="str">
        <f>IF(Tabulka4[[#This Row],[Typ úlohy]]="Součet",G369,IF(Tabulka4[[#This Row],[Typ úlohy]]="Účet",B368,""))</f>
        <v/>
      </c>
      <c r="C369" s="903" t="str">
        <f>IF(Tabulka4[[#This Row],[Typ úlohy]]="Účet",H369,"")</f>
        <v/>
      </c>
      <c r="D369" s="903" t="str">
        <f>IF(Tabulka4[[#This Row],[Typ úlohy]]="Účet",GETPIVOTDATA("Součet z Celková hmotnost položek [kg]",$G$2,"Zkratka kalkulační položky",B369,"Výrobce / Dodavatel",C369),"")</f>
        <v/>
      </c>
      <c r="E369" s="904" t="str">
        <f>IF(Tabulka4[[#This Row],[Typ úlohy]]="Účet",GETPIVOTDATA("Součet z Celková cena bez DPH (CZK)",$G$3,"Zkratka kalkulační položky",B369,"Výrobce / Dodavatel",C369),"")</f>
        <v/>
      </c>
    </row>
    <row r="370" spans="1:5" x14ac:dyDescent="0.35">
      <c r="A370" s="902" t="str">
        <f t="shared" si="6"/>
        <v/>
      </c>
      <c r="B370" s="903" t="str">
        <f>IF(Tabulka4[[#This Row],[Typ úlohy]]="Součet",G370,IF(Tabulka4[[#This Row],[Typ úlohy]]="Účet",B369,""))</f>
        <v/>
      </c>
      <c r="C370" s="903" t="str">
        <f>IF(Tabulka4[[#This Row],[Typ úlohy]]="Účet",H370,"")</f>
        <v/>
      </c>
      <c r="D370" s="903" t="str">
        <f>IF(Tabulka4[[#This Row],[Typ úlohy]]="Účet",GETPIVOTDATA("Součet z Celková hmotnost položek [kg]",$G$2,"Zkratka kalkulační položky",B370,"Výrobce / Dodavatel",C370),"")</f>
        <v/>
      </c>
      <c r="E370" s="904" t="str">
        <f>IF(Tabulka4[[#This Row],[Typ úlohy]]="Účet",GETPIVOTDATA("Součet z Celková cena bez DPH (CZK)",$G$3,"Zkratka kalkulační položky",B370,"Výrobce / Dodavatel",C370),"")</f>
        <v/>
      </c>
    </row>
    <row r="371" spans="1:5" x14ac:dyDescent="0.35">
      <c r="A371" s="902" t="str">
        <f t="shared" si="6"/>
        <v/>
      </c>
      <c r="B371" s="903" t="str">
        <f>IF(Tabulka4[[#This Row],[Typ úlohy]]="Součet",G371,IF(Tabulka4[[#This Row],[Typ úlohy]]="Účet",B370,""))</f>
        <v/>
      </c>
      <c r="C371" s="903" t="str">
        <f>IF(Tabulka4[[#This Row],[Typ úlohy]]="Účet",H371,"")</f>
        <v/>
      </c>
      <c r="D371" s="903" t="str">
        <f>IF(Tabulka4[[#This Row],[Typ úlohy]]="Účet",GETPIVOTDATA("Součet z Celková hmotnost položek [kg]",$G$2,"Zkratka kalkulační položky",B371,"Výrobce / Dodavatel",C371),"")</f>
        <v/>
      </c>
      <c r="E371" s="904" t="str">
        <f>IF(Tabulka4[[#This Row],[Typ úlohy]]="Účet",GETPIVOTDATA("Součet z Celková cena bez DPH (CZK)",$G$3,"Zkratka kalkulační položky",B371,"Výrobce / Dodavatel",C371),"")</f>
        <v/>
      </c>
    </row>
    <row r="372" spans="1:5" x14ac:dyDescent="0.35">
      <c r="A372" s="902" t="str">
        <f t="shared" si="6"/>
        <v/>
      </c>
      <c r="B372" s="903" t="str">
        <f>IF(Tabulka4[[#This Row],[Typ úlohy]]="Součet",G372,IF(Tabulka4[[#This Row],[Typ úlohy]]="Účet",B371,""))</f>
        <v/>
      </c>
      <c r="C372" s="903" t="str">
        <f>IF(Tabulka4[[#This Row],[Typ úlohy]]="Účet",H372,"")</f>
        <v/>
      </c>
      <c r="D372" s="903" t="str">
        <f>IF(Tabulka4[[#This Row],[Typ úlohy]]="Účet",GETPIVOTDATA("Součet z Celková hmotnost položek [kg]",$G$2,"Zkratka kalkulační položky",B372,"Výrobce / Dodavatel",C372),"")</f>
        <v/>
      </c>
      <c r="E372" s="904" t="str">
        <f>IF(Tabulka4[[#This Row],[Typ úlohy]]="Účet",GETPIVOTDATA("Součet z Celková cena bez DPH (CZK)",$G$3,"Zkratka kalkulační položky",B372,"Výrobce / Dodavatel",C372),"")</f>
        <v/>
      </c>
    </row>
    <row r="373" spans="1:5" x14ac:dyDescent="0.35">
      <c r="A373" s="902" t="str">
        <f t="shared" si="6"/>
        <v/>
      </c>
      <c r="B373" s="903" t="str">
        <f>IF(Tabulka4[[#This Row],[Typ úlohy]]="Součet",G373,IF(Tabulka4[[#This Row],[Typ úlohy]]="Účet",B372,""))</f>
        <v/>
      </c>
      <c r="C373" s="903" t="str">
        <f>IF(Tabulka4[[#This Row],[Typ úlohy]]="Účet",H373,"")</f>
        <v/>
      </c>
      <c r="D373" s="903" t="str">
        <f>IF(Tabulka4[[#This Row],[Typ úlohy]]="Účet",GETPIVOTDATA("Součet z Celková hmotnost položek [kg]",$G$2,"Zkratka kalkulační položky",B373,"Výrobce / Dodavatel",C373),"")</f>
        <v/>
      </c>
      <c r="E373" s="904" t="str">
        <f>IF(Tabulka4[[#This Row],[Typ úlohy]]="Účet",GETPIVOTDATA("Součet z Celková cena bez DPH (CZK)",$G$3,"Zkratka kalkulační položky",B373,"Výrobce / Dodavatel",C373),"")</f>
        <v/>
      </c>
    </row>
    <row r="374" spans="1:5" x14ac:dyDescent="0.35">
      <c r="A374" s="902" t="str">
        <f t="shared" si="6"/>
        <v/>
      </c>
      <c r="B374" s="903" t="str">
        <f>IF(Tabulka4[[#This Row],[Typ úlohy]]="Součet",G374,IF(Tabulka4[[#This Row],[Typ úlohy]]="Účet",B373,""))</f>
        <v/>
      </c>
      <c r="C374" s="903" t="str">
        <f>IF(Tabulka4[[#This Row],[Typ úlohy]]="Účet",H374,"")</f>
        <v/>
      </c>
      <c r="D374" s="903" t="str">
        <f>IF(Tabulka4[[#This Row],[Typ úlohy]]="Účet",GETPIVOTDATA("Součet z Celková hmotnost položek [kg]",$G$2,"Zkratka kalkulační položky",B374,"Výrobce / Dodavatel",C374),"")</f>
        <v/>
      </c>
      <c r="E374" s="904" t="str">
        <f>IF(Tabulka4[[#This Row],[Typ úlohy]]="Účet",GETPIVOTDATA("Součet z Celková cena bez DPH (CZK)",$G$3,"Zkratka kalkulační položky",B374,"Výrobce / Dodavatel",C374),"")</f>
        <v/>
      </c>
    </row>
    <row r="375" spans="1:5" x14ac:dyDescent="0.35">
      <c r="A375" s="902" t="str">
        <f t="shared" si="6"/>
        <v/>
      </c>
      <c r="B375" s="903" t="str">
        <f>IF(Tabulka4[[#This Row],[Typ úlohy]]="Součet",G375,IF(Tabulka4[[#This Row],[Typ úlohy]]="Účet",B374,""))</f>
        <v/>
      </c>
      <c r="C375" s="903" t="str">
        <f>IF(Tabulka4[[#This Row],[Typ úlohy]]="Účet",H375,"")</f>
        <v/>
      </c>
      <c r="D375" s="903" t="str">
        <f>IF(Tabulka4[[#This Row],[Typ úlohy]]="Účet",GETPIVOTDATA("Součet z Celková hmotnost položek [kg]",$G$2,"Zkratka kalkulační položky",B375,"Výrobce / Dodavatel",C375),"")</f>
        <v/>
      </c>
      <c r="E375" s="904" t="str">
        <f>IF(Tabulka4[[#This Row],[Typ úlohy]]="Účet",GETPIVOTDATA("Součet z Celková cena bez DPH (CZK)",$G$3,"Zkratka kalkulační položky",B375,"Výrobce / Dodavatel",C375),"")</f>
        <v/>
      </c>
    </row>
    <row r="376" spans="1:5" x14ac:dyDescent="0.35">
      <c r="A376" s="902" t="str">
        <f t="shared" si="6"/>
        <v/>
      </c>
      <c r="B376" s="903" t="str">
        <f>IF(Tabulka4[[#This Row],[Typ úlohy]]="Součet",G376,IF(Tabulka4[[#This Row],[Typ úlohy]]="Účet",B375,""))</f>
        <v/>
      </c>
      <c r="C376" s="903" t="str">
        <f>IF(Tabulka4[[#This Row],[Typ úlohy]]="Účet",H376,"")</f>
        <v/>
      </c>
      <c r="D376" s="903" t="str">
        <f>IF(Tabulka4[[#This Row],[Typ úlohy]]="Účet",GETPIVOTDATA("Součet z Celková hmotnost položek [kg]",$G$2,"Zkratka kalkulační položky",B376,"Výrobce / Dodavatel",C376),"")</f>
        <v/>
      </c>
      <c r="E376" s="904" t="str">
        <f>IF(Tabulka4[[#This Row],[Typ úlohy]]="Účet",GETPIVOTDATA("Součet z Celková cena bez DPH (CZK)",$G$3,"Zkratka kalkulační položky",B376,"Výrobce / Dodavatel",C376),"")</f>
        <v/>
      </c>
    </row>
    <row r="377" spans="1:5" x14ac:dyDescent="0.35">
      <c r="A377" s="902" t="str">
        <f t="shared" si="6"/>
        <v/>
      </c>
      <c r="B377" s="903" t="str">
        <f>IF(Tabulka4[[#This Row],[Typ úlohy]]="Součet",G377,IF(Tabulka4[[#This Row],[Typ úlohy]]="Účet",B376,""))</f>
        <v/>
      </c>
      <c r="C377" s="903" t="str">
        <f>IF(Tabulka4[[#This Row],[Typ úlohy]]="Účet",H377,"")</f>
        <v/>
      </c>
      <c r="D377" s="903" t="str">
        <f>IF(Tabulka4[[#This Row],[Typ úlohy]]="Účet",GETPIVOTDATA("Součet z Celková hmotnost položek [kg]",$G$2,"Zkratka kalkulační položky",B377,"Výrobce / Dodavatel",C377),"")</f>
        <v/>
      </c>
      <c r="E377" s="904" t="str">
        <f>IF(Tabulka4[[#This Row],[Typ úlohy]]="Účet",GETPIVOTDATA("Součet z Celková cena bez DPH (CZK)",$G$3,"Zkratka kalkulační položky",B377,"Výrobce / Dodavatel",C377),"")</f>
        <v/>
      </c>
    </row>
    <row r="378" spans="1:5" x14ac:dyDescent="0.35">
      <c r="A378" s="902" t="str">
        <f t="shared" si="6"/>
        <v/>
      </c>
      <c r="B378" s="903" t="str">
        <f>IF(Tabulka4[[#This Row],[Typ úlohy]]="Součet",G378,IF(Tabulka4[[#This Row],[Typ úlohy]]="Účet",B377,""))</f>
        <v/>
      </c>
      <c r="C378" s="903" t="str">
        <f>IF(Tabulka4[[#This Row],[Typ úlohy]]="Účet",H378,"")</f>
        <v/>
      </c>
      <c r="D378" s="903" t="str">
        <f>IF(Tabulka4[[#This Row],[Typ úlohy]]="Účet",GETPIVOTDATA("Součet z Celková hmotnost položek [kg]",$G$2,"Zkratka kalkulační položky",B378,"Výrobce / Dodavatel",C378),"")</f>
        <v/>
      </c>
      <c r="E378" s="904" t="str">
        <f>IF(Tabulka4[[#This Row],[Typ úlohy]]="Účet",GETPIVOTDATA("Součet z Celková cena bez DPH (CZK)",$G$3,"Zkratka kalkulační položky",B378,"Výrobce / Dodavatel",C378),"")</f>
        <v/>
      </c>
    </row>
    <row r="379" spans="1:5" x14ac:dyDescent="0.35">
      <c r="A379" s="902" t="str">
        <f t="shared" si="6"/>
        <v/>
      </c>
      <c r="B379" s="903" t="str">
        <f>IF(Tabulka4[[#This Row],[Typ úlohy]]="Součet",G379,IF(Tabulka4[[#This Row],[Typ úlohy]]="Účet",B378,""))</f>
        <v/>
      </c>
      <c r="C379" s="903" t="str">
        <f>IF(Tabulka4[[#This Row],[Typ úlohy]]="Účet",H379,"")</f>
        <v/>
      </c>
      <c r="D379" s="903" t="str">
        <f>IF(Tabulka4[[#This Row],[Typ úlohy]]="Účet",GETPIVOTDATA("Součet z Celková hmotnost položek [kg]",$G$2,"Zkratka kalkulační položky",B379,"Výrobce / Dodavatel",C379),"")</f>
        <v/>
      </c>
      <c r="E379" s="904" t="str">
        <f>IF(Tabulka4[[#This Row],[Typ úlohy]]="Účet",GETPIVOTDATA("Součet z Celková cena bez DPH (CZK)",$G$3,"Zkratka kalkulační položky",B379,"Výrobce / Dodavatel",C379),"")</f>
        <v/>
      </c>
    </row>
    <row r="380" spans="1:5" x14ac:dyDescent="0.35">
      <c r="A380" s="902" t="str">
        <f t="shared" si="6"/>
        <v/>
      </c>
      <c r="B380" s="903" t="str">
        <f>IF(Tabulka4[[#This Row],[Typ úlohy]]="Součet",G380,IF(Tabulka4[[#This Row],[Typ úlohy]]="Účet",B379,""))</f>
        <v/>
      </c>
      <c r="C380" s="903" t="str">
        <f>IF(Tabulka4[[#This Row],[Typ úlohy]]="Účet",H380,"")</f>
        <v/>
      </c>
      <c r="D380" s="903" t="str">
        <f>IF(Tabulka4[[#This Row],[Typ úlohy]]="Účet",GETPIVOTDATA("Součet z Celková hmotnost položek [kg]",$G$2,"Zkratka kalkulační položky",B380,"Výrobce / Dodavatel",C380),"")</f>
        <v/>
      </c>
      <c r="E380" s="904" t="str">
        <f>IF(Tabulka4[[#This Row],[Typ úlohy]]="Účet",GETPIVOTDATA("Součet z Celková cena bez DPH (CZK)",$G$3,"Zkratka kalkulační položky",B380,"Výrobce / Dodavatel",C380),"")</f>
        <v/>
      </c>
    </row>
    <row r="381" spans="1:5" x14ac:dyDescent="0.35">
      <c r="A381" s="902" t="str">
        <f t="shared" si="6"/>
        <v/>
      </c>
      <c r="B381" s="903" t="str">
        <f>IF(Tabulka4[[#This Row],[Typ úlohy]]="Součet",G381,IF(Tabulka4[[#This Row],[Typ úlohy]]="Účet",B380,""))</f>
        <v/>
      </c>
      <c r="C381" s="903" t="str">
        <f>IF(Tabulka4[[#This Row],[Typ úlohy]]="Účet",H381,"")</f>
        <v/>
      </c>
      <c r="D381" s="903" t="str">
        <f>IF(Tabulka4[[#This Row],[Typ úlohy]]="Účet",GETPIVOTDATA("Součet z Celková hmotnost položek [kg]",$G$2,"Zkratka kalkulační položky",B381,"Výrobce / Dodavatel",C381),"")</f>
        <v/>
      </c>
      <c r="E381" s="904" t="str">
        <f>IF(Tabulka4[[#This Row],[Typ úlohy]]="Účet",GETPIVOTDATA("Součet z Celková cena bez DPH (CZK)",$G$3,"Zkratka kalkulační položky",B381,"Výrobce / Dodavatel",C381),"")</f>
        <v/>
      </c>
    </row>
    <row r="382" spans="1:5" x14ac:dyDescent="0.35">
      <c r="A382" s="902" t="str">
        <f t="shared" si="6"/>
        <v/>
      </c>
      <c r="B382" s="903" t="str">
        <f>IF(Tabulka4[[#This Row],[Typ úlohy]]="Součet",G382,IF(Tabulka4[[#This Row],[Typ úlohy]]="Účet",B381,""))</f>
        <v/>
      </c>
      <c r="C382" s="903" t="str">
        <f>IF(Tabulka4[[#This Row],[Typ úlohy]]="Účet",H382,"")</f>
        <v/>
      </c>
      <c r="D382" s="903" t="str">
        <f>IF(Tabulka4[[#This Row],[Typ úlohy]]="Účet",GETPIVOTDATA("Součet z Celková hmotnost položek [kg]",$G$2,"Zkratka kalkulační položky",B382,"Výrobce / Dodavatel",C382),"")</f>
        <v/>
      </c>
      <c r="E382" s="904" t="str">
        <f>IF(Tabulka4[[#This Row],[Typ úlohy]]="Účet",GETPIVOTDATA("Součet z Celková cena bez DPH (CZK)",$G$3,"Zkratka kalkulační položky",B382,"Výrobce / Dodavatel",C382),"")</f>
        <v/>
      </c>
    </row>
    <row r="383" spans="1:5" x14ac:dyDescent="0.35">
      <c r="A383" s="902" t="str">
        <f t="shared" si="6"/>
        <v/>
      </c>
      <c r="B383" s="903" t="str">
        <f>IF(Tabulka4[[#This Row],[Typ úlohy]]="Součet",G383,IF(Tabulka4[[#This Row],[Typ úlohy]]="Účet",B382,""))</f>
        <v/>
      </c>
      <c r="C383" s="903" t="str">
        <f>IF(Tabulka4[[#This Row],[Typ úlohy]]="Účet",H383,"")</f>
        <v/>
      </c>
      <c r="D383" s="903" t="str">
        <f>IF(Tabulka4[[#This Row],[Typ úlohy]]="Účet",GETPIVOTDATA("Součet z Celková hmotnost položek [kg]",$G$2,"Zkratka kalkulační položky",B383,"Výrobce / Dodavatel",C383),"")</f>
        <v/>
      </c>
      <c r="E383" s="904" t="str">
        <f>IF(Tabulka4[[#This Row],[Typ úlohy]]="Účet",GETPIVOTDATA("Součet z Celková cena bez DPH (CZK)",$G$3,"Zkratka kalkulační položky",B383,"Výrobce / Dodavatel",C383),"")</f>
        <v/>
      </c>
    </row>
    <row r="384" spans="1:5" x14ac:dyDescent="0.35">
      <c r="A384" s="902" t="str">
        <f t="shared" si="6"/>
        <v/>
      </c>
      <c r="B384" s="903" t="str">
        <f>IF(Tabulka4[[#This Row],[Typ úlohy]]="Součet",G384,IF(Tabulka4[[#This Row],[Typ úlohy]]="Účet",B383,""))</f>
        <v/>
      </c>
      <c r="C384" s="903" t="str">
        <f>IF(Tabulka4[[#This Row],[Typ úlohy]]="Účet",H384,"")</f>
        <v/>
      </c>
      <c r="D384" s="903" t="str">
        <f>IF(Tabulka4[[#This Row],[Typ úlohy]]="Účet",GETPIVOTDATA("Součet z Celková hmotnost položek [kg]",$G$2,"Zkratka kalkulační položky",B384,"Výrobce / Dodavatel",C384),"")</f>
        <v/>
      </c>
      <c r="E384" s="904" t="str">
        <f>IF(Tabulka4[[#This Row],[Typ úlohy]]="Účet",GETPIVOTDATA("Součet z Celková cena bez DPH (CZK)",$G$3,"Zkratka kalkulační položky",B384,"Výrobce / Dodavatel",C384),"")</f>
        <v/>
      </c>
    </row>
    <row r="385" spans="1:5" x14ac:dyDescent="0.35">
      <c r="A385" s="902" t="str">
        <f t="shared" si="6"/>
        <v/>
      </c>
      <c r="B385" s="903" t="str">
        <f>IF(Tabulka4[[#This Row],[Typ úlohy]]="Součet",G385,IF(Tabulka4[[#This Row],[Typ úlohy]]="Účet",B384,""))</f>
        <v/>
      </c>
      <c r="C385" s="903" t="str">
        <f>IF(Tabulka4[[#This Row],[Typ úlohy]]="Účet",H385,"")</f>
        <v/>
      </c>
      <c r="D385" s="903" t="str">
        <f>IF(Tabulka4[[#This Row],[Typ úlohy]]="Účet",GETPIVOTDATA("Součet z Celková hmotnost položek [kg]",$G$2,"Zkratka kalkulační položky",B385,"Výrobce / Dodavatel",C385),"")</f>
        <v/>
      </c>
      <c r="E385" s="904" t="str">
        <f>IF(Tabulka4[[#This Row],[Typ úlohy]]="Účet",GETPIVOTDATA("Součet z Celková cena bez DPH (CZK)",$G$3,"Zkratka kalkulační položky",B385,"Výrobce / Dodavatel",C385),"")</f>
        <v/>
      </c>
    </row>
    <row r="386" spans="1:5" x14ac:dyDescent="0.35">
      <c r="A386" s="902" t="str">
        <f t="shared" si="6"/>
        <v/>
      </c>
      <c r="B386" s="903" t="str">
        <f>IF(Tabulka4[[#This Row],[Typ úlohy]]="Součet",G386,IF(Tabulka4[[#This Row],[Typ úlohy]]="Účet",B385,""))</f>
        <v/>
      </c>
      <c r="C386" s="903" t="str">
        <f>IF(Tabulka4[[#This Row],[Typ úlohy]]="Účet",H386,"")</f>
        <v/>
      </c>
      <c r="D386" s="903" t="str">
        <f>IF(Tabulka4[[#This Row],[Typ úlohy]]="Účet",GETPIVOTDATA("Součet z Celková hmotnost položek [kg]",$G$2,"Zkratka kalkulační položky",B386,"Výrobce / Dodavatel",C386),"")</f>
        <v/>
      </c>
      <c r="E386" s="904" t="str">
        <f>IF(Tabulka4[[#This Row],[Typ úlohy]]="Účet",GETPIVOTDATA("Součet z Celková cena bez DPH (CZK)",$G$3,"Zkratka kalkulační položky",B386,"Výrobce / Dodavatel",C386),"")</f>
        <v/>
      </c>
    </row>
    <row r="387" spans="1:5" x14ac:dyDescent="0.35">
      <c r="A387" s="902" t="str">
        <f t="shared" si="6"/>
        <v/>
      </c>
      <c r="B387" s="903" t="str">
        <f>IF(Tabulka4[[#This Row],[Typ úlohy]]="Součet",G387,IF(Tabulka4[[#This Row],[Typ úlohy]]="Účet",B386,""))</f>
        <v/>
      </c>
      <c r="C387" s="903" t="str">
        <f>IF(Tabulka4[[#This Row],[Typ úlohy]]="Účet",H387,"")</f>
        <v/>
      </c>
      <c r="D387" s="903" t="str">
        <f>IF(Tabulka4[[#This Row],[Typ úlohy]]="Účet",GETPIVOTDATA("Součet z Celková hmotnost položek [kg]",$G$2,"Zkratka kalkulační položky",B387,"Výrobce / Dodavatel",C387),"")</f>
        <v/>
      </c>
      <c r="E387" s="904" t="str">
        <f>IF(Tabulka4[[#This Row],[Typ úlohy]]="Účet",GETPIVOTDATA("Součet z Celková cena bez DPH (CZK)",$G$3,"Zkratka kalkulační položky",B387,"Výrobce / Dodavatel",C387),"")</f>
        <v/>
      </c>
    </row>
    <row r="388" spans="1:5" x14ac:dyDescent="0.35">
      <c r="A388" s="902" t="str">
        <f t="shared" si="6"/>
        <v/>
      </c>
      <c r="B388" s="903" t="str">
        <f>IF(Tabulka4[[#This Row],[Typ úlohy]]="Součet",G388,IF(Tabulka4[[#This Row],[Typ úlohy]]="Účet",B387,""))</f>
        <v/>
      </c>
      <c r="C388" s="903" t="str">
        <f>IF(Tabulka4[[#This Row],[Typ úlohy]]="Účet",H388,"")</f>
        <v/>
      </c>
      <c r="D388" s="903" t="str">
        <f>IF(Tabulka4[[#This Row],[Typ úlohy]]="Účet",GETPIVOTDATA("Součet z Celková hmotnost položek [kg]",$G$2,"Zkratka kalkulační položky",B388,"Výrobce / Dodavatel",C388),"")</f>
        <v/>
      </c>
      <c r="E388" s="904" t="str">
        <f>IF(Tabulka4[[#This Row],[Typ úlohy]]="Účet",GETPIVOTDATA("Součet z Celková cena bez DPH (CZK)",$G$3,"Zkratka kalkulační položky",B388,"Výrobce / Dodavatel",C388),"")</f>
        <v/>
      </c>
    </row>
    <row r="389" spans="1:5" x14ac:dyDescent="0.35">
      <c r="A389" s="902" t="str">
        <f t="shared" ref="A389:A452" si="7">IF(H389="",IF(G389="","","Součet"),"Účet")</f>
        <v/>
      </c>
      <c r="B389" s="903" t="str">
        <f>IF(Tabulka4[[#This Row],[Typ úlohy]]="Součet",G389,IF(Tabulka4[[#This Row],[Typ úlohy]]="Účet",B388,""))</f>
        <v/>
      </c>
      <c r="C389" s="903" t="str">
        <f>IF(Tabulka4[[#This Row],[Typ úlohy]]="Účet",H389,"")</f>
        <v/>
      </c>
      <c r="D389" s="903" t="str">
        <f>IF(Tabulka4[[#This Row],[Typ úlohy]]="Účet",GETPIVOTDATA("Součet z Celková hmotnost položek [kg]",$G$2,"Zkratka kalkulační položky",B389,"Výrobce / Dodavatel",C389),"")</f>
        <v/>
      </c>
      <c r="E389" s="904" t="str">
        <f>IF(Tabulka4[[#This Row],[Typ úlohy]]="Účet",GETPIVOTDATA("Součet z Celková cena bez DPH (CZK)",$G$3,"Zkratka kalkulační položky",B389,"Výrobce / Dodavatel",C389),"")</f>
        <v/>
      </c>
    </row>
    <row r="390" spans="1:5" x14ac:dyDescent="0.35">
      <c r="A390" s="902" t="str">
        <f t="shared" si="7"/>
        <v/>
      </c>
      <c r="B390" s="903" t="str">
        <f>IF(Tabulka4[[#This Row],[Typ úlohy]]="Součet",G390,IF(Tabulka4[[#This Row],[Typ úlohy]]="Účet",B389,""))</f>
        <v/>
      </c>
      <c r="C390" s="903" t="str">
        <f>IF(Tabulka4[[#This Row],[Typ úlohy]]="Účet",H390,"")</f>
        <v/>
      </c>
      <c r="D390" s="903" t="str">
        <f>IF(Tabulka4[[#This Row],[Typ úlohy]]="Účet",GETPIVOTDATA("Součet z Celková hmotnost položek [kg]",$G$2,"Zkratka kalkulační položky",B390,"Výrobce / Dodavatel",C390),"")</f>
        <v/>
      </c>
      <c r="E390" s="904" t="str">
        <f>IF(Tabulka4[[#This Row],[Typ úlohy]]="Účet",GETPIVOTDATA("Součet z Celková cena bez DPH (CZK)",$G$3,"Zkratka kalkulační položky",B390,"Výrobce / Dodavatel",C390),"")</f>
        <v/>
      </c>
    </row>
    <row r="391" spans="1:5" x14ac:dyDescent="0.35">
      <c r="A391" s="902" t="str">
        <f t="shared" si="7"/>
        <v/>
      </c>
      <c r="B391" s="903" t="str">
        <f>IF(Tabulka4[[#This Row],[Typ úlohy]]="Součet",G391,IF(Tabulka4[[#This Row],[Typ úlohy]]="Účet",B390,""))</f>
        <v/>
      </c>
      <c r="C391" s="903" t="str">
        <f>IF(Tabulka4[[#This Row],[Typ úlohy]]="Účet",H391,"")</f>
        <v/>
      </c>
      <c r="D391" s="903" t="str">
        <f>IF(Tabulka4[[#This Row],[Typ úlohy]]="Účet",GETPIVOTDATA("Součet z Celková hmotnost položek [kg]",$G$2,"Zkratka kalkulační položky",B391,"Výrobce / Dodavatel",C391),"")</f>
        <v/>
      </c>
      <c r="E391" s="904" t="str">
        <f>IF(Tabulka4[[#This Row],[Typ úlohy]]="Účet",GETPIVOTDATA("Součet z Celková cena bez DPH (CZK)",$G$3,"Zkratka kalkulační položky",B391,"Výrobce / Dodavatel",C391),"")</f>
        <v/>
      </c>
    </row>
    <row r="392" spans="1:5" x14ac:dyDescent="0.35">
      <c r="A392" s="902" t="str">
        <f t="shared" si="7"/>
        <v/>
      </c>
      <c r="B392" s="903" t="str">
        <f>IF(Tabulka4[[#This Row],[Typ úlohy]]="Součet",G392,IF(Tabulka4[[#This Row],[Typ úlohy]]="Účet",B391,""))</f>
        <v/>
      </c>
      <c r="C392" s="903" t="str">
        <f>IF(Tabulka4[[#This Row],[Typ úlohy]]="Účet",H392,"")</f>
        <v/>
      </c>
      <c r="D392" s="903" t="str">
        <f>IF(Tabulka4[[#This Row],[Typ úlohy]]="Účet",GETPIVOTDATA("Součet z Celková hmotnost položek [kg]",$G$2,"Zkratka kalkulační položky",B392,"Výrobce / Dodavatel",C392),"")</f>
        <v/>
      </c>
      <c r="E392" s="904" t="str">
        <f>IF(Tabulka4[[#This Row],[Typ úlohy]]="Účet",GETPIVOTDATA("Součet z Celková cena bez DPH (CZK)",$G$3,"Zkratka kalkulační položky",B392,"Výrobce / Dodavatel",C392),"")</f>
        <v/>
      </c>
    </row>
    <row r="393" spans="1:5" x14ac:dyDescent="0.35">
      <c r="A393" s="902" t="str">
        <f t="shared" si="7"/>
        <v/>
      </c>
      <c r="B393" s="903" t="str">
        <f>IF(Tabulka4[[#This Row],[Typ úlohy]]="Součet",G393,IF(Tabulka4[[#This Row],[Typ úlohy]]="Účet",B392,""))</f>
        <v/>
      </c>
      <c r="C393" s="903" t="str">
        <f>IF(Tabulka4[[#This Row],[Typ úlohy]]="Účet",H393,"")</f>
        <v/>
      </c>
      <c r="D393" s="903" t="str">
        <f>IF(Tabulka4[[#This Row],[Typ úlohy]]="Účet",GETPIVOTDATA("Součet z Celková hmotnost položek [kg]",$G$2,"Zkratka kalkulační položky",B393,"Výrobce / Dodavatel",C393),"")</f>
        <v/>
      </c>
      <c r="E393" s="904" t="str">
        <f>IF(Tabulka4[[#This Row],[Typ úlohy]]="Účet",GETPIVOTDATA("Součet z Celková cena bez DPH (CZK)",$G$3,"Zkratka kalkulační položky",B393,"Výrobce / Dodavatel",C393),"")</f>
        <v/>
      </c>
    </row>
    <row r="394" spans="1:5" x14ac:dyDescent="0.35">
      <c r="A394" s="902" t="str">
        <f t="shared" si="7"/>
        <v/>
      </c>
      <c r="B394" s="903" t="str">
        <f>IF(Tabulka4[[#This Row],[Typ úlohy]]="Součet",G394,IF(Tabulka4[[#This Row],[Typ úlohy]]="Účet",B393,""))</f>
        <v/>
      </c>
      <c r="C394" s="903" t="str">
        <f>IF(Tabulka4[[#This Row],[Typ úlohy]]="Účet",H394,"")</f>
        <v/>
      </c>
      <c r="D394" s="903" t="str">
        <f>IF(Tabulka4[[#This Row],[Typ úlohy]]="Účet",GETPIVOTDATA("Součet z Celková hmotnost položek [kg]",$G$2,"Zkratka kalkulační položky",B394,"Výrobce / Dodavatel",C394),"")</f>
        <v/>
      </c>
      <c r="E394" s="904" t="str">
        <f>IF(Tabulka4[[#This Row],[Typ úlohy]]="Účet",GETPIVOTDATA("Součet z Celková cena bez DPH (CZK)",$G$3,"Zkratka kalkulační položky",B394,"Výrobce / Dodavatel",C394),"")</f>
        <v/>
      </c>
    </row>
    <row r="395" spans="1:5" x14ac:dyDescent="0.35">
      <c r="A395" s="902" t="str">
        <f t="shared" si="7"/>
        <v/>
      </c>
      <c r="B395" s="903" t="str">
        <f>IF(Tabulka4[[#This Row],[Typ úlohy]]="Součet",G395,IF(Tabulka4[[#This Row],[Typ úlohy]]="Účet",B394,""))</f>
        <v/>
      </c>
      <c r="C395" s="903" t="str">
        <f>IF(Tabulka4[[#This Row],[Typ úlohy]]="Účet",H395,"")</f>
        <v/>
      </c>
      <c r="D395" s="903" t="str">
        <f>IF(Tabulka4[[#This Row],[Typ úlohy]]="Účet",GETPIVOTDATA("Součet z Celková hmotnost položek [kg]",$G$2,"Zkratka kalkulační položky",B395,"Výrobce / Dodavatel",C395),"")</f>
        <v/>
      </c>
      <c r="E395" s="904" t="str">
        <f>IF(Tabulka4[[#This Row],[Typ úlohy]]="Účet",GETPIVOTDATA("Součet z Celková cena bez DPH (CZK)",$G$3,"Zkratka kalkulační položky",B395,"Výrobce / Dodavatel",C395),"")</f>
        <v/>
      </c>
    </row>
    <row r="396" spans="1:5" x14ac:dyDescent="0.35">
      <c r="A396" s="902" t="str">
        <f t="shared" si="7"/>
        <v/>
      </c>
      <c r="B396" s="903" t="str">
        <f>IF(Tabulka4[[#This Row],[Typ úlohy]]="Součet",G396,IF(Tabulka4[[#This Row],[Typ úlohy]]="Účet",B395,""))</f>
        <v/>
      </c>
      <c r="C396" s="903" t="str">
        <f>IF(Tabulka4[[#This Row],[Typ úlohy]]="Účet",H396,"")</f>
        <v/>
      </c>
      <c r="D396" s="903" t="str">
        <f>IF(Tabulka4[[#This Row],[Typ úlohy]]="Účet",GETPIVOTDATA("Součet z Celková hmotnost položek [kg]",$G$2,"Zkratka kalkulační položky",B396,"Výrobce / Dodavatel",C396),"")</f>
        <v/>
      </c>
      <c r="E396" s="904" t="str">
        <f>IF(Tabulka4[[#This Row],[Typ úlohy]]="Účet",GETPIVOTDATA("Součet z Celková cena bez DPH (CZK)",$G$3,"Zkratka kalkulační položky",B396,"Výrobce / Dodavatel",C396),"")</f>
        <v/>
      </c>
    </row>
    <row r="397" spans="1:5" x14ac:dyDescent="0.35">
      <c r="A397" s="902" t="str">
        <f t="shared" si="7"/>
        <v/>
      </c>
      <c r="B397" s="903" t="str">
        <f>IF(Tabulka4[[#This Row],[Typ úlohy]]="Součet",G397,IF(Tabulka4[[#This Row],[Typ úlohy]]="Účet",B396,""))</f>
        <v/>
      </c>
      <c r="C397" s="903" t="str">
        <f>IF(Tabulka4[[#This Row],[Typ úlohy]]="Účet",H397,"")</f>
        <v/>
      </c>
      <c r="D397" s="903" t="str">
        <f>IF(Tabulka4[[#This Row],[Typ úlohy]]="Účet",GETPIVOTDATA("Součet z Celková hmotnost položek [kg]",$G$2,"Zkratka kalkulační položky",B397,"Výrobce / Dodavatel",C397),"")</f>
        <v/>
      </c>
      <c r="E397" s="904" t="str">
        <f>IF(Tabulka4[[#This Row],[Typ úlohy]]="Účet",GETPIVOTDATA("Součet z Celková cena bez DPH (CZK)",$G$3,"Zkratka kalkulační položky",B397,"Výrobce / Dodavatel",C397),"")</f>
        <v/>
      </c>
    </row>
    <row r="398" spans="1:5" x14ac:dyDescent="0.35">
      <c r="A398" s="902" t="str">
        <f t="shared" si="7"/>
        <v/>
      </c>
      <c r="B398" s="903" t="str">
        <f>IF(Tabulka4[[#This Row],[Typ úlohy]]="Součet",G398,IF(Tabulka4[[#This Row],[Typ úlohy]]="Účet",B397,""))</f>
        <v/>
      </c>
      <c r="C398" s="903" t="str">
        <f>IF(Tabulka4[[#This Row],[Typ úlohy]]="Účet",H398,"")</f>
        <v/>
      </c>
      <c r="D398" s="903" t="str">
        <f>IF(Tabulka4[[#This Row],[Typ úlohy]]="Účet",GETPIVOTDATA("Součet z Celková hmotnost položek [kg]",$G$2,"Zkratka kalkulační položky",B398,"Výrobce / Dodavatel",C398),"")</f>
        <v/>
      </c>
      <c r="E398" s="904" t="str">
        <f>IF(Tabulka4[[#This Row],[Typ úlohy]]="Účet",GETPIVOTDATA("Součet z Celková cena bez DPH (CZK)",$G$3,"Zkratka kalkulační položky",B398,"Výrobce / Dodavatel",C398),"")</f>
        <v/>
      </c>
    </row>
    <row r="399" spans="1:5" x14ac:dyDescent="0.35">
      <c r="A399" s="902" t="str">
        <f t="shared" si="7"/>
        <v/>
      </c>
      <c r="B399" s="903" t="str">
        <f>IF(Tabulka4[[#This Row],[Typ úlohy]]="Součet",G399,IF(Tabulka4[[#This Row],[Typ úlohy]]="Účet",B398,""))</f>
        <v/>
      </c>
      <c r="C399" s="903" t="str">
        <f>IF(Tabulka4[[#This Row],[Typ úlohy]]="Účet",H399,"")</f>
        <v/>
      </c>
      <c r="D399" s="903" t="str">
        <f>IF(Tabulka4[[#This Row],[Typ úlohy]]="Účet",GETPIVOTDATA("Součet z Celková hmotnost položek [kg]",$G$2,"Zkratka kalkulační položky",B399,"Výrobce / Dodavatel",C399),"")</f>
        <v/>
      </c>
      <c r="E399" s="904" t="str">
        <f>IF(Tabulka4[[#This Row],[Typ úlohy]]="Účet",GETPIVOTDATA("Součet z Celková cena bez DPH (CZK)",$G$3,"Zkratka kalkulační položky",B399,"Výrobce / Dodavatel",C399),"")</f>
        <v/>
      </c>
    </row>
    <row r="400" spans="1:5" x14ac:dyDescent="0.35">
      <c r="A400" s="902" t="str">
        <f t="shared" si="7"/>
        <v/>
      </c>
      <c r="B400" s="903" t="str">
        <f>IF(Tabulka4[[#This Row],[Typ úlohy]]="Součet",G400,IF(Tabulka4[[#This Row],[Typ úlohy]]="Účet",B399,""))</f>
        <v/>
      </c>
      <c r="C400" s="903" t="str">
        <f>IF(Tabulka4[[#This Row],[Typ úlohy]]="Účet",H400,"")</f>
        <v/>
      </c>
      <c r="D400" s="903" t="str">
        <f>IF(Tabulka4[[#This Row],[Typ úlohy]]="Účet",GETPIVOTDATA("Součet z Celková hmotnost položek [kg]",$G$2,"Zkratka kalkulační položky",B400,"Výrobce / Dodavatel",C400),"")</f>
        <v/>
      </c>
      <c r="E400" s="904" t="str">
        <f>IF(Tabulka4[[#This Row],[Typ úlohy]]="Účet",GETPIVOTDATA("Součet z Celková cena bez DPH (CZK)",$G$3,"Zkratka kalkulační položky",B400,"Výrobce / Dodavatel",C400),"")</f>
        <v/>
      </c>
    </row>
    <row r="401" spans="1:5" x14ac:dyDescent="0.35">
      <c r="A401" s="902" t="str">
        <f t="shared" si="7"/>
        <v/>
      </c>
      <c r="B401" s="903" t="str">
        <f>IF(Tabulka4[[#This Row],[Typ úlohy]]="Součet",G401,IF(Tabulka4[[#This Row],[Typ úlohy]]="Účet",B400,""))</f>
        <v/>
      </c>
      <c r="C401" s="903" t="str">
        <f>IF(Tabulka4[[#This Row],[Typ úlohy]]="Účet",H401,"")</f>
        <v/>
      </c>
      <c r="D401" s="903" t="str">
        <f>IF(Tabulka4[[#This Row],[Typ úlohy]]="Účet",GETPIVOTDATA("Součet z Celková hmotnost položek [kg]",$G$2,"Zkratka kalkulační položky",B401,"Výrobce / Dodavatel",C401),"")</f>
        <v/>
      </c>
      <c r="E401" s="904" t="str">
        <f>IF(Tabulka4[[#This Row],[Typ úlohy]]="Účet",GETPIVOTDATA("Součet z Celková cena bez DPH (CZK)",$G$3,"Zkratka kalkulační položky",B401,"Výrobce / Dodavatel",C401),"")</f>
        <v/>
      </c>
    </row>
    <row r="402" spans="1:5" x14ac:dyDescent="0.35">
      <c r="A402" s="902" t="str">
        <f t="shared" si="7"/>
        <v/>
      </c>
      <c r="B402" s="903" t="str">
        <f>IF(Tabulka4[[#This Row],[Typ úlohy]]="Součet",G402,IF(Tabulka4[[#This Row],[Typ úlohy]]="Účet",B401,""))</f>
        <v/>
      </c>
      <c r="C402" s="903" t="str">
        <f>IF(Tabulka4[[#This Row],[Typ úlohy]]="Účet",H402,"")</f>
        <v/>
      </c>
      <c r="D402" s="903" t="str">
        <f>IF(Tabulka4[[#This Row],[Typ úlohy]]="Účet",GETPIVOTDATA("Součet z Celková hmotnost položek [kg]",$G$2,"Zkratka kalkulační položky",B402,"Výrobce / Dodavatel",C402),"")</f>
        <v/>
      </c>
      <c r="E402" s="904" t="str">
        <f>IF(Tabulka4[[#This Row],[Typ úlohy]]="Účet",GETPIVOTDATA("Součet z Celková cena bez DPH (CZK)",$G$3,"Zkratka kalkulační položky",B402,"Výrobce / Dodavatel",C402),"")</f>
        <v/>
      </c>
    </row>
    <row r="403" spans="1:5" x14ac:dyDescent="0.35">
      <c r="A403" s="902" t="str">
        <f t="shared" si="7"/>
        <v/>
      </c>
      <c r="B403" s="903" t="str">
        <f>IF(Tabulka4[[#This Row],[Typ úlohy]]="Součet",G403,IF(Tabulka4[[#This Row],[Typ úlohy]]="Účet",B402,""))</f>
        <v/>
      </c>
      <c r="C403" s="903" t="str">
        <f>IF(Tabulka4[[#This Row],[Typ úlohy]]="Účet",H403,"")</f>
        <v/>
      </c>
      <c r="D403" s="903" t="str">
        <f>IF(Tabulka4[[#This Row],[Typ úlohy]]="Účet",GETPIVOTDATA("Součet z Celková hmotnost položek [kg]",$G$2,"Zkratka kalkulační položky",B403,"Výrobce / Dodavatel",C403),"")</f>
        <v/>
      </c>
      <c r="E403" s="904" t="str">
        <f>IF(Tabulka4[[#This Row],[Typ úlohy]]="Účet",GETPIVOTDATA("Součet z Celková cena bez DPH (CZK)",$G$3,"Zkratka kalkulační položky",B403,"Výrobce / Dodavatel",C403),"")</f>
        <v/>
      </c>
    </row>
    <row r="404" spans="1:5" x14ac:dyDescent="0.35">
      <c r="A404" s="902" t="str">
        <f t="shared" si="7"/>
        <v/>
      </c>
      <c r="B404" s="903" t="str">
        <f>IF(Tabulka4[[#This Row],[Typ úlohy]]="Součet",G404,IF(Tabulka4[[#This Row],[Typ úlohy]]="Účet",B403,""))</f>
        <v/>
      </c>
      <c r="C404" s="903" t="str">
        <f>IF(Tabulka4[[#This Row],[Typ úlohy]]="Účet",H404,"")</f>
        <v/>
      </c>
      <c r="D404" s="903" t="str">
        <f>IF(Tabulka4[[#This Row],[Typ úlohy]]="Účet",GETPIVOTDATA("Součet z Celková hmotnost položek [kg]",$G$2,"Zkratka kalkulační položky",B404,"Výrobce / Dodavatel",C404),"")</f>
        <v/>
      </c>
      <c r="E404" s="904" t="str">
        <f>IF(Tabulka4[[#This Row],[Typ úlohy]]="Účet",GETPIVOTDATA("Součet z Celková cena bez DPH (CZK)",$G$3,"Zkratka kalkulační položky",B404,"Výrobce / Dodavatel",C404),"")</f>
        <v/>
      </c>
    </row>
    <row r="405" spans="1:5" x14ac:dyDescent="0.35">
      <c r="A405" s="902" t="str">
        <f t="shared" si="7"/>
        <v/>
      </c>
      <c r="B405" s="903" t="str">
        <f>IF(Tabulka4[[#This Row],[Typ úlohy]]="Součet",G405,IF(Tabulka4[[#This Row],[Typ úlohy]]="Účet",B404,""))</f>
        <v/>
      </c>
      <c r="C405" s="903" t="str">
        <f>IF(Tabulka4[[#This Row],[Typ úlohy]]="Účet",H405,"")</f>
        <v/>
      </c>
      <c r="D405" s="903" t="str">
        <f>IF(Tabulka4[[#This Row],[Typ úlohy]]="Účet",GETPIVOTDATA("Součet z Celková hmotnost položek [kg]",$G$2,"Zkratka kalkulační položky",B405,"Výrobce / Dodavatel",C405),"")</f>
        <v/>
      </c>
      <c r="E405" s="904" t="str">
        <f>IF(Tabulka4[[#This Row],[Typ úlohy]]="Účet",GETPIVOTDATA("Součet z Celková cena bez DPH (CZK)",$G$3,"Zkratka kalkulační položky",B405,"Výrobce / Dodavatel",C405),"")</f>
        <v/>
      </c>
    </row>
    <row r="406" spans="1:5" x14ac:dyDescent="0.35">
      <c r="A406" s="902" t="str">
        <f t="shared" si="7"/>
        <v/>
      </c>
      <c r="B406" s="903" t="str">
        <f>IF(Tabulka4[[#This Row],[Typ úlohy]]="Součet",G406,IF(Tabulka4[[#This Row],[Typ úlohy]]="Účet",B405,""))</f>
        <v/>
      </c>
      <c r="C406" s="903" t="str">
        <f>IF(Tabulka4[[#This Row],[Typ úlohy]]="Účet",H406,"")</f>
        <v/>
      </c>
      <c r="D406" s="903" t="str">
        <f>IF(Tabulka4[[#This Row],[Typ úlohy]]="Účet",GETPIVOTDATA("Součet z Celková hmotnost položek [kg]",$G$2,"Zkratka kalkulační položky",B406,"Výrobce / Dodavatel",C406),"")</f>
        <v/>
      </c>
      <c r="E406" s="904" t="str">
        <f>IF(Tabulka4[[#This Row],[Typ úlohy]]="Účet",GETPIVOTDATA("Součet z Celková cena bez DPH (CZK)",$G$3,"Zkratka kalkulační položky",B406,"Výrobce / Dodavatel",C406),"")</f>
        <v/>
      </c>
    </row>
    <row r="407" spans="1:5" x14ac:dyDescent="0.35">
      <c r="A407" s="902" t="str">
        <f t="shared" si="7"/>
        <v/>
      </c>
      <c r="B407" s="903" t="str">
        <f>IF(Tabulka4[[#This Row],[Typ úlohy]]="Součet",G407,IF(Tabulka4[[#This Row],[Typ úlohy]]="Účet",B406,""))</f>
        <v/>
      </c>
      <c r="C407" s="903" t="str">
        <f>IF(Tabulka4[[#This Row],[Typ úlohy]]="Účet",H407,"")</f>
        <v/>
      </c>
      <c r="D407" s="903" t="str">
        <f>IF(Tabulka4[[#This Row],[Typ úlohy]]="Účet",GETPIVOTDATA("Součet z Celková hmotnost položek [kg]",$G$2,"Zkratka kalkulační položky",B407,"Výrobce / Dodavatel",C407),"")</f>
        <v/>
      </c>
      <c r="E407" s="904" t="str">
        <f>IF(Tabulka4[[#This Row],[Typ úlohy]]="Účet",GETPIVOTDATA("Součet z Celková cena bez DPH (CZK)",$G$3,"Zkratka kalkulační položky",B407,"Výrobce / Dodavatel",C407),"")</f>
        <v/>
      </c>
    </row>
    <row r="408" spans="1:5" x14ac:dyDescent="0.35">
      <c r="A408" s="902" t="str">
        <f t="shared" si="7"/>
        <v/>
      </c>
      <c r="B408" s="903" t="str">
        <f>IF(Tabulka4[[#This Row],[Typ úlohy]]="Součet",G408,IF(Tabulka4[[#This Row],[Typ úlohy]]="Účet",B407,""))</f>
        <v/>
      </c>
      <c r="C408" s="903" t="str">
        <f>IF(Tabulka4[[#This Row],[Typ úlohy]]="Účet",H408,"")</f>
        <v/>
      </c>
      <c r="D408" s="903" t="str">
        <f>IF(Tabulka4[[#This Row],[Typ úlohy]]="Účet",GETPIVOTDATA("Součet z Celková hmotnost položek [kg]",$G$2,"Zkratka kalkulační položky",B408,"Výrobce / Dodavatel",C408),"")</f>
        <v/>
      </c>
      <c r="E408" s="904" t="str">
        <f>IF(Tabulka4[[#This Row],[Typ úlohy]]="Účet",GETPIVOTDATA("Součet z Celková cena bez DPH (CZK)",$G$3,"Zkratka kalkulační položky",B408,"Výrobce / Dodavatel",C408),"")</f>
        <v/>
      </c>
    </row>
    <row r="409" spans="1:5" x14ac:dyDescent="0.35">
      <c r="A409" s="902" t="str">
        <f t="shared" si="7"/>
        <v/>
      </c>
      <c r="B409" s="903" t="str">
        <f>IF(Tabulka4[[#This Row],[Typ úlohy]]="Součet",G409,IF(Tabulka4[[#This Row],[Typ úlohy]]="Účet",B408,""))</f>
        <v/>
      </c>
      <c r="C409" s="903" t="str">
        <f>IF(Tabulka4[[#This Row],[Typ úlohy]]="Účet",H409,"")</f>
        <v/>
      </c>
      <c r="D409" s="903" t="str">
        <f>IF(Tabulka4[[#This Row],[Typ úlohy]]="Účet",GETPIVOTDATA("Součet z Celková hmotnost položek [kg]",$G$2,"Zkratka kalkulační položky",B409,"Výrobce / Dodavatel",C409),"")</f>
        <v/>
      </c>
      <c r="E409" s="904" t="str">
        <f>IF(Tabulka4[[#This Row],[Typ úlohy]]="Účet",GETPIVOTDATA("Součet z Celková cena bez DPH (CZK)",$G$3,"Zkratka kalkulační položky",B409,"Výrobce / Dodavatel",C409),"")</f>
        <v/>
      </c>
    </row>
    <row r="410" spans="1:5" x14ac:dyDescent="0.35">
      <c r="A410" s="902" t="str">
        <f t="shared" si="7"/>
        <v/>
      </c>
      <c r="B410" s="903" t="str">
        <f>IF(Tabulka4[[#This Row],[Typ úlohy]]="Součet",G410,IF(Tabulka4[[#This Row],[Typ úlohy]]="Účet",B409,""))</f>
        <v/>
      </c>
      <c r="C410" s="903" t="str">
        <f>IF(Tabulka4[[#This Row],[Typ úlohy]]="Účet",H410,"")</f>
        <v/>
      </c>
      <c r="D410" s="903" t="str">
        <f>IF(Tabulka4[[#This Row],[Typ úlohy]]="Účet",GETPIVOTDATA("Součet z Celková hmotnost položek [kg]",$G$2,"Zkratka kalkulační položky",B410,"Výrobce / Dodavatel",C410),"")</f>
        <v/>
      </c>
      <c r="E410" s="904" t="str">
        <f>IF(Tabulka4[[#This Row],[Typ úlohy]]="Účet",GETPIVOTDATA("Součet z Celková cena bez DPH (CZK)",$G$3,"Zkratka kalkulační položky",B410,"Výrobce / Dodavatel",C410),"")</f>
        <v/>
      </c>
    </row>
    <row r="411" spans="1:5" x14ac:dyDescent="0.35">
      <c r="A411" s="902" t="str">
        <f t="shared" si="7"/>
        <v/>
      </c>
      <c r="B411" s="903" t="str">
        <f>IF(Tabulka4[[#This Row],[Typ úlohy]]="Součet",G411,IF(Tabulka4[[#This Row],[Typ úlohy]]="Účet",B410,""))</f>
        <v/>
      </c>
      <c r="C411" s="903" t="str">
        <f>IF(Tabulka4[[#This Row],[Typ úlohy]]="Účet",H411,"")</f>
        <v/>
      </c>
      <c r="D411" s="903" t="str">
        <f>IF(Tabulka4[[#This Row],[Typ úlohy]]="Účet",GETPIVOTDATA("Součet z Celková hmotnost položek [kg]",$G$2,"Zkratka kalkulační položky",B411,"Výrobce / Dodavatel",C411),"")</f>
        <v/>
      </c>
      <c r="E411" s="904" t="str">
        <f>IF(Tabulka4[[#This Row],[Typ úlohy]]="Účet",GETPIVOTDATA("Součet z Celková cena bez DPH (CZK)",$G$3,"Zkratka kalkulační položky",B411,"Výrobce / Dodavatel",C411),"")</f>
        <v/>
      </c>
    </row>
    <row r="412" spans="1:5" x14ac:dyDescent="0.35">
      <c r="A412" s="902" t="str">
        <f t="shared" si="7"/>
        <v/>
      </c>
      <c r="B412" s="903" t="str">
        <f>IF(Tabulka4[[#This Row],[Typ úlohy]]="Součet",G412,IF(Tabulka4[[#This Row],[Typ úlohy]]="Účet",B411,""))</f>
        <v/>
      </c>
      <c r="C412" s="903" t="str">
        <f>IF(Tabulka4[[#This Row],[Typ úlohy]]="Účet",H412,"")</f>
        <v/>
      </c>
      <c r="D412" s="903" t="str">
        <f>IF(Tabulka4[[#This Row],[Typ úlohy]]="Účet",GETPIVOTDATA("Součet z Celková hmotnost položek [kg]",$G$2,"Zkratka kalkulační položky",B412,"Výrobce / Dodavatel",C412),"")</f>
        <v/>
      </c>
      <c r="E412" s="904" t="str">
        <f>IF(Tabulka4[[#This Row],[Typ úlohy]]="Účet",GETPIVOTDATA("Součet z Celková cena bez DPH (CZK)",$G$3,"Zkratka kalkulační položky",B412,"Výrobce / Dodavatel",C412),"")</f>
        <v/>
      </c>
    </row>
    <row r="413" spans="1:5" x14ac:dyDescent="0.35">
      <c r="A413" s="902" t="str">
        <f t="shared" si="7"/>
        <v/>
      </c>
      <c r="B413" s="903" t="str">
        <f>IF(Tabulka4[[#This Row],[Typ úlohy]]="Součet",G413,IF(Tabulka4[[#This Row],[Typ úlohy]]="Účet",B412,""))</f>
        <v/>
      </c>
      <c r="C413" s="903" t="str">
        <f>IF(Tabulka4[[#This Row],[Typ úlohy]]="Účet",H413,"")</f>
        <v/>
      </c>
      <c r="D413" s="903" t="str">
        <f>IF(Tabulka4[[#This Row],[Typ úlohy]]="Účet",GETPIVOTDATA("Součet z Celková hmotnost položek [kg]",$G$2,"Zkratka kalkulační položky",B413,"Výrobce / Dodavatel",C413),"")</f>
        <v/>
      </c>
      <c r="E413" s="904" t="str">
        <f>IF(Tabulka4[[#This Row],[Typ úlohy]]="Účet",GETPIVOTDATA("Součet z Celková cena bez DPH (CZK)",$G$3,"Zkratka kalkulační položky",B413,"Výrobce / Dodavatel",C413),"")</f>
        <v/>
      </c>
    </row>
    <row r="414" spans="1:5" x14ac:dyDescent="0.35">
      <c r="A414" s="902" t="str">
        <f t="shared" si="7"/>
        <v/>
      </c>
      <c r="B414" s="903" t="str">
        <f>IF(Tabulka4[[#This Row],[Typ úlohy]]="Součet",G414,IF(Tabulka4[[#This Row],[Typ úlohy]]="Účet",B413,""))</f>
        <v/>
      </c>
      <c r="C414" s="903" t="str">
        <f>IF(Tabulka4[[#This Row],[Typ úlohy]]="Účet",H414,"")</f>
        <v/>
      </c>
      <c r="D414" s="903" t="str">
        <f>IF(Tabulka4[[#This Row],[Typ úlohy]]="Účet",GETPIVOTDATA("Součet z Celková hmotnost položek [kg]",$G$2,"Zkratka kalkulační položky",B414,"Výrobce / Dodavatel",C414),"")</f>
        <v/>
      </c>
      <c r="E414" s="904" t="str">
        <f>IF(Tabulka4[[#This Row],[Typ úlohy]]="Účet",GETPIVOTDATA("Součet z Celková cena bez DPH (CZK)",$G$3,"Zkratka kalkulační položky",B414,"Výrobce / Dodavatel",C414),"")</f>
        <v/>
      </c>
    </row>
    <row r="415" spans="1:5" x14ac:dyDescent="0.35">
      <c r="A415" s="902" t="str">
        <f t="shared" si="7"/>
        <v/>
      </c>
      <c r="B415" s="903" t="str">
        <f>IF(Tabulka4[[#This Row],[Typ úlohy]]="Součet",G415,IF(Tabulka4[[#This Row],[Typ úlohy]]="Účet",B414,""))</f>
        <v/>
      </c>
      <c r="C415" s="903" t="str">
        <f>IF(Tabulka4[[#This Row],[Typ úlohy]]="Účet",H415,"")</f>
        <v/>
      </c>
      <c r="D415" s="903" t="str">
        <f>IF(Tabulka4[[#This Row],[Typ úlohy]]="Účet",GETPIVOTDATA("Součet z Celková hmotnost položek [kg]",$G$2,"Zkratka kalkulační položky",B415,"Výrobce / Dodavatel",C415),"")</f>
        <v/>
      </c>
      <c r="E415" s="904" t="str">
        <f>IF(Tabulka4[[#This Row],[Typ úlohy]]="Účet",GETPIVOTDATA("Součet z Celková cena bez DPH (CZK)",$G$3,"Zkratka kalkulační položky",B415,"Výrobce / Dodavatel",C415),"")</f>
        <v/>
      </c>
    </row>
    <row r="416" spans="1:5" x14ac:dyDescent="0.35">
      <c r="A416" s="902" t="str">
        <f t="shared" si="7"/>
        <v/>
      </c>
      <c r="B416" s="903" t="str">
        <f>IF(Tabulka4[[#This Row],[Typ úlohy]]="Součet",G416,IF(Tabulka4[[#This Row],[Typ úlohy]]="Účet",B415,""))</f>
        <v/>
      </c>
      <c r="C416" s="903" t="str">
        <f>IF(Tabulka4[[#This Row],[Typ úlohy]]="Účet",H416,"")</f>
        <v/>
      </c>
      <c r="D416" s="903" t="str">
        <f>IF(Tabulka4[[#This Row],[Typ úlohy]]="Účet",GETPIVOTDATA("Součet z Celková hmotnost položek [kg]",$G$2,"Zkratka kalkulační položky",B416,"Výrobce / Dodavatel",C416),"")</f>
        <v/>
      </c>
      <c r="E416" s="904" t="str">
        <f>IF(Tabulka4[[#This Row],[Typ úlohy]]="Účet",GETPIVOTDATA("Součet z Celková cena bez DPH (CZK)",$G$3,"Zkratka kalkulační položky",B416,"Výrobce / Dodavatel",C416),"")</f>
        <v/>
      </c>
    </row>
    <row r="417" spans="1:5" x14ac:dyDescent="0.35">
      <c r="A417" s="902" t="str">
        <f t="shared" si="7"/>
        <v/>
      </c>
      <c r="B417" s="903" t="str">
        <f>IF(Tabulka4[[#This Row],[Typ úlohy]]="Součet",G417,IF(Tabulka4[[#This Row],[Typ úlohy]]="Účet",B416,""))</f>
        <v/>
      </c>
      <c r="C417" s="903" t="str">
        <f>IF(Tabulka4[[#This Row],[Typ úlohy]]="Účet",H417,"")</f>
        <v/>
      </c>
      <c r="D417" s="903" t="str">
        <f>IF(Tabulka4[[#This Row],[Typ úlohy]]="Účet",GETPIVOTDATA("Součet z Celková hmotnost položek [kg]",$G$2,"Zkratka kalkulační položky",B417,"Výrobce / Dodavatel",C417),"")</f>
        <v/>
      </c>
      <c r="E417" s="904" t="str">
        <f>IF(Tabulka4[[#This Row],[Typ úlohy]]="Účet",GETPIVOTDATA("Součet z Celková cena bez DPH (CZK)",$G$3,"Zkratka kalkulační položky",B417,"Výrobce / Dodavatel",C417),"")</f>
        <v/>
      </c>
    </row>
    <row r="418" spans="1:5" x14ac:dyDescent="0.35">
      <c r="A418" s="902" t="str">
        <f t="shared" si="7"/>
        <v/>
      </c>
      <c r="B418" s="903" t="str">
        <f>IF(Tabulka4[[#This Row],[Typ úlohy]]="Součet",G418,IF(Tabulka4[[#This Row],[Typ úlohy]]="Účet",B417,""))</f>
        <v/>
      </c>
      <c r="C418" s="903" t="str">
        <f>IF(Tabulka4[[#This Row],[Typ úlohy]]="Účet",H418,"")</f>
        <v/>
      </c>
      <c r="D418" s="903" t="str">
        <f>IF(Tabulka4[[#This Row],[Typ úlohy]]="Účet",GETPIVOTDATA("Součet z Celková hmotnost položek [kg]",$G$2,"Zkratka kalkulační položky",B418,"Výrobce / Dodavatel",C418),"")</f>
        <v/>
      </c>
      <c r="E418" s="904" t="str">
        <f>IF(Tabulka4[[#This Row],[Typ úlohy]]="Účet",GETPIVOTDATA("Součet z Celková cena bez DPH (CZK)",$G$3,"Zkratka kalkulační položky",B418,"Výrobce / Dodavatel",C418),"")</f>
        <v/>
      </c>
    </row>
    <row r="419" spans="1:5" x14ac:dyDescent="0.35">
      <c r="A419" s="902" t="str">
        <f t="shared" si="7"/>
        <v/>
      </c>
      <c r="B419" s="903" t="str">
        <f>IF(Tabulka4[[#This Row],[Typ úlohy]]="Součet",G419,IF(Tabulka4[[#This Row],[Typ úlohy]]="Účet",B418,""))</f>
        <v/>
      </c>
      <c r="C419" s="903" t="str">
        <f>IF(Tabulka4[[#This Row],[Typ úlohy]]="Účet",H419,"")</f>
        <v/>
      </c>
      <c r="D419" s="903" t="str">
        <f>IF(Tabulka4[[#This Row],[Typ úlohy]]="Účet",GETPIVOTDATA("Součet z Celková hmotnost položek [kg]",$G$2,"Zkratka kalkulační položky",B419,"Výrobce / Dodavatel",C419),"")</f>
        <v/>
      </c>
      <c r="E419" s="904" t="str">
        <f>IF(Tabulka4[[#This Row],[Typ úlohy]]="Účet",GETPIVOTDATA("Součet z Celková cena bez DPH (CZK)",$G$3,"Zkratka kalkulační položky",B419,"Výrobce / Dodavatel",C419),"")</f>
        <v/>
      </c>
    </row>
    <row r="420" spans="1:5" x14ac:dyDescent="0.35">
      <c r="A420" s="902" t="str">
        <f t="shared" si="7"/>
        <v/>
      </c>
      <c r="B420" s="903" t="str">
        <f>IF(Tabulka4[[#This Row],[Typ úlohy]]="Součet",G420,IF(Tabulka4[[#This Row],[Typ úlohy]]="Účet",B419,""))</f>
        <v/>
      </c>
      <c r="C420" s="903" t="str">
        <f>IF(Tabulka4[[#This Row],[Typ úlohy]]="Účet",H420,"")</f>
        <v/>
      </c>
      <c r="D420" s="903" t="str">
        <f>IF(Tabulka4[[#This Row],[Typ úlohy]]="Účet",GETPIVOTDATA("Součet z Celková hmotnost položek [kg]",$G$2,"Zkratka kalkulační položky",B420,"Výrobce / Dodavatel",C420),"")</f>
        <v/>
      </c>
      <c r="E420" s="904" t="str">
        <f>IF(Tabulka4[[#This Row],[Typ úlohy]]="Účet",GETPIVOTDATA("Součet z Celková cena bez DPH (CZK)",$G$3,"Zkratka kalkulační položky",B420,"Výrobce / Dodavatel",C420),"")</f>
        <v/>
      </c>
    </row>
    <row r="421" spans="1:5" x14ac:dyDescent="0.35">
      <c r="A421" s="902" t="str">
        <f t="shared" si="7"/>
        <v/>
      </c>
      <c r="B421" s="903" t="str">
        <f>IF(Tabulka4[[#This Row],[Typ úlohy]]="Součet",G421,IF(Tabulka4[[#This Row],[Typ úlohy]]="Účet",B420,""))</f>
        <v/>
      </c>
      <c r="C421" s="903" t="str">
        <f>IF(Tabulka4[[#This Row],[Typ úlohy]]="Účet",H421,"")</f>
        <v/>
      </c>
      <c r="D421" s="903" t="str">
        <f>IF(Tabulka4[[#This Row],[Typ úlohy]]="Účet",GETPIVOTDATA("Součet z Celková hmotnost položek [kg]",$G$2,"Zkratka kalkulační položky",B421,"Výrobce / Dodavatel",C421),"")</f>
        <v/>
      </c>
      <c r="E421" s="904" t="str">
        <f>IF(Tabulka4[[#This Row],[Typ úlohy]]="Účet",GETPIVOTDATA("Součet z Celková cena bez DPH (CZK)",$G$3,"Zkratka kalkulační položky",B421,"Výrobce / Dodavatel",C421),"")</f>
        <v/>
      </c>
    </row>
    <row r="422" spans="1:5" x14ac:dyDescent="0.35">
      <c r="A422" s="902" t="str">
        <f t="shared" si="7"/>
        <v/>
      </c>
      <c r="B422" s="903" t="str">
        <f>IF(Tabulka4[[#This Row],[Typ úlohy]]="Součet",G422,IF(Tabulka4[[#This Row],[Typ úlohy]]="Účet",B421,""))</f>
        <v/>
      </c>
      <c r="C422" s="903" t="str">
        <f>IF(Tabulka4[[#This Row],[Typ úlohy]]="Účet",H422,"")</f>
        <v/>
      </c>
      <c r="D422" s="903" t="str">
        <f>IF(Tabulka4[[#This Row],[Typ úlohy]]="Účet",GETPIVOTDATA("Součet z Celková hmotnost položek [kg]",$G$2,"Zkratka kalkulační položky",B422,"Výrobce / Dodavatel",C422),"")</f>
        <v/>
      </c>
      <c r="E422" s="904" t="str">
        <f>IF(Tabulka4[[#This Row],[Typ úlohy]]="Účet",GETPIVOTDATA("Součet z Celková cena bez DPH (CZK)",$G$3,"Zkratka kalkulační položky",B422,"Výrobce / Dodavatel",C422),"")</f>
        <v/>
      </c>
    </row>
    <row r="423" spans="1:5" x14ac:dyDescent="0.35">
      <c r="A423" s="902" t="str">
        <f t="shared" si="7"/>
        <v/>
      </c>
      <c r="B423" s="903" t="str">
        <f>IF(Tabulka4[[#This Row],[Typ úlohy]]="Součet",G423,IF(Tabulka4[[#This Row],[Typ úlohy]]="Účet",B422,""))</f>
        <v/>
      </c>
      <c r="C423" s="903" t="str">
        <f>IF(Tabulka4[[#This Row],[Typ úlohy]]="Účet",H423,"")</f>
        <v/>
      </c>
      <c r="D423" s="903" t="str">
        <f>IF(Tabulka4[[#This Row],[Typ úlohy]]="Účet",GETPIVOTDATA("Součet z Celková hmotnost položek [kg]",$G$2,"Zkratka kalkulační položky",B423,"Výrobce / Dodavatel",C423),"")</f>
        <v/>
      </c>
      <c r="E423" s="904" t="str">
        <f>IF(Tabulka4[[#This Row],[Typ úlohy]]="Účet",GETPIVOTDATA("Součet z Celková cena bez DPH (CZK)",$G$3,"Zkratka kalkulační položky",B423,"Výrobce / Dodavatel",C423),"")</f>
        <v/>
      </c>
    </row>
    <row r="424" spans="1:5" x14ac:dyDescent="0.35">
      <c r="A424" s="902" t="str">
        <f t="shared" si="7"/>
        <v/>
      </c>
      <c r="B424" s="903" t="str">
        <f>IF(Tabulka4[[#This Row],[Typ úlohy]]="Součet",G424,IF(Tabulka4[[#This Row],[Typ úlohy]]="Účet",B423,""))</f>
        <v/>
      </c>
      <c r="C424" s="903" t="str">
        <f>IF(Tabulka4[[#This Row],[Typ úlohy]]="Účet",H424,"")</f>
        <v/>
      </c>
      <c r="D424" s="903" t="str">
        <f>IF(Tabulka4[[#This Row],[Typ úlohy]]="Účet",GETPIVOTDATA("Součet z Celková hmotnost položek [kg]",$G$2,"Zkratka kalkulační položky",B424,"Výrobce / Dodavatel",C424),"")</f>
        <v/>
      </c>
      <c r="E424" s="904" t="str">
        <f>IF(Tabulka4[[#This Row],[Typ úlohy]]="Účet",GETPIVOTDATA("Součet z Celková cena bez DPH (CZK)",$G$3,"Zkratka kalkulační položky",B424,"Výrobce / Dodavatel",C424),"")</f>
        <v/>
      </c>
    </row>
    <row r="425" spans="1:5" x14ac:dyDescent="0.35">
      <c r="A425" s="902" t="str">
        <f t="shared" si="7"/>
        <v/>
      </c>
      <c r="B425" s="903" t="str">
        <f>IF(Tabulka4[[#This Row],[Typ úlohy]]="Součet",G425,IF(Tabulka4[[#This Row],[Typ úlohy]]="Účet",B424,""))</f>
        <v/>
      </c>
      <c r="C425" s="903" t="str">
        <f>IF(Tabulka4[[#This Row],[Typ úlohy]]="Účet",H425,"")</f>
        <v/>
      </c>
      <c r="D425" s="903" t="str">
        <f>IF(Tabulka4[[#This Row],[Typ úlohy]]="Účet",GETPIVOTDATA("Součet z Celková hmotnost položek [kg]",$G$2,"Zkratka kalkulační položky",B425,"Výrobce / Dodavatel",C425),"")</f>
        <v/>
      </c>
      <c r="E425" s="904" t="str">
        <f>IF(Tabulka4[[#This Row],[Typ úlohy]]="Účet",GETPIVOTDATA("Součet z Celková cena bez DPH (CZK)",$G$3,"Zkratka kalkulační položky",B425,"Výrobce / Dodavatel",C425),"")</f>
        <v/>
      </c>
    </row>
    <row r="426" spans="1:5" x14ac:dyDescent="0.35">
      <c r="A426" s="902" t="str">
        <f t="shared" si="7"/>
        <v/>
      </c>
      <c r="B426" s="903" t="str">
        <f>IF(Tabulka4[[#This Row],[Typ úlohy]]="Součet",G426,IF(Tabulka4[[#This Row],[Typ úlohy]]="Účet",B425,""))</f>
        <v/>
      </c>
      <c r="C426" s="903" t="str">
        <f>IF(Tabulka4[[#This Row],[Typ úlohy]]="Účet",H426,"")</f>
        <v/>
      </c>
      <c r="D426" s="903" t="str">
        <f>IF(Tabulka4[[#This Row],[Typ úlohy]]="Účet",GETPIVOTDATA("Součet z Celková hmotnost položek [kg]",$G$2,"Zkratka kalkulační položky",B426,"Výrobce / Dodavatel",C426),"")</f>
        <v/>
      </c>
      <c r="E426" s="904" t="str">
        <f>IF(Tabulka4[[#This Row],[Typ úlohy]]="Účet",GETPIVOTDATA("Součet z Celková cena bez DPH (CZK)",$G$3,"Zkratka kalkulační položky",B426,"Výrobce / Dodavatel",C426),"")</f>
        <v/>
      </c>
    </row>
    <row r="427" spans="1:5" x14ac:dyDescent="0.35">
      <c r="A427" s="902" t="str">
        <f t="shared" si="7"/>
        <v/>
      </c>
      <c r="B427" s="903" t="str">
        <f>IF(Tabulka4[[#This Row],[Typ úlohy]]="Součet",G427,IF(Tabulka4[[#This Row],[Typ úlohy]]="Účet",B426,""))</f>
        <v/>
      </c>
      <c r="C427" s="903" t="str">
        <f>IF(Tabulka4[[#This Row],[Typ úlohy]]="Účet",H427,"")</f>
        <v/>
      </c>
      <c r="D427" s="903" t="str">
        <f>IF(Tabulka4[[#This Row],[Typ úlohy]]="Účet",GETPIVOTDATA("Součet z Celková hmotnost položek [kg]",$G$2,"Zkratka kalkulační položky",B427,"Výrobce / Dodavatel",C427),"")</f>
        <v/>
      </c>
      <c r="E427" s="904" t="str">
        <f>IF(Tabulka4[[#This Row],[Typ úlohy]]="Účet",GETPIVOTDATA("Součet z Celková cena bez DPH (CZK)",$G$3,"Zkratka kalkulační položky",B427,"Výrobce / Dodavatel",C427),"")</f>
        <v/>
      </c>
    </row>
    <row r="428" spans="1:5" x14ac:dyDescent="0.35">
      <c r="A428" s="902" t="str">
        <f t="shared" si="7"/>
        <v/>
      </c>
      <c r="B428" s="903" t="str">
        <f>IF(Tabulka4[[#This Row],[Typ úlohy]]="Součet",G428,IF(Tabulka4[[#This Row],[Typ úlohy]]="Účet",B427,""))</f>
        <v/>
      </c>
      <c r="C428" s="903" t="str">
        <f>IF(Tabulka4[[#This Row],[Typ úlohy]]="Účet",H428,"")</f>
        <v/>
      </c>
      <c r="D428" s="903" t="str">
        <f>IF(Tabulka4[[#This Row],[Typ úlohy]]="Účet",GETPIVOTDATA("Součet z Celková hmotnost položek [kg]",$G$2,"Zkratka kalkulační položky",B428,"Výrobce / Dodavatel",C428),"")</f>
        <v/>
      </c>
      <c r="E428" s="904" t="str">
        <f>IF(Tabulka4[[#This Row],[Typ úlohy]]="Účet",GETPIVOTDATA("Součet z Celková cena bez DPH (CZK)",$G$3,"Zkratka kalkulační položky",B428,"Výrobce / Dodavatel",C428),"")</f>
        <v/>
      </c>
    </row>
    <row r="429" spans="1:5" x14ac:dyDescent="0.35">
      <c r="A429" s="902" t="str">
        <f t="shared" si="7"/>
        <v/>
      </c>
      <c r="B429" s="903" t="str">
        <f>IF(Tabulka4[[#This Row],[Typ úlohy]]="Součet",G429,IF(Tabulka4[[#This Row],[Typ úlohy]]="Účet",B428,""))</f>
        <v/>
      </c>
      <c r="C429" s="903" t="str">
        <f>IF(Tabulka4[[#This Row],[Typ úlohy]]="Účet",H429,"")</f>
        <v/>
      </c>
      <c r="D429" s="903" t="str">
        <f>IF(Tabulka4[[#This Row],[Typ úlohy]]="Účet",GETPIVOTDATA("Součet z Celková hmotnost položek [kg]",$G$2,"Zkratka kalkulační položky",B429,"Výrobce / Dodavatel",C429),"")</f>
        <v/>
      </c>
      <c r="E429" s="904" t="str">
        <f>IF(Tabulka4[[#This Row],[Typ úlohy]]="Účet",GETPIVOTDATA("Součet z Celková cena bez DPH (CZK)",$G$3,"Zkratka kalkulační položky",B429,"Výrobce / Dodavatel",C429),"")</f>
        <v/>
      </c>
    </row>
    <row r="430" spans="1:5" x14ac:dyDescent="0.35">
      <c r="A430" s="902" t="str">
        <f t="shared" si="7"/>
        <v/>
      </c>
      <c r="B430" s="903" t="str">
        <f>IF(Tabulka4[[#This Row],[Typ úlohy]]="Součet",G430,IF(Tabulka4[[#This Row],[Typ úlohy]]="Účet",B429,""))</f>
        <v/>
      </c>
      <c r="C430" s="903" t="str">
        <f>IF(Tabulka4[[#This Row],[Typ úlohy]]="Účet",H430,"")</f>
        <v/>
      </c>
      <c r="D430" s="903" t="str">
        <f>IF(Tabulka4[[#This Row],[Typ úlohy]]="Účet",GETPIVOTDATA("Součet z Celková hmotnost položek [kg]",$G$2,"Zkratka kalkulační položky",B430,"Výrobce / Dodavatel",C430),"")</f>
        <v/>
      </c>
      <c r="E430" s="904" t="str">
        <f>IF(Tabulka4[[#This Row],[Typ úlohy]]="Účet",GETPIVOTDATA("Součet z Celková cena bez DPH (CZK)",$G$3,"Zkratka kalkulační položky",B430,"Výrobce / Dodavatel",C430),"")</f>
        <v/>
      </c>
    </row>
    <row r="431" spans="1:5" x14ac:dyDescent="0.35">
      <c r="A431" s="902" t="str">
        <f t="shared" si="7"/>
        <v/>
      </c>
      <c r="B431" s="903" t="str">
        <f>IF(Tabulka4[[#This Row],[Typ úlohy]]="Součet",G431,IF(Tabulka4[[#This Row],[Typ úlohy]]="Účet",B430,""))</f>
        <v/>
      </c>
      <c r="C431" s="903" t="str">
        <f>IF(Tabulka4[[#This Row],[Typ úlohy]]="Účet",H431,"")</f>
        <v/>
      </c>
      <c r="D431" s="903" t="str">
        <f>IF(Tabulka4[[#This Row],[Typ úlohy]]="Účet",GETPIVOTDATA("Součet z Celková hmotnost položek [kg]",$G$2,"Zkratka kalkulační položky",B431,"Výrobce / Dodavatel",C431),"")</f>
        <v/>
      </c>
      <c r="E431" s="904" t="str">
        <f>IF(Tabulka4[[#This Row],[Typ úlohy]]="Účet",GETPIVOTDATA("Součet z Celková cena bez DPH (CZK)",$G$3,"Zkratka kalkulační položky",B431,"Výrobce / Dodavatel",C431),"")</f>
        <v/>
      </c>
    </row>
    <row r="432" spans="1:5" x14ac:dyDescent="0.35">
      <c r="A432" s="902" t="str">
        <f t="shared" si="7"/>
        <v/>
      </c>
      <c r="B432" s="903" t="str">
        <f>IF(Tabulka4[[#This Row],[Typ úlohy]]="Součet",G432,IF(Tabulka4[[#This Row],[Typ úlohy]]="Účet",B431,""))</f>
        <v/>
      </c>
      <c r="C432" s="903" t="str">
        <f>IF(Tabulka4[[#This Row],[Typ úlohy]]="Účet",H432,"")</f>
        <v/>
      </c>
      <c r="D432" s="903" t="str">
        <f>IF(Tabulka4[[#This Row],[Typ úlohy]]="Účet",GETPIVOTDATA("Součet z Celková hmotnost položek [kg]",$G$2,"Zkratka kalkulační položky",B432,"Výrobce / Dodavatel",C432),"")</f>
        <v/>
      </c>
      <c r="E432" s="904" t="str">
        <f>IF(Tabulka4[[#This Row],[Typ úlohy]]="Účet",GETPIVOTDATA("Součet z Celková cena bez DPH (CZK)",$G$3,"Zkratka kalkulační položky",B432,"Výrobce / Dodavatel",C432),"")</f>
        <v/>
      </c>
    </row>
    <row r="433" spans="1:5" x14ac:dyDescent="0.35">
      <c r="A433" s="902" t="str">
        <f t="shared" si="7"/>
        <v/>
      </c>
      <c r="B433" s="903" t="str">
        <f>IF(Tabulka4[[#This Row],[Typ úlohy]]="Součet",G433,IF(Tabulka4[[#This Row],[Typ úlohy]]="Účet",B432,""))</f>
        <v/>
      </c>
      <c r="C433" s="903" t="str">
        <f>IF(Tabulka4[[#This Row],[Typ úlohy]]="Účet",H433,"")</f>
        <v/>
      </c>
      <c r="D433" s="903" t="str">
        <f>IF(Tabulka4[[#This Row],[Typ úlohy]]="Účet",GETPIVOTDATA("Součet z Celková hmotnost položek [kg]",$G$2,"Zkratka kalkulační položky",B433,"Výrobce / Dodavatel",C433),"")</f>
        <v/>
      </c>
      <c r="E433" s="904" t="str">
        <f>IF(Tabulka4[[#This Row],[Typ úlohy]]="Účet",GETPIVOTDATA("Součet z Celková cena bez DPH (CZK)",$G$3,"Zkratka kalkulační položky",B433,"Výrobce / Dodavatel",C433),"")</f>
        <v/>
      </c>
    </row>
    <row r="434" spans="1:5" x14ac:dyDescent="0.35">
      <c r="A434" s="902" t="str">
        <f t="shared" si="7"/>
        <v/>
      </c>
      <c r="B434" s="903" t="str">
        <f>IF(Tabulka4[[#This Row],[Typ úlohy]]="Součet",G434,IF(Tabulka4[[#This Row],[Typ úlohy]]="Účet",B433,""))</f>
        <v/>
      </c>
      <c r="C434" s="903" t="str">
        <f>IF(Tabulka4[[#This Row],[Typ úlohy]]="Účet",H434,"")</f>
        <v/>
      </c>
      <c r="D434" s="903" t="str">
        <f>IF(Tabulka4[[#This Row],[Typ úlohy]]="Účet",GETPIVOTDATA("Součet z Celková hmotnost položek [kg]",$G$2,"Zkratka kalkulační položky",B434,"Výrobce / Dodavatel",C434),"")</f>
        <v/>
      </c>
      <c r="E434" s="904" t="str">
        <f>IF(Tabulka4[[#This Row],[Typ úlohy]]="Účet",GETPIVOTDATA("Součet z Celková cena bez DPH (CZK)",$G$3,"Zkratka kalkulační položky",B434,"Výrobce / Dodavatel",C434),"")</f>
        <v/>
      </c>
    </row>
    <row r="435" spans="1:5" x14ac:dyDescent="0.35">
      <c r="A435" s="902" t="str">
        <f t="shared" si="7"/>
        <v/>
      </c>
      <c r="B435" s="903" t="str">
        <f>IF(Tabulka4[[#This Row],[Typ úlohy]]="Součet",G435,IF(Tabulka4[[#This Row],[Typ úlohy]]="Účet",B434,""))</f>
        <v/>
      </c>
      <c r="C435" s="903" t="str">
        <f>IF(Tabulka4[[#This Row],[Typ úlohy]]="Účet",H435,"")</f>
        <v/>
      </c>
      <c r="D435" s="903" t="str">
        <f>IF(Tabulka4[[#This Row],[Typ úlohy]]="Účet",GETPIVOTDATA("Součet z Celková hmotnost položek [kg]",$G$2,"Zkratka kalkulační položky",B435,"Výrobce / Dodavatel",C435),"")</f>
        <v/>
      </c>
      <c r="E435" s="904" t="str">
        <f>IF(Tabulka4[[#This Row],[Typ úlohy]]="Účet",GETPIVOTDATA("Součet z Celková cena bez DPH (CZK)",$G$3,"Zkratka kalkulační položky",B435,"Výrobce / Dodavatel",C435),"")</f>
        <v/>
      </c>
    </row>
    <row r="436" spans="1:5" x14ac:dyDescent="0.35">
      <c r="A436" s="902" t="str">
        <f t="shared" si="7"/>
        <v/>
      </c>
      <c r="B436" s="903" t="str">
        <f>IF(Tabulka4[[#This Row],[Typ úlohy]]="Součet",G436,IF(Tabulka4[[#This Row],[Typ úlohy]]="Účet",B435,""))</f>
        <v/>
      </c>
      <c r="C436" s="903" t="str">
        <f>IF(Tabulka4[[#This Row],[Typ úlohy]]="Účet",H436,"")</f>
        <v/>
      </c>
      <c r="D436" s="903" t="str">
        <f>IF(Tabulka4[[#This Row],[Typ úlohy]]="Účet",GETPIVOTDATA("Součet z Celková hmotnost položek [kg]",$G$2,"Zkratka kalkulační položky",B436,"Výrobce / Dodavatel",C436),"")</f>
        <v/>
      </c>
      <c r="E436" s="904" t="str">
        <f>IF(Tabulka4[[#This Row],[Typ úlohy]]="Účet",GETPIVOTDATA("Součet z Celková cena bez DPH (CZK)",$G$3,"Zkratka kalkulační položky",B436,"Výrobce / Dodavatel",C436),"")</f>
        <v/>
      </c>
    </row>
    <row r="437" spans="1:5" x14ac:dyDescent="0.35">
      <c r="A437" s="902" t="str">
        <f t="shared" si="7"/>
        <v/>
      </c>
      <c r="B437" s="903" t="str">
        <f>IF(Tabulka4[[#This Row],[Typ úlohy]]="Součet",G437,IF(Tabulka4[[#This Row],[Typ úlohy]]="Účet",B436,""))</f>
        <v/>
      </c>
      <c r="C437" s="903" t="str">
        <f>IF(Tabulka4[[#This Row],[Typ úlohy]]="Účet",H437,"")</f>
        <v/>
      </c>
      <c r="D437" s="903" t="str">
        <f>IF(Tabulka4[[#This Row],[Typ úlohy]]="Účet",GETPIVOTDATA("Součet z Celková hmotnost položek [kg]",$G$2,"Zkratka kalkulační položky",B437,"Výrobce / Dodavatel",C437),"")</f>
        <v/>
      </c>
      <c r="E437" s="904" t="str">
        <f>IF(Tabulka4[[#This Row],[Typ úlohy]]="Účet",GETPIVOTDATA("Součet z Celková cena bez DPH (CZK)",$G$3,"Zkratka kalkulační položky",B437,"Výrobce / Dodavatel",C437),"")</f>
        <v/>
      </c>
    </row>
    <row r="438" spans="1:5" x14ac:dyDescent="0.35">
      <c r="A438" s="902" t="str">
        <f t="shared" si="7"/>
        <v/>
      </c>
      <c r="B438" s="903" t="str">
        <f>IF(Tabulka4[[#This Row],[Typ úlohy]]="Součet",G438,IF(Tabulka4[[#This Row],[Typ úlohy]]="Účet",B437,""))</f>
        <v/>
      </c>
      <c r="C438" s="903" t="str">
        <f>IF(Tabulka4[[#This Row],[Typ úlohy]]="Účet",H438,"")</f>
        <v/>
      </c>
      <c r="D438" s="903" t="str">
        <f>IF(Tabulka4[[#This Row],[Typ úlohy]]="Účet",GETPIVOTDATA("Součet z Celková hmotnost položek [kg]",$G$2,"Zkratka kalkulační položky",B438,"Výrobce / Dodavatel",C438),"")</f>
        <v/>
      </c>
      <c r="E438" s="904" t="str">
        <f>IF(Tabulka4[[#This Row],[Typ úlohy]]="Účet",GETPIVOTDATA("Součet z Celková cena bez DPH (CZK)",$G$3,"Zkratka kalkulační položky",B438,"Výrobce / Dodavatel",C438),"")</f>
        <v/>
      </c>
    </row>
    <row r="439" spans="1:5" x14ac:dyDescent="0.35">
      <c r="A439" s="902" t="str">
        <f t="shared" si="7"/>
        <v/>
      </c>
      <c r="B439" s="903" t="str">
        <f>IF(Tabulka4[[#This Row],[Typ úlohy]]="Součet",G439,IF(Tabulka4[[#This Row],[Typ úlohy]]="Účet",B438,""))</f>
        <v/>
      </c>
      <c r="C439" s="903" t="str">
        <f>IF(Tabulka4[[#This Row],[Typ úlohy]]="Účet",H439,"")</f>
        <v/>
      </c>
      <c r="D439" s="903" t="str">
        <f>IF(Tabulka4[[#This Row],[Typ úlohy]]="Účet",GETPIVOTDATA("Součet z Celková hmotnost položek [kg]",$G$2,"Zkratka kalkulační položky",B439,"Výrobce / Dodavatel",C439),"")</f>
        <v/>
      </c>
      <c r="E439" s="904" t="str">
        <f>IF(Tabulka4[[#This Row],[Typ úlohy]]="Účet",GETPIVOTDATA("Součet z Celková cena bez DPH (CZK)",$G$3,"Zkratka kalkulační položky",B439,"Výrobce / Dodavatel",C439),"")</f>
        <v/>
      </c>
    </row>
    <row r="440" spans="1:5" x14ac:dyDescent="0.35">
      <c r="A440" s="902" t="str">
        <f t="shared" si="7"/>
        <v/>
      </c>
      <c r="B440" s="903" t="str">
        <f>IF(Tabulka4[[#This Row],[Typ úlohy]]="Součet",G440,IF(Tabulka4[[#This Row],[Typ úlohy]]="Účet",B439,""))</f>
        <v/>
      </c>
      <c r="C440" s="903" t="str">
        <f>IF(Tabulka4[[#This Row],[Typ úlohy]]="Účet",H440,"")</f>
        <v/>
      </c>
      <c r="D440" s="903" t="str">
        <f>IF(Tabulka4[[#This Row],[Typ úlohy]]="Účet",GETPIVOTDATA("Součet z Celková hmotnost položek [kg]",$G$2,"Zkratka kalkulační položky",B440,"Výrobce / Dodavatel",C440),"")</f>
        <v/>
      </c>
      <c r="E440" s="904" t="str">
        <f>IF(Tabulka4[[#This Row],[Typ úlohy]]="Účet",GETPIVOTDATA("Součet z Celková cena bez DPH (CZK)",$G$3,"Zkratka kalkulační položky",B440,"Výrobce / Dodavatel",C440),"")</f>
        <v/>
      </c>
    </row>
    <row r="441" spans="1:5" x14ac:dyDescent="0.35">
      <c r="A441" s="902" t="str">
        <f t="shared" si="7"/>
        <v/>
      </c>
      <c r="B441" s="903" t="str">
        <f>IF(Tabulka4[[#This Row],[Typ úlohy]]="Součet",G441,IF(Tabulka4[[#This Row],[Typ úlohy]]="Účet",B440,""))</f>
        <v/>
      </c>
      <c r="C441" s="903" t="str">
        <f>IF(Tabulka4[[#This Row],[Typ úlohy]]="Účet",H441,"")</f>
        <v/>
      </c>
      <c r="D441" s="903" t="str">
        <f>IF(Tabulka4[[#This Row],[Typ úlohy]]="Účet",GETPIVOTDATA("Součet z Celková hmotnost položek [kg]",$G$2,"Zkratka kalkulační položky",B441,"Výrobce / Dodavatel",C441),"")</f>
        <v/>
      </c>
      <c r="E441" s="904" t="str">
        <f>IF(Tabulka4[[#This Row],[Typ úlohy]]="Účet",GETPIVOTDATA("Součet z Celková cena bez DPH (CZK)",$G$3,"Zkratka kalkulační položky",B441,"Výrobce / Dodavatel",C441),"")</f>
        <v/>
      </c>
    </row>
    <row r="442" spans="1:5" x14ac:dyDescent="0.35">
      <c r="A442" s="902" t="str">
        <f t="shared" si="7"/>
        <v/>
      </c>
      <c r="B442" s="903" t="str">
        <f>IF(Tabulka4[[#This Row],[Typ úlohy]]="Součet",G442,IF(Tabulka4[[#This Row],[Typ úlohy]]="Účet",B441,""))</f>
        <v/>
      </c>
      <c r="C442" s="903" t="str">
        <f>IF(Tabulka4[[#This Row],[Typ úlohy]]="Účet",H442,"")</f>
        <v/>
      </c>
      <c r="D442" s="903" t="str">
        <f>IF(Tabulka4[[#This Row],[Typ úlohy]]="Účet",GETPIVOTDATA("Součet z Celková hmotnost položek [kg]",$G$2,"Zkratka kalkulační položky",B442,"Výrobce / Dodavatel",C442),"")</f>
        <v/>
      </c>
      <c r="E442" s="904" t="str">
        <f>IF(Tabulka4[[#This Row],[Typ úlohy]]="Účet",GETPIVOTDATA("Součet z Celková cena bez DPH (CZK)",$G$3,"Zkratka kalkulační položky",B442,"Výrobce / Dodavatel",C442),"")</f>
        <v/>
      </c>
    </row>
    <row r="443" spans="1:5" x14ac:dyDescent="0.35">
      <c r="A443" s="902" t="str">
        <f t="shared" si="7"/>
        <v/>
      </c>
      <c r="B443" s="903" t="str">
        <f>IF(Tabulka4[[#This Row],[Typ úlohy]]="Součet",G443,IF(Tabulka4[[#This Row],[Typ úlohy]]="Účet",B442,""))</f>
        <v/>
      </c>
      <c r="C443" s="903" t="str">
        <f>IF(Tabulka4[[#This Row],[Typ úlohy]]="Účet",H443,"")</f>
        <v/>
      </c>
      <c r="D443" s="903" t="str">
        <f>IF(Tabulka4[[#This Row],[Typ úlohy]]="Účet",GETPIVOTDATA("Součet z Celková hmotnost položek [kg]",$G$2,"Zkratka kalkulační položky",B443,"Výrobce / Dodavatel",C443),"")</f>
        <v/>
      </c>
      <c r="E443" s="904" t="str">
        <f>IF(Tabulka4[[#This Row],[Typ úlohy]]="Účet",GETPIVOTDATA("Součet z Celková cena bez DPH (CZK)",$G$3,"Zkratka kalkulační položky",B443,"Výrobce / Dodavatel",C443),"")</f>
        <v/>
      </c>
    </row>
    <row r="444" spans="1:5" x14ac:dyDescent="0.35">
      <c r="A444" s="902" t="str">
        <f t="shared" si="7"/>
        <v/>
      </c>
      <c r="B444" s="903" t="str">
        <f>IF(Tabulka4[[#This Row],[Typ úlohy]]="Součet",G444,IF(Tabulka4[[#This Row],[Typ úlohy]]="Účet",B443,""))</f>
        <v/>
      </c>
      <c r="C444" s="903" t="str">
        <f>IF(Tabulka4[[#This Row],[Typ úlohy]]="Účet",H444,"")</f>
        <v/>
      </c>
      <c r="D444" s="903" t="str">
        <f>IF(Tabulka4[[#This Row],[Typ úlohy]]="Účet",GETPIVOTDATA("Součet z Celková hmotnost položek [kg]",$G$2,"Zkratka kalkulační položky",B444,"Výrobce / Dodavatel",C444),"")</f>
        <v/>
      </c>
      <c r="E444" s="904" t="str">
        <f>IF(Tabulka4[[#This Row],[Typ úlohy]]="Účet",GETPIVOTDATA("Součet z Celková cena bez DPH (CZK)",$G$3,"Zkratka kalkulační položky",B444,"Výrobce / Dodavatel",C444),"")</f>
        <v/>
      </c>
    </row>
    <row r="445" spans="1:5" x14ac:dyDescent="0.35">
      <c r="A445" s="902" t="str">
        <f t="shared" si="7"/>
        <v/>
      </c>
      <c r="B445" s="903" t="str">
        <f>IF(Tabulka4[[#This Row],[Typ úlohy]]="Součet",G445,IF(Tabulka4[[#This Row],[Typ úlohy]]="Účet",B444,""))</f>
        <v/>
      </c>
      <c r="C445" s="903" t="str">
        <f>IF(Tabulka4[[#This Row],[Typ úlohy]]="Účet",H445,"")</f>
        <v/>
      </c>
      <c r="D445" s="903" t="str">
        <f>IF(Tabulka4[[#This Row],[Typ úlohy]]="Účet",GETPIVOTDATA("Součet z Celková hmotnost položek [kg]",$G$2,"Zkratka kalkulační položky",B445,"Výrobce / Dodavatel",C445),"")</f>
        <v/>
      </c>
      <c r="E445" s="904" t="str">
        <f>IF(Tabulka4[[#This Row],[Typ úlohy]]="Účet",GETPIVOTDATA("Součet z Celková cena bez DPH (CZK)",$G$3,"Zkratka kalkulační položky",B445,"Výrobce / Dodavatel",C445),"")</f>
        <v/>
      </c>
    </row>
    <row r="446" spans="1:5" x14ac:dyDescent="0.35">
      <c r="A446" s="902" t="str">
        <f t="shared" si="7"/>
        <v/>
      </c>
      <c r="B446" s="903" t="str">
        <f>IF(Tabulka4[[#This Row],[Typ úlohy]]="Součet",G446,IF(Tabulka4[[#This Row],[Typ úlohy]]="Účet",B445,""))</f>
        <v/>
      </c>
      <c r="C446" s="903" t="str">
        <f>IF(Tabulka4[[#This Row],[Typ úlohy]]="Účet",H446,"")</f>
        <v/>
      </c>
      <c r="D446" s="903" t="str">
        <f>IF(Tabulka4[[#This Row],[Typ úlohy]]="Účet",GETPIVOTDATA("Součet z Celková hmotnost položek [kg]",$G$2,"Zkratka kalkulační položky",B446,"Výrobce / Dodavatel",C446),"")</f>
        <v/>
      </c>
      <c r="E446" s="904" t="str">
        <f>IF(Tabulka4[[#This Row],[Typ úlohy]]="Účet",GETPIVOTDATA("Součet z Celková cena bez DPH (CZK)",$G$3,"Zkratka kalkulační položky",B446,"Výrobce / Dodavatel",C446),"")</f>
        <v/>
      </c>
    </row>
    <row r="447" spans="1:5" x14ac:dyDescent="0.35">
      <c r="A447" s="902" t="str">
        <f t="shared" si="7"/>
        <v/>
      </c>
      <c r="B447" s="903" t="str">
        <f>IF(Tabulka4[[#This Row],[Typ úlohy]]="Součet",G447,IF(Tabulka4[[#This Row],[Typ úlohy]]="Účet",B446,""))</f>
        <v/>
      </c>
      <c r="C447" s="903" t="str">
        <f>IF(Tabulka4[[#This Row],[Typ úlohy]]="Účet",H447,"")</f>
        <v/>
      </c>
      <c r="D447" s="903" t="str">
        <f>IF(Tabulka4[[#This Row],[Typ úlohy]]="Účet",GETPIVOTDATA("Součet z Celková hmotnost položek [kg]",$G$2,"Zkratka kalkulační položky",B447,"Výrobce / Dodavatel",C447),"")</f>
        <v/>
      </c>
      <c r="E447" s="904" t="str">
        <f>IF(Tabulka4[[#This Row],[Typ úlohy]]="Účet",GETPIVOTDATA("Součet z Celková cena bez DPH (CZK)",$G$3,"Zkratka kalkulační položky",B447,"Výrobce / Dodavatel",C447),"")</f>
        <v/>
      </c>
    </row>
    <row r="448" spans="1:5" x14ac:dyDescent="0.35">
      <c r="A448" s="902" t="str">
        <f t="shared" si="7"/>
        <v/>
      </c>
      <c r="B448" s="903" t="str">
        <f>IF(Tabulka4[[#This Row],[Typ úlohy]]="Součet",G448,IF(Tabulka4[[#This Row],[Typ úlohy]]="Účet",B447,""))</f>
        <v/>
      </c>
      <c r="C448" s="903" t="str">
        <f>IF(Tabulka4[[#This Row],[Typ úlohy]]="Účet",H448,"")</f>
        <v/>
      </c>
      <c r="D448" s="903" t="str">
        <f>IF(Tabulka4[[#This Row],[Typ úlohy]]="Účet",GETPIVOTDATA("Součet z Celková hmotnost položek [kg]",$G$2,"Zkratka kalkulační položky",B448,"Výrobce / Dodavatel",C448),"")</f>
        <v/>
      </c>
      <c r="E448" s="904" t="str">
        <f>IF(Tabulka4[[#This Row],[Typ úlohy]]="Účet",GETPIVOTDATA("Součet z Celková cena bez DPH (CZK)",$G$3,"Zkratka kalkulační položky",B448,"Výrobce / Dodavatel",C448),"")</f>
        <v/>
      </c>
    </row>
    <row r="449" spans="1:5" x14ac:dyDescent="0.35">
      <c r="A449" s="902" t="str">
        <f t="shared" si="7"/>
        <v/>
      </c>
      <c r="B449" s="903" t="str">
        <f>IF(Tabulka4[[#This Row],[Typ úlohy]]="Součet",G449,IF(Tabulka4[[#This Row],[Typ úlohy]]="Účet",B448,""))</f>
        <v/>
      </c>
      <c r="C449" s="903" t="str">
        <f>IF(Tabulka4[[#This Row],[Typ úlohy]]="Účet",H449,"")</f>
        <v/>
      </c>
      <c r="D449" s="903" t="str">
        <f>IF(Tabulka4[[#This Row],[Typ úlohy]]="Účet",GETPIVOTDATA("Součet z Celková hmotnost položek [kg]",$G$2,"Zkratka kalkulační položky",B449,"Výrobce / Dodavatel",C449),"")</f>
        <v/>
      </c>
      <c r="E449" s="904" t="str">
        <f>IF(Tabulka4[[#This Row],[Typ úlohy]]="Účet",GETPIVOTDATA("Součet z Celková cena bez DPH (CZK)",$G$3,"Zkratka kalkulační položky",B449,"Výrobce / Dodavatel",C449),"")</f>
        <v/>
      </c>
    </row>
    <row r="450" spans="1:5" x14ac:dyDescent="0.35">
      <c r="A450" s="902" t="str">
        <f t="shared" si="7"/>
        <v/>
      </c>
      <c r="B450" s="903" t="str">
        <f>IF(Tabulka4[[#This Row],[Typ úlohy]]="Součet",G450,IF(Tabulka4[[#This Row],[Typ úlohy]]="Účet",B449,""))</f>
        <v/>
      </c>
      <c r="C450" s="903" t="str">
        <f>IF(Tabulka4[[#This Row],[Typ úlohy]]="Účet",H450,"")</f>
        <v/>
      </c>
      <c r="D450" s="903" t="str">
        <f>IF(Tabulka4[[#This Row],[Typ úlohy]]="Účet",GETPIVOTDATA("Součet z Celková hmotnost položek [kg]",$G$2,"Zkratka kalkulační položky",B450,"Výrobce / Dodavatel",C450),"")</f>
        <v/>
      </c>
      <c r="E450" s="904" t="str">
        <f>IF(Tabulka4[[#This Row],[Typ úlohy]]="Účet",GETPIVOTDATA("Součet z Celková cena bez DPH (CZK)",$G$3,"Zkratka kalkulační položky",B450,"Výrobce / Dodavatel",C450),"")</f>
        <v/>
      </c>
    </row>
    <row r="451" spans="1:5" x14ac:dyDescent="0.35">
      <c r="A451" s="902" t="str">
        <f t="shared" si="7"/>
        <v/>
      </c>
      <c r="B451" s="903" t="str">
        <f>IF(Tabulka4[[#This Row],[Typ úlohy]]="Součet",G451,IF(Tabulka4[[#This Row],[Typ úlohy]]="Účet",B450,""))</f>
        <v/>
      </c>
      <c r="C451" s="903" t="str">
        <f>IF(Tabulka4[[#This Row],[Typ úlohy]]="Účet",H451,"")</f>
        <v/>
      </c>
      <c r="D451" s="903" t="str">
        <f>IF(Tabulka4[[#This Row],[Typ úlohy]]="Účet",GETPIVOTDATA("Součet z Celková hmotnost položek [kg]",$G$2,"Zkratka kalkulační položky",B451,"Výrobce / Dodavatel",C451),"")</f>
        <v/>
      </c>
      <c r="E451" s="904" t="str">
        <f>IF(Tabulka4[[#This Row],[Typ úlohy]]="Účet",GETPIVOTDATA("Součet z Celková cena bez DPH (CZK)",$G$3,"Zkratka kalkulační položky",B451,"Výrobce / Dodavatel",C451),"")</f>
        <v/>
      </c>
    </row>
    <row r="452" spans="1:5" x14ac:dyDescent="0.35">
      <c r="A452" s="902" t="str">
        <f t="shared" si="7"/>
        <v/>
      </c>
      <c r="B452" s="903" t="str">
        <f>IF(Tabulka4[[#This Row],[Typ úlohy]]="Součet",G452,IF(Tabulka4[[#This Row],[Typ úlohy]]="Účet",B451,""))</f>
        <v/>
      </c>
      <c r="C452" s="903" t="str">
        <f>IF(Tabulka4[[#This Row],[Typ úlohy]]="Účet",H452,"")</f>
        <v/>
      </c>
      <c r="D452" s="903" t="str">
        <f>IF(Tabulka4[[#This Row],[Typ úlohy]]="Účet",GETPIVOTDATA("Součet z Celková hmotnost položek [kg]",$G$2,"Zkratka kalkulační položky",B452,"Výrobce / Dodavatel",C452),"")</f>
        <v/>
      </c>
      <c r="E452" s="904" t="str">
        <f>IF(Tabulka4[[#This Row],[Typ úlohy]]="Účet",GETPIVOTDATA("Součet z Celková cena bez DPH (CZK)",$G$3,"Zkratka kalkulační položky",B452,"Výrobce / Dodavatel",C452),"")</f>
        <v/>
      </c>
    </row>
    <row r="453" spans="1:5" x14ac:dyDescent="0.35">
      <c r="A453" s="902" t="str">
        <f t="shared" ref="A453:A516" si="8">IF(H453="",IF(G453="","","Součet"),"Účet")</f>
        <v/>
      </c>
      <c r="B453" s="903" t="str">
        <f>IF(Tabulka4[[#This Row],[Typ úlohy]]="Součet",G453,IF(Tabulka4[[#This Row],[Typ úlohy]]="Účet",B452,""))</f>
        <v/>
      </c>
      <c r="C453" s="903" t="str">
        <f>IF(Tabulka4[[#This Row],[Typ úlohy]]="Účet",H453,"")</f>
        <v/>
      </c>
      <c r="D453" s="903" t="str">
        <f>IF(Tabulka4[[#This Row],[Typ úlohy]]="Účet",GETPIVOTDATA("Součet z Celková hmotnost položek [kg]",$G$2,"Zkratka kalkulační položky",B453,"Výrobce / Dodavatel",C453),"")</f>
        <v/>
      </c>
      <c r="E453" s="904" t="str">
        <f>IF(Tabulka4[[#This Row],[Typ úlohy]]="Účet",GETPIVOTDATA("Součet z Celková cena bez DPH (CZK)",$G$3,"Zkratka kalkulační položky",B453,"Výrobce / Dodavatel",C453),"")</f>
        <v/>
      </c>
    </row>
    <row r="454" spans="1:5" x14ac:dyDescent="0.35">
      <c r="A454" s="902" t="str">
        <f t="shared" si="8"/>
        <v/>
      </c>
      <c r="B454" s="903" t="str">
        <f>IF(Tabulka4[[#This Row],[Typ úlohy]]="Součet",G454,IF(Tabulka4[[#This Row],[Typ úlohy]]="Účet",B453,""))</f>
        <v/>
      </c>
      <c r="C454" s="903" t="str">
        <f>IF(Tabulka4[[#This Row],[Typ úlohy]]="Účet",H454,"")</f>
        <v/>
      </c>
      <c r="D454" s="903" t="str">
        <f>IF(Tabulka4[[#This Row],[Typ úlohy]]="Účet",GETPIVOTDATA("Součet z Celková hmotnost položek [kg]",$G$2,"Zkratka kalkulační položky",B454,"Výrobce / Dodavatel",C454),"")</f>
        <v/>
      </c>
      <c r="E454" s="904" t="str">
        <f>IF(Tabulka4[[#This Row],[Typ úlohy]]="Účet",GETPIVOTDATA("Součet z Celková cena bez DPH (CZK)",$G$3,"Zkratka kalkulační položky",B454,"Výrobce / Dodavatel",C454),"")</f>
        <v/>
      </c>
    </row>
    <row r="455" spans="1:5" x14ac:dyDescent="0.35">
      <c r="A455" s="902" t="str">
        <f t="shared" si="8"/>
        <v/>
      </c>
      <c r="B455" s="903" t="str">
        <f>IF(Tabulka4[[#This Row],[Typ úlohy]]="Součet",G455,IF(Tabulka4[[#This Row],[Typ úlohy]]="Účet",B454,""))</f>
        <v/>
      </c>
      <c r="C455" s="903" t="str">
        <f>IF(Tabulka4[[#This Row],[Typ úlohy]]="Účet",H455,"")</f>
        <v/>
      </c>
      <c r="D455" s="903" t="str">
        <f>IF(Tabulka4[[#This Row],[Typ úlohy]]="Účet",GETPIVOTDATA("Součet z Celková hmotnost položek [kg]",$G$2,"Zkratka kalkulační položky",B455,"Výrobce / Dodavatel",C455),"")</f>
        <v/>
      </c>
      <c r="E455" s="904" t="str">
        <f>IF(Tabulka4[[#This Row],[Typ úlohy]]="Účet",GETPIVOTDATA("Součet z Celková cena bez DPH (CZK)",$G$3,"Zkratka kalkulační položky",B455,"Výrobce / Dodavatel",C455),"")</f>
        <v/>
      </c>
    </row>
    <row r="456" spans="1:5" x14ac:dyDescent="0.35">
      <c r="A456" s="902" t="str">
        <f t="shared" si="8"/>
        <v/>
      </c>
      <c r="B456" s="903" t="str">
        <f>IF(Tabulka4[[#This Row],[Typ úlohy]]="Součet",G456,IF(Tabulka4[[#This Row],[Typ úlohy]]="Účet",B455,""))</f>
        <v/>
      </c>
      <c r="C456" s="903" t="str">
        <f>IF(Tabulka4[[#This Row],[Typ úlohy]]="Účet",H456,"")</f>
        <v/>
      </c>
      <c r="D456" s="903" t="str">
        <f>IF(Tabulka4[[#This Row],[Typ úlohy]]="Účet",GETPIVOTDATA("Součet z Celková hmotnost položek [kg]",$G$2,"Zkratka kalkulační položky",B456,"Výrobce / Dodavatel",C456),"")</f>
        <v/>
      </c>
      <c r="E456" s="904" t="str">
        <f>IF(Tabulka4[[#This Row],[Typ úlohy]]="Účet",GETPIVOTDATA("Součet z Celková cena bez DPH (CZK)",$G$3,"Zkratka kalkulační položky",B456,"Výrobce / Dodavatel",C456),"")</f>
        <v/>
      </c>
    </row>
    <row r="457" spans="1:5" x14ac:dyDescent="0.35">
      <c r="A457" s="902" t="str">
        <f t="shared" si="8"/>
        <v/>
      </c>
      <c r="B457" s="903" t="str">
        <f>IF(Tabulka4[[#This Row],[Typ úlohy]]="Součet",G457,IF(Tabulka4[[#This Row],[Typ úlohy]]="Účet",B456,""))</f>
        <v/>
      </c>
      <c r="C457" s="903" t="str">
        <f>IF(Tabulka4[[#This Row],[Typ úlohy]]="Účet",H457,"")</f>
        <v/>
      </c>
      <c r="D457" s="903" t="str">
        <f>IF(Tabulka4[[#This Row],[Typ úlohy]]="Účet",GETPIVOTDATA("Součet z Celková hmotnost položek [kg]",$G$2,"Zkratka kalkulační položky",B457,"Výrobce / Dodavatel",C457),"")</f>
        <v/>
      </c>
      <c r="E457" s="904" t="str">
        <f>IF(Tabulka4[[#This Row],[Typ úlohy]]="Účet",GETPIVOTDATA("Součet z Celková cena bez DPH (CZK)",$G$3,"Zkratka kalkulační položky",B457,"Výrobce / Dodavatel",C457),"")</f>
        <v/>
      </c>
    </row>
    <row r="458" spans="1:5" x14ac:dyDescent="0.35">
      <c r="A458" s="902" t="str">
        <f t="shared" si="8"/>
        <v/>
      </c>
      <c r="B458" s="903" t="str">
        <f>IF(Tabulka4[[#This Row],[Typ úlohy]]="Součet",G458,IF(Tabulka4[[#This Row],[Typ úlohy]]="Účet",B457,""))</f>
        <v/>
      </c>
      <c r="C458" s="903" t="str">
        <f>IF(Tabulka4[[#This Row],[Typ úlohy]]="Účet",H458,"")</f>
        <v/>
      </c>
      <c r="D458" s="903" t="str">
        <f>IF(Tabulka4[[#This Row],[Typ úlohy]]="Účet",GETPIVOTDATA("Součet z Celková hmotnost položek [kg]",$G$2,"Zkratka kalkulační položky",B458,"Výrobce / Dodavatel",C458),"")</f>
        <v/>
      </c>
      <c r="E458" s="904" t="str">
        <f>IF(Tabulka4[[#This Row],[Typ úlohy]]="Účet",GETPIVOTDATA("Součet z Celková cena bez DPH (CZK)",$G$3,"Zkratka kalkulační položky",B458,"Výrobce / Dodavatel",C458),"")</f>
        <v/>
      </c>
    </row>
    <row r="459" spans="1:5" x14ac:dyDescent="0.35">
      <c r="A459" s="902" t="str">
        <f t="shared" si="8"/>
        <v/>
      </c>
      <c r="B459" s="903" t="str">
        <f>IF(Tabulka4[[#This Row],[Typ úlohy]]="Součet",G459,IF(Tabulka4[[#This Row],[Typ úlohy]]="Účet",B458,""))</f>
        <v/>
      </c>
      <c r="C459" s="903" t="str">
        <f>IF(Tabulka4[[#This Row],[Typ úlohy]]="Účet",H459,"")</f>
        <v/>
      </c>
      <c r="D459" s="903" t="str">
        <f>IF(Tabulka4[[#This Row],[Typ úlohy]]="Účet",GETPIVOTDATA("Součet z Celková hmotnost položek [kg]",$G$2,"Zkratka kalkulační položky",B459,"Výrobce / Dodavatel",C459),"")</f>
        <v/>
      </c>
      <c r="E459" s="904" t="str">
        <f>IF(Tabulka4[[#This Row],[Typ úlohy]]="Účet",GETPIVOTDATA("Součet z Celková cena bez DPH (CZK)",$G$3,"Zkratka kalkulační položky",B459,"Výrobce / Dodavatel",C459),"")</f>
        <v/>
      </c>
    </row>
    <row r="460" spans="1:5" x14ac:dyDescent="0.35">
      <c r="A460" s="902" t="str">
        <f t="shared" si="8"/>
        <v/>
      </c>
      <c r="B460" s="903" t="str">
        <f>IF(Tabulka4[[#This Row],[Typ úlohy]]="Součet",G460,IF(Tabulka4[[#This Row],[Typ úlohy]]="Účet",B459,""))</f>
        <v/>
      </c>
      <c r="C460" s="903" t="str">
        <f>IF(Tabulka4[[#This Row],[Typ úlohy]]="Účet",H460,"")</f>
        <v/>
      </c>
      <c r="D460" s="903" t="str">
        <f>IF(Tabulka4[[#This Row],[Typ úlohy]]="Účet",GETPIVOTDATA("Součet z Celková hmotnost položek [kg]",$G$2,"Zkratka kalkulační položky",B460,"Výrobce / Dodavatel",C460),"")</f>
        <v/>
      </c>
      <c r="E460" s="904" t="str">
        <f>IF(Tabulka4[[#This Row],[Typ úlohy]]="Účet",GETPIVOTDATA("Součet z Celková cena bez DPH (CZK)",$G$3,"Zkratka kalkulační položky",B460,"Výrobce / Dodavatel",C460),"")</f>
        <v/>
      </c>
    </row>
    <row r="461" spans="1:5" x14ac:dyDescent="0.35">
      <c r="A461" s="902" t="str">
        <f t="shared" si="8"/>
        <v/>
      </c>
      <c r="B461" s="903" t="str">
        <f>IF(Tabulka4[[#This Row],[Typ úlohy]]="Součet",G461,IF(Tabulka4[[#This Row],[Typ úlohy]]="Účet",B460,""))</f>
        <v/>
      </c>
      <c r="C461" s="903" t="str">
        <f>IF(Tabulka4[[#This Row],[Typ úlohy]]="Účet",H461,"")</f>
        <v/>
      </c>
      <c r="D461" s="903" t="str">
        <f>IF(Tabulka4[[#This Row],[Typ úlohy]]="Účet",GETPIVOTDATA("Součet z Celková hmotnost položek [kg]",$G$2,"Zkratka kalkulační položky",B461,"Výrobce / Dodavatel",C461),"")</f>
        <v/>
      </c>
      <c r="E461" s="904" t="str">
        <f>IF(Tabulka4[[#This Row],[Typ úlohy]]="Účet",GETPIVOTDATA("Součet z Celková cena bez DPH (CZK)",$G$3,"Zkratka kalkulační položky",B461,"Výrobce / Dodavatel",C461),"")</f>
        <v/>
      </c>
    </row>
    <row r="462" spans="1:5" x14ac:dyDescent="0.35">
      <c r="A462" s="902" t="str">
        <f t="shared" si="8"/>
        <v/>
      </c>
      <c r="B462" s="903" t="str">
        <f>IF(Tabulka4[[#This Row],[Typ úlohy]]="Součet",G462,IF(Tabulka4[[#This Row],[Typ úlohy]]="Účet",B461,""))</f>
        <v/>
      </c>
      <c r="C462" s="903" t="str">
        <f>IF(Tabulka4[[#This Row],[Typ úlohy]]="Účet",H462,"")</f>
        <v/>
      </c>
      <c r="D462" s="903" t="str">
        <f>IF(Tabulka4[[#This Row],[Typ úlohy]]="Účet",GETPIVOTDATA("Součet z Celková hmotnost položek [kg]",$G$2,"Zkratka kalkulační položky",B462,"Výrobce / Dodavatel",C462),"")</f>
        <v/>
      </c>
      <c r="E462" s="904" t="str">
        <f>IF(Tabulka4[[#This Row],[Typ úlohy]]="Účet",GETPIVOTDATA("Součet z Celková cena bez DPH (CZK)",$G$3,"Zkratka kalkulační položky",B462,"Výrobce / Dodavatel",C462),"")</f>
        <v/>
      </c>
    </row>
    <row r="463" spans="1:5" x14ac:dyDescent="0.35">
      <c r="A463" s="902" t="str">
        <f t="shared" si="8"/>
        <v/>
      </c>
      <c r="B463" s="903" t="str">
        <f>IF(Tabulka4[[#This Row],[Typ úlohy]]="Součet",G463,IF(Tabulka4[[#This Row],[Typ úlohy]]="Účet",B462,""))</f>
        <v/>
      </c>
      <c r="C463" s="903" t="str">
        <f>IF(Tabulka4[[#This Row],[Typ úlohy]]="Účet",H463,"")</f>
        <v/>
      </c>
      <c r="D463" s="903" t="str">
        <f>IF(Tabulka4[[#This Row],[Typ úlohy]]="Účet",GETPIVOTDATA("Součet z Celková hmotnost položek [kg]",$G$2,"Zkratka kalkulační položky",B463,"Výrobce / Dodavatel",C463),"")</f>
        <v/>
      </c>
      <c r="E463" s="904" t="str">
        <f>IF(Tabulka4[[#This Row],[Typ úlohy]]="Účet",GETPIVOTDATA("Součet z Celková cena bez DPH (CZK)",$G$3,"Zkratka kalkulační položky",B463,"Výrobce / Dodavatel",C463),"")</f>
        <v/>
      </c>
    </row>
    <row r="464" spans="1:5" x14ac:dyDescent="0.35">
      <c r="A464" s="902" t="str">
        <f t="shared" si="8"/>
        <v/>
      </c>
      <c r="B464" s="903" t="str">
        <f>IF(Tabulka4[[#This Row],[Typ úlohy]]="Součet",G464,IF(Tabulka4[[#This Row],[Typ úlohy]]="Účet",B463,""))</f>
        <v/>
      </c>
      <c r="C464" s="903" t="str">
        <f>IF(Tabulka4[[#This Row],[Typ úlohy]]="Účet",H464,"")</f>
        <v/>
      </c>
      <c r="D464" s="903" t="str">
        <f>IF(Tabulka4[[#This Row],[Typ úlohy]]="Účet",GETPIVOTDATA("Součet z Celková hmotnost položek [kg]",$G$2,"Zkratka kalkulační položky",B464,"Výrobce / Dodavatel",C464),"")</f>
        <v/>
      </c>
      <c r="E464" s="904" t="str">
        <f>IF(Tabulka4[[#This Row],[Typ úlohy]]="Účet",GETPIVOTDATA("Součet z Celková cena bez DPH (CZK)",$G$3,"Zkratka kalkulační položky",B464,"Výrobce / Dodavatel",C464),"")</f>
        <v/>
      </c>
    </row>
    <row r="465" spans="1:5" x14ac:dyDescent="0.35">
      <c r="A465" s="902" t="str">
        <f t="shared" si="8"/>
        <v/>
      </c>
      <c r="B465" s="903" t="str">
        <f>IF(Tabulka4[[#This Row],[Typ úlohy]]="Součet",G465,IF(Tabulka4[[#This Row],[Typ úlohy]]="Účet",B464,""))</f>
        <v/>
      </c>
      <c r="C465" s="903" t="str">
        <f>IF(Tabulka4[[#This Row],[Typ úlohy]]="Účet",H465,"")</f>
        <v/>
      </c>
      <c r="D465" s="903" t="str">
        <f>IF(Tabulka4[[#This Row],[Typ úlohy]]="Účet",GETPIVOTDATA("Součet z Celková hmotnost položek [kg]",$G$2,"Zkratka kalkulační položky",B465,"Výrobce / Dodavatel",C465),"")</f>
        <v/>
      </c>
      <c r="E465" s="904" t="str">
        <f>IF(Tabulka4[[#This Row],[Typ úlohy]]="Účet",GETPIVOTDATA("Součet z Celková cena bez DPH (CZK)",$G$3,"Zkratka kalkulační položky",B465,"Výrobce / Dodavatel",C465),"")</f>
        <v/>
      </c>
    </row>
    <row r="466" spans="1:5" x14ac:dyDescent="0.35">
      <c r="A466" s="902" t="str">
        <f t="shared" si="8"/>
        <v/>
      </c>
      <c r="B466" s="903" t="str">
        <f>IF(Tabulka4[[#This Row],[Typ úlohy]]="Součet",G466,IF(Tabulka4[[#This Row],[Typ úlohy]]="Účet",B465,""))</f>
        <v/>
      </c>
      <c r="C466" s="903" t="str">
        <f>IF(Tabulka4[[#This Row],[Typ úlohy]]="Účet",H466,"")</f>
        <v/>
      </c>
      <c r="D466" s="903" t="str">
        <f>IF(Tabulka4[[#This Row],[Typ úlohy]]="Účet",GETPIVOTDATA("Součet z Celková hmotnost položek [kg]",$G$2,"Zkratka kalkulační položky",B466,"Výrobce / Dodavatel",C466),"")</f>
        <v/>
      </c>
      <c r="E466" s="904" t="str">
        <f>IF(Tabulka4[[#This Row],[Typ úlohy]]="Účet",GETPIVOTDATA("Součet z Celková cena bez DPH (CZK)",$G$3,"Zkratka kalkulační položky",B466,"Výrobce / Dodavatel",C466),"")</f>
        <v/>
      </c>
    </row>
    <row r="467" spans="1:5" x14ac:dyDescent="0.35">
      <c r="A467" s="902" t="str">
        <f t="shared" si="8"/>
        <v/>
      </c>
      <c r="B467" s="903" t="str">
        <f>IF(Tabulka4[[#This Row],[Typ úlohy]]="Součet",G467,IF(Tabulka4[[#This Row],[Typ úlohy]]="Účet",B466,""))</f>
        <v/>
      </c>
      <c r="C467" s="903" t="str">
        <f>IF(Tabulka4[[#This Row],[Typ úlohy]]="Účet",H467,"")</f>
        <v/>
      </c>
      <c r="D467" s="903" t="str">
        <f>IF(Tabulka4[[#This Row],[Typ úlohy]]="Účet",GETPIVOTDATA("Součet z Celková hmotnost položek [kg]",$G$2,"Zkratka kalkulační položky",B467,"Výrobce / Dodavatel",C467),"")</f>
        <v/>
      </c>
      <c r="E467" s="904" t="str">
        <f>IF(Tabulka4[[#This Row],[Typ úlohy]]="Účet",GETPIVOTDATA("Součet z Celková cena bez DPH (CZK)",$G$3,"Zkratka kalkulační položky",B467,"Výrobce / Dodavatel",C467),"")</f>
        <v/>
      </c>
    </row>
    <row r="468" spans="1:5" x14ac:dyDescent="0.35">
      <c r="A468" s="902" t="str">
        <f t="shared" si="8"/>
        <v/>
      </c>
      <c r="B468" s="903" t="str">
        <f>IF(Tabulka4[[#This Row],[Typ úlohy]]="Součet",G468,IF(Tabulka4[[#This Row],[Typ úlohy]]="Účet",B467,""))</f>
        <v/>
      </c>
      <c r="C468" s="903" t="str">
        <f>IF(Tabulka4[[#This Row],[Typ úlohy]]="Účet",H468,"")</f>
        <v/>
      </c>
      <c r="D468" s="903" t="str">
        <f>IF(Tabulka4[[#This Row],[Typ úlohy]]="Účet",GETPIVOTDATA("Součet z Celková hmotnost položek [kg]",$G$2,"Zkratka kalkulační položky",B468,"Výrobce / Dodavatel",C468),"")</f>
        <v/>
      </c>
      <c r="E468" s="904" t="str">
        <f>IF(Tabulka4[[#This Row],[Typ úlohy]]="Účet",GETPIVOTDATA("Součet z Celková cena bez DPH (CZK)",$G$3,"Zkratka kalkulační položky",B468,"Výrobce / Dodavatel",C468),"")</f>
        <v/>
      </c>
    </row>
    <row r="469" spans="1:5" x14ac:dyDescent="0.35">
      <c r="A469" s="902" t="str">
        <f t="shared" si="8"/>
        <v/>
      </c>
      <c r="B469" s="903" t="str">
        <f>IF(Tabulka4[[#This Row],[Typ úlohy]]="Součet",G469,IF(Tabulka4[[#This Row],[Typ úlohy]]="Účet",B468,""))</f>
        <v/>
      </c>
      <c r="C469" s="903" t="str">
        <f>IF(Tabulka4[[#This Row],[Typ úlohy]]="Účet",H469,"")</f>
        <v/>
      </c>
      <c r="D469" s="903" t="str">
        <f>IF(Tabulka4[[#This Row],[Typ úlohy]]="Účet",GETPIVOTDATA("Součet z Celková hmotnost položek [kg]",$G$2,"Zkratka kalkulační položky",B469,"Výrobce / Dodavatel",C469),"")</f>
        <v/>
      </c>
      <c r="E469" s="904" t="str">
        <f>IF(Tabulka4[[#This Row],[Typ úlohy]]="Účet",GETPIVOTDATA("Součet z Celková cena bez DPH (CZK)",$G$3,"Zkratka kalkulační položky",B469,"Výrobce / Dodavatel",C469),"")</f>
        <v/>
      </c>
    </row>
    <row r="470" spans="1:5" x14ac:dyDescent="0.35">
      <c r="A470" s="902" t="str">
        <f t="shared" si="8"/>
        <v/>
      </c>
      <c r="B470" s="903" t="str">
        <f>IF(Tabulka4[[#This Row],[Typ úlohy]]="Součet",G470,IF(Tabulka4[[#This Row],[Typ úlohy]]="Účet",B469,""))</f>
        <v/>
      </c>
      <c r="C470" s="903" t="str">
        <f>IF(Tabulka4[[#This Row],[Typ úlohy]]="Účet",H470,"")</f>
        <v/>
      </c>
      <c r="D470" s="903" t="str">
        <f>IF(Tabulka4[[#This Row],[Typ úlohy]]="Účet",GETPIVOTDATA("Součet z Celková hmotnost položek [kg]",$G$2,"Zkratka kalkulační položky",B470,"Výrobce / Dodavatel",C470),"")</f>
        <v/>
      </c>
      <c r="E470" s="904" t="str">
        <f>IF(Tabulka4[[#This Row],[Typ úlohy]]="Účet",GETPIVOTDATA("Součet z Celková cena bez DPH (CZK)",$G$3,"Zkratka kalkulační položky",B470,"Výrobce / Dodavatel",C470),"")</f>
        <v/>
      </c>
    </row>
    <row r="471" spans="1:5" x14ac:dyDescent="0.35">
      <c r="A471" s="902" t="str">
        <f t="shared" si="8"/>
        <v/>
      </c>
      <c r="B471" s="903" t="str">
        <f>IF(Tabulka4[[#This Row],[Typ úlohy]]="Součet",G471,IF(Tabulka4[[#This Row],[Typ úlohy]]="Účet",B470,""))</f>
        <v/>
      </c>
      <c r="C471" s="903" t="str">
        <f>IF(Tabulka4[[#This Row],[Typ úlohy]]="Účet",H471,"")</f>
        <v/>
      </c>
      <c r="D471" s="903" t="str">
        <f>IF(Tabulka4[[#This Row],[Typ úlohy]]="Účet",GETPIVOTDATA("Součet z Celková hmotnost položek [kg]",$G$2,"Zkratka kalkulační položky",B471,"Výrobce / Dodavatel",C471),"")</f>
        <v/>
      </c>
      <c r="E471" s="904" t="str">
        <f>IF(Tabulka4[[#This Row],[Typ úlohy]]="Účet",GETPIVOTDATA("Součet z Celková cena bez DPH (CZK)",$G$3,"Zkratka kalkulační položky",B471,"Výrobce / Dodavatel",C471),"")</f>
        <v/>
      </c>
    </row>
    <row r="472" spans="1:5" x14ac:dyDescent="0.35">
      <c r="A472" s="902" t="str">
        <f t="shared" si="8"/>
        <v/>
      </c>
      <c r="B472" s="903" t="str">
        <f>IF(Tabulka4[[#This Row],[Typ úlohy]]="Součet",G472,IF(Tabulka4[[#This Row],[Typ úlohy]]="Účet",B471,""))</f>
        <v/>
      </c>
      <c r="C472" s="903" t="str">
        <f>IF(Tabulka4[[#This Row],[Typ úlohy]]="Účet",H472,"")</f>
        <v/>
      </c>
      <c r="D472" s="903" t="str">
        <f>IF(Tabulka4[[#This Row],[Typ úlohy]]="Účet",GETPIVOTDATA("Součet z Celková hmotnost položek [kg]",$G$2,"Zkratka kalkulační položky",B472,"Výrobce / Dodavatel",C472),"")</f>
        <v/>
      </c>
      <c r="E472" s="904" t="str">
        <f>IF(Tabulka4[[#This Row],[Typ úlohy]]="Účet",GETPIVOTDATA("Součet z Celková cena bez DPH (CZK)",$G$3,"Zkratka kalkulační položky",B472,"Výrobce / Dodavatel",C472),"")</f>
        <v/>
      </c>
    </row>
    <row r="473" spans="1:5" x14ac:dyDescent="0.35">
      <c r="A473" s="902" t="str">
        <f t="shared" si="8"/>
        <v/>
      </c>
      <c r="B473" s="903" t="str">
        <f>IF(Tabulka4[[#This Row],[Typ úlohy]]="Součet",G473,IF(Tabulka4[[#This Row],[Typ úlohy]]="Účet",B472,""))</f>
        <v/>
      </c>
      <c r="C473" s="903" t="str">
        <f>IF(Tabulka4[[#This Row],[Typ úlohy]]="Účet",H473,"")</f>
        <v/>
      </c>
      <c r="D473" s="903" t="str">
        <f>IF(Tabulka4[[#This Row],[Typ úlohy]]="Účet",GETPIVOTDATA("Součet z Celková hmotnost položek [kg]",$G$2,"Zkratka kalkulační položky",B473,"Výrobce / Dodavatel",C473),"")</f>
        <v/>
      </c>
      <c r="E473" s="904" t="str">
        <f>IF(Tabulka4[[#This Row],[Typ úlohy]]="Účet",GETPIVOTDATA("Součet z Celková cena bez DPH (CZK)",$G$3,"Zkratka kalkulační položky",B473,"Výrobce / Dodavatel",C473),"")</f>
        <v/>
      </c>
    </row>
    <row r="474" spans="1:5" x14ac:dyDescent="0.35">
      <c r="A474" s="902" t="str">
        <f t="shared" si="8"/>
        <v/>
      </c>
      <c r="B474" s="903" t="str">
        <f>IF(Tabulka4[[#This Row],[Typ úlohy]]="Součet",G474,IF(Tabulka4[[#This Row],[Typ úlohy]]="Účet",B473,""))</f>
        <v/>
      </c>
      <c r="C474" s="903" t="str">
        <f>IF(Tabulka4[[#This Row],[Typ úlohy]]="Účet",H474,"")</f>
        <v/>
      </c>
      <c r="D474" s="903" t="str">
        <f>IF(Tabulka4[[#This Row],[Typ úlohy]]="Účet",GETPIVOTDATA("Součet z Celková hmotnost položek [kg]",$G$2,"Zkratka kalkulační položky",B474,"Výrobce / Dodavatel",C474),"")</f>
        <v/>
      </c>
      <c r="E474" s="904" t="str">
        <f>IF(Tabulka4[[#This Row],[Typ úlohy]]="Účet",GETPIVOTDATA("Součet z Celková cena bez DPH (CZK)",$G$3,"Zkratka kalkulační položky",B474,"Výrobce / Dodavatel",C474),"")</f>
        <v/>
      </c>
    </row>
    <row r="475" spans="1:5" x14ac:dyDescent="0.35">
      <c r="A475" s="902" t="str">
        <f t="shared" si="8"/>
        <v/>
      </c>
      <c r="B475" s="903" t="str">
        <f>IF(Tabulka4[[#This Row],[Typ úlohy]]="Součet",G475,IF(Tabulka4[[#This Row],[Typ úlohy]]="Účet",B474,""))</f>
        <v/>
      </c>
      <c r="C475" s="903" t="str">
        <f>IF(Tabulka4[[#This Row],[Typ úlohy]]="Účet",H475,"")</f>
        <v/>
      </c>
      <c r="D475" s="903" t="str">
        <f>IF(Tabulka4[[#This Row],[Typ úlohy]]="Účet",GETPIVOTDATA("Součet z Celková hmotnost položek [kg]",$G$2,"Zkratka kalkulační položky",B475,"Výrobce / Dodavatel",C475),"")</f>
        <v/>
      </c>
      <c r="E475" s="904" t="str">
        <f>IF(Tabulka4[[#This Row],[Typ úlohy]]="Účet",GETPIVOTDATA("Součet z Celková cena bez DPH (CZK)",$G$3,"Zkratka kalkulační položky",B475,"Výrobce / Dodavatel",C475),"")</f>
        <v/>
      </c>
    </row>
    <row r="476" spans="1:5" x14ac:dyDescent="0.35">
      <c r="A476" s="902" t="str">
        <f t="shared" si="8"/>
        <v/>
      </c>
      <c r="B476" s="903" t="str">
        <f>IF(Tabulka4[[#This Row],[Typ úlohy]]="Součet",G476,IF(Tabulka4[[#This Row],[Typ úlohy]]="Účet",B475,""))</f>
        <v/>
      </c>
      <c r="C476" s="903" t="str">
        <f>IF(Tabulka4[[#This Row],[Typ úlohy]]="Účet",H476,"")</f>
        <v/>
      </c>
      <c r="D476" s="903" t="str">
        <f>IF(Tabulka4[[#This Row],[Typ úlohy]]="Účet",GETPIVOTDATA("Součet z Celková hmotnost položek [kg]",$G$2,"Zkratka kalkulační položky",B476,"Výrobce / Dodavatel",C476),"")</f>
        <v/>
      </c>
      <c r="E476" s="904" t="str">
        <f>IF(Tabulka4[[#This Row],[Typ úlohy]]="Účet",GETPIVOTDATA("Součet z Celková cena bez DPH (CZK)",$G$3,"Zkratka kalkulační položky",B476,"Výrobce / Dodavatel",C476),"")</f>
        <v/>
      </c>
    </row>
    <row r="477" spans="1:5" x14ac:dyDescent="0.35">
      <c r="A477" s="902" t="str">
        <f t="shared" si="8"/>
        <v/>
      </c>
      <c r="B477" s="903" t="str">
        <f>IF(Tabulka4[[#This Row],[Typ úlohy]]="Součet",G477,IF(Tabulka4[[#This Row],[Typ úlohy]]="Účet",B476,""))</f>
        <v/>
      </c>
      <c r="C477" s="903" t="str">
        <f>IF(Tabulka4[[#This Row],[Typ úlohy]]="Účet",H477,"")</f>
        <v/>
      </c>
      <c r="D477" s="903" t="str">
        <f>IF(Tabulka4[[#This Row],[Typ úlohy]]="Účet",GETPIVOTDATA("Součet z Celková hmotnost položek [kg]",$G$2,"Zkratka kalkulační položky",B477,"Výrobce / Dodavatel",C477),"")</f>
        <v/>
      </c>
      <c r="E477" s="904" t="str">
        <f>IF(Tabulka4[[#This Row],[Typ úlohy]]="Účet",GETPIVOTDATA("Součet z Celková cena bez DPH (CZK)",$G$3,"Zkratka kalkulační položky",B477,"Výrobce / Dodavatel",C477),"")</f>
        <v/>
      </c>
    </row>
    <row r="478" spans="1:5" x14ac:dyDescent="0.35">
      <c r="A478" s="902" t="str">
        <f t="shared" si="8"/>
        <v/>
      </c>
      <c r="B478" s="903" t="str">
        <f>IF(Tabulka4[[#This Row],[Typ úlohy]]="Součet",G478,IF(Tabulka4[[#This Row],[Typ úlohy]]="Účet",B477,""))</f>
        <v/>
      </c>
      <c r="C478" s="903" t="str">
        <f>IF(Tabulka4[[#This Row],[Typ úlohy]]="Účet",H478,"")</f>
        <v/>
      </c>
      <c r="D478" s="903" t="str">
        <f>IF(Tabulka4[[#This Row],[Typ úlohy]]="Účet",GETPIVOTDATA("Součet z Celková hmotnost položek [kg]",$G$2,"Zkratka kalkulační položky",B478,"Výrobce / Dodavatel",C478),"")</f>
        <v/>
      </c>
      <c r="E478" s="904" t="str">
        <f>IF(Tabulka4[[#This Row],[Typ úlohy]]="Účet",GETPIVOTDATA("Součet z Celková cena bez DPH (CZK)",$G$3,"Zkratka kalkulační položky",B478,"Výrobce / Dodavatel",C478),"")</f>
        <v/>
      </c>
    </row>
    <row r="479" spans="1:5" x14ac:dyDescent="0.35">
      <c r="A479" s="902" t="str">
        <f t="shared" si="8"/>
        <v/>
      </c>
      <c r="B479" s="903" t="str">
        <f>IF(Tabulka4[[#This Row],[Typ úlohy]]="Součet",G479,IF(Tabulka4[[#This Row],[Typ úlohy]]="Účet",B478,""))</f>
        <v/>
      </c>
      <c r="C479" s="903" t="str">
        <f>IF(Tabulka4[[#This Row],[Typ úlohy]]="Účet",H479,"")</f>
        <v/>
      </c>
      <c r="D479" s="903" t="str">
        <f>IF(Tabulka4[[#This Row],[Typ úlohy]]="Účet",GETPIVOTDATA("Součet z Celková hmotnost položek [kg]",$G$2,"Zkratka kalkulační položky",B479,"Výrobce / Dodavatel",C479),"")</f>
        <v/>
      </c>
      <c r="E479" s="904" t="str">
        <f>IF(Tabulka4[[#This Row],[Typ úlohy]]="Účet",GETPIVOTDATA("Součet z Celková cena bez DPH (CZK)",$G$3,"Zkratka kalkulační položky",B479,"Výrobce / Dodavatel",C479),"")</f>
        <v/>
      </c>
    </row>
    <row r="480" spans="1:5" x14ac:dyDescent="0.35">
      <c r="A480" s="902" t="str">
        <f t="shared" si="8"/>
        <v/>
      </c>
      <c r="B480" s="903" t="str">
        <f>IF(Tabulka4[[#This Row],[Typ úlohy]]="Součet",G480,IF(Tabulka4[[#This Row],[Typ úlohy]]="Účet",B479,""))</f>
        <v/>
      </c>
      <c r="C480" s="903" t="str">
        <f>IF(Tabulka4[[#This Row],[Typ úlohy]]="Účet",H480,"")</f>
        <v/>
      </c>
      <c r="D480" s="903" t="str">
        <f>IF(Tabulka4[[#This Row],[Typ úlohy]]="Účet",GETPIVOTDATA("Součet z Celková hmotnost položek [kg]",$G$2,"Zkratka kalkulační položky",B480,"Výrobce / Dodavatel",C480),"")</f>
        <v/>
      </c>
      <c r="E480" s="904" t="str">
        <f>IF(Tabulka4[[#This Row],[Typ úlohy]]="Účet",GETPIVOTDATA("Součet z Celková cena bez DPH (CZK)",$G$3,"Zkratka kalkulační položky",B480,"Výrobce / Dodavatel",C480),"")</f>
        <v/>
      </c>
    </row>
    <row r="481" spans="1:5" x14ac:dyDescent="0.35">
      <c r="A481" s="902" t="str">
        <f t="shared" si="8"/>
        <v/>
      </c>
      <c r="B481" s="903" t="str">
        <f>IF(Tabulka4[[#This Row],[Typ úlohy]]="Součet",G481,IF(Tabulka4[[#This Row],[Typ úlohy]]="Účet",B480,""))</f>
        <v/>
      </c>
      <c r="C481" s="903" t="str">
        <f>IF(Tabulka4[[#This Row],[Typ úlohy]]="Účet",H481,"")</f>
        <v/>
      </c>
      <c r="D481" s="903" t="str">
        <f>IF(Tabulka4[[#This Row],[Typ úlohy]]="Účet",GETPIVOTDATA("Součet z Celková hmotnost položek [kg]",$G$2,"Zkratka kalkulační položky",B481,"Výrobce / Dodavatel",C481),"")</f>
        <v/>
      </c>
      <c r="E481" s="904" t="str">
        <f>IF(Tabulka4[[#This Row],[Typ úlohy]]="Účet",GETPIVOTDATA("Součet z Celková cena bez DPH (CZK)",$G$3,"Zkratka kalkulační položky",B481,"Výrobce / Dodavatel",C481),"")</f>
        <v/>
      </c>
    </row>
    <row r="482" spans="1:5" x14ac:dyDescent="0.35">
      <c r="A482" s="902" t="str">
        <f t="shared" si="8"/>
        <v/>
      </c>
      <c r="B482" s="903" t="str">
        <f>IF(Tabulka4[[#This Row],[Typ úlohy]]="Součet",G482,IF(Tabulka4[[#This Row],[Typ úlohy]]="Účet",B481,""))</f>
        <v/>
      </c>
      <c r="C482" s="903" t="str">
        <f>IF(Tabulka4[[#This Row],[Typ úlohy]]="Účet",H482,"")</f>
        <v/>
      </c>
      <c r="D482" s="903" t="str">
        <f>IF(Tabulka4[[#This Row],[Typ úlohy]]="Účet",GETPIVOTDATA("Součet z Celková hmotnost položek [kg]",$G$2,"Zkratka kalkulační položky",B482,"Výrobce / Dodavatel",C482),"")</f>
        <v/>
      </c>
      <c r="E482" s="904" t="str">
        <f>IF(Tabulka4[[#This Row],[Typ úlohy]]="Účet",GETPIVOTDATA("Součet z Celková cena bez DPH (CZK)",$G$3,"Zkratka kalkulační položky",B482,"Výrobce / Dodavatel",C482),"")</f>
        <v/>
      </c>
    </row>
    <row r="483" spans="1:5" x14ac:dyDescent="0.35">
      <c r="A483" s="902" t="str">
        <f t="shared" si="8"/>
        <v/>
      </c>
      <c r="B483" s="903" t="str">
        <f>IF(Tabulka4[[#This Row],[Typ úlohy]]="Součet",G483,IF(Tabulka4[[#This Row],[Typ úlohy]]="Účet",B482,""))</f>
        <v/>
      </c>
      <c r="C483" s="903" t="str">
        <f>IF(Tabulka4[[#This Row],[Typ úlohy]]="Účet",H483,"")</f>
        <v/>
      </c>
      <c r="D483" s="903" t="str">
        <f>IF(Tabulka4[[#This Row],[Typ úlohy]]="Účet",GETPIVOTDATA("Součet z Celková hmotnost položek [kg]",$G$2,"Zkratka kalkulační položky",B483,"Výrobce / Dodavatel",C483),"")</f>
        <v/>
      </c>
      <c r="E483" s="904" t="str">
        <f>IF(Tabulka4[[#This Row],[Typ úlohy]]="Účet",GETPIVOTDATA("Součet z Celková cena bez DPH (CZK)",$G$3,"Zkratka kalkulační položky",B483,"Výrobce / Dodavatel",C483),"")</f>
        <v/>
      </c>
    </row>
    <row r="484" spans="1:5" x14ac:dyDescent="0.35">
      <c r="A484" s="902" t="str">
        <f t="shared" si="8"/>
        <v/>
      </c>
      <c r="B484" s="903" t="str">
        <f>IF(Tabulka4[[#This Row],[Typ úlohy]]="Součet",G484,IF(Tabulka4[[#This Row],[Typ úlohy]]="Účet",B483,""))</f>
        <v/>
      </c>
      <c r="C484" s="903" t="str">
        <f>IF(Tabulka4[[#This Row],[Typ úlohy]]="Účet",H484,"")</f>
        <v/>
      </c>
      <c r="D484" s="903" t="str">
        <f>IF(Tabulka4[[#This Row],[Typ úlohy]]="Účet",GETPIVOTDATA("Součet z Celková hmotnost položek [kg]",$G$2,"Zkratka kalkulační položky",B484,"Výrobce / Dodavatel",C484),"")</f>
        <v/>
      </c>
      <c r="E484" s="904" t="str">
        <f>IF(Tabulka4[[#This Row],[Typ úlohy]]="Účet",GETPIVOTDATA("Součet z Celková cena bez DPH (CZK)",$G$3,"Zkratka kalkulační položky",B484,"Výrobce / Dodavatel",C484),"")</f>
        <v/>
      </c>
    </row>
    <row r="485" spans="1:5" x14ac:dyDescent="0.35">
      <c r="A485" s="902" t="str">
        <f t="shared" si="8"/>
        <v/>
      </c>
      <c r="B485" s="903" t="str">
        <f>IF(Tabulka4[[#This Row],[Typ úlohy]]="Součet",G485,IF(Tabulka4[[#This Row],[Typ úlohy]]="Účet",B484,""))</f>
        <v/>
      </c>
      <c r="C485" s="903" t="str">
        <f>IF(Tabulka4[[#This Row],[Typ úlohy]]="Účet",H485,"")</f>
        <v/>
      </c>
      <c r="D485" s="903" t="str">
        <f>IF(Tabulka4[[#This Row],[Typ úlohy]]="Účet",GETPIVOTDATA("Součet z Celková hmotnost položek [kg]",$G$2,"Zkratka kalkulační položky",B485,"Výrobce / Dodavatel",C485),"")</f>
        <v/>
      </c>
      <c r="E485" s="904" t="str">
        <f>IF(Tabulka4[[#This Row],[Typ úlohy]]="Účet",GETPIVOTDATA("Součet z Celková cena bez DPH (CZK)",$G$3,"Zkratka kalkulační položky",B485,"Výrobce / Dodavatel",C485),"")</f>
        <v/>
      </c>
    </row>
    <row r="486" spans="1:5" x14ac:dyDescent="0.35">
      <c r="A486" s="902" t="str">
        <f t="shared" si="8"/>
        <v/>
      </c>
      <c r="B486" s="903" t="str">
        <f>IF(Tabulka4[[#This Row],[Typ úlohy]]="Součet",G486,IF(Tabulka4[[#This Row],[Typ úlohy]]="Účet",B485,""))</f>
        <v/>
      </c>
      <c r="C486" s="903" t="str">
        <f>IF(Tabulka4[[#This Row],[Typ úlohy]]="Účet",H486,"")</f>
        <v/>
      </c>
      <c r="D486" s="903" t="str">
        <f>IF(Tabulka4[[#This Row],[Typ úlohy]]="Účet",GETPIVOTDATA("Součet z Celková hmotnost položek [kg]",$G$2,"Zkratka kalkulační položky",B486,"Výrobce / Dodavatel",C486),"")</f>
        <v/>
      </c>
      <c r="E486" s="904" t="str">
        <f>IF(Tabulka4[[#This Row],[Typ úlohy]]="Účet",GETPIVOTDATA("Součet z Celková cena bez DPH (CZK)",$G$3,"Zkratka kalkulační položky",B486,"Výrobce / Dodavatel",C486),"")</f>
        <v/>
      </c>
    </row>
    <row r="487" spans="1:5" x14ac:dyDescent="0.35">
      <c r="A487" s="902" t="str">
        <f t="shared" si="8"/>
        <v/>
      </c>
      <c r="B487" s="903" t="str">
        <f>IF(Tabulka4[[#This Row],[Typ úlohy]]="Součet",G487,IF(Tabulka4[[#This Row],[Typ úlohy]]="Účet",B486,""))</f>
        <v/>
      </c>
      <c r="C487" s="903" t="str">
        <f>IF(Tabulka4[[#This Row],[Typ úlohy]]="Účet",H487,"")</f>
        <v/>
      </c>
      <c r="D487" s="903" t="str">
        <f>IF(Tabulka4[[#This Row],[Typ úlohy]]="Účet",GETPIVOTDATA("Součet z Celková hmotnost položek [kg]",$G$2,"Zkratka kalkulační položky",B487,"Výrobce / Dodavatel",C487),"")</f>
        <v/>
      </c>
      <c r="E487" s="904" t="str">
        <f>IF(Tabulka4[[#This Row],[Typ úlohy]]="Účet",GETPIVOTDATA("Součet z Celková cena bez DPH (CZK)",$G$3,"Zkratka kalkulační položky",B487,"Výrobce / Dodavatel",C487),"")</f>
        <v/>
      </c>
    </row>
    <row r="488" spans="1:5" x14ac:dyDescent="0.35">
      <c r="A488" s="902" t="str">
        <f t="shared" si="8"/>
        <v/>
      </c>
      <c r="B488" s="903" t="str">
        <f>IF(Tabulka4[[#This Row],[Typ úlohy]]="Součet",G488,IF(Tabulka4[[#This Row],[Typ úlohy]]="Účet",B487,""))</f>
        <v/>
      </c>
      <c r="C488" s="903" t="str">
        <f>IF(Tabulka4[[#This Row],[Typ úlohy]]="Účet",H488,"")</f>
        <v/>
      </c>
      <c r="D488" s="903" t="str">
        <f>IF(Tabulka4[[#This Row],[Typ úlohy]]="Účet",GETPIVOTDATA("Součet z Celková hmotnost položek [kg]",$G$2,"Zkratka kalkulační položky",B488,"Výrobce / Dodavatel",C488),"")</f>
        <v/>
      </c>
      <c r="E488" s="904" t="str">
        <f>IF(Tabulka4[[#This Row],[Typ úlohy]]="Účet",GETPIVOTDATA("Součet z Celková cena bez DPH (CZK)",$G$3,"Zkratka kalkulační položky",B488,"Výrobce / Dodavatel",C488),"")</f>
        <v/>
      </c>
    </row>
    <row r="489" spans="1:5" x14ac:dyDescent="0.35">
      <c r="A489" s="902" t="str">
        <f t="shared" si="8"/>
        <v/>
      </c>
      <c r="B489" s="903" t="str">
        <f>IF(Tabulka4[[#This Row],[Typ úlohy]]="Součet",G489,IF(Tabulka4[[#This Row],[Typ úlohy]]="Účet",B488,""))</f>
        <v/>
      </c>
      <c r="C489" s="903" t="str">
        <f>IF(Tabulka4[[#This Row],[Typ úlohy]]="Účet",H489,"")</f>
        <v/>
      </c>
      <c r="D489" s="903" t="str">
        <f>IF(Tabulka4[[#This Row],[Typ úlohy]]="Účet",GETPIVOTDATA("Součet z Celková hmotnost položek [kg]",$G$2,"Zkratka kalkulační položky",B489,"Výrobce / Dodavatel",C489),"")</f>
        <v/>
      </c>
      <c r="E489" s="904" t="str">
        <f>IF(Tabulka4[[#This Row],[Typ úlohy]]="Účet",GETPIVOTDATA("Součet z Celková cena bez DPH (CZK)",$G$3,"Zkratka kalkulační položky",B489,"Výrobce / Dodavatel",C489),"")</f>
        <v/>
      </c>
    </row>
    <row r="490" spans="1:5" x14ac:dyDescent="0.35">
      <c r="A490" s="902" t="str">
        <f t="shared" si="8"/>
        <v/>
      </c>
      <c r="B490" s="903" t="str">
        <f>IF(Tabulka4[[#This Row],[Typ úlohy]]="Součet",G490,IF(Tabulka4[[#This Row],[Typ úlohy]]="Účet",B489,""))</f>
        <v/>
      </c>
      <c r="C490" s="903" t="str">
        <f>IF(Tabulka4[[#This Row],[Typ úlohy]]="Účet",H490,"")</f>
        <v/>
      </c>
      <c r="D490" s="903" t="str">
        <f>IF(Tabulka4[[#This Row],[Typ úlohy]]="Účet",GETPIVOTDATA("Součet z Celková hmotnost položek [kg]",$G$2,"Zkratka kalkulační položky",B490,"Výrobce / Dodavatel",C490),"")</f>
        <v/>
      </c>
      <c r="E490" s="904" t="str">
        <f>IF(Tabulka4[[#This Row],[Typ úlohy]]="Účet",GETPIVOTDATA("Součet z Celková cena bez DPH (CZK)",$G$3,"Zkratka kalkulační položky",B490,"Výrobce / Dodavatel",C490),"")</f>
        <v/>
      </c>
    </row>
    <row r="491" spans="1:5" x14ac:dyDescent="0.35">
      <c r="A491" s="902" t="str">
        <f t="shared" si="8"/>
        <v/>
      </c>
      <c r="B491" s="903" t="str">
        <f>IF(Tabulka4[[#This Row],[Typ úlohy]]="Součet",G491,IF(Tabulka4[[#This Row],[Typ úlohy]]="Účet",B490,""))</f>
        <v/>
      </c>
      <c r="C491" s="903" t="str">
        <f>IF(Tabulka4[[#This Row],[Typ úlohy]]="Účet",H491,"")</f>
        <v/>
      </c>
      <c r="D491" s="903" t="str">
        <f>IF(Tabulka4[[#This Row],[Typ úlohy]]="Účet",GETPIVOTDATA("Součet z Celková hmotnost položek [kg]",$G$2,"Zkratka kalkulační položky",B491,"Výrobce / Dodavatel",C491),"")</f>
        <v/>
      </c>
      <c r="E491" s="904" t="str">
        <f>IF(Tabulka4[[#This Row],[Typ úlohy]]="Účet",GETPIVOTDATA("Součet z Celková cena bez DPH (CZK)",$G$3,"Zkratka kalkulační položky",B491,"Výrobce / Dodavatel",C491),"")</f>
        <v/>
      </c>
    </row>
    <row r="492" spans="1:5" x14ac:dyDescent="0.35">
      <c r="A492" s="902" t="str">
        <f t="shared" si="8"/>
        <v/>
      </c>
      <c r="B492" s="903" t="str">
        <f>IF(Tabulka4[[#This Row],[Typ úlohy]]="Součet",G492,IF(Tabulka4[[#This Row],[Typ úlohy]]="Účet",B491,""))</f>
        <v/>
      </c>
      <c r="C492" s="903" t="str">
        <f>IF(Tabulka4[[#This Row],[Typ úlohy]]="Účet",H492,"")</f>
        <v/>
      </c>
      <c r="D492" s="903" t="str">
        <f>IF(Tabulka4[[#This Row],[Typ úlohy]]="Účet",GETPIVOTDATA("Součet z Celková hmotnost položek [kg]",$G$2,"Zkratka kalkulační položky",B492,"Výrobce / Dodavatel",C492),"")</f>
        <v/>
      </c>
      <c r="E492" s="904" t="str">
        <f>IF(Tabulka4[[#This Row],[Typ úlohy]]="Účet",GETPIVOTDATA("Součet z Celková cena bez DPH (CZK)",$G$3,"Zkratka kalkulační položky",B492,"Výrobce / Dodavatel",C492),"")</f>
        <v/>
      </c>
    </row>
    <row r="493" spans="1:5" x14ac:dyDescent="0.35">
      <c r="A493" s="902" t="str">
        <f t="shared" si="8"/>
        <v/>
      </c>
      <c r="B493" s="903" t="str">
        <f>IF(Tabulka4[[#This Row],[Typ úlohy]]="Součet",G493,IF(Tabulka4[[#This Row],[Typ úlohy]]="Účet",B492,""))</f>
        <v/>
      </c>
      <c r="C493" s="903" t="str">
        <f>IF(Tabulka4[[#This Row],[Typ úlohy]]="Účet",H493,"")</f>
        <v/>
      </c>
      <c r="D493" s="903" t="str">
        <f>IF(Tabulka4[[#This Row],[Typ úlohy]]="Účet",GETPIVOTDATA("Součet z Celková hmotnost položek [kg]",$G$2,"Zkratka kalkulační položky",B493,"Výrobce / Dodavatel",C493),"")</f>
        <v/>
      </c>
      <c r="E493" s="904" t="str">
        <f>IF(Tabulka4[[#This Row],[Typ úlohy]]="Účet",GETPIVOTDATA("Součet z Celková cena bez DPH (CZK)",$G$3,"Zkratka kalkulační položky",B493,"Výrobce / Dodavatel",C493),"")</f>
        <v/>
      </c>
    </row>
    <row r="494" spans="1:5" x14ac:dyDescent="0.35">
      <c r="A494" s="902" t="str">
        <f t="shared" si="8"/>
        <v/>
      </c>
      <c r="B494" s="903" t="str">
        <f>IF(Tabulka4[[#This Row],[Typ úlohy]]="Součet",G494,IF(Tabulka4[[#This Row],[Typ úlohy]]="Účet",B493,""))</f>
        <v/>
      </c>
      <c r="C494" s="903" t="str">
        <f>IF(Tabulka4[[#This Row],[Typ úlohy]]="Účet",H494,"")</f>
        <v/>
      </c>
      <c r="D494" s="903" t="str">
        <f>IF(Tabulka4[[#This Row],[Typ úlohy]]="Účet",GETPIVOTDATA("Součet z Celková hmotnost položek [kg]",$G$2,"Zkratka kalkulační položky",B494,"Výrobce / Dodavatel",C494),"")</f>
        <v/>
      </c>
      <c r="E494" s="904" t="str">
        <f>IF(Tabulka4[[#This Row],[Typ úlohy]]="Účet",GETPIVOTDATA("Součet z Celková cena bez DPH (CZK)",$G$3,"Zkratka kalkulační položky",B494,"Výrobce / Dodavatel",C494),"")</f>
        <v/>
      </c>
    </row>
    <row r="495" spans="1:5" x14ac:dyDescent="0.35">
      <c r="A495" s="902" t="str">
        <f t="shared" si="8"/>
        <v/>
      </c>
      <c r="B495" s="903" t="str">
        <f>IF(Tabulka4[[#This Row],[Typ úlohy]]="Součet",G495,IF(Tabulka4[[#This Row],[Typ úlohy]]="Účet",B494,""))</f>
        <v/>
      </c>
      <c r="C495" s="903" t="str">
        <f>IF(Tabulka4[[#This Row],[Typ úlohy]]="Účet",H495,"")</f>
        <v/>
      </c>
      <c r="D495" s="903" t="str">
        <f>IF(Tabulka4[[#This Row],[Typ úlohy]]="Účet",GETPIVOTDATA("Součet z Celková hmotnost položek [kg]",$G$2,"Zkratka kalkulační položky",B495,"Výrobce / Dodavatel",C495),"")</f>
        <v/>
      </c>
      <c r="E495" s="904" t="str">
        <f>IF(Tabulka4[[#This Row],[Typ úlohy]]="Účet",GETPIVOTDATA("Součet z Celková cena bez DPH (CZK)",$G$3,"Zkratka kalkulační položky",B495,"Výrobce / Dodavatel",C495),"")</f>
        <v/>
      </c>
    </row>
    <row r="496" spans="1:5" x14ac:dyDescent="0.35">
      <c r="A496" s="902" t="str">
        <f t="shared" si="8"/>
        <v/>
      </c>
      <c r="B496" s="903" t="str">
        <f>IF(Tabulka4[[#This Row],[Typ úlohy]]="Součet",G496,IF(Tabulka4[[#This Row],[Typ úlohy]]="Účet",B495,""))</f>
        <v/>
      </c>
      <c r="C496" s="903" t="str">
        <f>IF(Tabulka4[[#This Row],[Typ úlohy]]="Účet",H496,"")</f>
        <v/>
      </c>
      <c r="D496" s="903" t="str">
        <f>IF(Tabulka4[[#This Row],[Typ úlohy]]="Účet",GETPIVOTDATA("Součet z Celková hmotnost položek [kg]",$G$2,"Zkratka kalkulační položky",B496,"Výrobce / Dodavatel",C496),"")</f>
        <v/>
      </c>
      <c r="E496" s="904" t="str">
        <f>IF(Tabulka4[[#This Row],[Typ úlohy]]="Účet",GETPIVOTDATA("Součet z Celková cena bez DPH (CZK)",$G$3,"Zkratka kalkulační položky",B496,"Výrobce / Dodavatel",C496),"")</f>
        <v/>
      </c>
    </row>
    <row r="497" spans="1:5" x14ac:dyDescent="0.35">
      <c r="A497" s="902" t="str">
        <f t="shared" si="8"/>
        <v/>
      </c>
      <c r="B497" s="903" t="str">
        <f>IF(Tabulka4[[#This Row],[Typ úlohy]]="Součet",G497,IF(Tabulka4[[#This Row],[Typ úlohy]]="Účet",B496,""))</f>
        <v/>
      </c>
      <c r="C497" s="903" t="str">
        <f>IF(Tabulka4[[#This Row],[Typ úlohy]]="Účet",H497,"")</f>
        <v/>
      </c>
      <c r="D497" s="903" t="str">
        <f>IF(Tabulka4[[#This Row],[Typ úlohy]]="Účet",GETPIVOTDATA("Součet z Celková hmotnost položek [kg]",$G$2,"Zkratka kalkulační položky",B497,"Výrobce / Dodavatel",C497),"")</f>
        <v/>
      </c>
      <c r="E497" s="904" t="str">
        <f>IF(Tabulka4[[#This Row],[Typ úlohy]]="Účet",GETPIVOTDATA("Součet z Celková cena bez DPH (CZK)",$G$3,"Zkratka kalkulační položky",B497,"Výrobce / Dodavatel",C497),"")</f>
        <v/>
      </c>
    </row>
    <row r="498" spans="1:5" x14ac:dyDescent="0.35">
      <c r="A498" s="902" t="str">
        <f t="shared" si="8"/>
        <v/>
      </c>
      <c r="B498" s="903" t="str">
        <f>IF(Tabulka4[[#This Row],[Typ úlohy]]="Součet",G498,IF(Tabulka4[[#This Row],[Typ úlohy]]="Účet",B497,""))</f>
        <v/>
      </c>
      <c r="C498" s="903" t="str">
        <f>IF(Tabulka4[[#This Row],[Typ úlohy]]="Účet",H498,"")</f>
        <v/>
      </c>
      <c r="D498" s="903" t="str">
        <f>IF(Tabulka4[[#This Row],[Typ úlohy]]="Účet",GETPIVOTDATA("Součet z Celková hmotnost položek [kg]",$G$2,"Zkratka kalkulační položky",B498,"Výrobce / Dodavatel",C498),"")</f>
        <v/>
      </c>
      <c r="E498" s="904" t="str">
        <f>IF(Tabulka4[[#This Row],[Typ úlohy]]="Účet",GETPIVOTDATA("Součet z Celková cena bez DPH (CZK)",$G$3,"Zkratka kalkulační položky",B498,"Výrobce / Dodavatel",C498),"")</f>
        <v/>
      </c>
    </row>
    <row r="499" spans="1:5" x14ac:dyDescent="0.35">
      <c r="A499" s="902" t="str">
        <f t="shared" si="8"/>
        <v/>
      </c>
      <c r="B499" s="903" t="str">
        <f>IF(Tabulka4[[#This Row],[Typ úlohy]]="Součet",G499,IF(Tabulka4[[#This Row],[Typ úlohy]]="Účet",B498,""))</f>
        <v/>
      </c>
      <c r="C499" s="903" t="str">
        <f>IF(Tabulka4[[#This Row],[Typ úlohy]]="Účet",H499,"")</f>
        <v/>
      </c>
      <c r="D499" s="903" t="str">
        <f>IF(Tabulka4[[#This Row],[Typ úlohy]]="Účet",GETPIVOTDATA("Součet z Celková hmotnost položek [kg]",$G$2,"Zkratka kalkulační položky",B499,"Výrobce / Dodavatel",C499),"")</f>
        <v/>
      </c>
      <c r="E499" s="904" t="str">
        <f>IF(Tabulka4[[#This Row],[Typ úlohy]]="Účet",GETPIVOTDATA("Součet z Celková cena bez DPH (CZK)",$G$3,"Zkratka kalkulační položky",B499,"Výrobce / Dodavatel",C499),"")</f>
        <v/>
      </c>
    </row>
    <row r="500" spans="1:5" x14ac:dyDescent="0.35">
      <c r="A500" s="902" t="str">
        <f t="shared" si="8"/>
        <v/>
      </c>
      <c r="B500" s="903" t="str">
        <f>IF(Tabulka4[[#This Row],[Typ úlohy]]="Součet",G500,IF(Tabulka4[[#This Row],[Typ úlohy]]="Účet",B499,""))</f>
        <v/>
      </c>
      <c r="C500" s="903" t="str">
        <f>IF(Tabulka4[[#This Row],[Typ úlohy]]="Účet",H500,"")</f>
        <v/>
      </c>
      <c r="D500" s="903" t="str">
        <f>IF(Tabulka4[[#This Row],[Typ úlohy]]="Účet",GETPIVOTDATA("Součet z Celková hmotnost položek [kg]",$G$2,"Zkratka kalkulační položky",B500,"Výrobce / Dodavatel",C500),"")</f>
        <v/>
      </c>
      <c r="E500" s="904" t="str">
        <f>IF(Tabulka4[[#This Row],[Typ úlohy]]="Účet",GETPIVOTDATA("Součet z Celková cena bez DPH (CZK)",$G$3,"Zkratka kalkulační položky",B500,"Výrobce / Dodavatel",C500),"")</f>
        <v/>
      </c>
    </row>
    <row r="501" spans="1:5" x14ac:dyDescent="0.35">
      <c r="A501" s="902" t="str">
        <f t="shared" si="8"/>
        <v/>
      </c>
      <c r="B501" s="903" t="str">
        <f>IF(Tabulka4[[#This Row],[Typ úlohy]]="Součet",G501,IF(Tabulka4[[#This Row],[Typ úlohy]]="Účet",B500,""))</f>
        <v/>
      </c>
      <c r="C501" s="903" t="str">
        <f>IF(Tabulka4[[#This Row],[Typ úlohy]]="Účet",H501,"")</f>
        <v/>
      </c>
      <c r="D501" s="903" t="str">
        <f>IF(Tabulka4[[#This Row],[Typ úlohy]]="Účet",GETPIVOTDATA("Součet z Celková hmotnost položek [kg]",$G$2,"Zkratka kalkulační položky",B501,"Výrobce / Dodavatel",C501),"")</f>
        <v/>
      </c>
      <c r="E501" s="904" t="str">
        <f>IF(Tabulka4[[#This Row],[Typ úlohy]]="Účet",GETPIVOTDATA("Součet z Celková cena bez DPH (CZK)",$G$3,"Zkratka kalkulační položky",B501,"Výrobce / Dodavatel",C501),"")</f>
        <v/>
      </c>
    </row>
    <row r="502" spans="1:5" x14ac:dyDescent="0.35">
      <c r="A502" s="902" t="str">
        <f t="shared" si="8"/>
        <v/>
      </c>
      <c r="B502" s="903" t="str">
        <f>IF(Tabulka4[[#This Row],[Typ úlohy]]="Součet",G502,IF(Tabulka4[[#This Row],[Typ úlohy]]="Účet",B501,""))</f>
        <v/>
      </c>
      <c r="C502" s="903" t="str">
        <f>IF(Tabulka4[[#This Row],[Typ úlohy]]="Účet",H502,"")</f>
        <v/>
      </c>
      <c r="D502" s="903" t="str">
        <f>IF(Tabulka4[[#This Row],[Typ úlohy]]="Účet",GETPIVOTDATA("Součet z Celková hmotnost položek [kg]",$G$2,"Zkratka kalkulační položky",B502,"Výrobce / Dodavatel",C502),"")</f>
        <v/>
      </c>
      <c r="E502" s="904" t="str">
        <f>IF(Tabulka4[[#This Row],[Typ úlohy]]="Účet",GETPIVOTDATA("Součet z Celková cena bez DPH (CZK)",$G$3,"Zkratka kalkulační položky",B502,"Výrobce / Dodavatel",C502),"")</f>
        <v/>
      </c>
    </row>
    <row r="503" spans="1:5" x14ac:dyDescent="0.35">
      <c r="A503" s="902" t="str">
        <f t="shared" si="8"/>
        <v/>
      </c>
      <c r="B503" s="903" t="str">
        <f>IF(Tabulka4[[#This Row],[Typ úlohy]]="Součet",G503,IF(Tabulka4[[#This Row],[Typ úlohy]]="Účet",B502,""))</f>
        <v/>
      </c>
      <c r="C503" s="903" t="str">
        <f>IF(Tabulka4[[#This Row],[Typ úlohy]]="Účet",H503,"")</f>
        <v/>
      </c>
      <c r="D503" s="903" t="str">
        <f>IF(Tabulka4[[#This Row],[Typ úlohy]]="Účet",GETPIVOTDATA("Součet z Celková hmotnost položek [kg]",$G$2,"Zkratka kalkulační položky",B503,"Výrobce / Dodavatel",C503),"")</f>
        <v/>
      </c>
      <c r="E503" s="904" t="str">
        <f>IF(Tabulka4[[#This Row],[Typ úlohy]]="Účet",GETPIVOTDATA("Součet z Celková cena bez DPH (CZK)",$G$3,"Zkratka kalkulační položky",B503,"Výrobce / Dodavatel",C503),"")</f>
        <v/>
      </c>
    </row>
    <row r="504" spans="1:5" x14ac:dyDescent="0.35">
      <c r="A504" s="902" t="str">
        <f t="shared" si="8"/>
        <v/>
      </c>
      <c r="B504" s="903" t="str">
        <f>IF(Tabulka4[[#This Row],[Typ úlohy]]="Součet",G504,IF(Tabulka4[[#This Row],[Typ úlohy]]="Účet",B503,""))</f>
        <v/>
      </c>
      <c r="C504" s="903" t="str">
        <f>IF(Tabulka4[[#This Row],[Typ úlohy]]="Účet",H504,"")</f>
        <v/>
      </c>
      <c r="D504" s="903" t="str">
        <f>IF(Tabulka4[[#This Row],[Typ úlohy]]="Účet",GETPIVOTDATA("Součet z Celková hmotnost položek [kg]",$G$2,"Zkratka kalkulační položky",B504,"Výrobce / Dodavatel",C504),"")</f>
        <v/>
      </c>
      <c r="E504" s="904" t="str">
        <f>IF(Tabulka4[[#This Row],[Typ úlohy]]="Účet",GETPIVOTDATA("Součet z Celková cena bez DPH (CZK)",$G$3,"Zkratka kalkulační položky",B504,"Výrobce / Dodavatel",C504),"")</f>
        <v/>
      </c>
    </row>
    <row r="505" spans="1:5" x14ac:dyDescent="0.35">
      <c r="A505" s="902" t="str">
        <f t="shared" si="8"/>
        <v/>
      </c>
      <c r="B505" s="903" t="str">
        <f>IF(Tabulka4[[#This Row],[Typ úlohy]]="Součet",G505,IF(Tabulka4[[#This Row],[Typ úlohy]]="Účet",B504,""))</f>
        <v/>
      </c>
      <c r="C505" s="903" t="str">
        <f>IF(Tabulka4[[#This Row],[Typ úlohy]]="Účet",H505,"")</f>
        <v/>
      </c>
      <c r="D505" s="903" t="str">
        <f>IF(Tabulka4[[#This Row],[Typ úlohy]]="Účet",GETPIVOTDATA("Součet z Celková hmotnost položek [kg]",$G$2,"Zkratka kalkulační položky",B505,"Výrobce / Dodavatel",C505),"")</f>
        <v/>
      </c>
      <c r="E505" s="904" t="str">
        <f>IF(Tabulka4[[#This Row],[Typ úlohy]]="Účet",GETPIVOTDATA("Součet z Celková cena bez DPH (CZK)",$G$3,"Zkratka kalkulační položky",B505,"Výrobce / Dodavatel",C505),"")</f>
        <v/>
      </c>
    </row>
    <row r="506" spans="1:5" x14ac:dyDescent="0.35">
      <c r="A506" s="902" t="str">
        <f t="shared" si="8"/>
        <v/>
      </c>
      <c r="B506" s="903" t="str">
        <f>IF(Tabulka4[[#This Row],[Typ úlohy]]="Součet",G506,IF(Tabulka4[[#This Row],[Typ úlohy]]="Účet",B505,""))</f>
        <v/>
      </c>
      <c r="C506" s="903" t="str">
        <f>IF(Tabulka4[[#This Row],[Typ úlohy]]="Účet",H506,"")</f>
        <v/>
      </c>
      <c r="D506" s="903" t="str">
        <f>IF(Tabulka4[[#This Row],[Typ úlohy]]="Účet",GETPIVOTDATA("Součet z Celková hmotnost položek [kg]",$G$2,"Zkratka kalkulační položky",B506,"Výrobce / Dodavatel",C506),"")</f>
        <v/>
      </c>
      <c r="E506" s="904" t="str">
        <f>IF(Tabulka4[[#This Row],[Typ úlohy]]="Účet",GETPIVOTDATA("Součet z Celková cena bez DPH (CZK)",$G$3,"Zkratka kalkulační položky",B506,"Výrobce / Dodavatel",C506),"")</f>
        <v/>
      </c>
    </row>
    <row r="507" spans="1:5" x14ac:dyDescent="0.35">
      <c r="A507" s="902" t="str">
        <f t="shared" si="8"/>
        <v/>
      </c>
      <c r="B507" s="903" t="str">
        <f>IF(Tabulka4[[#This Row],[Typ úlohy]]="Součet",G507,IF(Tabulka4[[#This Row],[Typ úlohy]]="Účet",B506,""))</f>
        <v/>
      </c>
      <c r="C507" s="903" t="str">
        <f>IF(Tabulka4[[#This Row],[Typ úlohy]]="Účet",H507,"")</f>
        <v/>
      </c>
      <c r="D507" s="903" t="str">
        <f>IF(Tabulka4[[#This Row],[Typ úlohy]]="Účet",GETPIVOTDATA("Součet z Celková hmotnost položek [kg]",$G$2,"Zkratka kalkulační položky",B507,"Výrobce / Dodavatel",C507),"")</f>
        <v/>
      </c>
      <c r="E507" s="904" t="str">
        <f>IF(Tabulka4[[#This Row],[Typ úlohy]]="Účet",GETPIVOTDATA("Součet z Celková cena bez DPH (CZK)",$G$3,"Zkratka kalkulační položky",B507,"Výrobce / Dodavatel",C507),"")</f>
        <v/>
      </c>
    </row>
    <row r="508" spans="1:5" x14ac:dyDescent="0.35">
      <c r="A508" s="902" t="str">
        <f t="shared" si="8"/>
        <v/>
      </c>
      <c r="B508" s="903" t="str">
        <f>IF(Tabulka4[[#This Row],[Typ úlohy]]="Součet",G508,IF(Tabulka4[[#This Row],[Typ úlohy]]="Účet",B507,""))</f>
        <v/>
      </c>
      <c r="C508" s="903" t="str">
        <f>IF(Tabulka4[[#This Row],[Typ úlohy]]="Účet",H508,"")</f>
        <v/>
      </c>
      <c r="D508" s="903" t="str">
        <f>IF(Tabulka4[[#This Row],[Typ úlohy]]="Účet",GETPIVOTDATA("Součet z Celková hmotnost položek [kg]",$G$2,"Zkratka kalkulační položky",B508,"Výrobce / Dodavatel",C508),"")</f>
        <v/>
      </c>
      <c r="E508" s="904" t="str">
        <f>IF(Tabulka4[[#This Row],[Typ úlohy]]="Účet",GETPIVOTDATA("Součet z Celková cena bez DPH (CZK)",$G$3,"Zkratka kalkulační položky",B508,"Výrobce / Dodavatel",C508),"")</f>
        <v/>
      </c>
    </row>
    <row r="509" spans="1:5" x14ac:dyDescent="0.35">
      <c r="A509" s="902" t="str">
        <f t="shared" si="8"/>
        <v/>
      </c>
      <c r="B509" s="903" t="str">
        <f>IF(Tabulka4[[#This Row],[Typ úlohy]]="Součet",G509,IF(Tabulka4[[#This Row],[Typ úlohy]]="Účet",B508,""))</f>
        <v/>
      </c>
      <c r="C509" s="903" t="str">
        <f>IF(Tabulka4[[#This Row],[Typ úlohy]]="Účet",H509,"")</f>
        <v/>
      </c>
      <c r="D509" s="903" t="str">
        <f>IF(Tabulka4[[#This Row],[Typ úlohy]]="Účet",GETPIVOTDATA("Součet z Celková hmotnost položek [kg]",$G$2,"Zkratka kalkulační položky",B509,"Výrobce / Dodavatel",C509),"")</f>
        <v/>
      </c>
      <c r="E509" s="904" t="str">
        <f>IF(Tabulka4[[#This Row],[Typ úlohy]]="Účet",GETPIVOTDATA("Součet z Celková cena bez DPH (CZK)",$G$3,"Zkratka kalkulační položky",B509,"Výrobce / Dodavatel",C509),"")</f>
        <v/>
      </c>
    </row>
    <row r="510" spans="1:5" x14ac:dyDescent="0.35">
      <c r="A510" s="902" t="str">
        <f t="shared" si="8"/>
        <v/>
      </c>
      <c r="B510" s="903" t="str">
        <f>IF(Tabulka4[[#This Row],[Typ úlohy]]="Součet",G510,IF(Tabulka4[[#This Row],[Typ úlohy]]="Účet",B509,""))</f>
        <v/>
      </c>
      <c r="C510" s="903" t="str">
        <f>IF(Tabulka4[[#This Row],[Typ úlohy]]="Účet",H510,"")</f>
        <v/>
      </c>
      <c r="D510" s="903" t="str">
        <f>IF(Tabulka4[[#This Row],[Typ úlohy]]="Účet",GETPIVOTDATA("Součet z Celková hmotnost položek [kg]",$G$2,"Zkratka kalkulační položky",B510,"Výrobce / Dodavatel",C510),"")</f>
        <v/>
      </c>
      <c r="E510" s="904" t="str">
        <f>IF(Tabulka4[[#This Row],[Typ úlohy]]="Účet",GETPIVOTDATA("Součet z Celková cena bez DPH (CZK)",$G$3,"Zkratka kalkulační položky",B510,"Výrobce / Dodavatel",C510),"")</f>
        <v/>
      </c>
    </row>
    <row r="511" spans="1:5" x14ac:dyDescent="0.35">
      <c r="A511" s="902" t="str">
        <f t="shared" si="8"/>
        <v/>
      </c>
      <c r="B511" s="903" t="str">
        <f>IF(Tabulka4[[#This Row],[Typ úlohy]]="Součet",G511,IF(Tabulka4[[#This Row],[Typ úlohy]]="Účet",B510,""))</f>
        <v/>
      </c>
      <c r="C511" s="903" t="str">
        <f>IF(Tabulka4[[#This Row],[Typ úlohy]]="Účet",H511,"")</f>
        <v/>
      </c>
      <c r="D511" s="903" t="str">
        <f>IF(Tabulka4[[#This Row],[Typ úlohy]]="Účet",GETPIVOTDATA("Součet z Celková hmotnost položek [kg]",$G$2,"Zkratka kalkulační položky",B511,"Výrobce / Dodavatel",C511),"")</f>
        <v/>
      </c>
      <c r="E511" s="904" t="str">
        <f>IF(Tabulka4[[#This Row],[Typ úlohy]]="Účet",GETPIVOTDATA("Součet z Celková cena bez DPH (CZK)",$G$3,"Zkratka kalkulační položky",B511,"Výrobce / Dodavatel",C511),"")</f>
        <v/>
      </c>
    </row>
    <row r="512" spans="1:5" x14ac:dyDescent="0.35">
      <c r="A512" s="902" t="str">
        <f t="shared" si="8"/>
        <v/>
      </c>
      <c r="B512" s="903" t="str">
        <f>IF(Tabulka4[[#This Row],[Typ úlohy]]="Součet",G512,IF(Tabulka4[[#This Row],[Typ úlohy]]="Účet",B511,""))</f>
        <v/>
      </c>
      <c r="C512" s="903" t="str">
        <f>IF(Tabulka4[[#This Row],[Typ úlohy]]="Účet",H512,"")</f>
        <v/>
      </c>
      <c r="D512" s="903" t="str">
        <f>IF(Tabulka4[[#This Row],[Typ úlohy]]="Účet",GETPIVOTDATA("Součet z Celková hmotnost položek [kg]",$G$2,"Zkratka kalkulační položky",B512,"Výrobce / Dodavatel",C512),"")</f>
        <v/>
      </c>
      <c r="E512" s="904" t="str">
        <f>IF(Tabulka4[[#This Row],[Typ úlohy]]="Účet",GETPIVOTDATA("Součet z Celková cena bez DPH (CZK)",$G$3,"Zkratka kalkulační položky",B512,"Výrobce / Dodavatel",C512),"")</f>
        <v/>
      </c>
    </row>
    <row r="513" spans="1:5" x14ac:dyDescent="0.35">
      <c r="A513" s="902" t="str">
        <f t="shared" si="8"/>
        <v/>
      </c>
      <c r="B513" s="903" t="str">
        <f>IF(Tabulka4[[#This Row],[Typ úlohy]]="Součet",G513,IF(Tabulka4[[#This Row],[Typ úlohy]]="Účet",B512,""))</f>
        <v/>
      </c>
      <c r="C513" s="903" t="str">
        <f>IF(Tabulka4[[#This Row],[Typ úlohy]]="Účet",H513,"")</f>
        <v/>
      </c>
      <c r="D513" s="903" t="str">
        <f>IF(Tabulka4[[#This Row],[Typ úlohy]]="Účet",GETPIVOTDATA("Součet z Celková hmotnost položek [kg]",$G$2,"Zkratka kalkulační položky",B513,"Výrobce / Dodavatel",C513),"")</f>
        <v/>
      </c>
      <c r="E513" s="904" t="str">
        <f>IF(Tabulka4[[#This Row],[Typ úlohy]]="Účet",GETPIVOTDATA("Součet z Celková cena bez DPH (CZK)",$G$3,"Zkratka kalkulační položky",B513,"Výrobce / Dodavatel",C513),"")</f>
        <v/>
      </c>
    </row>
    <row r="514" spans="1:5" x14ac:dyDescent="0.35">
      <c r="A514" s="902" t="str">
        <f t="shared" si="8"/>
        <v/>
      </c>
      <c r="B514" s="903" t="str">
        <f>IF(Tabulka4[[#This Row],[Typ úlohy]]="Součet",G514,IF(Tabulka4[[#This Row],[Typ úlohy]]="Účet",B513,""))</f>
        <v/>
      </c>
      <c r="C514" s="903" t="str">
        <f>IF(Tabulka4[[#This Row],[Typ úlohy]]="Účet",H514,"")</f>
        <v/>
      </c>
      <c r="D514" s="903" t="str">
        <f>IF(Tabulka4[[#This Row],[Typ úlohy]]="Účet",GETPIVOTDATA("Součet z Celková hmotnost položek [kg]",$G$2,"Zkratka kalkulační položky",B514,"Výrobce / Dodavatel",C514),"")</f>
        <v/>
      </c>
      <c r="E514" s="904" t="str">
        <f>IF(Tabulka4[[#This Row],[Typ úlohy]]="Účet",GETPIVOTDATA("Součet z Celková cena bez DPH (CZK)",$G$3,"Zkratka kalkulační položky",B514,"Výrobce / Dodavatel",C514),"")</f>
        <v/>
      </c>
    </row>
    <row r="515" spans="1:5" x14ac:dyDescent="0.35">
      <c r="A515" s="902" t="str">
        <f t="shared" si="8"/>
        <v/>
      </c>
      <c r="B515" s="903" t="str">
        <f>IF(Tabulka4[[#This Row],[Typ úlohy]]="Součet",G515,IF(Tabulka4[[#This Row],[Typ úlohy]]="Účet",B514,""))</f>
        <v/>
      </c>
      <c r="C515" s="903" t="str">
        <f>IF(Tabulka4[[#This Row],[Typ úlohy]]="Účet",H515,"")</f>
        <v/>
      </c>
      <c r="D515" s="903" t="str">
        <f>IF(Tabulka4[[#This Row],[Typ úlohy]]="Účet",GETPIVOTDATA("Součet z Celková hmotnost položek [kg]",$G$2,"Zkratka kalkulační položky",B515,"Výrobce / Dodavatel",C515),"")</f>
        <v/>
      </c>
      <c r="E515" s="904" t="str">
        <f>IF(Tabulka4[[#This Row],[Typ úlohy]]="Účet",GETPIVOTDATA("Součet z Celková cena bez DPH (CZK)",$G$3,"Zkratka kalkulační položky",B515,"Výrobce / Dodavatel",C515),"")</f>
        <v/>
      </c>
    </row>
    <row r="516" spans="1:5" x14ac:dyDescent="0.35">
      <c r="A516" s="902" t="str">
        <f t="shared" si="8"/>
        <v/>
      </c>
      <c r="B516" s="903" t="str">
        <f>IF(Tabulka4[[#This Row],[Typ úlohy]]="Součet",G516,IF(Tabulka4[[#This Row],[Typ úlohy]]="Účet",B515,""))</f>
        <v/>
      </c>
      <c r="C516" s="903" t="str">
        <f>IF(Tabulka4[[#This Row],[Typ úlohy]]="Účet",H516,"")</f>
        <v/>
      </c>
      <c r="D516" s="903" t="str">
        <f>IF(Tabulka4[[#This Row],[Typ úlohy]]="Účet",GETPIVOTDATA("Součet z Celková hmotnost položek [kg]",$G$2,"Zkratka kalkulační položky",B516,"Výrobce / Dodavatel",C516),"")</f>
        <v/>
      </c>
      <c r="E516" s="904" t="str">
        <f>IF(Tabulka4[[#This Row],[Typ úlohy]]="Účet",GETPIVOTDATA("Součet z Celková cena bez DPH (CZK)",$G$3,"Zkratka kalkulační položky",B516,"Výrobce / Dodavatel",C516),"")</f>
        <v/>
      </c>
    </row>
    <row r="517" spans="1:5" x14ac:dyDescent="0.35">
      <c r="A517" s="902" t="str">
        <f t="shared" ref="A517:A580" si="9">IF(H517="",IF(G517="","","Součet"),"Účet")</f>
        <v/>
      </c>
      <c r="B517" s="903" t="str">
        <f>IF(Tabulka4[[#This Row],[Typ úlohy]]="Součet",G517,IF(Tabulka4[[#This Row],[Typ úlohy]]="Účet",B516,""))</f>
        <v/>
      </c>
      <c r="C517" s="903" t="str">
        <f>IF(Tabulka4[[#This Row],[Typ úlohy]]="Účet",H517,"")</f>
        <v/>
      </c>
      <c r="D517" s="903" t="str">
        <f>IF(Tabulka4[[#This Row],[Typ úlohy]]="Účet",GETPIVOTDATA("Součet z Celková hmotnost položek [kg]",$G$2,"Zkratka kalkulační položky",B517,"Výrobce / Dodavatel",C517),"")</f>
        <v/>
      </c>
      <c r="E517" s="904" t="str">
        <f>IF(Tabulka4[[#This Row],[Typ úlohy]]="Účet",GETPIVOTDATA("Součet z Celková cena bez DPH (CZK)",$G$3,"Zkratka kalkulační položky",B517,"Výrobce / Dodavatel",C517),"")</f>
        <v/>
      </c>
    </row>
    <row r="518" spans="1:5" x14ac:dyDescent="0.35">
      <c r="A518" s="902" t="str">
        <f t="shared" si="9"/>
        <v/>
      </c>
      <c r="B518" s="903" t="str">
        <f>IF(Tabulka4[[#This Row],[Typ úlohy]]="Součet",G518,IF(Tabulka4[[#This Row],[Typ úlohy]]="Účet",B517,""))</f>
        <v/>
      </c>
      <c r="C518" s="903" t="str">
        <f>IF(Tabulka4[[#This Row],[Typ úlohy]]="Účet",H518,"")</f>
        <v/>
      </c>
      <c r="D518" s="903" t="str">
        <f>IF(Tabulka4[[#This Row],[Typ úlohy]]="Účet",GETPIVOTDATA("Součet z Celková hmotnost položek [kg]",$G$2,"Zkratka kalkulační položky",B518,"Výrobce / Dodavatel",C518),"")</f>
        <v/>
      </c>
      <c r="E518" s="904" t="str">
        <f>IF(Tabulka4[[#This Row],[Typ úlohy]]="Účet",GETPIVOTDATA("Součet z Celková cena bez DPH (CZK)",$G$3,"Zkratka kalkulační položky",B518,"Výrobce / Dodavatel",C518),"")</f>
        <v/>
      </c>
    </row>
    <row r="519" spans="1:5" x14ac:dyDescent="0.35">
      <c r="A519" s="902" t="str">
        <f t="shared" si="9"/>
        <v/>
      </c>
      <c r="B519" s="903" t="str">
        <f>IF(Tabulka4[[#This Row],[Typ úlohy]]="Součet",G519,IF(Tabulka4[[#This Row],[Typ úlohy]]="Účet",B518,""))</f>
        <v/>
      </c>
      <c r="C519" s="903" t="str">
        <f>IF(Tabulka4[[#This Row],[Typ úlohy]]="Účet",H519,"")</f>
        <v/>
      </c>
      <c r="D519" s="903" t="str">
        <f>IF(Tabulka4[[#This Row],[Typ úlohy]]="Účet",GETPIVOTDATA("Součet z Celková hmotnost položek [kg]",$G$2,"Zkratka kalkulační položky",B519,"Výrobce / Dodavatel",C519),"")</f>
        <v/>
      </c>
      <c r="E519" s="904" t="str">
        <f>IF(Tabulka4[[#This Row],[Typ úlohy]]="Účet",GETPIVOTDATA("Součet z Celková cena bez DPH (CZK)",$G$3,"Zkratka kalkulační položky",B519,"Výrobce / Dodavatel",C519),"")</f>
        <v/>
      </c>
    </row>
    <row r="520" spans="1:5" x14ac:dyDescent="0.35">
      <c r="A520" s="902" t="str">
        <f t="shared" si="9"/>
        <v/>
      </c>
      <c r="B520" s="903" t="str">
        <f>IF(Tabulka4[[#This Row],[Typ úlohy]]="Součet",G520,IF(Tabulka4[[#This Row],[Typ úlohy]]="Účet",B519,""))</f>
        <v/>
      </c>
      <c r="C520" s="903" t="str">
        <f>IF(Tabulka4[[#This Row],[Typ úlohy]]="Účet",H520,"")</f>
        <v/>
      </c>
      <c r="D520" s="903" t="str">
        <f>IF(Tabulka4[[#This Row],[Typ úlohy]]="Účet",GETPIVOTDATA("Součet z Celková hmotnost položek [kg]",$G$2,"Zkratka kalkulační položky",B520,"Výrobce / Dodavatel",C520),"")</f>
        <v/>
      </c>
      <c r="E520" s="904" t="str">
        <f>IF(Tabulka4[[#This Row],[Typ úlohy]]="Účet",GETPIVOTDATA("Součet z Celková cena bez DPH (CZK)",$G$3,"Zkratka kalkulační položky",B520,"Výrobce / Dodavatel",C520),"")</f>
        <v/>
      </c>
    </row>
    <row r="521" spans="1:5" x14ac:dyDescent="0.35">
      <c r="A521" s="902" t="str">
        <f t="shared" si="9"/>
        <v/>
      </c>
      <c r="B521" s="903" t="str">
        <f>IF(Tabulka4[[#This Row],[Typ úlohy]]="Součet",G521,IF(Tabulka4[[#This Row],[Typ úlohy]]="Účet",B520,""))</f>
        <v/>
      </c>
      <c r="C521" s="903" t="str">
        <f>IF(Tabulka4[[#This Row],[Typ úlohy]]="Účet",H521,"")</f>
        <v/>
      </c>
      <c r="D521" s="903" t="str">
        <f>IF(Tabulka4[[#This Row],[Typ úlohy]]="Účet",GETPIVOTDATA("Součet z Celková hmotnost položek [kg]",$G$2,"Zkratka kalkulační položky",B521,"Výrobce / Dodavatel",C521),"")</f>
        <v/>
      </c>
      <c r="E521" s="904" t="str">
        <f>IF(Tabulka4[[#This Row],[Typ úlohy]]="Účet",GETPIVOTDATA("Součet z Celková cena bez DPH (CZK)",$G$3,"Zkratka kalkulační položky",B521,"Výrobce / Dodavatel",C521),"")</f>
        <v/>
      </c>
    </row>
    <row r="522" spans="1:5" x14ac:dyDescent="0.35">
      <c r="A522" s="902" t="str">
        <f t="shared" si="9"/>
        <v/>
      </c>
      <c r="B522" s="903" t="str">
        <f>IF(Tabulka4[[#This Row],[Typ úlohy]]="Součet",G522,IF(Tabulka4[[#This Row],[Typ úlohy]]="Účet",B521,""))</f>
        <v/>
      </c>
      <c r="C522" s="903" t="str">
        <f>IF(Tabulka4[[#This Row],[Typ úlohy]]="Účet",H522,"")</f>
        <v/>
      </c>
      <c r="D522" s="903" t="str">
        <f>IF(Tabulka4[[#This Row],[Typ úlohy]]="Účet",GETPIVOTDATA("Součet z Celková hmotnost položek [kg]",$G$2,"Zkratka kalkulační položky",B522,"Výrobce / Dodavatel",C522),"")</f>
        <v/>
      </c>
      <c r="E522" s="904" t="str">
        <f>IF(Tabulka4[[#This Row],[Typ úlohy]]="Účet",GETPIVOTDATA("Součet z Celková cena bez DPH (CZK)",$G$3,"Zkratka kalkulační položky",B522,"Výrobce / Dodavatel",C522),"")</f>
        <v/>
      </c>
    </row>
    <row r="523" spans="1:5" x14ac:dyDescent="0.35">
      <c r="A523" s="902" t="str">
        <f t="shared" si="9"/>
        <v/>
      </c>
      <c r="B523" s="903" t="str">
        <f>IF(Tabulka4[[#This Row],[Typ úlohy]]="Součet",G523,IF(Tabulka4[[#This Row],[Typ úlohy]]="Účet",B522,""))</f>
        <v/>
      </c>
      <c r="C523" s="903" t="str">
        <f>IF(Tabulka4[[#This Row],[Typ úlohy]]="Účet",H523,"")</f>
        <v/>
      </c>
      <c r="D523" s="903" t="str">
        <f>IF(Tabulka4[[#This Row],[Typ úlohy]]="Účet",GETPIVOTDATA("Součet z Celková hmotnost položek [kg]",$G$2,"Zkratka kalkulační položky",B523,"Výrobce / Dodavatel",C523),"")</f>
        <v/>
      </c>
      <c r="E523" s="904" t="str">
        <f>IF(Tabulka4[[#This Row],[Typ úlohy]]="Účet",GETPIVOTDATA("Součet z Celková cena bez DPH (CZK)",$G$3,"Zkratka kalkulační položky",B523,"Výrobce / Dodavatel",C523),"")</f>
        <v/>
      </c>
    </row>
    <row r="524" spans="1:5" x14ac:dyDescent="0.35">
      <c r="A524" s="902" t="str">
        <f t="shared" si="9"/>
        <v/>
      </c>
      <c r="B524" s="903" t="str">
        <f>IF(Tabulka4[[#This Row],[Typ úlohy]]="Součet",G524,IF(Tabulka4[[#This Row],[Typ úlohy]]="Účet",B523,""))</f>
        <v/>
      </c>
      <c r="C524" s="903" t="str">
        <f>IF(Tabulka4[[#This Row],[Typ úlohy]]="Účet",H524,"")</f>
        <v/>
      </c>
      <c r="D524" s="903" t="str">
        <f>IF(Tabulka4[[#This Row],[Typ úlohy]]="Účet",GETPIVOTDATA("Součet z Celková hmotnost položek [kg]",$G$2,"Zkratka kalkulační položky",B524,"Výrobce / Dodavatel",C524),"")</f>
        <v/>
      </c>
      <c r="E524" s="904" t="str">
        <f>IF(Tabulka4[[#This Row],[Typ úlohy]]="Účet",GETPIVOTDATA("Součet z Celková cena bez DPH (CZK)",$G$3,"Zkratka kalkulační položky",B524,"Výrobce / Dodavatel",C524),"")</f>
        <v/>
      </c>
    </row>
    <row r="525" spans="1:5" x14ac:dyDescent="0.35">
      <c r="A525" s="902" t="str">
        <f t="shared" si="9"/>
        <v/>
      </c>
      <c r="B525" s="903" t="str">
        <f>IF(Tabulka4[[#This Row],[Typ úlohy]]="Součet",G525,IF(Tabulka4[[#This Row],[Typ úlohy]]="Účet",B524,""))</f>
        <v/>
      </c>
      <c r="C525" s="903" t="str">
        <f>IF(Tabulka4[[#This Row],[Typ úlohy]]="Účet",H525,"")</f>
        <v/>
      </c>
      <c r="D525" s="903" t="str">
        <f>IF(Tabulka4[[#This Row],[Typ úlohy]]="Účet",GETPIVOTDATA("Součet z Celková hmotnost položek [kg]",$G$2,"Zkratka kalkulační položky",B525,"Výrobce / Dodavatel",C525),"")</f>
        <v/>
      </c>
      <c r="E525" s="904" t="str">
        <f>IF(Tabulka4[[#This Row],[Typ úlohy]]="Účet",GETPIVOTDATA("Součet z Celková cena bez DPH (CZK)",$G$3,"Zkratka kalkulační položky",B525,"Výrobce / Dodavatel",C525),"")</f>
        <v/>
      </c>
    </row>
    <row r="526" spans="1:5" x14ac:dyDescent="0.35">
      <c r="A526" s="902" t="str">
        <f t="shared" si="9"/>
        <v/>
      </c>
      <c r="B526" s="903" t="str">
        <f>IF(Tabulka4[[#This Row],[Typ úlohy]]="Součet",G526,IF(Tabulka4[[#This Row],[Typ úlohy]]="Účet",B525,""))</f>
        <v/>
      </c>
      <c r="C526" s="903" t="str">
        <f>IF(Tabulka4[[#This Row],[Typ úlohy]]="Účet",H526,"")</f>
        <v/>
      </c>
      <c r="D526" s="903" t="str">
        <f>IF(Tabulka4[[#This Row],[Typ úlohy]]="Účet",GETPIVOTDATA("Součet z Celková hmotnost položek [kg]",$G$2,"Zkratka kalkulační položky",B526,"Výrobce / Dodavatel",C526),"")</f>
        <v/>
      </c>
      <c r="E526" s="904" t="str">
        <f>IF(Tabulka4[[#This Row],[Typ úlohy]]="Účet",GETPIVOTDATA("Součet z Celková cena bez DPH (CZK)",$G$3,"Zkratka kalkulační položky",B526,"Výrobce / Dodavatel",C526),"")</f>
        <v/>
      </c>
    </row>
    <row r="527" spans="1:5" x14ac:dyDescent="0.35">
      <c r="A527" s="902" t="str">
        <f t="shared" si="9"/>
        <v/>
      </c>
      <c r="B527" s="903" t="str">
        <f>IF(Tabulka4[[#This Row],[Typ úlohy]]="Součet",G527,IF(Tabulka4[[#This Row],[Typ úlohy]]="Účet",B526,""))</f>
        <v/>
      </c>
      <c r="C527" s="903" t="str">
        <f>IF(Tabulka4[[#This Row],[Typ úlohy]]="Účet",H527,"")</f>
        <v/>
      </c>
      <c r="D527" s="903" t="str">
        <f>IF(Tabulka4[[#This Row],[Typ úlohy]]="Účet",GETPIVOTDATA("Součet z Celková hmotnost položek [kg]",$G$2,"Zkratka kalkulační položky",B527,"Výrobce / Dodavatel",C527),"")</f>
        <v/>
      </c>
      <c r="E527" s="904" t="str">
        <f>IF(Tabulka4[[#This Row],[Typ úlohy]]="Účet",GETPIVOTDATA("Součet z Celková cena bez DPH (CZK)",$G$3,"Zkratka kalkulační položky",B527,"Výrobce / Dodavatel",C527),"")</f>
        <v/>
      </c>
    </row>
    <row r="528" spans="1:5" x14ac:dyDescent="0.35">
      <c r="A528" s="902" t="str">
        <f t="shared" si="9"/>
        <v/>
      </c>
      <c r="B528" s="903" t="str">
        <f>IF(Tabulka4[[#This Row],[Typ úlohy]]="Součet",G528,IF(Tabulka4[[#This Row],[Typ úlohy]]="Účet",B527,""))</f>
        <v/>
      </c>
      <c r="C528" s="903" t="str">
        <f>IF(Tabulka4[[#This Row],[Typ úlohy]]="Účet",H528,"")</f>
        <v/>
      </c>
      <c r="D528" s="903" t="str">
        <f>IF(Tabulka4[[#This Row],[Typ úlohy]]="Účet",GETPIVOTDATA("Součet z Celková hmotnost položek [kg]",$G$2,"Zkratka kalkulační položky",B528,"Výrobce / Dodavatel",C528),"")</f>
        <v/>
      </c>
      <c r="E528" s="904" t="str">
        <f>IF(Tabulka4[[#This Row],[Typ úlohy]]="Účet",GETPIVOTDATA("Součet z Celková cena bez DPH (CZK)",$G$3,"Zkratka kalkulační položky",B528,"Výrobce / Dodavatel",C528),"")</f>
        <v/>
      </c>
    </row>
    <row r="529" spans="1:5" x14ac:dyDescent="0.35">
      <c r="A529" s="902" t="str">
        <f t="shared" si="9"/>
        <v/>
      </c>
      <c r="B529" s="903" t="str">
        <f>IF(Tabulka4[[#This Row],[Typ úlohy]]="Součet",G529,IF(Tabulka4[[#This Row],[Typ úlohy]]="Účet",B528,""))</f>
        <v/>
      </c>
      <c r="C529" s="903" t="str">
        <f>IF(Tabulka4[[#This Row],[Typ úlohy]]="Účet",H529,"")</f>
        <v/>
      </c>
      <c r="D529" s="903" t="str">
        <f>IF(Tabulka4[[#This Row],[Typ úlohy]]="Účet",GETPIVOTDATA("Součet z Celková hmotnost položek [kg]",$G$2,"Zkratka kalkulační položky",B529,"Výrobce / Dodavatel",C529),"")</f>
        <v/>
      </c>
      <c r="E529" s="904" t="str">
        <f>IF(Tabulka4[[#This Row],[Typ úlohy]]="Účet",GETPIVOTDATA("Součet z Celková cena bez DPH (CZK)",$G$3,"Zkratka kalkulační položky",B529,"Výrobce / Dodavatel",C529),"")</f>
        <v/>
      </c>
    </row>
    <row r="530" spans="1:5" x14ac:dyDescent="0.35">
      <c r="A530" s="902" t="str">
        <f t="shared" si="9"/>
        <v/>
      </c>
      <c r="B530" s="903" t="str">
        <f>IF(Tabulka4[[#This Row],[Typ úlohy]]="Součet",G530,IF(Tabulka4[[#This Row],[Typ úlohy]]="Účet",B529,""))</f>
        <v/>
      </c>
      <c r="C530" s="903" t="str">
        <f>IF(Tabulka4[[#This Row],[Typ úlohy]]="Účet",H530,"")</f>
        <v/>
      </c>
      <c r="D530" s="903" t="str">
        <f>IF(Tabulka4[[#This Row],[Typ úlohy]]="Účet",GETPIVOTDATA("Součet z Celková hmotnost položek [kg]",$G$2,"Zkratka kalkulační položky",B530,"Výrobce / Dodavatel",C530),"")</f>
        <v/>
      </c>
      <c r="E530" s="904" t="str">
        <f>IF(Tabulka4[[#This Row],[Typ úlohy]]="Účet",GETPIVOTDATA("Součet z Celková cena bez DPH (CZK)",$G$3,"Zkratka kalkulační položky",B530,"Výrobce / Dodavatel",C530),"")</f>
        <v/>
      </c>
    </row>
    <row r="531" spans="1:5" x14ac:dyDescent="0.35">
      <c r="A531" s="902" t="str">
        <f t="shared" si="9"/>
        <v/>
      </c>
      <c r="B531" s="903" t="str">
        <f>IF(Tabulka4[[#This Row],[Typ úlohy]]="Součet",G531,IF(Tabulka4[[#This Row],[Typ úlohy]]="Účet",B530,""))</f>
        <v/>
      </c>
      <c r="C531" s="903" t="str">
        <f>IF(Tabulka4[[#This Row],[Typ úlohy]]="Účet",H531,"")</f>
        <v/>
      </c>
      <c r="D531" s="903" t="str">
        <f>IF(Tabulka4[[#This Row],[Typ úlohy]]="Účet",GETPIVOTDATA("Součet z Celková hmotnost položek [kg]",$G$2,"Zkratka kalkulační položky",B531,"Výrobce / Dodavatel",C531),"")</f>
        <v/>
      </c>
      <c r="E531" s="904" t="str">
        <f>IF(Tabulka4[[#This Row],[Typ úlohy]]="Účet",GETPIVOTDATA("Součet z Celková cena bez DPH (CZK)",$G$3,"Zkratka kalkulační položky",B531,"Výrobce / Dodavatel",C531),"")</f>
        <v/>
      </c>
    </row>
    <row r="532" spans="1:5" x14ac:dyDescent="0.35">
      <c r="A532" s="902" t="str">
        <f t="shared" si="9"/>
        <v/>
      </c>
      <c r="B532" s="903" t="str">
        <f>IF(Tabulka4[[#This Row],[Typ úlohy]]="Součet",G532,IF(Tabulka4[[#This Row],[Typ úlohy]]="Účet",B531,""))</f>
        <v/>
      </c>
      <c r="C532" s="903" t="str">
        <f>IF(Tabulka4[[#This Row],[Typ úlohy]]="Účet",H532,"")</f>
        <v/>
      </c>
      <c r="D532" s="903" t="str">
        <f>IF(Tabulka4[[#This Row],[Typ úlohy]]="Účet",GETPIVOTDATA("Součet z Celková hmotnost položek [kg]",$G$2,"Zkratka kalkulační položky",B532,"Výrobce / Dodavatel",C532),"")</f>
        <v/>
      </c>
      <c r="E532" s="904" t="str">
        <f>IF(Tabulka4[[#This Row],[Typ úlohy]]="Účet",GETPIVOTDATA("Součet z Celková cena bez DPH (CZK)",$G$3,"Zkratka kalkulační položky",B532,"Výrobce / Dodavatel",C532),"")</f>
        <v/>
      </c>
    </row>
    <row r="533" spans="1:5" x14ac:dyDescent="0.35">
      <c r="A533" s="902" t="str">
        <f t="shared" si="9"/>
        <v/>
      </c>
      <c r="B533" s="903" t="str">
        <f>IF(Tabulka4[[#This Row],[Typ úlohy]]="Součet",G533,IF(Tabulka4[[#This Row],[Typ úlohy]]="Účet",B532,""))</f>
        <v/>
      </c>
      <c r="C533" s="903" t="str">
        <f>IF(Tabulka4[[#This Row],[Typ úlohy]]="Účet",H533,"")</f>
        <v/>
      </c>
      <c r="D533" s="903" t="str">
        <f>IF(Tabulka4[[#This Row],[Typ úlohy]]="Účet",GETPIVOTDATA("Součet z Celková hmotnost položek [kg]",$G$2,"Zkratka kalkulační položky",B533,"Výrobce / Dodavatel",C533),"")</f>
        <v/>
      </c>
      <c r="E533" s="904" t="str">
        <f>IF(Tabulka4[[#This Row],[Typ úlohy]]="Účet",GETPIVOTDATA("Součet z Celková cena bez DPH (CZK)",$G$3,"Zkratka kalkulační položky",B533,"Výrobce / Dodavatel",C533),"")</f>
        <v/>
      </c>
    </row>
    <row r="534" spans="1:5" x14ac:dyDescent="0.35">
      <c r="A534" s="902" t="str">
        <f t="shared" si="9"/>
        <v/>
      </c>
      <c r="B534" s="903" t="str">
        <f>IF(Tabulka4[[#This Row],[Typ úlohy]]="Součet",G534,IF(Tabulka4[[#This Row],[Typ úlohy]]="Účet",B533,""))</f>
        <v/>
      </c>
      <c r="C534" s="903" t="str">
        <f>IF(Tabulka4[[#This Row],[Typ úlohy]]="Účet",H534,"")</f>
        <v/>
      </c>
      <c r="D534" s="903" t="str">
        <f>IF(Tabulka4[[#This Row],[Typ úlohy]]="Účet",GETPIVOTDATA("Součet z Celková hmotnost položek [kg]",$G$2,"Zkratka kalkulační položky",B534,"Výrobce / Dodavatel",C534),"")</f>
        <v/>
      </c>
      <c r="E534" s="904" t="str">
        <f>IF(Tabulka4[[#This Row],[Typ úlohy]]="Účet",GETPIVOTDATA("Součet z Celková cena bez DPH (CZK)",$G$3,"Zkratka kalkulační položky",B534,"Výrobce / Dodavatel",C534),"")</f>
        <v/>
      </c>
    </row>
    <row r="535" spans="1:5" x14ac:dyDescent="0.35">
      <c r="A535" s="902" t="str">
        <f t="shared" si="9"/>
        <v/>
      </c>
      <c r="B535" s="903" t="str">
        <f>IF(Tabulka4[[#This Row],[Typ úlohy]]="Součet",G535,IF(Tabulka4[[#This Row],[Typ úlohy]]="Účet",B534,""))</f>
        <v/>
      </c>
      <c r="C535" s="903" t="str">
        <f>IF(Tabulka4[[#This Row],[Typ úlohy]]="Účet",H535,"")</f>
        <v/>
      </c>
      <c r="D535" s="903" t="str">
        <f>IF(Tabulka4[[#This Row],[Typ úlohy]]="Účet",GETPIVOTDATA("Součet z Celková hmotnost položek [kg]",$G$2,"Zkratka kalkulační položky",B535,"Výrobce / Dodavatel",C535),"")</f>
        <v/>
      </c>
      <c r="E535" s="904" t="str">
        <f>IF(Tabulka4[[#This Row],[Typ úlohy]]="Účet",GETPIVOTDATA("Součet z Celková cena bez DPH (CZK)",$G$3,"Zkratka kalkulační položky",B535,"Výrobce / Dodavatel",C535),"")</f>
        <v/>
      </c>
    </row>
    <row r="536" spans="1:5" x14ac:dyDescent="0.35">
      <c r="A536" s="902" t="str">
        <f t="shared" si="9"/>
        <v/>
      </c>
      <c r="B536" s="903" t="str">
        <f>IF(Tabulka4[[#This Row],[Typ úlohy]]="Součet",G536,IF(Tabulka4[[#This Row],[Typ úlohy]]="Účet",B535,""))</f>
        <v/>
      </c>
      <c r="C536" s="903" t="str">
        <f>IF(Tabulka4[[#This Row],[Typ úlohy]]="Účet",H536,"")</f>
        <v/>
      </c>
      <c r="D536" s="903" t="str">
        <f>IF(Tabulka4[[#This Row],[Typ úlohy]]="Účet",GETPIVOTDATA("Součet z Celková hmotnost položek [kg]",$G$2,"Zkratka kalkulační položky",B536,"Výrobce / Dodavatel",C536),"")</f>
        <v/>
      </c>
      <c r="E536" s="904" t="str">
        <f>IF(Tabulka4[[#This Row],[Typ úlohy]]="Účet",GETPIVOTDATA("Součet z Celková cena bez DPH (CZK)",$G$3,"Zkratka kalkulační položky",B536,"Výrobce / Dodavatel",C536),"")</f>
        <v/>
      </c>
    </row>
    <row r="537" spans="1:5" x14ac:dyDescent="0.35">
      <c r="A537" s="902" t="str">
        <f t="shared" si="9"/>
        <v/>
      </c>
      <c r="B537" s="903" t="str">
        <f>IF(Tabulka4[[#This Row],[Typ úlohy]]="Součet",G537,IF(Tabulka4[[#This Row],[Typ úlohy]]="Účet",B536,""))</f>
        <v/>
      </c>
      <c r="C537" s="903" t="str">
        <f>IF(Tabulka4[[#This Row],[Typ úlohy]]="Účet",H537,"")</f>
        <v/>
      </c>
      <c r="D537" s="903" t="str">
        <f>IF(Tabulka4[[#This Row],[Typ úlohy]]="Účet",GETPIVOTDATA("Součet z Celková hmotnost položek [kg]",$G$2,"Zkratka kalkulační položky",B537,"Výrobce / Dodavatel",C537),"")</f>
        <v/>
      </c>
      <c r="E537" s="904" t="str">
        <f>IF(Tabulka4[[#This Row],[Typ úlohy]]="Účet",GETPIVOTDATA("Součet z Celková cena bez DPH (CZK)",$G$3,"Zkratka kalkulační položky",B537,"Výrobce / Dodavatel",C537),"")</f>
        <v/>
      </c>
    </row>
    <row r="538" spans="1:5" x14ac:dyDescent="0.35">
      <c r="A538" s="902" t="str">
        <f t="shared" si="9"/>
        <v/>
      </c>
      <c r="B538" s="903" t="str">
        <f>IF(Tabulka4[[#This Row],[Typ úlohy]]="Součet",G538,IF(Tabulka4[[#This Row],[Typ úlohy]]="Účet",B537,""))</f>
        <v/>
      </c>
      <c r="C538" s="903" t="str">
        <f>IF(Tabulka4[[#This Row],[Typ úlohy]]="Účet",H538,"")</f>
        <v/>
      </c>
      <c r="D538" s="903" t="str">
        <f>IF(Tabulka4[[#This Row],[Typ úlohy]]="Účet",GETPIVOTDATA("Součet z Celková hmotnost položek [kg]",$G$2,"Zkratka kalkulační položky",B538,"Výrobce / Dodavatel",C538),"")</f>
        <v/>
      </c>
      <c r="E538" s="904" t="str">
        <f>IF(Tabulka4[[#This Row],[Typ úlohy]]="Účet",GETPIVOTDATA("Součet z Celková cena bez DPH (CZK)",$G$3,"Zkratka kalkulační položky",B538,"Výrobce / Dodavatel",C538),"")</f>
        <v/>
      </c>
    </row>
    <row r="539" spans="1:5" x14ac:dyDescent="0.35">
      <c r="A539" s="902" t="str">
        <f t="shared" si="9"/>
        <v/>
      </c>
      <c r="B539" s="903" t="str">
        <f>IF(Tabulka4[[#This Row],[Typ úlohy]]="Součet",G539,IF(Tabulka4[[#This Row],[Typ úlohy]]="Účet",B538,""))</f>
        <v/>
      </c>
      <c r="C539" s="903" t="str">
        <f>IF(Tabulka4[[#This Row],[Typ úlohy]]="Účet",H539,"")</f>
        <v/>
      </c>
      <c r="D539" s="903" t="str">
        <f>IF(Tabulka4[[#This Row],[Typ úlohy]]="Účet",GETPIVOTDATA("Součet z Celková hmotnost položek [kg]",$G$2,"Zkratka kalkulační položky",B539,"Výrobce / Dodavatel",C539),"")</f>
        <v/>
      </c>
      <c r="E539" s="904" t="str">
        <f>IF(Tabulka4[[#This Row],[Typ úlohy]]="Účet",GETPIVOTDATA("Součet z Celková cena bez DPH (CZK)",$G$3,"Zkratka kalkulační položky",B539,"Výrobce / Dodavatel",C539),"")</f>
        <v/>
      </c>
    </row>
    <row r="540" spans="1:5" x14ac:dyDescent="0.35">
      <c r="A540" s="902" t="str">
        <f t="shared" si="9"/>
        <v/>
      </c>
      <c r="B540" s="903" t="str">
        <f>IF(Tabulka4[[#This Row],[Typ úlohy]]="Součet",G540,IF(Tabulka4[[#This Row],[Typ úlohy]]="Účet",B539,""))</f>
        <v/>
      </c>
      <c r="C540" s="903" t="str">
        <f>IF(Tabulka4[[#This Row],[Typ úlohy]]="Účet",H540,"")</f>
        <v/>
      </c>
      <c r="D540" s="903" t="str">
        <f>IF(Tabulka4[[#This Row],[Typ úlohy]]="Účet",GETPIVOTDATA("Součet z Celková hmotnost položek [kg]",$G$2,"Zkratka kalkulační položky",B540,"Výrobce / Dodavatel",C540),"")</f>
        <v/>
      </c>
      <c r="E540" s="904" t="str">
        <f>IF(Tabulka4[[#This Row],[Typ úlohy]]="Účet",GETPIVOTDATA("Součet z Celková cena bez DPH (CZK)",$G$3,"Zkratka kalkulační položky",B540,"Výrobce / Dodavatel",C540),"")</f>
        <v/>
      </c>
    </row>
    <row r="541" spans="1:5" x14ac:dyDescent="0.35">
      <c r="A541" s="902" t="str">
        <f t="shared" si="9"/>
        <v/>
      </c>
      <c r="B541" s="903" t="str">
        <f>IF(Tabulka4[[#This Row],[Typ úlohy]]="Součet",G541,IF(Tabulka4[[#This Row],[Typ úlohy]]="Účet",B540,""))</f>
        <v/>
      </c>
      <c r="C541" s="903" t="str">
        <f>IF(Tabulka4[[#This Row],[Typ úlohy]]="Účet",H541,"")</f>
        <v/>
      </c>
      <c r="D541" s="903" t="str">
        <f>IF(Tabulka4[[#This Row],[Typ úlohy]]="Účet",GETPIVOTDATA("Součet z Celková hmotnost položek [kg]",$G$2,"Zkratka kalkulační položky",B541,"Výrobce / Dodavatel",C541),"")</f>
        <v/>
      </c>
      <c r="E541" s="904" t="str">
        <f>IF(Tabulka4[[#This Row],[Typ úlohy]]="Účet",GETPIVOTDATA("Součet z Celková cena bez DPH (CZK)",$G$3,"Zkratka kalkulační položky",B541,"Výrobce / Dodavatel",C541),"")</f>
        <v/>
      </c>
    </row>
    <row r="542" spans="1:5" x14ac:dyDescent="0.35">
      <c r="A542" s="902" t="str">
        <f t="shared" si="9"/>
        <v/>
      </c>
      <c r="B542" s="903" t="str">
        <f>IF(Tabulka4[[#This Row],[Typ úlohy]]="Součet",G542,IF(Tabulka4[[#This Row],[Typ úlohy]]="Účet",B541,""))</f>
        <v/>
      </c>
      <c r="C542" s="903" t="str">
        <f>IF(Tabulka4[[#This Row],[Typ úlohy]]="Účet",H542,"")</f>
        <v/>
      </c>
      <c r="D542" s="903" t="str">
        <f>IF(Tabulka4[[#This Row],[Typ úlohy]]="Účet",GETPIVOTDATA("Součet z Celková hmotnost položek [kg]",$G$2,"Zkratka kalkulační položky",B542,"Výrobce / Dodavatel",C542),"")</f>
        <v/>
      </c>
      <c r="E542" s="904" t="str">
        <f>IF(Tabulka4[[#This Row],[Typ úlohy]]="Účet",GETPIVOTDATA("Součet z Celková cena bez DPH (CZK)",$G$3,"Zkratka kalkulační položky",B542,"Výrobce / Dodavatel",C542),"")</f>
        <v/>
      </c>
    </row>
    <row r="543" spans="1:5" x14ac:dyDescent="0.35">
      <c r="A543" s="902" t="str">
        <f t="shared" si="9"/>
        <v/>
      </c>
      <c r="B543" s="903" t="str">
        <f>IF(Tabulka4[[#This Row],[Typ úlohy]]="Součet",G543,IF(Tabulka4[[#This Row],[Typ úlohy]]="Účet",B542,""))</f>
        <v/>
      </c>
      <c r="C543" s="903" t="str">
        <f>IF(Tabulka4[[#This Row],[Typ úlohy]]="Účet",H543,"")</f>
        <v/>
      </c>
      <c r="D543" s="903" t="str">
        <f>IF(Tabulka4[[#This Row],[Typ úlohy]]="Účet",GETPIVOTDATA("Součet z Celková hmotnost položek [kg]",$G$2,"Zkratka kalkulační položky",B543,"Výrobce / Dodavatel",C543),"")</f>
        <v/>
      </c>
      <c r="E543" s="904" t="str">
        <f>IF(Tabulka4[[#This Row],[Typ úlohy]]="Účet",GETPIVOTDATA("Součet z Celková cena bez DPH (CZK)",$G$3,"Zkratka kalkulační položky",B543,"Výrobce / Dodavatel",C543),"")</f>
        <v/>
      </c>
    </row>
    <row r="544" spans="1:5" x14ac:dyDescent="0.35">
      <c r="A544" s="902" t="str">
        <f t="shared" si="9"/>
        <v/>
      </c>
      <c r="B544" s="903" t="str">
        <f>IF(Tabulka4[[#This Row],[Typ úlohy]]="Součet",G544,IF(Tabulka4[[#This Row],[Typ úlohy]]="Účet",B543,""))</f>
        <v/>
      </c>
      <c r="C544" s="903" t="str">
        <f>IF(Tabulka4[[#This Row],[Typ úlohy]]="Účet",H544,"")</f>
        <v/>
      </c>
      <c r="D544" s="903" t="str">
        <f>IF(Tabulka4[[#This Row],[Typ úlohy]]="Účet",GETPIVOTDATA("Součet z Celková hmotnost položek [kg]",$G$2,"Zkratka kalkulační položky",B544,"Výrobce / Dodavatel",C544),"")</f>
        <v/>
      </c>
      <c r="E544" s="904" t="str">
        <f>IF(Tabulka4[[#This Row],[Typ úlohy]]="Účet",GETPIVOTDATA("Součet z Celková cena bez DPH (CZK)",$G$3,"Zkratka kalkulační položky",B544,"Výrobce / Dodavatel",C544),"")</f>
        <v/>
      </c>
    </row>
    <row r="545" spans="1:5" x14ac:dyDescent="0.35">
      <c r="A545" s="902" t="str">
        <f t="shared" si="9"/>
        <v/>
      </c>
      <c r="B545" s="903" t="str">
        <f>IF(Tabulka4[[#This Row],[Typ úlohy]]="Součet",G545,IF(Tabulka4[[#This Row],[Typ úlohy]]="Účet",B544,""))</f>
        <v/>
      </c>
      <c r="C545" s="903" t="str">
        <f>IF(Tabulka4[[#This Row],[Typ úlohy]]="Účet",H545,"")</f>
        <v/>
      </c>
      <c r="D545" s="903" t="str">
        <f>IF(Tabulka4[[#This Row],[Typ úlohy]]="Účet",GETPIVOTDATA("Součet z Celková hmotnost položek [kg]",$G$2,"Zkratka kalkulační položky",B545,"Výrobce / Dodavatel",C545),"")</f>
        <v/>
      </c>
      <c r="E545" s="904" t="str">
        <f>IF(Tabulka4[[#This Row],[Typ úlohy]]="Účet",GETPIVOTDATA("Součet z Celková cena bez DPH (CZK)",$G$3,"Zkratka kalkulační položky",B545,"Výrobce / Dodavatel",C545),"")</f>
        <v/>
      </c>
    </row>
    <row r="546" spans="1:5" x14ac:dyDescent="0.35">
      <c r="A546" s="902" t="str">
        <f t="shared" si="9"/>
        <v/>
      </c>
      <c r="B546" s="903" t="str">
        <f>IF(Tabulka4[[#This Row],[Typ úlohy]]="Součet",G546,IF(Tabulka4[[#This Row],[Typ úlohy]]="Účet",B545,""))</f>
        <v/>
      </c>
      <c r="C546" s="903" t="str">
        <f>IF(Tabulka4[[#This Row],[Typ úlohy]]="Účet",H546,"")</f>
        <v/>
      </c>
      <c r="D546" s="903" t="str">
        <f>IF(Tabulka4[[#This Row],[Typ úlohy]]="Účet",GETPIVOTDATA("Součet z Celková hmotnost položek [kg]",$G$2,"Zkratka kalkulační položky",B546,"Výrobce / Dodavatel",C546),"")</f>
        <v/>
      </c>
      <c r="E546" s="904" t="str">
        <f>IF(Tabulka4[[#This Row],[Typ úlohy]]="Účet",GETPIVOTDATA("Součet z Celková cena bez DPH (CZK)",$G$3,"Zkratka kalkulační položky",B546,"Výrobce / Dodavatel",C546),"")</f>
        <v/>
      </c>
    </row>
    <row r="547" spans="1:5" x14ac:dyDescent="0.35">
      <c r="A547" s="902" t="str">
        <f t="shared" si="9"/>
        <v/>
      </c>
      <c r="B547" s="903" t="str">
        <f>IF(Tabulka4[[#This Row],[Typ úlohy]]="Součet",G547,IF(Tabulka4[[#This Row],[Typ úlohy]]="Účet",B546,""))</f>
        <v/>
      </c>
      <c r="C547" s="903" t="str">
        <f>IF(Tabulka4[[#This Row],[Typ úlohy]]="Účet",H547,"")</f>
        <v/>
      </c>
      <c r="D547" s="903" t="str">
        <f>IF(Tabulka4[[#This Row],[Typ úlohy]]="Účet",GETPIVOTDATA("Součet z Celková hmotnost položek [kg]",$G$2,"Zkratka kalkulační položky",B547,"Výrobce / Dodavatel",C547),"")</f>
        <v/>
      </c>
      <c r="E547" s="904" t="str">
        <f>IF(Tabulka4[[#This Row],[Typ úlohy]]="Účet",GETPIVOTDATA("Součet z Celková cena bez DPH (CZK)",$G$3,"Zkratka kalkulační položky",B547,"Výrobce / Dodavatel",C547),"")</f>
        <v/>
      </c>
    </row>
    <row r="548" spans="1:5" x14ac:dyDescent="0.35">
      <c r="A548" s="902" t="str">
        <f t="shared" si="9"/>
        <v/>
      </c>
      <c r="B548" s="903" t="str">
        <f>IF(Tabulka4[[#This Row],[Typ úlohy]]="Součet",G548,IF(Tabulka4[[#This Row],[Typ úlohy]]="Účet",B547,""))</f>
        <v/>
      </c>
      <c r="C548" s="903" t="str">
        <f>IF(Tabulka4[[#This Row],[Typ úlohy]]="Účet",H548,"")</f>
        <v/>
      </c>
      <c r="D548" s="903" t="str">
        <f>IF(Tabulka4[[#This Row],[Typ úlohy]]="Účet",GETPIVOTDATA("Součet z Celková hmotnost položek [kg]",$G$2,"Zkratka kalkulační položky",B548,"Výrobce / Dodavatel",C548),"")</f>
        <v/>
      </c>
      <c r="E548" s="904" t="str">
        <f>IF(Tabulka4[[#This Row],[Typ úlohy]]="Účet",GETPIVOTDATA("Součet z Celková cena bez DPH (CZK)",$G$3,"Zkratka kalkulační položky",B548,"Výrobce / Dodavatel",C548),"")</f>
        <v/>
      </c>
    </row>
    <row r="549" spans="1:5" x14ac:dyDescent="0.35">
      <c r="A549" s="902" t="str">
        <f t="shared" si="9"/>
        <v/>
      </c>
      <c r="B549" s="903" t="str">
        <f>IF(Tabulka4[[#This Row],[Typ úlohy]]="Součet",G549,IF(Tabulka4[[#This Row],[Typ úlohy]]="Účet",B548,""))</f>
        <v/>
      </c>
      <c r="C549" s="903" t="str">
        <f>IF(Tabulka4[[#This Row],[Typ úlohy]]="Účet",H549,"")</f>
        <v/>
      </c>
      <c r="D549" s="903" t="str">
        <f>IF(Tabulka4[[#This Row],[Typ úlohy]]="Účet",GETPIVOTDATA("Součet z Celková hmotnost položek [kg]",$G$2,"Zkratka kalkulační položky",B549,"Výrobce / Dodavatel",C549),"")</f>
        <v/>
      </c>
      <c r="E549" s="904" t="str">
        <f>IF(Tabulka4[[#This Row],[Typ úlohy]]="Účet",GETPIVOTDATA("Součet z Celková cena bez DPH (CZK)",$G$3,"Zkratka kalkulační položky",B549,"Výrobce / Dodavatel",C549),"")</f>
        <v/>
      </c>
    </row>
    <row r="550" spans="1:5" x14ac:dyDescent="0.35">
      <c r="A550" s="902" t="str">
        <f t="shared" si="9"/>
        <v/>
      </c>
      <c r="B550" s="903" t="str">
        <f>IF(Tabulka4[[#This Row],[Typ úlohy]]="Součet",G550,IF(Tabulka4[[#This Row],[Typ úlohy]]="Účet",B549,""))</f>
        <v/>
      </c>
      <c r="C550" s="903" t="str">
        <f>IF(Tabulka4[[#This Row],[Typ úlohy]]="Účet",H550,"")</f>
        <v/>
      </c>
      <c r="D550" s="903" t="str">
        <f>IF(Tabulka4[[#This Row],[Typ úlohy]]="Účet",GETPIVOTDATA("Součet z Celková hmotnost položek [kg]",$G$2,"Zkratka kalkulační položky",B550,"Výrobce / Dodavatel",C550),"")</f>
        <v/>
      </c>
      <c r="E550" s="904" t="str">
        <f>IF(Tabulka4[[#This Row],[Typ úlohy]]="Účet",GETPIVOTDATA("Součet z Celková cena bez DPH (CZK)",$G$3,"Zkratka kalkulační položky",B550,"Výrobce / Dodavatel",C550),"")</f>
        <v/>
      </c>
    </row>
    <row r="551" spans="1:5" x14ac:dyDescent="0.35">
      <c r="A551" s="902" t="str">
        <f t="shared" si="9"/>
        <v/>
      </c>
      <c r="B551" s="903" t="str">
        <f>IF(Tabulka4[[#This Row],[Typ úlohy]]="Součet",G551,IF(Tabulka4[[#This Row],[Typ úlohy]]="Účet",B550,""))</f>
        <v/>
      </c>
      <c r="C551" s="903" t="str">
        <f>IF(Tabulka4[[#This Row],[Typ úlohy]]="Účet",H551,"")</f>
        <v/>
      </c>
      <c r="D551" s="903" t="str">
        <f>IF(Tabulka4[[#This Row],[Typ úlohy]]="Účet",GETPIVOTDATA("Součet z Celková hmotnost položek [kg]",$G$2,"Zkratka kalkulační položky",B551,"Výrobce / Dodavatel",C551),"")</f>
        <v/>
      </c>
      <c r="E551" s="904" t="str">
        <f>IF(Tabulka4[[#This Row],[Typ úlohy]]="Účet",GETPIVOTDATA("Součet z Celková cena bez DPH (CZK)",$G$3,"Zkratka kalkulační položky",B551,"Výrobce / Dodavatel",C551),"")</f>
        <v/>
      </c>
    </row>
    <row r="552" spans="1:5" x14ac:dyDescent="0.35">
      <c r="A552" s="902" t="str">
        <f t="shared" si="9"/>
        <v/>
      </c>
      <c r="B552" s="903" t="str">
        <f>IF(Tabulka4[[#This Row],[Typ úlohy]]="Součet",G552,IF(Tabulka4[[#This Row],[Typ úlohy]]="Účet",B551,""))</f>
        <v/>
      </c>
      <c r="C552" s="903" t="str">
        <f>IF(Tabulka4[[#This Row],[Typ úlohy]]="Účet",H552,"")</f>
        <v/>
      </c>
      <c r="D552" s="903" t="str">
        <f>IF(Tabulka4[[#This Row],[Typ úlohy]]="Účet",GETPIVOTDATA("Součet z Celková hmotnost položek [kg]",$G$2,"Zkratka kalkulační položky",B552,"Výrobce / Dodavatel",C552),"")</f>
        <v/>
      </c>
      <c r="E552" s="904" t="str">
        <f>IF(Tabulka4[[#This Row],[Typ úlohy]]="Účet",GETPIVOTDATA("Součet z Celková cena bez DPH (CZK)",$G$3,"Zkratka kalkulační položky",B552,"Výrobce / Dodavatel",C552),"")</f>
        <v/>
      </c>
    </row>
    <row r="553" spans="1:5" x14ac:dyDescent="0.35">
      <c r="A553" s="902" t="str">
        <f t="shared" si="9"/>
        <v/>
      </c>
      <c r="B553" s="903" t="str">
        <f>IF(Tabulka4[[#This Row],[Typ úlohy]]="Součet",G553,IF(Tabulka4[[#This Row],[Typ úlohy]]="Účet",B552,""))</f>
        <v/>
      </c>
      <c r="C553" s="903" t="str">
        <f>IF(Tabulka4[[#This Row],[Typ úlohy]]="Účet",H553,"")</f>
        <v/>
      </c>
      <c r="D553" s="903" t="str">
        <f>IF(Tabulka4[[#This Row],[Typ úlohy]]="Účet",GETPIVOTDATA("Součet z Celková hmotnost položek [kg]",$G$2,"Zkratka kalkulační položky",B553,"Výrobce / Dodavatel",C553),"")</f>
        <v/>
      </c>
      <c r="E553" s="904" t="str">
        <f>IF(Tabulka4[[#This Row],[Typ úlohy]]="Účet",GETPIVOTDATA("Součet z Celková cena bez DPH (CZK)",$G$3,"Zkratka kalkulační položky",B553,"Výrobce / Dodavatel",C553),"")</f>
        <v/>
      </c>
    </row>
    <row r="554" spans="1:5" x14ac:dyDescent="0.35">
      <c r="A554" s="902" t="str">
        <f t="shared" si="9"/>
        <v/>
      </c>
      <c r="B554" s="903" t="str">
        <f>IF(Tabulka4[[#This Row],[Typ úlohy]]="Součet",G554,IF(Tabulka4[[#This Row],[Typ úlohy]]="Účet",B553,""))</f>
        <v/>
      </c>
      <c r="C554" s="903" t="str">
        <f>IF(Tabulka4[[#This Row],[Typ úlohy]]="Účet",H554,"")</f>
        <v/>
      </c>
      <c r="D554" s="903" t="str">
        <f>IF(Tabulka4[[#This Row],[Typ úlohy]]="Účet",GETPIVOTDATA("Součet z Celková hmotnost položek [kg]",$G$2,"Zkratka kalkulační položky",B554,"Výrobce / Dodavatel",C554),"")</f>
        <v/>
      </c>
      <c r="E554" s="904" t="str">
        <f>IF(Tabulka4[[#This Row],[Typ úlohy]]="Účet",GETPIVOTDATA("Součet z Celková cena bez DPH (CZK)",$G$3,"Zkratka kalkulační položky",B554,"Výrobce / Dodavatel",C554),"")</f>
        <v/>
      </c>
    </row>
    <row r="555" spans="1:5" x14ac:dyDescent="0.35">
      <c r="A555" s="902" t="str">
        <f t="shared" si="9"/>
        <v/>
      </c>
      <c r="B555" s="903" t="str">
        <f>IF(Tabulka4[[#This Row],[Typ úlohy]]="Součet",G555,IF(Tabulka4[[#This Row],[Typ úlohy]]="Účet",B554,""))</f>
        <v/>
      </c>
      <c r="C555" s="903" t="str">
        <f>IF(Tabulka4[[#This Row],[Typ úlohy]]="Účet",H555,"")</f>
        <v/>
      </c>
      <c r="D555" s="903" t="str">
        <f>IF(Tabulka4[[#This Row],[Typ úlohy]]="Účet",GETPIVOTDATA("Součet z Celková hmotnost položek [kg]",$G$2,"Zkratka kalkulační položky",B555,"Výrobce / Dodavatel",C555),"")</f>
        <v/>
      </c>
      <c r="E555" s="904" t="str">
        <f>IF(Tabulka4[[#This Row],[Typ úlohy]]="Účet",GETPIVOTDATA("Součet z Celková cena bez DPH (CZK)",$G$3,"Zkratka kalkulační položky",B555,"Výrobce / Dodavatel",C555),"")</f>
        <v/>
      </c>
    </row>
    <row r="556" spans="1:5" x14ac:dyDescent="0.35">
      <c r="A556" s="902" t="str">
        <f t="shared" si="9"/>
        <v/>
      </c>
      <c r="B556" s="903" t="str">
        <f>IF(Tabulka4[[#This Row],[Typ úlohy]]="Součet",G556,IF(Tabulka4[[#This Row],[Typ úlohy]]="Účet",B555,""))</f>
        <v/>
      </c>
      <c r="C556" s="903" t="str">
        <f>IF(Tabulka4[[#This Row],[Typ úlohy]]="Účet",H556,"")</f>
        <v/>
      </c>
      <c r="D556" s="903" t="str">
        <f>IF(Tabulka4[[#This Row],[Typ úlohy]]="Účet",GETPIVOTDATA("Součet z Celková hmotnost položek [kg]",$G$2,"Zkratka kalkulační položky",B556,"Výrobce / Dodavatel",C556),"")</f>
        <v/>
      </c>
      <c r="E556" s="904" t="str">
        <f>IF(Tabulka4[[#This Row],[Typ úlohy]]="Účet",GETPIVOTDATA("Součet z Celková cena bez DPH (CZK)",$G$3,"Zkratka kalkulační položky",B556,"Výrobce / Dodavatel",C556),"")</f>
        <v/>
      </c>
    </row>
    <row r="557" spans="1:5" x14ac:dyDescent="0.35">
      <c r="A557" s="902" t="str">
        <f t="shared" si="9"/>
        <v/>
      </c>
      <c r="B557" s="903" t="str">
        <f>IF(Tabulka4[[#This Row],[Typ úlohy]]="Součet",G557,IF(Tabulka4[[#This Row],[Typ úlohy]]="Účet",B556,""))</f>
        <v/>
      </c>
      <c r="C557" s="903" t="str">
        <f>IF(Tabulka4[[#This Row],[Typ úlohy]]="Účet",H557,"")</f>
        <v/>
      </c>
      <c r="D557" s="903" t="str">
        <f>IF(Tabulka4[[#This Row],[Typ úlohy]]="Účet",GETPIVOTDATA("Součet z Celková hmotnost položek [kg]",$G$2,"Zkratka kalkulační položky",B557,"Výrobce / Dodavatel",C557),"")</f>
        <v/>
      </c>
      <c r="E557" s="904" t="str">
        <f>IF(Tabulka4[[#This Row],[Typ úlohy]]="Účet",GETPIVOTDATA("Součet z Celková cena bez DPH (CZK)",$G$3,"Zkratka kalkulační položky",B557,"Výrobce / Dodavatel",C557),"")</f>
        <v/>
      </c>
    </row>
    <row r="558" spans="1:5" x14ac:dyDescent="0.35">
      <c r="A558" s="902" t="str">
        <f t="shared" si="9"/>
        <v/>
      </c>
      <c r="B558" s="903" t="str">
        <f>IF(Tabulka4[[#This Row],[Typ úlohy]]="Součet",G558,IF(Tabulka4[[#This Row],[Typ úlohy]]="Účet",B557,""))</f>
        <v/>
      </c>
      <c r="C558" s="903" t="str">
        <f>IF(Tabulka4[[#This Row],[Typ úlohy]]="Účet",H558,"")</f>
        <v/>
      </c>
      <c r="D558" s="903" t="str">
        <f>IF(Tabulka4[[#This Row],[Typ úlohy]]="Účet",GETPIVOTDATA("Součet z Celková hmotnost položek [kg]",$G$2,"Zkratka kalkulační položky",B558,"Výrobce / Dodavatel",C558),"")</f>
        <v/>
      </c>
      <c r="E558" s="904" t="str">
        <f>IF(Tabulka4[[#This Row],[Typ úlohy]]="Účet",GETPIVOTDATA("Součet z Celková cena bez DPH (CZK)",$G$3,"Zkratka kalkulační položky",B558,"Výrobce / Dodavatel",C558),"")</f>
        <v/>
      </c>
    </row>
    <row r="559" spans="1:5" x14ac:dyDescent="0.35">
      <c r="A559" s="902" t="str">
        <f t="shared" si="9"/>
        <v/>
      </c>
      <c r="B559" s="903" t="str">
        <f>IF(Tabulka4[[#This Row],[Typ úlohy]]="Součet",G559,IF(Tabulka4[[#This Row],[Typ úlohy]]="Účet",B558,""))</f>
        <v/>
      </c>
      <c r="C559" s="903" t="str">
        <f>IF(Tabulka4[[#This Row],[Typ úlohy]]="Účet",H559,"")</f>
        <v/>
      </c>
      <c r="D559" s="903" t="str">
        <f>IF(Tabulka4[[#This Row],[Typ úlohy]]="Účet",GETPIVOTDATA("Součet z Celková hmotnost položek [kg]",$G$2,"Zkratka kalkulační položky",B559,"Výrobce / Dodavatel",C559),"")</f>
        <v/>
      </c>
      <c r="E559" s="904" t="str">
        <f>IF(Tabulka4[[#This Row],[Typ úlohy]]="Účet",GETPIVOTDATA("Součet z Celková cena bez DPH (CZK)",$G$3,"Zkratka kalkulační položky",B559,"Výrobce / Dodavatel",C559),"")</f>
        <v/>
      </c>
    </row>
    <row r="560" spans="1:5" x14ac:dyDescent="0.35">
      <c r="A560" s="902" t="str">
        <f t="shared" si="9"/>
        <v/>
      </c>
      <c r="B560" s="903" t="str">
        <f>IF(Tabulka4[[#This Row],[Typ úlohy]]="Součet",G560,IF(Tabulka4[[#This Row],[Typ úlohy]]="Účet",B559,""))</f>
        <v/>
      </c>
      <c r="C560" s="903" t="str">
        <f>IF(Tabulka4[[#This Row],[Typ úlohy]]="Účet",H560,"")</f>
        <v/>
      </c>
      <c r="D560" s="903" t="str">
        <f>IF(Tabulka4[[#This Row],[Typ úlohy]]="Účet",GETPIVOTDATA("Součet z Celková hmotnost položek [kg]",$G$2,"Zkratka kalkulační položky",B560,"Výrobce / Dodavatel",C560),"")</f>
        <v/>
      </c>
      <c r="E560" s="904" t="str">
        <f>IF(Tabulka4[[#This Row],[Typ úlohy]]="Účet",GETPIVOTDATA("Součet z Celková cena bez DPH (CZK)",$G$3,"Zkratka kalkulační položky",B560,"Výrobce / Dodavatel",C560),"")</f>
        <v/>
      </c>
    </row>
    <row r="561" spans="1:5" x14ac:dyDescent="0.35">
      <c r="A561" s="902" t="str">
        <f t="shared" si="9"/>
        <v/>
      </c>
      <c r="B561" s="903" t="str">
        <f>IF(Tabulka4[[#This Row],[Typ úlohy]]="Součet",G561,IF(Tabulka4[[#This Row],[Typ úlohy]]="Účet",B560,""))</f>
        <v/>
      </c>
      <c r="C561" s="903" t="str">
        <f>IF(Tabulka4[[#This Row],[Typ úlohy]]="Účet",H561,"")</f>
        <v/>
      </c>
      <c r="D561" s="903" t="str">
        <f>IF(Tabulka4[[#This Row],[Typ úlohy]]="Účet",GETPIVOTDATA("Součet z Celková hmotnost položek [kg]",$G$2,"Zkratka kalkulační položky",B561,"Výrobce / Dodavatel",C561),"")</f>
        <v/>
      </c>
      <c r="E561" s="904" t="str">
        <f>IF(Tabulka4[[#This Row],[Typ úlohy]]="Účet",GETPIVOTDATA("Součet z Celková cena bez DPH (CZK)",$G$3,"Zkratka kalkulační položky",B561,"Výrobce / Dodavatel",C561),"")</f>
        <v/>
      </c>
    </row>
    <row r="562" spans="1:5" x14ac:dyDescent="0.35">
      <c r="A562" s="902" t="str">
        <f t="shared" si="9"/>
        <v/>
      </c>
      <c r="B562" s="903" t="str">
        <f>IF(Tabulka4[[#This Row],[Typ úlohy]]="Součet",G562,IF(Tabulka4[[#This Row],[Typ úlohy]]="Účet",B561,""))</f>
        <v/>
      </c>
      <c r="C562" s="903" t="str">
        <f>IF(Tabulka4[[#This Row],[Typ úlohy]]="Účet",H562,"")</f>
        <v/>
      </c>
      <c r="D562" s="903" t="str">
        <f>IF(Tabulka4[[#This Row],[Typ úlohy]]="Účet",GETPIVOTDATA("Součet z Celková hmotnost položek [kg]",$G$2,"Zkratka kalkulační položky",B562,"Výrobce / Dodavatel",C562),"")</f>
        <v/>
      </c>
      <c r="E562" s="904" t="str">
        <f>IF(Tabulka4[[#This Row],[Typ úlohy]]="Účet",GETPIVOTDATA("Součet z Celková cena bez DPH (CZK)",$G$3,"Zkratka kalkulační položky",B562,"Výrobce / Dodavatel",C562),"")</f>
        <v/>
      </c>
    </row>
    <row r="563" spans="1:5" x14ac:dyDescent="0.35">
      <c r="A563" s="902" t="str">
        <f t="shared" si="9"/>
        <v/>
      </c>
      <c r="B563" s="903" t="str">
        <f>IF(Tabulka4[[#This Row],[Typ úlohy]]="Součet",G563,IF(Tabulka4[[#This Row],[Typ úlohy]]="Účet",B562,""))</f>
        <v/>
      </c>
      <c r="C563" s="903" t="str">
        <f>IF(Tabulka4[[#This Row],[Typ úlohy]]="Účet",H563,"")</f>
        <v/>
      </c>
      <c r="D563" s="903" t="str">
        <f>IF(Tabulka4[[#This Row],[Typ úlohy]]="Účet",GETPIVOTDATA("Součet z Celková hmotnost položek [kg]",$G$2,"Zkratka kalkulační položky",B563,"Výrobce / Dodavatel",C563),"")</f>
        <v/>
      </c>
      <c r="E563" s="904" t="str">
        <f>IF(Tabulka4[[#This Row],[Typ úlohy]]="Účet",GETPIVOTDATA("Součet z Celková cena bez DPH (CZK)",$G$3,"Zkratka kalkulační položky",B563,"Výrobce / Dodavatel",C563),"")</f>
        <v/>
      </c>
    </row>
    <row r="564" spans="1:5" x14ac:dyDescent="0.35">
      <c r="A564" s="902" t="str">
        <f t="shared" si="9"/>
        <v/>
      </c>
      <c r="B564" s="903" t="str">
        <f>IF(Tabulka4[[#This Row],[Typ úlohy]]="Součet",G564,IF(Tabulka4[[#This Row],[Typ úlohy]]="Účet",B563,""))</f>
        <v/>
      </c>
      <c r="C564" s="903" t="str">
        <f>IF(Tabulka4[[#This Row],[Typ úlohy]]="Účet",H564,"")</f>
        <v/>
      </c>
      <c r="D564" s="903" t="str">
        <f>IF(Tabulka4[[#This Row],[Typ úlohy]]="Účet",GETPIVOTDATA("Součet z Celková hmotnost položek [kg]",$G$2,"Zkratka kalkulační položky",B564,"Výrobce / Dodavatel",C564),"")</f>
        <v/>
      </c>
      <c r="E564" s="904" t="str">
        <f>IF(Tabulka4[[#This Row],[Typ úlohy]]="Účet",GETPIVOTDATA("Součet z Celková cena bez DPH (CZK)",$G$3,"Zkratka kalkulační položky",B564,"Výrobce / Dodavatel",C564),"")</f>
        <v/>
      </c>
    </row>
    <row r="565" spans="1:5" x14ac:dyDescent="0.35">
      <c r="A565" s="902" t="str">
        <f t="shared" si="9"/>
        <v/>
      </c>
      <c r="B565" s="903" t="str">
        <f>IF(Tabulka4[[#This Row],[Typ úlohy]]="Součet",G565,IF(Tabulka4[[#This Row],[Typ úlohy]]="Účet",B564,""))</f>
        <v/>
      </c>
      <c r="C565" s="903" t="str">
        <f>IF(Tabulka4[[#This Row],[Typ úlohy]]="Účet",H565,"")</f>
        <v/>
      </c>
      <c r="D565" s="903" t="str">
        <f>IF(Tabulka4[[#This Row],[Typ úlohy]]="Účet",GETPIVOTDATA("Součet z Celková hmotnost položek [kg]",$G$2,"Zkratka kalkulační položky",B565,"Výrobce / Dodavatel",C565),"")</f>
        <v/>
      </c>
      <c r="E565" s="904" t="str">
        <f>IF(Tabulka4[[#This Row],[Typ úlohy]]="Účet",GETPIVOTDATA("Součet z Celková cena bez DPH (CZK)",$G$3,"Zkratka kalkulační položky",B565,"Výrobce / Dodavatel",C565),"")</f>
        <v/>
      </c>
    </row>
    <row r="566" spans="1:5" x14ac:dyDescent="0.35">
      <c r="A566" s="902" t="str">
        <f t="shared" si="9"/>
        <v/>
      </c>
      <c r="B566" s="903" t="str">
        <f>IF(Tabulka4[[#This Row],[Typ úlohy]]="Součet",G566,IF(Tabulka4[[#This Row],[Typ úlohy]]="Účet",B565,""))</f>
        <v/>
      </c>
      <c r="C566" s="903" t="str">
        <f>IF(Tabulka4[[#This Row],[Typ úlohy]]="Účet",H566,"")</f>
        <v/>
      </c>
      <c r="D566" s="903" t="str">
        <f>IF(Tabulka4[[#This Row],[Typ úlohy]]="Účet",GETPIVOTDATA("Součet z Celková hmotnost položek [kg]",$G$2,"Zkratka kalkulační položky",B566,"Výrobce / Dodavatel",C566),"")</f>
        <v/>
      </c>
      <c r="E566" s="904" t="str">
        <f>IF(Tabulka4[[#This Row],[Typ úlohy]]="Účet",GETPIVOTDATA("Součet z Celková cena bez DPH (CZK)",$G$3,"Zkratka kalkulační položky",B566,"Výrobce / Dodavatel",C566),"")</f>
        <v/>
      </c>
    </row>
    <row r="567" spans="1:5" x14ac:dyDescent="0.35">
      <c r="A567" s="902" t="str">
        <f t="shared" si="9"/>
        <v/>
      </c>
      <c r="B567" s="903" t="str">
        <f>IF(Tabulka4[[#This Row],[Typ úlohy]]="Součet",G567,IF(Tabulka4[[#This Row],[Typ úlohy]]="Účet",B566,""))</f>
        <v/>
      </c>
      <c r="C567" s="903" t="str">
        <f>IF(Tabulka4[[#This Row],[Typ úlohy]]="Účet",H567,"")</f>
        <v/>
      </c>
      <c r="D567" s="903" t="str">
        <f>IF(Tabulka4[[#This Row],[Typ úlohy]]="Účet",GETPIVOTDATA("Součet z Celková hmotnost položek [kg]",$G$2,"Zkratka kalkulační položky",B567,"Výrobce / Dodavatel",C567),"")</f>
        <v/>
      </c>
      <c r="E567" s="904" t="str">
        <f>IF(Tabulka4[[#This Row],[Typ úlohy]]="Účet",GETPIVOTDATA("Součet z Celková cena bez DPH (CZK)",$G$3,"Zkratka kalkulační položky",B567,"Výrobce / Dodavatel",C567),"")</f>
        <v/>
      </c>
    </row>
    <row r="568" spans="1:5" x14ac:dyDescent="0.35">
      <c r="A568" s="902" t="str">
        <f t="shared" si="9"/>
        <v/>
      </c>
      <c r="B568" s="903" t="str">
        <f>IF(Tabulka4[[#This Row],[Typ úlohy]]="Součet",G568,IF(Tabulka4[[#This Row],[Typ úlohy]]="Účet",B567,""))</f>
        <v/>
      </c>
      <c r="C568" s="903" t="str">
        <f>IF(Tabulka4[[#This Row],[Typ úlohy]]="Účet",H568,"")</f>
        <v/>
      </c>
      <c r="D568" s="903" t="str">
        <f>IF(Tabulka4[[#This Row],[Typ úlohy]]="Účet",GETPIVOTDATA("Součet z Celková hmotnost položek [kg]",$G$2,"Zkratka kalkulační položky",B568,"Výrobce / Dodavatel",C568),"")</f>
        <v/>
      </c>
      <c r="E568" s="904" t="str">
        <f>IF(Tabulka4[[#This Row],[Typ úlohy]]="Účet",GETPIVOTDATA("Součet z Celková cena bez DPH (CZK)",$G$3,"Zkratka kalkulační položky",B568,"Výrobce / Dodavatel",C568),"")</f>
        <v/>
      </c>
    </row>
    <row r="569" spans="1:5" x14ac:dyDescent="0.35">
      <c r="A569" s="902" t="str">
        <f t="shared" si="9"/>
        <v/>
      </c>
      <c r="B569" s="903" t="str">
        <f>IF(Tabulka4[[#This Row],[Typ úlohy]]="Součet",G569,IF(Tabulka4[[#This Row],[Typ úlohy]]="Účet",B568,""))</f>
        <v/>
      </c>
      <c r="C569" s="903" t="str">
        <f>IF(Tabulka4[[#This Row],[Typ úlohy]]="Účet",H569,"")</f>
        <v/>
      </c>
      <c r="D569" s="903" t="str">
        <f>IF(Tabulka4[[#This Row],[Typ úlohy]]="Účet",GETPIVOTDATA("Součet z Celková hmotnost položek [kg]",$G$2,"Zkratka kalkulační položky",B569,"Výrobce / Dodavatel",C569),"")</f>
        <v/>
      </c>
      <c r="E569" s="904" t="str">
        <f>IF(Tabulka4[[#This Row],[Typ úlohy]]="Účet",GETPIVOTDATA("Součet z Celková cena bez DPH (CZK)",$G$3,"Zkratka kalkulační položky",B569,"Výrobce / Dodavatel",C569),"")</f>
        <v/>
      </c>
    </row>
    <row r="570" spans="1:5" x14ac:dyDescent="0.35">
      <c r="A570" s="902" t="str">
        <f t="shared" si="9"/>
        <v/>
      </c>
      <c r="B570" s="903" t="str">
        <f>IF(Tabulka4[[#This Row],[Typ úlohy]]="Součet",G570,IF(Tabulka4[[#This Row],[Typ úlohy]]="Účet",B569,""))</f>
        <v/>
      </c>
      <c r="C570" s="903" t="str">
        <f>IF(Tabulka4[[#This Row],[Typ úlohy]]="Účet",H570,"")</f>
        <v/>
      </c>
      <c r="D570" s="903" t="str">
        <f>IF(Tabulka4[[#This Row],[Typ úlohy]]="Účet",GETPIVOTDATA("Součet z Celková hmotnost položek [kg]",$G$2,"Zkratka kalkulační položky",B570,"Výrobce / Dodavatel",C570),"")</f>
        <v/>
      </c>
      <c r="E570" s="904" t="str">
        <f>IF(Tabulka4[[#This Row],[Typ úlohy]]="Účet",GETPIVOTDATA("Součet z Celková cena bez DPH (CZK)",$G$3,"Zkratka kalkulační položky",B570,"Výrobce / Dodavatel",C570),"")</f>
        <v/>
      </c>
    </row>
    <row r="571" spans="1:5" x14ac:dyDescent="0.35">
      <c r="A571" s="902" t="str">
        <f t="shared" si="9"/>
        <v/>
      </c>
      <c r="B571" s="903" t="str">
        <f>IF(Tabulka4[[#This Row],[Typ úlohy]]="Součet",G571,IF(Tabulka4[[#This Row],[Typ úlohy]]="Účet",B570,""))</f>
        <v/>
      </c>
      <c r="C571" s="903" t="str">
        <f>IF(Tabulka4[[#This Row],[Typ úlohy]]="Účet",H571,"")</f>
        <v/>
      </c>
      <c r="D571" s="903" t="str">
        <f>IF(Tabulka4[[#This Row],[Typ úlohy]]="Účet",GETPIVOTDATA("Součet z Celková hmotnost položek [kg]",$G$2,"Zkratka kalkulační položky",B571,"Výrobce / Dodavatel",C571),"")</f>
        <v/>
      </c>
      <c r="E571" s="904" t="str">
        <f>IF(Tabulka4[[#This Row],[Typ úlohy]]="Účet",GETPIVOTDATA("Součet z Celková cena bez DPH (CZK)",$G$3,"Zkratka kalkulační položky",B571,"Výrobce / Dodavatel",C571),"")</f>
        <v/>
      </c>
    </row>
    <row r="572" spans="1:5" x14ac:dyDescent="0.35">
      <c r="A572" s="902" t="str">
        <f t="shared" si="9"/>
        <v/>
      </c>
      <c r="B572" s="903" t="str">
        <f>IF(Tabulka4[[#This Row],[Typ úlohy]]="Součet",G572,IF(Tabulka4[[#This Row],[Typ úlohy]]="Účet",B571,""))</f>
        <v/>
      </c>
      <c r="C572" s="903" t="str">
        <f>IF(Tabulka4[[#This Row],[Typ úlohy]]="Účet",H572,"")</f>
        <v/>
      </c>
      <c r="D572" s="903" t="str">
        <f>IF(Tabulka4[[#This Row],[Typ úlohy]]="Účet",GETPIVOTDATA("Součet z Celková hmotnost položek [kg]",$G$2,"Zkratka kalkulační položky",B572,"Výrobce / Dodavatel",C572),"")</f>
        <v/>
      </c>
      <c r="E572" s="904" t="str">
        <f>IF(Tabulka4[[#This Row],[Typ úlohy]]="Účet",GETPIVOTDATA("Součet z Celková cena bez DPH (CZK)",$G$3,"Zkratka kalkulační položky",B572,"Výrobce / Dodavatel",C572),"")</f>
        <v/>
      </c>
    </row>
    <row r="573" spans="1:5" x14ac:dyDescent="0.35">
      <c r="A573" s="902" t="str">
        <f t="shared" si="9"/>
        <v/>
      </c>
      <c r="B573" s="903" t="str">
        <f>IF(Tabulka4[[#This Row],[Typ úlohy]]="Součet",G573,IF(Tabulka4[[#This Row],[Typ úlohy]]="Účet",B572,""))</f>
        <v/>
      </c>
      <c r="C573" s="903" t="str">
        <f>IF(Tabulka4[[#This Row],[Typ úlohy]]="Účet",H573,"")</f>
        <v/>
      </c>
      <c r="D573" s="903" t="str">
        <f>IF(Tabulka4[[#This Row],[Typ úlohy]]="Účet",GETPIVOTDATA("Součet z Celková hmotnost položek [kg]",$G$2,"Zkratka kalkulační položky",B573,"Výrobce / Dodavatel",C573),"")</f>
        <v/>
      </c>
      <c r="E573" s="904" t="str">
        <f>IF(Tabulka4[[#This Row],[Typ úlohy]]="Účet",GETPIVOTDATA("Součet z Celková cena bez DPH (CZK)",$G$3,"Zkratka kalkulační položky",B573,"Výrobce / Dodavatel",C573),"")</f>
        <v/>
      </c>
    </row>
    <row r="574" spans="1:5" x14ac:dyDescent="0.35">
      <c r="A574" s="902" t="str">
        <f t="shared" si="9"/>
        <v/>
      </c>
      <c r="B574" s="903" t="str">
        <f>IF(Tabulka4[[#This Row],[Typ úlohy]]="Součet",G574,IF(Tabulka4[[#This Row],[Typ úlohy]]="Účet",B573,""))</f>
        <v/>
      </c>
      <c r="C574" s="903" t="str">
        <f>IF(Tabulka4[[#This Row],[Typ úlohy]]="Účet",H574,"")</f>
        <v/>
      </c>
      <c r="D574" s="903" t="str">
        <f>IF(Tabulka4[[#This Row],[Typ úlohy]]="Účet",GETPIVOTDATA("Součet z Celková hmotnost položek [kg]",$G$2,"Zkratka kalkulační položky",B574,"Výrobce / Dodavatel",C574),"")</f>
        <v/>
      </c>
      <c r="E574" s="904" t="str">
        <f>IF(Tabulka4[[#This Row],[Typ úlohy]]="Účet",GETPIVOTDATA("Součet z Celková cena bez DPH (CZK)",$G$3,"Zkratka kalkulační položky",B574,"Výrobce / Dodavatel",C574),"")</f>
        <v/>
      </c>
    </row>
    <row r="575" spans="1:5" x14ac:dyDescent="0.35">
      <c r="A575" s="902" t="str">
        <f t="shared" si="9"/>
        <v/>
      </c>
      <c r="B575" s="903" t="str">
        <f>IF(Tabulka4[[#This Row],[Typ úlohy]]="Součet",G575,IF(Tabulka4[[#This Row],[Typ úlohy]]="Účet",B574,""))</f>
        <v/>
      </c>
      <c r="C575" s="903" t="str">
        <f>IF(Tabulka4[[#This Row],[Typ úlohy]]="Účet",H575,"")</f>
        <v/>
      </c>
      <c r="D575" s="903" t="str">
        <f>IF(Tabulka4[[#This Row],[Typ úlohy]]="Účet",GETPIVOTDATA("Součet z Celková hmotnost položek [kg]",$G$2,"Zkratka kalkulační položky",B575,"Výrobce / Dodavatel",C575),"")</f>
        <v/>
      </c>
      <c r="E575" s="904" t="str">
        <f>IF(Tabulka4[[#This Row],[Typ úlohy]]="Účet",GETPIVOTDATA("Součet z Celková cena bez DPH (CZK)",$G$3,"Zkratka kalkulační položky",B575,"Výrobce / Dodavatel",C575),"")</f>
        <v/>
      </c>
    </row>
    <row r="576" spans="1:5" x14ac:dyDescent="0.35">
      <c r="A576" s="902" t="str">
        <f t="shared" si="9"/>
        <v/>
      </c>
      <c r="B576" s="903" t="str">
        <f>IF(Tabulka4[[#This Row],[Typ úlohy]]="Součet",G576,IF(Tabulka4[[#This Row],[Typ úlohy]]="Účet",B575,""))</f>
        <v/>
      </c>
      <c r="C576" s="903" t="str">
        <f>IF(Tabulka4[[#This Row],[Typ úlohy]]="Účet",H576,"")</f>
        <v/>
      </c>
      <c r="D576" s="903" t="str">
        <f>IF(Tabulka4[[#This Row],[Typ úlohy]]="Účet",GETPIVOTDATA("Součet z Celková hmotnost položek [kg]",$G$2,"Zkratka kalkulační položky",B576,"Výrobce / Dodavatel",C576),"")</f>
        <v/>
      </c>
      <c r="E576" s="904" t="str">
        <f>IF(Tabulka4[[#This Row],[Typ úlohy]]="Účet",GETPIVOTDATA("Součet z Celková cena bez DPH (CZK)",$G$3,"Zkratka kalkulační položky",B576,"Výrobce / Dodavatel",C576),"")</f>
        <v/>
      </c>
    </row>
    <row r="577" spans="1:5" x14ac:dyDescent="0.35">
      <c r="A577" s="902" t="str">
        <f t="shared" si="9"/>
        <v/>
      </c>
      <c r="B577" s="903" t="str">
        <f>IF(Tabulka4[[#This Row],[Typ úlohy]]="Součet",G577,IF(Tabulka4[[#This Row],[Typ úlohy]]="Účet",B576,""))</f>
        <v/>
      </c>
      <c r="C577" s="903" t="str">
        <f>IF(Tabulka4[[#This Row],[Typ úlohy]]="Účet",H577,"")</f>
        <v/>
      </c>
      <c r="D577" s="903" t="str">
        <f>IF(Tabulka4[[#This Row],[Typ úlohy]]="Účet",GETPIVOTDATA("Součet z Celková hmotnost položek [kg]",$G$2,"Zkratka kalkulační položky",B577,"Výrobce / Dodavatel",C577),"")</f>
        <v/>
      </c>
      <c r="E577" s="904" t="str">
        <f>IF(Tabulka4[[#This Row],[Typ úlohy]]="Účet",GETPIVOTDATA("Součet z Celková cena bez DPH (CZK)",$G$3,"Zkratka kalkulační položky",B577,"Výrobce / Dodavatel",C577),"")</f>
        <v/>
      </c>
    </row>
    <row r="578" spans="1:5" x14ac:dyDescent="0.35">
      <c r="A578" s="902" t="str">
        <f t="shared" si="9"/>
        <v/>
      </c>
      <c r="B578" s="903" t="str">
        <f>IF(Tabulka4[[#This Row],[Typ úlohy]]="Součet",G578,IF(Tabulka4[[#This Row],[Typ úlohy]]="Účet",B577,""))</f>
        <v/>
      </c>
      <c r="C578" s="903" t="str">
        <f>IF(Tabulka4[[#This Row],[Typ úlohy]]="Účet",H578,"")</f>
        <v/>
      </c>
      <c r="D578" s="903" t="str">
        <f>IF(Tabulka4[[#This Row],[Typ úlohy]]="Účet",GETPIVOTDATA("Součet z Celková hmotnost položek [kg]",$G$2,"Zkratka kalkulační položky",B578,"Výrobce / Dodavatel",C578),"")</f>
        <v/>
      </c>
      <c r="E578" s="904" t="str">
        <f>IF(Tabulka4[[#This Row],[Typ úlohy]]="Účet",GETPIVOTDATA("Součet z Celková cena bez DPH (CZK)",$G$3,"Zkratka kalkulační položky",B578,"Výrobce / Dodavatel",C578),"")</f>
        <v/>
      </c>
    </row>
    <row r="579" spans="1:5" x14ac:dyDescent="0.35">
      <c r="A579" s="902" t="str">
        <f t="shared" si="9"/>
        <v/>
      </c>
      <c r="B579" s="903" t="str">
        <f>IF(Tabulka4[[#This Row],[Typ úlohy]]="Součet",G579,IF(Tabulka4[[#This Row],[Typ úlohy]]="Účet",B578,""))</f>
        <v/>
      </c>
      <c r="C579" s="903" t="str">
        <f>IF(Tabulka4[[#This Row],[Typ úlohy]]="Účet",H579,"")</f>
        <v/>
      </c>
      <c r="D579" s="903" t="str">
        <f>IF(Tabulka4[[#This Row],[Typ úlohy]]="Účet",GETPIVOTDATA("Součet z Celková hmotnost položek [kg]",$G$2,"Zkratka kalkulační položky",B579,"Výrobce / Dodavatel",C579),"")</f>
        <v/>
      </c>
      <c r="E579" s="904" t="str">
        <f>IF(Tabulka4[[#This Row],[Typ úlohy]]="Účet",GETPIVOTDATA("Součet z Celková cena bez DPH (CZK)",$G$3,"Zkratka kalkulační položky",B579,"Výrobce / Dodavatel",C579),"")</f>
        <v/>
      </c>
    </row>
    <row r="580" spans="1:5" x14ac:dyDescent="0.35">
      <c r="A580" s="902" t="str">
        <f t="shared" si="9"/>
        <v/>
      </c>
      <c r="B580" s="903" t="str">
        <f>IF(Tabulka4[[#This Row],[Typ úlohy]]="Součet",G580,IF(Tabulka4[[#This Row],[Typ úlohy]]="Účet",B579,""))</f>
        <v/>
      </c>
      <c r="C580" s="903" t="str">
        <f>IF(Tabulka4[[#This Row],[Typ úlohy]]="Účet",H580,"")</f>
        <v/>
      </c>
      <c r="D580" s="903" t="str">
        <f>IF(Tabulka4[[#This Row],[Typ úlohy]]="Účet",GETPIVOTDATA("Součet z Celková hmotnost položek [kg]",$G$2,"Zkratka kalkulační položky",B580,"Výrobce / Dodavatel",C580),"")</f>
        <v/>
      </c>
      <c r="E580" s="904" t="str">
        <f>IF(Tabulka4[[#This Row],[Typ úlohy]]="Účet",GETPIVOTDATA("Součet z Celková cena bez DPH (CZK)",$G$3,"Zkratka kalkulační položky",B580,"Výrobce / Dodavatel",C580),"")</f>
        <v/>
      </c>
    </row>
    <row r="581" spans="1:5" x14ac:dyDescent="0.35">
      <c r="A581" s="902" t="str">
        <f t="shared" ref="A581:A644" si="10">IF(H581="",IF(G581="","","Součet"),"Účet")</f>
        <v/>
      </c>
      <c r="B581" s="903" t="str">
        <f>IF(Tabulka4[[#This Row],[Typ úlohy]]="Součet",G581,IF(Tabulka4[[#This Row],[Typ úlohy]]="Účet",B580,""))</f>
        <v/>
      </c>
      <c r="C581" s="903" t="str">
        <f>IF(Tabulka4[[#This Row],[Typ úlohy]]="Účet",H581,"")</f>
        <v/>
      </c>
      <c r="D581" s="903" t="str">
        <f>IF(Tabulka4[[#This Row],[Typ úlohy]]="Účet",GETPIVOTDATA("Součet z Celková hmotnost položek [kg]",$G$2,"Zkratka kalkulační položky",B581,"Výrobce / Dodavatel",C581),"")</f>
        <v/>
      </c>
      <c r="E581" s="904" t="str">
        <f>IF(Tabulka4[[#This Row],[Typ úlohy]]="Účet",GETPIVOTDATA("Součet z Celková cena bez DPH (CZK)",$G$3,"Zkratka kalkulační položky",B581,"Výrobce / Dodavatel",C581),"")</f>
        <v/>
      </c>
    </row>
    <row r="582" spans="1:5" x14ac:dyDescent="0.35">
      <c r="A582" s="902" t="str">
        <f t="shared" si="10"/>
        <v/>
      </c>
      <c r="B582" s="903" t="str">
        <f>IF(Tabulka4[[#This Row],[Typ úlohy]]="Součet",G582,IF(Tabulka4[[#This Row],[Typ úlohy]]="Účet",B581,""))</f>
        <v/>
      </c>
      <c r="C582" s="903" t="str">
        <f>IF(Tabulka4[[#This Row],[Typ úlohy]]="Účet",H582,"")</f>
        <v/>
      </c>
      <c r="D582" s="903" t="str">
        <f>IF(Tabulka4[[#This Row],[Typ úlohy]]="Účet",GETPIVOTDATA("Součet z Celková hmotnost položek [kg]",$G$2,"Zkratka kalkulační položky",B582,"Výrobce / Dodavatel",C582),"")</f>
        <v/>
      </c>
      <c r="E582" s="904" t="str">
        <f>IF(Tabulka4[[#This Row],[Typ úlohy]]="Účet",GETPIVOTDATA("Součet z Celková cena bez DPH (CZK)",$G$3,"Zkratka kalkulační položky",B582,"Výrobce / Dodavatel",C582),"")</f>
        <v/>
      </c>
    </row>
    <row r="583" spans="1:5" x14ac:dyDescent="0.35">
      <c r="A583" s="902" t="str">
        <f t="shared" si="10"/>
        <v/>
      </c>
      <c r="B583" s="903" t="str">
        <f>IF(Tabulka4[[#This Row],[Typ úlohy]]="Součet",G583,IF(Tabulka4[[#This Row],[Typ úlohy]]="Účet",B582,""))</f>
        <v/>
      </c>
      <c r="C583" s="903" t="str">
        <f>IF(Tabulka4[[#This Row],[Typ úlohy]]="Účet",H583,"")</f>
        <v/>
      </c>
      <c r="D583" s="903" t="str">
        <f>IF(Tabulka4[[#This Row],[Typ úlohy]]="Účet",GETPIVOTDATA("Součet z Celková hmotnost položek [kg]",$G$2,"Zkratka kalkulační položky",B583,"Výrobce / Dodavatel",C583),"")</f>
        <v/>
      </c>
      <c r="E583" s="904" t="str">
        <f>IF(Tabulka4[[#This Row],[Typ úlohy]]="Účet",GETPIVOTDATA("Součet z Celková cena bez DPH (CZK)",$G$3,"Zkratka kalkulační položky",B583,"Výrobce / Dodavatel",C583),"")</f>
        <v/>
      </c>
    </row>
    <row r="584" spans="1:5" x14ac:dyDescent="0.35">
      <c r="A584" s="902" t="str">
        <f t="shared" si="10"/>
        <v/>
      </c>
      <c r="B584" s="903" t="str">
        <f>IF(Tabulka4[[#This Row],[Typ úlohy]]="Součet",G584,IF(Tabulka4[[#This Row],[Typ úlohy]]="Účet",B583,""))</f>
        <v/>
      </c>
      <c r="C584" s="903" t="str">
        <f>IF(Tabulka4[[#This Row],[Typ úlohy]]="Účet",H584,"")</f>
        <v/>
      </c>
      <c r="D584" s="903" t="str">
        <f>IF(Tabulka4[[#This Row],[Typ úlohy]]="Účet",GETPIVOTDATA("Součet z Celková hmotnost položek [kg]",$G$2,"Zkratka kalkulační položky",B584,"Výrobce / Dodavatel",C584),"")</f>
        <v/>
      </c>
      <c r="E584" s="904" t="str">
        <f>IF(Tabulka4[[#This Row],[Typ úlohy]]="Účet",GETPIVOTDATA("Součet z Celková cena bez DPH (CZK)",$G$3,"Zkratka kalkulační položky",B584,"Výrobce / Dodavatel",C584),"")</f>
        <v/>
      </c>
    </row>
    <row r="585" spans="1:5" x14ac:dyDescent="0.35">
      <c r="A585" s="902" t="str">
        <f t="shared" si="10"/>
        <v/>
      </c>
      <c r="B585" s="903" t="str">
        <f>IF(Tabulka4[[#This Row],[Typ úlohy]]="Součet",G585,IF(Tabulka4[[#This Row],[Typ úlohy]]="Účet",B584,""))</f>
        <v/>
      </c>
      <c r="C585" s="903" t="str">
        <f>IF(Tabulka4[[#This Row],[Typ úlohy]]="Účet",H585,"")</f>
        <v/>
      </c>
      <c r="D585" s="903" t="str">
        <f>IF(Tabulka4[[#This Row],[Typ úlohy]]="Účet",GETPIVOTDATA("Součet z Celková hmotnost položek [kg]",$G$2,"Zkratka kalkulační položky",B585,"Výrobce / Dodavatel",C585),"")</f>
        <v/>
      </c>
      <c r="E585" s="904" t="str">
        <f>IF(Tabulka4[[#This Row],[Typ úlohy]]="Účet",GETPIVOTDATA("Součet z Celková cena bez DPH (CZK)",$G$3,"Zkratka kalkulační položky",B585,"Výrobce / Dodavatel",C585),"")</f>
        <v/>
      </c>
    </row>
    <row r="586" spans="1:5" x14ac:dyDescent="0.35">
      <c r="A586" s="902" t="str">
        <f t="shared" si="10"/>
        <v/>
      </c>
      <c r="B586" s="903" t="str">
        <f>IF(Tabulka4[[#This Row],[Typ úlohy]]="Součet",G586,IF(Tabulka4[[#This Row],[Typ úlohy]]="Účet",B585,""))</f>
        <v/>
      </c>
      <c r="C586" s="903" t="str">
        <f>IF(Tabulka4[[#This Row],[Typ úlohy]]="Účet",H586,"")</f>
        <v/>
      </c>
      <c r="D586" s="903" t="str">
        <f>IF(Tabulka4[[#This Row],[Typ úlohy]]="Účet",GETPIVOTDATA("Součet z Celková hmotnost položek [kg]",$G$2,"Zkratka kalkulační položky",B586,"Výrobce / Dodavatel",C586),"")</f>
        <v/>
      </c>
      <c r="E586" s="904" t="str">
        <f>IF(Tabulka4[[#This Row],[Typ úlohy]]="Účet",GETPIVOTDATA("Součet z Celková cena bez DPH (CZK)",$G$3,"Zkratka kalkulační položky",B586,"Výrobce / Dodavatel",C586),"")</f>
        <v/>
      </c>
    </row>
    <row r="587" spans="1:5" x14ac:dyDescent="0.35">
      <c r="A587" s="902" t="str">
        <f t="shared" si="10"/>
        <v/>
      </c>
      <c r="B587" s="903" t="str">
        <f>IF(Tabulka4[[#This Row],[Typ úlohy]]="Součet",G587,IF(Tabulka4[[#This Row],[Typ úlohy]]="Účet",B586,""))</f>
        <v/>
      </c>
      <c r="C587" s="903" t="str">
        <f>IF(Tabulka4[[#This Row],[Typ úlohy]]="Účet",H587,"")</f>
        <v/>
      </c>
      <c r="D587" s="903" t="str">
        <f>IF(Tabulka4[[#This Row],[Typ úlohy]]="Účet",GETPIVOTDATA("Součet z Celková hmotnost položek [kg]",$G$2,"Zkratka kalkulační položky",B587,"Výrobce / Dodavatel",C587),"")</f>
        <v/>
      </c>
      <c r="E587" s="904" t="str">
        <f>IF(Tabulka4[[#This Row],[Typ úlohy]]="Účet",GETPIVOTDATA("Součet z Celková cena bez DPH (CZK)",$G$3,"Zkratka kalkulační položky",B587,"Výrobce / Dodavatel",C587),"")</f>
        <v/>
      </c>
    </row>
    <row r="588" spans="1:5" x14ac:dyDescent="0.35">
      <c r="A588" s="902" t="str">
        <f t="shared" si="10"/>
        <v/>
      </c>
      <c r="B588" s="903" t="str">
        <f>IF(Tabulka4[[#This Row],[Typ úlohy]]="Součet",G588,IF(Tabulka4[[#This Row],[Typ úlohy]]="Účet",B587,""))</f>
        <v/>
      </c>
      <c r="C588" s="903" t="str">
        <f>IF(Tabulka4[[#This Row],[Typ úlohy]]="Účet",H588,"")</f>
        <v/>
      </c>
      <c r="D588" s="903" t="str">
        <f>IF(Tabulka4[[#This Row],[Typ úlohy]]="Účet",GETPIVOTDATA("Součet z Celková hmotnost položek [kg]",$G$2,"Zkratka kalkulační položky",B588,"Výrobce / Dodavatel",C588),"")</f>
        <v/>
      </c>
      <c r="E588" s="904" t="str">
        <f>IF(Tabulka4[[#This Row],[Typ úlohy]]="Účet",GETPIVOTDATA("Součet z Celková cena bez DPH (CZK)",$G$3,"Zkratka kalkulační položky",B588,"Výrobce / Dodavatel",C588),"")</f>
        <v/>
      </c>
    </row>
    <row r="589" spans="1:5" x14ac:dyDescent="0.35">
      <c r="A589" s="902" t="str">
        <f t="shared" si="10"/>
        <v/>
      </c>
      <c r="B589" s="903" t="str">
        <f>IF(Tabulka4[[#This Row],[Typ úlohy]]="Součet",G589,IF(Tabulka4[[#This Row],[Typ úlohy]]="Účet",B588,""))</f>
        <v/>
      </c>
      <c r="C589" s="903" t="str">
        <f>IF(Tabulka4[[#This Row],[Typ úlohy]]="Účet",H589,"")</f>
        <v/>
      </c>
      <c r="D589" s="903" t="str">
        <f>IF(Tabulka4[[#This Row],[Typ úlohy]]="Účet",GETPIVOTDATA("Součet z Celková hmotnost položek [kg]",$G$2,"Zkratka kalkulační položky",B589,"Výrobce / Dodavatel",C589),"")</f>
        <v/>
      </c>
      <c r="E589" s="904" t="str">
        <f>IF(Tabulka4[[#This Row],[Typ úlohy]]="Účet",GETPIVOTDATA("Součet z Celková cena bez DPH (CZK)",$G$3,"Zkratka kalkulační položky",B589,"Výrobce / Dodavatel",C589),"")</f>
        <v/>
      </c>
    </row>
    <row r="590" spans="1:5" x14ac:dyDescent="0.35">
      <c r="A590" s="902" t="str">
        <f t="shared" si="10"/>
        <v/>
      </c>
      <c r="B590" s="903" t="str">
        <f>IF(Tabulka4[[#This Row],[Typ úlohy]]="Součet",G590,IF(Tabulka4[[#This Row],[Typ úlohy]]="Účet",B589,""))</f>
        <v/>
      </c>
      <c r="C590" s="903" t="str">
        <f>IF(Tabulka4[[#This Row],[Typ úlohy]]="Účet",H590,"")</f>
        <v/>
      </c>
      <c r="D590" s="903" t="str">
        <f>IF(Tabulka4[[#This Row],[Typ úlohy]]="Účet",GETPIVOTDATA("Součet z Celková hmotnost položek [kg]",$G$2,"Zkratka kalkulační položky",B590,"Výrobce / Dodavatel",C590),"")</f>
        <v/>
      </c>
      <c r="E590" s="904" t="str">
        <f>IF(Tabulka4[[#This Row],[Typ úlohy]]="Účet",GETPIVOTDATA("Součet z Celková cena bez DPH (CZK)",$G$3,"Zkratka kalkulační položky",B590,"Výrobce / Dodavatel",C590),"")</f>
        <v/>
      </c>
    </row>
    <row r="591" spans="1:5" x14ac:dyDescent="0.35">
      <c r="A591" s="902" t="str">
        <f t="shared" si="10"/>
        <v/>
      </c>
      <c r="B591" s="903" t="str">
        <f>IF(Tabulka4[[#This Row],[Typ úlohy]]="Součet",G591,IF(Tabulka4[[#This Row],[Typ úlohy]]="Účet",B590,""))</f>
        <v/>
      </c>
      <c r="C591" s="903" t="str">
        <f>IF(Tabulka4[[#This Row],[Typ úlohy]]="Účet",H591,"")</f>
        <v/>
      </c>
      <c r="D591" s="903" t="str">
        <f>IF(Tabulka4[[#This Row],[Typ úlohy]]="Účet",GETPIVOTDATA("Součet z Celková hmotnost položek [kg]",$G$2,"Zkratka kalkulační položky",B591,"Výrobce / Dodavatel",C591),"")</f>
        <v/>
      </c>
      <c r="E591" s="904" t="str">
        <f>IF(Tabulka4[[#This Row],[Typ úlohy]]="Účet",GETPIVOTDATA("Součet z Celková cena bez DPH (CZK)",$G$3,"Zkratka kalkulační položky",B591,"Výrobce / Dodavatel",C591),"")</f>
        <v/>
      </c>
    </row>
    <row r="592" spans="1:5" x14ac:dyDescent="0.35">
      <c r="A592" s="902" t="str">
        <f t="shared" si="10"/>
        <v/>
      </c>
      <c r="B592" s="903" t="str">
        <f>IF(Tabulka4[[#This Row],[Typ úlohy]]="Součet",G592,IF(Tabulka4[[#This Row],[Typ úlohy]]="Účet",B591,""))</f>
        <v/>
      </c>
      <c r="C592" s="903" t="str">
        <f>IF(Tabulka4[[#This Row],[Typ úlohy]]="Účet",H592,"")</f>
        <v/>
      </c>
      <c r="D592" s="903" t="str">
        <f>IF(Tabulka4[[#This Row],[Typ úlohy]]="Účet",GETPIVOTDATA("Součet z Celková hmotnost položek [kg]",$G$2,"Zkratka kalkulační položky",B592,"Výrobce / Dodavatel",C592),"")</f>
        <v/>
      </c>
      <c r="E592" s="904" t="str">
        <f>IF(Tabulka4[[#This Row],[Typ úlohy]]="Účet",GETPIVOTDATA("Součet z Celková cena bez DPH (CZK)",$G$3,"Zkratka kalkulační položky",B592,"Výrobce / Dodavatel",C592),"")</f>
        <v/>
      </c>
    </row>
    <row r="593" spans="1:5" x14ac:dyDescent="0.35">
      <c r="A593" s="902" t="str">
        <f t="shared" si="10"/>
        <v/>
      </c>
      <c r="B593" s="903" t="str">
        <f>IF(Tabulka4[[#This Row],[Typ úlohy]]="Součet",G593,IF(Tabulka4[[#This Row],[Typ úlohy]]="Účet",B592,""))</f>
        <v/>
      </c>
      <c r="C593" s="903" t="str">
        <f>IF(Tabulka4[[#This Row],[Typ úlohy]]="Účet",H593,"")</f>
        <v/>
      </c>
      <c r="D593" s="903" t="str">
        <f>IF(Tabulka4[[#This Row],[Typ úlohy]]="Účet",GETPIVOTDATA("Součet z Celková hmotnost položek [kg]",$G$2,"Zkratka kalkulační položky",B593,"Výrobce / Dodavatel",C593),"")</f>
        <v/>
      </c>
      <c r="E593" s="904" t="str">
        <f>IF(Tabulka4[[#This Row],[Typ úlohy]]="Účet",GETPIVOTDATA("Součet z Celková cena bez DPH (CZK)",$G$3,"Zkratka kalkulační položky",B593,"Výrobce / Dodavatel",C593),"")</f>
        <v/>
      </c>
    </row>
    <row r="594" spans="1:5" x14ac:dyDescent="0.35">
      <c r="A594" s="902" t="str">
        <f t="shared" si="10"/>
        <v/>
      </c>
      <c r="B594" s="903" t="str">
        <f>IF(Tabulka4[[#This Row],[Typ úlohy]]="Součet",G594,IF(Tabulka4[[#This Row],[Typ úlohy]]="Účet",B593,""))</f>
        <v/>
      </c>
      <c r="C594" s="903" t="str">
        <f>IF(Tabulka4[[#This Row],[Typ úlohy]]="Účet",H594,"")</f>
        <v/>
      </c>
      <c r="D594" s="903" t="str">
        <f>IF(Tabulka4[[#This Row],[Typ úlohy]]="Účet",GETPIVOTDATA("Součet z Celková hmotnost položek [kg]",$G$2,"Zkratka kalkulační položky",B594,"Výrobce / Dodavatel",C594),"")</f>
        <v/>
      </c>
      <c r="E594" s="904" t="str">
        <f>IF(Tabulka4[[#This Row],[Typ úlohy]]="Účet",GETPIVOTDATA("Součet z Celková cena bez DPH (CZK)",$G$3,"Zkratka kalkulační položky",B594,"Výrobce / Dodavatel",C594),"")</f>
        <v/>
      </c>
    </row>
    <row r="595" spans="1:5" x14ac:dyDescent="0.35">
      <c r="A595" s="902" t="str">
        <f t="shared" si="10"/>
        <v/>
      </c>
      <c r="B595" s="903" t="str">
        <f>IF(Tabulka4[[#This Row],[Typ úlohy]]="Součet",G595,IF(Tabulka4[[#This Row],[Typ úlohy]]="Účet",B594,""))</f>
        <v/>
      </c>
      <c r="C595" s="903" t="str">
        <f>IF(Tabulka4[[#This Row],[Typ úlohy]]="Účet",H595,"")</f>
        <v/>
      </c>
      <c r="D595" s="903" t="str">
        <f>IF(Tabulka4[[#This Row],[Typ úlohy]]="Účet",GETPIVOTDATA("Součet z Celková hmotnost položek [kg]",$G$2,"Zkratka kalkulační položky",B595,"Výrobce / Dodavatel",C595),"")</f>
        <v/>
      </c>
      <c r="E595" s="904" t="str">
        <f>IF(Tabulka4[[#This Row],[Typ úlohy]]="Účet",GETPIVOTDATA("Součet z Celková cena bez DPH (CZK)",$G$3,"Zkratka kalkulační položky",B595,"Výrobce / Dodavatel",C595),"")</f>
        <v/>
      </c>
    </row>
    <row r="596" spans="1:5" x14ac:dyDescent="0.35">
      <c r="A596" s="902" t="str">
        <f t="shared" si="10"/>
        <v/>
      </c>
      <c r="B596" s="903" t="str">
        <f>IF(Tabulka4[[#This Row],[Typ úlohy]]="Součet",G596,IF(Tabulka4[[#This Row],[Typ úlohy]]="Účet",B595,""))</f>
        <v/>
      </c>
      <c r="C596" s="903" t="str">
        <f>IF(Tabulka4[[#This Row],[Typ úlohy]]="Účet",H596,"")</f>
        <v/>
      </c>
      <c r="D596" s="903" t="str">
        <f>IF(Tabulka4[[#This Row],[Typ úlohy]]="Účet",GETPIVOTDATA("Součet z Celková hmotnost položek [kg]",$G$2,"Zkratka kalkulační položky",B596,"Výrobce / Dodavatel",C596),"")</f>
        <v/>
      </c>
      <c r="E596" s="904" t="str">
        <f>IF(Tabulka4[[#This Row],[Typ úlohy]]="Účet",GETPIVOTDATA("Součet z Celková cena bez DPH (CZK)",$G$3,"Zkratka kalkulační položky",B596,"Výrobce / Dodavatel",C596),"")</f>
        <v/>
      </c>
    </row>
    <row r="597" spans="1:5" x14ac:dyDescent="0.35">
      <c r="A597" s="902" t="str">
        <f t="shared" si="10"/>
        <v/>
      </c>
      <c r="B597" s="903" t="str">
        <f>IF(Tabulka4[[#This Row],[Typ úlohy]]="Součet",G597,IF(Tabulka4[[#This Row],[Typ úlohy]]="Účet",B596,""))</f>
        <v/>
      </c>
      <c r="C597" s="903" t="str">
        <f>IF(Tabulka4[[#This Row],[Typ úlohy]]="Účet",H597,"")</f>
        <v/>
      </c>
      <c r="D597" s="903" t="str">
        <f>IF(Tabulka4[[#This Row],[Typ úlohy]]="Účet",GETPIVOTDATA("Součet z Celková hmotnost položek [kg]",$G$2,"Zkratka kalkulační položky",B597,"Výrobce / Dodavatel",C597),"")</f>
        <v/>
      </c>
      <c r="E597" s="904" t="str">
        <f>IF(Tabulka4[[#This Row],[Typ úlohy]]="Účet",GETPIVOTDATA("Součet z Celková cena bez DPH (CZK)",$G$3,"Zkratka kalkulační položky",B597,"Výrobce / Dodavatel",C597),"")</f>
        <v/>
      </c>
    </row>
    <row r="598" spans="1:5" x14ac:dyDescent="0.35">
      <c r="A598" s="902" t="str">
        <f t="shared" si="10"/>
        <v/>
      </c>
      <c r="B598" s="903" t="str">
        <f>IF(Tabulka4[[#This Row],[Typ úlohy]]="Součet",G598,IF(Tabulka4[[#This Row],[Typ úlohy]]="Účet",B597,""))</f>
        <v/>
      </c>
      <c r="C598" s="903" t="str">
        <f>IF(Tabulka4[[#This Row],[Typ úlohy]]="Účet",H598,"")</f>
        <v/>
      </c>
      <c r="D598" s="903" t="str">
        <f>IF(Tabulka4[[#This Row],[Typ úlohy]]="Účet",GETPIVOTDATA("Součet z Celková hmotnost položek [kg]",$G$2,"Zkratka kalkulační položky",B598,"Výrobce / Dodavatel",C598),"")</f>
        <v/>
      </c>
      <c r="E598" s="904" t="str">
        <f>IF(Tabulka4[[#This Row],[Typ úlohy]]="Účet",GETPIVOTDATA("Součet z Celková cena bez DPH (CZK)",$G$3,"Zkratka kalkulační položky",B598,"Výrobce / Dodavatel",C598),"")</f>
        <v/>
      </c>
    </row>
    <row r="599" spans="1:5" x14ac:dyDescent="0.35">
      <c r="A599" s="902" t="str">
        <f t="shared" si="10"/>
        <v/>
      </c>
      <c r="B599" s="903" t="str">
        <f>IF(Tabulka4[[#This Row],[Typ úlohy]]="Součet",G599,IF(Tabulka4[[#This Row],[Typ úlohy]]="Účet",B598,""))</f>
        <v/>
      </c>
      <c r="C599" s="903" t="str">
        <f>IF(Tabulka4[[#This Row],[Typ úlohy]]="Účet",H599,"")</f>
        <v/>
      </c>
      <c r="D599" s="903" t="str">
        <f>IF(Tabulka4[[#This Row],[Typ úlohy]]="Účet",GETPIVOTDATA("Součet z Celková hmotnost položek [kg]",$G$2,"Zkratka kalkulační položky",B599,"Výrobce / Dodavatel",C599),"")</f>
        <v/>
      </c>
      <c r="E599" s="904" t="str">
        <f>IF(Tabulka4[[#This Row],[Typ úlohy]]="Účet",GETPIVOTDATA("Součet z Celková cena bez DPH (CZK)",$G$3,"Zkratka kalkulační položky",B599,"Výrobce / Dodavatel",C599),"")</f>
        <v/>
      </c>
    </row>
    <row r="600" spans="1:5" x14ac:dyDescent="0.35">
      <c r="A600" s="902" t="str">
        <f t="shared" si="10"/>
        <v/>
      </c>
      <c r="B600" s="903" t="str">
        <f>IF(Tabulka4[[#This Row],[Typ úlohy]]="Součet",G600,IF(Tabulka4[[#This Row],[Typ úlohy]]="Účet",B599,""))</f>
        <v/>
      </c>
      <c r="C600" s="903" t="str">
        <f>IF(Tabulka4[[#This Row],[Typ úlohy]]="Účet",H600,"")</f>
        <v/>
      </c>
      <c r="D600" s="903" t="str">
        <f>IF(Tabulka4[[#This Row],[Typ úlohy]]="Účet",GETPIVOTDATA("Součet z Celková hmotnost položek [kg]",$G$2,"Zkratka kalkulační položky",B600,"Výrobce / Dodavatel",C600),"")</f>
        <v/>
      </c>
      <c r="E600" s="904" t="str">
        <f>IF(Tabulka4[[#This Row],[Typ úlohy]]="Účet",GETPIVOTDATA("Součet z Celková cena bez DPH (CZK)",$G$3,"Zkratka kalkulační položky",B600,"Výrobce / Dodavatel",C600),"")</f>
        <v/>
      </c>
    </row>
    <row r="601" spans="1:5" x14ac:dyDescent="0.35">
      <c r="A601" s="902" t="str">
        <f t="shared" si="10"/>
        <v/>
      </c>
      <c r="B601" s="903" t="str">
        <f>IF(Tabulka4[[#This Row],[Typ úlohy]]="Součet",G601,IF(Tabulka4[[#This Row],[Typ úlohy]]="Účet",B600,""))</f>
        <v/>
      </c>
      <c r="C601" s="903" t="str">
        <f>IF(Tabulka4[[#This Row],[Typ úlohy]]="Účet",H601,"")</f>
        <v/>
      </c>
      <c r="D601" s="903" t="str">
        <f>IF(Tabulka4[[#This Row],[Typ úlohy]]="Účet",GETPIVOTDATA("Součet z Celková hmotnost položek [kg]",$G$2,"Zkratka kalkulační položky",B601,"Výrobce / Dodavatel",C601),"")</f>
        <v/>
      </c>
      <c r="E601" s="904" t="str">
        <f>IF(Tabulka4[[#This Row],[Typ úlohy]]="Účet",GETPIVOTDATA("Součet z Celková cena bez DPH (CZK)",$G$3,"Zkratka kalkulační položky",B601,"Výrobce / Dodavatel",C601),"")</f>
        <v/>
      </c>
    </row>
    <row r="602" spans="1:5" x14ac:dyDescent="0.35">
      <c r="A602" s="902" t="str">
        <f t="shared" si="10"/>
        <v/>
      </c>
      <c r="B602" s="903" t="str">
        <f>IF(Tabulka4[[#This Row],[Typ úlohy]]="Součet",G602,IF(Tabulka4[[#This Row],[Typ úlohy]]="Účet",B601,""))</f>
        <v/>
      </c>
      <c r="C602" s="903" t="str">
        <f>IF(Tabulka4[[#This Row],[Typ úlohy]]="Účet",H602,"")</f>
        <v/>
      </c>
      <c r="D602" s="903" t="str">
        <f>IF(Tabulka4[[#This Row],[Typ úlohy]]="Účet",GETPIVOTDATA("Součet z Celková hmotnost položek [kg]",$G$2,"Zkratka kalkulační položky",B602,"Výrobce / Dodavatel",C602),"")</f>
        <v/>
      </c>
      <c r="E602" s="904" t="str">
        <f>IF(Tabulka4[[#This Row],[Typ úlohy]]="Účet",GETPIVOTDATA("Součet z Celková cena bez DPH (CZK)",$G$3,"Zkratka kalkulační položky",B602,"Výrobce / Dodavatel",C602),"")</f>
        <v/>
      </c>
    </row>
    <row r="603" spans="1:5" x14ac:dyDescent="0.35">
      <c r="A603" s="902" t="str">
        <f t="shared" si="10"/>
        <v/>
      </c>
      <c r="B603" s="903" t="str">
        <f>IF(Tabulka4[[#This Row],[Typ úlohy]]="Součet",G603,IF(Tabulka4[[#This Row],[Typ úlohy]]="Účet",B602,""))</f>
        <v/>
      </c>
      <c r="C603" s="903" t="str">
        <f>IF(Tabulka4[[#This Row],[Typ úlohy]]="Účet",H603,"")</f>
        <v/>
      </c>
      <c r="D603" s="903" t="str">
        <f>IF(Tabulka4[[#This Row],[Typ úlohy]]="Účet",GETPIVOTDATA("Součet z Celková hmotnost položek [kg]",$G$2,"Zkratka kalkulační položky",B603,"Výrobce / Dodavatel",C603),"")</f>
        <v/>
      </c>
      <c r="E603" s="904" t="str">
        <f>IF(Tabulka4[[#This Row],[Typ úlohy]]="Účet",GETPIVOTDATA("Součet z Celková cena bez DPH (CZK)",$G$3,"Zkratka kalkulační položky",B603,"Výrobce / Dodavatel",C603),"")</f>
        <v/>
      </c>
    </row>
    <row r="604" spans="1:5" x14ac:dyDescent="0.35">
      <c r="A604" s="902" t="str">
        <f t="shared" si="10"/>
        <v/>
      </c>
      <c r="B604" s="903" t="str">
        <f>IF(Tabulka4[[#This Row],[Typ úlohy]]="Součet",G604,IF(Tabulka4[[#This Row],[Typ úlohy]]="Účet",B603,""))</f>
        <v/>
      </c>
      <c r="C604" s="903" t="str">
        <f>IF(Tabulka4[[#This Row],[Typ úlohy]]="Účet",H604,"")</f>
        <v/>
      </c>
      <c r="D604" s="903" t="str">
        <f>IF(Tabulka4[[#This Row],[Typ úlohy]]="Účet",GETPIVOTDATA("Součet z Celková hmotnost položek [kg]",$G$2,"Zkratka kalkulační položky",B604,"Výrobce / Dodavatel",C604),"")</f>
        <v/>
      </c>
      <c r="E604" s="904" t="str">
        <f>IF(Tabulka4[[#This Row],[Typ úlohy]]="Účet",GETPIVOTDATA("Součet z Celková cena bez DPH (CZK)",$G$3,"Zkratka kalkulační položky",B604,"Výrobce / Dodavatel",C604),"")</f>
        <v/>
      </c>
    </row>
    <row r="605" spans="1:5" x14ac:dyDescent="0.35">
      <c r="A605" s="902" t="str">
        <f t="shared" si="10"/>
        <v/>
      </c>
      <c r="B605" s="903" t="str">
        <f>IF(Tabulka4[[#This Row],[Typ úlohy]]="Součet",G605,IF(Tabulka4[[#This Row],[Typ úlohy]]="Účet",B604,""))</f>
        <v/>
      </c>
      <c r="C605" s="903" t="str">
        <f>IF(Tabulka4[[#This Row],[Typ úlohy]]="Účet",H605,"")</f>
        <v/>
      </c>
      <c r="D605" s="903" t="str">
        <f>IF(Tabulka4[[#This Row],[Typ úlohy]]="Účet",GETPIVOTDATA("Součet z Celková hmotnost položek [kg]",$G$2,"Zkratka kalkulační položky",B605,"Výrobce / Dodavatel",C605),"")</f>
        <v/>
      </c>
      <c r="E605" s="904" t="str">
        <f>IF(Tabulka4[[#This Row],[Typ úlohy]]="Účet",GETPIVOTDATA("Součet z Celková cena bez DPH (CZK)",$G$3,"Zkratka kalkulační položky",B605,"Výrobce / Dodavatel",C605),"")</f>
        <v/>
      </c>
    </row>
    <row r="606" spans="1:5" x14ac:dyDescent="0.35">
      <c r="A606" s="902" t="str">
        <f t="shared" si="10"/>
        <v/>
      </c>
      <c r="B606" s="903" t="str">
        <f>IF(Tabulka4[[#This Row],[Typ úlohy]]="Součet",G606,IF(Tabulka4[[#This Row],[Typ úlohy]]="Účet",B605,""))</f>
        <v/>
      </c>
      <c r="C606" s="903" t="str">
        <f>IF(Tabulka4[[#This Row],[Typ úlohy]]="Účet",H606,"")</f>
        <v/>
      </c>
      <c r="D606" s="903" t="str">
        <f>IF(Tabulka4[[#This Row],[Typ úlohy]]="Účet",GETPIVOTDATA("Součet z Celková hmotnost položek [kg]",$G$2,"Zkratka kalkulační položky",B606,"Výrobce / Dodavatel",C606),"")</f>
        <v/>
      </c>
      <c r="E606" s="904" t="str">
        <f>IF(Tabulka4[[#This Row],[Typ úlohy]]="Účet",GETPIVOTDATA("Součet z Celková cena bez DPH (CZK)",$G$3,"Zkratka kalkulační položky",B606,"Výrobce / Dodavatel",C606),"")</f>
        <v/>
      </c>
    </row>
    <row r="607" spans="1:5" x14ac:dyDescent="0.35">
      <c r="A607" s="902" t="str">
        <f t="shared" si="10"/>
        <v/>
      </c>
      <c r="B607" s="903" t="str">
        <f>IF(Tabulka4[[#This Row],[Typ úlohy]]="Součet",G607,IF(Tabulka4[[#This Row],[Typ úlohy]]="Účet",B606,""))</f>
        <v/>
      </c>
      <c r="C607" s="903" t="str">
        <f>IF(Tabulka4[[#This Row],[Typ úlohy]]="Účet",H607,"")</f>
        <v/>
      </c>
      <c r="D607" s="903" t="str">
        <f>IF(Tabulka4[[#This Row],[Typ úlohy]]="Účet",GETPIVOTDATA("Součet z Celková hmotnost položek [kg]",$G$2,"Zkratka kalkulační položky",B607,"Výrobce / Dodavatel",C607),"")</f>
        <v/>
      </c>
      <c r="E607" s="904" t="str">
        <f>IF(Tabulka4[[#This Row],[Typ úlohy]]="Účet",GETPIVOTDATA("Součet z Celková cena bez DPH (CZK)",$G$3,"Zkratka kalkulační položky",B607,"Výrobce / Dodavatel",C607),"")</f>
        <v/>
      </c>
    </row>
    <row r="608" spans="1:5" x14ac:dyDescent="0.35">
      <c r="A608" s="902" t="str">
        <f t="shared" si="10"/>
        <v/>
      </c>
      <c r="B608" s="903" t="str">
        <f>IF(Tabulka4[[#This Row],[Typ úlohy]]="Součet",G608,IF(Tabulka4[[#This Row],[Typ úlohy]]="Účet",B607,""))</f>
        <v/>
      </c>
      <c r="C608" s="903" t="str">
        <f>IF(Tabulka4[[#This Row],[Typ úlohy]]="Účet",H608,"")</f>
        <v/>
      </c>
      <c r="D608" s="903" t="str">
        <f>IF(Tabulka4[[#This Row],[Typ úlohy]]="Účet",GETPIVOTDATA("Součet z Celková hmotnost položek [kg]",$G$2,"Zkratka kalkulační položky",B608,"Výrobce / Dodavatel",C608),"")</f>
        <v/>
      </c>
      <c r="E608" s="904" t="str">
        <f>IF(Tabulka4[[#This Row],[Typ úlohy]]="Účet",GETPIVOTDATA("Součet z Celková cena bez DPH (CZK)",$G$3,"Zkratka kalkulační položky",B608,"Výrobce / Dodavatel",C608),"")</f>
        <v/>
      </c>
    </row>
    <row r="609" spans="1:5" x14ac:dyDescent="0.35">
      <c r="A609" s="902" t="str">
        <f t="shared" si="10"/>
        <v/>
      </c>
      <c r="B609" s="903" t="str">
        <f>IF(Tabulka4[[#This Row],[Typ úlohy]]="Součet",G609,IF(Tabulka4[[#This Row],[Typ úlohy]]="Účet",B608,""))</f>
        <v/>
      </c>
      <c r="C609" s="903" t="str">
        <f>IF(Tabulka4[[#This Row],[Typ úlohy]]="Účet",H609,"")</f>
        <v/>
      </c>
      <c r="D609" s="903" t="str">
        <f>IF(Tabulka4[[#This Row],[Typ úlohy]]="Účet",GETPIVOTDATA("Součet z Celková hmotnost položek [kg]",$G$2,"Zkratka kalkulační položky",B609,"Výrobce / Dodavatel",C609),"")</f>
        <v/>
      </c>
      <c r="E609" s="904" t="str">
        <f>IF(Tabulka4[[#This Row],[Typ úlohy]]="Účet",GETPIVOTDATA("Součet z Celková cena bez DPH (CZK)",$G$3,"Zkratka kalkulační položky",B609,"Výrobce / Dodavatel",C609),"")</f>
        <v/>
      </c>
    </row>
    <row r="610" spans="1:5" x14ac:dyDescent="0.35">
      <c r="A610" s="902" t="str">
        <f t="shared" si="10"/>
        <v/>
      </c>
      <c r="B610" s="903" t="str">
        <f>IF(Tabulka4[[#This Row],[Typ úlohy]]="Součet",G610,IF(Tabulka4[[#This Row],[Typ úlohy]]="Účet",B609,""))</f>
        <v/>
      </c>
      <c r="C610" s="903" t="str">
        <f>IF(Tabulka4[[#This Row],[Typ úlohy]]="Účet",H610,"")</f>
        <v/>
      </c>
      <c r="D610" s="903" t="str">
        <f>IF(Tabulka4[[#This Row],[Typ úlohy]]="Účet",GETPIVOTDATA("Součet z Celková hmotnost položek [kg]",$G$2,"Zkratka kalkulační položky",B610,"Výrobce / Dodavatel",C610),"")</f>
        <v/>
      </c>
      <c r="E610" s="904" t="str">
        <f>IF(Tabulka4[[#This Row],[Typ úlohy]]="Účet",GETPIVOTDATA("Součet z Celková cena bez DPH (CZK)",$G$3,"Zkratka kalkulační položky",B610,"Výrobce / Dodavatel",C610),"")</f>
        <v/>
      </c>
    </row>
    <row r="611" spans="1:5" x14ac:dyDescent="0.35">
      <c r="A611" s="902" t="str">
        <f t="shared" si="10"/>
        <v/>
      </c>
      <c r="B611" s="903" t="str">
        <f>IF(Tabulka4[[#This Row],[Typ úlohy]]="Součet",G611,IF(Tabulka4[[#This Row],[Typ úlohy]]="Účet",B610,""))</f>
        <v/>
      </c>
      <c r="C611" s="903" t="str">
        <f>IF(Tabulka4[[#This Row],[Typ úlohy]]="Účet",H611,"")</f>
        <v/>
      </c>
      <c r="D611" s="903" t="str">
        <f>IF(Tabulka4[[#This Row],[Typ úlohy]]="Účet",GETPIVOTDATA("Součet z Celková hmotnost položek [kg]",$G$2,"Zkratka kalkulační položky",B611,"Výrobce / Dodavatel",C611),"")</f>
        <v/>
      </c>
      <c r="E611" s="904" t="str">
        <f>IF(Tabulka4[[#This Row],[Typ úlohy]]="Účet",GETPIVOTDATA("Součet z Celková cena bez DPH (CZK)",$G$3,"Zkratka kalkulační položky",B611,"Výrobce / Dodavatel",C611),"")</f>
        <v/>
      </c>
    </row>
    <row r="612" spans="1:5" x14ac:dyDescent="0.35">
      <c r="A612" s="902" t="str">
        <f t="shared" si="10"/>
        <v/>
      </c>
      <c r="B612" s="903" t="str">
        <f>IF(Tabulka4[[#This Row],[Typ úlohy]]="Součet",G612,IF(Tabulka4[[#This Row],[Typ úlohy]]="Účet",B611,""))</f>
        <v/>
      </c>
      <c r="C612" s="903" t="str">
        <f>IF(Tabulka4[[#This Row],[Typ úlohy]]="Účet",H612,"")</f>
        <v/>
      </c>
      <c r="D612" s="903" t="str">
        <f>IF(Tabulka4[[#This Row],[Typ úlohy]]="Účet",GETPIVOTDATA("Součet z Celková hmotnost položek [kg]",$G$2,"Zkratka kalkulační položky",B612,"Výrobce / Dodavatel",C612),"")</f>
        <v/>
      </c>
      <c r="E612" s="904" t="str">
        <f>IF(Tabulka4[[#This Row],[Typ úlohy]]="Účet",GETPIVOTDATA("Součet z Celková cena bez DPH (CZK)",$G$3,"Zkratka kalkulační položky",B612,"Výrobce / Dodavatel",C612),"")</f>
        <v/>
      </c>
    </row>
    <row r="613" spans="1:5" x14ac:dyDescent="0.35">
      <c r="A613" s="902" t="str">
        <f t="shared" si="10"/>
        <v/>
      </c>
      <c r="B613" s="903" t="str">
        <f>IF(Tabulka4[[#This Row],[Typ úlohy]]="Součet",G613,IF(Tabulka4[[#This Row],[Typ úlohy]]="Účet",B612,""))</f>
        <v/>
      </c>
      <c r="C613" s="903" t="str">
        <f>IF(Tabulka4[[#This Row],[Typ úlohy]]="Účet",H613,"")</f>
        <v/>
      </c>
      <c r="D613" s="903" t="str">
        <f>IF(Tabulka4[[#This Row],[Typ úlohy]]="Účet",GETPIVOTDATA("Součet z Celková hmotnost položek [kg]",$G$2,"Zkratka kalkulační položky",B613,"Výrobce / Dodavatel",C613),"")</f>
        <v/>
      </c>
      <c r="E613" s="904" t="str">
        <f>IF(Tabulka4[[#This Row],[Typ úlohy]]="Účet",GETPIVOTDATA("Součet z Celková cena bez DPH (CZK)",$G$3,"Zkratka kalkulační položky",B613,"Výrobce / Dodavatel",C613),"")</f>
        <v/>
      </c>
    </row>
    <row r="614" spans="1:5" x14ac:dyDescent="0.35">
      <c r="A614" s="902" t="str">
        <f t="shared" si="10"/>
        <v/>
      </c>
      <c r="B614" s="903" t="str">
        <f>IF(Tabulka4[[#This Row],[Typ úlohy]]="Součet",G614,IF(Tabulka4[[#This Row],[Typ úlohy]]="Účet",B613,""))</f>
        <v/>
      </c>
      <c r="C614" s="903" t="str">
        <f>IF(Tabulka4[[#This Row],[Typ úlohy]]="Účet",H614,"")</f>
        <v/>
      </c>
      <c r="D614" s="903" t="str">
        <f>IF(Tabulka4[[#This Row],[Typ úlohy]]="Účet",GETPIVOTDATA("Součet z Celková hmotnost položek [kg]",$G$2,"Zkratka kalkulační položky",B614,"Výrobce / Dodavatel",C614),"")</f>
        <v/>
      </c>
      <c r="E614" s="904" t="str">
        <f>IF(Tabulka4[[#This Row],[Typ úlohy]]="Účet",GETPIVOTDATA("Součet z Celková cena bez DPH (CZK)",$G$3,"Zkratka kalkulační položky",B614,"Výrobce / Dodavatel",C614),"")</f>
        <v/>
      </c>
    </row>
    <row r="615" spans="1:5" x14ac:dyDescent="0.35">
      <c r="A615" s="902" t="str">
        <f t="shared" si="10"/>
        <v/>
      </c>
      <c r="B615" s="903" t="str">
        <f>IF(Tabulka4[[#This Row],[Typ úlohy]]="Součet",G615,IF(Tabulka4[[#This Row],[Typ úlohy]]="Účet",B614,""))</f>
        <v/>
      </c>
      <c r="C615" s="903" t="str">
        <f>IF(Tabulka4[[#This Row],[Typ úlohy]]="Účet",H615,"")</f>
        <v/>
      </c>
      <c r="D615" s="903" t="str">
        <f>IF(Tabulka4[[#This Row],[Typ úlohy]]="Účet",GETPIVOTDATA("Součet z Celková hmotnost položek [kg]",$G$2,"Zkratka kalkulační položky",B615,"Výrobce / Dodavatel",C615),"")</f>
        <v/>
      </c>
      <c r="E615" s="904" t="str">
        <f>IF(Tabulka4[[#This Row],[Typ úlohy]]="Účet",GETPIVOTDATA("Součet z Celková cena bez DPH (CZK)",$G$3,"Zkratka kalkulační položky",B615,"Výrobce / Dodavatel",C615),"")</f>
        <v/>
      </c>
    </row>
    <row r="616" spans="1:5" x14ac:dyDescent="0.35">
      <c r="A616" s="902" t="str">
        <f t="shared" si="10"/>
        <v/>
      </c>
      <c r="B616" s="903" t="str">
        <f>IF(Tabulka4[[#This Row],[Typ úlohy]]="Součet",G616,IF(Tabulka4[[#This Row],[Typ úlohy]]="Účet",B615,""))</f>
        <v/>
      </c>
      <c r="C616" s="903" t="str">
        <f>IF(Tabulka4[[#This Row],[Typ úlohy]]="Účet",H616,"")</f>
        <v/>
      </c>
      <c r="D616" s="903" t="str">
        <f>IF(Tabulka4[[#This Row],[Typ úlohy]]="Účet",GETPIVOTDATA("Součet z Celková hmotnost položek [kg]",$G$2,"Zkratka kalkulační položky",B616,"Výrobce / Dodavatel",C616),"")</f>
        <v/>
      </c>
      <c r="E616" s="904" t="str">
        <f>IF(Tabulka4[[#This Row],[Typ úlohy]]="Účet",GETPIVOTDATA("Součet z Celková cena bez DPH (CZK)",$G$3,"Zkratka kalkulační položky",B616,"Výrobce / Dodavatel",C616),"")</f>
        <v/>
      </c>
    </row>
    <row r="617" spans="1:5" x14ac:dyDescent="0.35">
      <c r="A617" s="902" t="str">
        <f t="shared" si="10"/>
        <v/>
      </c>
      <c r="B617" s="903" t="str">
        <f>IF(Tabulka4[[#This Row],[Typ úlohy]]="Součet",G617,IF(Tabulka4[[#This Row],[Typ úlohy]]="Účet",B616,""))</f>
        <v/>
      </c>
      <c r="C617" s="903" t="str">
        <f>IF(Tabulka4[[#This Row],[Typ úlohy]]="Účet",H617,"")</f>
        <v/>
      </c>
      <c r="D617" s="903" t="str">
        <f>IF(Tabulka4[[#This Row],[Typ úlohy]]="Účet",GETPIVOTDATA("Součet z Celková hmotnost položek [kg]",$G$2,"Zkratka kalkulační položky",B617,"Výrobce / Dodavatel",C617),"")</f>
        <v/>
      </c>
      <c r="E617" s="904" t="str">
        <f>IF(Tabulka4[[#This Row],[Typ úlohy]]="Účet",GETPIVOTDATA("Součet z Celková cena bez DPH (CZK)",$G$3,"Zkratka kalkulační položky",B617,"Výrobce / Dodavatel",C617),"")</f>
        <v/>
      </c>
    </row>
    <row r="618" spans="1:5" x14ac:dyDescent="0.35">
      <c r="A618" s="902" t="str">
        <f t="shared" si="10"/>
        <v/>
      </c>
      <c r="B618" s="903" t="str">
        <f>IF(Tabulka4[[#This Row],[Typ úlohy]]="Součet",G618,IF(Tabulka4[[#This Row],[Typ úlohy]]="Účet",B617,""))</f>
        <v/>
      </c>
      <c r="C618" s="903" t="str">
        <f>IF(Tabulka4[[#This Row],[Typ úlohy]]="Účet",H618,"")</f>
        <v/>
      </c>
      <c r="D618" s="903" t="str">
        <f>IF(Tabulka4[[#This Row],[Typ úlohy]]="Účet",GETPIVOTDATA("Součet z Celková hmotnost položek [kg]",$G$2,"Zkratka kalkulační položky",B618,"Výrobce / Dodavatel",C618),"")</f>
        <v/>
      </c>
      <c r="E618" s="904" t="str">
        <f>IF(Tabulka4[[#This Row],[Typ úlohy]]="Účet",GETPIVOTDATA("Součet z Celková cena bez DPH (CZK)",$G$3,"Zkratka kalkulační položky",B618,"Výrobce / Dodavatel",C618),"")</f>
        <v/>
      </c>
    </row>
    <row r="619" spans="1:5" x14ac:dyDescent="0.35">
      <c r="A619" s="902" t="str">
        <f t="shared" si="10"/>
        <v/>
      </c>
      <c r="B619" s="903" t="str">
        <f>IF(Tabulka4[[#This Row],[Typ úlohy]]="Součet",G619,IF(Tabulka4[[#This Row],[Typ úlohy]]="Účet",B618,""))</f>
        <v/>
      </c>
      <c r="C619" s="903" t="str">
        <f>IF(Tabulka4[[#This Row],[Typ úlohy]]="Účet",H619,"")</f>
        <v/>
      </c>
      <c r="D619" s="903" t="str">
        <f>IF(Tabulka4[[#This Row],[Typ úlohy]]="Účet",GETPIVOTDATA("Součet z Celková hmotnost položek [kg]",$G$2,"Zkratka kalkulační položky",B619,"Výrobce / Dodavatel",C619),"")</f>
        <v/>
      </c>
      <c r="E619" s="904" t="str">
        <f>IF(Tabulka4[[#This Row],[Typ úlohy]]="Účet",GETPIVOTDATA("Součet z Celková cena bez DPH (CZK)",$G$3,"Zkratka kalkulační položky",B619,"Výrobce / Dodavatel",C619),"")</f>
        <v/>
      </c>
    </row>
    <row r="620" spans="1:5" x14ac:dyDescent="0.35">
      <c r="A620" s="902" t="str">
        <f t="shared" si="10"/>
        <v/>
      </c>
      <c r="B620" s="903" t="str">
        <f>IF(Tabulka4[[#This Row],[Typ úlohy]]="Součet",G620,IF(Tabulka4[[#This Row],[Typ úlohy]]="Účet",B619,""))</f>
        <v/>
      </c>
      <c r="C620" s="903" t="str">
        <f>IF(Tabulka4[[#This Row],[Typ úlohy]]="Účet",H620,"")</f>
        <v/>
      </c>
      <c r="D620" s="903" t="str">
        <f>IF(Tabulka4[[#This Row],[Typ úlohy]]="Účet",GETPIVOTDATA("Součet z Celková hmotnost položek [kg]",$G$2,"Zkratka kalkulační položky",B620,"Výrobce / Dodavatel",C620),"")</f>
        <v/>
      </c>
      <c r="E620" s="904" t="str">
        <f>IF(Tabulka4[[#This Row],[Typ úlohy]]="Účet",GETPIVOTDATA("Součet z Celková cena bez DPH (CZK)",$G$3,"Zkratka kalkulační položky",B620,"Výrobce / Dodavatel",C620),"")</f>
        <v/>
      </c>
    </row>
    <row r="621" spans="1:5" x14ac:dyDescent="0.35">
      <c r="A621" s="902" t="str">
        <f t="shared" si="10"/>
        <v/>
      </c>
      <c r="B621" s="903" t="str">
        <f>IF(Tabulka4[[#This Row],[Typ úlohy]]="Součet",G621,IF(Tabulka4[[#This Row],[Typ úlohy]]="Účet",B620,""))</f>
        <v/>
      </c>
      <c r="C621" s="903" t="str">
        <f>IF(Tabulka4[[#This Row],[Typ úlohy]]="Účet",H621,"")</f>
        <v/>
      </c>
      <c r="D621" s="903" t="str">
        <f>IF(Tabulka4[[#This Row],[Typ úlohy]]="Účet",GETPIVOTDATA("Součet z Celková hmotnost položek [kg]",$G$2,"Zkratka kalkulační položky",B621,"Výrobce / Dodavatel",C621),"")</f>
        <v/>
      </c>
      <c r="E621" s="904" t="str">
        <f>IF(Tabulka4[[#This Row],[Typ úlohy]]="Účet",GETPIVOTDATA("Součet z Celková cena bez DPH (CZK)",$G$3,"Zkratka kalkulační položky",B621,"Výrobce / Dodavatel",C621),"")</f>
        <v/>
      </c>
    </row>
    <row r="622" spans="1:5" x14ac:dyDescent="0.35">
      <c r="A622" s="902" t="str">
        <f t="shared" si="10"/>
        <v/>
      </c>
      <c r="B622" s="903" t="str">
        <f>IF(Tabulka4[[#This Row],[Typ úlohy]]="Součet",G622,IF(Tabulka4[[#This Row],[Typ úlohy]]="Účet",B621,""))</f>
        <v/>
      </c>
      <c r="C622" s="903" t="str">
        <f>IF(Tabulka4[[#This Row],[Typ úlohy]]="Účet",H622,"")</f>
        <v/>
      </c>
      <c r="D622" s="903" t="str">
        <f>IF(Tabulka4[[#This Row],[Typ úlohy]]="Účet",GETPIVOTDATA("Součet z Celková hmotnost položek [kg]",$G$2,"Zkratka kalkulační položky",B622,"Výrobce / Dodavatel",C622),"")</f>
        <v/>
      </c>
      <c r="E622" s="904" t="str">
        <f>IF(Tabulka4[[#This Row],[Typ úlohy]]="Účet",GETPIVOTDATA("Součet z Celková cena bez DPH (CZK)",$G$3,"Zkratka kalkulační položky",B622,"Výrobce / Dodavatel",C622),"")</f>
        <v/>
      </c>
    </row>
    <row r="623" spans="1:5" x14ac:dyDescent="0.35">
      <c r="A623" s="902" t="str">
        <f t="shared" si="10"/>
        <v/>
      </c>
      <c r="B623" s="903" t="str">
        <f>IF(Tabulka4[[#This Row],[Typ úlohy]]="Součet",G623,IF(Tabulka4[[#This Row],[Typ úlohy]]="Účet",B622,""))</f>
        <v/>
      </c>
      <c r="C623" s="903" t="str">
        <f>IF(Tabulka4[[#This Row],[Typ úlohy]]="Účet",H623,"")</f>
        <v/>
      </c>
      <c r="D623" s="903" t="str">
        <f>IF(Tabulka4[[#This Row],[Typ úlohy]]="Účet",GETPIVOTDATA("Součet z Celková hmotnost položek [kg]",$G$2,"Zkratka kalkulační položky",B623,"Výrobce / Dodavatel",C623),"")</f>
        <v/>
      </c>
      <c r="E623" s="904" t="str">
        <f>IF(Tabulka4[[#This Row],[Typ úlohy]]="Účet",GETPIVOTDATA("Součet z Celková cena bez DPH (CZK)",$G$3,"Zkratka kalkulační položky",B623,"Výrobce / Dodavatel",C623),"")</f>
        <v/>
      </c>
    </row>
    <row r="624" spans="1:5" x14ac:dyDescent="0.35">
      <c r="A624" s="902" t="str">
        <f t="shared" si="10"/>
        <v/>
      </c>
      <c r="B624" s="903" t="str">
        <f>IF(Tabulka4[[#This Row],[Typ úlohy]]="Součet",G624,IF(Tabulka4[[#This Row],[Typ úlohy]]="Účet",B623,""))</f>
        <v/>
      </c>
      <c r="C624" s="903" t="str">
        <f>IF(Tabulka4[[#This Row],[Typ úlohy]]="Účet",H624,"")</f>
        <v/>
      </c>
      <c r="D624" s="903" t="str">
        <f>IF(Tabulka4[[#This Row],[Typ úlohy]]="Účet",GETPIVOTDATA("Součet z Celková hmotnost položek [kg]",$G$2,"Zkratka kalkulační položky",B624,"Výrobce / Dodavatel",C624),"")</f>
        <v/>
      </c>
      <c r="E624" s="904" t="str">
        <f>IF(Tabulka4[[#This Row],[Typ úlohy]]="Účet",GETPIVOTDATA("Součet z Celková cena bez DPH (CZK)",$G$3,"Zkratka kalkulační položky",B624,"Výrobce / Dodavatel",C624),"")</f>
        <v/>
      </c>
    </row>
    <row r="625" spans="1:5" x14ac:dyDescent="0.35">
      <c r="A625" s="902" t="str">
        <f t="shared" si="10"/>
        <v/>
      </c>
      <c r="B625" s="903" t="str">
        <f>IF(Tabulka4[[#This Row],[Typ úlohy]]="Součet",G625,IF(Tabulka4[[#This Row],[Typ úlohy]]="Účet",B624,""))</f>
        <v/>
      </c>
      <c r="C625" s="903" t="str">
        <f>IF(Tabulka4[[#This Row],[Typ úlohy]]="Účet",H625,"")</f>
        <v/>
      </c>
      <c r="D625" s="903" t="str">
        <f>IF(Tabulka4[[#This Row],[Typ úlohy]]="Účet",GETPIVOTDATA("Součet z Celková hmotnost položek [kg]",$G$2,"Zkratka kalkulační položky",B625,"Výrobce / Dodavatel",C625),"")</f>
        <v/>
      </c>
      <c r="E625" s="904" t="str">
        <f>IF(Tabulka4[[#This Row],[Typ úlohy]]="Účet",GETPIVOTDATA("Součet z Celková cena bez DPH (CZK)",$G$3,"Zkratka kalkulační položky",B625,"Výrobce / Dodavatel",C625),"")</f>
        <v/>
      </c>
    </row>
    <row r="626" spans="1:5" x14ac:dyDescent="0.35">
      <c r="A626" s="902" t="str">
        <f t="shared" si="10"/>
        <v/>
      </c>
      <c r="B626" s="903" t="str">
        <f>IF(Tabulka4[[#This Row],[Typ úlohy]]="Součet",G626,IF(Tabulka4[[#This Row],[Typ úlohy]]="Účet",B625,""))</f>
        <v/>
      </c>
      <c r="C626" s="903" t="str">
        <f>IF(Tabulka4[[#This Row],[Typ úlohy]]="Účet",H626,"")</f>
        <v/>
      </c>
      <c r="D626" s="903" t="str">
        <f>IF(Tabulka4[[#This Row],[Typ úlohy]]="Účet",GETPIVOTDATA("Součet z Celková hmotnost položek [kg]",$G$2,"Zkratka kalkulační položky",B626,"Výrobce / Dodavatel",C626),"")</f>
        <v/>
      </c>
      <c r="E626" s="904" t="str">
        <f>IF(Tabulka4[[#This Row],[Typ úlohy]]="Účet",GETPIVOTDATA("Součet z Celková cena bez DPH (CZK)",$G$3,"Zkratka kalkulační položky",B626,"Výrobce / Dodavatel",C626),"")</f>
        <v/>
      </c>
    </row>
    <row r="627" spans="1:5" x14ac:dyDescent="0.35">
      <c r="A627" s="902" t="str">
        <f t="shared" si="10"/>
        <v/>
      </c>
      <c r="B627" s="903" t="str">
        <f>IF(Tabulka4[[#This Row],[Typ úlohy]]="Součet",G627,IF(Tabulka4[[#This Row],[Typ úlohy]]="Účet",B626,""))</f>
        <v/>
      </c>
      <c r="C627" s="903" t="str">
        <f>IF(Tabulka4[[#This Row],[Typ úlohy]]="Účet",H627,"")</f>
        <v/>
      </c>
      <c r="D627" s="903" t="str">
        <f>IF(Tabulka4[[#This Row],[Typ úlohy]]="Účet",GETPIVOTDATA("Součet z Celková hmotnost položek [kg]",$G$2,"Zkratka kalkulační položky",B627,"Výrobce / Dodavatel",C627),"")</f>
        <v/>
      </c>
      <c r="E627" s="904" t="str">
        <f>IF(Tabulka4[[#This Row],[Typ úlohy]]="Účet",GETPIVOTDATA("Součet z Celková cena bez DPH (CZK)",$G$3,"Zkratka kalkulační položky",B627,"Výrobce / Dodavatel",C627),"")</f>
        <v/>
      </c>
    </row>
    <row r="628" spans="1:5" x14ac:dyDescent="0.35">
      <c r="A628" s="902" t="str">
        <f t="shared" si="10"/>
        <v/>
      </c>
      <c r="B628" s="903" t="str">
        <f>IF(Tabulka4[[#This Row],[Typ úlohy]]="Součet",G628,IF(Tabulka4[[#This Row],[Typ úlohy]]="Účet",B627,""))</f>
        <v/>
      </c>
      <c r="C628" s="903" t="str">
        <f>IF(Tabulka4[[#This Row],[Typ úlohy]]="Účet",H628,"")</f>
        <v/>
      </c>
      <c r="D628" s="903" t="str">
        <f>IF(Tabulka4[[#This Row],[Typ úlohy]]="Účet",GETPIVOTDATA("Součet z Celková hmotnost položek [kg]",$G$2,"Zkratka kalkulační položky",B628,"Výrobce / Dodavatel",C628),"")</f>
        <v/>
      </c>
      <c r="E628" s="904" t="str">
        <f>IF(Tabulka4[[#This Row],[Typ úlohy]]="Účet",GETPIVOTDATA("Součet z Celková cena bez DPH (CZK)",$G$3,"Zkratka kalkulační položky",B628,"Výrobce / Dodavatel",C628),"")</f>
        <v/>
      </c>
    </row>
    <row r="629" spans="1:5" x14ac:dyDescent="0.35">
      <c r="A629" s="902" t="str">
        <f t="shared" si="10"/>
        <v/>
      </c>
      <c r="B629" s="903" t="str">
        <f>IF(Tabulka4[[#This Row],[Typ úlohy]]="Součet",G629,IF(Tabulka4[[#This Row],[Typ úlohy]]="Účet",B628,""))</f>
        <v/>
      </c>
      <c r="C629" s="903" t="str">
        <f>IF(Tabulka4[[#This Row],[Typ úlohy]]="Účet",H629,"")</f>
        <v/>
      </c>
      <c r="D629" s="903" t="str">
        <f>IF(Tabulka4[[#This Row],[Typ úlohy]]="Účet",GETPIVOTDATA("Součet z Celková hmotnost položek [kg]",$G$2,"Zkratka kalkulační položky",B629,"Výrobce / Dodavatel",C629),"")</f>
        <v/>
      </c>
      <c r="E629" s="904" t="str">
        <f>IF(Tabulka4[[#This Row],[Typ úlohy]]="Účet",GETPIVOTDATA("Součet z Celková cena bez DPH (CZK)",$G$3,"Zkratka kalkulační položky",B629,"Výrobce / Dodavatel",C629),"")</f>
        <v/>
      </c>
    </row>
    <row r="630" spans="1:5" x14ac:dyDescent="0.35">
      <c r="A630" s="902" t="str">
        <f t="shared" si="10"/>
        <v/>
      </c>
      <c r="B630" s="903" t="str">
        <f>IF(Tabulka4[[#This Row],[Typ úlohy]]="Součet",G630,IF(Tabulka4[[#This Row],[Typ úlohy]]="Účet",B629,""))</f>
        <v/>
      </c>
      <c r="C630" s="903" t="str">
        <f>IF(Tabulka4[[#This Row],[Typ úlohy]]="Účet",H630,"")</f>
        <v/>
      </c>
      <c r="D630" s="903" t="str">
        <f>IF(Tabulka4[[#This Row],[Typ úlohy]]="Účet",GETPIVOTDATA("Součet z Celková hmotnost položek [kg]",$G$2,"Zkratka kalkulační položky",B630,"Výrobce / Dodavatel",C630),"")</f>
        <v/>
      </c>
      <c r="E630" s="904" t="str">
        <f>IF(Tabulka4[[#This Row],[Typ úlohy]]="Účet",GETPIVOTDATA("Součet z Celková cena bez DPH (CZK)",$G$3,"Zkratka kalkulační položky",B630,"Výrobce / Dodavatel",C630),"")</f>
        <v/>
      </c>
    </row>
    <row r="631" spans="1:5" x14ac:dyDescent="0.35">
      <c r="A631" s="902" t="str">
        <f t="shared" si="10"/>
        <v/>
      </c>
      <c r="B631" s="903" t="str">
        <f>IF(Tabulka4[[#This Row],[Typ úlohy]]="Součet",G631,IF(Tabulka4[[#This Row],[Typ úlohy]]="Účet",B630,""))</f>
        <v/>
      </c>
      <c r="C631" s="903" t="str">
        <f>IF(Tabulka4[[#This Row],[Typ úlohy]]="Účet",H631,"")</f>
        <v/>
      </c>
      <c r="D631" s="903" t="str">
        <f>IF(Tabulka4[[#This Row],[Typ úlohy]]="Účet",GETPIVOTDATA("Součet z Celková hmotnost položek [kg]",$G$2,"Zkratka kalkulační položky",B631,"Výrobce / Dodavatel",C631),"")</f>
        <v/>
      </c>
      <c r="E631" s="904" t="str">
        <f>IF(Tabulka4[[#This Row],[Typ úlohy]]="Účet",GETPIVOTDATA("Součet z Celková cena bez DPH (CZK)",$G$3,"Zkratka kalkulační položky",B631,"Výrobce / Dodavatel",C631),"")</f>
        <v/>
      </c>
    </row>
    <row r="632" spans="1:5" x14ac:dyDescent="0.35">
      <c r="A632" s="902" t="str">
        <f t="shared" si="10"/>
        <v/>
      </c>
      <c r="B632" s="903" t="str">
        <f>IF(Tabulka4[[#This Row],[Typ úlohy]]="Součet",G632,IF(Tabulka4[[#This Row],[Typ úlohy]]="Účet",B631,""))</f>
        <v/>
      </c>
      <c r="C632" s="903" t="str">
        <f>IF(Tabulka4[[#This Row],[Typ úlohy]]="Účet",H632,"")</f>
        <v/>
      </c>
      <c r="D632" s="903" t="str">
        <f>IF(Tabulka4[[#This Row],[Typ úlohy]]="Účet",GETPIVOTDATA("Součet z Celková hmotnost položek [kg]",$G$2,"Zkratka kalkulační položky",B632,"Výrobce / Dodavatel",C632),"")</f>
        <v/>
      </c>
      <c r="E632" s="904" t="str">
        <f>IF(Tabulka4[[#This Row],[Typ úlohy]]="Účet",GETPIVOTDATA("Součet z Celková cena bez DPH (CZK)",$G$3,"Zkratka kalkulační položky",B632,"Výrobce / Dodavatel",C632),"")</f>
        <v/>
      </c>
    </row>
    <row r="633" spans="1:5" x14ac:dyDescent="0.35">
      <c r="A633" s="902" t="str">
        <f t="shared" si="10"/>
        <v/>
      </c>
      <c r="B633" s="903" t="str">
        <f>IF(Tabulka4[[#This Row],[Typ úlohy]]="Součet",G633,IF(Tabulka4[[#This Row],[Typ úlohy]]="Účet",B632,""))</f>
        <v/>
      </c>
      <c r="C633" s="903" t="str">
        <f>IF(Tabulka4[[#This Row],[Typ úlohy]]="Účet",H633,"")</f>
        <v/>
      </c>
      <c r="D633" s="903" t="str">
        <f>IF(Tabulka4[[#This Row],[Typ úlohy]]="Účet",GETPIVOTDATA("Součet z Celková hmotnost položek [kg]",$G$2,"Zkratka kalkulační položky",B633,"Výrobce / Dodavatel",C633),"")</f>
        <v/>
      </c>
      <c r="E633" s="904" t="str">
        <f>IF(Tabulka4[[#This Row],[Typ úlohy]]="Účet",GETPIVOTDATA("Součet z Celková cena bez DPH (CZK)",$G$3,"Zkratka kalkulační položky",B633,"Výrobce / Dodavatel",C633),"")</f>
        <v/>
      </c>
    </row>
    <row r="634" spans="1:5" x14ac:dyDescent="0.35">
      <c r="A634" s="902" t="str">
        <f t="shared" si="10"/>
        <v/>
      </c>
      <c r="B634" s="903" t="str">
        <f>IF(Tabulka4[[#This Row],[Typ úlohy]]="Součet",G634,IF(Tabulka4[[#This Row],[Typ úlohy]]="Účet",B633,""))</f>
        <v/>
      </c>
      <c r="C634" s="903" t="str">
        <f>IF(Tabulka4[[#This Row],[Typ úlohy]]="Účet",H634,"")</f>
        <v/>
      </c>
      <c r="D634" s="903" t="str">
        <f>IF(Tabulka4[[#This Row],[Typ úlohy]]="Účet",GETPIVOTDATA("Součet z Celková hmotnost položek [kg]",$G$2,"Zkratka kalkulační položky",B634,"Výrobce / Dodavatel",C634),"")</f>
        <v/>
      </c>
      <c r="E634" s="904" t="str">
        <f>IF(Tabulka4[[#This Row],[Typ úlohy]]="Účet",GETPIVOTDATA("Součet z Celková cena bez DPH (CZK)",$G$3,"Zkratka kalkulační položky",B634,"Výrobce / Dodavatel",C634),"")</f>
        <v/>
      </c>
    </row>
    <row r="635" spans="1:5" x14ac:dyDescent="0.35">
      <c r="A635" s="902" t="str">
        <f t="shared" si="10"/>
        <v/>
      </c>
      <c r="B635" s="903" t="str">
        <f>IF(Tabulka4[[#This Row],[Typ úlohy]]="Součet",G635,IF(Tabulka4[[#This Row],[Typ úlohy]]="Účet",B634,""))</f>
        <v/>
      </c>
      <c r="C635" s="903" t="str">
        <f>IF(Tabulka4[[#This Row],[Typ úlohy]]="Účet",H635,"")</f>
        <v/>
      </c>
      <c r="D635" s="903" t="str">
        <f>IF(Tabulka4[[#This Row],[Typ úlohy]]="Účet",GETPIVOTDATA("Součet z Celková hmotnost položek [kg]",$G$2,"Zkratka kalkulační položky",B635,"Výrobce / Dodavatel",C635),"")</f>
        <v/>
      </c>
      <c r="E635" s="904" t="str">
        <f>IF(Tabulka4[[#This Row],[Typ úlohy]]="Účet",GETPIVOTDATA("Součet z Celková cena bez DPH (CZK)",$G$3,"Zkratka kalkulační položky",B635,"Výrobce / Dodavatel",C635),"")</f>
        <v/>
      </c>
    </row>
    <row r="636" spans="1:5" x14ac:dyDescent="0.35">
      <c r="A636" s="902" t="str">
        <f t="shared" si="10"/>
        <v/>
      </c>
      <c r="B636" s="903" t="str">
        <f>IF(Tabulka4[[#This Row],[Typ úlohy]]="Součet",G636,IF(Tabulka4[[#This Row],[Typ úlohy]]="Účet",B635,""))</f>
        <v/>
      </c>
      <c r="C636" s="903" t="str">
        <f>IF(Tabulka4[[#This Row],[Typ úlohy]]="Účet",H636,"")</f>
        <v/>
      </c>
      <c r="D636" s="903" t="str">
        <f>IF(Tabulka4[[#This Row],[Typ úlohy]]="Účet",GETPIVOTDATA("Součet z Celková hmotnost položek [kg]",$G$2,"Zkratka kalkulační položky",B636,"Výrobce / Dodavatel",C636),"")</f>
        <v/>
      </c>
      <c r="E636" s="904" t="str">
        <f>IF(Tabulka4[[#This Row],[Typ úlohy]]="Účet",GETPIVOTDATA("Součet z Celková cena bez DPH (CZK)",$G$3,"Zkratka kalkulační položky",B636,"Výrobce / Dodavatel",C636),"")</f>
        <v/>
      </c>
    </row>
    <row r="637" spans="1:5" x14ac:dyDescent="0.35">
      <c r="A637" s="902" t="str">
        <f t="shared" si="10"/>
        <v/>
      </c>
      <c r="B637" s="903" t="str">
        <f>IF(Tabulka4[[#This Row],[Typ úlohy]]="Součet",G637,IF(Tabulka4[[#This Row],[Typ úlohy]]="Účet",B636,""))</f>
        <v/>
      </c>
      <c r="C637" s="903" t="str">
        <f>IF(Tabulka4[[#This Row],[Typ úlohy]]="Účet",H637,"")</f>
        <v/>
      </c>
      <c r="D637" s="903" t="str">
        <f>IF(Tabulka4[[#This Row],[Typ úlohy]]="Účet",GETPIVOTDATA("Součet z Celková hmotnost položek [kg]",$G$2,"Zkratka kalkulační položky",B637,"Výrobce / Dodavatel",C637),"")</f>
        <v/>
      </c>
      <c r="E637" s="904" t="str">
        <f>IF(Tabulka4[[#This Row],[Typ úlohy]]="Účet",GETPIVOTDATA("Součet z Celková cena bez DPH (CZK)",$G$3,"Zkratka kalkulační položky",B637,"Výrobce / Dodavatel",C637),"")</f>
        <v/>
      </c>
    </row>
    <row r="638" spans="1:5" x14ac:dyDescent="0.35">
      <c r="A638" s="902" t="str">
        <f t="shared" si="10"/>
        <v/>
      </c>
      <c r="B638" s="903" t="str">
        <f>IF(Tabulka4[[#This Row],[Typ úlohy]]="Součet",G638,IF(Tabulka4[[#This Row],[Typ úlohy]]="Účet",B637,""))</f>
        <v/>
      </c>
      <c r="C638" s="903" t="str">
        <f>IF(Tabulka4[[#This Row],[Typ úlohy]]="Účet",H638,"")</f>
        <v/>
      </c>
      <c r="D638" s="903" t="str">
        <f>IF(Tabulka4[[#This Row],[Typ úlohy]]="Účet",GETPIVOTDATA("Součet z Celková hmotnost položek [kg]",$G$2,"Zkratka kalkulační položky",B638,"Výrobce / Dodavatel",C638),"")</f>
        <v/>
      </c>
      <c r="E638" s="904" t="str">
        <f>IF(Tabulka4[[#This Row],[Typ úlohy]]="Účet",GETPIVOTDATA("Součet z Celková cena bez DPH (CZK)",$G$3,"Zkratka kalkulační položky",B638,"Výrobce / Dodavatel",C638),"")</f>
        <v/>
      </c>
    </row>
    <row r="639" spans="1:5" x14ac:dyDescent="0.35">
      <c r="A639" s="902" t="str">
        <f t="shared" si="10"/>
        <v/>
      </c>
      <c r="B639" s="903" t="str">
        <f>IF(Tabulka4[[#This Row],[Typ úlohy]]="Součet",G639,IF(Tabulka4[[#This Row],[Typ úlohy]]="Účet",B638,""))</f>
        <v/>
      </c>
      <c r="C639" s="903" t="str">
        <f>IF(Tabulka4[[#This Row],[Typ úlohy]]="Účet",H639,"")</f>
        <v/>
      </c>
      <c r="D639" s="903" t="str">
        <f>IF(Tabulka4[[#This Row],[Typ úlohy]]="Účet",GETPIVOTDATA("Součet z Celková hmotnost položek [kg]",$G$2,"Zkratka kalkulační položky",B639,"Výrobce / Dodavatel",C639),"")</f>
        <v/>
      </c>
      <c r="E639" s="904" t="str">
        <f>IF(Tabulka4[[#This Row],[Typ úlohy]]="Účet",GETPIVOTDATA("Součet z Celková cena bez DPH (CZK)",$G$3,"Zkratka kalkulační položky",B639,"Výrobce / Dodavatel",C639),"")</f>
        <v/>
      </c>
    </row>
    <row r="640" spans="1:5" x14ac:dyDescent="0.35">
      <c r="A640" s="902" t="str">
        <f t="shared" si="10"/>
        <v/>
      </c>
      <c r="B640" s="903" t="str">
        <f>IF(Tabulka4[[#This Row],[Typ úlohy]]="Součet",G640,IF(Tabulka4[[#This Row],[Typ úlohy]]="Účet",B639,""))</f>
        <v/>
      </c>
      <c r="C640" s="903" t="str">
        <f>IF(Tabulka4[[#This Row],[Typ úlohy]]="Účet",H640,"")</f>
        <v/>
      </c>
      <c r="D640" s="903" t="str">
        <f>IF(Tabulka4[[#This Row],[Typ úlohy]]="Účet",GETPIVOTDATA("Součet z Celková hmotnost položek [kg]",$G$2,"Zkratka kalkulační položky",B640,"Výrobce / Dodavatel",C640),"")</f>
        <v/>
      </c>
      <c r="E640" s="904" t="str">
        <f>IF(Tabulka4[[#This Row],[Typ úlohy]]="Účet",GETPIVOTDATA("Součet z Celková cena bez DPH (CZK)",$G$3,"Zkratka kalkulační položky",B640,"Výrobce / Dodavatel",C640),"")</f>
        <v/>
      </c>
    </row>
    <row r="641" spans="1:5" x14ac:dyDescent="0.35">
      <c r="A641" s="902" t="str">
        <f t="shared" si="10"/>
        <v/>
      </c>
      <c r="B641" s="903" t="str">
        <f>IF(Tabulka4[[#This Row],[Typ úlohy]]="Součet",G641,IF(Tabulka4[[#This Row],[Typ úlohy]]="Účet",B640,""))</f>
        <v/>
      </c>
      <c r="C641" s="903" t="str">
        <f>IF(Tabulka4[[#This Row],[Typ úlohy]]="Účet",H641,"")</f>
        <v/>
      </c>
      <c r="D641" s="903" t="str">
        <f>IF(Tabulka4[[#This Row],[Typ úlohy]]="Účet",GETPIVOTDATA("Součet z Celková hmotnost položek [kg]",$G$2,"Zkratka kalkulační položky",B641,"Výrobce / Dodavatel",C641),"")</f>
        <v/>
      </c>
      <c r="E641" s="904" t="str">
        <f>IF(Tabulka4[[#This Row],[Typ úlohy]]="Účet",GETPIVOTDATA("Součet z Celková cena bez DPH (CZK)",$G$3,"Zkratka kalkulační položky",B641,"Výrobce / Dodavatel",C641),"")</f>
        <v/>
      </c>
    </row>
    <row r="642" spans="1:5" x14ac:dyDescent="0.35">
      <c r="A642" s="902" t="str">
        <f t="shared" si="10"/>
        <v/>
      </c>
      <c r="B642" s="903" t="str">
        <f>IF(Tabulka4[[#This Row],[Typ úlohy]]="Součet",G642,IF(Tabulka4[[#This Row],[Typ úlohy]]="Účet",B641,""))</f>
        <v/>
      </c>
      <c r="C642" s="903" t="str">
        <f>IF(Tabulka4[[#This Row],[Typ úlohy]]="Účet",H642,"")</f>
        <v/>
      </c>
      <c r="D642" s="903" t="str">
        <f>IF(Tabulka4[[#This Row],[Typ úlohy]]="Účet",GETPIVOTDATA("Součet z Celková hmotnost položek [kg]",$G$2,"Zkratka kalkulační položky",B642,"Výrobce / Dodavatel",C642),"")</f>
        <v/>
      </c>
      <c r="E642" s="904" t="str">
        <f>IF(Tabulka4[[#This Row],[Typ úlohy]]="Účet",GETPIVOTDATA("Součet z Celková cena bez DPH (CZK)",$G$3,"Zkratka kalkulační položky",B642,"Výrobce / Dodavatel",C642),"")</f>
        <v/>
      </c>
    </row>
    <row r="643" spans="1:5" x14ac:dyDescent="0.35">
      <c r="A643" s="902" t="str">
        <f t="shared" si="10"/>
        <v/>
      </c>
      <c r="B643" s="903" t="str">
        <f>IF(Tabulka4[[#This Row],[Typ úlohy]]="Součet",G643,IF(Tabulka4[[#This Row],[Typ úlohy]]="Účet",B642,""))</f>
        <v/>
      </c>
      <c r="C643" s="903" t="str">
        <f>IF(Tabulka4[[#This Row],[Typ úlohy]]="Účet",H643,"")</f>
        <v/>
      </c>
      <c r="D643" s="903" t="str">
        <f>IF(Tabulka4[[#This Row],[Typ úlohy]]="Účet",GETPIVOTDATA("Součet z Celková hmotnost položek [kg]",$G$2,"Zkratka kalkulační položky",B643,"Výrobce / Dodavatel",C643),"")</f>
        <v/>
      </c>
      <c r="E643" s="904" t="str">
        <f>IF(Tabulka4[[#This Row],[Typ úlohy]]="Účet",GETPIVOTDATA("Součet z Celková cena bez DPH (CZK)",$G$3,"Zkratka kalkulační položky",B643,"Výrobce / Dodavatel",C643),"")</f>
        <v/>
      </c>
    </row>
    <row r="644" spans="1:5" x14ac:dyDescent="0.35">
      <c r="A644" s="902" t="str">
        <f t="shared" si="10"/>
        <v/>
      </c>
      <c r="B644" s="903" t="str">
        <f>IF(Tabulka4[[#This Row],[Typ úlohy]]="Součet",G644,IF(Tabulka4[[#This Row],[Typ úlohy]]="Účet",B643,""))</f>
        <v/>
      </c>
      <c r="C644" s="903" t="str">
        <f>IF(Tabulka4[[#This Row],[Typ úlohy]]="Účet",H644,"")</f>
        <v/>
      </c>
      <c r="D644" s="903" t="str">
        <f>IF(Tabulka4[[#This Row],[Typ úlohy]]="Účet",GETPIVOTDATA("Součet z Celková hmotnost položek [kg]",$G$2,"Zkratka kalkulační položky",B644,"Výrobce / Dodavatel",C644),"")</f>
        <v/>
      </c>
      <c r="E644" s="904" t="str">
        <f>IF(Tabulka4[[#This Row],[Typ úlohy]]="Účet",GETPIVOTDATA("Součet z Celková cena bez DPH (CZK)",$G$3,"Zkratka kalkulační položky",B644,"Výrobce / Dodavatel",C644),"")</f>
        <v/>
      </c>
    </row>
    <row r="645" spans="1:5" x14ac:dyDescent="0.35">
      <c r="A645" s="902" t="str">
        <f t="shared" ref="A645:A708" si="11">IF(H645="",IF(G645="","","Součet"),"Účet")</f>
        <v/>
      </c>
      <c r="B645" s="903" t="str">
        <f>IF(Tabulka4[[#This Row],[Typ úlohy]]="Součet",G645,IF(Tabulka4[[#This Row],[Typ úlohy]]="Účet",B644,""))</f>
        <v/>
      </c>
      <c r="C645" s="903" t="str">
        <f>IF(Tabulka4[[#This Row],[Typ úlohy]]="Účet",H645,"")</f>
        <v/>
      </c>
      <c r="D645" s="903" t="str">
        <f>IF(Tabulka4[[#This Row],[Typ úlohy]]="Účet",GETPIVOTDATA("Součet z Celková hmotnost položek [kg]",$G$2,"Zkratka kalkulační položky",B645,"Výrobce / Dodavatel",C645),"")</f>
        <v/>
      </c>
      <c r="E645" s="904" t="str">
        <f>IF(Tabulka4[[#This Row],[Typ úlohy]]="Účet",GETPIVOTDATA("Součet z Celková cena bez DPH (CZK)",$G$3,"Zkratka kalkulační položky",B645,"Výrobce / Dodavatel",C645),"")</f>
        <v/>
      </c>
    </row>
    <row r="646" spans="1:5" x14ac:dyDescent="0.35">
      <c r="A646" s="902" t="str">
        <f t="shared" si="11"/>
        <v/>
      </c>
      <c r="B646" s="903" t="str">
        <f>IF(Tabulka4[[#This Row],[Typ úlohy]]="Součet",G646,IF(Tabulka4[[#This Row],[Typ úlohy]]="Účet",B645,""))</f>
        <v/>
      </c>
      <c r="C646" s="903" t="str">
        <f>IF(Tabulka4[[#This Row],[Typ úlohy]]="Účet",H646,"")</f>
        <v/>
      </c>
      <c r="D646" s="903" t="str">
        <f>IF(Tabulka4[[#This Row],[Typ úlohy]]="Účet",GETPIVOTDATA("Součet z Celková hmotnost položek [kg]",$G$2,"Zkratka kalkulační položky",B646,"Výrobce / Dodavatel",C646),"")</f>
        <v/>
      </c>
      <c r="E646" s="904" t="str">
        <f>IF(Tabulka4[[#This Row],[Typ úlohy]]="Účet",GETPIVOTDATA("Součet z Celková cena bez DPH (CZK)",$G$3,"Zkratka kalkulační položky",B646,"Výrobce / Dodavatel",C646),"")</f>
        <v/>
      </c>
    </row>
    <row r="647" spans="1:5" x14ac:dyDescent="0.35">
      <c r="A647" s="902" t="str">
        <f t="shared" si="11"/>
        <v/>
      </c>
      <c r="B647" s="903" t="str">
        <f>IF(Tabulka4[[#This Row],[Typ úlohy]]="Součet",G647,IF(Tabulka4[[#This Row],[Typ úlohy]]="Účet",B646,""))</f>
        <v/>
      </c>
      <c r="C647" s="903" t="str">
        <f>IF(Tabulka4[[#This Row],[Typ úlohy]]="Účet",H647,"")</f>
        <v/>
      </c>
      <c r="D647" s="903" t="str">
        <f>IF(Tabulka4[[#This Row],[Typ úlohy]]="Účet",GETPIVOTDATA("Součet z Celková hmotnost položek [kg]",$G$2,"Zkratka kalkulační položky",B647,"Výrobce / Dodavatel",C647),"")</f>
        <v/>
      </c>
      <c r="E647" s="904" t="str">
        <f>IF(Tabulka4[[#This Row],[Typ úlohy]]="Účet",GETPIVOTDATA("Součet z Celková cena bez DPH (CZK)",$G$3,"Zkratka kalkulační položky",B647,"Výrobce / Dodavatel",C647),"")</f>
        <v/>
      </c>
    </row>
    <row r="648" spans="1:5" x14ac:dyDescent="0.35">
      <c r="A648" s="902" t="str">
        <f t="shared" si="11"/>
        <v/>
      </c>
      <c r="B648" s="903" t="str">
        <f>IF(Tabulka4[[#This Row],[Typ úlohy]]="Součet",G648,IF(Tabulka4[[#This Row],[Typ úlohy]]="Účet",B647,""))</f>
        <v/>
      </c>
      <c r="C648" s="903" t="str">
        <f>IF(Tabulka4[[#This Row],[Typ úlohy]]="Účet",H648,"")</f>
        <v/>
      </c>
      <c r="D648" s="903" t="str">
        <f>IF(Tabulka4[[#This Row],[Typ úlohy]]="Účet",GETPIVOTDATA("Součet z Celková hmotnost položek [kg]",$G$2,"Zkratka kalkulační položky",B648,"Výrobce / Dodavatel",C648),"")</f>
        <v/>
      </c>
      <c r="E648" s="904" t="str">
        <f>IF(Tabulka4[[#This Row],[Typ úlohy]]="Účet",GETPIVOTDATA("Součet z Celková cena bez DPH (CZK)",$G$3,"Zkratka kalkulační položky",B648,"Výrobce / Dodavatel",C648),"")</f>
        <v/>
      </c>
    </row>
    <row r="649" spans="1:5" x14ac:dyDescent="0.35">
      <c r="A649" s="902" t="str">
        <f t="shared" si="11"/>
        <v/>
      </c>
      <c r="B649" s="903" t="str">
        <f>IF(Tabulka4[[#This Row],[Typ úlohy]]="Součet",G649,IF(Tabulka4[[#This Row],[Typ úlohy]]="Účet",B648,""))</f>
        <v/>
      </c>
      <c r="C649" s="903" t="str">
        <f>IF(Tabulka4[[#This Row],[Typ úlohy]]="Účet",H649,"")</f>
        <v/>
      </c>
      <c r="D649" s="903" t="str">
        <f>IF(Tabulka4[[#This Row],[Typ úlohy]]="Účet",GETPIVOTDATA("Součet z Celková hmotnost položek [kg]",$G$2,"Zkratka kalkulační položky",B649,"Výrobce / Dodavatel",C649),"")</f>
        <v/>
      </c>
      <c r="E649" s="904" t="str">
        <f>IF(Tabulka4[[#This Row],[Typ úlohy]]="Účet",GETPIVOTDATA("Součet z Celková cena bez DPH (CZK)",$G$3,"Zkratka kalkulační položky",B649,"Výrobce / Dodavatel",C649),"")</f>
        <v/>
      </c>
    </row>
    <row r="650" spans="1:5" x14ac:dyDescent="0.35">
      <c r="A650" s="902" t="str">
        <f t="shared" si="11"/>
        <v/>
      </c>
      <c r="B650" s="903" t="str">
        <f>IF(Tabulka4[[#This Row],[Typ úlohy]]="Součet",G650,IF(Tabulka4[[#This Row],[Typ úlohy]]="Účet",B649,""))</f>
        <v/>
      </c>
      <c r="C650" s="903" t="str">
        <f>IF(Tabulka4[[#This Row],[Typ úlohy]]="Účet",H650,"")</f>
        <v/>
      </c>
      <c r="D650" s="903" t="str">
        <f>IF(Tabulka4[[#This Row],[Typ úlohy]]="Účet",GETPIVOTDATA("Součet z Celková hmotnost položek [kg]",$G$2,"Zkratka kalkulační položky",B650,"Výrobce / Dodavatel",C650),"")</f>
        <v/>
      </c>
      <c r="E650" s="904" t="str">
        <f>IF(Tabulka4[[#This Row],[Typ úlohy]]="Účet",GETPIVOTDATA("Součet z Celková cena bez DPH (CZK)",$G$3,"Zkratka kalkulační položky",B650,"Výrobce / Dodavatel",C650),"")</f>
        <v/>
      </c>
    </row>
    <row r="651" spans="1:5" x14ac:dyDescent="0.35">
      <c r="A651" s="902" t="str">
        <f t="shared" si="11"/>
        <v/>
      </c>
      <c r="B651" s="903" t="str">
        <f>IF(Tabulka4[[#This Row],[Typ úlohy]]="Součet",G651,IF(Tabulka4[[#This Row],[Typ úlohy]]="Účet",B650,""))</f>
        <v/>
      </c>
      <c r="C651" s="903" t="str">
        <f>IF(Tabulka4[[#This Row],[Typ úlohy]]="Účet",H651,"")</f>
        <v/>
      </c>
      <c r="D651" s="903" t="str">
        <f>IF(Tabulka4[[#This Row],[Typ úlohy]]="Účet",GETPIVOTDATA("Součet z Celková hmotnost položek [kg]",$G$2,"Zkratka kalkulační položky",B651,"Výrobce / Dodavatel",C651),"")</f>
        <v/>
      </c>
      <c r="E651" s="904" t="str">
        <f>IF(Tabulka4[[#This Row],[Typ úlohy]]="Účet",GETPIVOTDATA("Součet z Celková cena bez DPH (CZK)",$G$3,"Zkratka kalkulační položky",B651,"Výrobce / Dodavatel",C651),"")</f>
        <v/>
      </c>
    </row>
    <row r="652" spans="1:5" x14ac:dyDescent="0.35">
      <c r="A652" s="902" t="str">
        <f t="shared" si="11"/>
        <v/>
      </c>
      <c r="B652" s="903" t="str">
        <f>IF(Tabulka4[[#This Row],[Typ úlohy]]="Součet",G652,IF(Tabulka4[[#This Row],[Typ úlohy]]="Účet",B651,""))</f>
        <v/>
      </c>
      <c r="C652" s="903" t="str">
        <f>IF(Tabulka4[[#This Row],[Typ úlohy]]="Účet",H652,"")</f>
        <v/>
      </c>
      <c r="D652" s="903" t="str">
        <f>IF(Tabulka4[[#This Row],[Typ úlohy]]="Účet",GETPIVOTDATA("Součet z Celková hmotnost položek [kg]",$G$2,"Zkratka kalkulační položky",B652,"Výrobce / Dodavatel",C652),"")</f>
        <v/>
      </c>
      <c r="E652" s="904" t="str">
        <f>IF(Tabulka4[[#This Row],[Typ úlohy]]="Účet",GETPIVOTDATA("Součet z Celková cena bez DPH (CZK)",$G$3,"Zkratka kalkulační položky",B652,"Výrobce / Dodavatel",C652),"")</f>
        <v/>
      </c>
    </row>
    <row r="653" spans="1:5" x14ac:dyDescent="0.35">
      <c r="A653" s="902" t="str">
        <f t="shared" si="11"/>
        <v/>
      </c>
      <c r="B653" s="903" t="str">
        <f>IF(Tabulka4[[#This Row],[Typ úlohy]]="Součet",G653,IF(Tabulka4[[#This Row],[Typ úlohy]]="Účet",B652,""))</f>
        <v/>
      </c>
      <c r="C653" s="903" t="str">
        <f>IF(Tabulka4[[#This Row],[Typ úlohy]]="Účet",H653,"")</f>
        <v/>
      </c>
      <c r="D653" s="903" t="str">
        <f>IF(Tabulka4[[#This Row],[Typ úlohy]]="Účet",GETPIVOTDATA("Součet z Celková hmotnost položek [kg]",$G$2,"Zkratka kalkulační položky",B653,"Výrobce / Dodavatel",C653),"")</f>
        <v/>
      </c>
      <c r="E653" s="904" t="str">
        <f>IF(Tabulka4[[#This Row],[Typ úlohy]]="Účet",GETPIVOTDATA("Součet z Celková cena bez DPH (CZK)",$G$3,"Zkratka kalkulační položky",B653,"Výrobce / Dodavatel",C653),"")</f>
        <v/>
      </c>
    </row>
    <row r="654" spans="1:5" x14ac:dyDescent="0.35">
      <c r="A654" s="902" t="str">
        <f t="shared" si="11"/>
        <v/>
      </c>
      <c r="B654" s="903" t="str">
        <f>IF(Tabulka4[[#This Row],[Typ úlohy]]="Součet",G654,IF(Tabulka4[[#This Row],[Typ úlohy]]="Účet",B653,""))</f>
        <v/>
      </c>
      <c r="C654" s="903" t="str">
        <f>IF(Tabulka4[[#This Row],[Typ úlohy]]="Účet",H654,"")</f>
        <v/>
      </c>
      <c r="D654" s="903" t="str">
        <f>IF(Tabulka4[[#This Row],[Typ úlohy]]="Účet",GETPIVOTDATA("Součet z Celková hmotnost položek [kg]",$G$2,"Zkratka kalkulační položky",B654,"Výrobce / Dodavatel",C654),"")</f>
        <v/>
      </c>
      <c r="E654" s="904" t="str">
        <f>IF(Tabulka4[[#This Row],[Typ úlohy]]="Účet",GETPIVOTDATA("Součet z Celková cena bez DPH (CZK)",$G$3,"Zkratka kalkulační položky",B654,"Výrobce / Dodavatel",C654),"")</f>
        <v/>
      </c>
    </row>
    <row r="655" spans="1:5" x14ac:dyDescent="0.35">
      <c r="A655" s="902" t="str">
        <f t="shared" si="11"/>
        <v/>
      </c>
      <c r="B655" s="903" t="str">
        <f>IF(Tabulka4[[#This Row],[Typ úlohy]]="Součet",G655,IF(Tabulka4[[#This Row],[Typ úlohy]]="Účet",B654,""))</f>
        <v/>
      </c>
      <c r="C655" s="903" t="str">
        <f>IF(Tabulka4[[#This Row],[Typ úlohy]]="Účet",H655,"")</f>
        <v/>
      </c>
      <c r="D655" s="903" t="str">
        <f>IF(Tabulka4[[#This Row],[Typ úlohy]]="Účet",GETPIVOTDATA("Součet z Celková hmotnost položek [kg]",$G$2,"Zkratka kalkulační položky",B655,"Výrobce / Dodavatel",C655),"")</f>
        <v/>
      </c>
      <c r="E655" s="904" t="str">
        <f>IF(Tabulka4[[#This Row],[Typ úlohy]]="Účet",GETPIVOTDATA("Součet z Celková cena bez DPH (CZK)",$G$3,"Zkratka kalkulační položky",B655,"Výrobce / Dodavatel",C655),"")</f>
        <v/>
      </c>
    </row>
    <row r="656" spans="1:5" x14ac:dyDescent="0.35">
      <c r="A656" s="902" t="str">
        <f t="shared" si="11"/>
        <v/>
      </c>
      <c r="B656" s="903" t="str">
        <f>IF(Tabulka4[[#This Row],[Typ úlohy]]="Součet",G656,IF(Tabulka4[[#This Row],[Typ úlohy]]="Účet",B655,""))</f>
        <v/>
      </c>
      <c r="C656" s="903" t="str">
        <f>IF(Tabulka4[[#This Row],[Typ úlohy]]="Účet",H656,"")</f>
        <v/>
      </c>
      <c r="D656" s="903" t="str">
        <f>IF(Tabulka4[[#This Row],[Typ úlohy]]="Účet",GETPIVOTDATA("Součet z Celková hmotnost položek [kg]",$G$2,"Zkratka kalkulační položky",B656,"Výrobce / Dodavatel",C656),"")</f>
        <v/>
      </c>
      <c r="E656" s="904" t="str">
        <f>IF(Tabulka4[[#This Row],[Typ úlohy]]="Účet",GETPIVOTDATA("Součet z Celková cena bez DPH (CZK)",$G$3,"Zkratka kalkulační položky",B656,"Výrobce / Dodavatel",C656),"")</f>
        <v/>
      </c>
    </row>
    <row r="657" spans="1:5" x14ac:dyDescent="0.35">
      <c r="A657" s="902" t="str">
        <f t="shared" si="11"/>
        <v/>
      </c>
      <c r="B657" s="903" t="str">
        <f>IF(Tabulka4[[#This Row],[Typ úlohy]]="Součet",G657,IF(Tabulka4[[#This Row],[Typ úlohy]]="Účet",B656,""))</f>
        <v/>
      </c>
      <c r="C657" s="903" t="str">
        <f>IF(Tabulka4[[#This Row],[Typ úlohy]]="Účet",H657,"")</f>
        <v/>
      </c>
      <c r="D657" s="903" t="str">
        <f>IF(Tabulka4[[#This Row],[Typ úlohy]]="Účet",GETPIVOTDATA("Součet z Celková hmotnost položek [kg]",$G$2,"Zkratka kalkulační položky",B657,"Výrobce / Dodavatel",C657),"")</f>
        <v/>
      </c>
      <c r="E657" s="904" t="str">
        <f>IF(Tabulka4[[#This Row],[Typ úlohy]]="Účet",GETPIVOTDATA("Součet z Celková cena bez DPH (CZK)",$G$3,"Zkratka kalkulační položky",B657,"Výrobce / Dodavatel",C657),"")</f>
        <v/>
      </c>
    </row>
    <row r="658" spans="1:5" x14ac:dyDescent="0.35">
      <c r="A658" s="902" t="str">
        <f t="shared" si="11"/>
        <v/>
      </c>
      <c r="B658" s="903" t="str">
        <f>IF(Tabulka4[[#This Row],[Typ úlohy]]="Součet",G658,IF(Tabulka4[[#This Row],[Typ úlohy]]="Účet",B657,""))</f>
        <v/>
      </c>
      <c r="C658" s="903" t="str">
        <f>IF(Tabulka4[[#This Row],[Typ úlohy]]="Účet",H658,"")</f>
        <v/>
      </c>
      <c r="D658" s="903" t="str">
        <f>IF(Tabulka4[[#This Row],[Typ úlohy]]="Účet",GETPIVOTDATA("Součet z Celková hmotnost položek [kg]",$G$2,"Zkratka kalkulační položky",B658,"Výrobce / Dodavatel",C658),"")</f>
        <v/>
      </c>
      <c r="E658" s="904" t="str">
        <f>IF(Tabulka4[[#This Row],[Typ úlohy]]="Účet",GETPIVOTDATA("Součet z Celková cena bez DPH (CZK)",$G$3,"Zkratka kalkulační položky",B658,"Výrobce / Dodavatel",C658),"")</f>
        <v/>
      </c>
    </row>
    <row r="659" spans="1:5" x14ac:dyDescent="0.35">
      <c r="A659" s="902" t="str">
        <f t="shared" si="11"/>
        <v/>
      </c>
      <c r="B659" s="903" t="str">
        <f>IF(Tabulka4[[#This Row],[Typ úlohy]]="Součet",G659,IF(Tabulka4[[#This Row],[Typ úlohy]]="Účet",B658,""))</f>
        <v/>
      </c>
      <c r="C659" s="903" t="str">
        <f>IF(Tabulka4[[#This Row],[Typ úlohy]]="Účet",H659,"")</f>
        <v/>
      </c>
      <c r="D659" s="903" t="str">
        <f>IF(Tabulka4[[#This Row],[Typ úlohy]]="Účet",GETPIVOTDATA("Součet z Celková hmotnost položek [kg]",$G$2,"Zkratka kalkulační položky",B659,"Výrobce / Dodavatel",C659),"")</f>
        <v/>
      </c>
      <c r="E659" s="904" t="str">
        <f>IF(Tabulka4[[#This Row],[Typ úlohy]]="Účet",GETPIVOTDATA("Součet z Celková cena bez DPH (CZK)",$G$3,"Zkratka kalkulační položky",B659,"Výrobce / Dodavatel",C659),"")</f>
        <v/>
      </c>
    </row>
    <row r="660" spans="1:5" x14ac:dyDescent="0.35">
      <c r="A660" s="902" t="str">
        <f t="shared" si="11"/>
        <v/>
      </c>
      <c r="B660" s="903" t="str">
        <f>IF(Tabulka4[[#This Row],[Typ úlohy]]="Součet",G660,IF(Tabulka4[[#This Row],[Typ úlohy]]="Účet",B659,""))</f>
        <v/>
      </c>
      <c r="C660" s="903" t="str">
        <f>IF(Tabulka4[[#This Row],[Typ úlohy]]="Účet",H660,"")</f>
        <v/>
      </c>
      <c r="D660" s="903" t="str">
        <f>IF(Tabulka4[[#This Row],[Typ úlohy]]="Účet",GETPIVOTDATA("Součet z Celková hmotnost položek [kg]",$G$2,"Zkratka kalkulační položky",B660,"Výrobce / Dodavatel",C660),"")</f>
        <v/>
      </c>
      <c r="E660" s="904" t="str">
        <f>IF(Tabulka4[[#This Row],[Typ úlohy]]="Účet",GETPIVOTDATA("Součet z Celková cena bez DPH (CZK)",$G$3,"Zkratka kalkulační položky",B660,"Výrobce / Dodavatel",C660),"")</f>
        <v/>
      </c>
    </row>
    <row r="661" spans="1:5" x14ac:dyDescent="0.35">
      <c r="A661" s="902" t="str">
        <f t="shared" si="11"/>
        <v/>
      </c>
      <c r="B661" s="903" t="str">
        <f>IF(Tabulka4[[#This Row],[Typ úlohy]]="Součet",G661,IF(Tabulka4[[#This Row],[Typ úlohy]]="Účet",B660,""))</f>
        <v/>
      </c>
      <c r="C661" s="903" t="str">
        <f>IF(Tabulka4[[#This Row],[Typ úlohy]]="Účet",H661,"")</f>
        <v/>
      </c>
      <c r="D661" s="903" t="str">
        <f>IF(Tabulka4[[#This Row],[Typ úlohy]]="Účet",GETPIVOTDATA("Součet z Celková hmotnost položek [kg]",$G$2,"Zkratka kalkulační položky",B661,"Výrobce / Dodavatel",C661),"")</f>
        <v/>
      </c>
      <c r="E661" s="904" t="str">
        <f>IF(Tabulka4[[#This Row],[Typ úlohy]]="Účet",GETPIVOTDATA("Součet z Celková cena bez DPH (CZK)",$G$3,"Zkratka kalkulační položky",B661,"Výrobce / Dodavatel",C661),"")</f>
        <v/>
      </c>
    </row>
    <row r="662" spans="1:5" x14ac:dyDescent="0.35">
      <c r="A662" s="902" t="str">
        <f t="shared" si="11"/>
        <v/>
      </c>
      <c r="B662" s="903" t="str">
        <f>IF(Tabulka4[[#This Row],[Typ úlohy]]="Součet",G662,IF(Tabulka4[[#This Row],[Typ úlohy]]="Účet",B661,""))</f>
        <v/>
      </c>
      <c r="C662" s="903" t="str">
        <f>IF(Tabulka4[[#This Row],[Typ úlohy]]="Účet",H662,"")</f>
        <v/>
      </c>
      <c r="D662" s="903" t="str">
        <f>IF(Tabulka4[[#This Row],[Typ úlohy]]="Účet",GETPIVOTDATA("Součet z Celková hmotnost položek [kg]",$G$2,"Zkratka kalkulační položky",B662,"Výrobce / Dodavatel",C662),"")</f>
        <v/>
      </c>
      <c r="E662" s="904" t="str">
        <f>IF(Tabulka4[[#This Row],[Typ úlohy]]="Účet",GETPIVOTDATA("Součet z Celková cena bez DPH (CZK)",$G$3,"Zkratka kalkulační položky",B662,"Výrobce / Dodavatel",C662),"")</f>
        <v/>
      </c>
    </row>
    <row r="663" spans="1:5" x14ac:dyDescent="0.35">
      <c r="A663" s="902" t="str">
        <f t="shared" si="11"/>
        <v/>
      </c>
      <c r="B663" s="903" t="str">
        <f>IF(Tabulka4[[#This Row],[Typ úlohy]]="Součet",G663,IF(Tabulka4[[#This Row],[Typ úlohy]]="Účet",B662,""))</f>
        <v/>
      </c>
      <c r="C663" s="903" t="str">
        <f>IF(Tabulka4[[#This Row],[Typ úlohy]]="Účet",H663,"")</f>
        <v/>
      </c>
      <c r="D663" s="903" t="str">
        <f>IF(Tabulka4[[#This Row],[Typ úlohy]]="Účet",GETPIVOTDATA("Součet z Celková hmotnost položek [kg]",$G$2,"Zkratka kalkulační položky",B663,"Výrobce / Dodavatel",C663),"")</f>
        <v/>
      </c>
      <c r="E663" s="904" t="str">
        <f>IF(Tabulka4[[#This Row],[Typ úlohy]]="Účet",GETPIVOTDATA("Součet z Celková cena bez DPH (CZK)",$G$3,"Zkratka kalkulační položky",B663,"Výrobce / Dodavatel",C663),"")</f>
        <v/>
      </c>
    </row>
    <row r="664" spans="1:5" x14ac:dyDescent="0.35">
      <c r="A664" s="902" t="str">
        <f t="shared" si="11"/>
        <v/>
      </c>
      <c r="B664" s="903" t="str">
        <f>IF(Tabulka4[[#This Row],[Typ úlohy]]="Součet",G664,IF(Tabulka4[[#This Row],[Typ úlohy]]="Účet",B663,""))</f>
        <v/>
      </c>
      <c r="C664" s="903" t="str">
        <f>IF(Tabulka4[[#This Row],[Typ úlohy]]="Účet",H664,"")</f>
        <v/>
      </c>
      <c r="D664" s="903" t="str">
        <f>IF(Tabulka4[[#This Row],[Typ úlohy]]="Účet",GETPIVOTDATA("Součet z Celková hmotnost položek [kg]",$G$2,"Zkratka kalkulační položky",B664,"Výrobce / Dodavatel",C664),"")</f>
        <v/>
      </c>
      <c r="E664" s="904" t="str">
        <f>IF(Tabulka4[[#This Row],[Typ úlohy]]="Účet",GETPIVOTDATA("Součet z Celková cena bez DPH (CZK)",$G$3,"Zkratka kalkulační položky",B664,"Výrobce / Dodavatel",C664),"")</f>
        <v/>
      </c>
    </row>
    <row r="665" spans="1:5" x14ac:dyDescent="0.35">
      <c r="A665" s="902" t="str">
        <f t="shared" si="11"/>
        <v/>
      </c>
      <c r="B665" s="903" t="str">
        <f>IF(Tabulka4[[#This Row],[Typ úlohy]]="Součet",G665,IF(Tabulka4[[#This Row],[Typ úlohy]]="Účet",B664,""))</f>
        <v/>
      </c>
      <c r="C665" s="903" t="str">
        <f>IF(Tabulka4[[#This Row],[Typ úlohy]]="Účet",H665,"")</f>
        <v/>
      </c>
      <c r="D665" s="903" t="str">
        <f>IF(Tabulka4[[#This Row],[Typ úlohy]]="Účet",GETPIVOTDATA("Součet z Celková hmotnost položek [kg]",$G$2,"Zkratka kalkulační položky",B665,"Výrobce / Dodavatel",C665),"")</f>
        <v/>
      </c>
      <c r="E665" s="904" t="str">
        <f>IF(Tabulka4[[#This Row],[Typ úlohy]]="Účet",GETPIVOTDATA("Součet z Celková cena bez DPH (CZK)",$G$3,"Zkratka kalkulační položky",B665,"Výrobce / Dodavatel",C665),"")</f>
        <v/>
      </c>
    </row>
    <row r="666" spans="1:5" x14ac:dyDescent="0.35">
      <c r="A666" s="902" t="str">
        <f t="shared" si="11"/>
        <v/>
      </c>
      <c r="B666" s="903" t="str">
        <f>IF(Tabulka4[[#This Row],[Typ úlohy]]="Součet",G666,IF(Tabulka4[[#This Row],[Typ úlohy]]="Účet",B665,""))</f>
        <v/>
      </c>
      <c r="C666" s="903" t="str">
        <f>IF(Tabulka4[[#This Row],[Typ úlohy]]="Účet",H666,"")</f>
        <v/>
      </c>
      <c r="D666" s="903" t="str">
        <f>IF(Tabulka4[[#This Row],[Typ úlohy]]="Účet",GETPIVOTDATA("Součet z Celková hmotnost položek [kg]",$G$2,"Zkratka kalkulační položky",B666,"Výrobce / Dodavatel",C666),"")</f>
        <v/>
      </c>
      <c r="E666" s="904" t="str">
        <f>IF(Tabulka4[[#This Row],[Typ úlohy]]="Účet",GETPIVOTDATA("Součet z Celková cena bez DPH (CZK)",$G$3,"Zkratka kalkulační položky",B666,"Výrobce / Dodavatel",C666),"")</f>
        <v/>
      </c>
    </row>
    <row r="667" spans="1:5" x14ac:dyDescent="0.35">
      <c r="A667" s="902" t="str">
        <f t="shared" si="11"/>
        <v/>
      </c>
      <c r="B667" s="903" t="str">
        <f>IF(Tabulka4[[#This Row],[Typ úlohy]]="Součet",G667,IF(Tabulka4[[#This Row],[Typ úlohy]]="Účet",B666,""))</f>
        <v/>
      </c>
      <c r="C667" s="903" t="str">
        <f>IF(Tabulka4[[#This Row],[Typ úlohy]]="Účet",H667,"")</f>
        <v/>
      </c>
      <c r="D667" s="903" t="str">
        <f>IF(Tabulka4[[#This Row],[Typ úlohy]]="Účet",GETPIVOTDATA("Součet z Celková hmotnost položek [kg]",$G$2,"Zkratka kalkulační položky",B667,"Výrobce / Dodavatel",C667),"")</f>
        <v/>
      </c>
      <c r="E667" s="904" t="str">
        <f>IF(Tabulka4[[#This Row],[Typ úlohy]]="Účet",GETPIVOTDATA("Součet z Celková cena bez DPH (CZK)",$G$3,"Zkratka kalkulační položky",B667,"Výrobce / Dodavatel",C667),"")</f>
        <v/>
      </c>
    </row>
    <row r="668" spans="1:5" x14ac:dyDescent="0.35">
      <c r="A668" s="902" t="str">
        <f t="shared" si="11"/>
        <v/>
      </c>
      <c r="B668" s="903" t="str">
        <f>IF(Tabulka4[[#This Row],[Typ úlohy]]="Součet",G668,IF(Tabulka4[[#This Row],[Typ úlohy]]="Účet",B667,""))</f>
        <v/>
      </c>
      <c r="C668" s="903" t="str">
        <f>IF(Tabulka4[[#This Row],[Typ úlohy]]="Účet",H668,"")</f>
        <v/>
      </c>
      <c r="D668" s="903" t="str">
        <f>IF(Tabulka4[[#This Row],[Typ úlohy]]="Účet",GETPIVOTDATA("Součet z Celková hmotnost položek [kg]",$G$2,"Zkratka kalkulační položky",B668,"Výrobce / Dodavatel",C668),"")</f>
        <v/>
      </c>
      <c r="E668" s="904" t="str">
        <f>IF(Tabulka4[[#This Row],[Typ úlohy]]="Účet",GETPIVOTDATA("Součet z Celková cena bez DPH (CZK)",$G$3,"Zkratka kalkulační položky",B668,"Výrobce / Dodavatel",C668),"")</f>
        <v/>
      </c>
    </row>
    <row r="669" spans="1:5" x14ac:dyDescent="0.35">
      <c r="A669" s="902" t="str">
        <f t="shared" si="11"/>
        <v/>
      </c>
      <c r="B669" s="903" t="str">
        <f>IF(Tabulka4[[#This Row],[Typ úlohy]]="Součet",G669,IF(Tabulka4[[#This Row],[Typ úlohy]]="Účet",B668,""))</f>
        <v/>
      </c>
      <c r="C669" s="903" t="str">
        <f>IF(Tabulka4[[#This Row],[Typ úlohy]]="Účet",H669,"")</f>
        <v/>
      </c>
      <c r="D669" s="903" t="str">
        <f>IF(Tabulka4[[#This Row],[Typ úlohy]]="Účet",GETPIVOTDATA("Součet z Celková hmotnost položek [kg]",$G$2,"Zkratka kalkulační položky",B669,"Výrobce / Dodavatel",C669),"")</f>
        <v/>
      </c>
      <c r="E669" s="904" t="str">
        <f>IF(Tabulka4[[#This Row],[Typ úlohy]]="Účet",GETPIVOTDATA("Součet z Celková cena bez DPH (CZK)",$G$3,"Zkratka kalkulační položky",B669,"Výrobce / Dodavatel",C669),"")</f>
        <v/>
      </c>
    </row>
    <row r="670" spans="1:5" x14ac:dyDescent="0.35">
      <c r="A670" s="902" t="str">
        <f t="shared" si="11"/>
        <v/>
      </c>
      <c r="B670" s="903" t="str">
        <f>IF(Tabulka4[[#This Row],[Typ úlohy]]="Součet",G670,IF(Tabulka4[[#This Row],[Typ úlohy]]="Účet",B669,""))</f>
        <v/>
      </c>
      <c r="C670" s="903" t="str">
        <f>IF(Tabulka4[[#This Row],[Typ úlohy]]="Účet",H670,"")</f>
        <v/>
      </c>
      <c r="D670" s="903" t="str">
        <f>IF(Tabulka4[[#This Row],[Typ úlohy]]="Účet",GETPIVOTDATA("Součet z Celková hmotnost položek [kg]",$G$2,"Zkratka kalkulační položky",B670,"Výrobce / Dodavatel",C670),"")</f>
        <v/>
      </c>
      <c r="E670" s="904" t="str">
        <f>IF(Tabulka4[[#This Row],[Typ úlohy]]="Účet",GETPIVOTDATA("Součet z Celková cena bez DPH (CZK)",$G$3,"Zkratka kalkulační položky",B670,"Výrobce / Dodavatel",C670),"")</f>
        <v/>
      </c>
    </row>
    <row r="671" spans="1:5" x14ac:dyDescent="0.35">
      <c r="A671" s="902" t="str">
        <f t="shared" si="11"/>
        <v/>
      </c>
      <c r="B671" s="903" t="str">
        <f>IF(Tabulka4[[#This Row],[Typ úlohy]]="Součet",G671,IF(Tabulka4[[#This Row],[Typ úlohy]]="Účet",B670,""))</f>
        <v/>
      </c>
      <c r="C671" s="903" t="str">
        <f>IF(Tabulka4[[#This Row],[Typ úlohy]]="Účet",H671,"")</f>
        <v/>
      </c>
      <c r="D671" s="903" t="str">
        <f>IF(Tabulka4[[#This Row],[Typ úlohy]]="Účet",GETPIVOTDATA("Součet z Celková hmotnost položek [kg]",$G$2,"Zkratka kalkulační položky",B671,"Výrobce / Dodavatel",C671),"")</f>
        <v/>
      </c>
      <c r="E671" s="904" t="str">
        <f>IF(Tabulka4[[#This Row],[Typ úlohy]]="Účet",GETPIVOTDATA("Součet z Celková cena bez DPH (CZK)",$G$3,"Zkratka kalkulační položky",B671,"Výrobce / Dodavatel",C671),"")</f>
        <v/>
      </c>
    </row>
    <row r="672" spans="1:5" x14ac:dyDescent="0.35">
      <c r="A672" s="902" t="str">
        <f t="shared" si="11"/>
        <v/>
      </c>
      <c r="B672" s="903" t="str">
        <f>IF(Tabulka4[[#This Row],[Typ úlohy]]="Součet",G672,IF(Tabulka4[[#This Row],[Typ úlohy]]="Účet",B671,""))</f>
        <v/>
      </c>
      <c r="C672" s="903" t="str">
        <f>IF(Tabulka4[[#This Row],[Typ úlohy]]="Účet",H672,"")</f>
        <v/>
      </c>
      <c r="D672" s="903" t="str">
        <f>IF(Tabulka4[[#This Row],[Typ úlohy]]="Účet",GETPIVOTDATA("Součet z Celková hmotnost položek [kg]",$G$2,"Zkratka kalkulační položky",B672,"Výrobce / Dodavatel",C672),"")</f>
        <v/>
      </c>
      <c r="E672" s="904" t="str">
        <f>IF(Tabulka4[[#This Row],[Typ úlohy]]="Účet",GETPIVOTDATA("Součet z Celková cena bez DPH (CZK)",$G$3,"Zkratka kalkulační položky",B672,"Výrobce / Dodavatel",C672),"")</f>
        <v/>
      </c>
    </row>
    <row r="673" spans="1:5" x14ac:dyDescent="0.35">
      <c r="A673" s="902" t="str">
        <f t="shared" si="11"/>
        <v/>
      </c>
      <c r="B673" s="903" t="str">
        <f>IF(Tabulka4[[#This Row],[Typ úlohy]]="Součet",G673,IF(Tabulka4[[#This Row],[Typ úlohy]]="Účet",B672,""))</f>
        <v/>
      </c>
      <c r="C673" s="903" t="str">
        <f>IF(Tabulka4[[#This Row],[Typ úlohy]]="Účet",H673,"")</f>
        <v/>
      </c>
      <c r="D673" s="903" t="str">
        <f>IF(Tabulka4[[#This Row],[Typ úlohy]]="Účet",GETPIVOTDATA("Součet z Celková hmotnost položek [kg]",$G$2,"Zkratka kalkulační položky",B673,"Výrobce / Dodavatel",C673),"")</f>
        <v/>
      </c>
      <c r="E673" s="904" t="str">
        <f>IF(Tabulka4[[#This Row],[Typ úlohy]]="Účet",GETPIVOTDATA("Součet z Celková cena bez DPH (CZK)",$G$3,"Zkratka kalkulační položky",B673,"Výrobce / Dodavatel",C673),"")</f>
        <v/>
      </c>
    </row>
    <row r="674" spans="1:5" x14ac:dyDescent="0.35">
      <c r="A674" s="902" t="str">
        <f t="shared" si="11"/>
        <v/>
      </c>
      <c r="B674" s="903" t="str">
        <f>IF(Tabulka4[[#This Row],[Typ úlohy]]="Součet",G674,IF(Tabulka4[[#This Row],[Typ úlohy]]="Účet",B673,""))</f>
        <v/>
      </c>
      <c r="C674" s="903" t="str">
        <f>IF(Tabulka4[[#This Row],[Typ úlohy]]="Účet",H674,"")</f>
        <v/>
      </c>
      <c r="D674" s="903" t="str">
        <f>IF(Tabulka4[[#This Row],[Typ úlohy]]="Účet",GETPIVOTDATA("Součet z Celková hmotnost položek [kg]",$G$2,"Zkratka kalkulační položky",B674,"Výrobce / Dodavatel",C674),"")</f>
        <v/>
      </c>
      <c r="E674" s="904" t="str">
        <f>IF(Tabulka4[[#This Row],[Typ úlohy]]="Účet",GETPIVOTDATA("Součet z Celková cena bez DPH (CZK)",$G$3,"Zkratka kalkulační položky",B674,"Výrobce / Dodavatel",C674),"")</f>
        <v/>
      </c>
    </row>
    <row r="675" spans="1:5" x14ac:dyDescent="0.35">
      <c r="A675" s="902" t="str">
        <f t="shared" si="11"/>
        <v/>
      </c>
      <c r="B675" s="903" t="str">
        <f>IF(Tabulka4[[#This Row],[Typ úlohy]]="Součet",G675,IF(Tabulka4[[#This Row],[Typ úlohy]]="Účet",B674,""))</f>
        <v/>
      </c>
      <c r="C675" s="903" t="str">
        <f>IF(Tabulka4[[#This Row],[Typ úlohy]]="Účet",H675,"")</f>
        <v/>
      </c>
      <c r="D675" s="903" t="str">
        <f>IF(Tabulka4[[#This Row],[Typ úlohy]]="Účet",GETPIVOTDATA("Součet z Celková hmotnost položek [kg]",$G$2,"Zkratka kalkulační položky",B675,"Výrobce / Dodavatel",C675),"")</f>
        <v/>
      </c>
      <c r="E675" s="904" t="str">
        <f>IF(Tabulka4[[#This Row],[Typ úlohy]]="Účet",GETPIVOTDATA("Součet z Celková cena bez DPH (CZK)",$G$3,"Zkratka kalkulační položky",B675,"Výrobce / Dodavatel",C675),"")</f>
        <v/>
      </c>
    </row>
    <row r="676" spans="1:5" x14ac:dyDescent="0.35">
      <c r="A676" s="902" t="str">
        <f t="shared" si="11"/>
        <v/>
      </c>
      <c r="B676" s="903" t="str">
        <f>IF(Tabulka4[[#This Row],[Typ úlohy]]="Součet",G676,IF(Tabulka4[[#This Row],[Typ úlohy]]="Účet",B675,""))</f>
        <v/>
      </c>
      <c r="C676" s="903" t="str">
        <f>IF(Tabulka4[[#This Row],[Typ úlohy]]="Účet",H676,"")</f>
        <v/>
      </c>
      <c r="D676" s="903" t="str">
        <f>IF(Tabulka4[[#This Row],[Typ úlohy]]="Účet",GETPIVOTDATA("Součet z Celková hmotnost položek [kg]",$G$2,"Zkratka kalkulační položky",B676,"Výrobce / Dodavatel",C676),"")</f>
        <v/>
      </c>
      <c r="E676" s="904" t="str">
        <f>IF(Tabulka4[[#This Row],[Typ úlohy]]="Účet",GETPIVOTDATA("Součet z Celková cena bez DPH (CZK)",$G$3,"Zkratka kalkulační položky",B676,"Výrobce / Dodavatel",C676),"")</f>
        <v/>
      </c>
    </row>
    <row r="677" spans="1:5" x14ac:dyDescent="0.35">
      <c r="A677" s="902" t="str">
        <f t="shared" si="11"/>
        <v/>
      </c>
      <c r="B677" s="903" t="str">
        <f>IF(Tabulka4[[#This Row],[Typ úlohy]]="Součet",G677,IF(Tabulka4[[#This Row],[Typ úlohy]]="Účet",B676,""))</f>
        <v/>
      </c>
      <c r="C677" s="903" t="str">
        <f>IF(Tabulka4[[#This Row],[Typ úlohy]]="Účet",H677,"")</f>
        <v/>
      </c>
      <c r="D677" s="903" t="str">
        <f>IF(Tabulka4[[#This Row],[Typ úlohy]]="Účet",GETPIVOTDATA("Součet z Celková hmotnost položek [kg]",$G$2,"Zkratka kalkulační položky",B677,"Výrobce / Dodavatel",C677),"")</f>
        <v/>
      </c>
      <c r="E677" s="904" t="str">
        <f>IF(Tabulka4[[#This Row],[Typ úlohy]]="Účet",GETPIVOTDATA("Součet z Celková cena bez DPH (CZK)",$G$3,"Zkratka kalkulační položky",B677,"Výrobce / Dodavatel",C677),"")</f>
        <v/>
      </c>
    </row>
    <row r="678" spans="1:5" x14ac:dyDescent="0.35">
      <c r="A678" s="902" t="str">
        <f t="shared" si="11"/>
        <v/>
      </c>
      <c r="B678" s="903" t="str">
        <f>IF(Tabulka4[[#This Row],[Typ úlohy]]="Součet",G678,IF(Tabulka4[[#This Row],[Typ úlohy]]="Účet",B677,""))</f>
        <v/>
      </c>
      <c r="C678" s="903" t="str">
        <f>IF(Tabulka4[[#This Row],[Typ úlohy]]="Účet",H678,"")</f>
        <v/>
      </c>
      <c r="D678" s="903" t="str">
        <f>IF(Tabulka4[[#This Row],[Typ úlohy]]="Účet",GETPIVOTDATA("Součet z Celková hmotnost položek [kg]",$G$2,"Zkratka kalkulační položky",B678,"Výrobce / Dodavatel",C678),"")</f>
        <v/>
      </c>
      <c r="E678" s="904" t="str">
        <f>IF(Tabulka4[[#This Row],[Typ úlohy]]="Účet",GETPIVOTDATA("Součet z Celková cena bez DPH (CZK)",$G$3,"Zkratka kalkulační položky",B678,"Výrobce / Dodavatel",C678),"")</f>
        <v/>
      </c>
    </row>
    <row r="679" spans="1:5" x14ac:dyDescent="0.35">
      <c r="A679" s="902" t="str">
        <f t="shared" si="11"/>
        <v/>
      </c>
      <c r="B679" s="903" t="str">
        <f>IF(Tabulka4[[#This Row],[Typ úlohy]]="Součet",G679,IF(Tabulka4[[#This Row],[Typ úlohy]]="Účet",B678,""))</f>
        <v/>
      </c>
      <c r="C679" s="903" t="str">
        <f>IF(Tabulka4[[#This Row],[Typ úlohy]]="Účet",H679,"")</f>
        <v/>
      </c>
      <c r="D679" s="903" t="str">
        <f>IF(Tabulka4[[#This Row],[Typ úlohy]]="Účet",GETPIVOTDATA("Součet z Celková hmotnost položek [kg]",$G$2,"Zkratka kalkulační položky",B679,"Výrobce / Dodavatel",C679),"")</f>
        <v/>
      </c>
      <c r="E679" s="904" t="str">
        <f>IF(Tabulka4[[#This Row],[Typ úlohy]]="Účet",GETPIVOTDATA("Součet z Celková cena bez DPH (CZK)",$G$3,"Zkratka kalkulační položky",B679,"Výrobce / Dodavatel",C679),"")</f>
        <v/>
      </c>
    </row>
    <row r="680" spans="1:5" x14ac:dyDescent="0.35">
      <c r="A680" s="902" t="str">
        <f t="shared" si="11"/>
        <v/>
      </c>
      <c r="B680" s="903" t="str">
        <f>IF(Tabulka4[[#This Row],[Typ úlohy]]="Součet",G680,IF(Tabulka4[[#This Row],[Typ úlohy]]="Účet",B679,""))</f>
        <v/>
      </c>
      <c r="C680" s="903" t="str">
        <f>IF(Tabulka4[[#This Row],[Typ úlohy]]="Účet",H680,"")</f>
        <v/>
      </c>
      <c r="D680" s="903" t="str">
        <f>IF(Tabulka4[[#This Row],[Typ úlohy]]="Účet",GETPIVOTDATA("Součet z Celková hmotnost položek [kg]",$G$2,"Zkratka kalkulační položky",B680,"Výrobce / Dodavatel",C680),"")</f>
        <v/>
      </c>
      <c r="E680" s="904" t="str">
        <f>IF(Tabulka4[[#This Row],[Typ úlohy]]="Účet",GETPIVOTDATA("Součet z Celková cena bez DPH (CZK)",$G$3,"Zkratka kalkulační položky",B680,"Výrobce / Dodavatel",C680),"")</f>
        <v/>
      </c>
    </row>
    <row r="681" spans="1:5" x14ac:dyDescent="0.35">
      <c r="A681" s="902" t="str">
        <f t="shared" si="11"/>
        <v/>
      </c>
      <c r="B681" s="903" t="str">
        <f>IF(Tabulka4[[#This Row],[Typ úlohy]]="Součet",G681,IF(Tabulka4[[#This Row],[Typ úlohy]]="Účet",B680,""))</f>
        <v/>
      </c>
      <c r="C681" s="903" t="str">
        <f>IF(Tabulka4[[#This Row],[Typ úlohy]]="Účet",H681,"")</f>
        <v/>
      </c>
      <c r="D681" s="903" t="str">
        <f>IF(Tabulka4[[#This Row],[Typ úlohy]]="Účet",GETPIVOTDATA("Součet z Celková hmotnost položek [kg]",$G$2,"Zkratka kalkulační položky",B681,"Výrobce / Dodavatel",C681),"")</f>
        <v/>
      </c>
      <c r="E681" s="904" t="str">
        <f>IF(Tabulka4[[#This Row],[Typ úlohy]]="Účet",GETPIVOTDATA("Součet z Celková cena bez DPH (CZK)",$G$3,"Zkratka kalkulační položky",B681,"Výrobce / Dodavatel",C681),"")</f>
        <v/>
      </c>
    </row>
    <row r="682" spans="1:5" x14ac:dyDescent="0.35">
      <c r="A682" s="902" t="str">
        <f t="shared" si="11"/>
        <v/>
      </c>
      <c r="B682" s="903" t="str">
        <f>IF(Tabulka4[[#This Row],[Typ úlohy]]="Součet",G682,IF(Tabulka4[[#This Row],[Typ úlohy]]="Účet",B681,""))</f>
        <v/>
      </c>
      <c r="C682" s="903" t="str">
        <f>IF(Tabulka4[[#This Row],[Typ úlohy]]="Účet",H682,"")</f>
        <v/>
      </c>
      <c r="D682" s="903" t="str">
        <f>IF(Tabulka4[[#This Row],[Typ úlohy]]="Účet",GETPIVOTDATA("Součet z Celková hmotnost položek [kg]",$G$2,"Zkratka kalkulační položky",B682,"Výrobce / Dodavatel",C682),"")</f>
        <v/>
      </c>
      <c r="E682" s="904" t="str">
        <f>IF(Tabulka4[[#This Row],[Typ úlohy]]="Účet",GETPIVOTDATA("Součet z Celková cena bez DPH (CZK)",$G$3,"Zkratka kalkulační položky",B682,"Výrobce / Dodavatel",C682),"")</f>
        <v/>
      </c>
    </row>
    <row r="683" spans="1:5" x14ac:dyDescent="0.35">
      <c r="A683" s="902" t="str">
        <f t="shared" si="11"/>
        <v/>
      </c>
      <c r="B683" s="903" t="str">
        <f>IF(Tabulka4[[#This Row],[Typ úlohy]]="Součet",G683,IF(Tabulka4[[#This Row],[Typ úlohy]]="Účet",B682,""))</f>
        <v/>
      </c>
      <c r="C683" s="903" t="str">
        <f>IF(Tabulka4[[#This Row],[Typ úlohy]]="Účet",H683,"")</f>
        <v/>
      </c>
      <c r="D683" s="903" t="str">
        <f>IF(Tabulka4[[#This Row],[Typ úlohy]]="Účet",GETPIVOTDATA("Součet z Celková hmotnost položek [kg]",$G$2,"Zkratka kalkulační položky",B683,"Výrobce / Dodavatel",C683),"")</f>
        <v/>
      </c>
      <c r="E683" s="904" t="str">
        <f>IF(Tabulka4[[#This Row],[Typ úlohy]]="Účet",GETPIVOTDATA("Součet z Celková cena bez DPH (CZK)",$G$3,"Zkratka kalkulační položky",B683,"Výrobce / Dodavatel",C683),"")</f>
        <v/>
      </c>
    </row>
    <row r="684" spans="1:5" x14ac:dyDescent="0.35">
      <c r="A684" s="902" t="str">
        <f t="shared" si="11"/>
        <v/>
      </c>
      <c r="B684" s="903" t="str">
        <f>IF(Tabulka4[[#This Row],[Typ úlohy]]="Součet",G684,IF(Tabulka4[[#This Row],[Typ úlohy]]="Účet",B683,""))</f>
        <v/>
      </c>
      <c r="C684" s="903" t="str">
        <f>IF(Tabulka4[[#This Row],[Typ úlohy]]="Účet",H684,"")</f>
        <v/>
      </c>
      <c r="D684" s="903" t="str">
        <f>IF(Tabulka4[[#This Row],[Typ úlohy]]="Účet",GETPIVOTDATA("Součet z Celková hmotnost položek [kg]",$G$2,"Zkratka kalkulační položky",B684,"Výrobce / Dodavatel",C684),"")</f>
        <v/>
      </c>
      <c r="E684" s="904" t="str">
        <f>IF(Tabulka4[[#This Row],[Typ úlohy]]="Účet",GETPIVOTDATA("Součet z Celková cena bez DPH (CZK)",$G$3,"Zkratka kalkulační položky",B684,"Výrobce / Dodavatel",C684),"")</f>
        <v/>
      </c>
    </row>
    <row r="685" spans="1:5" x14ac:dyDescent="0.35">
      <c r="A685" s="902" t="str">
        <f t="shared" si="11"/>
        <v/>
      </c>
      <c r="B685" s="903" t="str">
        <f>IF(Tabulka4[[#This Row],[Typ úlohy]]="Součet",G685,IF(Tabulka4[[#This Row],[Typ úlohy]]="Účet",B684,""))</f>
        <v/>
      </c>
      <c r="C685" s="903" t="str">
        <f>IF(Tabulka4[[#This Row],[Typ úlohy]]="Účet",H685,"")</f>
        <v/>
      </c>
      <c r="D685" s="903" t="str">
        <f>IF(Tabulka4[[#This Row],[Typ úlohy]]="Účet",GETPIVOTDATA("Součet z Celková hmotnost položek [kg]",$G$2,"Zkratka kalkulační položky",B685,"Výrobce / Dodavatel",C685),"")</f>
        <v/>
      </c>
      <c r="E685" s="904" t="str">
        <f>IF(Tabulka4[[#This Row],[Typ úlohy]]="Účet",GETPIVOTDATA("Součet z Celková cena bez DPH (CZK)",$G$3,"Zkratka kalkulační položky",B685,"Výrobce / Dodavatel",C685),"")</f>
        <v/>
      </c>
    </row>
    <row r="686" spans="1:5" x14ac:dyDescent="0.35">
      <c r="A686" s="902" t="str">
        <f t="shared" si="11"/>
        <v/>
      </c>
      <c r="B686" s="903" t="str">
        <f>IF(Tabulka4[[#This Row],[Typ úlohy]]="Součet",G686,IF(Tabulka4[[#This Row],[Typ úlohy]]="Účet",B685,""))</f>
        <v/>
      </c>
      <c r="C686" s="903" t="str">
        <f>IF(Tabulka4[[#This Row],[Typ úlohy]]="Účet",H686,"")</f>
        <v/>
      </c>
      <c r="D686" s="903" t="str">
        <f>IF(Tabulka4[[#This Row],[Typ úlohy]]="Účet",GETPIVOTDATA("Součet z Celková hmotnost položek [kg]",$G$2,"Zkratka kalkulační položky",B686,"Výrobce / Dodavatel",C686),"")</f>
        <v/>
      </c>
      <c r="E686" s="904" t="str">
        <f>IF(Tabulka4[[#This Row],[Typ úlohy]]="Účet",GETPIVOTDATA("Součet z Celková cena bez DPH (CZK)",$G$3,"Zkratka kalkulační položky",B686,"Výrobce / Dodavatel",C686),"")</f>
        <v/>
      </c>
    </row>
    <row r="687" spans="1:5" x14ac:dyDescent="0.35">
      <c r="A687" s="902" t="str">
        <f t="shared" si="11"/>
        <v/>
      </c>
      <c r="B687" s="903" t="str">
        <f>IF(Tabulka4[[#This Row],[Typ úlohy]]="Součet",G687,IF(Tabulka4[[#This Row],[Typ úlohy]]="Účet",B686,""))</f>
        <v/>
      </c>
      <c r="C687" s="903" t="str">
        <f>IF(Tabulka4[[#This Row],[Typ úlohy]]="Účet",H687,"")</f>
        <v/>
      </c>
      <c r="D687" s="903" t="str">
        <f>IF(Tabulka4[[#This Row],[Typ úlohy]]="Účet",GETPIVOTDATA("Součet z Celková hmotnost položek [kg]",$G$2,"Zkratka kalkulační položky",B687,"Výrobce / Dodavatel",C687),"")</f>
        <v/>
      </c>
      <c r="E687" s="904" t="str">
        <f>IF(Tabulka4[[#This Row],[Typ úlohy]]="Účet",GETPIVOTDATA("Součet z Celková cena bez DPH (CZK)",$G$3,"Zkratka kalkulační položky",B687,"Výrobce / Dodavatel",C687),"")</f>
        <v/>
      </c>
    </row>
    <row r="688" spans="1:5" x14ac:dyDescent="0.35">
      <c r="A688" s="902" t="str">
        <f t="shared" si="11"/>
        <v/>
      </c>
      <c r="B688" s="903" t="str">
        <f>IF(Tabulka4[[#This Row],[Typ úlohy]]="Součet",G688,IF(Tabulka4[[#This Row],[Typ úlohy]]="Účet",B687,""))</f>
        <v/>
      </c>
      <c r="C688" s="903" t="str">
        <f>IF(Tabulka4[[#This Row],[Typ úlohy]]="Účet",H688,"")</f>
        <v/>
      </c>
      <c r="D688" s="903" t="str">
        <f>IF(Tabulka4[[#This Row],[Typ úlohy]]="Účet",GETPIVOTDATA("Součet z Celková hmotnost položek [kg]",$G$2,"Zkratka kalkulační položky",B688,"Výrobce / Dodavatel",C688),"")</f>
        <v/>
      </c>
      <c r="E688" s="904" t="str">
        <f>IF(Tabulka4[[#This Row],[Typ úlohy]]="Účet",GETPIVOTDATA("Součet z Celková cena bez DPH (CZK)",$G$3,"Zkratka kalkulační položky",B688,"Výrobce / Dodavatel",C688),"")</f>
        <v/>
      </c>
    </row>
    <row r="689" spans="1:5" x14ac:dyDescent="0.35">
      <c r="A689" s="902" t="str">
        <f t="shared" si="11"/>
        <v/>
      </c>
      <c r="B689" s="903" t="str">
        <f>IF(Tabulka4[[#This Row],[Typ úlohy]]="Součet",G689,IF(Tabulka4[[#This Row],[Typ úlohy]]="Účet",B688,""))</f>
        <v/>
      </c>
      <c r="C689" s="903" t="str">
        <f>IF(Tabulka4[[#This Row],[Typ úlohy]]="Účet",H689,"")</f>
        <v/>
      </c>
      <c r="D689" s="903" t="str">
        <f>IF(Tabulka4[[#This Row],[Typ úlohy]]="Účet",GETPIVOTDATA("Součet z Celková hmotnost položek [kg]",$G$2,"Zkratka kalkulační položky",B689,"Výrobce / Dodavatel",C689),"")</f>
        <v/>
      </c>
      <c r="E689" s="904" t="str">
        <f>IF(Tabulka4[[#This Row],[Typ úlohy]]="Účet",GETPIVOTDATA("Součet z Celková cena bez DPH (CZK)",$G$3,"Zkratka kalkulační položky",B689,"Výrobce / Dodavatel",C689),"")</f>
        <v/>
      </c>
    </row>
    <row r="690" spans="1:5" x14ac:dyDescent="0.35">
      <c r="A690" s="902" t="str">
        <f t="shared" si="11"/>
        <v/>
      </c>
      <c r="B690" s="903" t="str">
        <f>IF(Tabulka4[[#This Row],[Typ úlohy]]="Součet",G690,IF(Tabulka4[[#This Row],[Typ úlohy]]="Účet",B689,""))</f>
        <v/>
      </c>
      <c r="C690" s="903" t="str">
        <f>IF(Tabulka4[[#This Row],[Typ úlohy]]="Účet",H690,"")</f>
        <v/>
      </c>
      <c r="D690" s="903" t="str">
        <f>IF(Tabulka4[[#This Row],[Typ úlohy]]="Účet",GETPIVOTDATA("Součet z Celková hmotnost položek [kg]",$G$2,"Zkratka kalkulační položky",B690,"Výrobce / Dodavatel",C690),"")</f>
        <v/>
      </c>
      <c r="E690" s="904" t="str">
        <f>IF(Tabulka4[[#This Row],[Typ úlohy]]="Účet",GETPIVOTDATA("Součet z Celková cena bez DPH (CZK)",$G$3,"Zkratka kalkulační položky",B690,"Výrobce / Dodavatel",C690),"")</f>
        <v/>
      </c>
    </row>
    <row r="691" spans="1:5" x14ac:dyDescent="0.35">
      <c r="A691" s="902" t="str">
        <f t="shared" si="11"/>
        <v/>
      </c>
      <c r="B691" s="903" t="str">
        <f>IF(Tabulka4[[#This Row],[Typ úlohy]]="Součet",G691,IF(Tabulka4[[#This Row],[Typ úlohy]]="Účet",B690,""))</f>
        <v/>
      </c>
      <c r="C691" s="903" t="str">
        <f>IF(Tabulka4[[#This Row],[Typ úlohy]]="Účet",H691,"")</f>
        <v/>
      </c>
      <c r="D691" s="903" t="str">
        <f>IF(Tabulka4[[#This Row],[Typ úlohy]]="Účet",GETPIVOTDATA("Součet z Celková hmotnost položek [kg]",$G$2,"Zkratka kalkulační položky",B691,"Výrobce / Dodavatel",C691),"")</f>
        <v/>
      </c>
      <c r="E691" s="904" t="str">
        <f>IF(Tabulka4[[#This Row],[Typ úlohy]]="Účet",GETPIVOTDATA("Součet z Celková cena bez DPH (CZK)",$G$3,"Zkratka kalkulační položky",B691,"Výrobce / Dodavatel",C691),"")</f>
        <v/>
      </c>
    </row>
    <row r="692" spans="1:5" x14ac:dyDescent="0.35">
      <c r="A692" s="902" t="str">
        <f t="shared" si="11"/>
        <v/>
      </c>
      <c r="B692" s="903" t="str">
        <f>IF(Tabulka4[[#This Row],[Typ úlohy]]="Součet",G692,IF(Tabulka4[[#This Row],[Typ úlohy]]="Účet",B691,""))</f>
        <v/>
      </c>
      <c r="C692" s="903" t="str">
        <f>IF(Tabulka4[[#This Row],[Typ úlohy]]="Účet",H692,"")</f>
        <v/>
      </c>
      <c r="D692" s="903" t="str">
        <f>IF(Tabulka4[[#This Row],[Typ úlohy]]="Účet",GETPIVOTDATA("Součet z Celková hmotnost položek [kg]",$G$2,"Zkratka kalkulační položky",B692,"Výrobce / Dodavatel",C692),"")</f>
        <v/>
      </c>
      <c r="E692" s="904" t="str">
        <f>IF(Tabulka4[[#This Row],[Typ úlohy]]="Účet",GETPIVOTDATA("Součet z Celková cena bez DPH (CZK)",$G$3,"Zkratka kalkulační položky",B692,"Výrobce / Dodavatel",C692),"")</f>
        <v/>
      </c>
    </row>
    <row r="693" spans="1:5" x14ac:dyDescent="0.35">
      <c r="A693" s="902" t="str">
        <f t="shared" si="11"/>
        <v/>
      </c>
      <c r="B693" s="903" t="str">
        <f>IF(Tabulka4[[#This Row],[Typ úlohy]]="Součet",G693,IF(Tabulka4[[#This Row],[Typ úlohy]]="Účet",B692,""))</f>
        <v/>
      </c>
      <c r="C693" s="903" t="str">
        <f>IF(Tabulka4[[#This Row],[Typ úlohy]]="Účet",H693,"")</f>
        <v/>
      </c>
      <c r="D693" s="903" t="str">
        <f>IF(Tabulka4[[#This Row],[Typ úlohy]]="Účet",GETPIVOTDATA("Součet z Celková hmotnost položek [kg]",$G$2,"Zkratka kalkulační položky",B693,"Výrobce / Dodavatel",C693),"")</f>
        <v/>
      </c>
      <c r="E693" s="904" t="str">
        <f>IF(Tabulka4[[#This Row],[Typ úlohy]]="Účet",GETPIVOTDATA("Součet z Celková cena bez DPH (CZK)",$G$3,"Zkratka kalkulační položky",B693,"Výrobce / Dodavatel",C693),"")</f>
        <v/>
      </c>
    </row>
    <row r="694" spans="1:5" x14ac:dyDescent="0.35">
      <c r="A694" s="902" t="str">
        <f t="shared" si="11"/>
        <v/>
      </c>
      <c r="B694" s="903" t="str">
        <f>IF(Tabulka4[[#This Row],[Typ úlohy]]="Součet",G694,IF(Tabulka4[[#This Row],[Typ úlohy]]="Účet",B693,""))</f>
        <v/>
      </c>
      <c r="C694" s="903" t="str">
        <f>IF(Tabulka4[[#This Row],[Typ úlohy]]="Účet",H694,"")</f>
        <v/>
      </c>
      <c r="D694" s="903" t="str">
        <f>IF(Tabulka4[[#This Row],[Typ úlohy]]="Účet",GETPIVOTDATA("Součet z Celková hmotnost položek [kg]",$G$2,"Zkratka kalkulační položky",B694,"Výrobce / Dodavatel",C694),"")</f>
        <v/>
      </c>
      <c r="E694" s="904" t="str">
        <f>IF(Tabulka4[[#This Row],[Typ úlohy]]="Účet",GETPIVOTDATA("Součet z Celková cena bez DPH (CZK)",$G$3,"Zkratka kalkulační položky",B694,"Výrobce / Dodavatel",C694),"")</f>
        <v/>
      </c>
    </row>
    <row r="695" spans="1:5" x14ac:dyDescent="0.35">
      <c r="A695" s="902" t="str">
        <f t="shared" si="11"/>
        <v/>
      </c>
      <c r="B695" s="903" t="str">
        <f>IF(Tabulka4[[#This Row],[Typ úlohy]]="Součet",G695,IF(Tabulka4[[#This Row],[Typ úlohy]]="Účet",B694,""))</f>
        <v/>
      </c>
      <c r="C695" s="903" t="str">
        <f>IF(Tabulka4[[#This Row],[Typ úlohy]]="Účet",H695,"")</f>
        <v/>
      </c>
      <c r="D695" s="903" t="str">
        <f>IF(Tabulka4[[#This Row],[Typ úlohy]]="Účet",GETPIVOTDATA("Součet z Celková hmotnost položek [kg]",$G$2,"Zkratka kalkulační položky",B695,"Výrobce / Dodavatel",C695),"")</f>
        <v/>
      </c>
      <c r="E695" s="904" t="str">
        <f>IF(Tabulka4[[#This Row],[Typ úlohy]]="Účet",GETPIVOTDATA("Součet z Celková cena bez DPH (CZK)",$G$3,"Zkratka kalkulační položky",B695,"Výrobce / Dodavatel",C695),"")</f>
        <v/>
      </c>
    </row>
    <row r="696" spans="1:5" x14ac:dyDescent="0.35">
      <c r="A696" s="902" t="str">
        <f t="shared" si="11"/>
        <v/>
      </c>
      <c r="B696" s="903" t="str">
        <f>IF(Tabulka4[[#This Row],[Typ úlohy]]="Součet",G696,IF(Tabulka4[[#This Row],[Typ úlohy]]="Účet",B695,""))</f>
        <v/>
      </c>
      <c r="C696" s="903" t="str">
        <f>IF(Tabulka4[[#This Row],[Typ úlohy]]="Účet",H696,"")</f>
        <v/>
      </c>
      <c r="D696" s="903" t="str">
        <f>IF(Tabulka4[[#This Row],[Typ úlohy]]="Účet",GETPIVOTDATA("Součet z Celková hmotnost položek [kg]",$G$2,"Zkratka kalkulační položky",B696,"Výrobce / Dodavatel",C696),"")</f>
        <v/>
      </c>
      <c r="E696" s="904" t="str">
        <f>IF(Tabulka4[[#This Row],[Typ úlohy]]="Účet",GETPIVOTDATA("Součet z Celková cena bez DPH (CZK)",$G$3,"Zkratka kalkulační položky",B696,"Výrobce / Dodavatel",C696),"")</f>
        <v/>
      </c>
    </row>
    <row r="697" spans="1:5" x14ac:dyDescent="0.35">
      <c r="A697" s="902" t="str">
        <f t="shared" si="11"/>
        <v/>
      </c>
      <c r="B697" s="903" t="str">
        <f>IF(Tabulka4[[#This Row],[Typ úlohy]]="Součet",G697,IF(Tabulka4[[#This Row],[Typ úlohy]]="Účet",B696,""))</f>
        <v/>
      </c>
      <c r="C697" s="903" t="str">
        <f>IF(Tabulka4[[#This Row],[Typ úlohy]]="Účet",H697,"")</f>
        <v/>
      </c>
      <c r="D697" s="903" t="str">
        <f>IF(Tabulka4[[#This Row],[Typ úlohy]]="Účet",GETPIVOTDATA("Součet z Celková hmotnost položek [kg]",$G$2,"Zkratka kalkulační položky",B697,"Výrobce / Dodavatel",C697),"")</f>
        <v/>
      </c>
      <c r="E697" s="904" t="str">
        <f>IF(Tabulka4[[#This Row],[Typ úlohy]]="Účet",GETPIVOTDATA("Součet z Celková cena bez DPH (CZK)",$G$3,"Zkratka kalkulační položky",B697,"Výrobce / Dodavatel",C697),"")</f>
        <v/>
      </c>
    </row>
    <row r="698" spans="1:5" x14ac:dyDescent="0.35">
      <c r="A698" s="902" t="str">
        <f t="shared" si="11"/>
        <v/>
      </c>
      <c r="B698" s="903" t="str">
        <f>IF(Tabulka4[[#This Row],[Typ úlohy]]="Součet",G698,IF(Tabulka4[[#This Row],[Typ úlohy]]="Účet",B697,""))</f>
        <v/>
      </c>
      <c r="C698" s="903" t="str">
        <f>IF(Tabulka4[[#This Row],[Typ úlohy]]="Účet",H698,"")</f>
        <v/>
      </c>
      <c r="D698" s="903" t="str">
        <f>IF(Tabulka4[[#This Row],[Typ úlohy]]="Účet",GETPIVOTDATA("Součet z Celková hmotnost položek [kg]",$G$2,"Zkratka kalkulační položky",B698,"Výrobce / Dodavatel",C698),"")</f>
        <v/>
      </c>
      <c r="E698" s="904" t="str">
        <f>IF(Tabulka4[[#This Row],[Typ úlohy]]="Účet",GETPIVOTDATA("Součet z Celková cena bez DPH (CZK)",$G$3,"Zkratka kalkulační položky",B698,"Výrobce / Dodavatel",C698),"")</f>
        <v/>
      </c>
    </row>
    <row r="699" spans="1:5" x14ac:dyDescent="0.35">
      <c r="A699" s="902" t="str">
        <f t="shared" si="11"/>
        <v/>
      </c>
      <c r="B699" s="903" t="str">
        <f>IF(Tabulka4[[#This Row],[Typ úlohy]]="Součet",G699,IF(Tabulka4[[#This Row],[Typ úlohy]]="Účet",B698,""))</f>
        <v/>
      </c>
      <c r="C699" s="903" t="str">
        <f>IF(Tabulka4[[#This Row],[Typ úlohy]]="Účet",H699,"")</f>
        <v/>
      </c>
      <c r="D699" s="903" t="str">
        <f>IF(Tabulka4[[#This Row],[Typ úlohy]]="Účet",GETPIVOTDATA("Součet z Celková hmotnost položek [kg]",$G$2,"Zkratka kalkulační položky",B699,"Výrobce / Dodavatel",C699),"")</f>
        <v/>
      </c>
      <c r="E699" s="904" t="str">
        <f>IF(Tabulka4[[#This Row],[Typ úlohy]]="Účet",GETPIVOTDATA("Součet z Celková cena bez DPH (CZK)",$G$3,"Zkratka kalkulační položky",B699,"Výrobce / Dodavatel",C699),"")</f>
        <v/>
      </c>
    </row>
    <row r="700" spans="1:5" x14ac:dyDescent="0.35">
      <c r="A700" s="902" t="str">
        <f t="shared" si="11"/>
        <v/>
      </c>
      <c r="B700" s="903" t="str">
        <f>IF(Tabulka4[[#This Row],[Typ úlohy]]="Součet",G700,IF(Tabulka4[[#This Row],[Typ úlohy]]="Účet",B699,""))</f>
        <v/>
      </c>
      <c r="C700" s="903" t="str">
        <f>IF(Tabulka4[[#This Row],[Typ úlohy]]="Účet",H700,"")</f>
        <v/>
      </c>
      <c r="D700" s="903" t="str">
        <f>IF(Tabulka4[[#This Row],[Typ úlohy]]="Účet",GETPIVOTDATA("Součet z Celková hmotnost položek [kg]",$G$2,"Zkratka kalkulační položky",B700,"Výrobce / Dodavatel",C700),"")</f>
        <v/>
      </c>
      <c r="E700" s="904" t="str">
        <f>IF(Tabulka4[[#This Row],[Typ úlohy]]="Účet",GETPIVOTDATA("Součet z Celková cena bez DPH (CZK)",$G$3,"Zkratka kalkulační položky",B700,"Výrobce / Dodavatel",C700),"")</f>
        <v/>
      </c>
    </row>
    <row r="701" spans="1:5" x14ac:dyDescent="0.35">
      <c r="A701" s="902" t="str">
        <f t="shared" si="11"/>
        <v/>
      </c>
      <c r="B701" s="903" t="str">
        <f>IF(Tabulka4[[#This Row],[Typ úlohy]]="Součet",G701,IF(Tabulka4[[#This Row],[Typ úlohy]]="Účet",B700,""))</f>
        <v/>
      </c>
      <c r="C701" s="903" t="str">
        <f>IF(Tabulka4[[#This Row],[Typ úlohy]]="Účet",H701,"")</f>
        <v/>
      </c>
      <c r="D701" s="903" t="str">
        <f>IF(Tabulka4[[#This Row],[Typ úlohy]]="Účet",GETPIVOTDATA("Součet z Celková hmotnost položek [kg]",$G$2,"Zkratka kalkulační položky",B701,"Výrobce / Dodavatel",C701),"")</f>
        <v/>
      </c>
      <c r="E701" s="904" t="str">
        <f>IF(Tabulka4[[#This Row],[Typ úlohy]]="Účet",GETPIVOTDATA("Součet z Celková cena bez DPH (CZK)",$G$3,"Zkratka kalkulační položky",B701,"Výrobce / Dodavatel",C701),"")</f>
        <v/>
      </c>
    </row>
    <row r="702" spans="1:5" x14ac:dyDescent="0.35">
      <c r="A702" s="902" t="str">
        <f t="shared" si="11"/>
        <v/>
      </c>
      <c r="B702" s="903" t="str">
        <f>IF(Tabulka4[[#This Row],[Typ úlohy]]="Součet",G702,IF(Tabulka4[[#This Row],[Typ úlohy]]="Účet",B701,""))</f>
        <v/>
      </c>
      <c r="C702" s="903" t="str">
        <f>IF(Tabulka4[[#This Row],[Typ úlohy]]="Účet",H702,"")</f>
        <v/>
      </c>
      <c r="D702" s="903" t="str">
        <f>IF(Tabulka4[[#This Row],[Typ úlohy]]="Účet",GETPIVOTDATA("Součet z Celková hmotnost položek [kg]",$G$2,"Zkratka kalkulační položky",B702,"Výrobce / Dodavatel",C702),"")</f>
        <v/>
      </c>
      <c r="E702" s="904" t="str">
        <f>IF(Tabulka4[[#This Row],[Typ úlohy]]="Účet",GETPIVOTDATA("Součet z Celková cena bez DPH (CZK)",$G$3,"Zkratka kalkulační položky",B702,"Výrobce / Dodavatel",C702),"")</f>
        <v/>
      </c>
    </row>
    <row r="703" spans="1:5" x14ac:dyDescent="0.35">
      <c r="A703" s="902" t="str">
        <f t="shared" si="11"/>
        <v/>
      </c>
      <c r="B703" s="903" t="str">
        <f>IF(Tabulka4[[#This Row],[Typ úlohy]]="Součet",G703,IF(Tabulka4[[#This Row],[Typ úlohy]]="Účet",B702,""))</f>
        <v/>
      </c>
      <c r="C703" s="903" t="str">
        <f>IF(Tabulka4[[#This Row],[Typ úlohy]]="Účet",H703,"")</f>
        <v/>
      </c>
      <c r="D703" s="903" t="str">
        <f>IF(Tabulka4[[#This Row],[Typ úlohy]]="Účet",GETPIVOTDATA("Součet z Celková hmotnost položek [kg]",$G$2,"Zkratka kalkulační položky",B703,"Výrobce / Dodavatel",C703),"")</f>
        <v/>
      </c>
      <c r="E703" s="904" t="str">
        <f>IF(Tabulka4[[#This Row],[Typ úlohy]]="Účet",GETPIVOTDATA("Součet z Celková cena bez DPH (CZK)",$G$3,"Zkratka kalkulační položky",B703,"Výrobce / Dodavatel",C703),"")</f>
        <v/>
      </c>
    </row>
    <row r="704" spans="1:5" x14ac:dyDescent="0.35">
      <c r="A704" s="902" t="str">
        <f t="shared" si="11"/>
        <v/>
      </c>
      <c r="B704" s="903" t="str">
        <f>IF(Tabulka4[[#This Row],[Typ úlohy]]="Součet",G704,IF(Tabulka4[[#This Row],[Typ úlohy]]="Účet",B703,""))</f>
        <v/>
      </c>
      <c r="C704" s="903" t="str">
        <f>IF(Tabulka4[[#This Row],[Typ úlohy]]="Účet",H704,"")</f>
        <v/>
      </c>
      <c r="D704" s="903" t="str">
        <f>IF(Tabulka4[[#This Row],[Typ úlohy]]="Účet",GETPIVOTDATA("Součet z Celková hmotnost položek [kg]",$G$2,"Zkratka kalkulační položky",B704,"Výrobce / Dodavatel",C704),"")</f>
        <v/>
      </c>
      <c r="E704" s="904" t="str">
        <f>IF(Tabulka4[[#This Row],[Typ úlohy]]="Účet",GETPIVOTDATA("Součet z Celková cena bez DPH (CZK)",$G$3,"Zkratka kalkulační položky",B704,"Výrobce / Dodavatel",C704),"")</f>
        <v/>
      </c>
    </row>
    <row r="705" spans="1:5" x14ac:dyDescent="0.35">
      <c r="A705" s="902" t="str">
        <f t="shared" si="11"/>
        <v/>
      </c>
      <c r="B705" s="903" t="str">
        <f>IF(Tabulka4[[#This Row],[Typ úlohy]]="Součet",G705,IF(Tabulka4[[#This Row],[Typ úlohy]]="Účet",B704,""))</f>
        <v/>
      </c>
      <c r="C705" s="903" t="str">
        <f>IF(Tabulka4[[#This Row],[Typ úlohy]]="Účet",H705,"")</f>
        <v/>
      </c>
      <c r="D705" s="903" t="str">
        <f>IF(Tabulka4[[#This Row],[Typ úlohy]]="Účet",GETPIVOTDATA("Součet z Celková hmotnost položek [kg]",$G$2,"Zkratka kalkulační položky",B705,"Výrobce / Dodavatel",C705),"")</f>
        <v/>
      </c>
      <c r="E705" s="904" t="str">
        <f>IF(Tabulka4[[#This Row],[Typ úlohy]]="Účet",GETPIVOTDATA("Součet z Celková cena bez DPH (CZK)",$G$3,"Zkratka kalkulační položky",B705,"Výrobce / Dodavatel",C705),"")</f>
        <v/>
      </c>
    </row>
    <row r="706" spans="1:5" x14ac:dyDescent="0.35">
      <c r="A706" s="902" t="str">
        <f t="shared" si="11"/>
        <v/>
      </c>
      <c r="B706" s="903" t="str">
        <f>IF(Tabulka4[[#This Row],[Typ úlohy]]="Součet",G706,IF(Tabulka4[[#This Row],[Typ úlohy]]="Účet",B705,""))</f>
        <v/>
      </c>
      <c r="C706" s="903" t="str">
        <f>IF(Tabulka4[[#This Row],[Typ úlohy]]="Účet",H706,"")</f>
        <v/>
      </c>
      <c r="D706" s="903" t="str">
        <f>IF(Tabulka4[[#This Row],[Typ úlohy]]="Účet",GETPIVOTDATA("Součet z Celková hmotnost položek [kg]",$G$2,"Zkratka kalkulační položky",B706,"Výrobce / Dodavatel",C706),"")</f>
        <v/>
      </c>
      <c r="E706" s="904" t="str">
        <f>IF(Tabulka4[[#This Row],[Typ úlohy]]="Účet",GETPIVOTDATA("Součet z Celková cena bez DPH (CZK)",$G$3,"Zkratka kalkulační položky",B706,"Výrobce / Dodavatel",C706),"")</f>
        <v/>
      </c>
    </row>
    <row r="707" spans="1:5" x14ac:dyDescent="0.35">
      <c r="A707" s="902" t="str">
        <f t="shared" si="11"/>
        <v/>
      </c>
      <c r="B707" s="903" t="str">
        <f>IF(Tabulka4[[#This Row],[Typ úlohy]]="Součet",G707,IF(Tabulka4[[#This Row],[Typ úlohy]]="Účet",B706,""))</f>
        <v/>
      </c>
      <c r="C707" s="903" t="str">
        <f>IF(Tabulka4[[#This Row],[Typ úlohy]]="Účet",H707,"")</f>
        <v/>
      </c>
      <c r="D707" s="903" t="str">
        <f>IF(Tabulka4[[#This Row],[Typ úlohy]]="Účet",GETPIVOTDATA("Součet z Celková hmotnost položek [kg]",$G$2,"Zkratka kalkulační položky",B707,"Výrobce / Dodavatel",C707),"")</f>
        <v/>
      </c>
      <c r="E707" s="904" t="str">
        <f>IF(Tabulka4[[#This Row],[Typ úlohy]]="Účet",GETPIVOTDATA("Součet z Celková cena bez DPH (CZK)",$G$3,"Zkratka kalkulační položky",B707,"Výrobce / Dodavatel",C707),"")</f>
        <v/>
      </c>
    </row>
    <row r="708" spans="1:5" x14ac:dyDescent="0.35">
      <c r="A708" s="902" t="str">
        <f t="shared" si="11"/>
        <v/>
      </c>
      <c r="B708" s="903" t="str">
        <f>IF(Tabulka4[[#This Row],[Typ úlohy]]="Součet",G708,IF(Tabulka4[[#This Row],[Typ úlohy]]="Účet",B707,""))</f>
        <v/>
      </c>
      <c r="C708" s="903" t="str">
        <f>IF(Tabulka4[[#This Row],[Typ úlohy]]="Účet",H708,"")</f>
        <v/>
      </c>
      <c r="D708" s="903" t="str">
        <f>IF(Tabulka4[[#This Row],[Typ úlohy]]="Účet",GETPIVOTDATA("Součet z Celková hmotnost položek [kg]",$G$2,"Zkratka kalkulační položky",B708,"Výrobce / Dodavatel",C708),"")</f>
        <v/>
      </c>
      <c r="E708" s="904" t="str">
        <f>IF(Tabulka4[[#This Row],[Typ úlohy]]="Účet",GETPIVOTDATA("Součet z Celková cena bez DPH (CZK)",$G$3,"Zkratka kalkulační položky",B708,"Výrobce / Dodavatel",C708),"")</f>
        <v/>
      </c>
    </row>
    <row r="709" spans="1:5" x14ac:dyDescent="0.35">
      <c r="A709" s="902" t="str">
        <f t="shared" ref="A709:A772" si="12">IF(H709="",IF(G709="","","Součet"),"Účet")</f>
        <v/>
      </c>
      <c r="B709" s="903" t="str">
        <f>IF(Tabulka4[[#This Row],[Typ úlohy]]="Součet",G709,IF(Tabulka4[[#This Row],[Typ úlohy]]="Účet",B708,""))</f>
        <v/>
      </c>
      <c r="C709" s="903" t="str">
        <f>IF(Tabulka4[[#This Row],[Typ úlohy]]="Účet",H709,"")</f>
        <v/>
      </c>
      <c r="D709" s="903" t="str">
        <f>IF(Tabulka4[[#This Row],[Typ úlohy]]="Účet",GETPIVOTDATA("Součet z Celková hmotnost položek [kg]",$G$2,"Zkratka kalkulační položky",B709,"Výrobce / Dodavatel",C709),"")</f>
        <v/>
      </c>
      <c r="E709" s="904" t="str">
        <f>IF(Tabulka4[[#This Row],[Typ úlohy]]="Účet",GETPIVOTDATA("Součet z Celková cena bez DPH (CZK)",$G$3,"Zkratka kalkulační položky",B709,"Výrobce / Dodavatel",C709),"")</f>
        <v/>
      </c>
    </row>
    <row r="710" spans="1:5" x14ac:dyDescent="0.35">
      <c r="A710" s="902" t="str">
        <f t="shared" si="12"/>
        <v/>
      </c>
      <c r="B710" s="903" t="str">
        <f>IF(Tabulka4[[#This Row],[Typ úlohy]]="Součet",G710,IF(Tabulka4[[#This Row],[Typ úlohy]]="Účet",B709,""))</f>
        <v/>
      </c>
      <c r="C710" s="903" t="str">
        <f>IF(Tabulka4[[#This Row],[Typ úlohy]]="Účet",H710,"")</f>
        <v/>
      </c>
      <c r="D710" s="903" t="str">
        <f>IF(Tabulka4[[#This Row],[Typ úlohy]]="Účet",GETPIVOTDATA("Součet z Celková hmotnost položek [kg]",$G$2,"Zkratka kalkulační položky",B710,"Výrobce / Dodavatel",C710),"")</f>
        <v/>
      </c>
      <c r="E710" s="904" t="str">
        <f>IF(Tabulka4[[#This Row],[Typ úlohy]]="Účet",GETPIVOTDATA("Součet z Celková cena bez DPH (CZK)",$G$3,"Zkratka kalkulační položky",B710,"Výrobce / Dodavatel",C710),"")</f>
        <v/>
      </c>
    </row>
    <row r="711" spans="1:5" x14ac:dyDescent="0.35">
      <c r="A711" s="902" t="str">
        <f t="shared" si="12"/>
        <v/>
      </c>
      <c r="B711" s="903" t="str">
        <f>IF(Tabulka4[[#This Row],[Typ úlohy]]="Součet",G711,IF(Tabulka4[[#This Row],[Typ úlohy]]="Účet",B710,""))</f>
        <v/>
      </c>
      <c r="C711" s="903" t="str">
        <f>IF(Tabulka4[[#This Row],[Typ úlohy]]="Účet",H711,"")</f>
        <v/>
      </c>
      <c r="D711" s="903" t="str">
        <f>IF(Tabulka4[[#This Row],[Typ úlohy]]="Účet",GETPIVOTDATA("Součet z Celková hmotnost položek [kg]",$G$2,"Zkratka kalkulační položky",B711,"Výrobce / Dodavatel",C711),"")</f>
        <v/>
      </c>
      <c r="E711" s="904" t="str">
        <f>IF(Tabulka4[[#This Row],[Typ úlohy]]="Účet",GETPIVOTDATA("Součet z Celková cena bez DPH (CZK)",$G$3,"Zkratka kalkulační položky",B711,"Výrobce / Dodavatel",C711),"")</f>
        <v/>
      </c>
    </row>
    <row r="712" spans="1:5" x14ac:dyDescent="0.35">
      <c r="A712" s="902" t="str">
        <f t="shared" si="12"/>
        <v/>
      </c>
      <c r="B712" s="903" t="str">
        <f>IF(Tabulka4[[#This Row],[Typ úlohy]]="Součet",G712,IF(Tabulka4[[#This Row],[Typ úlohy]]="Účet",B711,""))</f>
        <v/>
      </c>
      <c r="C712" s="903" t="str">
        <f>IF(Tabulka4[[#This Row],[Typ úlohy]]="Účet",H712,"")</f>
        <v/>
      </c>
      <c r="D712" s="903" t="str">
        <f>IF(Tabulka4[[#This Row],[Typ úlohy]]="Účet",GETPIVOTDATA("Součet z Celková hmotnost položek [kg]",$G$2,"Zkratka kalkulační položky",B712,"Výrobce / Dodavatel",C712),"")</f>
        <v/>
      </c>
      <c r="E712" s="904" t="str">
        <f>IF(Tabulka4[[#This Row],[Typ úlohy]]="Účet",GETPIVOTDATA("Součet z Celková cena bez DPH (CZK)",$G$3,"Zkratka kalkulační položky",B712,"Výrobce / Dodavatel",C712),"")</f>
        <v/>
      </c>
    </row>
    <row r="713" spans="1:5" x14ac:dyDescent="0.35">
      <c r="A713" s="902" t="str">
        <f t="shared" si="12"/>
        <v/>
      </c>
      <c r="B713" s="903" t="str">
        <f>IF(Tabulka4[[#This Row],[Typ úlohy]]="Součet",G713,IF(Tabulka4[[#This Row],[Typ úlohy]]="Účet",B712,""))</f>
        <v/>
      </c>
      <c r="C713" s="903" t="str">
        <f>IF(Tabulka4[[#This Row],[Typ úlohy]]="Účet",H713,"")</f>
        <v/>
      </c>
      <c r="D713" s="903" t="str">
        <f>IF(Tabulka4[[#This Row],[Typ úlohy]]="Účet",GETPIVOTDATA("Součet z Celková hmotnost položek [kg]",$G$2,"Zkratka kalkulační položky",B713,"Výrobce / Dodavatel",C713),"")</f>
        <v/>
      </c>
      <c r="E713" s="904" t="str">
        <f>IF(Tabulka4[[#This Row],[Typ úlohy]]="Účet",GETPIVOTDATA("Součet z Celková cena bez DPH (CZK)",$G$3,"Zkratka kalkulační položky",B713,"Výrobce / Dodavatel",C713),"")</f>
        <v/>
      </c>
    </row>
    <row r="714" spans="1:5" x14ac:dyDescent="0.35">
      <c r="A714" s="902" t="str">
        <f t="shared" si="12"/>
        <v/>
      </c>
      <c r="B714" s="903" t="str">
        <f>IF(Tabulka4[[#This Row],[Typ úlohy]]="Součet",G714,IF(Tabulka4[[#This Row],[Typ úlohy]]="Účet",B713,""))</f>
        <v/>
      </c>
      <c r="C714" s="903" t="str">
        <f>IF(Tabulka4[[#This Row],[Typ úlohy]]="Účet",H714,"")</f>
        <v/>
      </c>
      <c r="D714" s="903" t="str">
        <f>IF(Tabulka4[[#This Row],[Typ úlohy]]="Účet",GETPIVOTDATA("Součet z Celková hmotnost položek [kg]",$G$2,"Zkratka kalkulační položky",B714,"Výrobce / Dodavatel",C714),"")</f>
        <v/>
      </c>
      <c r="E714" s="904" t="str">
        <f>IF(Tabulka4[[#This Row],[Typ úlohy]]="Účet",GETPIVOTDATA("Součet z Celková cena bez DPH (CZK)",$G$3,"Zkratka kalkulační položky",B714,"Výrobce / Dodavatel",C714),"")</f>
        <v/>
      </c>
    </row>
    <row r="715" spans="1:5" x14ac:dyDescent="0.35">
      <c r="A715" s="902" t="str">
        <f t="shared" si="12"/>
        <v/>
      </c>
      <c r="B715" s="903" t="str">
        <f>IF(Tabulka4[[#This Row],[Typ úlohy]]="Součet",G715,IF(Tabulka4[[#This Row],[Typ úlohy]]="Účet",B714,""))</f>
        <v/>
      </c>
      <c r="C715" s="903" t="str">
        <f>IF(Tabulka4[[#This Row],[Typ úlohy]]="Účet",H715,"")</f>
        <v/>
      </c>
      <c r="D715" s="903" t="str">
        <f>IF(Tabulka4[[#This Row],[Typ úlohy]]="Účet",GETPIVOTDATA("Součet z Celková hmotnost položek [kg]",$G$2,"Zkratka kalkulační položky",B715,"Výrobce / Dodavatel",C715),"")</f>
        <v/>
      </c>
      <c r="E715" s="904" t="str">
        <f>IF(Tabulka4[[#This Row],[Typ úlohy]]="Účet",GETPIVOTDATA("Součet z Celková cena bez DPH (CZK)",$G$3,"Zkratka kalkulační položky",B715,"Výrobce / Dodavatel",C715),"")</f>
        <v/>
      </c>
    </row>
    <row r="716" spans="1:5" x14ac:dyDescent="0.35">
      <c r="A716" s="902" t="str">
        <f t="shared" si="12"/>
        <v/>
      </c>
      <c r="B716" s="903" t="str">
        <f>IF(Tabulka4[[#This Row],[Typ úlohy]]="Součet",G716,IF(Tabulka4[[#This Row],[Typ úlohy]]="Účet",B715,""))</f>
        <v/>
      </c>
      <c r="C716" s="903" t="str">
        <f>IF(Tabulka4[[#This Row],[Typ úlohy]]="Účet",H716,"")</f>
        <v/>
      </c>
      <c r="D716" s="903" t="str">
        <f>IF(Tabulka4[[#This Row],[Typ úlohy]]="Účet",GETPIVOTDATA("Součet z Celková hmotnost položek [kg]",$G$2,"Zkratka kalkulační položky",B716,"Výrobce / Dodavatel",C716),"")</f>
        <v/>
      </c>
      <c r="E716" s="904" t="str">
        <f>IF(Tabulka4[[#This Row],[Typ úlohy]]="Účet",GETPIVOTDATA("Součet z Celková cena bez DPH (CZK)",$G$3,"Zkratka kalkulační položky",B716,"Výrobce / Dodavatel",C716),"")</f>
        <v/>
      </c>
    </row>
    <row r="717" spans="1:5" x14ac:dyDescent="0.35">
      <c r="A717" s="902" t="str">
        <f t="shared" si="12"/>
        <v/>
      </c>
      <c r="B717" s="903" t="str">
        <f>IF(Tabulka4[[#This Row],[Typ úlohy]]="Součet",G717,IF(Tabulka4[[#This Row],[Typ úlohy]]="Účet",B716,""))</f>
        <v/>
      </c>
      <c r="C717" s="903" t="str">
        <f>IF(Tabulka4[[#This Row],[Typ úlohy]]="Účet",H717,"")</f>
        <v/>
      </c>
      <c r="D717" s="903" t="str">
        <f>IF(Tabulka4[[#This Row],[Typ úlohy]]="Účet",GETPIVOTDATA("Součet z Celková hmotnost položek [kg]",$G$2,"Zkratka kalkulační položky",B717,"Výrobce / Dodavatel",C717),"")</f>
        <v/>
      </c>
      <c r="E717" s="904" t="str">
        <f>IF(Tabulka4[[#This Row],[Typ úlohy]]="Účet",GETPIVOTDATA("Součet z Celková cena bez DPH (CZK)",$G$3,"Zkratka kalkulační položky",B717,"Výrobce / Dodavatel",C717),"")</f>
        <v/>
      </c>
    </row>
    <row r="718" spans="1:5" x14ac:dyDescent="0.35">
      <c r="A718" s="902" t="str">
        <f t="shared" si="12"/>
        <v/>
      </c>
      <c r="B718" s="903" t="str">
        <f>IF(Tabulka4[[#This Row],[Typ úlohy]]="Součet",G718,IF(Tabulka4[[#This Row],[Typ úlohy]]="Účet",B717,""))</f>
        <v/>
      </c>
      <c r="C718" s="903" t="str">
        <f>IF(Tabulka4[[#This Row],[Typ úlohy]]="Účet",H718,"")</f>
        <v/>
      </c>
      <c r="D718" s="903" t="str">
        <f>IF(Tabulka4[[#This Row],[Typ úlohy]]="Účet",GETPIVOTDATA("Součet z Celková hmotnost položek [kg]",$G$2,"Zkratka kalkulační položky",B718,"Výrobce / Dodavatel",C718),"")</f>
        <v/>
      </c>
      <c r="E718" s="904" t="str">
        <f>IF(Tabulka4[[#This Row],[Typ úlohy]]="Účet",GETPIVOTDATA("Součet z Celková cena bez DPH (CZK)",$G$3,"Zkratka kalkulační položky",B718,"Výrobce / Dodavatel",C718),"")</f>
        <v/>
      </c>
    </row>
    <row r="719" spans="1:5" x14ac:dyDescent="0.35">
      <c r="A719" s="902" t="str">
        <f t="shared" si="12"/>
        <v/>
      </c>
      <c r="B719" s="903" t="str">
        <f>IF(Tabulka4[[#This Row],[Typ úlohy]]="Součet",G719,IF(Tabulka4[[#This Row],[Typ úlohy]]="Účet",B718,""))</f>
        <v/>
      </c>
      <c r="C719" s="903" t="str">
        <f>IF(Tabulka4[[#This Row],[Typ úlohy]]="Účet",H719,"")</f>
        <v/>
      </c>
      <c r="D719" s="903" t="str">
        <f>IF(Tabulka4[[#This Row],[Typ úlohy]]="Účet",GETPIVOTDATA("Součet z Celková hmotnost položek [kg]",$G$2,"Zkratka kalkulační položky",B719,"Výrobce / Dodavatel",C719),"")</f>
        <v/>
      </c>
      <c r="E719" s="904" t="str">
        <f>IF(Tabulka4[[#This Row],[Typ úlohy]]="Účet",GETPIVOTDATA("Součet z Celková cena bez DPH (CZK)",$G$3,"Zkratka kalkulační položky",B719,"Výrobce / Dodavatel",C719),"")</f>
        <v/>
      </c>
    </row>
    <row r="720" spans="1:5" x14ac:dyDescent="0.35">
      <c r="A720" s="902" t="str">
        <f t="shared" si="12"/>
        <v/>
      </c>
      <c r="B720" s="903" t="str">
        <f>IF(Tabulka4[[#This Row],[Typ úlohy]]="Součet",G720,IF(Tabulka4[[#This Row],[Typ úlohy]]="Účet",B719,""))</f>
        <v/>
      </c>
      <c r="C720" s="903" t="str">
        <f>IF(Tabulka4[[#This Row],[Typ úlohy]]="Účet",H720,"")</f>
        <v/>
      </c>
      <c r="D720" s="903" t="str">
        <f>IF(Tabulka4[[#This Row],[Typ úlohy]]="Účet",GETPIVOTDATA("Součet z Celková hmotnost položek [kg]",$G$2,"Zkratka kalkulační položky",B720,"Výrobce / Dodavatel",C720),"")</f>
        <v/>
      </c>
      <c r="E720" s="904" t="str">
        <f>IF(Tabulka4[[#This Row],[Typ úlohy]]="Účet",GETPIVOTDATA("Součet z Celková cena bez DPH (CZK)",$G$3,"Zkratka kalkulační položky",B720,"Výrobce / Dodavatel",C720),"")</f>
        <v/>
      </c>
    </row>
    <row r="721" spans="1:5" x14ac:dyDescent="0.35">
      <c r="A721" s="902" t="str">
        <f t="shared" si="12"/>
        <v/>
      </c>
      <c r="B721" s="903" t="str">
        <f>IF(Tabulka4[[#This Row],[Typ úlohy]]="Součet",G721,IF(Tabulka4[[#This Row],[Typ úlohy]]="Účet",B720,""))</f>
        <v/>
      </c>
      <c r="C721" s="903" t="str">
        <f>IF(Tabulka4[[#This Row],[Typ úlohy]]="Účet",H721,"")</f>
        <v/>
      </c>
      <c r="D721" s="903" t="str">
        <f>IF(Tabulka4[[#This Row],[Typ úlohy]]="Účet",GETPIVOTDATA("Součet z Celková hmotnost položek [kg]",$G$2,"Zkratka kalkulační položky",B721,"Výrobce / Dodavatel",C721),"")</f>
        <v/>
      </c>
      <c r="E721" s="904" t="str">
        <f>IF(Tabulka4[[#This Row],[Typ úlohy]]="Účet",GETPIVOTDATA("Součet z Celková cena bez DPH (CZK)",$G$3,"Zkratka kalkulační položky",B721,"Výrobce / Dodavatel",C721),"")</f>
        <v/>
      </c>
    </row>
    <row r="722" spans="1:5" x14ac:dyDescent="0.35">
      <c r="A722" s="902" t="str">
        <f t="shared" si="12"/>
        <v/>
      </c>
      <c r="B722" s="903" t="str">
        <f>IF(Tabulka4[[#This Row],[Typ úlohy]]="Součet",G722,IF(Tabulka4[[#This Row],[Typ úlohy]]="Účet",B721,""))</f>
        <v/>
      </c>
      <c r="C722" s="903" t="str">
        <f>IF(Tabulka4[[#This Row],[Typ úlohy]]="Účet",H722,"")</f>
        <v/>
      </c>
      <c r="D722" s="903" t="str">
        <f>IF(Tabulka4[[#This Row],[Typ úlohy]]="Účet",GETPIVOTDATA("Součet z Celková hmotnost položek [kg]",$G$2,"Zkratka kalkulační položky",B722,"Výrobce / Dodavatel",C722),"")</f>
        <v/>
      </c>
      <c r="E722" s="904" t="str">
        <f>IF(Tabulka4[[#This Row],[Typ úlohy]]="Účet",GETPIVOTDATA("Součet z Celková cena bez DPH (CZK)",$G$3,"Zkratka kalkulační položky",B722,"Výrobce / Dodavatel",C722),"")</f>
        <v/>
      </c>
    </row>
    <row r="723" spans="1:5" x14ac:dyDescent="0.35">
      <c r="A723" s="902" t="str">
        <f t="shared" si="12"/>
        <v/>
      </c>
      <c r="B723" s="903" t="str">
        <f>IF(Tabulka4[[#This Row],[Typ úlohy]]="Součet",G723,IF(Tabulka4[[#This Row],[Typ úlohy]]="Účet",B722,""))</f>
        <v/>
      </c>
      <c r="C723" s="903" t="str">
        <f>IF(Tabulka4[[#This Row],[Typ úlohy]]="Účet",H723,"")</f>
        <v/>
      </c>
      <c r="D723" s="903" t="str">
        <f>IF(Tabulka4[[#This Row],[Typ úlohy]]="Účet",GETPIVOTDATA("Součet z Celková hmotnost položek [kg]",$G$2,"Zkratka kalkulační položky",B723,"Výrobce / Dodavatel",C723),"")</f>
        <v/>
      </c>
      <c r="E723" s="904" t="str">
        <f>IF(Tabulka4[[#This Row],[Typ úlohy]]="Účet",GETPIVOTDATA("Součet z Celková cena bez DPH (CZK)",$G$3,"Zkratka kalkulační položky",B723,"Výrobce / Dodavatel",C723),"")</f>
        <v/>
      </c>
    </row>
    <row r="724" spans="1:5" x14ac:dyDescent="0.35">
      <c r="A724" s="902" t="str">
        <f t="shared" si="12"/>
        <v/>
      </c>
      <c r="B724" s="903" t="str">
        <f>IF(Tabulka4[[#This Row],[Typ úlohy]]="Součet",G724,IF(Tabulka4[[#This Row],[Typ úlohy]]="Účet",B723,""))</f>
        <v/>
      </c>
      <c r="C724" s="903" t="str">
        <f>IF(Tabulka4[[#This Row],[Typ úlohy]]="Účet",H724,"")</f>
        <v/>
      </c>
      <c r="D724" s="903" t="str">
        <f>IF(Tabulka4[[#This Row],[Typ úlohy]]="Účet",GETPIVOTDATA("Součet z Celková hmotnost položek [kg]",$G$2,"Zkratka kalkulační položky",B724,"Výrobce / Dodavatel",C724),"")</f>
        <v/>
      </c>
      <c r="E724" s="904" t="str">
        <f>IF(Tabulka4[[#This Row],[Typ úlohy]]="Účet",GETPIVOTDATA("Součet z Celková cena bez DPH (CZK)",$G$3,"Zkratka kalkulační položky",B724,"Výrobce / Dodavatel",C724),"")</f>
        <v/>
      </c>
    </row>
    <row r="725" spans="1:5" x14ac:dyDescent="0.35">
      <c r="A725" s="902" t="str">
        <f t="shared" si="12"/>
        <v/>
      </c>
      <c r="B725" s="903" t="str">
        <f>IF(Tabulka4[[#This Row],[Typ úlohy]]="Součet",G725,IF(Tabulka4[[#This Row],[Typ úlohy]]="Účet",B724,""))</f>
        <v/>
      </c>
      <c r="C725" s="903" t="str">
        <f>IF(Tabulka4[[#This Row],[Typ úlohy]]="Účet",H725,"")</f>
        <v/>
      </c>
      <c r="D725" s="903" t="str">
        <f>IF(Tabulka4[[#This Row],[Typ úlohy]]="Účet",GETPIVOTDATA("Součet z Celková hmotnost položek [kg]",$G$2,"Zkratka kalkulační položky",B725,"Výrobce / Dodavatel",C725),"")</f>
        <v/>
      </c>
      <c r="E725" s="904" t="str">
        <f>IF(Tabulka4[[#This Row],[Typ úlohy]]="Účet",GETPIVOTDATA("Součet z Celková cena bez DPH (CZK)",$G$3,"Zkratka kalkulační položky",B725,"Výrobce / Dodavatel",C725),"")</f>
        <v/>
      </c>
    </row>
    <row r="726" spans="1:5" x14ac:dyDescent="0.35">
      <c r="A726" s="902" t="str">
        <f t="shared" si="12"/>
        <v/>
      </c>
      <c r="B726" s="903" t="str">
        <f>IF(Tabulka4[[#This Row],[Typ úlohy]]="Součet",G726,IF(Tabulka4[[#This Row],[Typ úlohy]]="Účet",B725,""))</f>
        <v/>
      </c>
      <c r="C726" s="903" t="str">
        <f>IF(Tabulka4[[#This Row],[Typ úlohy]]="Účet",H726,"")</f>
        <v/>
      </c>
      <c r="D726" s="903" t="str">
        <f>IF(Tabulka4[[#This Row],[Typ úlohy]]="Účet",GETPIVOTDATA("Součet z Celková hmotnost položek [kg]",$G$2,"Zkratka kalkulační položky",B726,"Výrobce / Dodavatel",C726),"")</f>
        <v/>
      </c>
      <c r="E726" s="904" t="str">
        <f>IF(Tabulka4[[#This Row],[Typ úlohy]]="Účet",GETPIVOTDATA("Součet z Celková cena bez DPH (CZK)",$G$3,"Zkratka kalkulační položky",B726,"Výrobce / Dodavatel",C726),"")</f>
        <v/>
      </c>
    </row>
    <row r="727" spans="1:5" x14ac:dyDescent="0.35">
      <c r="A727" s="902" t="str">
        <f t="shared" si="12"/>
        <v/>
      </c>
      <c r="B727" s="903" t="str">
        <f>IF(Tabulka4[[#This Row],[Typ úlohy]]="Součet",G727,IF(Tabulka4[[#This Row],[Typ úlohy]]="Účet",B726,""))</f>
        <v/>
      </c>
      <c r="C727" s="903" t="str">
        <f>IF(Tabulka4[[#This Row],[Typ úlohy]]="Účet",H727,"")</f>
        <v/>
      </c>
      <c r="D727" s="903" t="str">
        <f>IF(Tabulka4[[#This Row],[Typ úlohy]]="Účet",GETPIVOTDATA("Součet z Celková hmotnost položek [kg]",$G$2,"Zkratka kalkulační položky",B727,"Výrobce / Dodavatel",C727),"")</f>
        <v/>
      </c>
      <c r="E727" s="904" t="str">
        <f>IF(Tabulka4[[#This Row],[Typ úlohy]]="Účet",GETPIVOTDATA("Součet z Celková cena bez DPH (CZK)",$G$3,"Zkratka kalkulační položky",B727,"Výrobce / Dodavatel",C727),"")</f>
        <v/>
      </c>
    </row>
    <row r="728" spans="1:5" x14ac:dyDescent="0.35">
      <c r="A728" s="902" t="str">
        <f t="shared" si="12"/>
        <v/>
      </c>
      <c r="B728" s="903" t="str">
        <f>IF(Tabulka4[[#This Row],[Typ úlohy]]="Součet",G728,IF(Tabulka4[[#This Row],[Typ úlohy]]="Účet",B727,""))</f>
        <v/>
      </c>
      <c r="C728" s="903" t="str">
        <f>IF(Tabulka4[[#This Row],[Typ úlohy]]="Účet",H728,"")</f>
        <v/>
      </c>
      <c r="D728" s="903" t="str">
        <f>IF(Tabulka4[[#This Row],[Typ úlohy]]="Účet",GETPIVOTDATA("Součet z Celková hmotnost položek [kg]",$G$2,"Zkratka kalkulační položky",B728,"Výrobce / Dodavatel",C728),"")</f>
        <v/>
      </c>
      <c r="E728" s="904" t="str">
        <f>IF(Tabulka4[[#This Row],[Typ úlohy]]="Účet",GETPIVOTDATA("Součet z Celková cena bez DPH (CZK)",$G$3,"Zkratka kalkulační položky",B728,"Výrobce / Dodavatel",C728),"")</f>
        <v/>
      </c>
    </row>
    <row r="729" spans="1:5" x14ac:dyDescent="0.35">
      <c r="A729" s="902" t="str">
        <f t="shared" si="12"/>
        <v/>
      </c>
      <c r="B729" s="903" t="str">
        <f>IF(Tabulka4[[#This Row],[Typ úlohy]]="Součet",G729,IF(Tabulka4[[#This Row],[Typ úlohy]]="Účet",B728,""))</f>
        <v/>
      </c>
      <c r="C729" s="903" t="str">
        <f>IF(Tabulka4[[#This Row],[Typ úlohy]]="Účet",H729,"")</f>
        <v/>
      </c>
      <c r="D729" s="903" t="str">
        <f>IF(Tabulka4[[#This Row],[Typ úlohy]]="Účet",GETPIVOTDATA("Součet z Celková hmotnost položek [kg]",$G$2,"Zkratka kalkulační položky",B729,"Výrobce / Dodavatel",C729),"")</f>
        <v/>
      </c>
      <c r="E729" s="904" t="str">
        <f>IF(Tabulka4[[#This Row],[Typ úlohy]]="Účet",GETPIVOTDATA("Součet z Celková cena bez DPH (CZK)",$G$3,"Zkratka kalkulační položky",B729,"Výrobce / Dodavatel",C729),"")</f>
        <v/>
      </c>
    </row>
    <row r="730" spans="1:5" x14ac:dyDescent="0.35">
      <c r="A730" s="902" t="str">
        <f t="shared" si="12"/>
        <v/>
      </c>
      <c r="B730" s="903" t="str">
        <f>IF(Tabulka4[[#This Row],[Typ úlohy]]="Součet",G730,IF(Tabulka4[[#This Row],[Typ úlohy]]="Účet",B729,""))</f>
        <v/>
      </c>
      <c r="C730" s="903" t="str">
        <f>IF(Tabulka4[[#This Row],[Typ úlohy]]="Účet",H730,"")</f>
        <v/>
      </c>
      <c r="D730" s="903" t="str">
        <f>IF(Tabulka4[[#This Row],[Typ úlohy]]="Účet",GETPIVOTDATA("Součet z Celková hmotnost položek [kg]",$G$2,"Zkratka kalkulační položky",B730,"Výrobce / Dodavatel",C730),"")</f>
        <v/>
      </c>
      <c r="E730" s="904" t="str">
        <f>IF(Tabulka4[[#This Row],[Typ úlohy]]="Účet",GETPIVOTDATA("Součet z Celková cena bez DPH (CZK)",$G$3,"Zkratka kalkulační položky",B730,"Výrobce / Dodavatel",C730),"")</f>
        <v/>
      </c>
    </row>
    <row r="731" spans="1:5" x14ac:dyDescent="0.35">
      <c r="A731" s="902" t="str">
        <f t="shared" si="12"/>
        <v/>
      </c>
      <c r="B731" s="903" t="str">
        <f>IF(Tabulka4[[#This Row],[Typ úlohy]]="Součet",G731,IF(Tabulka4[[#This Row],[Typ úlohy]]="Účet",B730,""))</f>
        <v/>
      </c>
      <c r="C731" s="903" t="str">
        <f>IF(Tabulka4[[#This Row],[Typ úlohy]]="Účet",H731,"")</f>
        <v/>
      </c>
      <c r="D731" s="903" t="str">
        <f>IF(Tabulka4[[#This Row],[Typ úlohy]]="Účet",GETPIVOTDATA("Součet z Celková hmotnost položek [kg]",$G$2,"Zkratka kalkulační položky",B731,"Výrobce / Dodavatel",C731),"")</f>
        <v/>
      </c>
      <c r="E731" s="904" t="str">
        <f>IF(Tabulka4[[#This Row],[Typ úlohy]]="Účet",GETPIVOTDATA("Součet z Celková cena bez DPH (CZK)",$G$3,"Zkratka kalkulační položky",B731,"Výrobce / Dodavatel",C731),"")</f>
        <v/>
      </c>
    </row>
    <row r="732" spans="1:5" x14ac:dyDescent="0.35">
      <c r="A732" s="902" t="str">
        <f t="shared" si="12"/>
        <v/>
      </c>
      <c r="B732" s="903" t="str">
        <f>IF(Tabulka4[[#This Row],[Typ úlohy]]="Součet",G732,IF(Tabulka4[[#This Row],[Typ úlohy]]="Účet",B731,""))</f>
        <v/>
      </c>
      <c r="C732" s="903" t="str">
        <f>IF(Tabulka4[[#This Row],[Typ úlohy]]="Účet",H732,"")</f>
        <v/>
      </c>
      <c r="D732" s="903" t="str">
        <f>IF(Tabulka4[[#This Row],[Typ úlohy]]="Účet",GETPIVOTDATA("Součet z Celková hmotnost položek [kg]",$G$2,"Zkratka kalkulační položky",B732,"Výrobce / Dodavatel",C732),"")</f>
        <v/>
      </c>
      <c r="E732" s="904" t="str">
        <f>IF(Tabulka4[[#This Row],[Typ úlohy]]="Účet",GETPIVOTDATA("Součet z Celková cena bez DPH (CZK)",$G$3,"Zkratka kalkulační položky",B732,"Výrobce / Dodavatel",C732),"")</f>
        <v/>
      </c>
    </row>
    <row r="733" spans="1:5" x14ac:dyDescent="0.35">
      <c r="A733" s="902" t="str">
        <f t="shared" si="12"/>
        <v/>
      </c>
      <c r="B733" s="903" t="str">
        <f>IF(Tabulka4[[#This Row],[Typ úlohy]]="Součet",G733,IF(Tabulka4[[#This Row],[Typ úlohy]]="Účet",B732,""))</f>
        <v/>
      </c>
      <c r="C733" s="903" t="str">
        <f>IF(Tabulka4[[#This Row],[Typ úlohy]]="Účet",H733,"")</f>
        <v/>
      </c>
      <c r="D733" s="903" t="str">
        <f>IF(Tabulka4[[#This Row],[Typ úlohy]]="Účet",GETPIVOTDATA("Součet z Celková hmotnost položek [kg]",$G$2,"Zkratka kalkulační položky",B733,"Výrobce / Dodavatel",C733),"")</f>
        <v/>
      </c>
      <c r="E733" s="904" t="str">
        <f>IF(Tabulka4[[#This Row],[Typ úlohy]]="Účet",GETPIVOTDATA("Součet z Celková cena bez DPH (CZK)",$G$3,"Zkratka kalkulační položky",B733,"Výrobce / Dodavatel",C733),"")</f>
        <v/>
      </c>
    </row>
    <row r="734" spans="1:5" x14ac:dyDescent="0.35">
      <c r="A734" s="902" t="str">
        <f t="shared" si="12"/>
        <v/>
      </c>
      <c r="B734" s="903" t="str">
        <f>IF(Tabulka4[[#This Row],[Typ úlohy]]="Součet",G734,IF(Tabulka4[[#This Row],[Typ úlohy]]="Účet",B733,""))</f>
        <v/>
      </c>
      <c r="C734" s="903" t="str">
        <f>IF(Tabulka4[[#This Row],[Typ úlohy]]="Účet",H734,"")</f>
        <v/>
      </c>
      <c r="D734" s="903" t="str">
        <f>IF(Tabulka4[[#This Row],[Typ úlohy]]="Účet",GETPIVOTDATA("Součet z Celková hmotnost položek [kg]",$G$2,"Zkratka kalkulační položky",B734,"Výrobce / Dodavatel",C734),"")</f>
        <v/>
      </c>
      <c r="E734" s="904" t="str">
        <f>IF(Tabulka4[[#This Row],[Typ úlohy]]="Účet",GETPIVOTDATA("Součet z Celková cena bez DPH (CZK)",$G$3,"Zkratka kalkulační položky",B734,"Výrobce / Dodavatel",C734),"")</f>
        <v/>
      </c>
    </row>
    <row r="735" spans="1:5" x14ac:dyDescent="0.35">
      <c r="A735" s="902" t="str">
        <f t="shared" si="12"/>
        <v/>
      </c>
      <c r="B735" s="903" t="str">
        <f>IF(Tabulka4[[#This Row],[Typ úlohy]]="Součet",G735,IF(Tabulka4[[#This Row],[Typ úlohy]]="Účet",B734,""))</f>
        <v/>
      </c>
      <c r="C735" s="903" t="str">
        <f>IF(Tabulka4[[#This Row],[Typ úlohy]]="Účet",H735,"")</f>
        <v/>
      </c>
      <c r="D735" s="903" t="str">
        <f>IF(Tabulka4[[#This Row],[Typ úlohy]]="Účet",GETPIVOTDATA("Součet z Celková hmotnost položek [kg]",$G$2,"Zkratka kalkulační položky",B735,"Výrobce / Dodavatel",C735),"")</f>
        <v/>
      </c>
      <c r="E735" s="904" t="str">
        <f>IF(Tabulka4[[#This Row],[Typ úlohy]]="Účet",GETPIVOTDATA("Součet z Celková cena bez DPH (CZK)",$G$3,"Zkratka kalkulační položky",B735,"Výrobce / Dodavatel",C735),"")</f>
        <v/>
      </c>
    </row>
    <row r="736" spans="1:5" x14ac:dyDescent="0.35">
      <c r="A736" s="902" t="str">
        <f t="shared" si="12"/>
        <v/>
      </c>
      <c r="B736" s="903" t="str">
        <f>IF(Tabulka4[[#This Row],[Typ úlohy]]="Součet",G736,IF(Tabulka4[[#This Row],[Typ úlohy]]="Účet",B735,""))</f>
        <v/>
      </c>
      <c r="C736" s="903" t="str">
        <f>IF(Tabulka4[[#This Row],[Typ úlohy]]="Účet",H736,"")</f>
        <v/>
      </c>
      <c r="D736" s="903" t="str">
        <f>IF(Tabulka4[[#This Row],[Typ úlohy]]="Účet",GETPIVOTDATA("Součet z Celková hmotnost položek [kg]",$G$2,"Zkratka kalkulační položky",B736,"Výrobce / Dodavatel",C736),"")</f>
        <v/>
      </c>
      <c r="E736" s="904" t="str">
        <f>IF(Tabulka4[[#This Row],[Typ úlohy]]="Účet",GETPIVOTDATA("Součet z Celková cena bez DPH (CZK)",$G$3,"Zkratka kalkulační položky",B736,"Výrobce / Dodavatel",C736),"")</f>
        <v/>
      </c>
    </row>
    <row r="737" spans="1:5" x14ac:dyDescent="0.35">
      <c r="A737" s="902" t="str">
        <f t="shared" si="12"/>
        <v/>
      </c>
      <c r="B737" s="903" t="str">
        <f>IF(Tabulka4[[#This Row],[Typ úlohy]]="Součet",G737,IF(Tabulka4[[#This Row],[Typ úlohy]]="Účet",B736,""))</f>
        <v/>
      </c>
      <c r="C737" s="903" t="str">
        <f>IF(Tabulka4[[#This Row],[Typ úlohy]]="Účet",H737,"")</f>
        <v/>
      </c>
      <c r="D737" s="903" t="str">
        <f>IF(Tabulka4[[#This Row],[Typ úlohy]]="Účet",GETPIVOTDATA("Součet z Celková hmotnost položek [kg]",$G$2,"Zkratka kalkulační položky",B737,"Výrobce / Dodavatel",C737),"")</f>
        <v/>
      </c>
      <c r="E737" s="904" t="str">
        <f>IF(Tabulka4[[#This Row],[Typ úlohy]]="Účet",GETPIVOTDATA("Součet z Celková cena bez DPH (CZK)",$G$3,"Zkratka kalkulační položky",B737,"Výrobce / Dodavatel",C737),"")</f>
        <v/>
      </c>
    </row>
    <row r="738" spans="1:5" x14ac:dyDescent="0.35">
      <c r="A738" s="902" t="str">
        <f t="shared" si="12"/>
        <v/>
      </c>
      <c r="B738" s="903" t="str">
        <f>IF(Tabulka4[[#This Row],[Typ úlohy]]="Součet",G738,IF(Tabulka4[[#This Row],[Typ úlohy]]="Účet",B737,""))</f>
        <v/>
      </c>
      <c r="C738" s="903" t="str">
        <f>IF(Tabulka4[[#This Row],[Typ úlohy]]="Účet",H738,"")</f>
        <v/>
      </c>
      <c r="D738" s="903" t="str">
        <f>IF(Tabulka4[[#This Row],[Typ úlohy]]="Účet",GETPIVOTDATA("Součet z Celková hmotnost položek [kg]",$G$2,"Zkratka kalkulační položky",B738,"Výrobce / Dodavatel",C738),"")</f>
        <v/>
      </c>
      <c r="E738" s="904" t="str">
        <f>IF(Tabulka4[[#This Row],[Typ úlohy]]="Účet",GETPIVOTDATA("Součet z Celková cena bez DPH (CZK)",$G$3,"Zkratka kalkulační položky",B738,"Výrobce / Dodavatel",C738),"")</f>
        <v/>
      </c>
    </row>
    <row r="739" spans="1:5" x14ac:dyDescent="0.35">
      <c r="A739" s="902" t="str">
        <f t="shared" si="12"/>
        <v/>
      </c>
      <c r="B739" s="903" t="str">
        <f>IF(Tabulka4[[#This Row],[Typ úlohy]]="Součet",G739,IF(Tabulka4[[#This Row],[Typ úlohy]]="Účet",B738,""))</f>
        <v/>
      </c>
      <c r="C739" s="903" t="str">
        <f>IF(Tabulka4[[#This Row],[Typ úlohy]]="Účet",H739,"")</f>
        <v/>
      </c>
      <c r="D739" s="903" t="str">
        <f>IF(Tabulka4[[#This Row],[Typ úlohy]]="Účet",GETPIVOTDATA("Součet z Celková hmotnost položek [kg]",$G$2,"Zkratka kalkulační položky",B739,"Výrobce / Dodavatel",C739),"")</f>
        <v/>
      </c>
      <c r="E739" s="904" t="str">
        <f>IF(Tabulka4[[#This Row],[Typ úlohy]]="Účet",GETPIVOTDATA("Součet z Celková cena bez DPH (CZK)",$G$3,"Zkratka kalkulační položky",B739,"Výrobce / Dodavatel",C739),"")</f>
        <v/>
      </c>
    </row>
    <row r="740" spans="1:5" x14ac:dyDescent="0.35">
      <c r="A740" s="902" t="str">
        <f t="shared" si="12"/>
        <v/>
      </c>
      <c r="B740" s="903" t="str">
        <f>IF(Tabulka4[[#This Row],[Typ úlohy]]="Součet",G740,IF(Tabulka4[[#This Row],[Typ úlohy]]="Účet",B739,""))</f>
        <v/>
      </c>
      <c r="C740" s="903" t="str">
        <f>IF(Tabulka4[[#This Row],[Typ úlohy]]="Účet",H740,"")</f>
        <v/>
      </c>
      <c r="D740" s="903" t="str">
        <f>IF(Tabulka4[[#This Row],[Typ úlohy]]="Účet",GETPIVOTDATA("Součet z Celková hmotnost položek [kg]",$G$2,"Zkratka kalkulační položky",B740,"Výrobce / Dodavatel",C740),"")</f>
        <v/>
      </c>
      <c r="E740" s="904" t="str">
        <f>IF(Tabulka4[[#This Row],[Typ úlohy]]="Účet",GETPIVOTDATA("Součet z Celková cena bez DPH (CZK)",$G$3,"Zkratka kalkulační položky",B740,"Výrobce / Dodavatel",C740),"")</f>
        <v/>
      </c>
    </row>
    <row r="741" spans="1:5" x14ac:dyDescent="0.35">
      <c r="A741" s="902" t="str">
        <f t="shared" si="12"/>
        <v/>
      </c>
      <c r="B741" s="903" t="str">
        <f>IF(Tabulka4[[#This Row],[Typ úlohy]]="Součet",G741,IF(Tabulka4[[#This Row],[Typ úlohy]]="Účet",B740,""))</f>
        <v/>
      </c>
      <c r="C741" s="903" t="str">
        <f>IF(Tabulka4[[#This Row],[Typ úlohy]]="Účet",H741,"")</f>
        <v/>
      </c>
      <c r="D741" s="903" t="str">
        <f>IF(Tabulka4[[#This Row],[Typ úlohy]]="Účet",GETPIVOTDATA("Součet z Celková hmotnost položek [kg]",$G$2,"Zkratka kalkulační položky",B741,"Výrobce / Dodavatel",C741),"")</f>
        <v/>
      </c>
      <c r="E741" s="904" t="str">
        <f>IF(Tabulka4[[#This Row],[Typ úlohy]]="Účet",GETPIVOTDATA("Součet z Celková cena bez DPH (CZK)",$G$3,"Zkratka kalkulační položky",B741,"Výrobce / Dodavatel",C741),"")</f>
        <v/>
      </c>
    </row>
    <row r="742" spans="1:5" x14ac:dyDescent="0.35">
      <c r="A742" s="902" t="str">
        <f t="shared" si="12"/>
        <v/>
      </c>
      <c r="B742" s="903" t="str">
        <f>IF(Tabulka4[[#This Row],[Typ úlohy]]="Součet",G742,IF(Tabulka4[[#This Row],[Typ úlohy]]="Účet",B741,""))</f>
        <v/>
      </c>
      <c r="C742" s="903" t="str">
        <f>IF(Tabulka4[[#This Row],[Typ úlohy]]="Účet",H742,"")</f>
        <v/>
      </c>
      <c r="D742" s="903" t="str">
        <f>IF(Tabulka4[[#This Row],[Typ úlohy]]="Účet",GETPIVOTDATA("Součet z Celková hmotnost položek [kg]",$G$2,"Zkratka kalkulační položky",B742,"Výrobce / Dodavatel",C742),"")</f>
        <v/>
      </c>
      <c r="E742" s="904" t="str">
        <f>IF(Tabulka4[[#This Row],[Typ úlohy]]="Účet",GETPIVOTDATA("Součet z Celková cena bez DPH (CZK)",$G$3,"Zkratka kalkulační položky",B742,"Výrobce / Dodavatel",C742),"")</f>
        <v/>
      </c>
    </row>
    <row r="743" spans="1:5" x14ac:dyDescent="0.35">
      <c r="A743" s="902" t="str">
        <f t="shared" si="12"/>
        <v/>
      </c>
      <c r="B743" s="903" t="str">
        <f>IF(Tabulka4[[#This Row],[Typ úlohy]]="Součet",G743,IF(Tabulka4[[#This Row],[Typ úlohy]]="Účet",B742,""))</f>
        <v/>
      </c>
      <c r="C743" s="903" t="str">
        <f>IF(Tabulka4[[#This Row],[Typ úlohy]]="Účet",H743,"")</f>
        <v/>
      </c>
      <c r="D743" s="903" t="str">
        <f>IF(Tabulka4[[#This Row],[Typ úlohy]]="Účet",GETPIVOTDATA("Součet z Celková hmotnost položek [kg]",$G$2,"Zkratka kalkulační položky",B743,"Výrobce / Dodavatel",C743),"")</f>
        <v/>
      </c>
      <c r="E743" s="904" t="str">
        <f>IF(Tabulka4[[#This Row],[Typ úlohy]]="Účet",GETPIVOTDATA("Součet z Celková cena bez DPH (CZK)",$G$3,"Zkratka kalkulační položky",B743,"Výrobce / Dodavatel",C743),"")</f>
        <v/>
      </c>
    </row>
    <row r="744" spans="1:5" x14ac:dyDescent="0.35">
      <c r="A744" s="902" t="str">
        <f t="shared" si="12"/>
        <v/>
      </c>
      <c r="B744" s="903" t="str">
        <f>IF(Tabulka4[[#This Row],[Typ úlohy]]="Součet",G744,IF(Tabulka4[[#This Row],[Typ úlohy]]="Účet",B743,""))</f>
        <v/>
      </c>
      <c r="C744" s="903" t="str">
        <f>IF(Tabulka4[[#This Row],[Typ úlohy]]="Účet",H744,"")</f>
        <v/>
      </c>
      <c r="D744" s="903" t="str">
        <f>IF(Tabulka4[[#This Row],[Typ úlohy]]="Účet",GETPIVOTDATA("Součet z Celková hmotnost položek [kg]",$G$2,"Zkratka kalkulační položky",B744,"Výrobce / Dodavatel",C744),"")</f>
        <v/>
      </c>
      <c r="E744" s="904" t="str">
        <f>IF(Tabulka4[[#This Row],[Typ úlohy]]="Účet",GETPIVOTDATA("Součet z Celková cena bez DPH (CZK)",$G$3,"Zkratka kalkulační položky",B744,"Výrobce / Dodavatel",C744),"")</f>
        <v/>
      </c>
    </row>
    <row r="745" spans="1:5" x14ac:dyDescent="0.35">
      <c r="A745" s="902" t="str">
        <f t="shared" si="12"/>
        <v/>
      </c>
      <c r="B745" s="903" t="str">
        <f>IF(Tabulka4[[#This Row],[Typ úlohy]]="Součet",G745,IF(Tabulka4[[#This Row],[Typ úlohy]]="Účet",B744,""))</f>
        <v/>
      </c>
      <c r="C745" s="903" t="str">
        <f>IF(Tabulka4[[#This Row],[Typ úlohy]]="Účet",H745,"")</f>
        <v/>
      </c>
      <c r="D745" s="903" t="str">
        <f>IF(Tabulka4[[#This Row],[Typ úlohy]]="Účet",GETPIVOTDATA("Součet z Celková hmotnost položek [kg]",$G$2,"Zkratka kalkulační položky",B745,"Výrobce / Dodavatel",C745),"")</f>
        <v/>
      </c>
      <c r="E745" s="904" t="str">
        <f>IF(Tabulka4[[#This Row],[Typ úlohy]]="Účet",GETPIVOTDATA("Součet z Celková cena bez DPH (CZK)",$G$3,"Zkratka kalkulační položky",B745,"Výrobce / Dodavatel",C745),"")</f>
        <v/>
      </c>
    </row>
    <row r="746" spans="1:5" x14ac:dyDescent="0.35">
      <c r="A746" s="902" t="str">
        <f t="shared" si="12"/>
        <v/>
      </c>
      <c r="B746" s="903" t="str">
        <f>IF(Tabulka4[[#This Row],[Typ úlohy]]="Součet",G746,IF(Tabulka4[[#This Row],[Typ úlohy]]="Účet",B745,""))</f>
        <v/>
      </c>
      <c r="C746" s="903" t="str">
        <f>IF(Tabulka4[[#This Row],[Typ úlohy]]="Účet",H746,"")</f>
        <v/>
      </c>
      <c r="D746" s="903" t="str">
        <f>IF(Tabulka4[[#This Row],[Typ úlohy]]="Účet",GETPIVOTDATA("Součet z Celková hmotnost položek [kg]",$G$2,"Zkratka kalkulační položky",B746,"Výrobce / Dodavatel",C746),"")</f>
        <v/>
      </c>
      <c r="E746" s="904" t="str">
        <f>IF(Tabulka4[[#This Row],[Typ úlohy]]="Účet",GETPIVOTDATA("Součet z Celková cena bez DPH (CZK)",$G$3,"Zkratka kalkulační položky",B746,"Výrobce / Dodavatel",C746),"")</f>
        <v/>
      </c>
    </row>
    <row r="747" spans="1:5" x14ac:dyDescent="0.35">
      <c r="A747" s="902" t="str">
        <f t="shared" si="12"/>
        <v/>
      </c>
      <c r="B747" s="903" t="str">
        <f>IF(Tabulka4[[#This Row],[Typ úlohy]]="Součet",G747,IF(Tabulka4[[#This Row],[Typ úlohy]]="Účet",B746,""))</f>
        <v/>
      </c>
      <c r="C747" s="903" t="str">
        <f>IF(Tabulka4[[#This Row],[Typ úlohy]]="Účet",H747,"")</f>
        <v/>
      </c>
      <c r="D747" s="903" t="str">
        <f>IF(Tabulka4[[#This Row],[Typ úlohy]]="Účet",GETPIVOTDATA("Součet z Celková hmotnost položek [kg]",$G$2,"Zkratka kalkulační položky",B747,"Výrobce / Dodavatel",C747),"")</f>
        <v/>
      </c>
      <c r="E747" s="904" t="str">
        <f>IF(Tabulka4[[#This Row],[Typ úlohy]]="Účet",GETPIVOTDATA("Součet z Celková cena bez DPH (CZK)",$G$3,"Zkratka kalkulační položky",B747,"Výrobce / Dodavatel",C747),"")</f>
        <v/>
      </c>
    </row>
    <row r="748" spans="1:5" x14ac:dyDescent="0.35">
      <c r="A748" s="902" t="str">
        <f t="shared" si="12"/>
        <v/>
      </c>
      <c r="B748" s="903" t="str">
        <f>IF(Tabulka4[[#This Row],[Typ úlohy]]="Součet",G748,IF(Tabulka4[[#This Row],[Typ úlohy]]="Účet",B747,""))</f>
        <v/>
      </c>
      <c r="C748" s="903" t="str">
        <f>IF(Tabulka4[[#This Row],[Typ úlohy]]="Účet",H748,"")</f>
        <v/>
      </c>
      <c r="D748" s="903" t="str">
        <f>IF(Tabulka4[[#This Row],[Typ úlohy]]="Účet",GETPIVOTDATA("Součet z Celková hmotnost položek [kg]",$G$2,"Zkratka kalkulační položky",B748,"Výrobce / Dodavatel",C748),"")</f>
        <v/>
      </c>
      <c r="E748" s="904" t="str">
        <f>IF(Tabulka4[[#This Row],[Typ úlohy]]="Účet",GETPIVOTDATA("Součet z Celková cena bez DPH (CZK)",$G$3,"Zkratka kalkulační položky",B748,"Výrobce / Dodavatel",C748),"")</f>
        <v/>
      </c>
    </row>
    <row r="749" spans="1:5" x14ac:dyDescent="0.35">
      <c r="A749" s="902" t="str">
        <f t="shared" si="12"/>
        <v/>
      </c>
      <c r="B749" s="903" t="str">
        <f>IF(Tabulka4[[#This Row],[Typ úlohy]]="Součet",G749,IF(Tabulka4[[#This Row],[Typ úlohy]]="Účet",B748,""))</f>
        <v/>
      </c>
      <c r="C749" s="903" t="str">
        <f>IF(Tabulka4[[#This Row],[Typ úlohy]]="Účet",H749,"")</f>
        <v/>
      </c>
      <c r="D749" s="903" t="str">
        <f>IF(Tabulka4[[#This Row],[Typ úlohy]]="Účet",GETPIVOTDATA("Součet z Celková hmotnost položek [kg]",$G$2,"Zkratka kalkulační položky",B749,"Výrobce / Dodavatel",C749),"")</f>
        <v/>
      </c>
      <c r="E749" s="904" t="str">
        <f>IF(Tabulka4[[#This Row],[Typ úlohy]]="Účet",GETPIVOTDATA("Součet z Celková cena bez DPH (CZK)",$G$3,"Zkratka kalkulační položky",B749,"Výrobce / Dodavatel",C749),"")</f>
        <v/>
      </c>
    </row>
    <row r="750" spans="1:5" x14ac:dyDescent="0.35">
      <c r="A750" s="902" t="str">
        <f t="shared" si="12"/>
        <v/>
      </c>
      <c r="B750" s="903" t="str">
        <f>IF(Tabulka4[[#This Row],[Typ úlohy]]="Součet",G750,IF(Tabulka4[[#This Row],[Typ úlohy]]="Účet",B749,""))</f>
        <v/>
      </c>
      <c r="C750" s="903" t="str">
        <f>IF(Tabulka4[[#This Row],[Typ úlohy]]="Účet",H750,"")</f>
        <v/>
      </c>
      <c r="D750" s="903" t="str">
        <f>IF(Tabulka4[[#This Row],[Typ úlohy]]="Účet",GETPIVOTDATA("Součet z Celková hmotnost položek [kg]",$G$2,"Zkratka kalkulační položky",B750,"Výrobce / Dodavatel",C750),"")</f>
        <v/>
      </c>
      <c r="E750" s="904" t="str">
        <f>IF(Tabulka4[[#This Row],[Typ úlohy]]="Účet",GETPIVOTDATA("Součet z Celková cena bez DPH (CZK)",$G$3,"Zkratka kalkulační položky",B750,"Výrobce / Dodavatel",C750),"")</f>
        <v/>
      </c>
    </row>
    <row r="751" spans="1:5" x14ac:dyDescent="0.35">
      <c r="A751" s="902" t="str">
        <f t="shared" si="12"/>
        <v/>
      </c>
      <c r="B751" s="903" t="str">
        <f>IF(Tabulka4[[#This Row],[Typ úlohy]]="Součet",G751,IF(Tabulka4[[#This Row],[Typ úlohy]]="Účet",B750,""))</f>
        <v/>
      </c>
      <c r="C751" s="903" t="str">
        <f>IF(Tabulka4[[#This Row],[Typ úlohy]]="Účet",H751,"")</f>
        <v/>
      </c>
      <c r="D751" s="903" t="str">
        <f>IF(Tabulka4[[#This Row],[Typ úlohy]]="Účet",GETPIVOTDATA("Součet z Celková hmotnost položek [kg]",$G$2,"Zkratka kalkulační položky",B751,"Výrobce / Dodavatel",C751),"")</f>
        <v/>
      </c>
      <c r="E751" s="904" t="str">
        <f>IF(Tabulka4[[#This Row],[Typ úlohy]]="Účet",GETPIVOTDATA("Součet z Celková cena bez DPH (CZK)",$G$3,"Zkratka kalkulační položky",B751,"Výrobce / Dodavatel",C751),"")</f>
        <v/>
      </c>
    </row>
    <row r="752" spans="1:5" x14ac:dyDescent="0.35">
      <c r="A752" s="902" t="str">
        <f t="shared" si="12"/>
        <v/>
      </c>
      <c r="B752" s="903" t="str">
        <f>IF(Tabulka4[[#This Row],[Typ úlohy]]="Součet",G752,IF(Tabulka4[[#This Row],[Typ úlohy]]="Účet",B751,""))</f>
        <v/>
      </c>
      <c r="C752" s="903" t="str">
        <f>IF(Tabulka4[[#This Row],[Typ úlohy]]="Účet",H752,"")</f>
        <v/>
      </c>
      <c r="D752" s="903" t="str">
        <f>IF(Tabulka4[[#This Row],[Typ úlohy]]="Účet",GETPIVOTDATA("Součet z Celková hmotnost položek [kg]",$G$2,"Zkratka kalkulační položky",B752,"Výrobce / Dodavatel",C752),"")</f>
        <v/>
      </c>
      <c r="E752" s="904" t="str">
        <f>IF(Tabulka4[[#This Row],[Typ úlohy]]="Účet",GETPIVOTDATA("Součet z Celková cena bez DPH (CZK)",$G$3,"Zkratka kalkulační položky",B752,"Výrobce / Dodavatel",C752),"")</f>
        <v/>
      </c>
    </row>
    <row r="753" spans="1:5" x14ac:dyDescent="0.35">
      <c r="A753" s="902" t="str">
        <f t="shared" si="12"/>
        <v/>
      </c>
      <c r="B753" s="903" t="str">
        <f>IF(Tabulka4[[#This Row],[Typ úlohy]]="Součet",G753,IF(Tabulka4[[#This Row],[Typ úlohy]]="Účet",B752,""))</f>
        <v/>
      </c>
      <c r="C753" s="903" t="str">
        <f>IF(Tabulka4[[#This Row],[Typ úlohy]]="Účet",H753,"")</f>
        <v/>
      </c>
      <c r="D753" s="903" t="str">
        <f>IF(Tabulka4[[#This Row],[Typ úlohy]]="Účet",GETPIVOTDATA("Součet z Celková hmotnost položek [kg]",$G$2,"Zkratka kalkulační položky",B753,"Výrobce / Dodavatel",C753),"")</f>
        <v/>
      </c>
      <c r="E753" s="904" t="str">
        <f>IF(Tabulka4[[#This Row],[Typ úlohy]]="Účet",GETPIVOTDATA("Součet z Celková cena bez DPH (CZK)",$G$3,"Zkratka kalkulační položky",B753,"Výrobce / Dodavatel",C753),"")</f>
        <v/>
      </c>
    </row>
    <row r="754" spans="1:5" x14ac:dyDescent="0.35">
      <c r="A754" s="902" t="str">
        <f t="shared" si="12"/>
        <v/>
      </c>
      <c r="B754" s="903" t="str">
        <f>IF(Tabulka4[[#This Row],[Typ úlohy]]="Součet",G754,IF(Tabulka4[[#This Row],[Typ úlohy]]="Účet",B753,""))</f>
        <v/>
      </c>
      <c r="C754" s="903" t="str">
        <f>IF(Tabulka4[[#This Row],[Typ úlohy]]="Účet",H754,"")</f>
        <v/>
      </c>
      <c r="D754" s="903" t="str">
        <f>IF(Tabulka4[[#This Row],[Typ úlohy]]="Účet",GETPIVOTDATA("Součet z Celková hmotnost položek [kg]",$G$2,"Zkratka kalkulační položky",B754,"Výrobce / Dodavatel",C754),"")</f>
        <v/>
      </c>
      <c r="E754" s="904" t="str">
        <f>IF(Tabulka4[[#This Row],[Typ úlohy]]="Účet",GETPIVOTDATA("Součet z Celková cena bez DPH (CZK)",$G$3,"Zkratka kalkulační položky",B754,"Výrobce / Dodavatel",C754),"")</f>
        <v/>
      </c>
    </row>
    <row r="755" spans="1:5" x14ac:dyDescent="0.35">
      <c r="A755" s="902" t="str">
        <f t="shared" si="12"/>
        <v/>
      </c>
      <c r="B755" s="903" t="str">
        <f>IF(Tabulka4[[#This Row],[Typ úlohy]]="Součet",G755,IF(Tabulka4[[#This Row],[Typ úlohy]]="Účet",B754,""))</f>
        <v/>
      </c>
      <c r="C755" s="903" t="str">
        <f>IF(Tabulka4[[#This Row],[Typ úlohy]]="Účet",H755,"")</f>
        <v/>
      </c>
      <c r="D755" s="903" t="str">
        <f>IF(Tabulka4[[#This Row],[Typ úlohy]]="Účet",GETPIVOTDATA("Součet z Celková hmotnost položek [kg]",$G$2,"Zkratka kalkulační položky",B755,"Výrobce / Dodavatel",C755),"")</f>
        <v/>
      </c>
      <c r="E755" s="904" t="str">
        <f>IF(Tabulka4[[#This Row],[Typ úlohy]]="Účet",GETPIVOTDATA("Součet z Celková cena bez DPH (CZK)",$G$3,"Zkratka kalkulační položky",B755,"Výrobce / Dodavatel",C755),"")</f>
        <v/>
      </c>
    </row>
    <row r="756" spans="1:5" x14ac:dyDescent="0.35">
      <c r="A756" s="902" t="str">
        <f t="shared" si="12"/>
        <v/>
      </c>
      <c r="B756" s="903" t="str">
        <f>IF(Tabulka4[[#This Row],[Typ úlohy]]="Součet",G756,IF(Tabulka4[[#This Row],[Typ úlohy]]="Účet",B755,""))</f>
        <v/>
      </c>
      <c r="C756" s="903" t="str">
        <f>IF(Tabulka4[[#This Row],[Typ úlohy]]="Účet",H756,"")</f>
        <v/>
      </c>
      <c r="D756" s="903" t="str">
        <f>IF(Tabulka4[[#This Row],[Typ úlohy]]="Účet",GETPIVOTDATA("Součet z Celková hmotnost položek [kg]",$G$2,"Zkratka kalkulační položky",B756,"Výrobce / Dodavatel",C756),"")</f>
        <v/>
      </c>
      <c r="E756" s="904" t="str">
        <f>IF(Tabulka4[[#This Row],[Typ úlohy]]="Účet",GETPIVOTDATA("Součet z Celková cena bez DPH (CZK)",$G$3,"Zkratka kalkulační položky",B756,"Výrobce / Dodavatel",C756),"")</f>
        <v/>
      </c>
    </row>
    <row r="757" spans="1:5" x14ac:dyDescent="0.35">
      <c r="A757" s="902" t="str">
        <f t="shared" si="12"/>
        <v/>
      </c>
      <c r="B757" s="903" t="str">
        <f>IF(Tabulka4[[#This Row],[Typ úlohy]]="Součet",G757,IF(Tabulka4[[#This Row],[Typ úlohy]]="Účet",B756,""))</f>
        <v/>
      </c>
      <c r="C757" s="903" t="str">
        <f>IF(Tabulka4[[#This Row],[Typ úlohy]]="Účet",H757,"")</f>
        <v/>
      </c>
      <c r="D757" s="903" t="str">
        <f>IF(Tabulka4[[#This Row],[Typ úlohy]]="Účet",GETPIVOTDATA("Součet z Celková hmotnost položek [kg]",$G$2,"Zkratka kalkulační položky",B757,"Výrobce / Dodavatel",C757),"")</f>
        <v/>
      </c>
      <c r="E757" s="904" t="str">
        <f>IF(Tabulka4[[#This Row],[Typ úlohy]]="Účet",GETPIVOTDATA("Součet z Celková cena bez DPH (CZK)",$G$3,"Zkratka kalkulační položky",B757,"Výrobce / Dodavatel",C757),"")</f>
        <v/>
      </c>
    </row>
    <row r="758" spans="1:5" x14ac:dyDescent="0.35">
      <c r="A758" s="902" t="str">
        <f t="shared" si="12"/>
        <v/>
      </c>
      <c r="B758" s="903" t="str">
        <f>IF(Tabulka4[[#This Row],[Typ úlohy]]="Součet",G758,IF(Tabulka4[[#This Row],[Typ úlohy]]="Účet",B757,""))</f>
        <v/>
      </c>
      <c r="C758" s="903" t="str">
        <f>IF(Tabulka4[[#This Row],[Typ úlohy]]="Účet",H758,"")</f>
        <v/>
      </c>
      <c r="D758" s="903" t="str">
        <f>IF(Tabulka4[[#This Row],[Typ úlohy]]="Účet",GETPIVOTDATA("Součet z Celková hmotnost položek [kg]",$G$2,"Zkratka kalkulační položky",B758,"Výrobce / Dodavatel",C758),"")</f>
        <v/>
      </c>
      <c r="E758" s="904" t="str">
        <f>IF(Tabulka4[[#This Row],[Typ úlohy]]="Účet",GETPIVOTDATA("Součet z Celková cena bez DPH (CZK)",$G$3,"Zkratka kalkulační položky",B758,"Výrobce / Dodavatel",C758),"")</f>
        <v/>
      </c>
    </row>
    <row r="759" spans="1:5" x14ac:dyDescent="0.35">
      <c r="A759" s="902" t="str">
        <f t="shared" si="12"/>
        <v/>
      </c>
      <c r="B759" s="903" t="str">
        <f>IF(Tabulka4[[#This Row],[Typ úlohy]]="Součet",G759,IF(Tabulka4[[#This Row],[Typ úlohy]]="Účet",B758,""))</f>
        <v/>
      </c>
      <c r="C759" s="903" t="str">
        <f>IF(Tabulka4[[#This Row],[Typ úlohy]]="Účet",H759,"")</f>
        <v/>
      </c>
      <c r="D759" s="903" t="str">
        <f>IF(Tabulka4[[#This Row],[Typ úlohy]]="Účet",GETPIVOTDATA("Součet z Celková hmotnost položek [kg]",$G$2,"Zkratka kalkulační položky",B759,"Výrobce / Dodavatel",C759),"")</f>
        <v/>
      </c>
      <c r="E759" s="904" t="str">
        <f>IF(Tabulka4[[#This Row],[Typ úlohy]]="Účet",GETPIVOTDATA("Součet z Celková cena bez DPH (CZK)",$G$3,"Zkratka kalkulační položky",B759,"Výrobce / Dodavatel",C759),"")</f>
        <v/>
      </c>
    </row>
    <row r="760" spans="1:5" x14ac:dyDescent="0.35">
      <c r="A760" s="902" t="str">
        <f t="shared" si="12"/>
        <v/>
      </c>
      <c r="B760" s="903" t="str">
        <f>IF(Tabulka4[[#This Row],[Typ úlohy]]="Součet",G760,IF(Tabulka4[[#This Row],[Typ úlohy]]="Účet",B759,""))</f>
        <v/>
      </c>
      <c r="C760" s="903" t="str">
        <f>IF(Tabulka4[[#This Row],[Typ úlohy]]="Účet",H760,"")</f>
        <v/>
      </c>
      <c r="D760" s="903" t="str">
        <f>IF(Tabulka4[[#This Row],[Typ úlohy]]="Účet",GETPIVOTDATA("Součet z Celková hmotnost položek [kg]",$G$2,"Zkratka kalkulační položky",B760,"Výrobce / Dodavatel",C760),"")</f>
        <v/>
      </c>
      <c r="E760" s="904" t="str">
        <f>IF(Tabulka4[[#This Row],[Typ úlohy]]="Účet",GETPIVOTDATA("Součet z Celková cena bez DPH (CZK)",$G$3,"Zkratka kalkulační položky",B760,"Výrobce / Dodavatel",C760),"")</f>
        <v/>
      </c>
    </row>
    <row r="761" spans="1:5" x14ac:dyDescent="0.35">
      <c r="A761" s="902" t="str">
        <f t="shared" si="12"/>
        <v/>
      </c>
      <c r="B761" s="903" t="str">
        <f>IF(Tabulka4[[#This Row],[Typ úlohy]]="Součet",G761,IF(Tabulka4[[#This Row],[Typ úlohy]]="Účet",B760,""))</f>
        <v/>
      </c>
      <c r="C761" s="903" t="str">
        <f>IF(Tabulka4[[#This Row],[Typ úlohy]]="Účet",H761,"")</f>
        <v/>
      </c>
      <c r="D761" s="903" t="str">
        <f>IF(Tabulka4[[#This Row],[Typ úlohy]]="Účet",GETPIVOTDATA("Součet z Celková hmotnost položek [kg]",$G$2,"Zkratka kalkulační položky",B761,"Výrobce / Dodavatel",C761),"")</f>
        <v/>
      </c>
      <c r="E761" s="904" t="str">
        <f>IF(Tabulka4[[#This Row],[Typ úlohy]]="Účet",GETPIVOTDATA("Součet z Celková cena bez DPH (CZK)",$G$3,"Zkratka kalkulační položky",B761,"Výrobce / Dodavatel",C761),"")</f>
        <v/>
      </c>
    </row>
    <row r="762" spans="1:5" x14ac:dyDescent="0.35">
      <c r="A762" s="902" t="str">
        <f t="shared" si="12"/>
        <v/>
      </c>
      <c r="B762" s="903" t="str">
        <f>IF(Tabulka4[[#This Row],[Typ úlohy]]="Součet",G762,IF(Tabulka4[[#This Row],[Typ úlohy]]="Účet",B761,""))</f>
        <v/>
      </c>
      <c r="C762" s="903" t="str">
        <f>IF(Tabulka4[[#This Row],[Typ úlohy]]="Účet",H762,"")</f>
        <v/>
      </c>
      <c r="D762" s="903" t="str">
        <f>IF(Tabulka4[[#This Row],[Typ úlohy]]="Účet",GETPIVOTDATA("Součet z Celková hmotnost položek [kg]",$G$2,"Zkratka kalkulační položky",B762,"Výrobce / Dodavatel",C762),"")</f>
        <v/>
      </c>
      <c r="E762" s="904" t="str">
        <f>IF(Tabulka4[[#This Row],[Typ úlohy]]="Účet",GETPIVOTDATA("Součet z Celková cena bez DPH (CZK)",$G$3,"Zkratka kalkulační položky",B762,"Výrobce / Dodavatel",C762),"")</f>
        <v/>
      </c>
    </row>
    <row r="763" spans="1:5" x14ac:dyDescent="0.35">
      <c r="A763" s="902" t="str">
        <f t="shared" si="12"/>
        <v/>
      </c>
      <c r="B763" s="903" t="str">
        <f>IF(Tabulka4[[#This Row],[Typ úlohy]]="Součet",G763,IF(Tabulka4[[#This Row],[Typ úlohy]]="Účet",B762,""))</f>
        <v/>
      </c>
      <c r="C763" s="903" t="str">
        <f>IF(Tabulka4[[#This Row],[Typ úlohy]]="Účet",H763,"")</f>
        <v/>
      </c>
      <c r="D763" s="903" t="str">
        <f>IF(Tabulka4[[#This Row],[Typ úlohy]]="Účet",GETPIVOTDATA("Součet z Celková hmotnost položek [kg]",$G$2,"Zkratka kalkulační položky",B763,"Výrobce / Dodavatel",C763),"")</f>
        <v/>
      </c>
      <c r="E763" s="904" t="str">
        <f>IF(Tabulka4[[#This Row],[Typ úlohy]]="Účet",GETPIVOTDATA("Součet z Celková cena bez DPH (CZK)",$G$3,"Zkratka kalkulační položky",B763,"Výrobce / Dodavatel",C763),"")</f>
        <v/>
      </c>
    </row>
    <row r="764" spans="1:5" x14ac:dyDescent="0.35">
      <c r="A764" s="902" t="str">
        <f t="shared" si="12"/>
        <v/>
      </c>
      <c r="B764" s="903" t="str">
        <f>IF(Tabulka4[[#This Row],[Typ úlohy]]="Součet",G764,IF(Tabulka4[[#This Row],[Typ úlohy]]="Účet",B763,""))</f>
        <v/>
      </c>
      <c r="C764" s="903" t="str">
        <f>IF(Tabulka4[[#This Row],[Typ úlohy]]="Účet",H764,"")</f>
        <v/>
      </c>
      <c r="D764" s="903" t="str">
        <f>IF(Tabulka4[[#This Row],[Typ úlohy]]="Účet",GETPIVOTDATA("Součet z Celková hmotnost položek [kg]",$G$2,"Zkratka kalkulační položky",B764,"Výrobce / Dodavatel",C764),"")</f>
        <v/>
      </c>
      <c r="E764" s="904" t="str">
        <f>IF(Tabulka4[[#This Row],[Typ úlohy]]="Účet",GETPIVOTDATA("Součet z Celková cena bez DPH (CZK)",$G$3,"Zkratka kalkulační položky",B764,"Výrobce / Dodavatel",C764),"")</f>
        <v/>
      </c>
    </row>
    <row r="765" spans="1:5" x14ac:dyDescent="0.35">
      <c r="A765" s="902" t="str">
        <f t="shared" si="12"/>
        <v/>
      </c>
      <c r="B765" s="903" t="str">
        <f>IF(Tabulka4[[#This Row],[Typ úlohy]]="Součet",G765,IF(Tabulka4[[#This Row],[Typ úlohy]]="Účet",B764,""))</f>
        <v/>
      </c>
      <c r="C765" s="903" t="str">
        <f>IF(Tabulka4[[#This Row],[Typ úlohy]]="Účet",H765,"")</f>
        <v/>
      </c>
      <c r="D765" s="903" t="str">
        <f>IF(Tabulka4[[#This Row],[Typ úlohy]]="Účet",GETPIVOTDATA("Součet z Celková hmotnost položek [kg]",$G$2,"Zkratka kalkulační položky",B765,"Výrobce / Dodavatel",C765),"")</f>
        <v/>
      </c>
      <c r="E765" s="904" t="str">
        <f>IF(Tabulka4[[#This Row],[Typ úlohy]]="Účet",GETPIVOTDATA("Součet z Celková cena bez DPH (CZK)",$G$3,"Zkratka kalkulační položky",B765,"Výrobce / Dodavatel",C765),"")</f>
        <v/>
      </c>
    </row>
    <row r="766" spans="1:5" x14ac:dyDescent="0.35">
      <c r="A766" s="902" t="str">
        <f t="shared" si="12"/>
        <v/>
      </c>
      <c r="B766" s="903" t="str">
        <f>IF(Tabulka4[[#This Row],[Typ úlohy]]="Součet",G766,IF(Tabulka4[[#This Row],[Typ úlohy]]="Účet",B765,""))</f>
        <v/>
      </c>
      <c r="C766" s="903" t="str">
        <f>IF(Tabulka4[[#This Row],[Typ úlohy]]="Účet",H766,"")</f>
        <v/>
      </c>
      <c r="D766" s="903" t="str">
        <f>IF(Tabulka4[[#This Row],[Typ úlohy]]="Účet",GETPIVOTDATA("Součet z Celková hmotnost položek [kg]",$G$2,"Zkratka kalkulační položky",B766,"Výrobce / Dodavatel",C766),"")</f>
        <v/>
      </c>
      <c r="E766" s="904" t="str">
        <f>IF(Tabulka4[[#This Row],[Typ úlohy]]="Účet",GETPIVOTDATA("Součet z Celková cena bez DPH (CZK)",$G$3,"Zkratka kalkulační položky",B766,"Výrobce / Dodavatel",C766),"")</f>
        <v/>
      </c>
    </row>
    <row r="767" spans="1:5" x14ac:dyDescent="0.35">
      <c r="A767" s="902" t="str">
        <f t="shared" si="12"/>
        <v/>
      </c>
      <c r="B767" s="903" t="str">
        <f>IF(Tabulka4[[#This Row],[Typ úlohy]]="Součet",G767,IF(Tabulka4[[#This Row],[Typ úlohy]]="Účet",B766,""))</f>
        <v/>
      </c>
      <c r="C767" s="903" t="str">
        <f>IF(Tabulka4[[#This Row],[Typ úlohy]]="Účet",H767,"")</f>
        <v/>
      </c>
      <c r="D767" s="903" t="str">
        <f>IF(Tabulka4[[#This Row],[Typ úlohy]]="Účet",GETPIVOTDATA("Součet z Celková hmotnost položek [kg]",$G$2,"Zkratka kalkulační položky",B767,"Výrobce / Dodavatel",C767),"")</f>
        <v/>
      </c>
      <c r="E767" s="904" t="str">
        <f>IF(Tabulka4[[#This Row],[Typ úlohy]]="Účet",GETPIVOTDATA("Součet z Celková cena bez DPH (CZK)",$G$3,"Zkratka kalkulační položky",B767,"Výrobce / Dodavatel",C767),"")</f>
        <v/>
      </c>
    </row>
    <row r="768" spans="1:5" x14ac:dyDescent="0.35">
      <c r="A768" s="902" t="str">
        <f t="shared" si="12"/>
        <v/>
      </c>
      <c r="B768" s="903" t="str">
        <f>IF(Tabulka4[[#This Row],[Typ úlohy]]="Součet",G768,IF(Tabulka4[[#This Row],[Typ úlohy]]="Účet",B767,""))</f>
        <v/>
      </c>
      <c r="C768" s="903" t="str">
        <f>IF(Tabulka4[[#This Row],[Typ úlohy]]="Účet",H768,"")</f>
        <v/>
      </c>
      <c r="D768" s="903" t="str">
        <f>IF(Tabulka4[[#This Row],[Typ úlohy]]="Účet",GETPIVOTDATA("Součet z Celková hmotnost položek [kg]",$G$2,"Zkratka kalkulační položky",B768,"Výrobce / Dodavatel",C768),"")</f>
        <v/>
      </c>
      <c r="E768" s="904" t="str">
        <f>IF(Tabulka4[[#This Row],[Typ úlohy]]="Účet",GETPIVOTDATA("Součet z Celková cena bez DPH (CZK)",$G$3,"Zkratka kalkulační položky",B768,"Výrobce / Dodavatel",C768),"")</f>
        <v/>
      </c>
    </row>
    <row r="769" spans="1:5" x14ac:dyDescent="0.35">
      <c r="A769" s="902" t="str">
        <f t="shared" si="12"/>
        <v/>
      </c>
      <c r="B769" s="903" t="str">
        <f>IF(Tabulka4[[#This Row],[Typ úlohy]]="Součet",G769,IF(Tabulka4[[#This Row],[Typ úlohy]]="Účet",B768,""))</f>
        <v/>
      </c>
      <c r="C769" s="903" t="str">
        <f>IF(Tabulka4[[#This Row],[Typ úlohy]]="Účet",H769,"")</f>
        <v/>
      </c>
      <c r="D769" s="903" t="str">
        <f>IF(Tabulka4[[#This Row],[Typ úlohy]]="Účet",GETPIVOTDATA("Součet z Celková hmotnost položek [kg]",$G$2,"Zkratka kalkulační položky",B769,"Výrobce / Dodavatel",C769),"")</f>
        <v/>
      </c>
      <c r="E769" s="904" t="str">
        <f>IF(Tabulka4[[#This Row],[Typ úlohy]]="Účet",GETPIVOTDATA("Součet z Celková cena bez DPH (CZK)",$G$3,"Zkratka kalkulační položky",B769,"Výrobce / Dodavatel",C769),"")</f>
        <v/>
      </c>
    </row>
    <row r="770" spans="1:5" x14ac:dyDescent="0.35">
      <c r="A770" s="902" t="str">
        <f t="shared" si="12"/>
        <v/>
      </c>
      <c r="B770" s="903" t="str">
        <f>IF(Tabulka4[[#This Row],[Typ úlohy]]="Součet",G770,IF(Tabulka4[[#This Row],[Typ úlohy]]="Účet",B769,""))</f>
        <v/>
      </c>
      <c r="C770" s="903" t="str">
        <f>IF(Tabulka4[[#This Row],[Typ úlohy]]="Účet",H770,"")</f>
        <v/>
      </c>
      <c r="D770" s="903" t="str">
        <f>IF(Tabulka4[[#This Row],[Typ úlohy]]="Účet",GETPIVOTDATA("Součet z Celková hmotnost položek [kg]",$G$2,"Zkratka kalkulační položky",B770,"Výrobce / Dodavatel",C770),"")</f>
        <v/>
      </c>
      <c r="E770" s="904" t="str">
        <f>IF(Tabulka4[[#This Row],[Typ úlohy]]="Účet",GETPIVOTDATA("Součet z Celková cena bez DPH (CZK)",$G$3,"Zkratka kalkulační položky",B770,"Výrobce / Dodavatel",C770),"")</f>
        <v/>
      </c>
    </row>
    <row r="771" spans="1:5" x14ac:dyDescent="0.35">
      <c r="A771" s="902" t="str">
        <f t="shared" si="12"/>
        <v/>
      </c>
      <c r="B771" s="903" t="str">
        <f>IF(Tabulka4[[#This Row],[Typ úlohy]]="Součet",G771,IF(Tabulka4[[#This Row],[Typ úlohy]]="Účet",B770,""))</f>
        <v/>
      </c>
      <c r="C771" s="903" t="str">
        <f>IF(Tabulka4[[#This Row],[Typ úlohy]]="Účet",H771,"")</f>
        <v/>
      </c>
      <c r="D771" s="903" t="str">
        <f>IF(Tabulka4[[#This Row],[Typ úlohy]]="Účet",GETPIVOTDATA("Součet z Celková hmotnost položek [kg]",$G$2,"Zkratka kalkulační položky",B771,"Výrobce / Dodavatel",C771),"")</f>
        <v/>
      </c>
      <c r="E771" s="904" t="str">
        <f>IF(Tabulka4[[#This Row],[Typ úlohy]]="Účet",GETPIVOTDATA("Součet z Celková cena bez DPH (CZK)",$G$3,"Zkratka kalkulační položky",B771,"Výrobce / Dodavatel",C771),"")</f>
        <v/>
      </c>
    </row>
    <row r="772" spans="1:5" x14ac:dyDescent="0.35">
      <c r="A772" s="902" t="str">
        <f t="shared" si="12"/>
        <v/>
      </c>
      <c r="B772" s="903" t="str">
        <f>IF(Tabulka4[[#This Row],[Typ úlohy]]="Součet",G772,IF(Tabulka4[[#This Row],[Typ úlohy]]="Účet",B771,""))</f>
        <v/>
      </c>
      <c r="C772" s="903" t="str">
        <f>IF(Tabulka4[[#This Row],[Typ úlohy]]="Účet",H772,"")</f>
        <v/>
      </c>
      <c r="D772" s="903" t="str">
        <f>IF(Tabulka4[[#This Row],[Typ úlohy]]="Účet",GETPIVOTDATA("Součet z Celková hmotnost položek [kg]",$G$2,"Zkratka kalkulační položky",B772,"Výrobce / Dodavatel",C772),"")</f>
        <v/>
      </c>
      <c r="E772" s="904" t="str">
        <f>IF(Tabulka4[[#This Row],[Typ úlohy]]="Účet",GETPIVOTDATA("Součet z Celková cena bez DPH (CZK)",$G$3,"Zkratka kalkulační položky",B772,"Výrobce / Dodavatel",C772),"")</f>
        <v/>
      </c>
    </row>
    <row r="773" spans="1:5" x14ac:dyDescent="0.35">
      <c r="A773" s="902" t="str">
        <f t="shared" ref="A773:A836" si="13">IF(H773="",IF(G773="","","Součet"),"Účet")</f>
        <v/>
      </c>
      <c r="B773" s="903" t="str">
        <f>IF(Tabulka4[[#This Row],[Typ úlohy]]="Součet",G773,IF(Tabulka4[[#This Row],[Typ úlohy]]="Účet",B772,""))</f>
        <v/>
      </c>
      <c r="C773" s="903" t="str">
        <f>IF(Tabulka4[[#This Row],[Typ úlohy]]="Účet",H773,"")</f>
        <v/>
      </c>
      <c r="D773" s="903" t="str">
        <f>IF(Tabulka4[[#This Row],[Typ úlohy]]="Účet",GETPIVOTDATA("Součet z Celková hmotnost položek [kg]",$G$2,"Zkratka kalkulační položky",B773,"Výrobce / Dodavatel",C773),"")</f>
        <v/>
      </c>
      <c r="E773" s="904" t="str">
        <f>IF(Tabulka4[[#This Row],[Typ úlohy]]="Účet",GETPIVOTDATA("Součet z Celková cena bez DPH (CZK)",$G$3,"Zkratka kalkulační položky",B773,"Výrobce / Dodavatel",C773),"")</f>
        <v/>
      </c>
    </row>
    <row r="774" spans="1:5" x14ac:dyDescent="0.35">
      <c r="A774" s="902" t="str">
        <f t="shared" si="13"/>
        <v/>
      </c>
      <c r="B774" s="903" t="str">
        <f>IF(Tabulka4[[#This Row],[Typ úlohy]]="Součet",G774,IF(Tabulka4[[#This Row],[Typ úlohy]]="Účet",B773,""))</f>
        <v/>
      </c>
      <c r="C774" s="903" t="str">
        <f>IF(Tabulka4[[#This Row],[Typ úlohy]]="Účet",H774,"")</f>
        <v/>
      </c>
      <c r="D774" s="903" t="str">
        <f>IF(Tabulka4[[#This Row],[Typ úlohy]]="Účet",GETPIVOTDATA("Součet z Celková hmotnost položek [kg]",$G$2,"Zkratka kalkulační položky",B774,"Výrobce / Dodavatel",C774),"")</f>
        <v/>
      </c>
      <c r="E774" s="904" t="str">
        <f>IF(Tabulka4[[#This Row],[Typ úlohy]]="Účet",GETPIVOTDATA("Součet z Celková cena bez DPH (CZK)",$G$3,"Zkratka kalkulační položky",B774,"Výrobce / Dodavatel",C774),"")</f>
        <v/>
      </c>
    </row>
    <row r="775" spans="1:5" x14ac:dyDescent="0.35">
      <c r="A775" s="902" t="str">
        <f t="shared" si="13"/>
        <v/>
      </c>
      <c r="B775" s="903" t="str">
        <f>IF(Tabulka4[[#This Row],[Typ úlohy]]="Součet",G775,IF(Tabulka4[[#This Row],[Typ úlohy]]="Účet",B774,""))</f>
        <v/>
      </c>
      <c r="C775" s="903" t="str">
        <f>IF(Tabulka4[[#This Row],[Typ úlohy]]="Účet",H775,"")</f>
        <v/>
      </c>
      <c r="D775" s="903" t="str">
        <f>IF(Tabulka4[[#This Row],[Typ úlohy]]="Účet",GETPIVOTDATA("Součet z Celková hmotnost položek [kg]",$G$2,"Zkratka kalkulační položky",B775,"Výrobce / Dodavatel",C775),"")</f>
        <v/>
      </c>
      <c r="E775" s="904" t="str">
        <f>IF(Tabulka4[[#This Row],[Typ úlohy]]="Účet",GETPIVOTDATA("Součet z Celková cena bez DPH (CZK)",$G$3,"Zkratka kalkulační položky",B775,"Výrobce / Dodavatel",C775),"")</f>
        <v/>
      </c>
    </row>
    <row r="776" spans="1:5" x14ac:dyDescent="0.35">
      <c r="A776" s="902" t="str">
        <f t="shared" si="13"/>
        <v/>
      </c>
      <c r="B776" s="903" t="str">
        <f>IF(Tabulka4[[#This Row],[Typ úlohy]]="Součet",G776,IF(Tabulka4[[#This Row],[Typ úlohy]]="Účet",B775,""))</f>
        <v/>
      </c>
      <c r="C776" s="903" t="str">
        <f>IF(Tabulka4[[#This Row],[Typ úlohy]]="Účet",H776,"")</f>
        <v/>
      </c>
      <c r="D776" s="903" t="str">
        <f>IF(Tabulka4[[#This Row],[Typ úlohy]]="Účet",GETPIVOTDATA("Součet z Celková hmotnost položek [kg]",$G$2,"Zkratka kalkulační položky",B776,"Výrobce / Dodavatel",C776),"")</f>
        <v/>
      </c>
      <c r="E776" s="904" t="str">
        <f>IF(Tabulka4[[#This Row],[Typ úlohy]]="Účet",GETPIVOTDATA("Součet z Celková cena bez DPH (CZK)",$G$3,"Zkratka kalkulační položky",B776,"Výrobce / Dodavatel",C776),"")</f>
        <v/>
      </c>
    </row>
    <row r="777" spans="1:5" x14ac:dyDescent="0.35">
      <c r="A777" s="902" t="str">
        <f t="shared" si="13"/>
        <v/>
      </c>
      <c r="B777" s="903" t="str">
        <f>IF(Tabulka4[[#This Row],[Typ úlohy]]="Součet",G777,IF(Tabulka4[[#This Row],[Typ úlohy]]="Účet",B776,""))</f>
        <v/>
      </c>
      <c r="C777" s="903" t="str">
        <f>IF(Tabulka4[[#This Row],[Typ úlohy]]="Účet",H777,"")</f>
        <v/>
      </c>
      <c r="D777" s="903" t="str">
        <f>IF(Tabulka4[[#This Row],[Typ úlohy]]="Účet",GETPIVOTDATA("Součet z Celková hmotnost položek [kg]",$G$2,"Zkratka kalkulační položky",B777,"Výrobce / Dodavatel",C777),"")</f>
        <v/>
      </c>
      <c r="E777" s="904" t="str">
        <f>IF(Tabulka4[[#This Row],[Typ úlohy]]="Účet",GETPIVOTDATA("Součet z Celková cena bez DPH (CZK)",$G$3,"Zkratka kalkulační položky",B777,"Výrobce / Dodavatel",C777),"")</f>
        <v/>
      </c>
    </row>
    <row r="778" spans="1:5" x14ac:dyDescent="0.35">
      <c r="A778" s="902" t="str">
        <f t="shared" si="13"/>
        <v/>
      </c>
      <c r="B778" s="903" t="str">
        <f>IF(Tabulka4[[#This Row],[Typ úlohy]]="Součet",G778,IF(Tabulka4[[#This Row],[Typ úlohy]]="Účet",B777,""))</f>
        <v/>
      </c>
      <c r="C778" s="903" t="str">
        <f>IF(Tabulka4[[#This Row],[Typ úlohy]]="Účet",H778,"")</f>
        <v/>
      </c>
      <c r="D778" s="903" t="str">
        <f>IF(Tabulka4[[#This Row],[Typ úlohy]]="Účet",GETPIVOTDATA("Součet z Celková hmotnost položek [kg]",$G$2,"Zkratka kalkulační položky",B778,"Výrobce / Dodavatel",C778),"")</f>
        <v/>
      </c>
      <c r="E778" s="904" t="str">
        <f>IF(Tabulka4[[#This Row],[Typ úlohy]]="Účet",GETPIVOTDATA("Součet z Celková cena bez DPH (CZK)",$G$3,"Zkratka kalkulační položky",B778,"Výrobce / Dodavatel",C778),"")</f>
        <v/>
      </c>
    </row>
    <row r="779" spans="1:5" x14ac:dyDescent="0.35">
      <c r="A779" s="902" t="str">
        <f t="shared" si="13"/>
        <v/>
      </c>
      <c r="B779" s="903" t="str">
        <f>IF(Tabulka4[[#This Row],[Typ úlohy]]="Součet",G779,IF(Tabulka4[[#This Row],[Typ úlohy]]="Účet",B778,""))</f>
        <v/>
      </c>
      <c r="C779" s="903" t="str">
        <f>IF(Tabulka4[[#This Row],[Typ úlohy]]="Účet",H779,"")</f>
        <v/>
      </c>
      <c r="D779" s="903" t="str">
        <f>IF(Tabulka4[[#This Row],[Typ úlohy]]="Účet",GETPIVOTDATA("Součet z Celková hmotnost položek [kg]",$G$2,"Zkratka kalkulační položky",B779,"Výrobce / Dodavatel",C779),"")</f>
        <v/>
      </c>
      <c r="E779" s="904" t="str">
        <f>IF(Tabulka4[[#This Row],[Typ úlohy]]="Účet",GETPIVOTDATA("Součet z Celková cena bez DPH (CZK)",$G$3,"Zkratka kalkulační položky",B779,"Výrobce / Dodavatel",C779),"")</f>
        <v/>
      </c>
    </row>
    <row r="780" spans="1:5" x14ac:dyDescent="0.35">
      <c r="A780" s="902" t="str">
        <f t="shared" si="13"/>
        <v/>
      </c>
      <c r="B780" s="903" t="str">
        <f>IF(Tabulka4[[#This Row],[Typ úlohy]]="Součet",G780,IF(Tabulka4[[#This Row],[Typ úlohy]]="Účet",B779,""))</f>
        <v/>
      </c>
      <c r="C780" s="903" t="str">
        <f>IF(Tabulka4[[#This Row],[Typ úlohy]]="Účet",H780,"")</f>
        <v/>
      </c>
      <c r="D780" s="903" t="str">
        <f>IF(Tabulka4[[#This Row],[Typ úlohy]]="Účet",GETPIVOTDATA("Součet z Celková hmotnost položek [kg]",$G$2,"Zkratka kalkulační položky",B780,"Výrobce / Dodavatel",C780),"")</f>
        <v/>
      </c>
      <c r="E780" s="904" t="str">
        <f>IF(Tabulka4[[#This Row],[Typ úlohy]]="Účet",GETPIVOTDATA("Součet z Celková cena bez DPH (CZK)",$G$3,"Zkratka kalkulační položky",B780,"Výrobce / Dodavatel",C780),"")</f>
        <v/>
      </c>
    </row>
    <row r="781" spans="1:5" x14ac:dyDescent="0.35">
      <c r="A781" s="902" t="str">
        <f t="shared" si="13"/>
        <v/>
      </c>
      <c r="B781" s="903" t="str">
        <f>IF(Tabulka4[[#This Row],[Typ úlohy]]="Součet",G781,IF(Tabulka4[[#This Row],[Typ úlohy]]="Účet",B780,""))</f>
        <v/>
      </c>
      <c r="C781" s="903" t="str">
        <f>IF(Tabulka4[[#This Row],[Typ úlohy]]="Účet",H781,"")</f>
        <v/>
      </c>
      <c r="D781" s="903" t="str">
        <f>IF(Tabulka4[[#This Row],[Typ úlohy]]="Účet",GETPIVOTDATA("Součet z Celková hmotnost položek [kg]",$G$2,"Zkratka kalkulační položky",B781,"Výrobce / Dodavatel",C781),"")</f>
        <v/>
      </c>
      <c r="E781" s="904" t="str">
        <f>IF(Tabulka4[[#This Row],[Typ úlohy]]="Účet",GETPIVOTDATA("Součet z Celková cena bez DPH (CZK)",$G$3,"Zkratka kalkulační položky",B781,"Výrobce / Dodavatel",C781),"")</f>
        <v/>
      </c>
    </row>
    <row r="782" spans="1:5" x14ac:dyDescent="0.35">
      <c r="A782" s="902" t="str">
        <f t="shared" si="13"/>
        <v/>
      </c>
      <c r="B782" s="903" t="str">
        <f>IF(Tabulka4[[#This Row],[Typ úlohy]]="Součet",G782,IF(Tabulka4[[#This Row],[Typ úlohy]]="Účet",B781,""))</f>
        <v/>
      </c>
      <c r="C782" s="903" t="str">
        <f>IF(Tabulka4[[#This Row],[Typ úlohy]]="Účet",H782,"")</f>
        <v/>
      </c>
      <c r="D782" s="903" t="str">
        <f>IF(Tabulka4[[#This Row],[Typ úlohy]]="Účet",GETPIVOTDATA("Součet z Celková hmotnost položek [kg]",$G$2,"Zkratka kalkulační položky",B782,"Výrobce / Dodavatel",C782),"")</f>
        <v/>
      </c>
      <c r="E782" s="904" t="str">
        <f>IF(Tabulka4[[#This Row],[Typ úlohy]]="Účet",GETPIVOTDATA("Součet z Celková cena bez DPH (CZK)",$G$3,"Zkratka kalkulační položky",B782,"Výrobce / Dodavatel",C782),"")</f>
        <v/>
      </c>
    </row>
    <row r="783" spans="1:5" x14ac:dyDescent="0.35">
      <c r="A783" s="902" t="str">
        <f t="shared" si="13"/>
        <v/>
      </c>
      <c r="B783" s="903" t="str">
        <f>IF(Tabulka4[[#This Row],[Typ úlohy]]="Součet",G783,IF(Tabulka4[[#This Row],[Typ úlohy]]="Účet",B782,""))</f>
        <v/>
      </c>
      <c r="C783" s="903" t="str">
        <f>IF(Tabulka4[[#This Row],[Typ úlohy]]="Účet",H783,"")</f>
        <v/>
      </c>
      <c r="D783" s="903" t="str">
        <f>IF(Tabulka4[[#This Row],[Typ úlohy]]="Účet",GETPIVOTDATA("Součet z Celková hmotnost položek [kg]",$G$2,"Zkratka kalkulační položky",B783,"Výrobce / Dodavatel",C783),"")</f>
        <v/>
      </c>
      <c r="E783" s="904" t="str">
        <f>IF(Tabulka4[[#This Row],[Typ úlohy]]="Účet",GETPIVOTDATA("Součet z Celková cena bez DPH (CZK)",$G$3,"Zkratka kalkulační položky",B783,"Výrobce / Dodavatel",C783),"")</f>
        <v/>
      </c>
    </row>
    <row r="784" spans="1:5" x14ac:dyDescent="0.35">
      <c r="A784" s="902" t="str">
        <f t="shared" si="13"/>
        <v/>
      </c>
      <c r="B784" s="903" t="str">
        <f>IF(Tabulka4[[#This Row],[Typ úlohy]]="Součet",G784,IF(Tabulka4[[#This Row],[Typ úlohy]]="Účet",B783,""))</f>
        <v/>
      </c>
      <c r="C784" s="903" t="str">
        <f>IF(Tabulka4[[#This Row],[Typ úlohy]]="Účet",H784,"")</f>
        <v/>
      </c>
      <c r="D784" s="903" t="str">
        <f>IF(Tabulka4[[#This Row],[Typ úlohy]]="Účet",GETPIVOTDATA("Součet z Celková hmotnost položek [kg]",$G$2,"Zkratka kalkulační položky",B784,"Výrobce / Dodavatel",C784),"")</f>
        <v/>
      </c>
      <c r="E784" s="904" t="str">
        <f>IF(Tabulka4[[#This Row],[Typ úlohy]]="Účet",GETPIVOTDATA("Součet z Celková cena bez DPH (CZK)",$G$3,"Zkratka kalkulační položky",B784,"Výrobce / Dodavatel",C784),"")</f>
        <v/>
      </c>
    </row>
    <row r="785" spans="1:5" x14ac:dyDescent="0.35">
      <c r="A785" s="902" t="str">
        <f t="shared" si="13"/>
        <v/>
      </c>
      <c r="B785" s="903" t="str">
        <f>IF(Tabulka4[[#This Row],[Typ úlohy]]="Součet",G785,IF(Tabulka4[[#This Row],[Typ úlohy]]="Účet",B784,""))</f>
        <v/>
      </c>
      <c r="C785" s="903" t="str">
        <f>IF(Tabulka4[[#This Row],[Typ úlohy]]="Účet",H785,"")</f>
        <v/>
      </c>
      <c r="D785" s="903" t="str">
        <f>IF(Tabulka4[[#This Row],[Typ úlohy]]="Účet",GETPIVOTDATA("Součet z Celková hmotnost položek [kg]",$G$2,"Zkratka kalkulační položky",B785,"Výrobce / Dodavatel",C785),"")</f>
        <v/>
      </c>
      <c r="E785" s="904" t="str">
        <f>IF(Tabulka4[[#This Row],[Typ úlohy]]="Účet",GETPIVOTDATA("Součet z Celková cena bez DPH (CZK)",$G$3,"Zkratka kalkulační položky",B785,"Výrobce / Dodavatel",C785),"")</f>
        <v/>
      </c>
    </row>
    <row r="786" spans="1:5" x14ac:dyDescent="0.35">
      <c r="A786" s="902" t="str">
        <f t="shared" si="13"/>
        <v/>
      </c>
      <c r="B786" s="903" t="str">
        <f>IF(Tabulka4[[#This Row],[Typ úlohy]]="Součet",G786,IF(Tabulka4[[#This Row],[Typ úlohy]]="Účet",B785,""))</f>
        <v/>
      </c>
      <c r="C786" s="903" t="str">
        <f>IF(Tabulka4[[#This Row],[Typ úlohy]]="Účet",H786,"")</f>
        <v/>
      </c>
      <c r="D786" s="903" t="str">
        <f>IF(Tabulka4[[#This Row],[Typ úlohy]]="Účet",GETPIVOTDATA("Součet z Celková hmotnost položek [kg]",$G$2,"Zkratka kalkulační položky",B786,"Výrobce / Dodavatel",C786),"")</f>
        <v/>
      </c>
      <c r="E786" s="904" t="str">
        <f>IF(Tabulka4[[#This Row],[Typ úlohy]]="Účet",GETPIVOTDATA("Součet z Celková cena bez DPH (CZK)",$G$3,"Zkratka kalkulační položky",B786,"Výrobce / Dodavatel",C786),"")</f>
        <v/>
      </c>
    </row>
    <row r="787" spans="1:5" x14ac:dyDescent="0.35">
      <c r="A787" s="902" t="str">
        <f t="shared" si="13"/>
        <v/>
      </c>
      <c r="B787" s="903" t="str">
        <f>IF(Tabulka4[[#This Row],[Typ úlohy]]="Součet",G787,IF(Tabulka4[[#This Row],[Typ úlohy]]="Účet",B786,""))</f>
        <v/>
      </c>
      <c r="C787" s="903" t="str">
        <f>IF(Tabulka4[[#This Row],[Typ úlohy]]="Účet",H787,"")</f>
        <v/>
      </c>
      <c r="D787" s="903" t="str">
        <f>IF(Tabulka4[[#This Row],[Typ úlohy]]="Účet",GETPIVOTDATA("Součet z Celková hmotnost položek [kg]",$G$2,"Zkratka kalkulační položky",B787,"Výrobce / Dodavatel",C787),"")</f>
        <v/>
      </c>
      <c r="E787" s="904" t="str">
        <f>IF(Tabulka4[[#This Row],[Typ úlohy]]="Účet",GETPIVOTDATA("Součet z Celková cena bez DPH (CZK)",$G$3,"Zkratka kalkulační položky",B787,"Výrobce / Dodavatel",C787),"")</f>
        <v/>
      </c>
    </row>
    <row r="788" spans="1:5" x14ac:dyDescent="0.35">
      <c r="A788" s="902" t="str">
        <f t="shared" si="13"/>
        <v/>
      </c>
      <c r="B788" s="903" t="str">
        <f>IF(Tabulka4[[#This Row],[Typ úlohy]]="Součet",G788,IF(Tabulka4[[#This Row],[Typ úlohy]]="Účet",B787,""))</f>
        <v/>
      </c>
      <c r="C788" s="903" t="str">
        <f>IF(Tabulka4[[#This Row],[Typ úlohy]]="Účet",H788,"")</f>
        <v/>
      </c>
      <c r="D788" s="903" t="str">
        <f>IF(Tabulka4[[#This Row],[Typ úlohy]]="Účet",GETPIVOTDATA("Součet z Celková hmotnost položek [kg]",$G$2,"Zkratka kalkulační položky",B788,"Výrobce / Dodavatel",C788),"")</f>
        <v/>
      </c>
      <c r="E788" s="904" t="str">
        <f>IF(Tabulka4[[#This Row],[Typ úlohy]]="Účet",GETPIVOTDATA("Součet z Celková cena bez DPH (CZK)",$G$3,"Zkratka kalkulační položky",B788,"Výrobce / Dodavatel",C788),"")</f>
        <v/>
      </c>
    </row>
    <row r="789" spans="1:5" x14ac:dyDescent="0.35">
      <c r="A789" s="902" t="str">
        <f t="shared" si="13"/>
        <v/>
      </c>
      <c r="B789" s="903" t="str">
        <f>IF(Tabulka4[[#This Row],[Typ úlohy]]="Součet",G789,IF(Tabulka4[[#This Row],[Typ úlohy]]="Účet",B788,""))</f>
        <v/>
      </c>
      <c r="C789" s="903" t="str">
        <f>IF(Tabulka4[[#This Row],[Typ úlohy]]="Účet",H789,"")</f>
        <v/>
      </c>
      <c r="D789" s="903" t="str">
        <f>IF(Tabulka4[[#This Row],[Typ úlohy]]="Účet",GETPIVOTDATA("Součet z Celková hmotnost položek [kg]",$G$2,"Zkratka kalkulační položky",B789,"Výrobce / Dodavatel",C789),"")</f>
        <v/>
      </c>
      <c r="E789" s="904" t="str">
        <f>IF(Tabulka4[[#This Row],[Typ úlohy]]="Účet",GETPIVOTDATA("Součet z Celková cena bez DPH (CZK)",$G$3,"Zkratka kalkulační položky",B789,"Výrobce / Dodavatel",C789),"")</f>
        <v/>
      </c>
    </row>
    <row r="790" spans="1:5" x14ac:dyDescent="0.35">
      <c r="A790" s="902" t="str">
        <f t="shared" si="13"/>
        <v/>
      </c>
      <c r="B790" s="903" t="str">
        <f>IF(Tabulka4[[#This Row],[Typ úlohy]]="Součet",G790,IF(Tabulka4[[#This Row],[Typ úlohy]]="Účet",B789,""))</f>
        <v/>
      </c>
      <c r="C790" s="903" t="str">
        <f>IF(Tabulka4[[#This Row],[Typ úlohy]]="Účet",H790,"")</f>
        <v/>
      </c>
      <c r="D790" s="903" t="str">
        <f>IF(Tabulka4[[#This Row],[Typ úlohy]]="Účet",GETPIVOTDATA("Součet z Celková hmotnost položek [kg]",$G$2,"Zkratka kalkulační položky",B790,"Výrobce / Dodavatel",C790),"")</f>
        <v/>
      </c>
      <c r="E790" s="904" t="str">
        <f>IF(Tabulka4[[#This Row],[Typ úlohy]]="Účet",GETPIVOTDATA("Součet z Celková cena bez DPH (CZK)",$G$3,"Zkratka kalkulační položky",B790,"Výrobce / Dodavatel",C790),"")</f>
        <v/>
      </c>
    </row>
    <row r="791" spans="1:5" x14ac:dyDescent="0.35">
      <c r="A791" s="902" t="str">
        <f t="shared" si="13"/>
        <v/>
      </c>
      <c r="B791" s="903" t="str">
        <f>IF(Tabulka4[[#This Row],[Typ úlohy]]="Součet",G791,IF(Tabulka4[[#This Row],[Typ úlohy]]="Účet",B790,""))</f>
        <v/>
      </c>
      <c r="C791" s="903" t="str">
        <f>IF(Tabulka4[[#This Row],[Typ úlohy]]="Účet",H791,"")</f>
        <v/>
      </c>
      <c r="D791" s="903" t="str">
        <f>IF(Tabulka4[[#This Row],[Typ úlohy]]="Účet",GETPIVOTDATA("Součet z Celková hmotnost položek [kg]",$G$2,"Zkratka kalkulační položky",B791,"Výrobce / Dodavatel",C791),"")</f>
        <v/>
      </c>
      <c r="E791" s="904" t="str">
        <f>IF(Tabulka4[[#This Row],[Typ úlohy]]="Účet",GETPIVOTDATA("Součet z Celková cena bez DPH (CZK)",$G$3,"Zkratka kalkulační položky",B791,"Výrobce / Dodavatel",C791),"")</f>
        <v/>
      </c>
    </row>
    <row r="792" spans="1:5" x14ac:dyDescent="0.35">
      <c r="A792" s="902" t="str">
        <f t="shared" si="13"/>
        <v/>
      </c>
      <c r="B792" s="903" t="str">
        <f>IF(Tabulka4[[#This Row],[Typ úlohy]]="Součet",G792,IF(Tabulka4[[#This Row],[Typ úlohy]]="Účet",B791,""))</f>
        <v/>
      </c>
      <c r="C792" s="903" t="str">
        <f>IF(Tabulka4[[#This Row],[Typ úlohy]]="Účet",H792,"")</f>
        <v/>
      </c>
      <c r="D792" s="903" t="str">
        <f>IF(Tabulka4[[#This Row],[Typ úlohy]]="Účet",GETPIVOTDATA("Součet z Celková hmotnost položek [kg]",$G$2,"Zkratka kalkulační položky",B792,"Výrobce / Dodavatel",C792),"")</f>
        <v/>
      </c>
      <c r="E792" s="904" t="str">
        <f>IF(Tabulka4[[#This Row],[Typ úlohy]]="Účet",GETPIVOTDATA("Součet z Celková cena bez DPH (CZK)",$G$3,"Zkratka kalkulační položky",B792,"Výrobce / Dodavatel",C792),"")</f>
        <v/>
      </c>
    </row>
    <row r="793" spans="1:5" x14ac:dyDescent="0.35">
      <c r="A793" s="902" t="str">
        <f t="shared" si="13"/>
        <v/>
      </c>
      <c r="B793" s="903" t="str">
        <f>IF(Tabulka4[[#This Row],[Typ úlohy]]="Součet",G793,IF(Tabulka4[[#This Row],[Typ úlohy]]="Účet",B792,""))</f>
        <v/>
      </c>
      <c r="C793" s="903" t="str">
        <f>IF(Tabulka4[[#This Row],[Typ úlohy]]="Účet",H793,"")</f>
        <v/>
      </c>
      <c r="D793" s="903" t="str">
        <f>IF(Tabulka4[[#This Row],[Typ úlohy]]="Účet",GETPIVOTDATA("Součet z Celková hmotnost položek [kg]",$G$2,"Zkratka kalkulační položky",B793,"Výrobce / Dodavatel",C793),"")</f>
        <v/>
      </c>
      <c r="E793" s="904" t="str">
        <f>IF(Tabulka4[[#This Row],[Typ úlohy]]="Účet",GETPIVOTDATA("Součet z Celková cena bez DPH (CZK)",$G$3,"Zkratka kalkulační položky",B793,"Výrobce / Dodavatel",C793),"")</f>
        <v/>
      </c>
    </row>
    <row r="794" spans="1:5" x14ac:dyDescent="0.35">
      <c r="A794" s="902" t="str">
        <f t="shared" si="13"/>
        <v/>
      </c>
      <c r="B794" s="903" t="str">
        <f>IF(Tabulka4[[#This Row],[Typ úlohy]]="Součet",G794,IF(Tabulka4[[#This Row],[Typ úlohy]]="Účet",B793,""))</f>
        <v/>
      </c>
      <c r="C794" s="903" t="str">
        <f>IF(Tabulka4[[#This Row],[Typ úlohy]]="Účet",H794,"")</f>
        <v/>
      </c>
      <c r="D794" s="903" t="str">
        <f>IF(Tabulka4[[#This Row],[Typ úlohy]]="Účet",GETPIVOTDATA("Součet z Celková hmotnost položek [kg]",$G$2,"Zkratka kalkulační položky",B794,"Výrobce / Dodavatel",C794),"")</f>
        <v/>
      </c>
      <c r="E794" s="904" t="str">
        <f>IF(Tabulka4[[#This Row],[Typ úlohy]]="Účet",GETPIVOTDATA("Součet z Celková cena bez DPH (CZK)",$G$3,"Zkratka kalkulační položky",B794,"Výrobce / Dodavatel",C794),"")</f>
        <v/>
      </c>
    </row>
    <row r="795" spans="1:5" x14ac:dyDescent="0.35">
      <c r="A795" s="902" t="str">
        <f t="shared" si="13"/>
        <v/>
      </c>
      <c r="B795" s="903" t="str">
        <f>IF(Tabulka4[[#This Row],[Typ úlohy]]="Součet",G795,IF(Tabulka4[[#This Row],[Typ úlohy]]="Účet",B794,""))</f>
        <v/>
      </c>
      <c r="C795" s="903" t="str">
        <f>IF(Tabulka4[[#This Row],[Typ úlohy]]="Účet",H795,"")</f>
        <v/>
      </c>
      <c r="D795" s="903" t="str">
        <f>IF(Tabulka4[[#This Row],[Typ úlohy]]="Účet",GETPIVOTDATA("Součet z Celková hmotnost položek [kg]",$G$2,"Zkratka kalkulační položky",B795,"Výrobce / Dodavatel",C795),"")</f>
        <v/>
      </c>
      <c r="E795" s="904" t="str">
        <f>IF(Tabulka4[[#This Row],[Typ úlohy]]="Účet",GETPIVOTDATA("Součet z Celková cena bez DPH (CZK)",$G$3,"Zkratka kalkulační položky",B795,"Výrobce / Dodavatel",C795),"")</f>
        <v/>
      </c>
    </row>
    <row r="796" spans="1:5" x14ac:dyDescent="0.35">
      <c r="A796" s="902" t="str">
        <f t="shared" si="13"/>
        <v/>
      </c>
      <c r="B796" s="903" t="str">
        <f>IF(Tabulka4[[#This Row],[Typ úlohy]]="Součet",G796,IF(Tabulka4[[#This Row],[Typ úlohy]]="Účet",B795,""))</f>
        <v/>
      </c>
      <c r="C796" s="903" t="str">
        <f>IF(Tabulka4[[#This Row],[Typ úlohy]]="Účet",H796,"")</f>
        <v/>
      </c>
      <c r="D796" s="903" t="str">
        <f>IF(Tabulka4[[#This Row],[Typ úlohy]]="Účet",GETPIVOTDATA("Součet z Celková hmotnost položek [kg]",$G$2,"Zkratka kalkulační položky",B796,"Výrobce / Dodavatel",C796),"")</f>
        <v/>
      </c>
      <c r="E796" s="904" t="str">
        <f>IF(Tabulka4[[#This Row],[Typ úlohy]]="Účet",GETPIVOTDATA("Součet z Celková cena bez DPH (CZK)",$G$3,"Zkratka kalkulační položky",B796,"Výrobce / Dodavatel",C796),"")</f>
        <v/>
      </c>
    </row>
    <row r="797" spans="1:5" x14ac:dyDescent="0.35">
      <c r="A797" s="902" t="str">
        <f t="shared" si="13"/>
        <v/>
      </c>
      <c r="B797" s="903" t="str">
        <f>IF(Tabulka4[[#This Row],[Typ úlohy]]="Součet",G797,IF(Tabulka4[[#This Row],[Typ úlohy]]="Účet",B796,""))</f>
        <v/>
      </c>
      <c r="C797" s="903" t="str">
        <f>IF(Tabulka4[[#This Row],[Typ úlohy]]="Účet",H797,"")</f>
        <v/>
      </c>
      <c r="D797" s="903" t="str">
        <f>IF(Tabulka4[[#This Row],[Typ úlohy]]="Účet",GETPIVOTDATA("Součet z Celková hmotnost položek [kg]",$G$2,"Zkratka kalkulační položky",B797,"Výrobce / Dodavatel",C797),"")</f>
        <v/>
      </c>
      <c r="E797" s="904" t="str">
        <f>IF(Tabulka4[[#This Row],[Typ úlohy]]="Účet",GETPIVOTDATA("Součet z Celková cena bez DPH (CZK)",$G$3,"Zkratka kalkulační položky",B797,"Výrobce / Dodavatel",C797),"")</f>
        <v/>
      </c>
    </row>
    <row r="798" spans="1:5" x14ac:dyDescent="0.35">
      <c r="A798" s="902" t="str">
        <f t="shared" si="13"/>
        <v/>
      </c>
      <c r="B798" s="903" t="str">
        <f>IF(Tabulka4[[#This Row],[Typ úlohy]]="Součet",G798,IF(Tabulka4[[#This Row],[Typ úlohy]]="Účet",B797,""))</f>
        <v/>
      </c>
      <c r="C798" s="903" t="str">
        <f>IF(Tabulka4[[#This Row],[Typ úlohy]]="Účet",H798,"")</f>
        <v/>
      </c>
      <c r="D798" s="903" t="str">
        <f>IF(Tabulka4[[#This Row],[Typ úlohy]]="Účet",GETPIVOTDATA("Součet z Celková hmotnost položek [kg]",$G$2,"Zkratka kalkulační položky",B798,"Výrobce / Dodavatel",C798),"")</f>
        <v/>
      </c>
      <c r="E798" s="904" t="str">
        <f>IF(Tabulka4[[#This Row],[Typ úlohy]]="Účet",GETPIVOTDATA("Součet z Celková cena bez DPH (CZK)",$G$3,"Zkratka kalkulační položky",B798,"Výrobce / Dodavatel",C798),"")</f>
        <v/>
      </c>
    </row>
    <row r="799" spans="1:5" x14ac:dyDescent="0.35">
      <c r="A799" s="902" t="str">
        <f t="shared" si="13"/>
        <v/>
      </c>
      <c r="B799" s="903" t="str">
        <f>IF(Tabulka4[[#This Row],[Typ úlohy]]="Součet",G799,IF(Tabulka4[[#This Row],[Typ úlohy]]="Účet",B798,""))</f>
        <v/>
      </c>
      <c r="C799" s="903" t="str">
        <f>IF(Tabulka4[[#This Row],[Typ úlohy]]="Účet",H799,"")</f>
        <v/>
      </c>
      <c r="D799" s="903" t="str">
        <f>IF(Tabulka4[[#This Row],[Typ úlohy]]="Účet",GETPIVOTDATA("Součet z Celková hmotnost položek [kg]",$G$2,"Zkratka kalkulační položky",B799,"Výrobce / Dodavatel",C799),"")</f>
        <v/>
      </c>
      <c r="E799" s="904" t="str">
        <f>IF(Tabulka4[[#This Row],[Typ úlohy]]="Účet",GETPIVOTDATA("Součet z Celková cena bez DPH (CZK)",$G$3,"Zkratka kalkulační položky",B799,"Výrobce / Dodavatel",C799),"")</f>
        <v/>
      </c>
    </row>
    <row r="800" spans="1:5" x14ac:dyDescent="0.35">
      <c r="A800" s="902" t="str">
        <f t="shared" si="13"/>
        <v/>
      </c>
      <c r="B800" s="903" t="str">
        <f>IF(Tabulka4[[#This Row],[Typ úlohy]]="Součet",G800,IF(Tabulka4[[#This Row],[Typ úlohy]]="Účet",B799,""))</f>
        <v/>
      </c>
      <c r="C800" s="903" t="str">
        <f>IF(Tabulka4[[#This Row],[Typ úlohy]]="Účet",H800,"")</f>
        <v/>
      </c>
      <c r="D800" s="903" t="str">
        <f>IF(Tabulka4[[#This Row],[Typ úlohy]]="Účet",GETPIVOTDATA("Součet z Celková hmotnost položek [kg]",$G$2,"Zkratka kalkulační položky",B800,"Výrobce / Dodavatel",C800),"")</f>
        <v/>
      </c>
      <c r="E800" s="904" t="str">
        <f>IF(Tabulka4[[#This Row],[Typ úlohy]]="Účet",GETPIVOTDATA("Součet z Celková cena bez DPH (CZK)",$G$3,"Zkratka kalkulační položky",B800,"Výrobce / Dodavatel",C800),"")</f>
        <v/>
      </c>
    </row>
    <row r="801" spans="1:5" x14ac:dyDescent="0.35">
      <c r="A801" s="902" t="str">
        <f t="shared" si="13"/>
        <v/>
      </c>
      <c r="B801" s="903" t="str">
        <f>IF(Tabulka4[[#This Row],[Typ úlohy]]="Součet",G801,IF(Tabulka4[[#This Row],[Typ úlohy]]="Účet",B800,""))</f>
        <v/>
      </c>
      <c r="C801" s="903" t="str">
        <f>IF(Tabulka4[[#This Row],[Typ úlohy]]="Účet",H801,"")</f>
        <v/>
      </c>
      <c r="D801" s="903" t="str">
        <f>IF(Tabulka4[[#This Row],[Typ úlohy]]="Účet",GETPIVOTDATA("Součet z Celková hmotnost položek [kg]",$G$2,"Zkratka kalkulační položky",B801,"Výrobce / Dodavatel",C801),"")</f>
        <v/>
      </c>
      <c r="E801" s="904" t="str">
        <f>IF(Tabulka4[[#This Row],[Typ úlohy]]="Účet",GETPIVOTDATA("Součet z Celková cena bez DPH (CZK)",$G$3,"Zkratka kalkulační položky",B801,"Výrobce / Dodavatel",C801),"")</f>
        <v/>
      </c>
    </row>
    <row r="802" spans="1:5" x14ac:dyDescent="0.35">
      <c r="A802" s="902" t="str">
        <f t="shared" si="13"/>
        <v/>
      </c>
      <c r="B802" s="903" t="str">
        <f>IF(Tabulka4[[#This Row],[Typ úlohy]]="Součet",G802,IF(Tabulka4[[#This Row],[Typ úlohy]]="Účet",B801,""))</f>
        <v/>
      </c>
      <c r="C802" s="903" t="str">
        <f>IF(Tabulka4[[#This Row],[Typ úlohy]]="Účet",H802,"")</f>
        <v/>
      </c>
      <c r="D802" s="903" t="str">
        <f>IF(Tabulka4[[#This Row],[Typ úlohy]]="Účet",GETPIVOTDATA("Součet z Celková hmotnost položek [kg]",$G$2,"Zkratka kalkulační položky",B802,"Výrobce / Dodavatel",C802),"")</f>
        <v/>
      </c>
      <c r="E802" s="904" t="str">
        <f>IF(Tabulka4[[#This Row],[Typ úlohy]]="Účet",GETPIVOTDATA("Součet z Celková cena bez DPH (CZK)",$G$3,"Zkratka kalkulační položky",B802,"Výrobce / Dodavatel",C802),"")</f>
        <v/>
      </c>
    </row>
    <row r="803" spans="1:5" x14ac:dyDescent="0.35">
      <c r="A803" s="902" t="str">
        <f t="shared" si="13"/>
        <v/>
      </c>
      <c r="B803" s="903" t="str">
        <f>IF(Tabulka4[[#This Row],[Typ úlohy]]="Součet",G803,IF(Tabulka4[[#This Row],[Typ úlohy]]="Účet",B802,""))</f>
        <v/>
      </c>
      <c r="C803" s="903" t="str">
        <f>IF(Tabulka4[[#This Row],[Typ úlohy]]="Účet",H803,"")</f>
        <v/>
      </c>
      <c r="D803" s="903" t="str">
        <f>IF(Tabulka4[[#This Row],[Typ úlohy]]="Účet",GETPIVOTDATA("Součet z Celková hmotnost položek [kg]",$G$2,"Zkratka kalkulační položky",B803,"Výrobce / Dodavatel",C803),"")</f>
        <v/>
      </c>
      <c r="E803" s="904" t="str">
        <f>IF(Tabulka4[[#This Row],[Typ úlohy]]="Účet",GETPIVOTDATA("Součet z Celková cena bez DPH (CZK)",$G$3,"Zkratka kalkulační položky",B803,"Výrobce / Dodavatel",C803),"")</f>
        <v/>
      </c>
    </row>
    <row r="804" spans="1:5" x14ac:dyDescent="0.35">
      <c r="A804" s="902" t="str">
        <f t="shared" si="13"/>
        <v/>
      </c>
      <c r="B804" s="903" t="str">
        <f>IF(Tabulka4[[#This Row],[Typ úlohy]]="Součet",G804,IF(Tabulka4[[#This Row],[Typ úlohy]]="Účet",B803,""))</f>
        <v/>
      </c>
      <c r="C804" s="903" t="str">
        <f>IF(Tabulka4[[#This Row],[Typ úlohy]]="Účet",H804,"")</f>
        <v/>
      </c>
      <c r="D804" s="903" t="str">
        <f>IF(Tabulka4[[#This Row],[Typ úlohy]]="Účet",GETPIVOTDATA("Součet z Celková hmotnost položek [kg]",$G$2,"Zkratka kalkulační položky",B804,"Výrobce / Dodavatel",C804),"")</f>
        <v/>
      </c>
      <c r="E804" s="904" t="str">
        <f>IF(Tabulka4[[#This Row],[Typ úlohy]]="Účet",GETPIVOTDATA("Součet z Celková cena bez DPH (CZK)",$G$3,"Zkratka kalkulační položky",B804,"Výrobce / Dodavatel",C804),"")</f>
        <v/>
      </c>
    </row>
    <row r="805" spans="1:5" x14ac:dyDescent="0.35">
      <c r="A805" s="902" t="str">
        <f t="shared" si="13"/>
        <v/>
      </c>
      <c r="B805" s="903" t="str">
        <f>IF(Tabulka4[[#This Row],[Typ úlohy]]="Součet",G805,IF(Tabulka4[[#This Row],[Typ úlohy]]="Účet",B804,""))</f>
        <v/>
      </c>
      <c r="C805" s="903" t="str">
        <f>IF(Tabulka4[[#This Row],[Typ úlohy]]="Účet",H805,"")</f>
        <v/>
      </c>
      <c r="D805" s="903" t="str">
        <f>IF(Tabulka4[[#This Row],[Typ úlohy]]="Účet",GETPIVOTDATA("Součet z Celková hmotnost položek [kg]",$G$2,"Zkratka kalkulační položky",B805,"Výrobce / Dodavatel",C805),"")</f>
        <v/>
      </c>
      <c r="E805" s="904" t="str">
        <f>IF(Tabulka4[[#This Row],[Typ úlohy]]="Účet",GETPIVOTDATA("Součet z Celková cena bez DPH (CZK)",$G$3,"Zkratka kalkulační položky",B805,"Výrobce / Dodavatel",C805),"")</f>
        <v/>
      </c>
    </row>
    <row r="806" spans="1:5" x14ac:dyDescent="0.35">
      <c r="A806" s="902" t="str">
        <f t="shared" si="13"/>
        <v/>
      </c>
      <c r="B806" s="903" t="str">
        <f>IF(Tabulka4[[#This Row],[Typ úlohy]]="Součet",G806,IF(Tabulka4[[#This Row],[Typ úlohy]]="Účet",B805,""))</f>
        <v/>
      </c>
      <c r="C806" s="903" t="str">
        <f>IF(Tabulka4[[#This Row],[Typ úlohy]]="Účet",H806,"")</f>
        <v/>
      </c>
      <c r="D806" s="903" t="str">
        <f>IF(Tabulka4[[#This Row],[Typ úlohy]]="Účet",GETPIVOTDATA("Součet z Celková hmotnost položek [kg]",$G$2,"Zkratka kalkulační položky",B806,"Výrobce / Dodavatel",C806),"")</f>
        <v/>
      </c>
      <c r="E806" s="904" t="str">
        <f>IF(Tabulka4[[#This Row],[Typ úlohy]]="Účet",GETPIVOTDATA("Součet z Celková cena bez DPH (CZK)",$G$3,"Zkratka kalkulační položky",B806,"Výrobce / Dodavatel",C806),"")</f>
        <v/>
      </c>
    </row>
    <row r="807" spans="1:5" x14ac:dyDescent="0.35">
      <c r="A807" s="902" t="str">
        <f t="shared" si="13"/>
        <v/>
      </c>
      <c r="B807" s="903" t="str">
        <f>IF(Tabulka4[[#This Row],[Typ úlohy]]="Součet",G807,IF(Tabulka4[[#This Row],[Typ úlohy]]="Účet",B806,""))</f>
        <v/>
      </c>
      <c r="C807" s="903" t="str">
        <f>IF(Tabulka4[[#This Row],[Typ úlohy]]="Účet",H807,"")</f>
        <v/>
      </c>
      <c r="D807" s="903" t="str">
        <f>IF(Tabulka4[[#This Row],[Typ úlohy]]="Účet",GETPIVOTDATA("Součet z Celková hmotnost položek [kg]",$G$2,"Zkratka kalkulační položky",B807,"Výrobce / Dodavatel",C807),"")</f>
        <v/>
      </c>
      <c r="E807" s="904" t="str">
        <f>IF(Tabulka4[[#This Row],[Typ úlohy]]="Účet",GETPIVOTDATA("Součet z Celková cena bez DPH (CZK)",$G$3,"Zkratka kalkulační položky",B807,"Výrobce / Dodavatel",C807),"")</f>
        <v/>
      </c>
    </row>
    <row r="808" spans="1:5" x14ac:dyDescent="0.35">
      <c r="A808" s="902" t="str">
        <f t="shared" si="13"/>
        <v/>
      </c>
      <c r="B808" s="903" t="str">
        <f>IF(Tabulka4[[#This Row],[Typ úlohy]]="Součet",G808,IF(Tabulka4[[#This Row],[Typ úlohy]]="Účet",B807,""))</f>
        <v/>
      </c>
      <c r="C808" s="903" t="str">
        <f>IF(Tabulka4[[#This Row],[Typ úlohy]]="Účet",H808,"")</f>
        <v/>
      </c>
      <c r="D808" s="903" t="str">
        <f>IF(Tabulka4[[#This Row],[Typ úlohy]]="Účet",GETPIVOTDATA("Součet z Celková hmotnost položek [kg]",$G$2,"Zkratka kalkulační položky",B808,"Výrobce / Dodavatel",C808),"")</f>
        <v/>
      </c>
      <c r="E808" s="904" t="str">
        <f>IF(Tabulka4[[#This Row],[Typ úlohy]]="Účet",GETPIVOTDATA("Součet z Celková cena bez DPH (CZK)",$G$3,"Zkratka kalkulační položky",B808,"Výrobce / Dodavatel",C808),"")</f>
        <v/>
      </c>
    </row>
    <row r="809" spans="1:5" x14ac:dyDescent="0.35">
      <c r="A809" s="902" t="str">
        <f t="shared" si="13"/>
        <v/>
      </c>
      <c r="B809" s="903" t="str">
        <f>IF(Tabulka4[[#This Row],[Typ úlohy]]="Součet",G809,IF(Tabulka4[[#This Row],[Typ úlohy]]="Účet",B808,""))</f>
        <v/>
      </c>
      <c r="C809" s="903" t="str">
        <f>IF(Tabulka4[[#This Row],[Typ úlohy]]="Účet",H809,"")</f>
        <v/>
      </c>
      <c r="D809" s="903" t="str">
        <f>IF(Tabulka4[[#This Row],[Typ úlohy]]="Účet",GETPIVOTDATA("Součet z Celková hmotnost položek [kg]",$G$2,"Zkratka kalkulační položky",B809,"Výrobce / Dodavatel",C809),"")</f>
        <v/>
      </c>
      <c r="E809" s="904" t="str">
        <f>IF(Tabulka4[[#This Row],[Typ úlohy]]="Účet",GETPIVOTDATA("Součet z Celková cena bez DPH (CZK)",$G$3,"Zkratka kalkulační položky",B809,"Výrobce / Dodavatel",C809),"")</f>
        <v/>
      </c>
    </row>
    <row r="810" spans="1:5" x14ac:dyDescent="0.35">
      <c r="A810" s="902" t="str">
        <f t="shared" si="13"/>
        <v/>
      </c>
      <c r="B810" s="903" t="str">
        <f>IF(Tabulka4[[#This Row],[Typ úlohy]]="Součet",G810,IF(Tabulka4[[#This Row],[Typ úlohy]]="Účet",B809,""))</f>
        <v/>
      </c>
      <c r="C810" s="903" t="str">
        <f>IF(Tabulka4[[#This Row],[Typ úlohy]]="Účet",H810,"")</f>
        <v/>
      </c>
      <c r="D810" s="903" t="str">
        <f>IF(Tabulka4[[#This Row],[Typ úlohy]]="Účet",GETPIVOTDATA("Součet z Celková hmotnost položek [kg]",$G$2,"Zkratka kalkulační položky",B810,"Výrobce / Dodavatel",C810),"")</f>
        <v/>
      </c>
      <c r="E810" s="904" t="str">
        <f>IF(Tabulka4[[#This Row],[Typ úlohy]]="Účet",GETPIVOTDATA("Součet z Celková cena bez DPH (CZK)",$G$3,"Zkratka kalkulační položky",B810,"Výrobce / Dodavatel",C810),"")</f>
        <v/>
      </c>
    </row>
    <row r="811" spans="1:5" x14ac:dyDescent="0.35">
      <c r="A811" s="902" t="str">
        <f t="shared" si="13"/>
        <v/>
      </c>
      <c r="B811" s="903" t="str">
        <f>IF(Tabulka4[[#This Row],[Typ úlohy]]="Součet",G811,IF(Tabulka4[[#This Row],[Typ úlohy]]="Účet",B810,""))</f>
        <v/>
      </c>
      <c r="C811" s="903" t="str">
        <f>IF(Tabulka4[[#This Row],[Typ úlohy]]="Účet",H811,"")</f>
        <v/>
      </c>
      <c r="D811" s="903" t="str">
        <f>IF(Tabulka4[[#This Row],[Typ úlohy]]="Účet",GETPIVOTDATA("Součet z Celková hmotnost položek [kg]",$G$2,"Zkratka kalkulační položky",B811,"Výrobce / Dodavatel",C811),"")</f>
        <v/>
      </c>
      <c r="E811" s="904" t="str">
        <f>IF(Tabulka4[[#This Row],[Typ úlohy]]="Účet",GETPIVOTDATA("Součet z Celková cena bez DPH (CZK)",$G$3,"Zkratka kalkulační položky",B811,"Výrobce / Dodavatel",C811),"")</f>
        <v/>
      </c>
    </row>
    <row r="812" spans="1:5" x14ac:dyDescent="0.35">
      <c r="A812" s="902" t="str">
        <f t="shared" si="13"/>
        <v/>
      </c>
      <c r="B812" s="903" t="str">
        <f>IF(Tabulka4[[#This Row],[Typ úlohy]]="Součet",G812,IF(Tabulka4[[#This Row],[Typ úlohy]]="Účet",B811,""))</f>
        <v/>
      </c>
      <c r="C812" s="903" t="str">
        <f>IF(Tabulka4[[#This Row],[Typ úlohy]]="Účet",H812,"")</f>
        <v/>
      </c>
      <c r="D812" s="903" t="str">
        <f>IF(Tabulka4[[#This Row],[Typ úlohy]]="Účet",GETPIVOTDATA("Součet z Celková hmotnost položek [kg]",$G$2,"Zkratka kalkulační položky",B812,"Výrobce / Dodavatel",C812),"")</f>
        <v/>
      </c>
      <c r="E812" s="904" t="str">
        <f>IF(Tabulka4[[#This Row],[Typ úlohy]]="Účet",GETPIVOTDATA("Součet z Celková cena bez DPH (CZK)",$G$3,"Zkratka kalkulační položky",B812,"Výrobce / Dodavatel",C812),"")</f>
        <v/>
      </c>
    </row>
    <row r="813" spans="1:5" x14ac:dyDescent="0.35">
      <c r="A813" s="902" t="str">
        <f t="shared" si="13"/>
        <v/>
      </c>
      <c r="B813" s="903" t="str">
        <f>IF(Tabulka4[[#This Row],[Typ úlohy]]="Součet",G813,IF(Tabulka4[[#This Row],[Typ úlohy]]="Účet",B812,""))</f>
        <v/>
      </c>
      <c r="C813" s="903" t="str">
        <f>IF(Tabulka4[[#This Row],[Typ úlohy]]="Účet",H813,"")</f>
        <v/>
      </c>
      <c r="D813" s="903" t="str">
        <f>IF(Tabulka4[[#This Row],[Typ úlohy]]="Účet",GETPIVOTDATA("Součet z Celková hmotnost položek [kg]",$G$2,"Zkratka kalkulační položky",B813,"Výrobce / Dodavatel",C813),"")</f>
        <v/>
      </c>
      <c r="E813" s="904" t="str">
        <f>IF(Tabulka4[[#This Row],[Typ úlohy]]="Účet",GETPIVOTDATA("Součet z Celková cena bez DPH (CZK)",$G$3,"Zkratka kalkulační položky",B813,"Výrobce / Dodavatel",C813),"")</f>
        <v/>
      </c>
    </row>
    <row r="814" spans="1:5" x14ac:dyDescent="0.35">
      <c r="A814" s="902" t="str">
        <f t="shared" si="13"/>
        <v/>
      </c>
      <c r="B814" s="903" t="str">
        <f>IF(Tabulka4[[#This Row],[Typ úlohy]]="Součet",G814,IF(Tabulka4[[#This Row],[Typ úlohy]]="Účet",B813,""))</f>
        <v/>
      </c>
      <c r="C814" s="903" t="str">
        <f>IF(Tabulka4[[#This Row],[Typ úlohy]]="Účet",H814,"")</f>
        <v/>
      </c>
      <c r="D814" s="903" t="str">
        <f>IF(Tabulka4[[#This Row],[Typ úlohy]]="Účet",GETPIVOTDATA("Součet z Celková hmotnost položek [kg]",$G$2,"Zkratka kalkulační položky",B814,"Výrobce / Dodavatel",C814),"")</f>
        <v/>
      </c>
      <c r="E814" s="904" t="str">
        <f>IF(Tabulka4[[#This Row],[Typ úlohy]]="Účet",GETPIVOTDATA("Součet z Celková cena bez DPH (CZK)",$G$3,"Zkratka kalkulační položky",B814,"Výrobce / Dodavatel",C814),"")</f>
        <v/>
      </c>
    </row>
    <row r="815" spans="1:5" x14ac:dyDescent="0.35">
      <c r="A815" s="902" t="str">
        <f t="shared" si="13"/>
        <v/>
      </c>
      <c r="B815" s="903" t="str">
        <f>IF(Tabulka4[[#This Row],[Typ úlohy]]="Součet",G815,IF(Tabulka4[[#This Row],[Typ úlohy]]="Účet",B814,""))</f>
        <v/>
      </c>
      <c r="C815" s="903" t="str">
        <f>IF(Tabulka4[[#This Row],[Typ úlohy]]="Účet",H815,"")</f>
        <v/>
      </c>
      <c r="D815" s="903" t="str">
        <f>IF(Tabulka4[[#This Row],[Typ úlohy]]="Účet",GETPIVOTDATA("Součet z Celková hmotnost položek [kg]",$G$2,"Zkratka kalkulační položky",B815,"Výrobce / Dodavatel",C815),"")</f>
        <v/>
      </c>
      <c r="E815" s="904" t="str">
        <f>IF(Tabulka4[[#This Row],[Typ úlohy]]="Účet",GETPIVOTDATA("Součet z Celková cena bez DPH (CZK)",$G$3,"Zkratka kalkulační položky",B815,"Výrobce / Dodavatel",C815),"")</f>
        <v/>
      </c>
    </row>
    <row r="816" spans="1:5" x14ac:dyDescent="0.35">
      <c r="A816" s="902" t="str">
        <f t="shared" si="13"/>
        <v/>
      </c>
      <c r="B816" s="903" t="str">
        <f>IF(Tabulka4[[#This Row],[Typ úlohy]]="Součet",G816,IF(Tabulka4[[#This Row],[Typ úlohy]]="Účet",B815,""))</f>
        <v/>
      </c>
      <c r="C816" s="903" t="str">
        <f>IF(Tabulka4[[#This Row],[Typ úlohy]]="Účet",H816,"")</f>
        <v/>
      </c>
      <c r="D816" s="903" t="str">
        <f>IF(Tabulka4[[#This Row],[Typ úlohy]]="Účet",GETPIVOTDATA("Součet z Celková hmotnost položek [kg]",$G$2,"Zkratka kalkulační položky",B816,"Výrobce / Dodavatel",C816),"")</f>
        <v/>
      </c>
      <c r="E816" s="904" t="str">
        <f>IF(Tabulka4[[#This Row],[Typ úlohy]]="Účet",GETPIVOTDATA("Součet z Celková cena bez DPH (CZK)",$G$3,"Zkratka kalkulační položky",B816,"Výrobce / Dodavatel",C816),"")</f>
        <v/>
      </c>
    </row>
    <row r="817" spans="1:5" x14ac:dyDescent="0.35">
      <c r="A817" s="902" t="str">
        <f t="shared" si="13"/>
        <v/>
      </c>
      <c r="B817" s="903" t="str">
        <f>IF(Tabulka4[[#This Row],[Typ úlohy]]="Součet",G817,IF(Tabulka4[[#This Row],[Typ úlohy]]="Účet",B816,""))</f>
        <v/>
      </c>
      <c r="C817" s="903" t="str">
        <f>IF(Tabulka4[[#This Row],[Typ úlohy]]="Účet",H817,"")</f>
        <v/>
      </c>
      <c r="D817" s="903" t="str">
        <f>IF(Tabulka4[[#This Row],[Typ úlohy]]="Účet",GETPIVOTDATA("Součet z Celková hmotnost položek [kg]",$G$2,"Zkratka kalkulační položky",B817,"Výrobce / Dodavatel",C817),"")</f>
        <v/>
      </c>
      <c r="E817" s="904" t="str">
        <f>IF(Tabulka4[[#This Row],[Typ úlohy]]="Účet",GETPIVOTDATA("Součet z Celková cena bez DPH (CZK)",$G$3,"Zkratka kalkulační položky",B817,"Výrobce / Dodavatel",C817),"")</f>
        <v/>
      </c>
    </row>
    <row r="818" spans="1:5" x14ac:dyDescent="0.35">
      <c r="A818" s="902" t="str">
        <f t="shared" si="13"/>
        <v/>
      </c>
      <c r="B818" s="903" t="str">
        <f>IF(Tabulka4[[#This Row],[Typ úlohy]]="Součet",G818,IF(Tabulka4[[#This Row],[Typ úlohy]]="Účet",B817,""))</f>
        <v/>
      </c>
      <c r="C818" s="903" t="str">
        <f>IF(Tabulka4[[#This Row],[Typ úlohy]]="Účet",H818,"")</f>
        <v/>
      </c>
      <c r="D818" s="903" t="str">
        <f>IF(Tabulka4[[#This Row],[Typ úlohy]]="Účet",GETPIVOTDATA("Součet z Celková hmotnost položek [kg]",$G$2,"Zkratka kalkulační položky",B818,"Výrobce / Dodavatel",C818),"")</f>
        <v/>
      </c>
      <c r="E818" s="904" t="str">
        <f>IF(Tabulka4[[#This Row],[Typ úlohy]]="Účet",GETPIVOTDATA("Součet z Celková cena bez DPH (CZK)",$G$3,"Zkratka kalkulační položky",B818,"Výrobce / Dodavatel",C818),"")</f>
        <v/>
      </c>
    </row>
    <row r="819" spans="1:5" x14ac:dyDescent="0.35">
      <c r="A819" s="902" t="str">
        <f t="shared" si="13"/>
        <v/>
      </c>
      <c r="B819" s="903" t="str">
        <f>IF(Tabulka4[[#This Row],[Typ úlohy]]="Součet",G819,IF(Tabulka4[[#This Row],[Typ úlohy]]="Účet",B818,""))</f>
        <v/>
      </c>
      <c r="C819" s="903" t="str">
        <f>IF(Tabulka4[[#This Row],[Typ úlohy]]="Účet",H819,"")</f>
        <v/>
      </c>
      <c r="D819" s="903" t="str">
        <f>IF(Tabulka4[[#This Row],[Typ úlohy]]="Účet",GETPIVOTDATA("Součet z Celková hmotnost položek [kg]",$G$2,"Zkratka kalkulační položky",B819,"Výrobce / Dodavatel",C819),"")</f>
        <v/>
      </c>
      <c r="E819" s="904" t="str">
        <f>IF(Tabulka4[[#This Row],[Typ úlohy]]="Účet",GETPIVOTDATA("Součet z Celková cena bez DPH (CZK)",$G$3,"Zkratka kalkulační položky",B819,"Výrobce / Dodavatel",C819),"")</f>
        <v/>
      </c>
    </row>
    <row r="820" spans="1:5" x14ac:dyDescent="0.35">
      <c r="A820" s="902" t="str">
        <f t="shared" si="13"/>
        <v/>
      </c>
      <c r="B820" s="903" t="str">
        <f>IF(Tabulka4[[#This Row],[Typ úlohy]]="Součet",G820,IF(Tabulka4[[#This Row],[Typ úlohy]]="Účet",B819,""))</f>
        <v/>
      </c>
      <c r="C820" s="903" t="str">
        <f>IF(Tabulka4[[#This Row],[Typ úlohy]]="Účet",H820,"")</f>
        <v/>
      </c>
      <c r="D820" s="903" t="str">
        <f>IF(Tabulka4[[#This Row],[Typ úlohy]]="Účet",GETPIVOTDATA("Součet z Celková hmotnost položek [kg]",$G$2,"Zkratka kalkulační položky",B820,"Výrobce / Dodavatel",C820),"")</f>
        <v/>
      </c>
      <c r="E820" s="904" t="str">
        <f>IF(Tabulka4[[#This Row],[Typ úlohy]]="Účet",GETPIVOTDATA("Součet z Celková cena bez DPH (CZK)",$G$3,"Zkratka kalkulační položky",B820,"Výrobce / Dodavatel",C820),"")</f>
        <v/>
      </c>
    </row>
    <row r="821" spans="1:5" x14ac:dyDescent="0.35">
      <c r="A821" s="902" t="str">
        <f t="shared" si="13"/>
        <v/>
      </c>
      <c r="B821" s="903" t="str">
        <f>IF(Tabulka4[[#This Row],[Typ úlohy]]="Součet",G821,IF(Tabulka4[[#This Row],[Typ úlohy]]="Účet",B820,""))</f>
        <v/>
      </c>
      <c r="C821" s="903" t="str">
        <f>IF(Tabulka4[[#This Row],[Typ úlohy]]="Účet",H821,"")</f>
        <v/>
      </c>
      <c r="D821" s="903" t="str">
        <f>IF(Tabulka4[[#This Row],[Typ úlohy]]="Účet",GETPIVOTDATA("Součet z Celková hmotnost položek [kg]",$G$2,"Zkratka kalkulační položky",B821,"Výrobce / Dodavatel",C821),"")</f>
        <v/>
      </c>
      <c r="E821" s="904" t="str">
        <f>IF(Tabulka4[[#This Row],[Typ úlohy]]="Účet",GETPIVOTDATA("Součet z Celková cena bez DPH (CZK)",$G$3,"Zkratka kalkulační položky",B821,"Výrobce / Dodavatel",C821),"")</f>
        <v/>
      </c>
    </row>
    <row r="822" spans="1:5" x14ac:dyDescent="0.35">
      <c r="A822" s="902" t="str">
        <f t="shared" si="13"/>
        <v/>
      </c>
      <c r="B822" s="903" t="str">
        <f>IF(Tabulka4[[#This Row],[Typ úlohy]]="Součet",G822,IF(Tabulka4[[#This Row],[Typ úlohy]]="Účet",B821,""))</f>
        <v/>
      </c>
      <c r="C822" s="903" t="str">
        <f>IF(Tabulka4[[#This Row],[Typ úlohy]]="Účet",H822,"")</f>
        <v/>
      </c>
      <c r="D822" s="903" t="str">
        <f>IF(Tabulka4[[#This Row],[Typ úlohy]]="Účet",GETPIVOTDATA("Součet z Celková hmotnost položek [kg]",$G$2,"Zkratka kalkulační položky",B822,"Výrobce / Dodavatel",C822),"")</f>
        <v/>
      </c>
      <c r="E822" s="904" t="str">
        <f>IF(Tabulka4[[#This Row],[Typ úlohy]]="Účet",GETPIVOTDATA("Součet z Celková cena bez DPH (CZK)",$G$3,"Zkratka kalkulační položky",B822,"Výrobce / Dodavatel",C822),"")</f>
        <v/>
      </c>
    </row>
    <row r="823" spans="1:5" x14ac:dyDescent="0.35">
      <c r="A823" s="902" t="str">
        <f t="shared" si="13"/>
        <v/>
      </c>
      <c r="B823" s="903" t="str">
        <f>IF(Tabulka4[[#This Row],[Typ úlohy]]="Součet",G823,IF(Tabulka4[[#This Row],[Typ úlohy]]="Účet",B822,""))</f>
        <v/>
      </c>
      <c r="C823" s="903" t="str">
        <f>IF(Tabulka4[[#This Row],[Typ úlohy]]="Účet",H823,"")</f>
        <v/>
      </c>
      <c r="D823" s="903" t="str">
        <f>IF(Tabulka4[[#This Row],[Typ úlohy]]="Účet",GETPIVOTDATA("Součet z Celková hmotnost položek [kg]",$G$2,"Zkratka kalkulační položky",B823,"Výrobce / Dodavatel",C823),"")</f>
        <v/>
      </c>
      <c r="E823" s="904" t="str">
        <f>IF(Tabulka4[[#This Row],[Typ úlohy]]="Účet",GETPIVOTDATA("Součet z Celková cena bez DPH (CZK)",$G$3,"Zkratka kalkulační položky",B823,"Výrobce / Dodavatel",C823),"")</f>
        <v/>
      </c>
    </row>
    <row r="824" spans="1:5" x14ac:dyDescent="0.35">
      <c r="A824" s="902" t="str">
        <f t="shared" si="13"/>
        <v/>
      </c>
      <c r="B824" s="903" t="str">
        <f>IF(Tabulka4[[#This Row],[Typ úlohy]]="Součet",G824,IF(Tabulka4[[#This Row],[Typ úlohy]]="Účet",B823,""))</f>
        <v/>
      </c>
      <c r="C824" s="903" t="str">
        <f>IF(Tabulka4[[#This Row],[Typ úlohy]]="Účet",H824,"")</f>
        <v/>
      </c>
      <c r="D824" s="903" t="str">
        <f>IF(Tabulka4[[#This Row],[Typ úlohy]]="Účet",GETPIVOTDATA("Součet z Celková hmotnost položek [kg]",$G$2,"Zkratka kalkulační položky",B824,"Výrobce / Dodavatel",C824),"")</f>
        <v/>
      </c>
      <c r="E824" s="904" t="str">
        <f>IF(Tabulka4[[#This Row],[Typ úlohy]]="Účet",GETPIVOTDATA("Součet z Celková cena bez DPH (CZK)",$G$3,"Zkratka kalkulační položky",B824,"Výrobce / Dodavatel",C824),"")</f>
        <v/>
      </c>
    </row>
    <row r="825" spans="1:5" x14ac:dyDescent="0.35">
      <c r="A825" s="902" t="str">
        <f t="shared" si="13"/>
        <v/>
      </c>
      <c r="B825" s="903" t="str">
        <f>IF(Tabulka4[[#This Row],[Typ úlohy]]="Součet",G825,IF(Tabulka4[[#This Row],[Typ úlohy]]="Účet",B824,""))</f>
        <v/>
      </c>
      <c r="C825" s="903" t="str">
        <f>IF(Tabulka4[[#This Row],[Typ úlohy]]="Účet",H825,"")</f>
        <v/>
      </c>
      <c r="D825" s="903" t="str">
        <f>IF(Tabulka4[[#This Row],[Typ úlohy]]="Účet",GETPIVOTDATA("Součet z Celková hmotnost položek [kg]",$G$2,"Zkratka kalkulační položky",B825,"Výrobce / Dodavatel",C825),"")</f>
        <v/>
      </c>
      <c r="E825" s="904" t="str">
        <f>IF(Tabulka4[[#This Row],[Typ úlohy]]="Účet",GETPIVOTDATA("Součet z Celková cena bez DPH (CZK)",$G$3,"Zkratka kalkulační položky",B825,"Výrobce / Dodavatel",C825),"")</f>
        <v/>
      </c>
    </row>
    <row r="826" spans="1:5" x14ac:dyDescent="0.35">
      <c r="A826" s="902" t="str">
        <f t="shared" si="13"/>
        <v/>
      </c>
      <c r="B826" s="903" t="str">
        <f>IF(Tabulka4[[#This Row],[Typ úlohy]]="Součet",G826,IF(Tabulka4[[#This Row],[Typ úlohy]]="Účet",B825,""))</f>
        <v/>
      </c>
      <c r="C826" s="903" t="str">
        <f>IF(Tabulka4[[#This Row],[Typ úlohy]]="Účet",H826,"")</f>
        <v/>
      </c>
      <c r="D826" s="903" t="str">
        <f>IF(Tabulka4[[#This Row],[Typ úlohy]]="Účet",GETPIVOTDATA("Součet z Celková hmotnost položek [kg]",$G$2,"Zkratka kalkulační položky",B826,"Výrobce / Dodavatel",C826),"")</f>
        <v/>
      </c>
      <c r="E826" s="904" t="str">
        <f>IF(Tabulka4[[#This Row],[Typ úlohy]]="Účet",GETPIVOTDATA("Součet z Celková cena bez DPH (CZK)",$G$3,"Zkratka kalkulační položky",B826,"Výrobce / Dodavatel",C826),"")</f>
        <v/>
      </c>
    </row>
    <row r="827" spans="1:5" x14ac:dyDescent="0.35">
      <c r="A827" s="902" t="str">
        <f t="shared" si="13"/>
        <v/>
      </c>
      <c r="B827" s="903" t="str">
        <f>IF(Tabulka4[[#This Row],[Typ úlohy]]="Součet",G827,IF(Tabulka4[[#This Row],[Typ úlohy]]="Účet",B826,""))</f>
        <v/>
      </c>
      <c r="C827" s="903" t="str">
        <f>IF(Tabulka4[[#This Row],[Typ úlohy]]="Účet",H827,"")</f>
        <v/>
      </c>
      <c r="D827" s="903" t="str">
        <f>IF(Tabulka4[[#This Row],[Typ úlohy]]="Účet",GETPIVOTDATA("Součet z Celková hmotnost položek [kg]",$G$2,"Zkratka kalkulační položky",B827,"Výrobce / Dodavatel",C827),"")</f>
        <v/>
      </c>
      <c r="E827" s="904" t="str">
        <f>IF(Tabulka4[[#This Row],[Typ úlohy]]="Účet",GETPIVOTDATA("Součet z Celková cena bez DPH (CZK)",$G$3,"Zkratka kalkulační položky",B827,"Výrobce / Dodavatel",C827),"")</f>
        <v/>
      </c>
    </row>
    <row r="828" spans="1:5" x14ac:dyDescent="0.35">
      <c r="A828" s="902" t="str">
        <f t="shared" si="13"/>
        <v/>
      </c>
      <c r="B828" s="903" t="str">
        <f>IF(Tabulka4[[#This Row],[Typ úlohy]]="Součet",G828,IF(Tabulka4[[#This Row],[Typ úlohy]]="Účet",B827,""))</f>
        <v/>
      </c>
      <c r="C828" s="903" t="str">
        <f>IF(Tabulka4[[#This Row],[Typ úlohy]]="Účet",H828,"")</f>
        <v/>
      </c>
      <c r="D828" s="903" t="str">
        <f>IF(Tabulka4[[#This Row],[Typ úlohy]]="Účet",GETPIVOTDATA("Součet z Celková hmotnost položek [kg]",$G$2,"Zkratka kalkulační položky",B828,"Výrobce / Dodavatel",C828),"")</f>
        <v/>
      </c>
      <c r="E828" s="904" t="str">
        <f>IF(Tabulka4[[#This Row],[Typ úlohy]]="Účet",GETPIVOTDATA("Součet z Celková cena bez DPH (CZK)",$G$3,"Zkratka kalkulační položky",B828,"Výrobce / Dodavatel",C828),"")</f>
        <v/>
      </c>
    </row>
    <row r="829" spans="1:5" x14ac:dyDescent="0.35">
      <c r="A829" s="902" t="str">
        <f t="shared" si="13"/>
        <v/>
      </c>
      <c r="B829" s="903" t="str">
        <f>IF(Tabulka4[[#This Row],[Typ úlohy]]="Součet",G829,IF(Tabulka4[[#This Row],[Typ úlohy]]="Účet",B828,""))</f>
        <v/>
      </c>
      <c r="C829" s="903" t="str">
        <f>IF(Tabulka4[[#This Row],[Typ úlohy]]="Účet",H829,"")</f>
        <v/>
      </c>
      <c r="D829" s="903" t="str">
        <f>IF(Tabulka4[[#This Row],[Typ úlohy]]="Účet",GETPIVOTDATA("Součet z Celková hmotnost položek [kg]",$G$2,"Zkratka kalkulační položky",B829,"Výrobce / Dodavatel",C829),"")</f>
        <v/>
      </c>
      <c r="E829" s="904" t="str">
        <f>IF(Tabulka4[[#This Row],[Typ úlohy]]="Účet",GETPIVOTDATA("Součet z Celková cena bez DPH (CZK)",$G$3,"Zkratka kalkulační položky",B829,"Výrobce / Dodavatel",C829),"")</f>
        <v/>
      </c>
    </row>
    <row r="830" spans="1:5" x14ac:dyDescent="0.35">
      <c r="A830" s="902" t="str">
        <f t="shared" si="13"/>
        <v/>
      </c>
      <c r="B830" s="903" t="str">
        <f>IF(Tabulka4[[#This Row],[Typ úlohy]]="Součet",G830,IF(Tabulka4[[#This Row],[Typ úlohy]]="Účet",B829,""))</f>
        <v/>
      </c>
      <c r="C830" s="903" t="str">
        <f>IF(Tabulka4[[#This Row],[Typ úlohy]]="Účet",H830,"")</f>
        <v/>
      </c>
      <c r="D830" s="903" t="str">
        <f>IF(Tabulka4[[#This Row],[Typ úlohy]]="Účet",GETPIVOTDATA("Součet z Celková hmotnost položek [kg]",$G$2,"Zkratka kalkulační položky",B830,"Výrobce / Dodavatel",C830),"")</f>
        <v/>
      </c>
      <c r="E830" s="904" t="str">
        <f>IF(Tabulka4[[#This Row],[Typ úlohy]]="Účet",GETPIVOTDATA("Součet z Celková cena bez DPH (CZK)",$G$3,"Zkratka kalkulační položky",B830,"Výrobce / Dodavatel",C830),"")</f>
        <v/>
      </c>
    </row>
    <row r="831" spans="1:5" x14ac:dyDescent="0.35">
      <c r="A831" s="902" t="str">
        <f t="shared" si="13"/>
        <v/>
      </c>
      <c r="B831" s="903" t="str">
        <f>IF(Tabulka4[[#This Row],[Typ úlohy]]="Součet",G831,IF(Tabulka4[[#This Row],[Typ úlohy]]="Účet",B830,""))</f>
        <v/>
      </c>
      <c r="C831" s="903" t="str">
        <f>IF(Tabulka4[[#This Row],[Typ úlohy]]="Účet",H831,"")</f>
        <v/>
      </c>
      <c r="D831" s="903" t="str">
        <f>IF(Tabulka4[[#This Row],[Typ úlohy]]="Účet",GETPIVOTDATA("Součet z Celková hmotnost položek [kg]",$G$2,"Zkratka kalkulační položky",B831,"Výrobce / Dodavatel",C831),"")</f>
        <v/>
      </c>
      <c r="E831" s="904" t="str">
        <f>IF(Tabulka4[[#This Row],[Typ úlohy]]="Účet",GETPIVOTDATA("Součet z Celková cena bez DPH (CZK)",$G$3,"Zkratka kalkulační položky",B831,"Výrobce / Dodavatel",C831),"")</f>
        <v/>
      </c>
    </row>
    <row r="832" spans="1:5" x14ac:dyDescent="0.35">
      <c r="A832" s="902" t="str">
        <f t="shared" si="13"/>
        <v/>
      </c>
      <c r="B832" s="903" t="str">
        <f>IF(Tabulka4[[#This Row],[Typ úlohy]]="Součet",G832,IF(Tabulka4[[#This Row],[Typ úlohy]]="Účet",B831,""))</f>
        <v/>
      </c>
      <c r="C832" s="903" t="str">
        <f>IF(Tabulka4[[#This Row],[Typ úlohy]]="Účet",H832,"")</f>
        <v/>
      </c>
      <c r="D832" s="903" t="str">
        <f>IF(Tabulka4[[#This Row],[Typ úlohy]]="Účet",GETPIVOTDATA("Součet z Celková hmotnost položek [kg]",$G$2,"Zkratka kalkulační položky",B832,"Výrobce / Dodavatel",C832),"")</f>
        <v/>
      </c>
      <c r="E832" s="904" t="str">
        <f>IF(Tabulka4[[#This Row],[Typ úlohy]]="Účet",GETPIVOTDATA("Součet z Celková cena bez DPH (CZK)",$G$3,"Zkratka kalkulační položky",B832,"Výrobce / Dodavatel",C832),"")</f>
        <v/>
      </c>
    </row>
    <row r="833" spans="1:5" x14ac:dyDescent="0.35">
      <c r="A833" s="902" t="str">
        <f t="shared" si="13"/>
        <v/>
      </c>
      <c r="B833" s="903" t="str">
        <f>IF(Tabulka4[[#This Row],[Typ úlohy]]="Součet",G833,IF(Tabulka4[[#This Row],[Typ úlohy]]="Účet",B832,""))</f>
        <v/>
      </c>
      <c r="C833" s="903" t="str">
        <f>IF(Tabulka4[[#This Row],[Typ úlohy]]="Účet",H833,"")</f>
        <v/>
      </c>
      <c r="D833" s="903" t="str">
        <f>IF(Tabulka4[[#This Row],[Typ úlohy]]="Účet",GETPIVOTDATA("Součet z Celková hmotnost položek [kg]",$G$2,"Zkratka kalkulační položky",B833,"Výrobce / Dodavatel",C833),"")</f>
        <v/>
      </c>
      <c r="E833" s="904" t="str">
        <f>IF(Tabulka4[[#This Row],[Typ úlohy]]="Účet",GETPIVOTDATA("Součet z Celková cena bez DPH (CZK)",$G$3,"Zkratka kalkulační položky",B833,"Výrobce / Dodavatel",C833),"")</f>
        <v/>
      </c>
    </row>
    <row r="834" spans="1:5" x14ac:dyDescent="0.35">
      <c r="A834" s="902" t="str">
        <f t="shared" si="13"/>
        <v/>
      </c>
      <c r="B834" s="903" t="str">
        <f>IF(Tabulka4[[#This Row],[Typ úlohy]]="Součet",G834,IF(Tabulka4[[#This Row],[Typ úlohy]]="Účet",B833,""))</f>
        <v/>
      </c>
      <c r="C834" s="903" t="str">
        <f>IF(Tabulka4[[#This Row],[Typ úlohy]]="Účet",H834,"")</f>
        <v/>
      </c>
      <c r="D834" s="903" t="str">
        <f>IF(Tabulka4[[#This Row],[Typ úlohy]]="Účet",GETPIVOTDATA("Součet z Celková hmotnost položek [kg]",$G$2,"Zkratka kalkulační položky",B834,"Výrobce / Dodavatel",C834),"")</f>
        <v/>
      </c>
      <c r="E834" s="904" t="str">
        <f>IF(Tabulka4[[#This Row],[Typ úlohy]]="Účet",GETPIVOTDATA("Součet z Celková cena bez DPH (CZK)",$G$3,"Zkratka kalkulační položky",B834,"Výrobce / Dodavatel",C834),"")</f>
        <v/>
      </c>
    </row>
    <row r="835" spans="1:5" x14ac:dyDescent="0.35">
      <c r="A835" s="902" t="str">
        <f t="shared" si="13"/>
        <v/>
      </c>
      <c r="B835" s="903" t="str">
        <f>IF(Tabulka4[[#This Row],[Typ úlohy]]="Součet",G835,IF(Tabulka4[[#This Row],[Typ úlohy]]="Účet",B834,""))</f>
        <v/>
      </c>
      <c r="C835" s="903" t="str">
        <f>IF(Tabulka4[[#This Row],[Typ úlohy]]="Účet",H835,"")</f>
        <v/>
      </c>
      <c r="D835" s="903" t="str">
        <f>IF(Tabulka4[[#This Row],[Typ úlohy]]="Účet",GETPIVOTDATA("Součet z Celková hmotnost položek [kg]",$G$2,"Zkratka kalkulační položky",B835,"Výrobce / Dodavatel",C835),"")</f>
        <v/>
      </c>
      <c r="E835" s="904" t="str">
        <f>IF(Tabulka4[[#This Row],[Typ úlohy]]="Účet",GETPIVOTDATA("Součet z Celková cena bez DPH (CZK)",$G$3,"Zkratka kalkulační položky",B835,"Výrobce / Dodavatel",C835),"")</f>
        <v/>
      </c>
    </row>
    <row r="836" spans="1:5" x14ac:dyDescent="0.35">
      <c r="A836" s="902" t="str">
        <f t="shared" si="13"/>
        <v/>
      </c>
      <c r="B836" s="903" t="str">
        <f>IF(Tabulka4[[#This Row],[Typ úlohy]]="Součet",G836,IF(Tabulka4[[#This Row],[Typ úlohy]]="Účet",B835,""))</f>
        <v/>
      </c>
      <c r="C836" s="903" t="str">
        <f>IF(Tabulka4[[#This Row],[Typ úlohy]]="Účet",H836,"")</f>
        <v/>
      </c>
      <c r="D836" s="903" t="str">
        <f>IF(Tabulka4[[#This Row],[Typ úlohy]]="Účet",GETPIVOTDATA("Součet z Celková hmotnost položek [kg]",$G$2,"Zkratka kalkulační položky",B836,"Výrobce / Dodavatel",C836),"")</f>
        <v/>
      </c>
      <c r="E836" s="904" t="str">
        <f>IF(Tabulka4[[#This Row],[Typ úlohy]]="Účet",GETPIVOTDATA("Součet z Celková cena bez DPH (CZK)",$G$3,"Zkratka kalkulační položky",B836,"Výrobce / Dodavatel",C836),"")</f>
        <v/>
      </c>
    </row>
    <row r="837" spans="1:5" x14ac:dyDescent="0.35">
      <c r="A837" s="902" t="str">
        <f t="shared" ref="A837:A900" si="14">IF(H837="",IF(G837="","","Součet"),"Účet")</f>
        <v/>
      </c>
      <c r="B837" s="903" t="str">
        <f>IF(Tabulka4[[#This Row],[Typ úlohy]]="Součet",G837,IF(Tabulka4[[#This Row],[Typ úlohy]]="Účet",B836,""))</f>
        <v/>
      </c>
      <c r="C837" s="903" t="str">
        <f>IF(Tabulka4[[#This Row],[Typ úlohy]]="Účet",H837,"")</f>
        <v/>
      </c>
      <c r="D837" s="903" t="str">
        <f>IF(Tabulka4[[#This Row],[Typ úlohy]]="Účet",GETPIVOTDATA("Součet z Celková hmotnost položek [kg]",$G$2,"Zkratka kalkulační položky",B837,"Výrobce / Dodavatel",C837),"")</f>
        <v/>
      </c>
      <c r="E837" s="904" t="str">
        <f>IF(Tabulka4[[#This Row],[Typ úlohy]]="Účet",GETPIVOTDATA("Součet z Celková cena bez DPH (CZK)",$G$3,"Zkratka kalkulační položky",B837,"Výrobce / Dodavatel",C837),"")</f>
        <v/>
      </c>
    </row>
    <row r="838" spans="1:5" x14ac:dyDescent="0.35">
      <c r="A838" s="902" t="str">
        <f t="shared" si="14"/>
        <v/>
      </c>
      <c r="B838" s="903" t="str">
        <f>IF(Tabulka4[[#This Row],[Typ úlohy]]="Součet",G838,IF(Tabulka4[[#This Row],[Typ úlohy]]="Účet",B837,""))</f>
        <v/>
      </c>
      <c r="C838" s="903" t="str">
        <f>IF(Tabulka4[[#This Row],[Typ úlohy]]="Účet",H838,"")</f>
        <v/>
      </c>
      <c r="D838" s="903" t="str">
        <f>IF(Tabulka4[[#This Row],[Typ úlohy]]="Účet",GETPIVOTDATA("Součet z Celková hmotnost položek [kg]",$G$2,"Zkratka kalkulační položky",B838,"Výrobce / Dodavatel",C838),"")</f>
        <v/>
      </c>
      <c r="E838" s="904" t="str">
        <f>IF(Tabulka4[[#This Row],[Typ úlohy]]="Účet",GETPIVOTDATA("Součet z Celková cena bez DPH (CZK)",$G$3,"Zkratka kalkulační položky",B838,"Výrobce / Dodavatel",C838),"")</f>
        <v/>
      </c>
    </row>
    <row r="839" spans="1:5" x14ac:dyDescent="0.35">
      <c r="A839" s="902" t="str">
        <f t="shared" si="14"/>
        <v/>
      </c>
      <c r="B839" s="903" t="str">
        <f>IF(Tabulka4[[#This Row],[Typ úlohy]]="Součet",G839,IF(Tabulka4[[#This Row],[Typ úlohy]]="Účet",B838,""))</f>
        <v/>
      </c>
      <c r="C839" s="903" t="str">
        <f>IF(Tabulka4[[#This Row],[Typ úlohy]]="Účet",H839,"")</f>
        <v/>
      </c>
      <c r="D839" s="903" t="str">
        <f>IF(Tabulka4[[#This Row],[Typ úlohy]]="Účet",GETPIVOTDATA("Součet z Celková hmotnost položek [kg]",$G$2,"Zkratka kalkulační položky",B839,"Výrobce / Dodavatel",C839),"")</f>
        <v/>
      </c>
      <c r="E839" s="904" t="str">
        <f>IF(Tabulka4[[#This Row],[Typ úlohy]]="Účet",GETPIVOTDATA("Součet z Celková cena bez DPH (CZK)",$G$3,"Zkratka kalkulační položky",B839,"Výrobce / Dodavatel",C839),"")</f>
        <v/>
      </c>
    </row>
    <row r="840" spans="1:5" x14ac:dyDescent="0.35">
      <c r="A840" s="902" t="str">
        <f t="shared" si="14"/>
        <v/>
      </c>
      <c r="B840" s="903" t="str">
        <f>IF(Tabulka4[[#This Row],[Typ úlohy]]="Součet",G840,IF(Tabulka4[[#This Row],[Typ úlohy]]="Účet",B839,""))</f>
        <v/>
      </c>
      <c r="C840" s="903" t="str">
        <f>IF(Tabulka4[[#This Row],[Typ úlohy]]="Účet",H840,"")</f>
        <v/>
      </c>
      <c r="D840" s="903" t="str">
        <f>IF(Tabulka4[[#This Row],[Typ úlohy]]="Účet",GETPIVOTDATA("Součet z Celková hmotnost položek [kg]",$G$2,"Zkratka kalkulační položky",B840,"Výrobce / Dodavatel",C840),"")</f>
        <v/>
      </c>
      <c r="E840" s="904" t="str">
        <f>IF(Tabulka4[[#This Row],[Typ úlohy]]="Účet",GETPIVOTDATA("Součet z Celková cena bez DPH (CZK)",$G$3,"Zkratka kalkulační položky",B840,"Výrobce / Dodavatel",C840),"")</f>
        <v/>
      </c>
    </row>
    <row r="841" spans="1:5" x14ac:dyDescent="0.35">
      <c r="A841" s="902" t="str">
        <f t="shared" si="14"/>
        <v/>
      </c>
      <c r="B841" s="903" t="str">
        <f>IF(Tabulka4[[#This Row],[Typ úlohy]]="Součet",G841,IF(Tabulka4[[#This Row],[Typ úlohy]]="Účet",B840,""))</f>
        <v/>
      </c>
      <c r="C841" s="903" t="str">
        <f>IF(Tabulka4[[#This Row],[Typ úlohy]]="Účet",H841,"")</f>
        <v/>
      </c>
      <c r="D841" s="903" t="str">
        <f>IF(Tabulka4[[#This Row],[Typ úlohy]]="Účet",GETPIVOTDATA("Součet z Celková hmotnost položek [kg]",$G$2,"Zkratka kalkulační položky",B841,"Výrobce / Dodavatel",C841),"")</f>
        <v/>
      </c>
      <c r="E841" s="904" t="str">
        <f>IF(Tabulka4[[#This Row],[Typ úlohy]]="Účet",GETPIVOTDATA("Součet z Celková cena bez DPH (CZK)",$G$3,"Zkratka kalkulační položky",B841,"Výrobce / Dodavatel",C841),"")</f>
        <v/>
      </c>
    </row>
    <row r="842" spans="1:5" x14ac:dyDescent="0.35">
      <c r="A842" s="902" t="str">
        <f t="shared" si="14"/>
        <v/>
      </c>
      <c r="B842" s="903" t="str">
        <f>IF(Tabulka4[[#This Row],[Typ úlohy]]="Součet",G842,IF(Tabulka4[[#This Row],[Typ úlohy]]="Účet",B841,""))</f>
        <v/>
      </c>
      <c r="C842" s="903" t="str">
        <f>IF(Tabulka4[[#This Row],[Typ úlohy]]="Účet",H842,"")</f>
        <v/>
      </c>
      <c r="D842" s="903" t="str">
        <f>IF(Tabulka4[[#This Row],[Typ úlohy]]="Účet",GETPIVOTDATA("Součet z Celková hmotnost položek [kg]",$G$2,"Zkratka kalkulační položky",B842,"Výrobce / Dodavatel",C842),"")</f>
        <v/>
      </c>
      <c r="E842" s="904" t="str">
        <f>IF(Tabulka4[[#This Row],[Typ úlohy]]="Účet",GETPIVOTDATA("Součet z Celková cena bez DPH (CZK)",$G$3,"Zkratka kalkulační položky",B842,"Výrobce / Dodavatel",C842),"")</f>
        <v/>
      </c>
    </row>
    <row r="843" spans="1:5" x14ac:dyDescent="0.35">
      <c r="A843" s="902" t="str">
        <f t="shared" si="14"/>
        <v/>
      </c>
      <c r="B843" s="903" t="str">
        <f>IF(Tabulka4[[#This Row],[Typ úlohy]]="Součet",G843,IF(Tabulka4[[#This Row],[Typ úlohy]]="Účet",B842,""))</f>
        <v/>
      </c>
      <c r="C843" s="903" t="str">
        <f>IF(Tabulka4[[#This Row],[Typ úlohy]]="Účet",H843,"")</f>
        <v/>
      </c>
      <c r="D843" s="903" t="str">
        <f>IF(Tabulka4[[#This Row],[Typ úlohy]]="Účet",GETPIVOTDATA("Součet z Celková hmotnost položek [kg]",$G$2,"Zkratka kalkulační položky",B843,"Výrobce / Dodavatel",C843),"")</f>
        <v/>
      </c>
      <c r="E843" s="904" t="str">
        <f>IF(Tabulka4[[#This Row],[Typ úlohy]]="Účet",GETPIVOTDATA("Součet z Celková cena bez DPH (CZK)",$G$3,"Zkratka kalkulační položky",B843,"Výrobce / Dodavatel",C843),"")</f>
        <v/>
      </c>
    </row>
    <row r="844" spans="1:5" x14ac:dyDescent="0.35">
      <c r="A844" s="902" t="str">
        <f t="shared" si="14"/>
        <v/>
      </c>
      <c r="B844" s="903" t="str">
        <f>IF(Tabulka4[[#This Row],[Typ úlohy]]="Součet",G844,IF(Tabulka4[[#This Row],[Typ úlohy]]="Účet",B843,""))</f>
        <v/>
      </c>
      <c r="C844" s="903" t="str">
        <f>IF(Tabulka4[[#This Row],[Typ úlohy]]="Účet",H844,"")</f>
        <v/>
      </c>
      <c r="D844" s="903" t="str">
        <f>IF(Tabulka4[[#This Row],[Typ úlohy]]="Účet",GETPIVOTDATA("Součet z Celková hmotnost položek [kg]",$G$2,"Zkratka kalkulační položky",B844,"Výrobce / Dodavatel",C844),"")</f>
        <v/>
      </c>
      <c r="E844" s="904" t="str">
        <f>IF(Tabulka4[[#This Row],[Typ úlohy]]="Účet",GETPIVOTDATA("Součet z Celková cena bez DPH (CZK)",$G$3,"Zkratka kalkulační položky",B844,"Výrobce / Dodavatel",C844),"")</f>
        <v/>
      </c>
    </row>
    <row r="845" spans="1:5" x14ac:dyDescent="0.35">
      <c r="A845" s="902" t="str">
        <f t="shared" si="14"/>
        <v/>
      </c>
      <c r="B845" s="903" t="str">
        <f>IF(Tabulka4[[#This Row],[Typ úlohy]]="Součet",G845,IF(Tabulka4[[#This Row],[Typ úlohy]]="Účet",B844,""))</f>
        <v/>
      </c>
      <c r="C845" s="903" t="str">
        <f>IF(Tabulka4[[#This Row],[Typ úlohy]]="Účet",H845,"")</f>
        <v/>
      </c>
      <c r="D845" s="903" t="str">
        <f>IF(Tabulka4[[#This Row],[Typ úlohy]]="Účet",GETPIVOTDATA("Součet z Celková hmotnost položek [kg]",$G$2,"Zkratka kalkulační položky",B845,"Výrobce / Dodavatel",C845),"")</f>
        <v/>
      </c>
      <c r="E845" s="904" t="str">
        <f>IF(Tabulka4[[#This Row],[Typ úlohy]]="Účet",GETPIVOTDATA("Součet z Celková cena bez DPH (CZK)",$G$3,"Zkratka kalkulační položky",B845,"Výrobce / Dodavatel",C845),"")</f>
        <v/>
      </c>
    </row>
    <row r="846" spans="1:5" x14ac:dyDescent="0.35">
      <c r="A846" s="902" t="str">
        <f t="shared" si="14"/>
        <v/>
      </c>
      <c r="B846" s="903" t="str">
        <f>IF(Tabulka4[[#This Row],[Typ úlohy]]="Součet",G846,IF(Tabulka4[[#This Row],[Typ úlohy]]="Účet",B845,""))</f>
        <v/>
      </c>
      <c r="C846" s="903" t="str">
        <f>IF(Tabulka4[[#This Row],[Typ úlohy]]="Účet",H846,"")</f>
        <v/>
      </c>
      <c r="D846" s="903" t="str">
        <f>IF(Tabulka4[[#This Row],[Typ úlohy]]="Účet",GETPIVOTDATA("Součet z Celková hmotnost položek [kg]",$G$2,"Zkratka kalkulační položky",B846,"Výrobce / Dodavatel",C846),"")</f>
        <v/>
      </c>
      <c r="E846" s="904" t="str">
        <f>IF(Tabulka4[[#This Row],[Typ úlohy]]="Účet",GETPIVOTDATA("Součet z Celková cena bez DPH (CZK)",$G$3,"Zkratka kalkulační položky",B846,"Výrobce / Dodavatel",C846),"")</f>
        <v/>
      </c>
    </row>
    <row r="847" spans="1:5" x14ac:dyDescent="0.35">
      <c r="A847" s="902" t="str">
        <f t="shared" si="14"/>
        <v/>
      </c>
      <c r="B847" s="903" t="str">
        <f>IF(Tabulka4[[#This Row],[Typ úlohy]]="Součet",G847,IF(Tabulka4[[#This Row],[Typ úlohy]]="Účet",B846,""))</f>
        <v/>
      </c>
      <c r="C847" s="903" t="str">
        <f>IF(Tabulka4[[#This Row],[Typ úlohy]]="Účet",H847,"")</f>
        <v/>
      </c>
      <c r="D847" s="903" t="str">
        <f>IF(Tabulka4[[#This Row],[Typ úlohy]]="Účet",GETPIVOTDATA("Součet z Celková hmotnost položek [kg]",$G$2,"Zkratka kalkulační položky",B847,"Výrobce / Dodavatel",C847),"")</f>
        <v/>
      </c>
      <c r="E847" s="904" t="str">
        <f>IF(Tabulka4[[#This Row],[Typ úlohy]]="Účet",GETPIVOTDATA("Součet z Celková cena bez DPH (CZK)",$G$3,"Zkratka kalkulační položky",B847,"Výrobce / Dodavatel",C847),"")</f>
        <v/>
      </c>
    </row>
    <row r="848" spans="1:5" x14ac:dyDescent="0.35">
      <c r="A848" s="902" t="str">
        <f t="shared" si="14"/>
        <v/>
      </c>
      <c r="B848" s="903" t="str">
        <f>IF(Tabulka4[[#This Row],[Typ úlohy]]="Součet",G848,IF(Tabulka4[[#This Row],[Typ úlohy]]="Účet",B847,""))</f>
        <v/>
      </c>
      <c r="C848" s="903" t="str">
        <f>IF(Tabulka4[[#This Row],[Typ úlohy]]="Účet",H848,"")</f>
        <v/>
      </c>
      <c r="D848" s="903" t="str">
        <f>IF(Tabulka4[[#This Row],[Typ úlohy]]="Účet",GETPIVOTDATA("Součet z Celková hmotnost položek [kg]",$G$2,"Zkratka kalkulační položky",B848,"Výrobce / Dodavatel",C848),"")</f>
        <v/>
      </c>
      <c r="E848" s="904" t="str">
        <f>IF(Tabulka4[[#This Row],[Typ úlohy]]="Účet",GETPIVOTDATA("Součet z Celková cena bez DPH (CZK)",$G$3,"Zkratka kalkulační položky",B848,"Výrobce / Dodavatel",C848),"")</f>
        <v/>
      </c>
    </row>
    <row r="849" spans="1:5" x14ac:dyDescent="0.35">
      <c r="A849" s="902" t="str">
        <f t="shared" si="14"/>
        <v/>
      </c>
      <c r="B849" s="903" t="str">
        <f>IF(Tabulka4[[#This Row],[Typ úlohy]]="Součet",G849,IF(Tabulka4[[#This Row],[Typ úlohy]]="Účet",B848,""))</f>
        <v/>
      </c>
      <c r="C849" s="903" t="str">
        <f>IF(Tabulka4[[#This Row],[Typ úlohy]]="Účet",H849,"")</f>
        <v/>
      </c>
      <c r="D849" s="903" t="str">
        <f>IF(Tabulka4[[#This Row],[Typ úlohy]]="Účet",GETPIVOTDATA("Součet z Celková hmotnost položek [kg]",$G$2,"Zkratka kalkulační položky",B849,"Výrobce / Dodavatel",C849),"")</f>
        <v/>
      </c>
      <c r="E849" s="904" t="str">
        <f>IF(Tabulka4[[#This Row],[Typ úlohy]]="Účet",GETPIVOTDATA("Součet z Celková cena bez DPH (CZK)",$G$3,"Zkratka kalkulační položky",B849,"Výrobce / Dodavatel",C849),"")</f>
        <v/>
      </c>
    </row>
    <row r="850" spans="1:5" x14ac:dyDescent="0.35">
      <c r="A850" s="902" t="str">
        <f t="shared" si="14"/>
        <v/>
      </c>
      <c r="B850" s="903" t="str">
        <f>IF(Tabulka4[[#This Row],[Typ úlohy]]="Součet",G850,IF(Tabulka4[[#This Row],[Typ úlohy]]="Účet",B849,""))</f>
        <v/>
      </c>
      <c r="C850" s="903" t="str">
        <f>IF(Tabulka4[[#This Row],[Typ úlohy]]="Účet",H850,"")</f>
        <v/>
      </c>
      <c r="D850" s="903" t="str">
        <f>IF(Tabulka4[[#This Row],[Typ úlohy]]="Účet",GETPIVOTDATA("Součet z Celková hmotnost položek [kg]",$G$2,"Zkratka kalkulační položky",B850,"Výrobce / Dodavatel",C850),"")</f>
        <v/>
      </c>
      <c r="E850" s="904" t="str">
        <f>IF(Tabulka4[[#This Row],[Typ úlohy]]="Účet",GETPIVOTDATA("Součet z Celková cena bez DPH (CZK)",$G$3,"Zkratka kalkulační položky",B850,"Výrobce / Dodavatel",C850),"")</f>
        <v/>
      </c>
    </row>
    <row r="851" spans="1:5" x14ac:dyDescent="0.35">
      <c r="A851" s="902" t="str">
        <f t="shared" si="14"/>
        <v/>
      </c>
      <c r="B851" s="903" t="str">
        <f>IF(Tabulka4[[#This Row],[Typ úlohy]]="Součet",G851,IF(Tabulka4[[#This Row],[Typ úlohy]]="Účet",B850,""))</f>
        <v/>
      </c>
      <c r="C851" s="903" t="str">
        <f>IF(Tabulka4[[#This Row],[Typ úlohy]]="Účet",H851,"")</f>
        <v/>
      </c>
      <c r="D851" s="903" t="str">
        <f>IF(Tabulka4[[#This Row],[Typ úlohy]]="Účet",GETPIVOTDATA("Součet z Celková hmotnost položek [kg]",$G$2,"Zkratka kalkulační položky",B851,"Výrobce / Dodavatel",C851),"")</f>
        <v/>
      </c>
      <c r="E851" s="904" t="str">
        <f>IF(Tabulka4[[#This Row],[Typ úlohy]]="Účet",GETPIVOTDATA("Součet z Celková cena bez DPH (CZK)",$G$3,"Zkratka kalkulační položky",B851,"Výrobce / Dodavatel",C851),"")</f>
        <v/>
      </c>
    </row>
    <row r="852" spans="1:5" x14ac:dyDescent="0.35">
      <c r="A852" s="902" t="str">
        <f t="shared" si="14"/>
        <v/>
      </c>
      <c r="B852" s="903" t="str">
        <f>IF(Tabulka4[[#This Row],[Typ úlohy]]="Součet",G852,IF(Tabulka4[[#This Row],[Typ úlohy]]="Účet",B851,""))</f>
        <v/>
      </c>
      <c r="C852" s="903" t="str">
        <f>IF(Tabulka4[[#This Row],[Typ úlohy]]="Účet",H852,"")</f>
        <v/>
      </c>
      <c r="D852" s="903" t="str">
        <f>IF(Tabulka4[[#This Row],[Typ úlohy]]="Účet",GETPIVOTDATA("Součet z Celková hmotnost položek [kg]",$G$2,"Zkratka kalkulační položky",B852,"Výrobce / Dodavatel",C852),"")</f>
        <v/>
      </c>
      <c r="E852" s="904" t="str">
        <f>IF(Tabulka4[[#This Row],[Typ úlohy]]="Účet",GETPIVOTDATA("Součet z Celková cena bez DPH (CZK)",$G$3,"Zkratka kalkulační položky",B852,"Výrobce / Dodavatel",C852),"")</f>
        <v/>
      </c>
    </row>
    <row r="853" spans="1:5" x14ac:dyDescent="0.35">
      <c r="A853" s="902" t="str">
        <f t="shared" si="14"/>
        <v/>
      </c>
      <c r="B853" s="903" t="str">
        <f>IF(Tabulka4[[#This Row],[Typ úlohy]]="Součet",G853,IF(Tabulka4[[#This Row],[Typ úlohy]]="Účet",B852,""))</f>
        <v/>
      </c>
      <c r="C853" s="903" t="str">
        <f>IF(Tabulka4[[#This Row],[Typ úlohy]]="Účet",H853,"")</f>
        <v/>
      </c>
      <c r="D853" s="903" t="str">
        <f>IF(Tabulka4[[#This Row],[Typ úlohy]]="Účet",GETPIVOTDATA("Součet z Celková hmotnost položek [kg]",$G$2,"Zkratka kalkulační položky",B853,"Výrobce / Dodavatel",C853),"")</f>
        <v/>
      </c>
      <c r="E853" s="904" t="str">
        <f>IF(Tabulka4[[#This Row],[Typ úlohy]]="Účet",GETPIVOTDATA("Součet z Celková cena bez DPH (CZK)",$G$3,"Zkratka kalkulační položky",B853,"Výrobce / Dodavatel",C853),"")</f>
        <v/>
      </c>
    </row>
    <row r="854" spans="1:5" x14ac:dyDescent="0.35">
      <c r="A854" s="902" t="str">
        <f t="shared" si="14"/>
        <v/>
      </c>
      <c r="B854" s="903" t="str">
        <f>IF(Tabulka4[[#This Row],[Typ úlohy]]="Součet",G854,IF(Tabulka4[[#This Row],[Typ úlohy]]="Účet",B853,""))</f>
        <v/>
      </c>
      <c r="C854" s="903" t="str">
        <f>IF(Tabulka4[[#This Row],[Typ úlohy]]="Účet",H854,"")</f>
        <v/>
      </c>
      <c r="D854" s="903" t="str">
        <f>IF(Tabulka4[[#This Row],[Typ úlohy]]="Účet",GETPIVOTDATA("Součet z Celková hmotnost položek [kg]",$G$2,"Zkratka kalkulační položky",B854,"Výrobce / Dodavatel",C854),"")</f>
        <v/>
      </c>
      <c r="E854" s="904" t="str">
        <f>IF(Tabulka4[[#This Row],[Typ úlohy]]="Účet",GETPIVOTDATA("Součet z Celková cena bez DPH (CZK)",$G$3,"Zkratka kalkulační položky",B854,"Výrobce / Dodavatel",C854),"")</f>
        <v/>
      </c>
    </row>
    <row r="855" spans="1:5" x14ac:dyDescent="0.35">
      <c r="A855" s="902" t="str">
        <f t="shared" si="14"/>
        <v/>
      </c>
      <c r="B855" s="903" t="str">
        <f>IF(Tabulka4[[#This Row],[Typ úlohy]]="Součet",G855,IF(Tabulka4[[#This Row],[Typ úlohy]]="Účet",B854,""))</f>
        <v/>
      </c>
      <c r="C855" s="903" t="str">
        <f>IF(Tabulka4[[#This Row],[Typ úlohy]]="Účet",H855,"")</f>
        <v/>
      </c>
      <c r="D855" s="903" t="str">
        <f>IF(Tabulka4[[#This Row],[Typ úlohy]]="Účet",GETPIVOTDATA("Součet z Celková hmotnost položek [kg]",$G$2,"Zkratka kalkulační položky",B855,"Výrobce / Dodavatel",C855),"")</f>
        <v/>
      </c>
      <c r="E855" s="904" t="str">
        <f>IF(Tabulka4[[#This Row],[Typ úlohy]]="Účet",GETPIVOTDATA("Součet z Celková cena bez DPH (CZK)",$G$3,"Zkratka kalkulační položky",B855,"Výrobce / Dodavatel",C855),"")</f>
        <v/>
      </c>
    </row>
    <row r="856" spans="1:5" x14ac:dyDescent="0.35">
      <c r="A856" s="902" t="str">
        <f t="shared" si="14"/>
        <v/>
      </c>
      <c r="B856" s="903" t="str">
        <f>IF(Tabulka4[[#This Row],[Typ úlohy]]="Součet",G856,IF(Tabulka4[[#This Row],[Typ úlohy]]="Účet",B855,""))</f>
        <v/>
      </c>
      <c r="C856" s="903" t="str">
        <f>IF(Tabulka4[[#This Row],[Typ úlohy]]="Účet",H856,"")</f>
        <v/>
      </c>
      <c r="D856" s="903" t="str">
        <f>IF(Tabulka4[[#This Row],[Typ úlohy]]="Účet",GETPIVOTDATA("Součet z Celková hmotnost položek [kg]",$G$2,"Zkratka kalkulační položky",B856,"Výrobce / Dodavatel",C856),"")</f>
        <v/>
      </c>
      <c r="E856" s="904" t="str">
        <f>IF(Tabulka4[[#This Row],[Typ úlohy]]="Účet",GETPIVOTDATA("Součet z Celková cena bez DPH (CZK)",$G$3,"Zkratka kalkulační položky",B856,"Výrobce / Dodavatel",C856),"")</f>
        <v/>
      </c>
    </row>
    <row r="857" spans="1:5" x14ac:dyDescent="0.35">
      <c r="A857" s="902" t="str">
        <f t="shared" si="14"/>
        <v/>
      </c>
      <c r="B857" s="903" t="str">
        <f>IF(Tabulka4[[#This Row],[Typ úlohy]]="Součet",G857,IF(Tabulka4[[#This Row],[Typ úlohy]]="Účet",B856,""))</f>
        <v/>
      </c>
      <c r="C857" s="903" t="str">
        <f>IF(Tabulka4[[#This Row],[Typ úlohy]]="Účet",H857,"")</f>
        <v/>
      </c>
      <c r="D857" s="903" t="str">
        <f>IF(Tabulka4[[#This Row],[Typ úlohy]]="Účet",GETPIVOTDATA("Součet z Celková hmotnost položek [kg]",$G$2,"Zkratka kalkulační položky",B857,"Výrobce / Dodavatel",C857),"")</f>
        <v/>
      </c>
      <c r="E857" s="904" t="str">
        <f>IF(Tabulka4[[#This Row],[Typ úlohy]]="Účet",GETPIVOTDATA("Součet z Celková cena bez DPH (CZK)",$G$3,"Zkratka kalkulační položky",B857,"Výrobce / Dodavatel",C857),"")</f>
        <v/>
      </c>
    </row>
    <row r="858" spans="1:5" x14ac:dyDescent="0.35">
      <c r="A858" s="902" t="str">
        <f t="shared" si="14"/>
        <v/>
      </c>
      <c r="B858" s="903" t="str">
        <f>IF(Tabulka4[[#This Row],[Typ úlohy]]="Součet",G858,IF(Tabulka4[[#This Row],[Typ úlohy]]="Účet",B857,""))</f>
        <v/>
      </c>
      <c r="C858" s="903" t="str">
        <f>IF(Tabulka4[[#This Row],[Typ úlohy]]="Účet",H858,"")</f>
        <v/>
      </c>
      <c r="D858" s="903" t="str">
        <f>IF(Tabulka4[[#This Row],[Typ úlohy]]="Účet",GETPIVOTDATA("Součet z Celková hmotnost položek [kg]",$G$2,"Zkratka kalkulační položky",B858,"Výrobce / Dodavatel",C858),"")</f>
        <v/>
      </c>
      <c r="E858" s="904" t="str">
        <f>IF(Tabulka4[[#This Row],[Typ úlohy]]="Účet",GETPIVOTDATA("Součet z Celková cena bez DPH (CZK)",$G$3,"Zkratka kalkulační položky",B858,"Výrobce / Dodavatel",C858),"")</f>
        <v/>
      </c>
    </row>
    <row r="859" spans="1:5" x14ac:dyDescent="0.35">
      <c r="A859" s="902" t="str">
        <f t="shared" si="14"/>
        <v/>
      </c>
      <c r="B859" s="903" t="str">
        <f>IF(Tabulka4[[#This Row],[Typ úlohy]]="Součet",G859,IF(Tabulka4[[#This Row],[Typ úlohy]]="Účet",B858,""))</f>
        <v/>
      </c>
      <c r="C859" s="903" t="str">
        <f>IF(Tabulka4[[#This Row],[Typ úlohy]]="Účet",H859,"")</f>
        <v/>
      </c>
      <c r="D859" s="903" t="str">
        <f>IF(Tabulka4[[#This Row],[Typ úlohy]]="Účet",GETPIVOTDATA("Součet z Celková hmotnost položek [kg]",$G$2,"Zkratka kalkulační položky",B859,"Výrobce / Dodavatel",C859),"")</f>
        <v/>
      </c>
      <c r="E859" s="904" t="str">
        <f>IF(Tabulka4[[#This Row],[Typ úlohy]]="Účet",GETPIVOTDATA("Součet z Celková cena bez DPH (CZK)",$G$3,"Zkratka kalkulační položky",B859,"Výrobce / Dodavatel",C859),"")</f>
        <v/>
      </c>
    </row>
    <row r="860" spans="1:5" x14ac:dyDescent="0.35">
      <c r="A860" s="902" t="str">
        <f t="shared" si="14"/>
        <v/>
      </c>
      <c r="B860" s="903" t="str">
        <f>IF(Tabulka4[[#This Row],[Typ úlohy]]="Součet",G860,IF(Tabulka4[[#This Row],[Typ úlohy]]="Účet",B859,""))</f>
        <v/>
      </c>
      <c r="C860" s="903" t="str">
        <f>IF(Tabulka4[[#This Row],[Typ úlohy]]="Účet",H860,"")</f>
        <v/>
      </c>
      <c r="D860" s="903" t="str">
        <f>IF(Tabulka4[[#This Row],[Typ úlohy]]="Účet",GETPIVOTDATA("Součet z Celková hmotnost položek [kg]",$G$2,"Zkratka kalkulační položky",B860,"Výrobce / Dodavatel",C860),"")</f>
        <v/>
      </c>
      <c r="E860" s="904" t="str">
        <f>IF(Tabulka4[[#This Row],[Typ úlohy]]="Účet",GETPIVOTDATA("Součet z Celková cena bez DPH (CZK)",$G$3,"Zkratka kalkulační položky",B860,"Výrobce / Dodavatel",C860),"")</f>
        <v/>
      </c>
    </row>
    <row r="861" spans="1:5" x14ac:dyDescent="0.35">
      <c r="A861" s="902" t="str">
        <f t="shared" si="14"/>
        <v/>
      </c>
      <c r="B861" s="903" t="str">
        <f>IF(Tabulka4[[#This Row],[Typ úlohy]]="Součet",G861,IF(Tabulka4[[#This Row],[Typ úlohy]]="Účet",B860,""))</f>
        <v/>
      </c>
      <c r="C861" s="903" t="str">
        <f>IF(Tabulka4[[#This Row],[Typ úlohy]]="Účet",H861,"")</f>
        <v/>
      </c>
      <c r="D861" s="903" t="str">
        <f>IF(Tabulka4[[#This Row],[Typ úlohy]]="Účet",GETPIVOTDATA("Součet z Celková hmotnost položek [kg]",$G$2,"Zkratka kalkulační položky",B861,"Výrobce / Dodavatel",C861),"")</f>
        <v/>
      </c>
      <c r="E861" s="904" t="str">
        <f>IF(Tabulka4[[#This Row],[Typ úlohy]]="Účet",GETPIVOTDATA("Součet z Celková cena bez DPH (CZK)",$G$3,"Zkratka kalkulační položky",B861,"Výrobce / Dodavatel",C861),"")</f>
        <v/>
      </c>
    </row>
    <row r="862" spans="1:5" x14ac:dyDescent="0.35">
      <c r="A862" s="902" t="str">
        <f t="shared" si="14"/>
        <v/>
      </c>
      <c r="B862" s="903" t="str">
        <f>IF(Tabulka4[[#This Row],[Typ úlohy]]="Součet",G862,IF(Tabulka4[[#This Row],[Typ úlohy]]="Účet",B861,""))</f>
        <v/>
      </c>
      <c r="C862" s="903" t="str">
        <f>IF(Tabulka4[[#This Row],[Typ úlohy]]="Účet",H862,"")</f>
        <v/>
      </c>
      <c r="D862" s="903" t="str">
        <f>IF(Tabulka4[[#This Row],[Typ úlohy]]="Účet",GETPIVOTDATA("Součet z Celková hmotnost položek [kg]",$G$2,"Zkratka kalkulační položky",B862,"Výrobce / Dodavatel",C862),"")</f>
        <v/>
      </c>
      <c r="E862" s="904" t="str">
        <f>IF(Tabulka4[[#This Row],[Typ úlohy]]="Účet",GETPIVOTDATA("Součet z Celková cena bez DPH (CZK)",$G$3,"Zkratka kalkulační položky",B862,"Výrobce / Dodavatel",C862),"")</f>
        <v/>
      </c>
    </row>
    <row r="863" spans="1:5" x14ac:dyDescent="0.35">
      <c r="A863" s="902" t="str">
        <f t="shared" si="14"/>
        <v/>
      </c>
      <c r="B863" s="903" t="str">
        <f>IF(Tabulka4[[#This Row],[Typ úlohy]]="Součet",G863,IF(Tabulka4[[#This Row],[Typ úlohy]]="Účet",B862,""))</f>
        <v/>
      </c>
      <c r="C863" s="903" t="str">
        <f>IF(Tabulka4[[#This Row],[Typ úlohy]]="Účet",H863,"")</f>
        <v/>
      </c>
      <c r="D863" s="903" t="str">
        <f>IF(Tabulka4[[#This Row],[Typ úlohy]]="Účet",GETPIVOTDATA("Součet z Celková hmotnost položek [kg]",$G$2,"Zkratka kalkulační položky",B863,"Výrobce / Dodavatel",C863),"")</f>
        <v/>
      </c>
      <c r="E863" s="904" t="str">
        <f>IF(Tabulka4[[#This Row],[Typ úlohy]]="Účet",GETPIVOTDATA("Součet z Celková cena bez DPH (CZK)",$G$3,"Zkratka kalkulační položky",B863,"Výrobce / Dodavatel",C863),"")</f>
        <v/>
      </c>
    </row>
    <row r="864" spans="1:5" x14ac:dyDescent="0.35">
      <c r="A864" s="902" t="str">
        <f t="shared" si="14"/>
        <v/>
      </c>
      <c r="B864" s="903" t="str">
        <f>IF(Tabulka4[[#This Row],[Typ úlohy]]="Součet",G864,IF(Tabulka4[[#This Row],[Typ úlohy]]="Účet",B863,""))</f>
        <v/>
      </c>
      <c r="C864" s="903" t="str">
        <f>IF(Tabulka4[[#This Row],[Typ úlohy]]="Účet",H864,"")</f>
        <v/>
      </c>
      <c r="D864" s="903" t="str">
        <f>IF(Tabulka4[[#This Row],[Typ úlohy]]="Účet",GETPIVOTDATA("Součet z Celková hmotnost položek [kg]",$G$2,"Zkratka kalkulační položky",B864,"Výrobce / Dodavatel",C864),"")</f>
        <v/>
      </c>
      <c r="E864" s="904" t="str">
        <f>IF(Tabulka4[[#This Row],[Typ úlohy]]="Účet",GETPIVOTDATA("Součet z Celková cena bez DPH (CZK)",$G$3,"Zkratka kalkulační položky",B864,"Výrobce / Dodavatel",C864),"")</f>
        <v/>
      </c>
    </row>
    <row r="865" spans="1:5" x14ac:dyDescent="0.35">
      <c r="A865" s="902" t="str">
        <f t="shared" si="14"/>
        <v/>
      </c>
      <c r="B865" s="903" t="str">
        <f>IF(Tabulka4[[#This Row],[Typ úlohy]]="Součet",G865,IF(Tabulka4[[#This Row],[Typ úlohy]]="Účet",B864,""))</f>
        <v/>
      </c>
      <c r="C865" s="903" t="str">
        <f>IF(Tabulka4[[#This Row],[Typ úlohy]]="Účet",H865,"")</f>
        <v/>
      </c>
      <c r="D865" s="903" t="str">
        <f>IF(Tabulka4[[#This Row],[Typ úlohy]]="Účet",GETPIVOTDATA("Součet z Celková hmotnost položek [kg]",$G$2,"Zkratka kalkulační položky",B865,"Výrobce / Dodavatel",C865),"")</f>
        <v/>
      </c>
      <c r="E865" s="904" t="str">
        <f>IF(Tabulka4[[#This Row],[Typ úlohy]]="Účet",GETPIVOTDATA("Součet z Celková cena bez DPH (CZK)",$G$3,"Zkratka kalkulační položky",B865,"Výrobce / Dodavatel",C865),"")</f>
        <v/>
      </c>
    </row>
    <row r="866" spans="1:5" x14ac:dyDescent="0.35">
      <c r="A866" s="902" t="str">
        <f t="shared" si="14"/>
        <v/>
      </c>
      <c r="B866" s="903" t="str">
        <f>IF(Tabulka4[[#This Row],[Typ úlohy]]="Součet",G866,IF(Tabulka4[[#This Row],[Typ úlohy]]="Účet",B865,""))</f>
        <v/>
      </c>
      <c r="C866" s="903" t="str">
        <f>IF(Tabulka4[[#This Row],[Typ úlohy]]="Účet",H866,"")</f>
        <v/>
      </c>
      <c r="D866" s="903" t="str">
        <f>IF(Tabulka4[[#This Row],[Typ úlohy]]="Účet",GETPIVOTDATA("Součet z Celková hmotnost položek [kg]",$G$2,"Zkratka kalkulační položky",B866,"Výrobce / Dodavatel",C866),"")</f>
        <v/>
      </c>
      <c r="E866" s="904" t="str">
        <f>IF(Tabulka4[[#This Row],[Typ úlohy]]="Účet",GETPIVOTDATA("Součet z Celková cena bez DPH (CZK)",$G$3,"Zkratka kalkulační položky",B866,"Výrobce / Dodavatel",C866),"")</f>
        <v/>
      </c>
    </row>
    <row r="867" spans="1:5" x14ac:dyDescent="0.35">
      <c r="A867" s="902" t="str">
        <f t="shared" si="14"/>
        <v/>
      </c>
      <c r="B867" s="903" t="str">
        <f>IF(Tabulka4[[#This Row],[Typ úlohy]]="Součet",G867,IF(Tabulka4[[#This Row],[Typ úlohy]]="Účet",B866,""))</f>
        <v/>
      </c>
      <c r="C867" s="903" t="str">
        <f>IF(Tabulka4[[#This Row],[Typ úlohy]]="Účet",H867,"")</f>
        <v/>
      </c>
      <c r="D867" s="903" t="str">
        <f>IF(Tabulka4[[#This Row],[Typ úlohy]]="Účet",GETPIVOTDATA("Součet z Celková hmotnost položek [kg]",$G$2,"Zkratka kalkulační položky",B867,"Výrobce / Dodavatel",C867),"")</f>
        <v/>
      </c>
      <c r="E867" s="904" t="str">
        <f>IF(Tabulka4[[#This Row],[Typ úlohy]]="Účet",GETPIVOTDATA("Součet z Celková cena bez DPH (CZK)",$G$3,"Zkratka kalkulační položky",B867,"Výrobce / Dodavatel",C867),"")</f>
        <v/>
      </c>
    </row>
    <row r="868" spans="1:5" x14ac:dyDescent="0.35">
      <c r="A868" s="902" t="str">
        <f t="shared" si="14"/>
        <v/>
      </c>
      <c r="B868" s="903" t="str">
        <f>IF(Tabulka4[[#This Row],[Typ úlohy]]="Součet",G868,IF(Tabulka4[[#This Row],[Typ úlohy]]="Účet",B867,""))</f>
        <v/>
      </c>
      <c r="C868" s="903" t="str">
        <f>IF(Tabulka4[[#This Row],[Typ úlohy]]="Účet",H868,"")</f>
        <v/>
      </c>
      <c r="D868" s="903" t="str">
        <f>IF(Tabulka4[[#This Row],[Typ úlohy]]="Účet",GETPIVOTDATA("Součet z Celková hmotnost položek [kg]",$G$2,"Zkratka kalkulační položky",B868,"Výrobce / Dodavatel",C868),"")</f>
        <v/>
      </c>
      <c r="E868" s="904" t="str">
        <f>IF(Tabulka4[[#This Row],[Typ úlohy]]="Účet",GETPIVOTDATA("Součet z Celková cena bez DPH (CZK)",$G$3,"Zkratka kalkulační položky",B868,"Výrobce / Dodavatel",C868),"")</f>
        <v/>
      </c>
    </row>
    <row r="869" spans="1:5" x14ac:dyDescent="0.35">
      <c r="A869" s="902" t="str">
        <f t="shared" si="14"/>
        <v/>
      </c>
      <c r="B869" s="903" t="str">
        <f>IF(Tabulka4[[#This Row],[Typ úlohy]]="Součet",G869,IF(Tabulka4[[#This Row],[Typ úlohy]]="Účet",B868,""))</f>
        <v/>
      </c>
      <c r="C869" s="903" t="str">
        <f>IF(Tabulka4[[#This Row],[Typ úlohy]]="Účet",H869,"")</f>
        <v/>
      </c>
      <c r="D869" s="903" t="str">
        <f>IF(Tabulka4[[#This Row],[Typ úlohy]]="Účet",GETPIVOTDATA("Součet z Celková hmotnost položek [kg]",$G$2,"Zkratka kalkulační položky",B869,"Výrobce / Dodavatel",C869),"")</f>
        <v/>
      </c>
      <c r="E869" s="904" t="str">
        <f>IF(Tabulka4[[#This Row],[Typ úlohy]]="Účet",GETPIVOTDATA("Součet z Celková cena bez DPH (CZK)",$G$3,"Zkratka kalkulační položky",B869,"Výrobce / Dodavatel",C869),"")</f>
        <v/>
      </c>
    </row>
    <row r="870" spans="1:5" x14ac:dyDescent="0.35">
      <c r="A870" s="902" t="str">
        <f t="shared" si="14"/>
        <v/>
      </c>
      <c r="B870" s="903" t="str">
        <f>IF(Tabulka4[[#This Row],[Typ úlohy]]="Součet",G870,IF(Tabulka4[[#This Row],[Typ úlohy]]="Účet",B869,""))</f>
        <v/>
      </c>
      <c r="C870" s="903" t="str">
        <f>IF(Tabulka4[[#This Row],[Typ úlohy]]="Účet",H870,"")</f>
        <v/>
      </c>
      <c r="D870" s="903" t="str">
        <f>IF(Tabulka4[[#This Row],[Typ úlohy]]="Účet",GETPIVOTDATA("Součet z Celková hmotnost položek [kg]",$G$2,"Zkratka kalkulační položky",B870,"Výrobce / Dodavatel",C870),"")</f>
        <v/>
      </c>
      <c r="E870" s="904" t="str">
        <f>IF(Tabulka4[[#This Row],[Typ úlohy]]="Účet",GETPIVOTDATA("Součet z Celková cena bez DPH (CZK)",$G$3,"Zkratka kalkulační položky",B870,"Výrobce / Dodavatel",C870),"")</f>
        <v/>
      </c>
    </row>
    <row r="871" spans="1:5" x14ac:dyDescent="0.35">
      <c r="A871" s="902" t="str">
        <f t="shared" si="14"/>
        <v/>
      </c>
      <c r="B871" s="903" t="str">
        <f>IF(Tabulka4[[#This Row],[Typ úlohy]]="Součet",G871,IF(Tabulka4[[#This Row],[Typ úlohy]]="Účet",B870,""))</f>
        <v/>
      </c>
      <c r="C871" s="903" t="str">
        <f>IF(Tabulka4[[#This Row],[Typ úlohy]]="Účet",H871,"")</f>
        <v/>
      </c>
      <c r="D871" s="903" t="str">
        <f>IF(Tabulka4[[#This Row],[Typ úlohy]]="Účet",GETPIVOTDATA("Součet z Celková hmotnost položek [kg]",$G$2,"Zkratka kalkulační položky",B871,"Výrobce / Dodavatel",C871),"")</f>
        <v/>
      </c>
      <c r="E871" s="904" t="str">
        <f>IF(Tabulka4[[#This Row],[Typ úlohy]]="Účet",GETPIVOTDATA("Součet z Celková cena bez DPH (CZK)",$G$3,"Zkratka kalkulační položky",B871,"Výrobce / Dodavatel",C871),"")</f>
        <v/>
      </c>
    </row>
    <row r="872" spans="1:5" x14ac:dyDescent="0.35">
      <c r="A872" s="902" t="str">
        <f t="shared" si="14"/>
        <v/>
      </c>
      <c r="B872" s="903" t="str">
        <f>IF(Tabulka4[[#This Row],[Typ úlohy]]="Součet",G872,IF(Tabulka4[[#This Row],[Typ úlohy]]="Účet",B871,""))</f>
        <v/>
      </c>
      <c r="C872" s="903" t="str">
        <f>IF(Tabulka4[[#This Row],[Typ úlohy]]="Účet",H872,"")</f>
        <v/>
      </c>
      <c r="D872" s="903" t="str">
        <f>IF(Tabulka4[[#This Row],[Typ úlohy]]="Účet",GETPIVOTDATA("Součet z Celková hmotnost položek [kg]",$G$2,"Zkratka kalkulační položky",B872,"Výrobce / Dodavatel",C872),"")</f>
        <v/>
      </c>
      <c r="E872" s="904" t="str">
        <f>IF(Tabulka4[[#This Row],[Typ úlohy]]="Účet",GETPIVOTDATA("Součet z Celková cena bez DPH (CZK)",$G$3,"Zkratka kalkulační položky",B872,"Výrobce / Dodavatel",C872),"")</f>
        <v/>
      </c>
    </row>
    <row r="873" spans="1:5" x14ac:dyDescent="0.35">
      <c r="A873" s="902" t="str">
        <f t="shared" si="14"/>
        <v/>
      </c>
      <c r="B873" s="903" t="str">
        <f>IF(Tabulka4[[#This Row],[Typ úlohy]]="Součet",G873,IF(Tabulka4[[#This Row],[Typ úlohy]]="Účet",B872,""))</f>
        <v/>
      </c>
      <c r="C873" s="903" t="str">
        <f>IF(Tabulka4[[#This Row],[Typ úlohy]]="Účet",H873,"")</f>
        <v/>
      </c>
      <c r="D873" s="903" t="str">
        <f>IF(Tabulka4[[#This Row],[Typ úlohy]]="Účet",GETPIVOTDATA("Součet z Celková hmotnost položek [kg]",$G$2,"Zkratka kalkulační položky",B873,"Výrobce / Dodavatel",C873),"")</f>
        <v/>
      </c>
      <c r="E873" s="904" t="str">
        <f>IF(Tabulka4[[#This Row],[Typ úlohy]]="Účet",GETPIVOTDATA("Součet z Celková cena bez DPH (CZK)",$G$3,"Zkratka kalkulační položky",B873,"Výrobce / Dodavatel",C873),"")</f>
        <v/>
      </c>
    </row>
    <row r="874" spans="1:5" x14ac:dyDescent="0.35">
      <c r="A874" s="902" t="str">
        <f t="shared" si="14"/>
        <v/>
      </c>
      <c r="B874" s="903" t="str">
        <f>IF(Tabulka4[[#This Row],[Typ úlohy]]="Součet",G874,IF(Tabulka4[[#This Row],[Typ úlohy]]="Účet",B873,""))</f>
        <v/>
      </c>
      <c r="C874" s="903" t="str">
        <f>IF(Tabulka4[[#This Row],[Typ úlohy]]="Účet",H874,"")</f>
        <v/>
      </c>
      <c r="D874" s="903" t="str">
        <f>IF(Tabulka4[[#This Row],[Typ úlohy]]="Účet",GETPIVOTDATA("Součet z Celková hmotnost položek [kg]",$G$2,"Zkratka kalkulační položky",B874,"Výrobce / Dodavatel",C874),"")</f>
        <v/>
      </c>
      <c r="E874" s="904" t="str">
        <f>IF(Tabulka4[[#This Row],[Typ úlohy]]="Účet",GETPIVOTDATA("Součet z Celková cena bez DPH (CZK)",$G$3,"Zkratka kalkulační položky",B874,"Výrobce / Dodavatel",C874),"")</f>
        <v/>
      </c>
    </row>
    <row r="875" spans="1:5" x14ac:dyDescent="0.35">
      <c r="A875" s="902" t="str">
        <f t="shared" si="14"/>
        <v/>
      </c>
      <c r="B875" s="903" t="str">
        <f>IF(Tabulka4[[#This Row],[Typ úlohy]]="Součet",G875,IF(Tabulka4[[#This Row],[Typ úlohy]]="Účet",B874,""))</f>
        <v/>
      </c>
      <c r="C875" s="903" t="str">
        <f>IF(Tabulka4[[#This Row],[Typ úlohy]]="Účet",H875,"")</f>
        <v/>
      </c>
      <c r="D875" s="903" t="str">
        <f>IF(Tabulka4[[#This Row],[Typ úlohy]]="Účet",GETPIVOTDATA("Součet z Celková hmotnost položek [kg]",$G$2,"Zkratka kalkulační položky",B875,"Výrobce / Dodavatel",C875),"")</f>
        <v/>
      </c>
      <c r="E875" s="904" t="str">
        <f>IF(Tabulka4[[#This Row],[Typ úlohy]]="Účet",GETPIVOTDATA("Součet z Celková cena bez DPH (CZK)",$G$3,"Zkratka kalkulační položky",B875,"Výrobce / Dodavatel",C875),"")</f>
        <v/>
      </c>
    </row>
    <row r="876" spans="1:5" x14ac:dyDescent="0.35">
      <c r="A876" s="902" t="str">
        <f t="shared" si="14"/>
        <v/>
      </c>
      <c r="B876" s="903" t="str">
        <f>IF(Tabulka4[[#This Row],[Typ úlohy]]="Součet",G876,IF(Tabulka4[[#This Row],[Typ úlohy]]="Účet",B875,""))</f>
        <v/>
      </c>
      <c r="C876" s="903" t="str">
        <f>IF(Tabulka4[[#This Row],[Typ úlohy]]="Účet",H876,"")</f>
        <v/>
      </c>
      <c r="D876" s="903" t="str">
        <f>IF(Tabulka4[[#This Row],[Typ úlohy]]="Účet",GETPIVOTDATA("Součet z Celková hmotnost položek [kg]",$G$2,"Zkratka kalkulační položky",B876,"Výrobce / Dodavatel",C876),"")</f>
        <v/>
      </c>
      <c r="E876" s="904" t="str">
        <f>IF(Tabulka4[[#This Row],[Typ úlohy]]="Účet",GETPIVOTDATA("Součet z Celková cena bez DPH (CZK)",$G$3,"Zkratka kalkulační položky",B876,"Výrobce / Dodavatel",C876),"")</f>
        <v/>
      </c>
    </row>
    <row r="877" spans="1:5" x14ac:dyDescent="0.35">
      <c r="A877" s="902" t="str">
        <f t="shared" si="14"/>
        <v/>
      </c>
      <c r="B877" s="903" t="str">
        <f>IF(Tabulka4[[#This Row],[Typ úlohy]]="Součet",G877,IF(Tabulka4[[#This Row],[Typ úlohy]]="Účet",B876,""))</f>
        <v/>
      </c>
      <c r="C877" s="903" t="str">
        <f>IF(Tabulka4[[#This Row],[Typ úlohy]]="Účet",H877,"")</f>
        <v/>
      </c>
      <c r="D877" s="903" t="str">
        <f>IF(Tabulka4[[#This Row],[Typ úlohy]]="Účet",GETPIVOTDATA("Součet z Celková hmotnost položek [kg]",$G$2,"Zkratka kalkulační položky",B877,"Výrobce / Dodavatel",C877),"")</f>
        <v/>
      </c>
      <c r="E877" s="904" t="str">
        <f>IF(Tabulka4[[#This Row],[Typ úlohy]]="Účet",GETPIVOTDATA("Součet z Celková cena bez DPH (CZK)",$G$3,"Zkratka kalkulační položky",B877,"Výrobce / Dodavatel",C877),"")</f>
        <v/>
      </c>
    </row>
    <row r="878" spans="1:5" x14ac:dyDescent="0.35">
      <c r="A878" s="902" t="str">
        <f t="shared" si="14"/>
        <v/>
      </c>
      <c r="B878" s="903" t="str">
        <f>IF(Tabulka4[[#This Row],[Typ úlohy]]="Součet",G878,IF(Tabulka4[[#This Row],[Typ úlohy]]="Účet",B877,""))</f>
        <v/>
      </c>
      <c r="C878" s="903" t="str">
        <f>IF(Tabulka4[[#This Row],[Typ úlohy]]="Účet",H878,"")</f>
        <v/>
      </c>
      <c r="D878" s="903" t="str">
        <f>IF(Tabulka4[[#This Row],[Typ úlohy]]="Účet",GETPIVOTDATA("Součet z Celková hmotnost položek [kg]",$G$2,"Zkratka kalkulační položky",B878,"Výrobce / Dodavatel",C878),"")</f>
        <v/>
      </c>
      <c r="E878" s="904" t="str">
        <f>IF(Tabulka4[[#This Row],[Typ úlohy]]="Účet",GETPIVOTDATA("Součet z Celková cena bez DPH (CZK)",$G$3,"Zkratka kalkulační položky",B878,"Výrobce / Dodavatel",C878),"")</f>
        <v/>
      </c>
    </row>
    <row r="879" spans="1:5" x14ac:dyDescent="0.35">
      <c r="A879" s="902" t="str">
        <f t="shared" si="14"/>
        <v/>
      </c>
      <c r="B879" s="903" t="str">
        <f>IF(Tabulka4[[#This Row],[Typ úlohy]]="Součet",G879,IF(Tabulka4[[#This Row],[Typ úlohy]]="Účet",B878,""))</f>
        <v/>
      </c>
      <c r="C879" s="903" t="str">
        <f>IF(Tabulka4[[#This Row],[Typ úlohy]]="Účet",H879,"")</f>
        <v/>
      </c>
      <c r="D879" s="903" t="str">
        <f>IF(Tabulka4[[#This Row],[Typ úlohy]]="Účet",GETPIVOTDATA("Součet z Celková hmotnost položek [kg]",$G$2,"Zkratka kalkulační položky",B879,"Výrobce / Dodavatel",C879),"")</f>
        <v/>
      </c>
      <c r="E879" s="904" t="str">
        <f>IF(Tabulka4[[#This Row],[Typ úlohy]]="Účet",GETPIVOTDATA("Součet z Celková cena bez DPH (CZK)",$G$3,"Zkratka kalkulační položky",B879,"Výrobce / Dodavatel",C879),"")</f>
        <v/>
      </c>
    </row>
    <row r="880" spans="1:5" x14ac:dyDescent="0.35">
      <c r="A880" s="902" t="str">
        <f t="shared" si="14"/>
        <v/>
      </c>
      <c r="B880" s="903" t="str">
        <f>IF(Tabulka4[[#This Row],[Typ úlohy]]="Součet",G880,IF(Tabulka4[[#This Row],[Typ úlohy]]="Účet",B879,""))</f>
        <v/>
      </c>
      <c r="C880" s="903" t="str">
        <f>IF(Tabulka4[[#This Row],[Typ úlohy]]="Účet",H880,"")</f>
        <v/>
      </c>
      <c r="D880" s="903" t="str">
        <f>IF(Tabulka4[[#This Row],[Typ úlohy]]="Účet",GETPIVOTDATA("Součet z Celková hmotnost položek [kg]",$G$2,"Zkratka kalkulační položky",B880,"Výrobce / Dodavatel",C880),"")</f>
        <v/>
      </c>
      <c r="E880" s="904" t="str">
        <f>IF(Tabulka4[[#This Row],[Typ úlohy]]="Účet",GETPIVOTDATA("Součet z Celková cena bez DPH (CZK)",$G$3,"Zkratka kalkulační položky",B880,"Výrobce / Dodavatel",C880),"")</f>
        <v/>
      </c>
    </row>
    <row r="881" spans="1:5" x14ac:dyDescent="0.35">
      <c r="A881" s="902" t="str">
        <f t="shared" si="14"/>
        <v/>
      </c>
      <c r="B881" s="903" t="str">
        <f>IF(Tabulka4[[#This Row],[Typ úlohy]]="Součet",G881,IF(Tabulka4[[#This Row],[Typ úlohy]]="Účet",B880,""))</f>
        <v/>
      </c>
      <c r="C881" s="903" t="str">
        <f>IF(Tabulka4[[#This Row],[Typ úlohy]]="Účet",H881,"")</f>
        <v/>
      </c>
      <c r="D881" s="903" t="str">
        <f>IF(Tabulka4[[#This Row],[Typ úlohy]]="Účet",GETPIVOTDATA("Součet z Celková hmotnost položek [kg]",$G$2,"Zkratka kalkulační položky",B881,"Výrobce / Dodavatel",C881),"")</f>
        <v/>
      </c>
      <c r="E881" s="904" t="str">
        <f>IF(Tabulka4[[#This Row],[Typ úlohy]]="Účet",GETPIVOTDATA("Součet z Celková cena bez DPH (CZK)",$G$3,"Zkratka kalkulační položky",B881,"Výrobce / Dodavatel",C881),"")</f>
        <v/>
      </c>
    </row>
    <row r="882" spans="1:5" x14ac:dyDescent="0.35">
      <c r="A882" s="902" t="str">
        <f t="shared" si="14"/>
        <v/>
      </c>
      <c r="B882" s="903" t="str">
        <f>IF(Tabulka4[[#This Row],[Typ úlohy]]="Součet",G882,IF(Tabulka4[[#This Row],[Typ úlohy]]="Účet",B881,""))</f>
        <v/>
      </c>
      <c r="C882" s="903" t="str">
        <f>IF(Tabulka4[[#This Row],[Typ úlohy]]="Účet",H882,"")</f>
        <v/>
      </c>
      <c r="D882" s="903" t="str">
        <f>IF(Tabulka4[[#This Row],[Typ úlohy]]="Účet",GETPIVOTDATA("Součet z Celková hmotnost položek [kg]",$G$2,"Zkratka kalkulační položky",B882,"Výrobce / Dodavatel",C882),"")</f>
        <v/>
      </c>
      <c r="E882" s="904" t="str">
        <f>IF(Tabulka4[[#This Row],[Typ úlohy]]="Účet",GETPIVOTDATA("Součet z Celková cena bez DPH (CZK)",$G$3,"Zkratka kalkulační položky",B882,"Výrobce / Dodavatel",C882),"")</f>
        <v/>
      </c>
    </row>
    <row r="883" spans="1:5" x14ac:dyDescent="0.35">
      <c r="A883" s="902" t="str">
        <f t="shared" si="14"/>
        <v/>
      </c>
      <c r="B883" s="903" t="str">
        <f>IF(Tabulka4[[#This Row],[Typ úlohy]]="Součet",G883,IF(Tabulka4[[#This Row],[Typ úlohy]]="Účet",B882,""))</f>
        <v/>
      </c>
      <c r="C883" s="903" t="str">
        <f>IF(Tabulka4[[#This Row],[Typ úlohy]]="Účet",H883,"")</f>
        <v/>
      </c>
      <c r="D883" s="903" t="str">
        <f>IF(Tabulka4[[#This Row],[Typ úlohy]]="Účet",GETPIVOTDATA("Součet z Celková hmotnost položek [kg]",$G$2,"Zkratka kalkulační položky",B883,"Výrobce / Dodavatel",C883),"")</f>
        <v/>
      </c>
      <c r="E883" s="904" t="str">
        <f>IF(Tabulka4[[#This Row],[Typ úlohy]]="Účet",GETPIVOTDATA("Součet z Celková cena bez DPH (CZK)",$G$3,"Zkratka kalkulační položky",B883,"Výrobce / Dodavatel",C883),"")</f>
        <v/>
      </c>
    </row>
    <row r="884" spans="1:5" x14ac:dyDescent="0.35">
      <c r="A884" s="902" t="str">
        <f t="shared" si="14"/>
        <v/>
      </c>
      <c r="B884" s="903" t="str">
        <f>IF(Tabulka4[[#This Row],[Typ úlohy]]="Součet",G884,IF(Tabulka4[[#This Row],[Typ úlohy]]="Účet",B883,""))</f>
        <v/>
      </c>
      <c r="C884" s="903" t="str">
        <f>IF(Tabulka4[[#This Row],[Typ úlohy]]="Účet",H884,"")</f>
        <v/>
      </c>
      <c r="D884" s="903" t="str">
        <f>IF(Tabulka4[[#This Row],[Typ úlohy]]="Účet",GETPIVOTDATA("Součet z Celková hmotnost položek [kg]",$G$2,"Zkratka kalkulační položky",B884,"Výrobce / Dodavatel",C884),"")</f>
        <v/>
      </c>
      <c r="E884" s="904" t="str">
        <f>IF(Tabulka4[[#This Row],[Typ úlohy]]="Účet",GETPIVOTDATA("Součet z Celková cena bez DPH (CZK)",$G$3,"Zkratka kalkulační položky",B884,"Výrobce / Dodavatel",C884),"")</f>
        <v/>
      </c>
    </row>
    <row r="885" spans="1:5" x14ac:dyDescent="0.35">
      <c r="A885" s="902" t="str">
        <f t="shared" si="14"/>
        <v/>
      </c>
      <c r="B885" s="903" t="str">
        <f>IF(Tabulka4[[#This Row],[Typ úlohy]]="Součet",G885,IF(Tabulka4[[#This Row],[Typ úlohy]]="Účet",B884,""))</f>
        <v/>
      </c>
      <c r="C885" s="903" t="str">
        <f>IF(Tabulka4[[#This Row],[Typ úlohy]]="Účet",H885,"")</f>
        <v/>
      </c>
      <c r="D885" s="903" t="str">
        <f>IF(Tabulka4[[#This Row],[Typ úlohy]]="Účet",GETPIVOTDATA("Součet z Celková hmotnost položek [kg]",$G$2,"Zkratka kalkulační položky",B885,"Výrobce / Dodavatel",C885),"")</f>
        <v/>
      </c>
      <c r="E885" s="904" t="str">
        <f>IF(Tabulka4[[#This Row],[Typ úlohy]]="Účet",GETPIVOTDATA("Součet z Celková cena bez DPH (CZK)",$G$3,"Zkratka kalkulační položky",B885,"Výrobce / Dodavatel",C885),"")</f>
        <v/>
      </c>
    </row>
    <row r="886" spans="1:5" x14ac:dyDescent="0.35">
      <c r="A886" s="902" t="str">
        <f t="shared" si="14"/>
        <v/>
      </c>
      <c r="B886" s="903" t="str">
        <f>IF(Tabulka4[[#This Row],[Typ úlohy]]="Součet",G886,IF(Tabulka4[[#This Row],[Typ úlohy]]="Účet",B885,""))</f>
        <v/>
      </c>
      <c r="C886" s="903" t="str">
        <f>IF(Tabulka4[[#This Row],[Typ úlohy]]="Účet",H886,"")</f>
        <v/>
      </c>
      <c r="D886" s="903" t="str">
        <f>IF(Tabulka4[[#This Row],[Typ úlohy]]="Účet",GETPIVOTDATA("Součet z Celková hmotnost položek [kg]",$G$2,"Zkratka kalkulační položky",B886,"Výrobce / Dodavatel",C886),"")</f>
        <v/>
      </c>
      <c r="E886" s="904" t="str">
        <f>IF(Tabulka4[[#This Row],[Typ úlohy]]="Účet",GETPIVOTDATA("Součet z Celková cena bez DPH (CZK)",$G$3,"Zkratka kalkulační položky",B886,"Výrobce / Dodavatel",C886),"")</f>
        <v/>
      </c>
    </row>
    <row r="887" spans="1:5" x14ac:dyDescent="0.35">
      <c r="A887" s="902" t="str">
        <f t="shared" si="14"/>
        <v/>
      </c>
      <c r="B887" s="903" t="str">
        <f>IF(Tabulka4[[#This Row],[Typ úlohy]]="Součet",G887,IF(Tabulka4[[#This Row],[Typ úlohy]]="Účet",B886,""))</f>
        <v/>
      </c>
      <c r="C887" s="903" t="str">
        <f>IF(Tabulka4[[#This Row],[Typ úlohy]]="Účet",H887,"")</f>
        <v/>
      </c>
      <c r="D887" s="903" t="str">
        <f>IF(Tabulka4[[#This Row],[Typ úlohy]]="Účet",GETPIVOTDATA("Součet z Celková hmotnost položek [kg]",$G$2,"Zkratka kalkulační položky",B887,"Výrobce / Dodavatel",C887),"")</f>
        <v/>
      </c>
      <c r="E887" s="904" t="str">
        <f>IF(Tabulka4[[#This Row],[Typ úlohy]]="Účet",GETPIVOTDATA("Součet z Celková cena bez DPH (CZK)",$G$3,"Zkratka kalkulační položky",B887,"Výrobce / Dodavatel",C887),"")</f>
        <v/>
      </c>
    </row>
    <row r="888" spans="1:5" x14ac:dyDescent="0.35">
      <c r="A888" s="902" t="str">
        <f t="shared" si="14"/>
        <v/>
      </c>
      <c r="B888" s="903" t="str">
        <f>IF(Tabulka4[[#This Row],[Typ úlohy]]="Součet",G888,IF(Tabulka4[[#This Row],[Typ úlohy]]="Účet",B887,""))</f>
        <v/>
      </c>
      <c r="C888" s="903" t="str">
        <f>IF(Tabulka4[[#This Row],[Typ úlohy]]="Účet",H888,"")</f>
        <v/>
      </c>
      <c r="D888" s="903" t="str">
        <f>IF(Tabulka4[[#This Row],[Typ úlohy]]="Účet",GETPIVOTDATA("Součet z Celková hmotnost položek [kg]",$G$2,"Zkratka kalkulační položky",B888,"Výrobce / Dodavatel",C888),"")</f>
        <v/>
      </c>
      <c r="E888" s="904" t="str">
        <f>IF(Tabulka4[[#This Row],[Typ úlohy]]="Účet",GETPIVOTDATA("Součet z Celková cena bez DPH (CZK)",$G$3,"Zkratka kalkulační položky",B888,"Výrobce / Dodavatel",C888),"")</f>
        <v/>
      </c>
    </row>
    <row r="889" spans="1:5" x14ac:dyDescent="0.35">
      <c r="A889" s="902" t="str">
        <f t="shared" si="14"/>
        <v/>
      </c>
      <c r="B889" s="903" t="str">
        <f>IF(Tabulka4[[#This Row],[Typ úlohy]]="Součet",G889,IF(Tabulka4[[#This Row],[Typ úlohy]]="Účet",B888,""))</f>
        <v/>
      </c>
      <c r="C889" s="903" t="str">
        <f>IF(Tabulka4[[#This Row],[Typ úlohy]]="Účet",H889,"")</f>
        <v/>
      </c>
      <c r="D889" s="903" t="str">
        <f>IF(Tabulka4[[#This Row],[Typ úlohy]]="Účet",GETPIVOTDATA("Součet z Celková hmotnost položek [kg]",$G$2,"Zkratka kalkulační položky",B889,"Výrobce / Dodavatel",C889),"")</f>
        <v/>
      </c>
      <c r="E889" s="904" t="str">
        <f>IF(Tabulka4[[#This Row],[Typ úlohy]]="Účet",GETPIVOTDATA("Součet z Celková cena bez DPH (CZK)",$G$3,"Zkratka kalkulační položky",B889,"Výrobce / Dodavatel",C889),"")</f>
        <v/>
      </c>
    </row>
    <row r="890" spans="1:5" x14ac:dyDescent="0.35">
      <c r="A890" s="902" t="str">
        <f t="shared" si="14"/>
        <v/>
      </c>
      <c r="B890" s="903" t="str">
        <f>IF(Tabulka4[[#This Row],[Typ úlohy]]="Součet",G890,IF(Tabulka4[[#This Row],[Typ úlohy]]="Účet",B889,""))</f>
        <v/>
      </c>
      <c r="C890" s="903" t="str">
        <f>IF(Tabulka4[[#This Row],[Typ úlohy]]="Účet",H890,"")</f>
        <v/>
      </c>
      <c r="D890" s="903" t="str">
        <f>IF(Tabulka4[[#This Row],[Typ úlohy]]="Účet",GETPIVOTDATA("Součet z Celková hmotnost položek [kg]",$G$2,"Zkratka kalkulační položky",B890,"Výrobce / Dodavatel",C890),"")</f>
        <v/>
      </c>
      <c r="E890" s="904" t="str">
        <f>IF(Tabulka4[[#This Row],[Typ úlohy]]="Účet",GETPIVOTDATA("Součet z Celková cena bez DPH (CZK)",$G$3,"Zkratka kalkulační položky",B890,"Výrobce / Dodavatel",C890),"")</f>
        <v/>
      </c>
    </row>
    <row r="891" spans="1:5" x14ac:dyDescent="0.35">
      <c r="A891" s="902" t="str">
        <f t="shared" si="14"/>
        <v/>
      </c>
      <c r="B891" s="903" t="str">
        <f>IF(Tabulka4[[#This Row],[Typ úlohy]]="Součet",G891,IF(Tabulka4[[#This Row],[Typ úlohy]]="Účet",B890,""))</f>
        <v/>
      </c>
      <c r="C891" s="903" t="str">
        <f>IF(Tabulka4[[#This Row],[Typ úlohy]]="Účet",H891,"")</f>
        <v/>
      </c>
      <c r="D891" s="903" t="str">
        <f>IF(Tabulka4[[#This Row],[Typ úlohy]]="Účet",GETPIVOTDATA("Součet z Celková hmotnost položek [kg]",$G$2,"Zkratka kalkulační položky",B891,"Výrobce / Dodavatel",C891),"")</f>
        <v/>
      </c>
      <c r="E891" s="904" t="str">
        <f>IF(Tabulka4[[#This Row],[Typ úlohy]]="Účet",GETPIVOTDATA("Součet z Celková cena bez DPH (CZK)",$G$3,"Zkratka kalkulační položky",B891,"Výrobce / Dodavatel",C891),"")</f>
        <v/>
      </c>
    </row>
    <row r="892" spans="1:5" x14ac:dyDescent="0.35">
      <c r="A892" s="902" t="str">
        <f t="shared" si="14"/>
        <v/>
      </c>
      <c r="B892" s="903" t="str">
        <f>IF(Tabulka4[[#This Row],[Typ úlohy]]="Součet",G892,IF(Tabulka4[[#This Row],[Typ úlohy]]="Účet",B891,""))</f>
        <v/>
      </c>
      <c r="C892" s="903" t="str">
        <f>IF(Tabulka4[[#This Row],[Typ úlohy]]="Účet",H892,"")</f>
        <v/>
      </c>
      <c r="D892" s="903" t="str">
        <f>IF(Tabulka4[[#This Row],[Typ úlohy]]="Účet",GETPIVOTDATA("Součet z Celková hmotnost položek [kg]",$G$2,"Zkratka kalkulační položky",B892,"Výrobce / Dodavatel",C892),"")</f>
        <v/>
      </c>
      <c r="E892" s="904" t="str">
        <f>IF(Tabulka4[[#This Row],[Typ úlohy]]="Účet",GETPIVOTDATA("Součet z Celková cena bez DPH (CZK)",$G$3,"Zkratka kalkulační položky",B892,"Výrobce / Dodavatel",C892),"")</f>
        <v/>
      </c>
    </row>
    <row r="893" spans="1:5" x14ac:dyDescent="0.35">
      <c r="A893" s="902" t="str">
        <f t="shared" si="14"/>
        <v/>
      </c>
      <c r="B893" s="903" t="str">
        <f>IF(Tabulka4[[#This Row],[Typ úlohy]]="Součet",G893,IF(Tabulka4[[#This Row],[Typ úlohy]]="Účet",B892,""))</f>
        <v/>
      </c>
      <c r="C893" s="903" t="str">
        <f>IF(Tabulka4[[#This Row],[Typ úlohy]]="Účet",H893,"")</f>
        <v/>
      </c>
      <c r="D893" s="903" t="str">
        <f>IF(Tabulka4[[#This Row],[Typ úlohy]]="Účet",GETPIVOTDATA("Součet z Celková hmotnost položek [kg]",$G$2,"Zkratka kalkulační položky",B893,"Výrobce / Dodavatel",C893),"")</f>
        <v/>
      </c>
      <c r="E893" s="904" t="str">
        <f>IF(Tabulka4[[#This Row],[Typ úlohy]]="Účet",GETPIVOTDATA("Součet z Celková cena bez DPH (CZK)",$G$3,"Zkratka kalkulační položky",B893,"Výrobce / Dodavatel",C893),"")</f>
        <v/>
      </c>
    </row>
    <row r="894" spans="1:5" x14ac:dyDescent="0.35">
      <c r="A894" s="902" t="str">
        <f t="shared" si="14"/>
        <v/>
      </c>
      <c r="B894" s="903" t="str">
        <f>IF(Tabulka4[[#This Row],[Typ úlohy]]="Součet",G894,IF(Tabulka4[[#This Row],[Typ úlohy]]="Účet",B893,""))</f>
        <v/>
      </c>
      <c r="C894" s="903" t="str">
        <f>IF(Tabulka4[[#This Row],[Typ úlohy]]="Účet",H894,"")</f>
        <v/>
      </c>
      <c r="D894" s="903" t="str">
        <f>IF(Tabulka4[[#This Row],[Typ úlohy]]="Účet",GETPIVOTDATA("Součet z Celková hmotnost položek [kg]",$G$2,"Zkratka kalkulační položky",B894,"Výrobce / Dodavatel",C894),"")</f>
        <v/>
      </c>
      <c r="E894" s="904" t="str">
        <f>IF(Tabulka4[[#This Row],[Typ úlohy]]="Účet",GETPIVOTDATA("Součet z Celková cena bez DPH (CZK)",$G$3,"Zkratka kalkulační položky",B894,"Výrobce / Dodavatel",C894),"")</f>
        <v/>
      </c>
    </row>
    <row r="895" spans="1:5" x14ac:dyDescent="0.35">
      <c r="A895" s="902" t="str">
        <f t="shared" si="14"/>
        <v/>
      </c>
      <c r="B895" s="903" t="str">
        <f>IF(Tabulka4[[#This Row],[Typ úlohy]]="Součet",G895,IF(Tabulka4[[#This Row],[Typ úlohy]]="Účet",B894,""))</f>
        <v/>
      </c>
      <c r="C895" s="903" t="str">
        <f>IF(Tabulka4[[#This Row],[Typ úlohy]]="Účet",H895,"")</f>
        <v/>
      </c>
      <c r="D895" s="903" t="str">
        <f>IF(Tabulka4[[#This Row],[Typ úlohy]]="Účet",GETPIVOTDATA("Součet z Celková hmotnost položek [kg]",$G$2,"Zkratka kalkulační položky",B895,"Výrobce / Dodavatel",C895),"")</f>
        <v/>
      </c>
      <c r="E895" s="904" t="str">
        <f>IF(Tabulka4[[#This Row],[Typ úlohy]]="Účet",GETPIVOTDATA("Součet z Celková cena bez DPH (CZK)",$G$3,"Zkratka kalkulační položky",B895,"Výrobce / Dodavatel",C895),"")</f>
        <v/>
      </c>
    </row>
    <row r="896" spans="1:5" x14ac:dyDescent="0.35">
      <c r="A896" s="902" t="str">
        <f t="shared" si="14"/>
        <v/>
      </c>
      <c r="B896" s="903" t="str">
        <f>IF(Tabulka4[[#This Row],[Typ úlohy]]="Součet",G896,IF(Tabulka4[[#This Row],[Typ úlohy]]="Účet",B895,""))</f>
        <v/>
      </c>
      <c r="C896" s="903" t="str">
        <f>IF(Tabulka4[[#This Row],[Typ úlohy]]="Účet",H896,"")</f>
        <v/>
      </c>
      <c r="D896" s="903" t="str">
        <f>IF(Tabulka4[[#This Row],[Typ úlohy]]="Účet",GETPIVOTDATA("Součet z Celková hmotnost položek [kg]",$G$2,"Zkratka kalkulační položky",B896,"Výrobce / Dodavatel",C896),"")</f>
        <v/>
      </c>
      <c r="E896" s="904" t="str">
        <f>IF(Tabulka4[[#This Row],[Typ úlohy]]="Účet",GETPIVOTDATA("Součet z Celková cena bez DPH (CZK)",$G$3,"Zkratka kalkulační položky",B896,"Výrobce / Dodavatel",C896),"")</f>
        <v/>
      </c>
    </row>
    <row r="897" spans="1:5" x14ac:dyDescent="0.35">
      <c r="A897" s="902" t="str">
        <f t="shared" si="14"/>
        <v/>
      </c>
      <c r="B897" s="903" t="str">
        <f>IF(Tabulka4[[#This Row],[Typ úlohy]]="Součet",G897,IF(Tabulka4[[#This Row],[Typ úlohy]]="Účet",B896,""))</f>
        <v/>
      </c>
      <c r="C897" s="903" t="str">
        <f>IF(Tabulka4[[#This Row],[Typ úlohy]]="Účet",H897,"")</f>
        <v/>
      </c>
      <c r="D897" s="903" t="str">
        <f>IF(Tabulka4[[#This Row],[Typ úlohy]]="Účet",GETPIVOTDATA("Součet z Celková hmotnost položek [kg]",$G$2,"Zkratka kalkulační položky",B897,"Výrobce / Dodavatel",C897),"")</f>
        <v/>
      </c>
      <c r="E897" s="904" t="str">
        <f>IF(Tabulka4[[#This Row],[Typ úlohy]]="Účet",GETPIVOTDATA("Součet z Celková cena bez DPH (CZK)",$G$3,"Zkratka kalkulační položky",B897,"Výrobce / Dodavatel",C897),"")</f>
        <v/>
      </c>
    </row>
    <row r="898" spans="1:5" x14ac:dyDescent="0.35">
      <c r="A898" s="902" t="str">
        <f t="shared" si="14"/>
        <v/>
      </c>
      <c r="B898" s="903" t="str">
        <f>IF(Tabulka4[[#This Row],[Typ úlohy]]="Součet",G898,IF(Tabulka4[[#This Row],[Typ úlohy]]="Účet",B897,""))</f>
        <v/>
      </c>
      <c r="C898" s="903" t="str">
        <f>IF(Tabulka4[[#This Row],[Typ úlohy]]="Účet",H898,"")</f>
        <v/>
      </c>
      <c r="D898" s="903" t="str">
        <f>IF(Tabulka4[[#This Row],[Typ úlohy]]="Účet",GETPIVOTDATA("Součet z Celková hmotnost položek [kg]",$G$2,"Zkratka kalkulační položky",B898,"Výrobce / Dodavatel",C898),"")</f>
        <v/>
      </c>
      <c r="E898" s="904" t="str">
        <f>IF(Tabulka4[[#This Row],[Typ úlohy]]="Účet",GETPIVOTDATA("Součet z Celková cena bez DPH (CZK)",$G$3,"Zkratka kalkulační položky",B898,"Výrobce / Dodavatel",C898),"")</f>
        <v/>
      </c>
    </row>
    <row r="899" spans="1:5" x14ac:dyDescent="0.35">
      <c r="A899" s="902" t="str">
        <f t="shared" si="14"/>
        <v/>
      </c>
      <c r="B899" s="903" t="str">
        <f>IF(Tabulka4[[#This Row],[Typ úlohy]]="Součet",G899,IF(Tabulka4[[#This Row],[Typ úlohy]]="Účet",B898,""))</f>
        <v/>
      </c>
      <c r="C899" s="903" t="str">
        <f>IF(Tabulka4[[#This Row],[Typ úlohy]]="Účet",H899,"")</f>
        <v/>
      </c>
      <c r="D899" s="903" t="str">
        <f>IF(Tabulka4[[#This Row],[Typ úlohy]]="Účet",GETPIVOTDATA("Součet z Celková hmotnost položek [kg]",$G$2,"Zkratka kalkulační položky",B899,"Výrobce / Dodavatel",C899),"")</f>
        <v/>
      </c>
      <c r="E899" s="904" t="str">
        <f>IF(Tabulka4[[#This Row],[Typ úlohy]]="Účet",GETPIVOTDATA("Součet z Celková cena bez DPH (CZK)",$G$3,"Zkratka kalkulační položky",B899,"Výrobce / Dodavatel",C899),"")</f>
        <v/>
      </c>
    </row>
    <row r="900" spans="1:5" x14ac:dyDescent="0.35">
      <c r="A900" s="902" t="str">
        <f t="shared" si="14"/>
        <v/>
      </c>
      <c r="B900" s="903" t="str">
        <f>IF(Tabulka4[[#This Row],[Typ úlohy]]="Součet",G900,IF(Tabulka4[[#This Row],[Typ úlohy]]="Účet",B899,""))</f>
        <v/>
      </c>
      <c r="C900" s="903" t="str">
        <f>IF(Tabulka4[[#This Row],[Typ úlohy]]="Účet",H900,"")</f>
        <v/>
      </c>
      <c r="D900" s="903" t="str">
        <f>IF(Tabulka4[[#This Row],[Typ úlohy]]="Účet",GETPIVOTDATA("Součet z Celková hmotnost položek [kg]",$G$2,"Zkratka kalkulační položky",B900,"Výrobce / Dodavatel",C900),"")</f>
        <v/>
      </c>
      <c r="E900" s="904" t="str">
        <f>IF(Tabulka4[[#This Row],[Typ úlohy]]="Účet",GETPIVOTDATA("Součet z Celková cena bez DPH (CZK)",$G$3,"Zkratka kalkulační položky",B900,"Výrobce / Dodavatel",C900),"")</f>
        <v/>
      </c>
    </row>
    <row r="901" spans="1:5" x14ac:dyDescent="0.35">
      <c r="A901" s="902" t="str">
        <f t="shared" ref="A901:A964" si="15">IF(H901="",IF(G901="","","Součet"),"Účet")</f>
        <v/>
      </c>
      <c r="B901" s="903" t="str">
        <f>IF(Tabulka4[[#This Row],[Typ úlohy]]="Součet",G901,IF(Tabulka4[[#This Row],[Typ úlohy]]="Účet",B900,""))</f>
        <v/>
      </c>
      <c r="C901" s="903" t="str">
        <f>IF(Tabulka4[[#This Row],[Typ úlohy]]="Účet",H901,"")</f>
        <v/>
      </c>
      <c r="D901" s="903" t="str">
        <f>IF(Tabulka4[[#This Row],[Typ úlohy]]="Účet",GETPIVOTDATA("Součet z Celková hmotnost položek [kg]",$G$2,"Zkratka kalkulační položky",B901,"Výrobce / Dodavatel",C901),"")</f>
        <v/>
      </c>
      <c r="E901" s="904" t="str">
        <f>IF(Tabulka4[[#This Row],[Typ úlohy]]="Účet",GETPIVOTDATA("Součet z Celková cena bez DPH (CZK)",$G$3,"Zkratka kalkulační položky",B901,"Výrobce / Dodavatel",C901),"")</f>
        <v/>
      </c>
    </row>
    <row r="902" spans="1:5" x14ac:dyDescent="0.35">
      <c r="A902" s="902" t="str">
        <f t="shared" si="15"/>
        <v/>
      </c>
      <c r="B902" s="903" t="str">
        <f>IF(Tabulka4[[#This Row],[Typ úlohy]]="Součet",G902,IF(Tabulka4[[#This Row],[Typ úlohy]]="Účet",B901,""))</f>
        <v/>
      </c>
      <c r="C902" s="903" t="str">
        <f>IF(Tabulka4[[#This Row],[Typ úlohy]]="Účet",H902,"")</f>
        <v/>
      </c>
      <c r="D902" s="903" t="str">
        <f>IF(Tabulka4[[#This Row],[Typ úlohy]]="Účet",GETPIVOTDATA("Součet z Celková hmotnost položek [kg]",$G$2,"Zkratka kalkulační položky",B902,"Výrobce / Dodavatel",C902),"")</f>
        <v/>
      </c>
      <c r="E902" s="904" t="str">
        <f>IF(Tabulka4[[#This Row],[Typ úlohy]]="Účet",GETPIVOTDATA("Součet z Celková cena bez DPH (CZK)",$G$3,"Zkratka kalkulační položky",B902,"Výrobce / Dodavatel",C902),"")</f>
        <v/>
      </c>
    </row>
    <row r="903" spans="1:5" x14ac:dyDescent="0.35">
      <c r="A903" s="902" t="str">
        <f t="shared" si="15"/>
        <v/>
      </c>
      <c r="B903" s="903" t="str">
        <f>IF(Tabulka4[[#This Row],[Typ úlohy]]="Součet",G903,IF(Tabulka4[[#This Row],[Typ úlohy]]="Účet",B902,""))</f>
        <v/>
      </c>
      <c r="C903" s="903" t="str">
        <f>IF(Tabulka4[[#This Row],[Typ úlohy]]="Účet",H903,"")</f>
        <v/>
      </c>
      <c r="D903" s="903" t="str">
        <f>IF(Tabulka4[[#This Row],[Typ úlohy]]="Účet",GETPIVOTDATA("Součet z Celková hmotnost položek [kg]",$G$2,"Zkratka kalkulační položky",B903,"Výrobce / Dodavatel",C903),"")</f>
        <v/>
      </c>
      <c r="E903" s="904" t="str">
        <f>IF(Tabulka4[[#This Row],[Typ úlohy]]="Účet",GETPIVOTDATA("Součet z Celková cena bez DPH (CZK)",$G$3,"Zkratka kalkulační položky",B903,"Výrobce / Dodavatel",C903),"")</f>
        <v/>
      </c>
    </row>
    <row r="904" spans="1:5" x14ac:dyDescent="0.35">
      <c r="A904" s="902" t="str">
        <f t="shared" si="15"/>
        <v/>
      </c>
      <c r="B904" s="903" t="str">
        <f>IF(Tabulka4[[#This Row],[Typ úlohy]]="Součet",G904,IF(Tabulka4[[#This Row],[Typ úlohy]]="Účet",B903,""))</f>
        <v/>
      </c>
      <c r="C904" s="903" t="str">
        <f>IF(Tabulka4[[#This Row],[Typ úlohy]]="Účet",H904,"")</f>
        <v/>
      </c>
      <c r="D904" s="903" t="str">
        <f>IF(Tabulka4[[#This Row],[Typ úlohy]]="Účet",GETPIVOTDATA("Součet z Celková hmotnost položek [kg]",$G$2,"Zkratka kalkulační položky",B904,"Výrobce / Dodavatel",C904),"")</f>
        <v/>
      </c>
      <c r="E904" s="904" t="str">
        <f>IF(Tabulka4[[#This Row],[Typ úlohy]]="Účet",GETPIVOTDATA("Součet z Celková cena bez DPH (CZK)",$G$3,"Zkratka kalkulační položky",B904,"Výrobce / Dodavatel",C904),"")</f>
        <v/>
      </c>
    </row>
    <row r="905" spans="1:5" x14ac:dyDescent="0.35">
      <c r="A905" s="902" t="str">
        <f t="shared" si="15"/>
        <v/>
      </c>
      <c r="B905" s="903" t="str">
        <f>IF(Tabulka4[[#This Row],[Typ úlohy]]="Součet",G905,IF(Tabulka4[[#This Row],[Typ úlohy]]="Účet",B904,""))</f>
        <v/>
      </c>
      <c r="C905" s="903" t="str">
        <f>IF(Tabulka4[[#This Row],[Typ úlohy]]="Účet",H905,"")</f>
        <v/>
      </c>
      <c r="D905" s="903" t="str">
        <f>IF(Tabulka4[[#This Row],[Typ úlohy]]="Účet",GETPIVOTDATA("Součet z Celková hmotnost položek [kg]",$G$2,"Zkratka kalkulační položky",B905,"Výrobce / Dodavatel",C905),"")</f>
        <v/>
      </c>
      <c r="E905" s="904" t="str">
        <f>IF(Tabulka4[[#This Row],[Typ úlohy]]="Účet",GETPIVOTDATA("Součet z Celková cena bez DPH (CZK)",$G$3,"Zkratka kalkulační položky",B905,"Výrobce / Dodavatel",C905),"")</f>
        <v/>
      </c>
    </row>
    <row r="906" spans="1:5" x14ac:dyDescent="0.35">
      <c r="A906" s="902" t="str">
        <f t="shared" si="15"/>
        <v/>
      </c>
      <c r="B906" s="903" t="str">
        <f>IF(Tabulka4[[#This Row],[Typ úlohy]]="Součet",G906,IF(Tabulka4[[#This Row],[Typ úlohy]]="Účet",B905,""))</f>
        <v/>
      </c>
      <c r="C906" s="903" t="str">
        <f>IF(Tabulka4[[#This Row],[Typ úlohy]]="Účet",H906,"")</f>
        <v/>
      </c>
      <c r="D906" s="903" t="str">
        <f>IF(Tabulka4[[#This Row],[Typ úlohy]]="Účet",GETPIVOTDATA("Součet z Celková hmotnost položek [kg]",$G$2,"Zkratka kalkulační položky",B906,"Výrobce / Dodavatel",C906),"")</f>
        <v/>
      </c>
      <c r="E906" s="904" t="str">
        <f>IF(Tabulka4[[#This Row],[Typ úlohy]]="Účet",GETPIVOTDATA("Součet z Celková cena bez DPH (CZK)",$G$3,"Zkratka kalkulační položky",B906,"Výrobce / Dodavatel",C906),"")</f>
        <v/>
      </c>
    </row>
    <row r="907" spans="1:5" x14ac:dyDescent="0.35">
      <c r="A907" s="902" t="str">
        <f t="shared" si="15"/>
        <v/>
      </c>
      <c r="B907" s="903" t="str">
        <f>IF(Tabulka4[[#This Row],[Typ úlohy]]="Součet",G907,IF(Tabulka4[[#This Row],[Typ úlohy]]="Účet",B906,""))</f>
        <v/>
      </c>
      <c r="C907" s="903" t="str">
        <f>IF(Tabulka4[[#This Row],[Typ úlohy]]="Účet",H907,"")</f>
        <v/>
      </c>
      <c r="D907" s="903" t="str">
        <f>IF(Tabulka4[[#This Row],[Typ úlohy]]="Účet",GETPIVOTDATA("Součet z Celková hmotnost položek [kg]",$G$2,"Zkratka kalkulační položky",B907,"Výrobce / Dodavatel",C907),"")</f>
        <v/>
      </c>
      <c r="E907" s="904" t="str">
        <f>IF(Tabulka4[[#This Row],[Typ úlohy]]="Účet",GETPIVOTDATA("Součet z Celková cena bez DPH (CZK)",$G$3,"Zkratka kalkulační položky",B907,"Výrobce / Dodavatel",C907),"")</f>
        <v/>
      </c>
    </row>
    <row r="908" spans="1:5" x14ac:dyDescent="0.35">
      <c r="A908" s="902" t="str">
        <f t="shared" si="15"/>
        <v/>
      </c>
      <c r="B908" s="903" t="str">
        <f>IF(Tabulka4[[#This Row],[Typ úlohy]]="Součet",G908,IF(Tabulka4[[#This Row],[Typ úlohy]]="Účet",B907,""))</f>
        <v/>
      </c>
      <c r="C908" s="903" t="str">
        <f>IF(Tabulka4[[#This Row],[Typ úlohy]]="Účet",H908,"")</f>
        <v/>
      </c>
      <c r="D908" s="903" t="str">
        <f>IF(Tabulka4[[#This Row],[Typ úlohy]]="Účet",GETPIVOTDATA("Součet z Celková hmotnost položek [kg]",$G$2,"Zkratka kalkulační položky",B908,"Výrobce / Dodavatel",C908),"")</f>
        <v/>
      </c>
      <c r="E908" s="904" t="str">
        <f>IF(Tabulka4[[#This Row],[Typ úlohy]]="Účet",GETPIVOTDATA("Součet z Celková cena bez DPH (CZK)",$G$3,"Zkratka kalkulační položky",B908,"Výrobce / Dodavatel",C908),"")</f>
        <v/>
      </c>
    </row>
    <row r="909" spans="1:5" x14ac:dyDescent="0.35">
      <c r="A909" s="902" t="str">
        <f t="shared" si="15"/>
        <v/>
      </c>
      <c r="B909" s="903" t="str">
        <f>IF(Tabulka4[[#This Row],[Typ úlohy]]="Součet",G909,IF(Tabulka4[[#This Row],[Typ úlohy]]="Účet",B908,""))</f>
        <v/>
      </c>
      <c r="C909" s="903" t="str">
        <f>IF(Tabulka4[[#This Row],[Typ úlohy]]="Účet",H909,"")</f>
        <v/>
      </c>
      <c r="D909" s="903" t="str">
        <f>IF(Tabulka4[[#This Row],[Typ úlohy]]="Účet",GETPIVOTDATA("Součet z Celková hmotnost položek [kg]",$G$2,"Zkratka kalkulační položky",B909,"Výrobce / Dodavatel",C909),"")</f>
        <v/>
      </c>
      <c r="E909" s="904" t="str">
        <f>IF(Tabulka4[[#This Row],[Typ úlohy]]="Účet",GETPIVOTDATA("Součet z Celková cena bez DPH (CZK)",$G$3,"Zkratka kalkulační položky",B909,"Výrobce / Dodavatel",C909),"")</f>
        <v/>
      </c>
    </row>
    <row r="910" spans="1:5" x14ac:dyDescent="0.35">
      <c r="A910" s="902" t="str">
        <f t="shared" si="15"/>
        <v/>
      </c>
      <c r="B910" s="903" t="str">
        <f>IF(Tabulka4[[#This Row],[Typ úlohy]]="Součet",G910,IF(Tabulka4[[#This Row],[Typ úlohy]]="Účet",B909,""))</f>
        <v/>
      </c>
      <c r="C910" s="903" t="str">
        <f>IF(Tabulka4[[#This Row],[Typ úlohy]]="Účet",H910,"")</f>
        <v/>
      </c>
      <c r="D910" s="903" t="str">
        <f>IF(Tabulka4[[#This Row],[Typ úlohy]]="Účet",GETPIVOTDATA("Součet z Celková hmotnost položek [kg]",$G$2,"Zkratka kalkulační položky",B910,"Výrobce / Dodavatel",C910),"")</f>
        <v/>
      </c>
      <c r="E910" s="904" t="str">
        <f>IF(Tabulka4[[#This Row],[Typ úlohy]]="Účet",GETPIVOTDATA("Součet z Celková cena bez DPH (CZK)",$G$3,"Zkratka kalkulační položky",B910,"Výrobce / Dodavatel",C910),"")</f>
        <v/>
      </c>
    </row>
    <row r="911" spans="1:5" x14ac:dyDescent="0.35">
      <c r="A911" s="902" t="str">
        <f t="shared" si="15"/>
        <v/>
      </c>
      <c r="B911" s="903" t="str">
        <f>IF(Tabulka4[[#This Row],[Typ úlohy]]="Součet",G911,IF(Tabulka4[[#This Row],[Typ úlohy]]="Účet",B910,""))</f>
        <v/>
      </c>
      <c r="C911" s="903" t="str">
        <f>IF(Tabulka4[[#This Row],[Typ úlohy]]="Účet",H911,"")</f>
        <v/>
      </c>
      <c r="D911" s="903" t="str">
        <f>IF(Tabulka4[[#This Row],[Typ úlohy]]="Účet",GETPIVOTDATA("Součet z Celková hmotnost položek [kg]",$G$2,"Zkratka kalkulační položky",B911,"Výrobce / Dodavatel",C911),"")</f>
        <v/>
      </c>
      <c r="E911" s="904" t="str">
        <f>IF(Tabulka4[[#This Row],[Typ úlohy]]="Účet",GETPIVOTDATA("Součet z Celková cena bez DPH (CZK)",$G$3,"Zkratka kalkulační položky",B911,"Výrobce / Dodavatel",C911),"")</f>
        <v/>
      </c>
    </row>
    <row r="912" spans="1:5" x14ac:dyDescent="0.35">
      <c r="A912" s="902" t="str">
        <f t="shared" si="15"/>
        <v/>
      </c>
      <c r="B912" s="903" t="str">
        <f>IF(Tabulka4[[#This Row],[Typ úlohy]]="Součet",G912,IF(Tabulka4[[#This Row],[Typ úlohy]]="Účet",B911,""))</f>
        <v/>
      </c>
      <c r="C912" s="903" t="str">
        <f>IF(Tabulka4[[#This Row],[Typ úlohy]]="Účet",H912,"")</f>
        <v/>
      </c>
      <c r="D912" s="903" t="str">
        <f>IF(Tabulka4[[#This Row],[Typ úlohy]]="Účet",GETPIVOTDATA("Součet z Celková hmotnost položek [kg]",$G$2,"Zkratka kalkulační položky",B912,"Výrobce / Dodavatel",C912),"")</f>
        <v/>
      </c>
      <c r="E912" s="904" t="str">
        <f>IF(Tabulka4[[#This Row],[Typ úlohy]]="Účet",GETPIVOTDATA("Součet z Celková cena bez DPH (CZK)",$G$3,"Zkratka kalkulační položky",B912,"Výrobce / Dodavatel",C912),"")</f>
        <v/>
      </c>
    </row>
    <row r="913" spans="1:5" x14ac:dyDescent="0.35">
      <c r="A913" s="902" t="str">
        <f t="shared" si="15"/>
        <v/>
      </c>
      <c r="B913" s="903" t="str">
        <f>IF(Tabulka4[[#This Row],[Typ úlohy]]="Součet",G913,IF(Tabulka4[[#This Row],[Typ úlohy]]="Účet",B912,""))</f>
        <v/>
      </c>
      <c r="C913" s="903" t="str">
        <f>IF(Tabulka4[[#This Row],[Typ úlohy]]="Účet",H913,"")</f>
        <v/>
      </c>
      <c r="D913" s="903" t="str">
        <f>IF(Tabulka4[[#This Row],[Typ úlohy]]="Účet",GETPIVOTDATA("Součet z Celková hmotnost položek [kg]",$G$2,"Zkratka kalkulační položky",B913,"Výrobce / Dodavatel",C913),"")</f>
        <v/>
      </c>
      <c r="E913" s="904" t="str">
        <f>IF(Tabulka4[[#This Row],[Typ úlohy]]="Účet",GETPIVOTDATA("Součet z Celková cena bez DPH (CZK)",$G$3,"Zkratka kalkulační položky",B913,"Výrobce / Dodavatel",C913),"")</f>
        <v/>
      </c>
    </row>
    <row r="914" spans="1:5" x14ac:dyDescent="0.35">
      <c r="A914" s="902" t="str">
        <f t="shared" si="15"/>
        <v/>
      </c>
      <c r="B914" s="903" t="str">
        <f>IF(Tabulka4[[#This Row],[Typ úlohy]]="Součet",G914,IF(Tabulka4[[#This Row],[Typ úlohy]]="Účet",B913,""))</f>
        <v/>
      </c>
      <c r="C914" s="903" t="str">
        <f>IF(Tabulka4[[#This Row],[Typ úlohy]]="Účet",H914,"")</f>
        <v/>
      </c>
      <c r="D914" s="903" t="str">
        <f>IF(Tabulka4[[#This Row],[Typ úlohy]]="Účet",GETPIVOTDATA("Součet z Celková hmotnost položek [kg]",$G$2,"Zkratka kalkulační položky",B914,"Výrobce / Dodavatel",C914),"")</f>
        <v/>
      </c>
      <c r="E914" s="904" t="str">
        <f>IF(Tabulka4[[#This Row],[Typ úlohy]]="Účet",GETPIVOTDATA("Součet z Celková cena bez DPH (CZK)",$G$3,"Zkratka kalkulační položky",B914,"Výrobce / Dodavatel",C914),"")</f>
        <v/>
      </c>
    </row>
    <row r="915" spans="1:5" x14ac:dyDescent="0.35">
      <c r="A915" s="902" t="str">
        <f t="shared" si="15"/>
        <v/>
      </c>
      <c r="B915" s="903" t="str">
        <f>IF(Tabulka4[[#This Row],[Typ úlohy]]="Součet",G915,IF(Tabulka4[[#This Row],[Typ úlohy]]="Účet",B914,""))</f>
        <v/>
      </c>
      <c r="C915" s="903" t="str">
        <f>IF(Tabulka4[[#This Row],[Typ úlohy]]="Účet",H915,"")</f>
        <v/>
      </c>
      <c r="D915" s="903" t="str">
        <f>IF(Tabulka4[[#This Row],[Typ úlohy]]="Účet",GETPIVOTDATA("Součet z Celková hmotnost položek [kg]",$G$2,"Zkratka kalkulační položky",B915,"Výrobce / Dodavatel",C915),"")</f>
        <v/>
      </c>
      <c r="E915" s="904" t="str">
        <f>IF(Tabulka4[[#This Row],[Typ úlohy]]="Účet",GETPIVOTDATA("Součet z Celková cena bez DPH (CZK)",$G$3,"Zkratka kalkulační položky",B915,"Výrobce / Dodavatel",C915),"")</f>
        <v/>
      </c>
    </row>
    <row r="916" spans="1:5" x14ac:dyDescent="0.35">
      <c r="A916" s="902" t="str">
        <f t="shared" si="15"/>
        <v/>
      </c>
      <c r="B916" s="903" t="str">
        <f>IF(Tabulka4[[#This Row],[Typ úlohy]]="Součet",G916,IF(Tabulka4[[#This Row],[Typ úlohy]]="Účet",B915,""))</f>
        <v/>
      </c>
      <c r="C916" s="903" t="str">
        <f>IF(Tabulka4[[#This Row],[Typ úlohy]]="Účet",H916,"")</f>
        <v/>
      </c>
      <c r="D916" s="903" t="str">
        <f>IF(Tabulka4[[#This Row],[Typ úlohy]]="Účet",GETPIVOTDATA("Součet z Celková hmotnost položek [kg]",$G$2,"Zkratka kalkulační položky",B916,"Výrobce / Dodavatel",C916),"")</f>
        <v/>
      </c>
      <c r="E916" s="904" t="str">
        <f>IF(Tabulka4[[#This Row],[Typ úlohy]]="Účet",GETPIVOTDATA("Součet z Celková cena bez DPH (CZK)",$G$3,"Zkratka kalkulační položky",B916,"Výrobce / Dodavatel",C916),"")</f>
        <v/>
      </c>
    </row>
    <row r="917" spans="1:5" x14ac:dyDescent="0.35">
      <c r="A917" s="902" t="str">
        <f t="shared" si="15"/>
        <v/>
      </c>
      <c r="B917" s="903" t="str">
        <f>IF(Tabulka4[[#This Row],[Typ úlohy]]="Součet",G917,IF(Tabulka4[[#This Row],[Typ úlohy]]="Účet",B916,""))</f>
        <v/>
      </c>
      <c r="C917" s="903" t="str">
        <f>IF(Tabulka4[[#This Row],[Typ úlohy]]="Účet",H917,"")</f>
        <v/>
      </c>
      <c r="D917" s="903" t="str">
        <f>IF(Tabulka4[[#This Row],[Typ úlohy]]="Účet",GETPIVOTDATA("Součet z Celková hmotnost položek [kg]",$G$2,"Zkratka kalkulační položky",B917,"Výrobce / Dodavatel",C917),"")</f>
        <v/>
      </c>
      <c r="E917" s="904" t="str">
        <f>IF(Tabulka4[[#This Row],[Typ úlohy]]="Účet",GETPIVOTDATA("Součet z Celková cena bez DPH (CZK)",$G$3,"Zkratka kalkulační položky",B917,"Výrobce / Dodavatel",C917),"")</f>
        <v/>
      </c>
    </row>
    <row r="918" spans="1:5" x14ac:dyDescent="0.35">
      <c r="A918" s="902" t="str">
        <f t="shared" si="15"/>
        <v/>
      </c>
      <c r="B918" s="903" t="str">
        <f>IF(Tabulka4[[#This Row],[Typ úlohy]]="Součet",G918,IF(Tabulka4[[#This Row],[Typ úlohy]]="Účet",B917,""))</f>
        <v/>
      </c>
      <c r="C918" s="903" t="str">
        <f>IF(Tabulka4[[#This Row],[Typ úlohy]]="Účet",H918,"")</f>
        <v/>
      </c>
      <c r="D918" s="903" t="str">
        <f>IF(Tabulka4[[#This Row],[Typ úlohy]]="Účet",GETPIVOTDATA("Součet z Celková hmotnost položek [kg]",$G$2,"Zkratka kalkulační položky",B918,"Výrobce / Dodavatel",C918),"")</f>
        <v/>
      </c>
      <c r="E918" s="904" t="str">
        <f>IF(Tabulka4[[#This Row],[Typ úlohy]]="Účet",GETPIVOTDATA("Součet z Celková cena bez DPH (CZK)",$G$3,"Zkratka kalkulační položky",B918,"Výrobce / Dodavatel",C918),"")</f>
        <v/>
      </c>
    </row>
    <row r="919" spans="1:5" x14ac:dyDescent="0.35">
      <c r="A919" s="902" t="str">
        <f t="shared" si="15"/>
        <v/>
      </c>
      <c r="B919" s="903" t="str">
        <f>IF(Tabulka4[[#This Row],[Typ úlohy]]="Součet",G919,IF(Tabulka4[[#This Row],[Typ úlohy]]="Účet",B918,""))</f>
        <v/>
      </c>
      <c r="C919" s="903" t="str">
        <f>IF(Tabulka4[[#This Row],[Typ úlohy]]="Účet",H919,"")</f>
        <v/>
      </c>
      <c r="D919" s="903" t="str">
        <f>IF(Tabulka4[[#This Row],[Typ úlohy]]="Účet",GETPIVOTDATA("Součet z Celková hmotnost položek [kg]",$G$2,"Zkratka kalkulační položky",B919,"Výrobce / Dodavatel",C919),"")</f>
        <v/>
      </c>
      <c r="E919" s="904" t="str">
        <f>IF(Tabulka4[[#This Row],[Typ úlohy]]="Účet",GETPIVOTDATA("Součet z Celková cena bez DPH (CZK)",$G$3,"Zkratka kalkulační položky",B919,"Výrobce / Dodavatel",C919),"")</f>
        <v/>
      </c>
    </row>
    <row r="920" spans="1:5" x14ac:dyDescent="0.35">
      <c r="A920" s="902" t="str">
        <f t="shared" si="15"/>
        <v/>
      </c>
      <c r="B920" s="903" t="str">
        <f>IF(Tabulka4[[#This Row],[Typ úlohy]]="Součet",G920,IF(Tabulka4[[#This Row],[Typ úlohy]]="Účet",B919,""))</f>
        <v/>
      </c>
      <c r="C920" s="903" t="str">
        <f>IF(Tabulka4[[#This Row],[Typ úlohy]]="Účet",H920,"")</f>
        <v/>
      </c>
      <c r="D920" s="903" t="str">
        <f>IF(Tabulka4[[#This Row],[Typ úlohy]]="Účet",GETPIVOTDATA("Součet z Celková hmotnost položek [kg]",$G$2,"Zkratka kalkulační položky",B920,"Výrobce / Dodavatel",C920),"")</f>
        <v/>
      </c>
      <c r="E920" s="904" t="str">
        <f>IF(Tabulka4[[#This Row],[Typ úlohy]]="Účet",GETPIVOTDATA("Součet z Celková cena bez DPH (CZK)",$G$3,"Zkratka kalkulační položky",B920,"Výrobce / Dodavatel",C920),"")</f>
        <v/>
      </c>
    </row>
    <row r="921" spans="1:5" x14ac:dyDescent="0.35">
      <c r="A921" s="902" t="str">
        <f t="shared" si="15"/>
        <v/>
      </c>
      <c r="B921" s="903" t="str">
        <f>IF(Tabulka4[[#This Row],[Typ úlohy]]="Součet",G921,IF(Tabulka4[[#This Row],[Typ úlohy]]="Účet",B920,""))</f>
        <v/>
      </c>
      <c r="C921" s="903" t="str">
        <f>IF(Tabulka4[[#This Row],[Typ úlohy]]="Účet",H921,"")</f>
        <v/>
      </c>
      <c r="D921" s="903" t="str">
        <f>IF(Tabulka4[[#This Row],[Typ úlohy]]="Účet",GETPIVOTDATA("Součet z Celková hmotnost položek [kg]",$G$2,"Zkratka kalkulační položky",B921,"Výrobce / Dodavatel",C921),"")</f>
        <v/>
      </c>
      <c r="E921" s="904" t="str">
        <f>IF(Tabulka4[[#This Row],[Typ úlohy]]="Účet",GETPIVOTDATA("Součet z Celková cena bez DPH (CZK)",$G$3,"Zkratka kalkulační položky",B921,"Výrobce / Dodavatel",C921),"")</f>
        <v/>
      </c>
    </row>
    <row r="922" spans="1:5" x14ac:dyDescent="0.35">
      <c r="A922" s="902" t="str">
        <f t="shared" si="15"/>
        <v/>
      </c>
      <c r="B922" s="903" t="str">
        <f>IF(Tabulka4[[#This Row],[Typ úlohy]]="Součet",G922,IF(Tabulka4[[#This Row],[Typ úlohy]]="Účet",B921,""))</f>
        <v/>
      </c>
      <c r="C922" s="903" t="str">
        <f>IF(Tabulka4[[#This Row],[Typ úlohy]]="Účet",H922,"")</f>
        <v/>
      </c>
      <c r="D922" s="903" t="str">
        <f>IF(Tabulka4[[#This Row],[Typ úlohy]]="Účet",GETPIVOTDATA("Součet z Celková hmotnost položek [kg]",$G$2,"Zkratka kalkulační položky",B922,"Výrobce / Dodavatel",C922),"")</f>
        <v/>
      </c>
      <c r="E922" s="904" t="str">
        <f>IF(Tabulka4[[#This Row],[Typ úlohy]]="Účet",GETPIVOTDATA("Součet z Celková cena bez DPH (CZK)",$G$3,"Zkratka kalkulační položky",B922,"Výrobce / Dodavatel",C922),"")</f>
        <v/>
      </c>
    </row>
    <row r="923" spans="1:5" x14ac:dyDescent="0.35">
      <c r="A923" s="902" t="str">
        <f t="shared" si="15"/>
        <v/>
      </c>
      <c r="B923" s="903" t="str">
        <f>IF(Tabulka4[[#This Row],[Typ úlohy]]="Součet",G923,IF(Tabulka4[[#This Row],[Typ úlohy]]="Účet",B922,""))</f>
        <v/>
      </c>
      <c r="C923" s="903" t="str">
        <f>IF(Tabulka4[[#This Row],[Typ úlohy]]="Účet",H923,"")</f>
        <v/>
      </c>
      <c r="D923" s="903" t="str">
        <f>IF(Tabulka4[[#This Row],[Typ úlohy]]="Účet",GETPIVOTDATA("Součet z Celková hmotnost položek [kg]",$G$2,"Zkratka kalkulační položky",B923,"Výrobce / Dodavatel",C923),"")</f>
        <v/>
      </c>
      <c r="E923" s="904" t="str">
        <f>IF(Tabulka4[[#This Row],[Typ úlohy]]="Účet",GETPIVOTDATA("Součet z Celková cena bez DPH (CZK)",$G$3,"Zkratka kalkulační položky",B923,"Výrobce / Dodavatel",C923),"")</f>
        <v/>
      </c>
    </row>
    <row r="924" spans="1:5" x14ac:dyDescent="0.35">
      <c r="A924" s="902" t="str">
        <f t="shared" si="15"/>
        <v/>
      </c>
      <c r="B924" s="903" t="str">
        <f>IF(Tabulka4[[#This Row],[Typ úlohy]]="Součet",G924,IF(Tabulka4[[#This Row],[Typ úlohy]]="Účet",B923,""))</f>
        <v/>
      </c>
      <c r="C924" s="903" t="str">
        <f>IF(Tabulka4[[#This Row],[Typ úlohy]]="Účet",H924,"")</f>
        <v/>
      </c>
      <c r="D924" s="903" t="str">
        <f>IF(Tabulka4[[#This Row],[Typ úlohy]]="Účet",GETPIVOTDATA("Součet z Celková hmotnost položek [kg]",$G$2,"Zkratka kalkulační položky",B924,"Výrobce / Dodavatel",C924),"")</f>
        <v/>
      </c>
      <c r="E924" s="904" t="str">
        <f>IF(Tabulka4[[#This Row],[Typ úlohy]]="Účet",GETPIVOTDATA("Součet z Celková cena bez DPH (CZK)",$G$3,"Zkratka kalkulační položky",B924,"Výrobce / Dodavatel",C924),"")</f>
        <v/>
      </c>
    </row>
    <row r="925" spans="1:5" x14ac:dyDescent="0.35">
      <c r="A925" s="902" t="str">
        <f t="shared" si="15"/>
        <v/>
      </c>
      <c r="B925" s="903" t="str">
        <f>IF(Tabulka4[[#This Row],[Typ úlohy]]="Součet",G925,IF(Tabulka4[[#This Row],[Typ úlohy]]="Účet",B924,""))</f>
        <v/>
      </c>
      <c r="C925" s="903" t="str">
        <f>IF(Tabulka4[[#This Row],[Typ úlohy]]="Účet",H925,"")</f>
        <v/>
      </c>
      <c r="D925" s="903" t="str">
        <f>IF(Tabulka4[[#This Row],[Typ úlohy]]="Účet",GETPIVOTDATA("Součet z Celková hmotnost položek [kg]",$G$2,"Zkratka kalkulační položky",B925,"Výrobce / Dodavatel",C925),"")</f>
        <v/>
      </c>
      <c r="E925" s="904" t="str">
        <f>IF(Tabulka4[[#This Row],[Typ úlohy]]="Účet",GETPIVOTDATA("Součet z Celková cena bez DPH (CZK)",$G$3,"Zkratka kalkulační položky",B925,"Výrobce / Dodavatel",C925),"")</f>
        <v/>
      </c>
    </row>
    <row r="926" spans="1:5" x14ac:dyDescent="0.35">
      <c r="A926" s="902" t="str">
        <f t="shared" si="15"/>
        <v/>
      </c>
      <c r="B926" s="903" t="str">
        <f>IF(Tabulka4[[#This Row],[Typ úlohy]]="Součet",G926,IF(Tabulka4[[#This Row],[Typ úlohy]]="Účet",B925,""))</f>
        <v/>
      </c>
      <c r="C926" s="903" t="str">
        <f>IF(Tabulka4[[#This Row],[Typ úlohy]]="Účet",H926,"")</f>
        <v/>
      </c>
      <c r="D926" s="903" t="str">
        <f>IF(Tabulka4[[#This Row],[Typ úlohy]]="Účet",GETPIVOTDATA("Součet z Celková hmotnost položek [kg]",$G$2,"Zkratka kalkulační položky",B926,"Výrobce / Dodavatel",C926),"")</f>
        <v/>
      </c>
      <c r="E926" s="904" t="str">
        <f>IF(Tabulka4[[#This Row],[Typ úlohy]]="Účet",GETPIVOTDATA("Součet z Celková cena bez DPH (CZK)",$G$3,"Zkratka kalkulační položky",B926,"Výrobce / Dodavatel",C926),"")</f>
        <v/>
      </c>
    </row>
    <row r="927" spans="1:5" x14ac:dyDescent="0.35">
      <c r="A927" s="902" t="str">
        <f t="shared" si="15"/>
        <v/>
      </c>
      <c r="B927" s="903" t="str">
        <f>IF(Tabulka4[[#This Row],[Typ úlohy]]="Součet",G927,IF(Tabulka4[[#This Row],[Typ úlohy]]="Účet",B926,""))</f>
        <v/>
      </c>
      <c r="C927" s="903" t="str">
        <f>IF(Tabulka4[[#This Row],[Typ úlohy]]="Účet",H927,"")</f>
        <v/>
      </c>
      <c r="D927" s="903" t="str">
        <f>IF(Tabulka4[[#This Row],[Typ úlohy]]="Účet",GETPIVOTDATA("Součet z Celková hmotnost položek [kg]",$G$2,"Zkratka kalkulační položky",B927,"Výrobce / Dodavatel",C927),"")</f>
        <v/>
      </c>
      <c r="E927" s="904" t="str">
        <f>IF(Tabulka4[[#This Row],[Typ úlohy]]="Účet",GETPIVOTDATA("Součet z Celková cena bez DPH (CZK)",$G$3,"Zkratka kalkulační položky",B927,"Výrobce / Dodavatel",C927),"")</f>
        <v/>
      </c>
    </row>
    <row r="928" spans="1:5" x14ac:dyDescent="0.35">
      <c r="A928" s="902" t="str">
        <f t="shared" si="15"/>
        <v/>
      </c>
      <c r="B928" s="903" t="str">
        <f>IF(Tabulka4[[#This Row],[Typ úlohy]]="Součet",G928,IF(Tabulka4[[#This Row],[Typ úlohy]]="Účet",B927,""))</f>
        <v/>
      </c>
      <c r="C928" s="903" t="str">
        <f>IF(Tabulka4[[#This Row],[Typ úlohy]]="Účet",H928,"")</f>
        <v/>
      </c>
      <c r="D928" s="903" t="str">
        <f>IF(Tabulka4[[#This Row],[Typ úlohy]]="Účet",GETPIVOTDATA("Součet z Celková hmotnost položek [kg]",$G$2,"Zkratka kalkulační položky",B928,"Výrobce / Dodavatel",C928),"")</f>
        <v/>
      </c>
      <c r="E928" s="904" t="str">
        <f>IF(Tabulka4[[#This Row],[Typ úlohy]]="Účet",GETPIVOTDATA("Součet z Celková cena bez DPH (CZK)",$G$3,"Zkratka kalkulační položky",B928,"Výrobce / Dodavatel",C928),"")</f>
        <v/>
      </c>
    </row>
    <row r="929" spans="1:5" x14ac:dyDescent="0.35">
      <c r="A929" s="902" t="str">
        <f t="shared" si="15"/>
        <v/>
      </c>
      <c r="B929" s="903" t="str">
        <f>IF(Tabulka4[[#This Row],[Typ úlohy]]="Součet",G929,IF(Tabulka4[[#This Row],[Typ úlohy]]="Účet",B928,""))</f>
        <v/>
      </c>
      <c r="C929" s="903" t="str">
        <f>IF(Tabulka4[[#This Row],[Typ úlohy]]="Účet",H929,"")</f>
        <v/>
      </c>
      <c r="D929" s="903" t="str">
        <f>IF(Tabulka4[[#This Row],[Typ úlohy]]="Účet",GETPIVOTDATA("Součet z Celková hmotnost položek [kg]",$G$2,"Zkratka kalkulační položky",B929,"Výrobce / Dodavatel",C929),"")</f>
        <v/>
      </c>
      <c r="E929" s="904" t="str">
        <f>IF(Tabulka4[[#This Row],[Typ úlohy]]="Účet",GETPIVOTDATA("Součet z Celková cena bez DPH (CZK)",$G$3,"Zkratka kalkulační položky",B929,"Výrobce / Dodavatel",C929),"")</f>
        <v/>
      </c>
    </row>
    <row r="930" spans="1:5" x14ac:dyDescent="0.35">
      <c r="A930" s="902" t="str">
        <f t="shared" si="15"/>
        <v/>
      </c>
      <c r="B930" s="903" t="str">
        <f>IF(Tabulka4[[#This Row],[Typ úlohy]]="Součet",G930,IF(Tabulka4[[#This Row],[Typ úlohy]]="Účet",B929,""))</f>
        <v/>
      </c>
      <c r="C930" s="903" t="str">
        <f>IF(Tabulka4[[#This Row],[Typ úlohy]]="Účet",H930,"")</f>
        <v/>
      </c>
      <c r="D930" s="903" t="str">
        <f>IF(Tabulka4[[#This Row],[Typ úlohy]]="Účet",GETPIVOTDATA("Součet z Celková hmotnost položek [kg]",$G$2,"Zkratka kalkulační položky",B930,"Výrobce / Dodavatel",C930),"")</f>
        <v/>
      </c>
      <c r="E930" s="904" t="str">
        <f>IF(Tabulka4[[#This Row],[Typ úlohy]]="Účet",GETPIVOTDATA("Součet z Celková cena bez DPH (CZK)",$G$3,"Zkratka kalkulační položky",B930,"Výrobce / Dodavatel",C930),"")</f>
        <v/>
      </c>
    </row>
    <row r="931" spans="1:5" x14ac:dyDescent="0.35">
      <c r="A931" s="902" t="str">
        <f t="shared" si="15"/>
        <v/>
      </c>
      <c r="B931" s="903" t="str">
        <f>IF(Tabulka4[[#This Row],[Typ úlohy]]="Součet",G931,IF(Tabulka4[[#This Row],[Typ úlohy]]="Účet",B930,""))</f>
        <v/>
      </c>
      <c r="C931" s="903" t="str">
        <f>IF(Tabulka4[[#This Row],[Typ úlohy]]="Účet",H931,"")</f>
        <v/>
      </c>
      <c r="D931" s="903" t="str">
        <f>IF(Tabulka4[[#This Row],[Typ úlohy]]="Účet",GETPIVOTDATA("Součet z Celková hmotnost položek [kg]",$G$2,"Zkratka kalkulační položky",B931,"Výrobce / Dodavatel",C931),"")</f>
        <v/>
      </c>
      <c r="E931" s="904" t="str">
        <f>IF(Tabulka4[[#This Row],[Typ úlohy]]="Účet",GETPIVOTDATA("Součet z Celková cena bez DPH (CZK)",$G$3,"Zkratka kalkulační položky",B931,"Výrobce / Dodavatel",C931),"")</f>
        <v/>
      </c>
    </row>
    <row r="932" spans="1:5" x14ac:dyDescent="0.35">
      <c r="A932" s="902" t="str">
        <f t="shared" si="15"/>
        <v/>
      </c>
      <c r="B932" s="903" t="str">
        <f>IF(Tabulka4[[#This Row],[Typ úlohy]]="Součet",G932,IF(Tabulka4[[#This Row],[Typ úlohy]]="Účet",B931,""))</f>
        <v/>
      </c>
      <c r="C932" s="903" t="str">
        <f>IF(Tabulka4[[#This Row],[Typ úlohy]]="Účet",H932,"")</f>
        <v/>
      </c>
      <c r="D932" s="903" t="str">
        <f>IF(Tabulka4[[#This Row],[Typ úlohy]]="Účet",GETPIVOTDATA("Součet z Celková hmotnost položek [kg]",$G$2,"Zkratka kalkulační položky",B932,"Výrobce / Dodavatel",C932),"")</f>
        <v/>
      </c>
      <c r="E932" s="904" t="str">
        <f>IF(Tabulka4[[#This Row],[Typ úlohy]]="Účet",GETPIVOTDATA("Součet z Celková cena bez DPH (CZK)",$G$3,"Zkratka kalkulační položky",B932,"Výrobce / Dodavatel",C932),"")</f>
        <v/>
      </c>
    </row>
    <row r="933" spans="1:5" x14ac:dyDescent="0.35">
      <c r="A933" s="902" t="str">
        <f t="shared" si="15"/>
        <v/>
      </c>
      <c r="B933" s="903" t="str">
        <f>IF(Tabulka4[[#This Row],[Typ úlohy]]="Součet",G933,IF(Tabulka4[[#This Row],[Typ úlohy]]="Účet",B932,""))</f>
        <v/>
      </c>
      <c r="C933" s="903" t="str">
        <f>IF(Tabulka4[[#This Row],[Typ úlohy]]="Účet",H933,"")</f>
        <v/>
      </c>
      <c r="D933" s="903" t="str">
        <f>IF(Tabulka4[[#This Row],[Typ úlohy]]="Účet",GETPIVOTDATA("Součet z Celková hmotnost položek [kg]",$G$2,"Zkratka kalkulační položky",B933,"Výrobce / Dodavatel",C933),"")</f>
        <v/>
      </c>
      <c r="E933" s="904" t="str">
        <f>IF(Tabulka4[[#This Row],[Typ úlohy]]="Účet",GETPIVOTDATA("Součet z Celková cena bez DPH (CZK)",$G$3,"Zkratka kalkulační položky",B933,"Výrobce / Dodavatel",C933),"")</f>
        <v/>
      </c>
    </row>
    <row r="934" spans="1:5" x14ac:dyDescent="0.35">
      <c r="A934" s="902" t="str">
        <f t="shared" si="15"/>
        <v/>
      </c>
      <c r="B934" s="903" t="str">
        <f>IF(Tabulka4[[#This Row],[Typ úlohy]]="Součet",G934,IF(Tabulka4[[#This Row],[Typ úlohy]]="Účet",B933,""))</f>
        <v/>
      </c>
      <c r="C934" s="903" t="str">
        <f>IF(Tabulka4[[#This Row],[Typ úlohy]]="Účet",H934,"")</f>
        <v/>
      </c>
      <c r="D934" s="903" t="str">
        <f>IF(Tabulka4[[#This Row],[Typ úlohy]]="Účet",GETPIVOTDATA("Součet z Celková hmotnost položek [kg]",$G$2,"Zkratka kalkulační položky",B934,"Výrobce / Dodavatel",C934),"")</f>
        <v/>
      </c>
      <c r="E934" s="904" t="str">
        <f>IF(Tabulka4[[#This Row],[Typ úlohy]]="Účet",GETPIVOTDATA("Součet z Celková cena bez DPH (CZK)",$G$3,"Zkratka kalkulační položky",B934,"Výrobce / Dodavatel",C934),"")</f>
        <v/>
      </c>
    </row>
    <row r="935" spans="1:5" x14ac:dyDescent="0.35">
      <c r="A935" s="902" t="str">
        <f t="shared" si="15"/>
        <v/>
      </c>
      <c r="B935" s="903" t="str">
        <f>IF(Tabulka4[[#This Row],[Typ úlohy]]="Součet",G935,IF(Tabulka4[[#This Row],[Typ úlohy]]="Účet",B934,""))</f>
        <v/>
      </c>
      <c r="C935" s="903" t="str">
        <f>IF(Tabulka4[[#This Row],[Typ úlohy]]="Účet",H935,"")</f>
        <v/>
      </c>
      <c r="D935" s="903" t="str">
        <f>IF(Tabulka4[[#This Row],[Typ úlohy]]="Účet",GETPIVOTDATA("Součet z Celková hmotnost položek [kg]",$G$2,"Zkratka kalkulační položky",B935,"Výrobce / Dodavatel",C935),"")</f>
        <v/>
      </c>
      <c r="E935" s="904" t="str">
        <f>IF(Tabulka4[[#This Row],[Typ úlohy]]="Účet",GETPIVOTDATA("Součet z Celková cena bez DPH (CZK)",$G$3,"Zkratka kalkulační položky",B935,"Výrobce / Dodavatel",C935),"")</f>
        <v/>
      </c>
    </row>
    <row r="936" spans="1:5" x14ac:dyDescent="0.35">
      <c r="A936" s="902" t="str">
        <f t="shared" si="15"/>
        <v/>
      </c>
      <c r="B936" s="903" t="str">
        <f>IF(Tabulka4[[#This Row],[Typ úlohy]]="Součet",G936,IF(Tabulka4[[#This Row],[Typ úlohy]]="Účet",B935,""))</f>
        <v/>
      </c>
      <c r="C936" s="903" t="str">
        <f>IF(Tabulka4[[#This Row],[Typ úlohy]]="Účet",H936,"")</f>
        <v/>
      </c>
      <c r="D936" s="903" t="str">
        <f>IF(Tabulka4[[#This Row],[Typ úlohy]]="Účet",GETPIVOTDATA("Součet z Celková hmotnost položek [kg]",$G$2,"Zkratka kalkulační položky",B936,"Výrobce / Dodavatel",C936),"")</f>
        <v/>
      </c>
      <c r="E936" s="904" t="str">
        <f>IF(Tabulka4[[#This Row],[Typ úlohy]]="Účet",GETPIVOTDATA("Součet z Celková cena bez DPH (CZK)",$G$3,"Zkratka kalkulační položky",B936,"Výrobce / Dodavatel",C936),"")</f>
        <v/>
      </c>
    </row>
    <row r="937" spans="1:5" x14ac:dyDescent="0.35">
      <c r="A937" s="902" t="str">
        <f t="shared" si="15"/>
        <v/>
      </c>
      <c r="B937" s="903" t="str">
        <f>IF(Tabulka4[[#This Row],[Typ úlohy]]="Součet",G937,IF(Tabulka4[[#This Row],[Typ úlohy]]="Účet",B936,""))</f>
        <v/>
      </c>
      <c r="C937" s="903" t="str">
        <f>IF(Tabulka4[[#This Row],[Typ úlohy]]="Účet",H937,"")</f>
        <v/>
      </c>
      <c r="D937" s="903" t="str">
        <f>IF(Tabulka4[[#This Row],[Typ úlohy]]="Účet",GETPIVOTDATA("Součet z Celková hmotnost položek [kg]",$G$2,"Zkratka kalkulační položky",B937,"Výrobce / Dodavatel",C937),"")</f>
        <v/>
      </c>
      <c r="E937" s="904" t="str">
        <f>IF(Tabulka4[[#This Row],[Typ úlohy]]="Účet",GETPIVOTDATA("Součet z Celková cena bez DPH (CZK)",$G$3,"Zkratka kalkulační položky",B937,"Výrobce / Dodavatel",C937),"")</f>
        <v/>
      </c>
    </row>
    <row r="938" spans="1:5" x14ac:dyDescent="0.35">
      <c r="A938" s="902" t="str">
        <f t="shared" si="15"/>
        <v/>
      </c>
      <c r="B938" s="903" t="str">
        <f>IF(Tabulka4[[#This Row],[Typ úlohy]]="Součet",G938,IF(Tabulka4[[#This Row],[Typ úlohy]]="Účet",B937,""))</f>
        <v/>
      </c>
      <c r="C938" s="903" t="str">
        <f>IF(Tabulka4[[#This Row],[Typ úlohy]]="Účet",H938,"")</f>
        <v/>
      </c>
      <c r="D938" s="903" t="str">
        <f>IF(Tabulka4[[#This Row],[Typ úlohy]]="Účet",GETPIVOTDATA("Součet z Celková hmotnost položek [kg]",$G$2,"Zkratka kalkulační položky",B938,"Výrobce / Dodavatel",C938),"")</f>
        <v/>
      </c>
      <c r="E938" s="904" t="str">
        <f>IF(Tabulka4[[#This Row],[Typ úlohy]]="Účet",GETPIVOTDATA("Součet z Celková cena bez DPH (CZK)",$G$3,"Zkratka kalkulační položky",B938,"Výrobce / Dodavatel",C938),"")</f>
        <v/>
      </c>
    </row>
    <row r="939" spans="1:5" x14ac:dyDescent="0.35">
      <c r="A939" s="902" t="str">
        <f t="shared" si="15"/>
        <v/>
      </c>
      <c r="B939" s="903" t="str">
        <f>IF(Tabulka4[[#This Row],[Typ úlohy]]="Součet",G939,IF(Tabulka4[[#This Row],[Typ úlohy]]="Účet",B938,""))</f>
        <v/>
      </c>
      <c r="C939" s="903" t="str">
        <f>IF(Tabulka4[[#This Row],[Typ úlohy]]="Účet",H939,"")</f>
        <v/>
      </c>
      <c r="D939" s="903" t="str">
        <f>IF(Tabulka4[[#This Row],[Typ úlohy]]="Účet",GETPIVOTDATA("Součet z Celková hmotnost položek [kg]",$G$2,"Zkratka kalkulační položky",B939,"Výrobce / Dodavatel",C939),"")</f>
        <v/>
      </c>
      <c r="E939" s="904" t="str">
        <f>IF(Tabulka4[[#This Row],[Typ úlohy]]="Účet",GETPIVOTDATA("Součet z Celková cena bez DPH (CZK)",$G$3,"Zkratka kalkulační položky",B939,"Výrobce / Dodavatel",C939),"")</f>
        <v/>
      </c>
    </row>
    <row r="940" spans="1:5" x14ac:dyDescent="0.35">
      <c r="A940" s="902" t="str">
        <f t="shared" si="15"/>
        <v/>
      </c>
      <c r="B940" s="903" t="str">
        <f>IF(Tabulka4[[#This Row],[Typ úlohy]]="Součet",G940,IF(Tabulka4[[#This Row],[Typ úlohy]]="Účet",B939,""))</f>
        <v/>
      </c>
      <c r="C940" s="903" t="str">
        <f>IF(Tabulka4[[#This Row],[Typ úlohy]]="Účet",H940,"")</f>
        <v/>
      </c>
      <c r="D940" s="903" t="str">
        <f>IF(Tabulka4[[#This Row],[Typ úlohy]]="Účet",GETPIVOTDATA("Součet z Celková hmotnost položek [kg]",$G$2,"Zkratka kalkulační položky",B940,"Výrobce / Dodavatel",C940),"")</f>
        <v/>
      </c>
      <c r="E940" s="904" t="str">
        <f>IF(Tabulka4[[#This Row],[Typ úlohy]]="Účet",GETPIVOTDATA("Součet z Celková cena bez DPH (CZK)",$G$3,"Zkratka kalkulační položky",B940,"Výrobce / Dodavatel",C940),"")</f>
        <v/>
      </c>
    </row>
    <row r="941" spans="1:5" x14ac:dyDescent="0.35">
      <c r="A941" s="902" t="str">
        <f t="shared" si="15"/>
        <v/>
      </c>
      <c r="B941" s="903" t="str">
        <f>IF(Tabulka4[[#This Row],[Typ úlohy]]="Součet",G941,IF(Tabulka4[[#This Row],[Typ úlohy]]="Účet",B940,""))</f>
        <v/>
      </c>
      <c r="C941" s="903" t="str">
        <f>IF(Tabulka4[[#This Row],[Typ úlohy]]="Účet",H941,"")</f>
        <v/>
      </c>
      <c r="D941" s="903" t="str">
        <f>IF(Tabulka4[[#This Row],[Typ úlohy]]="Účet",GETPIVOTDATA("Součet z Celková hmotnost položek [kg]",$G$2,"Zkratka kalkulační položky",B941,"Výrobce / Dodavatel",C941),"")</f>
        <v/>
      </c>
      <c r="E941" s="904" t="str">
        <f>IF(Tabulka4[[#This Row],[Typ úlohy]]="Účet",GETPIVOTDATA("Součet z Celková cena bez DPH (CZK)",$G$3,"Zkratka kalkulační položky",B941,"Výrobce / Dodavatel",C941),"")</f>
        <v/>
      </c>
    </row>
    <row r="942" spans="1:5" x14ac:dyDescent="0.35">
      <c r="A942" s="902" t="str">
        <f t="shared" si="15"/>
        <v/>
      </c>
      <c r="B942" s="903" t="str">
        <f>IF(Tabulka4[[#This Row],[Typ úlohy]]="Součet",G942,IF(Tabulka4[[#This Row],[Typ úlohy]]="Účet",B941,""))</f>
        <v/>
      </c>
      <c r="C942" s="903" t="str">
        <f>IF(Tabulka4[[#This Row],[Typ úlohy]]="Účet",H942,"")</f>
        <v/>
      </c>
      <c r="D942" s="903" t="str">
        <f>IF(Tabulka4[[#This Row],[Typ úlohy]]="Účet",GETPIVOTDATA("Součet z Celková hmotnost položek [kg]",$G$2,"Zkratka kalkulační položky",B942,"Výrobce / Dodavatel",C942),"")</f>
        <v/>
      </c>
      <c r="E942" s="904" t="str">
        <f>IF(Tabulka4[[#This Row],[Typ úlohy]]="Účet",GETPIVOTDATA("Součet z Celková cena bez DPH (CZK)",$G$3,"Zkratka kalkulační položky",B942,"Výrobce / Dodavatel",C942),"")</f>
        <v/>
      </c>
    </row>
    <row r="943" spans="1:5" x14ac:dyDescent="0.35">
      <c r="A943" s="902" t="str">
        <f t="shared" si="15"/>
        <v/>
      </c>
      <c r="B943" s="903" t="str">
        <f>IF(Tabulka4[[#This Row],[Typ úlohy]]="Součet",G943,IF(Tabulka4[[#This Row],[Typ úlohy]]="Účet",B942,""))</f>
        <v/>
      </c>
      <c r="C943" s="903" t="str">
        <f>IF(Tabulka4[[#This Row],[Typ úlohy]]="Účet",H943,"")</f>
        <v/>
      </c>
      <c r="D943" s="903" t="str">
        <f>IF(Tabulka4[[#This Row],[Typ úlohy]]="Účet",GETPIVOTDATA("Součet z Celková hmotnost položek [kg]",$G$2,"Zkratka kalkulační položky",B943,"Výrobce / Dodavatel",C943),"")</f>
        <v/>
      </c>
      <c r="E943" s="904" t="str">
        <f>IF(Tabulka4[[#This Row],[Typ úlohy]]="Účet",GETPIVOTDATA("Součet z Celková cena bez DPH (CZK)",$G$3,"Zkratka kalkulační položky",B943,"Výrobce / Dodavatel",C943),"")</f>
        <v/>
      </c>
    </row>
    <row r="944" spans="1:5" x14ac:dyDescent="0.35">
      <c r="A944" s="902" t="str">
        <f t="shared" si="15"/>
        <v/>
      </c>
      <c r="B944" s="903" t="str">
        <f>IF(Tabulka4[[#This Row],[Typ úlohy]]="Součet",G944,IF(Tabulka4[[#This Row],[Typ úlohy]]="Účet",B943,""))</f>
        <v/>
      </c>
      <c r="C944" s="903" t="str">
        <f>IF(Tabulka4[[#This Row],[Typ úlohy]]="Účet",H944,"")</f>
        <v/>
      </c>
      <c r="D944" s="903" t="str">
        <f>IF(Tabulka4[[#This Row],[Typ úlohy]]="Účet",GETPIVOTDATA("Součet z Celková hmotnost položek [kg]",$G$2,"Zkratka kalkulační položky",B944,"Výrobce / Dodavatel",C944),"")</f>
        <v/>
      </c>
      <c r="E944" s="904" t="str">
        <f>IF(Tabulka4[[#This Row],[Typ úlohy]]="Účet",GETPIVOTDATA("Součet z Celková cena bez DPH (CZK)",$G$3,"Zkratka kalkulační položky",B944,"Výrobce / Dodavatel",C944),"")</f>
        <v/>
      </c>
    </row>
    <row r="945" spans="1:5" x14ac:dyDescent="0.35">
      <c r="A945" s="902" t="str">
        <f t="shared" si="15"/>
        <v/>
      </c>
      <c r="B945" s="903" t="str">
        <f>IF(Tabulka4[[#This Row],[Typ úlohy]]="Součet",G945,IF(Tabulka4[[#This Row],[Typ úlohy]]="Účet",B944,""))</f>
        <v/>
      </c>
      <c r="C945" s="903" t="str">
        <f>IF(Tabulka4[[#This Row],[Typ úlohy]]="Účet",H945,"")</f>
        <v/>
      </c>
      <c r="D945" s="903" t="str">
        <f>IF(Tabulka4[[#This Row],[Typ úlohy]]="Účet",GETPIVOTDATA("Součet z Celková hmotnost položek [kg]",$G$2,"Zkratka kalkulační položky",B945,"Výrobce / Dodavatel",C945),"")</f>
        <v/>
      </c>
      <c r="E945" s="904" t="str">
        <f>IF(Tabulka4[[#This Row],[Typ úlohy]]="Účet",GETPIVOTDATA("Součet z Celková cena bez DPH (CZK)",$G$3,"Zkratka kalkulační položky",B945,"Výrobce / Dodavatel",C945),"")</f>
        <v/>
      </c>
    </row>
    <row r="946" spans="1:5" x14ac:dyDescent="0.35">
      <c r="A946" s="902" t="str">
        <f t="shared" si="15"/>
        <v/>
      </c>
      <c r="B946" s="903" t="str">
        <f>IF(Tabulka4[[#This Row],[Typ úlohy]]="Součet",G946,IF(Tabulka4[[#This Row],[Typ úlohy]]="Účet",B945,""))</f>
        <v/>
      </c>
      <c r="C946" s="903" t="str">
        <f>IF(Tabulka4[[#This Row],[Typ úlohy]]="Účet",H946,"")</f>
        <v/>
      </c>
      <c r="D946" s="903" t="str">
        <f>IF(Tabulka4[[#This Row],[Typ úlohy]]="Účet",GETPIVOTDATA("Součet z Celková hmotnost položek [kg]",$G$2,"Zkratka kalkulační položky",B946,"Výrobce / Dodavatel",C946),"")</f>
        <v/>
      </c>
      <c r="E946" s="904" t="str">
        <f>IF(Tabulka4[[#This Row],[Typ úlohy]]="Účet",GETPIVOTDATA("Součet z Celková cena bez DPH (CZK)",$G$3,"Zkratka kalkulační položky",B946,"Výrobce / Dodavatel",C946),"")</f>
        <v/>
      </c>
    </row>
    <row r="947" spans="1:5" x14ac:dyDescent="0.35">
      <c r="A947" s="902" t="str">
        <f t="shared" si="15"/>
        <v/>
      </c>
      <c r="B947" s="903" t="str">
        <f>IF(Tabulka4[[#This Row],[Typ úlohy]]="Součet",G947,IF(Tabulka4[[#This Row],[Typ úlohy]]="Účet",B946,""))</f>
        <v/>
      </c>
      <c r="C947" s="903" t="str">
        <f>IF(Tabulka4[[#This Row],[Typ úlohy]]="Účet",H947,"")</f>
        <v/>
      </c>
      <c r="D947" s="903" t="str">
        <f>IF(Tabulka4[[#This Row],[Typ úlohy]]="Účet",GETPIVOTDATA("Součet z Celková hmotnost položek [kg]",$G$2,"Zkratka kalkulační položky",B947,"Výrobce / Dodavatel",C947),"")</f>
        <v/>
      </c>
      <c r="E947" s="904" t="str">
        <f>IF(Tabulka4[[#This Row],[Typ úlohy]]="Účet",GETPIVOTDATA("Součet z Celková cena bez DPH (CZK)",$G$3,"Zkratka kalkulační položky",B947,"Výrobce / Dodavatel",C947),"")</f>
        <v/>
      </c>
    </row>
    <row r="948" spans="1:5" x14ac:dyDescent="0.35">
      <c r="A948" s="902" t="str">
        <f t="shared" si="15"/>
        <v/>
      </c>
      <c r="B948" s="903" t="str">
        <f>IF(Tabulka4[[#This Row],[Typ úlohy]]="Součet",G948,IF(Tabulka4[[#This Row],[Typ úlohy]]="Účet",B947,""))</f>
        <v/>
      </c>
      <c r="C948" s="903" t="str">
        <f>IF(Tabulka4[[#This Row],[Typ úlohy]]="Účet",H948,"")</f>
        <v/>
      </c>
      <c r="D948" s="903" t="str">
        <f>IF(Tabulka4[[#This Row],[Typ úlohy]]="Účet",GETPIVOTDATA("Součet z Celková hmotnost položek [kg]",$G$2,"Zkratka kalkulační položky",B948,"Výrobce / Dodavatel",C948),"")</f>
        <v/>
      </c>
      <c r="E948" s="904" t="str">
        <f>IF(Tabulka4[[#This Row],[Typ úlohy]]="Účet",GETPIVOTDATA("Součet z Celková cena bez DPH (CZK)",$G$3,"Zkratka kalkulační položky",B948,"Výrobce / Dodavatel",C948),"")</f>
        <v/>
      </c>
    </row>
    <row r="949" spans="1:5" x14ac:dyDescent="0.35">
      <c r="A949" s="902" t="str">
        <f t="shared" si="15"/>
        <v/>
      </c>
      <c r="B949" s="903" t="str">
        <f>IF(Tabulka4[[#This Row],[Typ úlohy]]="Součet",G949,IF(Tabulka4[[#This Row],[Typ úlohy]]="Účet",B948,""))</f>
        <v/>
      </c>
      <c r="C949" s="903" t="str">
        <f>IF(Tabulka4[[#This Row],[Typ úlohy]]="Účet",H949,"")</f>
        <v/>
      </c>
      <c r="D949" s="903" t="str">
        <f>IF(Tabulka4[[#This Row],[Typ úlohy]]="Účet",GETPIVOTDATA("Součet z Celková hmotnost položek [kg]",$G$2,"Zkratka kalkulační položky",B949,"Výrobce / Dodavatel",C949),"")</f>
        <v/>
      </c>
      <c r="E949" s="904" t="str">
        <f>IF(Tabulka4[[#This Row],[Typ úlohy]]="Účet",GETPIVOTDATA("Součet z Celková cena bez DPH (CZK)",$G$3,"Zkratka kalkulační položky",B949,"Výrobce / Dodavatel",C949),"")</f>
        <v/>
      </c>
    </row>
    <row r="950" spans="1:5" x14ac:dyDescent="0.35">
      <c r="A950" s="902" t="str">
        <f t="shared" si="15"/>
        <v/>
      </c>
      <c r="B950" s="903" t="str">
        <f>IF(Tabulka4[[#This Row],[Typ úlohy]]="Součet",G950,IF(Tabulka4[[#This Row],[Typ úlohy]]="Účet",B949,""))</f>
        <v/>
      </c>
      <c r="C950" s="903" t="str">
        <f>IF(Tabulka4[[#This Row],[Typ úlohy]]="Účet",H950,"")</f>
        <v/>
      </c>
      <c r="D950" s="903" t="str">
        <f>IF(Tabulka4[[#This Row],[Typ úlohy]]="Účet",GETPIVOTDATA("Součet z Celková hmotnost položek [kg]",$G$2,"Zkratka kalkulační položky",B950,"Výrobce / Dodavatel",C950),"")</f>
        <v/>
      </c>
      <c r="E950" s="904" t="str">
        <f>IF(Tabulka4[[#This Row],[Typ úlohy]]="Účet",GETPIVOTDATA("Součet z Celková cena bez DPH (CZK)",$G$3,"Zkratka kalkulační položky",B950,"Výrobce / Dodavatel",C950),"")</f>
        <v/>
      </c>
    </row>
    <row r="951" spans="1:5" x14ac:dyDescent="0.35">
      <c r="A951" s="902" t="str">
        <f t="shared" si="15"/>
        <v/>
      </c>
      <c r="B951" s="903" t="str">
        <f>IF(Tabulka4[[#This Row],[Typ úlohy]]="Součet",G951,IF(Tabulka4[[#This Row],[Typ úlohy]]="Účet",B950,""))</f>
        <v/>
      </c>
      <c r="C951" s="903" t="str">
        <f>IF(Tabulka4[[#This Row],[Typ úlohy]]="Účet",H951,"")</f>
        <v/>
      </c>
      <c r="D951" s="903" t="str">
        <f>IF(Tabulka4[[#This Row],[Typ úlohy]]="Účet",GETPIVOTDATA("Součet z Celková hmotnost položek [kg]",$G$2,"Zkratka kalkulační položky",B951,"Výrobce / Dodavatel",C951),"")</f>
        <v/>
      </c>
      <c r="E951" s="904" t="str">
        <f>IF(Tabulka4[[#This Row],[Typ úlohy]]="Účet",GETPIVOTDATA("Součet z Celková cena bez DPH (CZK)",$G$3,"Zkratka kalkulační položky",B951,"Výrobce / Dodavatel",C951),"")</f>
        <v/>
      </c>
    </row>
    <row r="952" spans="1:5" x14ac:dyDescent="0.35">
      <c r="A952" s="902" t="str">
        <f t="shared" si="15"/>
        <v/>
      </c>
      <c r="B952" s="903" t="str">
        <f>IF(Tabulka4[[#This Row],[Typ úlohy]]="Součet",G952,IF(Tabulka4[[#This Row],[Typ úlohy]]="Účet",B951,""))</f>
        <v/>
      </c>
      <c r="C952" s="903" t="str">
        <f>IF(Tabulka4[[#This Row],[Typ úlohy]]="Účet",H952,"")</f>
        <v/>
      </c>
      <c r="D952" s="903" t="str">
        <f>IF(Tabulka4[[#This Row],[Typ úlohy]]="Účet",GETPIVOTDATA("Součet z Celková hmotnost položek [kg]",$G$2,"Zkratka kalkulační položky",B952,"Výrobce / Dodavatel",C952),"")</f>
        <v/>
      </c>
      <c r="E952" s="904" t="str">
        <f>IF(Tabulka4[[#This Row],[Typ úlohy]]="Účet",GETPIVOTDATA("Součet z Celková cena bez DPH (CZK)",$G$3,"Zkratka kalkulační položky",B952,"Výrobce / Dodavatel",C952),"")</f>
        <v/>
      </c>
    </row>
    <row r="953" spans="1:5" x14ac:dyDescent="0.35">
      <c r="A953" s="902" t="str">
        <f t="shared" si="15"/>
        <v/>
      </c>
      <c r="B953" s="903" t="str">
        <f>IF(Tabulka4[[#This Row],[Typ úlohy]]="Součet",G953,IF(Tabulka4[[#This Row],[Typ úlohy]]="Účet",B952,""))</f>
        <v/>
      </c>
      <c r="C953" s="903" t="str">
        <f>IF(Tabulka4[[#This Row],[Typ úlohy]]="Účet",H953,"")</f>
        <v/>
      </c>
      <c r="D953" s="903" t="str">
        <f>IF(Tabulka4[[#This Row],[Typ úlohy]]="Účet",GETPIVOTDATA("Součet z Celková hmotnost položek [kg]",$G$2,"Zkratka kalkulační položky",B953,"Výrobce / Dodavatel",C953),"")</f>
        <v/>
      </c>
      <c r="E953" s="904" t="str">
        <f>IF(Tabulka4[[#This Row],[Typ úlohy]]="Účet",GETPIVOTDATA("Součet z Celková cena bez DPH (CZK)",$G$3,"Zkratka kalkulační položky",B953,"Výrobce / Dodavatel",C953),"")</f>
        <v/>
      </c>
    </row>
    <row r="954" spans="1:5" x14ac:dyDescent="0.35">
      <c r="A954" s="902" t="str">
        <f t="shared" si="15"/>
        <v/>
      </c>
      <c r="B954" s="903" t="str">
        <f>IF(Tabulka4[[#This Row],[Typ úlohy]]="Součet",G954,IF(Tabulka4[[#This Row],[Typ úlohy]]="Účet",B953,""))</f>
        <v/>
      </c>
      <c r="C954" s="903" t="str">
        <f>IF(Tabulka4[[#This Row],[Typ úlohy]]="Účet",H954,"")</f>
        <v/>
      </c>
      <c r="D954" s="903" t="str">
        <f>IF(Tabulka4[[#This Row],[Typ úlohy]]="Účet",GETPIVOTDATA("Součet z Celková hmotnost položek [kg]",$G$2,"Zkratka kalkulační položky",B954,"Výrobce / Dodavatel",C954),"")</f>
        <v/>
      </c>
      <c r="E954" s="904" t="str">
        <f>IF(Tabulka4[[#This Row],[Typ úlohy]]="Účet",GETPIVOTDATA("Součet z Celková cena bez DPH (CZK)",$G$3,"Zkratka kalkulační položky",B954,"Výrobce / Dodavatel",C954),"")</f>
        <v/>
      </c>
    </row>
    <row r="955" spans="1:5" x14ac:dyDescent="0.35">
      <c r="A955" s="902" t="str">
        <f t="shared" si="15"/>
        <v/>
      </c>
      <c r="B955" s="903" t="str">
        <f>IF(Tabulka4[[#This Row],[Typ úlohy]]="Součet",G955,IF(Tabulka4[[#This Row],[Typ úlohy]]="Účet",B954,""))</f>
        <v/>
      </c>
      <c r="C955" s="903" t="str">
        <f>IF(Tabulka4[[#This Row],[Typ úlohy]]="Účet",H955,"")</f>
        <v/>
      </c>
      <c r="D955" s="903" t="str">
        <f>IF(Tabulka4[[#This Row],[Typ úlohy]]="Účet",GETPIVOTDATA("Součet z Celková hmotnost položek [kg]",$G$2,"Zkratka kalkulační položky",B955,"Výrobce / Dodavatel",C955),"")</f>
        <v/>
      </c>
      <c r="E955" s="904" t="str">
        <f>IF(Tabulka4[[#This Row],[Typ úlohy]]="Účet",GETPIVOTDATA("Součet z Celková cena bez DPH (CZK)",$G$3,"Zkratka kalkulační položky",B955,"Výrobce / Dodavatel",C955),"")</f>
        <v/>
      </c>
    </row>
    <row r="956" spans="1:5" x14ac:dyDescent="0.35">
      <c r="A956" s="902" t="str">
        <f t="shared" si="15"/>
        <v/>
      </c>
      <c r="B956" s="903" t="str">
        <f>IF(Tabulka4[[#This Row],[Typ úlohy]]="Součet",G956,IF(Tabulka4[[#This Row],[Typ úlohy]]="Účet",B955,""))</f>
        <v/>
      </c>
      <c r="C956" s="903" t="str">
        <f>IF(Tabulka4[[#This Row],[Typ úlohy]]="Účet",H956,"")</f>
        <v/>
      </c>
      <c r="D956" s="903" t="str">
        <f>IF(Tabulka4[[#This Row],[Typ úlohy]]="Účet",GETPIVOTDATA("Součet z Celková hmotnost položek [kg]",$G$2,"Zkratka kalkulační položky",B956,"Výrobce / Dodavatel",C956),"")</f>
        <v/>
      </c>
      <c r="E956" s="904" t="str">
        <f>IF(Tabulka4[[#This Row],[Typ úlohy]]="Účet",GETPIVOTDATA("Součet z Celková cena bez DPH (CZK)",$G$3,"Zkratka kalkulační položky",B956,"Výrobce / Dodavatel",C956),"")</f>
        <v/>
      </c>
    </row>
    <row r="957" spans="1:5" x14ac:dyDescent="0.35">
      <c r="A957" s="902" t="str">
        <f t="shared" si="15"/>
        <v/>
      </c>
      <c r="B957" s="903" t="str">
        <f>IF(Tabulka4[[#This Row],[Typ úlohy]]="Součet",G957,IF(Tabulka4[[#This Row],[Typ úlohy]]="Účet",B956,""))</f>
        <v/>
      </c>
      <c r="C957" s="903" t="str">
        <f>IF(Tabulka4[[#This Row],[Typ úlohy]]="Účet",H957,"")</f>
        <v/>
      </c>
      <c r="D957" s="903" t="str">
        <f>IF(Tabulka4[[#This Row],[Typ úlohy]]="Účet",GETPIVOTDATA("Součet z Celková hmotnost položek [kg]",$G$2,"Zkratka kalkulační položky",B957,"Výrobce / Dodavatel",C957),"")</f>
        <v/>
      </c>
      <c r="E957" s="904" t="str">
        <f>IF(Tabulka4[[#This Row],[Typ úlohy]]="Účet",GETPIVOTDATA("Součet z Celková cena bez DPH (CZK)",$G$3,"Zkratka kalkulační položky",B957,"Výrobce / Dodavatel",C957),"")</f>
        <v/>
      </c>
    </row>
    <row r="958" spans="1:5" x14ac:dyDescent="0.35">
      <c r="A958" s="902" t="str">
        <f t="shared" si="15"/>
        <v/>
      </c>
      <c r="B958" s="903" t="str">
        <f>IF(Tabulka4[[#This Row],[Typ úlohy]]="Součet",G958,IF(Tabulka4[[#This Row],[Typ úlohy]]="Účet",B957,""))</f>
        <v/>
      </c>
      <c r="C958" s="903" t="str">
        <f>IF(Tabulka4[[#This Row],[Typ úlohy]]="Účet",H958,"")</f>
        <v/>
      </c>
      <c r="D958" s="903" t="str">
        <f>IF(Tabulka4[[#This Row],[Typ úlohy]]="Účet",GETPIVOTDATA("Součet z Celková hmotnost položek [kg]",$G$2,"Zkratka kalkulační položky",B958,"Výrobce / Dodavatel",C958),"")</f>
        <v/>
      </c>
      <c r="E958" s="904" t="str">
        <f>IF(Tabulka4[[#This Row],[Typ úlohy]]="Účet",GETPIVOTDATA("Součet z Celková cena bez DPH (CZK)",$G$3,"Zkratka kalkulační položky",B958,"Výrobce / Dodavatel",C958),"")</f>
        <v/>
      </c>
    </row>
    <row r="959" spans="1:5" x14ac:dyDescent="0.35">
      <c r="A959" s="902" t="str">
        <f t="shared" si="15"/>
        <v/>
      </c>
      <c r="B959" s="903" t="str">
        <f>IF(Tabulka4[[#This Row],[Typ úlohy]]="Součet",G959,IF(Tabulka4[[#This Row],[Typ úlohy]]="Účet",B958,""))</f>
        <v/>
      </c>
      <c r="C959" s="903" t="str">
        <f>IF(Tabulka4[[#This Row],[Typ úlohy]]="Účet",H959,"")</f>
        <v/>
      </c>
      <c r="D959" s="903" t="str">
        <f>IF(Tabulka4[[#This Row],[Typ úlohy]]="Účet",GETPIVOTDATA("Součet z Celková hmotnost položek [kg]",$G$2,"Zkratka kalkulační položky",B959,"Výrobce / Dodavatel",C959),"")</f>
        <v/>
      </c>
      <c r="E959" s="904" t="str">
        <f>IF(Tabulka4[[#This Row],[Typ úlohy]]="Účet",GETPIVOTDATA("Součet z Celková cena bez DPH (CZK)",$G$3,"Zkratka kalkulační položky",B959,"Výrobce / Dodavatel",C959),"")</f>
        <v/>
      </c>
    </row>
    <row r="960" spans="1:5" x14ac:dyDescent="0.35">
      <c r="A960" s="902" t="str">
        <f t="shared" si="15"/>
        <v/>
      </c>
      <c r="B960" s="903" t="str">
        <f>IF(Tabulka4[[#This Row],[Typ úlohy]]="Součet",G960,IF(Tabulka4[[#This Row],[Typ úlohy]]="Účet",B959,""))</f>
        <v/>
      </c>
      <c r="C960" s="903" t="str">
        <f>IF(Tabulka4[[#This Row],[Typ úlohy]]="Účet",H960,"")</f>
        <v/>
      </c>
      <c r="D960" s="903" t="str">
        <f>IF(Tabulka4[[#This Row],[Typ úlohy]]="Účet",GETPIVOTDATA("Součet z Celková hmotnost položek [kg]",$G$2,"Zkratka kalkulační položky",B960,"Výrobce / Dodavatel",C960),"")</f>
        <v/>
      </c>
      <c r="E960" s="904" t="str">
        <f>IF(Tabulka4[[#This Row],[Typ úlohy]]="Účet",GETPIVOTDATA("Součet z Celková cena bez DPH (CZK)",$G$3,"Zkratka kalkulační položky",B960,"Výrobce / Dodavatel",C960),"")</f>
        <v/>
      </c>
    </row>
    <row r="961" spans="1:5" x14ac:dyDescent="0.35">
      <c r="A961" s="902" t="str">
        <f t="shared" si="15"/>
        <v/>
      </c>
      <c r="B961" s="903" t="str">
        <f>IF(Tabulka4[[#This Row],[Typ úlohy]]="Součet",G961,IF(Tabulka4[[#This Row],[Typ úlohy]]="Účet",B960,""))</f>
        <v/>
      </c>
      <c r="C961" s="903" t="str">
        <f>IF(Tabulka4[[#This Row],[Typ úlohy]]="Účet",H961,"")</f>
        <v/>
      </c>
      <c r="D961" s="903" t="str">
        <f>IF(Tabulka4[[#This Row],[Typ úlohy]]="Účet",GETPIVOTDATA("Součet z Celková hmotnost položek [kg]",$G$2,"Zkratka kalkulační položky",B961,"Výrobce / Dodavatel",C961),"")</f>
        <v/>
      </c>
      <c r="E961" s="904" t="str">
        <f>IF(Tabulka4[[#This Row],[Typ úlohy]]="Účet",GETPIVOTDATA("Součet z Celková cena bez DPH (CZK)",$G$3,"Zkratka kalkulační položky",B961,"Výrobce / Dodavatel",C961),"")</f>
        <v/>
      </c>
    </row>
    <row r="962" spans="1:5" x14ac:dyDescent="0.35">
      <c r="A962" s="902" t="str">
        <f t="shared" si="15"/>
        <v/>
      </c>
      <c r="B962" s="903" t="str">
        <f>IF(Tabulka4[[#This Row],[Typ úlohy]]="Součet",G962,IF(Tabulka4[[#This Row],[Typ úlohy]]="Účet",B961,""))</f>
        <v/>
      </c>
      <c r="C962" s="903" t="str">
        <f>IF(Tabulka4[[#This Row],[Typ úlohy]]="Účet",H962,"")</f>
        <v/>
      </c>
      <c r="D962" s="903" t="str">
        <f>IF(Tabulka4[[#This Row],[Typ úlohy]]="Účet",GETPIVOTDATA("Součet z Celková hmotnost položek [kg]",$G$2,"Zkratka kalkulační položky",B962,"Výrobce / Dodavatel",C962),"")</f>
        <v/>
      </c>
      <c r="E962" s="904" t="str">
        <f>IF(Tabulka4[[#This Row],[Typ úlohy]]="Účet",GETPIVOTDATA("Součet z Celková cena bez DPH (CZK)",$G$3,"Zkratka kalkulační položky",B962,"Výrobce / Dodavatel",C962),"")</f>
        <v/>
      </c>
    </row>
    <row r="963" spans="1:5" x14ac:dyDescent="0.35">
      <c r="A963" s="902" t="str">
        <f t="shared" si="15"/>
        <v/>
      </c>
      <c r="B963" s="903" t="str">
        <f>IF(Tabulka4[[#This Row],[Typ úlohy]]="Součet",G963,IF(Tabulka4[[#This Row],[Typ úlohy]]="Účet",B962,""))</f>
        <v/>
      </c>
      <c r="C963" s="903" t="str">
        <f>IF(Tabulka4[[#This Row],[Typ úlohy]]="Účet",H963,"")</f>
        <v/>
      </c>
      <c r="D963" s="903" t="str">
        <f>IF(Tabulka4[[#This Row],[Typ úlohy]]="Účet",GETPIVOTDATA("Součet z Celková hmotnost položek [kg]",$G$2,"Zkratka kalkulační položky",B963,"Výrobce / Dodavatel",C963),"")</f>
        <v/>
      </c>
      <c r="E963" s="904" t="str">
        <f>IF(Tabulka4[[#This Row],[Typ úlohy]]="Účet",GETPIVOTDATA("Součet z Celková cena bez DPH (CZK)",$G$3,"Zkratka kalkulační položky",B963,"Výrobce / Dodavatel",C963),"")</f>
        <v/>
      </c>
    </row>
    <row r="964" spans="1:5" x14ac:dyDescent="0.35">
      <c r="A964" s="902" t="str">
        <f t="shared" si="15"/>
        <v/>
      </c>
      <c r="B964" s="903" t="str">
        <f>IF(Tabulka4[[#This Row],[Typ úlohy]]="Součet",G964,IF(Tabulka4[[#This Row],[Typ úlohy]]="Účet",B963,""))</f>
        <v/>
      </c>
      <c r="C964" s="903" t="str">
        <f>IF(Tabulka4[[#This Row],[Typ úlohy]]="Účet",H964,"")</f>
        <v/>
      </c>
      <c r="D964" s="903" t="str">
        <f>IF(Tabulka4[[#This Row],[Typ úlohy]]="Účet",GETPIVOTDATA("Součet z Celková hmotnost položek [kg]",$G$2,"Zkratka kalkulační položky",B964,"Výrobce / Dodavatel",C964),"")</f>
        <v/>
      </c>
      <c r="E964" s="904" t="str">
        <f>IF(Tabulka4[[#This Row],[Typ úlohy]]="Účet",GETPIVOTDATA("Součet z Celková cena bez DPH (CZK)",$G$3,"Zkratka kalkulační položky",B964,"Výrobce / Dodavatel",C964),"")</f>
        <v/>
      </c>
    </row>
    <row r="965" spans="1:5" x14ac:dyDescent="0.35">
      <c r="A965" s="902" t="str">
        <f t="shared" ref="A965:A1028" si="16">IF(H965="",IF(G965="","","Součet"),"Účet")</f>
        <v/>
      </c>
      <c r="B965" s="903" t="str">
        <f>IF(Tabulka4[[#This Row],[Typ úlohy]]="Součet",G965,IF(Tabulka4[[#This Row],[Typ úlohy]]="Účet",B964,""))</f>
        <v/>
      </c>
      <c r="C965" s="903" t="str">
        <f>IF(Tabulka4[[#This Row],[Typ úlohy]]="Účet",H965,"")</f>
        <v/>
      </c>
      <c r="D965" s="903" t="str">
        <f>IF(Tabulka4[[#This Row],[Typ úlohy]]="Účet",GETPIVOTDATA("Součet z Celková hmotnost položek [kg]",$G$2,"Zkratka kalkulační položky",B965,"Výrobce / Dodavatel",C965),"")</f>
        <v/>
      </c>
      <c r="E965" s="904" t="str">
        <f>IF(Tabulka4[[#This Row],[Typ úlohy]]="Účet",GETPIVOTDATA("Součet z Celková cena bez DPH (CZK)",$G$3,"Zkratka kalkulační položky",B965,"Výrobce / Dodavatel",C965),"")</f>
        <v/>
      </c>
    </row>
    <row r="966" spans="1:5" x14ac:dyDescent="0.35">
      <c r="A966" s="902" t="str">
        <f t="shared" si="16"/>
        <v/>
      </c>
      <c r="B966" s="903" t="str">
        <f>IF(Tabulka4[[#This Row],[Typ úlohy]]="Součet",G966,IF(Tabulka4[[#This Row],[Typ úlohy]]="Účet",B965,""))</f>
        <v/>
      </c>
      <c r="C966" s="903" t="str">
        <f>IF(Tabulka4[[#This Row],[Typ úlohy]]="Účet",H966,"")</f>
        <v/>
      </c>
      <c r="D966" s="903" t="str">
        <f>IF(Tabulka4[[#This Row],[Typ úlohy]]="Účet",GETPIVOTDATA("Součet z Celková hmotnost položek [kg]",$G$2,"Zkratka kalkulační položky",B966,"Výrobce / Dodavatel",C966),"")</f>
        <v/>
      </c>
      <c r="E966" s="904" t="str">
        <f>IF(Tabulka4[[#This Row],[Typ úlohy]]="Účet",GETPIVOTDATA("Součet z Celková cena bez DPH (CZK)",$G$3,"Zkratka kalkulační položky",B966,"Výrobce / Dodavatel",C966),"")</f>
        <v/>
      </c>
    </row>
    <row r="967" spans="1:5" x14ac:dyDescent="0.35">
      <c r="A967" s="902" t="str">
        <f t="shared" si="16"/>
        <v/>
      </c>
      <c r="B967" s="903" t="str">
        <f>IF(Tabulka4[[#This Row],[Typ úlohy]]="Součet",G967,IF(Tabulka4[[#This Row],[Typ úlohy]]="Účet",B966,""))</f>
        <v/>
      </c>
      <c r="C967" s="903" t="str">
        <f>IF(Tabulka4[[#This Row],[Typ úlohy]]="Účet",H967,"")</f>
        <v/>
      </c>
      <c r="D967" s="903" t="str">
        <f>IF(Tabulka4[[#This Row],[Typ úlohy]]="Účet",GETPIVOTDATA("Součet z Celková hmotnost položek [kg]",$G$2,"Zkratka kalkulační položky",B967,"Výrobce / Dodavatel",C967),"")</f>
        <v/>
      </c>
      <c r="E967" s="904" t="str">
        <f>IF(Tabulka4[[#This Row],[Typ úlohy]]="Účet",GETPIVOTDATA("Součet z Celková cena bez DPH (CZK)",$G$3,"Zkratka kalkulační položky",B967,"Výrobce / Dodavatel",C967),"")</f>
        <v/>
      </c>
    </row>
    <row r="968" spans="1:5" x14ac:dyDescent="0.35">
      <c r="A968" s="902" t="str">
        <f t="shared" si="16"/>
        <v/>
      </c>
      <c r="B968" s="903" t="str">
        <f>IF(Tabulka4[[#This Row],[Typ úlohy]]="Součet",G968,IF(Tabulka4[[#This Row],[Typ úlohy]]="Účet",B967,""))</f>
        <v/>
      </c>
      <c r="C968" s="903" t="str">
        <f>IF(Tabulka4[[#This Row],[Typ úlohy]]="Účet",H968,"")</f>
        <v/>
      </c>
      <c r="D968" s="903" t="str">
        <f>IF(Tabulka4[[#This Row],[Typ úlohy]]="Účet",GETPIVOTDATA("Součet z Celková hmotnost položek [kg]",$G$2,"Zkratka kalkulační položky",B968,"Výrobce / Dodavatel",C968),"")</f>
        <v/>
      </c>
      <c r="E968" s="904" t="str">
        <f>IF(Tabulka4[[#This Row],[Typ úlohy]]="Účet",GETPIVOTDATA("Součet z Celková cena bez DPH (CZK)",$G$3,"Zkratka kalkulační položky",B968,"Výrobce / Dodavatel",C968),"")</f>
        <v/>
      </c>
    </row>
    <row r="969" spans="1:5" x14ac:dyDescent="0.35">
      <c r="A969" s="902" t="str">
        <f t="shared" si="16"/>
        <v/>
      </c>
      <c r="B969" s="903" t="str">
        <f>IF(Tabulka4[[#This Row],[Typ úlohy]]="Součet",G969,IF(Tabulka4[[#This Row],[Typ úlohy]]="Účet",B968,""))</f>
        <v/>
      </c>
      <c r="C969" s="903" t="str">
        <f>IF(Tabulka4[[#This Row],[Typ úlohy]]="Účet",H969,"")</f>
        <v/>
      </c>
      <c r="D969" s="903" t="str">
        <f>IF(Tabulka4[[#This Row],[Typ úlohy]]="Účet",GETPIVOTDATA("Součet z Celková hmotnost položek [kg]",$G$2,"Zkratka kalkulační položky",B969,"Výrobce / Dodavatel",C969),"")</f>
        <v/>
      </c>
      <c r="E969" s="904" t="str">
        <f>IF(Tabulka4[[#This Row],[Typ úlohy]]="Účet",GETPIVOTDATA("Součet z Celková cena bez DPH (CZK)",$G$3,"Zkratka kalkulační položky",B969,"Výrobce / Dodavatel",C969),"")</f>
        <v/>
      </c>
    </row>
    <row r="970" spans="1:5" x14ac:dyDescent="0.35">
      <c r="A970" s="902" t="str">
        <f t="shared" si="16"/>
        <v/>
      </c>
      <c r="B970" s="903" t="str">
        <f>IF(Tabulka4[[#This Row],[Typ úlohy]]="Součet",G970,IF(Tabulka4[[#This Row],[Typ úlohy]]="Účet",B969,""))</f>
        <v/>
      </c>
      <c r="C970" s="903" t="str">
        <f>IF(Tabulka4[[#This Row],[Typ úlohy]]="Účet",H970,"")</f>
        <v/>
      </c>
      <c r="D970" s="903" t="str">
        <f>IF(Tabulka4[[#This Row],[Typ úlohy]]="Účet",GETPIVOTDATA("Součet z Celková hmotnost položek [kg]",$G$2,"Zkratka kalkulační položky",B970,"Výrobce / Dodavatel",C970),"")</f>
        <v/>
      </c>
      <c r="E970" s="904" t="str">
        <f>IF(Tabulka4[[#This Row],[Typ úlohy]]="Účet",GETPIVOTDATA("Součet z Celková cena bez DPH (CZK)",$G$3,"Zkratka kalkulační položky",B970,"Výrobce / Dodavatel",C970),"")</f>
        <v/>
      </c>
    </row>
    <row r="971" spans="1:5" x14ac:dyDescent="0.35">
      <c r="A971" s="902" t="str">
        <f t="shared" si="16"/>
        <v/>
      </c>
      <c r="B971" s="903" t="str">
        <f>IF(Tabulka4[[#This Row],[Typ úlohy]]="Součet",G971,IF(Tabulka4[[#This Row],[Typ úlohy]]="Účet",B970,""))</f>
        <v/>
      </c>
      <c r="C971" s="903" t="str">
        <f>IF(Tabulka4[[#This Row],[Typ úlohy]]="Účet",H971,"")</f>
        <v/>
      </c>
      <c r="D971" s="903" t="str">
        <f>IF(Tabulka4[[#This Row],[Typ úlohy]]="Účet",GETPIVOTDATA("Součet z Celková hmotnost položek [kg]",$G$2,"Zkratka kalkulační položky",B971,"Výrobce / Dodavatel",C971),"")</f>
        <v/>
      </c>
      <c r="E971" s="904" t="str">
        <f>IF(Tabulka4[[#This Row],[Typ úlohy]]="Účet",GETPIVOTDATA("Součet z Celková cena bez DPH (CZK)",$G$3,"Zkratka kalkulační položky",B971,"Výrobce / Dodavatel",C971),"")</f>
        <v/>
      </c>
    </row>
    <row r="972" spans="1:5" x14ac:dyDescent="0.35">
      <c r="A972" s="902" t="str">
        <f t="shared" si="16"/>
        <v/>
      </c>
      <c r="B972" s="903" t="str">
        <f>IF(Tabulka4[[#This Row],[Typ úlohy]]="Součet",G972,IF(Tabulka4[[#This Row],[Typ úlohy]]="Účet",B971,""))</f>
        <v/>
      </c>
      <c r="C972" s="903" t="str">
        <f>IF(Tabulka4[[#This Row],[Typ úlohy]]="Účet",H972,"")</f>
        <v/>
      </c>
      <c r="D972" s="903" t="str">
        <f>IF(Tabulka4[[#This Row],[Typ úlohy]]="Účet",GETPIVOTDATA("Součet z Celková hmotnost položek [kg]",$G$2,"Zkratka kalkulační položky",B972,"Výrobce / Dodavatel",C972),"")</f>
        <v/>
      </c>
      <c r="E972" s="904" t="str">
        <f>IF(Tabulka4[[#This Row],[Typ úlohy]]="Účet",GETPIVOTDATA("Součet z Celková cena bez DPH (CZK)",$G$3,"Zkratka kalkulační položky",B972,"Výrobce / Dodavatel",C972),"")</f>
        <v/>
      </c>
    </row>
    <row r="973" spans="1:5" x14ac:dyDescent="0.35">
      <c r="A973" s="902" t="str">
        <f t="shared" si="16"/>
        <v/>
      </c>
      <c r="B973" s="903" t="str">
        <f>IF(Tabulka4[[#This Row],[Typ úlohy]]="Součet",G973,IF(Tabulka4[[#This Row],[Typ úlohy]]="Účet",B972,""))</f>
        <v/>
      </c>
      <c r="C973" s="903" t="str">
        <f>IF(Tabulka4[[#This Row],[Typ úlohy]]="Účet",H973,"")</f>
        <v/>
      </c>
      <c r="D973" s="903" t="str">
        <f>IF(Tabulka4[[#This Row],[Typ úlohy]]="Účet",GETPIVOTDATA("Součet z Celková hmotnost položek [kg]",$G$2,"Zkratka kalkulační položky",B973,"Výrobce / Dodavatel",C973),"")</f>
        <v/>
      </c>
      <c r="E973" s="904" t="str">
        <f>IF(Tabulka4[[#This Row],[Typ úlohy]]="Účet",GETPIVOTDATA("Součet z Celková cena bez DPH (CZK)",$G$3,"Zkratka kalkulační položky",B973,"Výrobce / Dodavatel",C973),"")</f>
        <v/>
      </c>
    </row>
    <row r="974" spans="1:5" x14ac:dyDescent="0.35">
      <c r="A974" s="902" t="str">
        <f t="shared" si="16"/>
        <v/>
      </c>
      <c r="B974" s="903" t="str">
        <f>IF(Tabulka4[[#This Row],[Typ úlohy]]="Součet",G974,IF(Tabulka4[[#This Row],[Typ úlohy]]="Účet",B973,""))</f>
        <v/>
      </c>
      <c r="C974" s="903" t="str">
        <f>IF(Tabulka4[[#This Row],[Typ úlohy]]="Účet",H974,"")</f>
        <v/>
      </c>
      <c r="D974" s="903" t="str">
        <f>IF(Tabulka4[[#This Row],[Typ úlohy]]="Účet",GETPIVOTDATA("Součet z Celková hmotnost položek [kg]",$G$2,"Zkratka kalkulační položky",B974,"Výrobce / Dodavatel",C974),"")</f>
        <v/>
      </c>
      <c r="E974" s="904" t="str">
        <f>IF(Tabulka4[[#This Row],[Typ úlohy]]="Účet",GETPIVOTDATA("Součet z Celková cena bez DPH (CZK)",$G$3,"Zkratka kalkulační položky",B974,"Výrobce / Dodavatel",C974),"")</f>
        <v/>
      </c>
    </row>
    <row r="975" spans="1:5" x14ac:dyDescent="0.35">
      <c r="A975" s="902" t="str">
        <f t="shared" si="16"/>
        <v/>
      </c>
      <c r="B975" s="903" t="str">
        <f>IF(Tabulka4[[#This Row],[Typ úlohy]]="Součet",G975,IF(Tabulka4[[#This Row],[Typ úlohy]]="Účet",B974,""))</f>
        <v/>
      </c>
      <c r="C975" s="903" t="str">
        <f>IF(Tabulka4[[#This Row],[Typ úlohy]]="Účet",H975,"")</f>
        <v/>
      </c>
      <c r="D975" s="903" t="str">
        <f>IF(Tabulka4[[#This Row],[Typ úlohy]]="Účet",GETPIVOTDATA("Součet z Celková hmotnost položek [kg]",$G$2,"Zkratka kalkulační položky",B975,"Výrobce / Dodavatel",C975),"")</f>
        <v/>
      </c>
      <c r="E975" s="904" t="str">
        <f>IF(Tabulka4[[#This Row],[Typ úlohy]]="Účet",GETPIVOTDATA("Součet z Celková cena bez DPH (CZK)",$G$3,"Zkratka kalkulační položky",B975,"Výrobce / Dodavatel",C975),"")</f>
        <v/>
      </c>
    </row>
    <row r="976" spans="1:5" x14ac:dyDescent="0.35">
      <c r="A976" s="902" t="str">
        <f t="shared" si="16"/>
        <v/>
      </c>
      <c r="B976" s="903" t="str">
        <f>IF(Tabulka4[[#This Row],[Typ úlohy]]="Součet",G976,IF(Tabulka4[[#This Row],[Typ úlohy]]="Účet",B975,""))</f>
        <v/>
      </c>
      <c r="C976" s="903" t="str">
        <f>IF(Tabulka4[[#This Row],[Typ úlohy]]="Účet",H976,"")</f>
        <v/>
      </c>
      <c r="D976" s="903" t="str">
        <f>IF(Tabulka4[[#This Row],[Typ úlohy]]="Účet",GETPIVOTDATA("Součet z Celková hmotnost položek [kg]",$G$2,"Zkratka kalkulační položky",B976,"Výrobce / Dodavatel",C976),"")</f>
        <v/>
      </c>
      <c r="E976" s="904" t="str">
        <f>IF(Tabulka4[[#This Row],[Typ úlohy]]="Účet",GETPIVOTDATA("Součet z Celková cena bez DPH (CZK)",$G$3,"Zkratka kalkulační položky",B976,"Výrobce / Dodavatel",C976),"")</f>
        <v/>
      </c>
    </row>
    <row r="977" spans="1:5" x14ac:dyDescent="0.35">
      <c r="A977" s="902" t="str">
        <f t="shared" si="16"/>
        <v/>
      </c>
      <c r="B977" s="903" t="str">
        <f>IF(Tabulka4[[#This Row],[Typ úlohy]]="Součet",G977,IF(Tabulka4[[#This Row],[Typ úlohy]]="Účet",B976,""))</f>
        <v/>
      </c>
      <c r="C977" s="903" t="str">
        <f>IF(Tabulka4[[#This Row],[Typ úlohy]]="Účet",H977,"")</f>
        <v/>
      </c>
      <c r="D977" s="903" t="str">
        <f>IF(Tabulka4[[#This Row],[Typ úlohy]]="Účet",GETPIVOTDATA("Součet z Celková hmotnost položek [kg]",$G$2,"Zkratka kalkulační položky",B977,"Výrobce / Dodavatel",C977),"")</f>
        <v/>
      </c>
      <c r="E977" s="904" t="str">
        <f>IF(Tabulka4[[#This Row],[Typ úlohy]]="Účet",GETPIVOTDATA("Součet z Celková cena bez DPH (CZK)",$G$3,"Zkratka kalkulační položky",B977,"Výrobce / Dodavatel",C977),"")</f>
        <v/>
      </c>
    </row>
    <row r="978" spans="1:5" x14ac:dyDescent="0.35">
      <c r="A978" s="902" t="str">
        <f t="shared" si="16"/>
        <v/>
      </c>
      <c r="B978" s="903" t="str">
        <f>IF(Tabulka4[[#This Row],[Typ úlohy]]="Součet",G978,IF(Tabulka4[[#This Row],[Typ úlohy]]="Účet",B977,""))</f>
        <v/>
      </c>
      <c r="C978" s="903" t="str">
        <f>IF(Tabulka4[[#This Row],[Typ úlohy]]="Účet",H978,"")</f>
        <v/>
      </c>
      <c r="D978" s="903" t="str">
        <f>IF(Tabulka4[[#This Row],[Typ úlohy]]="Účet",GETPIVOTDATA("Součet z Celková hmotnost položek [kg]",$G$2,"Zkratka kalkulační položky",B978,"Výrobce / Dodavatel",C978),"")</f>
        <v/>
      </c>
      <c r="E978" s="904" t="str">
        <f>IF(Tabulka4[[#This Row],[Typ úlohy]]="Účet",GETPIVOTDATA("Součet z Celková cena bez DPH (CZK)",$G$3,"Zkratka kalkulační položky",B978,"Výrobce / Dodavatel",C978),"")</f>
        <v/>
      </c>
    </row>
    <row r="979" spans="1:5" x14ac:dyDescent="0.35">
      <c r="A979" s="902" t="str">
        <f t="shared" si="16"/>
        <v/>
      </c>
      <c r="B979" s="903" t="str">
        <f>IF(Tabulka4[[#This Row],[Typ úlohy]]="Součet",G979,IF(Tabulka4[[#This Row],[Typ úlohy]]="Účet",B978,""))</f>
        <v/>
      </c>
      <c r="C979" s="903" t="str">
        <f>IF(Tabulka4[[#This Row],[Typ úlohy]]="Účet",H979,"")</f>
        <v/>
      </c>
      <c r="D979" s="903" t="str">
        <f>IF(Tabulka4[[#This Row],[Typ úlohy]]="Účet",GETPIVOTDATA("Součet z Celková hmotnost položek [kg]",$G$2,"Zkratka kalkulační položky",B979,"Výrobce / Dodavatel",C979),"")</f>
        <v/>
      </c>
      <c r="E979" s="904" t="str">
        <f>IF(Tabulka4[[#This Row],[Typ úlohy]]="Účet",GETPIVOTDATA("Součet z Celková cena bez DPH (CZK)",$G$3,"Zkratka kalkulační položky",B979,"Výrobce / Dodavatel",C979),"")</f>
        <v/>
      </c>
    </row>
    <row r="980" spans="1:5" x14ac:dyDescent="0.35">
      <c r="A980" s="902" t="str">
        <f t="shared" si="16"/>
        <v/>
      </c>
      <c r="B980" s="903" t="str">
        <f>IF(Tabulka4[[#This Row],[Typ úlohy]]="Součet",G980,IF(Tabulka4[[#This Row],[Typ úlohy]]="Účet",B979,""))</f>
        <v/>
      </c>
      <c r="C980" s="903" t="str">
        <f>IF(Tabulka4[[#This Row],[Typ úlohy]]="Účet",H980,"")</f>
        <v/>
      </c>
      <c r="D980" s="903" t="str">
        <f>IF(Tabulka4[[#This Row],[Typ úlohy]]="Účet",GETPIVOTDATA("Součet z Celková hmotnost položek [kg]",$G$2,"Zkratka kalkulační položky",B980,"Výrobce / Dodavatel",C980),"")</f>
        <v/>
      </c>
      <c r="E980" s="904" t="str">
        <f>IF(Tabulka4[[#This Row],[Typ úlohy]]="Účet",GETPIVOTDATA("Součet z Celková cena bez DPH (CZK)",$G$3,"Zkratka kalkulační položky",B980,"Výrobce / Dodavatel",C980),"")</f>
        <v/>
      </c>
    </row>
    <row r="981" spans="1:5" x14ac:dyDescent="0.35">
      <c r="A981" s="902" t="str">
        <f t="shared" si="16"/>
        <v/>
      </c>
      <c r="B981" s="903" t="str">
        <f>IF(Tabulka4[[#This Row],[Typ úlohy]]="Součet",G981,IF(Tabulka4[[#This Row],[Typ úlohy]]="Účet",B980,""))</f>
        <v/>
      </c>
      <c r="C981" s="903" t="str">
        <f>IF(Tabulka4[[#This Row],[Typ úlohy]]="Účet",H981,"")</f>
        <v/>
      </c>
      <c r="D981" s="903" t="str">
        <f>IF(Tabulka4[[#This Row],[Typ úlohy]]="Účet",GETPIVOTDATA("Součet z Celková hmotnost položek [kg]",$G$2,"Zkratka kalkulační položky",B981,"Výrobce / Dodavatel",C981),"")</f>
        <v/>
      </c>
      <c r="E981" s="904" t="str">
        <f>IF(Tabulka4[[#This Row],[Typ úlohy]]="Účet",GETPIVOTDATA("Součet z Celková cena bez DPH (CZK)",$G$3,"Zkratka kalkulační položky",B981,"Výrobce / Dodavatel",C981),"")</f>
        <v/>
      </c>
    </row>
    <row r="982" spans="1:5" x14ac:dyDescent="0.35">
      <c r="A982" s="902" t="str">
        <f t="shared" si="16"/>
        <v/>
      </c>
      <c r="B982" s="903" t="str">
        <f>IF(Tabulka4[[#This Row],[Typ úlohy]]="Součet",G982,IF(Tabulka4[[#This Row],[Typ úlohy]]="Účet",B981,""))</f>
        <v/>
      </c>
      <c r="C982" s="903" t="str">
        <f>IF(Tabulka4[[#This Row],[Typ úlohy]]="Účet",H982,"")</f>
        <v/>
      </c>
      <c r="D982" s="903" t="str">
        <f>IF(Tabulka4[[#This Row],[Typ úlohy]]="Účet",GETPIVOTDATA("Součet z Celková hmotnost položek [kg]",$G$2,"Zkratka kalkulační položky",B982,"Výrobce / Dodavatel",C982),"")</f>
        <v/>
      </c>
      <c r="E982" s="904" t="str">
        <f>IF(Tabulka4[[#This Row],[Typ úlohy]]="Účet",GETPIVOTDATA("Součet z Celková cena bez DPH (CZK)",$G$3,"Zkratka kalkulační položky",B982,"Výrobce / Dodavatel",C982),"")</f>
        <v/>
      </c>
    </row>
    <row r="983" spans="1:5" x14ac:dyDescent="0.35">
      <c r="A983" s="902" t="str">
        <f t="shared" si="16"/>
        <v/>
      </c>
      <c r="B983" s="903" t="str">
        <f>IF(Tabulka4[[#This Row],[Typ úlohy]]="Součet",G983,IF(Tabulka4[[#This Row],[Typ úlohy]]="Účet",B982,""))</f>
        <v/>
      </c>
      <c r="C983" s="903" t="str">
        <f>IF(Tabulka4[[#This Row],[Typ úlohy]]="Účet",H983,"")</f>
        <v/>
      </c>
      <c r="D983" s="903" t="str">
        <f>IF(Tabulka4[[#This Row],[Typ úlohy]]="Účet",GETPIVOTDATA("Součet z Celková hmotnost položek [kg]",$G$2,"Zkratka kalkulační položky",B983,"Výrobce / Dodavatel",C983),"")</f>
        <v/>
      </c>
      <c r="E983" s="904" t="str">
        <f>IF(Tabulka4[[#This Row],[Typ úlohy]]="Účet",GETPIVOTDATA("Součet z Celková cena bez DPH (CZK)",$G$3,"Zkratka kalkulační položky",B983,"Výrobce / Dodavatel",C983),"")</f>
        <v/>
      </c>
    </row>
    <row r="984" spans="1:5" x14ac:dyDescent="0.35">
      <c r="A984" s="902" t="str">
        <f t="shared" si="16"/>
        <v/>
      </c>
      <c r="B984" s="903" t="str">
        <f>IF(Tabulka4[[#This Row],[Typ úlohy]]="Součet",G984,IF(Tabulka4[[#This Row],[Typ úlohy]]="Účet",B983,""))</f>
        <v/>
      </c>
      <c r="C984" s="903" t="str">
        <f>IF(Tabulka4[[#This Row],[Typ úlohy]]="Účet",H984,"")</f>
        <v/>
      </c>
      <c r="D984" s="903" t="str">
        <f>IF(Tabulka4[[#This Row],[Typ úlohy]]="Účet",GETPIVOTDATA("Součet z Celková hmotnost položek [kg]",$G$2,"Zkratka kalkulační položky",B984,"Výrobce / Dodavatel",C984),"")</f>
        <v/>
      </c>
      <c r="E984" s="904" t="str">
        <f>IF(Tabulka4[[#This Row],[Typ úlohy]]="Účet",GETPIVOTDATA("Součet z Celková cena bez DPH (CZK)",$G$3,"Zkratka kalkulační položky",B984,"Výrobce / Dodavatel",C984),"")</f>
        <v/>
      </c>
    </row>
    <row r="985" spans="1:5" x14ac:dyDescent="0.35">
      <c r="A985" s="902" t="str">
        <f t="shared" si="16"/>
        <v/>
      </c>
      <c r="B985" s="903" t="str">
        <f>IF(Tabulka4[[#This Row],[Typ úlohy]]="Součet",G985,IF(Tabulka4[[#This Row],[Typ úlohy]]="Účet",B984,""))</f>
        <v/>
      </c>
      <c r="C985" s="903" t="str">
        <f>IF(Tabulka4[[#This Row],[Typ úlohy]]="Účet",H985,"")</f>
        <v/>
      </c>
      <c r="D985" s="903" t="str">
        <f>IF(Tabulka4[[#This Row],[Typ úlohy]]="Účet",GETPIVOTDATA("Součet z Celková hmotnost položek [kg]",$G$2,"Zkratka kalkulační položky",B985,"Výrobce / Dodavatel",C985),"")</f>
        <v/>
      </c>
      <c r="E985" s="904" t="str">
        <f>IF(Tabulka4[[#This Row],[Typ úlohy]]="Účet",GETPIVOTDATA("Součet z Celková cena bez DPH (CZK)",$G$3,"Zkratka kalkulační položky",B985,"Výrobce / Dodavatel",C985),"")</f>
        <v/>
      </c>
    </row>
    <row r="986" spans="1:5" x14ac:dyDescent="0.35">
      <c r="A986" s="902" t="str">
        <f t="shared" si="16"/>
        <v/>
      </c>
      <c r="B986" s="903" t="str">
        <f>IF(Tabulka4[[#This Row],[Typ úlohy]]="Součet",G986,IF(Tabulka4[[#This Row],[Typ úlohy]]="Účet",B985,""))</f>
        <v/>
      </c>
      <c r="C986" s="903" t="str">
        <f>IF(Tabulka4[[#This Row],[Typ úlohy]]="Účet",H986,"")</f>
        <v/>
      </c>
      <c r="D986" s="903" t="str">
        <f>IF(Tabulka4[[#This Row],[Typ úlohy]]="Účet",GETPIVOTDATA("Součet z Celková hmotnost položek [kg]",$G$2,"Zkratka kalkulační položky",B986,"Výrobce / Dodavatel",C986),"")</f>
        <v/>
      </c>
      <c r="E986" s="904" t="str">
        <f>IF(Tabulka4[[#This Row],[Typ úlohy]]="Účet",GETPIVOTDATA("Součet z Celková cena bez DPH (CZK)",$G$3,"Zkratka kalkulační položky",B986,"Výrobce / Dodavatel",C986),"")</f>
        <v/>
      </c>
    </row>
    <row r="987" spans="1:5" x14ac:dyDescent="0.35">
      <c r="A987" s="902" t="str">
        <f t="shared" si="16"/>
        <v/>
      </c>
      <c r="B987" s="903" t="str">
        <f>IF(Tabulka4[[#This Row],[Typ úlohy]]="Součet",G987,IF(Tabulka4[[#This Row],[Typ úlohy]]="Účet",B986,""))</f>
        <v/>
      </c>
      <c r="C987" s="903" t="str">
        <f>IF(Tabulka4[[#This Row],[Typ úlohy]]="Účet",H987,"")</f>
        <v/>
      </c>
      <c r="D987" s="903" t="str">
        <f>IF(Tabulka4[[#This Row],[Typ úlohy]]="Účet",GETPIVOTDATA("Součet z Celková hmotnost položek [kg]",$G$2,"Zkratka kalkulační položky",B987,"Výrobce / Dodavatel",C987),"")</f>
        <v/>
      </c>
      <c r="E987" s="904" t="str">
        <f>IF(Tabulka4[[#This Row],[Typ úlohy]]="Účet",GETPIVOTDATA("Součet z Celková cena bez DPH (CZK)",$G$3,"Zkratka kalkulační položky",B987,"Výrobce / Dodavatel",C987),"")</f>
        <v/>
      </c>
    </row>
    <row r="988" spans="1:5" x14ac:dyDescent="0.35">
      <c r="A988" s="902" t="str">
        <f t="shared" si="16"/>
        <v/>
      </c>
      <c r="B988" s="903" t="str">
        <f>IF(Tabulka4[[#This Row],[Typ úlohy]]="Součet",G988,IF(Tabulka4[[#This Row],[Typ úlohy]]="Účet",B987,""))</f>
        <v/>
      </c>
      <c r="C988" s="903" t="str">
        <f>IF(Tabulka4[[#This Row],[Typ úlohy]]="Účet",H988,"")</f>
        <v/>
      </c>
      <c r="D988" s="903" t="str">
        <f>IF(Tabulka4[[#This Row],[Typ úlohy]]="Účet",GETPIVOTDATA("Součet z Celková hmotnost položek [kg]",$G$2,"Zkratka kalkulační položky",B988,"Výrobce / Dodavatel",C988),"")</f>
        <v/>
      </c>
      <c r="E988" s="904" t="str">
        <f>IF(Tabulka4[[#This Row],[Typ úlohy]]="Účet",GETPIVOTDATA("Součet z Celková cena bez DPH (CZK)",$G$3,"Zkratka kalkulační položky",B988,"Výrobce / Dodavatel",C988),"")</f>
        <v/>
      </c>
    </row>
    <row r="989" spans="1:5" x14ac:dyDescent="0.35">
      <c r="A989" s="902" t="str">
        <f t="shared" si="16"/>
        <v/>
      </c>
      <c r="B989" s="903" t="str">
        <f>IF(Tabulka4[[#This Row],[Typ úlohy]]="Součet",G989,IF(Tabulka4[[#This Row],[Typ úlohy]]="Účet",B988,""))</f>
        <v/>
      </c>
      <c r="C989" s="903" t="str">
        <f>IF(Tabulka4[[#This Row],[Typ úlohy]]="Účet",H989,"")</f>
        <v/>
      </c>
      <c r="D989" s="903" t="str">
        <f>IF(Tabulka4[[#This Row],[Typ úlohy]]="Účet",GETPIVOTDATA("Součet z Celková hmotnost položek [kg]",$G$2,"Zkratka kalkulační položky",B989,"Výrobce / Dodavatel",C989),"")</f>
        <v/>
      </c>
      <c r="E989" s="904" t="str">
        <f>IF(Tabulka4[[#This Row],[Typ úlohy]]="Účet",GETPIVOTDATA("Součet z Celková cena bez DPH (CZK)",$G$3,"Zkratka kalkulační položky",B989,"Výrobce / Dodavatel",C989),"")</f>
        <v/>
      </c>
    </row>
    <row r="990" spans="1:5" x14ac:dyDescent="0.35">
      <c r="A990" s="902" t="str">
        <f t="shared" si="16"/>
        <v/>
      </c>
      <c r="B990" s="903" t="str">
        <f>IF(Tabulka4[[#This Row],[Typ úlohy]]="Součet",G990,IF(Tabulka4[[#This Row],[Typ úlohy]]="Účet",B989,""))</f>
        <v/>
      </c>
      <c r="C990" s="903" t="str">
        <f>IF(Tabulka4[[#This Row],[Typ úlohy]]="Účet",H990,"")</f>
        <v/>
      </c>
      <c r="D990" s="903" t="str">
        <f>IF(Tabulka4[[#This Row],[Typ úlohy]]="Účet",GETPIVOTDATA("Součet z Celková hmotnost položek [kg]",$G$2,"Zkratka kalkulační položky",B990,"Výrobce / Dodavatel",C990),"")</f>
        <v/>
      </c>
      <c r="E990" s="904" t="str">
        <f>IF(Tabulka4[[#This Row],[Typ úlohy]]="Účet",GETPIVOTDATA("Součet z Celková cena bez DPH (CZK)",$G$3,"Zkratka kalkulační položky",B990,"Výrobce / Dodavatel",C990),"")</f>
        <v/>
      </c>
    </row>
    <row r="991" spans="1:5" x14ac:dyDescent="0.35">
      <c r="A991" s="902" t="str">
        <f t="shared" si="16"/>
        <v/>
      </c>
      <c r="B991" s="903" t="str">
        <f>IF(Tabulka4[[#This Row],[Typ úlohy]]="Součet",G991,IF(Tabulka4[[#This Row],[Typ úlohy]]="Účet",B990,""))</f>
        <v/>
      </c>
      <c r="C991" s="903" t="str">
        <f>IF(Tabulka4[[#This Row],[Typ úlohy]]="Účet",H991,"")</f>
        <v/>
      </c>
      <c r="D991" s="903" t="str">
        <f>IF(Tabulka4[[#This Row],[Typ úlohy]]="Účet",GETPIVOTDATA("Součet z Celková hmotnost položek [kg]",$G$2,"Zkratka kalkulační položky",B991,"Výrobce / Dodavatel",C991),"")</f>
        <v/>
      </c>
      <c r="E991" s="904" t="str">
        <f>IF(Tabulka4[[#This Row],[Typ úlohy]]="Účet",GETPIVOTDATA("Součet z Celková cena bez DPH (CZK)",$G$3,"Zkratka kalkulační položky",B991,"Výrobce / Dodavatel",C991),"")</f>
        <v/>
      </c>
    </row>
    <row r="992" spans="1:5" x14ac:dyDescent="0.35">
      <c r="A992" s="902" t="str">
        <f t="shared" si="16"/>
        <v/>
      </c>
      <c r="B992" s="903" t="str">
        <f>IF(Tabulka4[[#This Row],[Typ úlohy]]="Součet",G992,IF(Tabulka4[[#This Row],[Typ úlohy]]="Účet",B991,""))</f>
        <v/>
      </c>
      <c r="C992" s="903" t="str">
        <f>IF(Tabulka4[[#This Row],[Typ úlohy]]="Účet",H992,"")</f>
        <v/>
      </c>
      <c r="D992" s="903" t="str">
        <f>IF(Tabulka4[[#This Row],[Typ úlohy]]="Účet",GETPIVOTDATA("Součet z Celková hmotnost položek [kg]",$G$2,"Zkratka kalkulační položky",B992,"Výrobce / Dodavatel",C992),"")</f>
        <v/>
      </c>
      <c r="E992" s="904" t="str">
        <f>IF(Tabulka4[[#This Row],[Typ úlohy]]="Účet",GETPIVOTDATA("Součet z Celková cena bez DPH (CZK)",$G$3,"Zkratka kalkulační položky",B992,"Výrobce / Dodavatel",C992),"")</f>
        <v/>
      </c>
    </row>
    <row r="993" spans="1:5" x14ac:dyDescent="0.35">
      <c r="A993" s="902" t="str">
        <f t="shared" si="16"/>
        <v/>
      </c>
      <c r="B993" s="903" t="str">
        <f>IF(Tabulka4[[#This Row],[Typ úlohy]]="Součet",G993,IF(Tabulka4[[#This Row],[Typ úlohy]]="Účet",B992,""))</f>
        <v/>
      </c>
      <c r="C993" s="903" t="str">
        <f>IF(Tabulka4[[#This Row],[Typ úlohy]]="Účet",H993,"")</f>
        <v/>
      </c>
      <c r="D993" s="903" t="str">
        <f>IF(Tabulka4[[#This Row],[Typ úlohy]]="Účet",GETPIVOTDATA("Součet z Celková hmotnost položek [kg]",$G$2,"Zkratka kalkulační položky",B993,"Výrobce / Dodavatel",C993),"")</f>
        <v/>
      </c>
      <c r="E993" s="904" t="str">
        <f>IF(Tabulka4[[#This Row],[Typ úlohy]]="Účet",GETPIVOTDATA("Součet z Celková cena bez DPH (CZK)",$G$3,"Zkratka kalkulační položky",B993,"Výrobce / Dodavatel",C993),"")</f>
        <v/>
      </c>
    </row>
    <row r="994" spans="1:5" x14ac:dyDescent="0.35">
      <c r="A994" s="902" t="str">
        <f t="shared" si="16"/>
        <v/>
      </c>
      <c r="B994" s="903" t="str">
        <f>IF(Tabulka4[[#This Row],[Typ úlohy]]="Součet",G994,IF(Tabulka4[[#This Row],[Typ úlohy]]="Účet",B993,""))</f>
        <v/>
      </c>
      <c r="C994" s="903" t="str">
        <f>IF(Tabulka4[[#This Row],[Typ úlohy]]="Účet",H994,"")</f>
        <v/>
      </c>
      <c r="D994" s="903" t="str">
        <f>IF(Tabulka4[[#This Row],[Typ úlohy]]="Účet",GETPIVOTDATA("Součet z Celková hmotnost položek [kg]",$G$2,"Zkratka kalkulační položky",B994,"Výrobce / Dodavatel",C994),"")</f>
        <v/>
      </c>
      <c r="E994" s="904" t="str">
        <f>IF(Tabulka4[[#This Row],[Typ úlohy]]="Účet",GETPIVOTDATA("Součet z Celková cena bez DPH (CZK)",$G$3,"Zkratka kalkulační položky",B994,"Výrobce / Dodavatel",C994),"")</f>
        <v/>
      </c>
    </row>
    <row r="995" spans="1:5" x14ac:dyDescent="0.35">
      <c r="A995" s="902" t="str">
        <f t="shared" si="16"/>
        <v/>
      </c>
      <c r="B995" s="903" t="str">
        <f>IF(Tabulka4[[#This Row],[Typ úlohy]]="Součet",G995,IF(Tabulka4[[#This Row],[Typ úlohy]]="Účet",B994,""))</f>
        <v/>
      </c>
      <c r="C995" s="903" t="str">
        <f>IF(Tabulka4[[#This Row],[Typ úlohy]]="Účet",H995,"")</f>
        <v/>
      </c>
      <c r="D995" s="903" t="str">
        <f>IF(Tabulka4[[#This Row],[Typ úlohy]]="Účet",GETPIVOTDATA("Součet z Celková hmotnost položek [kg]",$G$2,"Zkratka kalkulační položky",B995,"Výrobce / Dodavatel",C995),"")</f>
        <v/>
      </c>
      <c r="E995" s="904" t="str">
        <f>IF(Tabulka4[[#This Row],[Typ úlohy]]="Účet",GETPIVOTDATA("Součet z Celková cena bez DPH (CZK)",$G$3,"Zkratka kalkulační položky",B995,"Výrobce / Dodavatel",C995),"")</f>
        <v/>
      </c>
    </row>
    <row r="996" spans="1:5" x14ac:dyDescent="0.35">
      <c r="A996" s="902" t="str">
        <f t="shared" si="16"/>
        <v/>
      </c>
      <c r="B996" s="903" t="str">
        <f>IF(Tabulka4[[#This Row],[Typ úlohy]]="Součet",G996,IF(Tabulka4[[#This Row],[Typ úlohy]]="Účet",B995,""))</f>
        <v/>
      </c>
      <c r="C996" s="903" t="str">
        <f>IF(Tabulka4[[#This Row],[Typ úlohy]]="Účet",H996,"")</f>
        <v/>
      </c>
      <c r="D996" s="903" t="str">
        <f>IF(Tabulka4[[#This Row],[Typ úlohy]]="Účet",GETPIVOTDATA("Součet z Celková hmotnost položek [kg]",$G$2,"Zkratka kalkulační položky",B996,"Výrobce / Dodavatel",C996),"")</f>
        <v/>
      </c>
      <c r="E996" s="904" t="str">
        <f>IF(Tabulka4[[#This Row],[Typ úlohy]]="Účet",GETPIVOTDATA("Součet z Celková cena bez DPH (CZK)",$G$3,"Zkratka kalkulační položky",B996,"Výrobce / Dodavatel",C996),"")</f>
        <v/>
      </c>
    </row>
    <row r="997" spans="1:5" x14ac:dyDescent="0.35">
      <c r="A997" s="902" t="str">
        <f t="shared" si="16"/>
        <v/>
      </c>
      <c r="B997" s="903" t="str">
        <f>IF(Tabulka4[[#This Row],[Typ úlohy]]="Součet",G997,IF(Tabulka4[[#This Row],[Typ úlohy]]="Účet",B996,""))</f>
        <v/>
      </c>
      <c r="C997" s="903" t="str">
        <f>IF(Tabulka4[[#This Row],[Typ úlohy]]="Účet",H997,"")</f>
        <v/>
      </c>
      <c r="D997" s="903" t="str">
        <f>IF(Tabulka4[[#This Row],[Typ úlohy]]="Účet",GETPIVOTDATA("Součet z Celková hmotnost položek [kg]",$G$2,"Zkratka kalkulační položky",B997,"Výrobce / Dodavatel",C997),"")</f>
        <v/>
      </c>
      <c r="E997" s="904" t="str">
        <f>IF(Tabulka4[[#This Row],[Typ úlohy]]="Účet",GETPIVOTDATA("Součet z Celková cena bez DPH (CZK)",$G$3,"Zkratka kalkulační položky",B997,"Výrobce / Dodavatel",C997),"")</f>
        <v/>
      </c>
    </row>
    <row r="998" spans="1:5" x14ac:dyDescent="0.35">
      <c r="A998" s="902" t="str">
        <f t="shared" si="16"/>
        <v/>
      </c>
      <c r="B998" s="903" t="str">
        <f>IF(Tabulka4[[#This Row],[Typ úlohy]]="Součet",G998,IF(Tabulka4[[#This Row],[Typ úlohy]]="Účet",B997,""))</f>
        <v/>
      </c>
      <c r="C998" s="903" t="str">
        <f>IF(Tabulka4[[#This Row],[Typ úlohy]]="Účet",H998,"")</f>
        <v/>
      </c>
      <c r="D998" s="903" t="str">
        <f>IF(Tabulka4[[#This Row],[Typ úlohy]]="Účet",GETPIVOTDATA("Součet z Celková hmotnost položek [kg]",$G$2,"Zkratka kalkulační položky",B998,"Výrobce / Dodavatel",C998),"")</f>
        <v/>
      </c>
      <c r="E998" s="904" t="str">
        <f>IF(Tabulka4[[#This Row],[Typ úlohy]]="Účet",GETPIVOTDATA("Součet z Celková cena bez DPH (CZK)",$G$3,"Zkratka kalkulační položky",B998,"Výrobce / Dodavatel",C998),"")</f>
        <v/>
      </c>
    </row>
    <row r="999" spans="1:5" x14ac:dyDescent="0.35">
      <c r="A999" s="902" t="str">
        <f t="shared" si="16"/>
        <v/>
      </c>
      <c r="B999" s="903" t="str">
        <f>IF(Tabulka4[[#This Row],[Typ úlohy]]="Součet",G999,IF(Tabulka4[[#This Row],[Typ úlohy]]="Účet",B998,""))</f>
        <v/>
      </c>
      <c r="C999" s="903" t="str">
        <f>IF(Tabulka4[[#This Row],[Typ úlohy]]="Účet",H999,"")</f>
        <v/>
      </c>
      <c r="D999" s="903" t="str">
        <f>IF(Tabulka4[[#This Row],[Typ úlohy]]="Účet",GETPIVOTDATA("Součet z Celková hmotnost položek [kg]",$G$2,"Zkratka kalkulační položky",B999,"Výrobce / Dodavatel",C999),"")</f>
        <v/>
      </c>
      <c r="E999" s="904" t="str">
        <f>IF(Tabulka4[[#This Row],[Typ úlohy]]="Účet",GETPIVOTDATA("Součet z Celková cena bez DPH (CZK)",$G$3,"Zkratka kalkulační položky",B999,"Výrobce / Dodavatel",C999),"")</f>
        <v/>
      </c>
    </row>
    <row r="1000" spans="1:5" x14ac:dyDescent="0.35">
      <c r="A1000" s="902" t="str">
        <f t="shared" si="16"/>
        <v/>
      </c>
      <c r="B1000" s="903" t="str">
        <f>IF(Tabulka4[[#This Row],[Typ úlohy]]="Součet",G1000,IF(Tabulka4[[#This Row],[Typ úlohy]]="Účet",B999,""))</f>
        <v/>
      </c>
      <c r="C1000" s="903" t="str">
        <f>IF(Tabulka4[[#This Row],[Typ úlohy]]="Účet",H1000,"")</f>
        <v/>
      </c>
      <c r="D1000" s="903" t="str">
        <f>IF(Tabulka4[[#This Row],[Typ úlohy]]="Účet",GETPIVOTDATA("Součet z Celková hmotnost položek [kg]",$G$2,"Zkratka kalkulační položky",B1000,"Výrobce / Dodavatel",C1000),"")</f>
        <v/>
      </c>
      <c r="E1000" s="904" t="str">
        <f>IF(Tabulka4[[#This Row],[Typ úlohy]]="Účet",GETPIVOTDATA("Součet z Celková cena bez DPH (CZK)",$G$3,"Zkratka kalkulační položky",B1000,"Výrobce / Dodavatel",C1000),"")</f>
        <v/>
      </c>
    </row>
    <row r="1001" spans="1:5" x14ac:dyDescent="0.35">
      <c r="A1001" s="902" t="str">
        <f t="shared" si="16"/>
        <v/>
      </c>
      <c r="B1001" s="903" t="str">
        <f>IF(Tabulka4[[#This Row],[Typ úlohy]]="Součet",G1001,IF(Tabulka4[[#This Row],[Typ úlohy]]="Účet",B1000,""))</f>
        <v/>
      </c>
      <c r="C1001" s="903" t="str">
        <f>IF(Tabulka4[[#This Row],[Typ úlohy]]="Účet",H1001,"")</f>
        <v/>
      </c>
      <c r="D1001" s="903" t="str">
        <f>IF(Tabulka4[[#This Row],[Typ úlohy]]="Účet",GETPIVOTDATA("Součet z Celková hmotnost položek [kg]",$G$2,"Zkratka kalkulační položky",B1001,"Výrobce / Dodavatel",C1001),"")</f>
        <v/>
      </c>
      <c r="E1001" s="904" t="str">
        <f>IF(Tabulka4[[#This Row],[Typ úlohy]]="Účet",GETPIVOTDATA("Součet z Celková cena bez DPH (CZK)",$G$3,"Zkratka kalkulační položky",B1001,"Výrobce / Dodavatel",C1001),"")</f>
        <v/>
      </c>
    </row>
    <row r="1002" spans="1:5" x14ac:dyDescent="0.35">
      <c r="A1002" s="902" t="str">
        <f t="shared" si="16"/>
        <v/>
      </c>
      <c r="B1002" s="903" t="str">
        <f>IF(Tabulka4[[#This Row],[Typ úlohy]]="Součet",G1002,IF(Tabulka4[[#This Row],[Typ úlohy]]="Účet",B1001,""))</f>
        <v/>
      </c>
      <c r="C1002" s="903" t="str">
        <f>IF(Tabulka4[[#This Row],[Typ úlohy]]="Účet",H1002,"")</f>
        <v/>
      </c>
      <c r="D1002" s="903" t="str">
        <f>IF(Tabulka4[[#This Row],[Typ úlohy]]="Účet",GETPIVOTDATA("Součet z Celková hmotnost položek [kg]",$G$2,"Zkratka kalkulační položky",B1002,"Výrobce / Dodavatel",C1002),"")</f>
        <v/>
      </c>
      <c r="E1002" s="904" t="str">
        <f>IF(Tabulka4[[#This Row],[Typ úlohy]]="Účet",GETPIVOTDATA("Součet z Celková cena bez DPH (CZK)",$G$3,"Zkratka kalkulační položky",B1002,"Výrobce / Dodavatel",C1002),"")</f>
        <v/>
      </c>
    </row>
    <row r="1003" spans="1:5" x14ac:dyDescent="0.35">
      <c r="A1003" s="902" t="str">
        <f t="shared" si="16"/>
        <v/>
      </c>
      <c r="B1003" s="903" t="str">
        <f>IF(Tabulka4[[#This Row],[Typ úlohy]]="Součet",G1003,IF(Tabulka4[[#This Row],[Typ úlohy]]="Účet",B1002,""))</f>
        <v/>
      </c>
      <c r="C1003" s="903" t="str">
        <f>IF(Tabulka4[[#This Row],[Typ úlohy]]="Účet",H1003,"")</f>
        <v/>
      </c>
      <c r="D1003" s="903" t="str">
        <f>IF(Tabulka4[[#This Row],[Typ úlohy]]="Účet",GETPIVOTDATA("Součet z Celková hmotnost položek [kg]",$G$2,"Zkratka kalkulační položky",B1003,"Výrobce / Dodavatel",C1003),"")</f>
        <v/>
      </c>
      <c r="E1003" s="904" t="str">
        <f>IF(Tabulka4[[#This Row],[Typ úlohy]]="Účet",GETPIVOTDATA("Součet z Celková cena bez DPH (CZK)",$G$3,"Zkratka kalkulační položky",B1003,"Výrobce / Dodavatel",C1003),"")</f>
        <v/>
      </c>
    </row>
    <row r="1004" spans="1:5" x14ac:dyDescent="0.35">
      <c r="A1004" s="902" t="str">
        <f t="shared" si="16"/>
        <v/>
      </c>
      <c r="B1004" s="903" t="str">
        <f>IF(Tabulka4[[#This Row],[Typ úlohy]]="Součet",G1004,IF(Tabulka4[[#This Row],[Typ úlohy]]="Účet",B1003,""))</f>
        <v/>
      </c>
      <c r="C1004" s="903" t="str">
        <f>IF(Tabulka4[[#This Row],[Typ úlohy]]="Účet",H1004,"")</f>
        <v/>
      </c>
      <c r="D1004" s="903" t="str">
        <f>IF(Tabulka4[[#This Row],[Typ úlohy]]="Účet",GETPIVOTDATA("Součet z Celková hmotnost položek [kg]",$G$2,"Zkratka kalkulační položky",B1004,"Výrobce / Dodavatel",C1004),"")</f>
        <v/>
      </c>
      <c r="E1004" s="904" t="str">
        <f>IF(Tabulka4[[#This Row],[Typ úlohy]]="Účet",GETPIVOTDATA("Součet z Celková cena bez DPH (CZK)",$G$3,"Zkratka kalkulační položky",B1004,"Výrobce / Dodavatel",C1004),"")</f>
        <v/>
      </c>
    </row>
    <row r="1005" spans="1:5" x14ac:dyDescent="0.35">
      <c r="A1005" s="902" t="str">
        <f t="shared" si="16"/>
        <v/>
      </c>
      <c r="B1005" s="903" t="str">
        <f>IF(Tabulka4[[#This Row],[Typ úlohy]]="Součet",G1005,IF(Tabulka4[[#This Row],[Typ úlohy]]="Účet",B1004,""))</f>
        <v/>
      </c>
      <c r="C1005" s="903" t="str">
        <f>IF(Tabulka4[[#This Row],[Typ úlohy]]="Účet",H1005,"")</f>
        <v/>
      </c>
      <c r="D1005" s="903" t="str">
        <f>IF(Tabulka4[[#This Row],[Typ úlohy]]="Účet",GETPIVOTDATA("Součet z Celková hmotnost položek [kg]",$G$2,"Zkratka kalkulační položky",B1005,"Výrobce / Dodavatel",C1005),"")</f>
        <v/>
      </c>
      <c r="E1005" s="904" t="str">
        <f>IF(Tabulka4[[#This Row],[Typ úlohy]]="Účet",GETPIVOTDATA("Součet z Celková cena bez DPH (CZK)",$G$3,"Zkratka kalkulační položky",B1005,"Výrobce / Dodavatel",C1005),"")</f>
        <v/>
      </c>
    </row>
    <row r="1006" spans="1:5" x14ac:dyDescent="0.35">
      <c r="A1006" s="902" t="str">
        <f t="shared" si="16"/>
        <v/>
      </c>
      <c r="B1006" s="903" t="str">
        <f>IF(Tabulka4[[#This Row],[Typ úlohy]]="Součet",G1006,IF(Tabulka4[[#This Row],[Typ úlohy]]="Účet",B1005,""))</f>
        <v/>
      </c>
      <c r="C1006" s="903" t="str">
        <f>IF(Tabulka4[[#This Row],[Typ úlohy]]="Účet",H1006,"")</f>
        <v/>
      </c>
      <c r="D1006" s="903" t="str">
        <f>IF(Tabulka4[[#This Row],[Typ úlohy]]="Účet",GETPIVOTDATA("Součet z Celková hmotnost položek [kg]",$G$2,"Zkratka kalkulační položky",B1006,"Výrobce / Dodavatel",C1006),"")</f>
        <v/>
      </c>
      <c r="E1006" s="904" t="str">
        <f>IF(Tabulka4[[#This Row],[Typ úlohy]]="Účet",GETPIVOTDATA("Součet z Celková cena bez DPH (CZK)",$G$3,"Zkratka kalkulační položky",B1006,"Výrobce / Dodavatel",C1006),"")</f>
        <v/>
      </c>
    </row>
    <row r="1007" spans="1:5" x14ac:dyDescent="0.35">
      <c r="A1007" s="902" t="str">
        <f t="shared" si="16"/>
        <v/>
      </c>
      <c r="B1007" s="903" t="str">
        <f>IF(Tabulka4[[#This Row],[Typ úlohy]]="Součet",G1007,IF(Tabulka4[[#This Row],[Typ úlohy]]="Účet",B1006,""))</f>
        <v/>
      </c>
      <c r="C1007" s="903" t="str">
        <f>IF(Tabulka4[[#This Row],[Typ úlohy]]="Účet",H1007,"")</f>
        <v/>
      </c>
      <c r="D1007" s="903" t="str">
        <f>IF(Tabulka4[[#This Row],[Typ úlohy]]="Účet",GETPIVOTDATA("Součet z Celková hmotnost položek [kg]",$G$2,"Zkratka kalkulační položky",B1007,"Výrobce / Dodavatel",C1007),"")</f>
        <v/>
      </c>
      <c r="E1007" s="904" t="str">
        <f>IF(Tabulka4[[#This Row],[Typ úlohy]]="Účet",GETPIVOTDATA("Součet z Celková cena bez DPH (CZK)",$G$3,"Zkratka kalkulační položky",B1007,"Výrobce / Dodavatel",C1007),"")</f>
        <v/>
      </c>
    </row>
    <row r="1008" spans="1:5" x14ac:dyDescent="0.35">
      <c r="A1008" s="902" t="str">
        <f t="shared" si="16"/>
        <v/>
      </c>
      <c r="B1008" s="903" t="str">
        <f>IF(Tabulka4[[#This Row],[Typ úlohy]]="Součet",G1008,IF(Tabulka4[[#This Row],[Typ úlohy]]="Účet",B1007,""))</f>
        <v/>
      </c>
      <c r="C1008" s="903" t="str">
        <f>IF(Tabulka4[[#This Row],[Typ úlohy]]="Účet",H1008,"")</f>
        <v/>
      </c>
      <c r="D1008" s="903" t="str">
        <f>IF(Tabulka4[[#This Row],[Typ úlohy]]="Účet",GETPIVOTDATA("Součet z Celková hmotnost položek [kg]",$G$2,"Zkratka kalkulační položky",B1008,"Výrobce / Dodavatel",C1008),"")</f>
        <v/>
      </c>
      <c r="E1008" s="904" t="str">
        <f>IF(Tabulka4[[#This Row],[Typ úlohy]]="Účet",GETPIVOTDATA("Součet z Celková cena bez DPH (CZK)",$G$3,"Zkratka kalkulační položky",B1008,"Výrobce / Dodavatel",C1008),"")</f>
        <v/>
      </c>
    </row>
    <row r="1009" spans="1:5" x14ac:dyDescent="0.35">
      <c r="A1009" s="902" t="str">
        <f t="shared" si="16"/>
        <v/>
      </c>
      <c r="B1009" s="903" t="str">
        <f>IF(Tabulka4[[#This Row],[Typ úlohy]]="Součet",G1009,IF(Tabulka4[[#This Row],[Typ úlohy]]="Účet",B1008,""))</f>
        <v/>
      </c>
      <c r="C1009" s="903" t="str">
        <f>IF(Tabulka4[[#This Row],[Typ úlohy]]="Účet",H1009,"")</f>
        <v/>
      </c>
      <c r="D1009" s="903" t="str">
        <f>IF(Tabulka4[[#This Row],[Typ úlohy]]="Účet",GETPIVOTDATA("Součet z Celková hmotnost položek [kg]",$G$2,"Zkratka kalkulační položky",B1009,"Výrobce / Dodavatel",C1009),"")</f>
        <v/>
      </c>
      <c r="E1009" s="904" t="str">
        <f>IF(Tabulka4[[#This Row],[Typ úlohy]]="Účet",GETPIVOTDATA("Součet z Celková cena bez DPH (CZK)",$G$3,"Zkratka kalkulační položky",B1009,"Výrobce / Dodavatel",C1009),"")</f>
        <v/>
      </c>
    </row>
    <row r="1010" spans="1:5" x14ac:dyDescent="0.35">
      <c r="A1010" s="902" t="str">
        <f t="shared" si="16"/>
        <v/>
      </c>
      <c r="B1010" s="903" t="str">
        <f>IF(Tabulka4[[#This Row],[Typ úlohy]]="Součet",G1010,IF(Tabulka4[[#This Row],[Typ úlohy]]="Účet",B1009,""))</f>
        <v/>
      </c>
      <c r="C1010" s="903" t="str">
        <f>IF(Tabulka4[[#This Row],[Typ úlohy]]="Účet",H1010,"")</f>
        <v/>
      </c>
      <c r="D1010" s="903" t="str">
        <f>IF(Tabulka4[[#This Row],[Typ úlohy]]="Účet",GETPIVOTDATA("Součet z Celková hmotnost položek [kg]",$G$2,"Zkratka kalkulační položky",B1010,"Výrobce / Dodavatel",C1010),"")</f>
        <v/>
      </c>
      <c r="E1010" s="904" t="str">
        <f>IF(Tabulka4[[#This Row],[Typ úlohy]]="Účet",GETPIVOTDATA("Součet z Celková cena bez DPH (CZK)",$G$3,"Zkratka kalkulační položky",B1010,"Výrobce / Dodavatel",C1010),"")</f>
        <v/>
      </c>
    </row>
    <row r="1011" spans="1:5" x14ac:dyDescent="0.35">
      <c r="A1011" s="902" t="str">
        <f t="shared" si="16"/>
        <v/>
      </c>
      <c r="B1011" s="903" t="str">
        <f>IF(Tabulka4[[#This Row],[Typ úlohy]]="Součet",G1011,IF(Tabulka4[[#This Row],[Typ úlohy]]="Účet",B1010,""))</f>
        <v/>
      </c>
      <c r="C1011" s="903" t="str">
        <f>IF(Tabulka4[[#This Row],[Typ úlohy]]="Účet",H1011,"")</f>
        <v/>
      </c>
      <c r="D1011" s="903" t="str">
        <f>IF(Tabulka4[[#This Row],[Typ úlohy]]="Účet",GETPIVOTDATA("Součet z Celková hmotnost položek [kg]",$G$2,"Zkratka kalkulační položky",B1011,"Výrobce / Dodavatel",C1011),"")</f>
        <v/>
      </c>
      <c r="E1011" s="904" t="str">
        <f>IF(Tabulka4[[#This Row],[Typ úlohy]]="Účet",GETPIVOTDATA("Součet z Celková cena bez DPH (CZK)",$G$3,"Zkratka kalkulační položky",B1011,"Výrobce / Dodavatel",C1011),"")</f>
        <v/>
      </c>
    </row>
    <row r="1012" spans="1:5" x14ac:dyDescent="0.35">
      <c r="A1012" s="902" t="str">
        <f t="shared" si="16"/>
        <v/>
      </c>
      <c r="B1012" s="903" t="str">
        <f>IF(Tabulka4[[#This Row],[Typ úlohy]]="Součet",G1012,IF(Tabulka4[[#This Row],[Typ úlohy]]="Účet",B1011,""))</f>
        <v/>
      </c>
      <c r="C1012" s="903" t="str">
        <f>IF(Tabulka4[[#This Row],[Typ úlohy]]="Účet",H1012,"")</f>
        <v/>
      </c>
      <c r="D1012" s="903" t="str">
        <f>IF(Tabulka4[[#This Row],[Typ úlohy]]="Účet",GETPIVOTDATA("Součet z Celková hmotnost položek [kg]",$G$2,"Zkratka kalkulační položky",B1012,"Výrobce / Dodavatel",C1012),"")</f>
        <v/>
      </c>
      <c r="E1012" s="904" t="str">
        <f>IF(Tabulka4[[#This Row],[Typ úlohy]]="Účet",GETPIVOTDATA("Součet z Celková cena bez DPH (CZK)",$G$3,"Zkratka kalkulační položky",B1012,"Výrobce / Dodavatel",C1012),"")</f>
        <v/>
      </c>
    </row>
    <row r="1013" spans="1:5" x14ac:dyDescent="0.35">
      <c r="A1013" s="902" t="str">
        <f t="shared" si="16"/>
        <v/>
      </c>
      <c r="B1013" s="903" t="str">
        <f>IF(Tabulka4[[#This Row],[Typ úlohy]]="Součet",G1013,IF(Tabulka4[[#This Row],[Typ úlohy]]="Účet",B1012,""))</f>
        <v/>
      </c>
      <c r="C1013" s="903" t="str">
        <f>IF(Tabulka4[[#This Row],[Typ úlohy]]="Účet",H1013,"")</f>
        <v/>
      </c>
      <c r="D1013" s="903" t="str">
        <f>IF(Tabulka4[[#This Row],[Typ úlohy]]="Účet",GETPIVOTDATA("Součet z Celková hmotnost položek [kg]",$G$2,"Zkratka kalkulační položky",B1013,"Výrobce / Dodavatel",C1013),"")</f>
        <v/>
      </c>
      <c r="E1013" s="904" t="str">
        <f>IF(Tabulka4[[#This Row],[Typ úlohy]]="Účet",GETPIVOTDATA("Součet z Celková cena bez DPH (CZK)",$G$3,"Zkratka kalkulační položky",B1013,"Výrobce / Dodavatel",C1013),"")</f>
        <v/>
      </c>
    </row>
    <row r="1014" spans="1:5" x14ac:dyDescent="0.35">
      <c r="A1014" s="902" t="str">
        <f t="shared" si="16"/>
        <v/>
      </c>
      <c r="B1014" s="903" t="str">
        <f>IF(Tabulka4[[#This Row],[Typ úlohy]]="Součet",G1014,IF(Tabulka4[[#This Row],[Typ úlohy]]="Účet",B1013,""))</f>
        <v/>
      </c>
      <c r="C1014" s="903" t="str">
        <f>IF(Tabulka4[[#This Row],[Typ úlohy]]="Účet",H1014,"")</f>
        <v/>
      </c>
      <c r="D1014" s="903" t="str">
        <f>IF(Tabulka4[[#This Row],[Typ úlohy]]="Účet",GETPIVOTDATA("Součet z Celková hmotnost položek [kg]",$G$2,"Zkratka kalkulační položky",B1014,"Výrobce / Dodavatel",C1014),"")</f>
        <v/>
      </c>
      <c r="E1014" s="904" t="str">
        <f>IF(Tabulka4[[#This Row],[Typ úlohy]]="Účet",GETPIVOTDATA("Součet z Celková cena bez DPH (CZK)",$G$3,"Zkratka kalkulační položky",B1014,"Výrobce / Dodavatel",C1014),"")</f>
        <v/>
      </c>
    </row>
    <row r="1015" spans="1:5" x14ac:dyDescent="0.35">
      <c r="A1015" s="902" t="str">
        <f t="shared" si="16"/>
        <v/>
      </c>
      <c r="B1015" s="903" t="str">
        <f>IF(Tabulka4[[#This Row],[Typ úlohy]]="Součet",G1015,IF(Tabulka4[[#This Row],[Typ úlohy]]="Účet",B1014,""))</f>
        <v/>
      </c>
      <c r="C1015" s="903" t="str">
        <f>IF(Tabulka4[[#This Row],[Typ úlohy]]="Účet",H1015,"")</f>
        <v/>
      </c>
      <c r="D1015" s="903" t="str">
        <f>IF(Tabulka4[[#This Row],[Typ úlohy]]="Účet",GETPIVOTDATA("Součet z Celková hmotnost položek [kg]",$G$2,"Zkratka kalkulační položky",B1015,"Výrobce / Dodavatel",C1015),"")</f>
        <v/>
      </c>
      <c r="E1015" s="904" t="str">
        <f>IF(Tabulka4[[#This Row],[Typ úlohy]]="Účet",GETPIVOTDATA("Součet z Celková cena bez DPH (CZK)",$G$3,"Zkratka kalkulační položky",B1015,"Výrobce / Dodavatel",C1015),"")</f>
        <v/>
      </c>
    </row>
    <row r="1016" spans="1:5" x14ac:dyDescent="0.35">
      <c r="A1016" s="902" t="str">
        <f t="shared" si="16"/>
        <v/>
      </c>
      <c r="B1016" s="903" t="str">
        <f>IF(Tabulka4[[#This Row],[Typ úlohy]]="Součet",G1016,IF(Tabulka4[[#This Row],[Typ úlohy]]="Účet",B1015,""))</f>
        <v/>
      </c>
      <c r="C1016" s="903" t="str">
        <f>IF(Tabulka4[[#This Row],[Typ úlohy]]="Účet",H1016,"")</f>
        <v/>
      </c>
      <c r="D1016" s="903" t="str">
        <f>IF(Tabulka4[[#This Row],[Typ úlohy]]="Účet",GETPIVOTDATA("Součet z Celková hmotnost položek [kg]",$G$2,"Zkratka kalkulační položky",B1016,"Výrobce / Dodavatel",C1016),"")</f>
        <v/>
      </c>
      <c r="E1016" s="904" t="str">
        <f>IF(Tabulka4[[#This Row],[Typ úlohy]]="Účet",GETPIVOTDATA("Součet z Celková cena bez DPH (CZK)",$G$3,"Zkratka kalkulační položky",B1016,"Výrobce / Dodavatel",C1016),"")</f>
        <v/>
      </c>
    </row>
    <row r="1017" spans="1:5" x14ac:dyDescent="0.35">
      <c r="A1017" s="902" t="str">
        <f t="shared" si="16"/>
        <v/>
      </c>
      <c r="B1017" s="903" t="str">
        <f>IF(Tabulka4[[#This Row],[Typ úlohy]]="Součet",G1017,IF(Tabulka4[[#This Row],[Typ úlohy]]="Účet",B1016,""))</f>
        <v/>
      </c>
      <c r="C1017" s="903" t="str">
        <f>IF(Tabulka4[[#This Row],[Typ úlohy]]="Účet",H1017,"")</f>
        <v/>
      </c>
      <c r="D1017" s="903" t="str">
        <f>IF(Tabulka4[[#This Row],[Typ úlohy]]="Účet",GETPIVOTDATA("Součet z Celková hmotnost položek [kg]",$G$2,"Zkratka kalkulační položky",B1017,"Výrobce / Dodavatel",C1017),"")</f>
        <v/>
      </c>
      <c r="E1017" s="904" t="str">
        <f>IF(Tabulka4[[#This Row],[Typ úlohy]]="Účet",GETPIVOTDATA("Součet z Celková cena bez DPH (CZK)",$G$3,"Zkratka kalkulační položky",B1017,"Výrobce / Dodavatel",C1017),"")</f>
        <v/>
      </c>
    </row>
    <row r="1018" spans="1:5" x14ac:dyDescent="0.35">
      <c r="A1018" s="902" t="str">
        <f t="shared" si="16"/>
        <v/>
      </c>
      <c r="B1018" s="903" t="str">
        <f>IF(Tabulka4[[#This Row],[Typ úlohy]]="Součet",G1018,IF(Tabulka4[[#This Row],[Typ úlohy]]="Účet",B1017,""))</f>
        <v/>
      </c>
      <c r="C1018" s="903" t="str">
        <f>IF(Tabulka4[[#This Row],[Typ úlohy]]="Účet",H1018,"")</f>
        <v/>
      </c>
      <c r="D1018" s="903" t="str">
        <f>IF(Tabulka4[[#This Row],[Typ úlohy]]="Účet",GETPIVOTDATA("Součet z Celková hmotnost položek [kg]",$G$2,"Zkratka kalkulační položky",B1018,"Výrobce / Dodavatel",C1018),"")</f>
        <v/>
      </c>
      <c r="E1018" s="904" t="str">
        <f>IF(Tabulka4[[#This Row],[Typ úlohy]]="Účet",GETPIVOTDATA("Součet z Celková cena bez DPH (CZK)",$G$3,"Zkratka kalkulační položky",B1018,"Výrobce / Dodavatel",C1018),"")</f>
        <v/>
      </c>
    </row>
    <row r="1019" spans="1:5" x14ac:dyDescent="0.35">
      <c r="A1019" s="902" t="str">
        <f t="shared" si="16"/>
        <v/>
      </c>
      <c r="B1019" s="903" t="str">
        <f>IF(Tabulka4[[#This Row],[Typ úlohy]]="Součet",G1019,IF(Tabulka4[[#This Row],[Typ úlohy]]="Účet",B1018,""))</f>
        <v/>
      </c>
      <c r="C1019" s="903" t="str">
        <f>IF(Tabulka4[[#This Row],[Typ úlohy]]="Účet",H1019,"")</f>
        <v/>
      </c>
      <c r="D1019" s="903" t="str">
        <f>IF(Tabulka4[[#This Row],[Typ úlohy]]="Účet",GETPIVOTDATA("Součet z Celková hmotnost položek [kg]",$G$2,"Zkratka kalkulační položky",B1019,"Výrobce / Dodavatel",C1019),"")</f>
        <v/>
      </c>
      <c r="E1019" s="904" t="str">
        <f>IF(Tabulka4[[#This Row],[Typ úlohy]]="Účet",GETPIVOTDATA("Součet z Celková cena bez DPH (CZK)",$G$3,"Zkratka kalkulační položky",B1019,"Výrobce / Dodavatel",C1019),"")</f>
        <v/>
      </c>
    </row>
    <row r="1020" spans="1:5" x14ac:dyDescent="0.35">
      <c r="A1020" s="902" t="str">
        <f t="shared" si="16"/>
        <v/>
      </c>
      <c r="B1020" s="903" t="str">
        <f>IF(Tabulka4[[#This Row],[Typ úlohy]]="Součet",G1020,IF(Tabulka4[[#This Row],[Typ úlohy]]="Účet",B1019,""))</f>
        <v/>
      </c>
      <c r="C1020" s="903" t="str">
        <f>IF(Tabulka4[[#This Row],[Typ úlohy]]="Účet",H1020,"")</f>
        <v/>
      </c>
      <c r="D1020" s="903" t="str">
        <f>IF(Tabulka4[[#This Row],[Typ úlohy]]="Účet",GETPIVOTDATA("Součet z Celková hmotnost položek [kg]",$G$2,"Zkratka kalkulační položky",B1020,"Výrobce / Dodavatel",C1020),"")</f>
        <v/>
      </c>
      <c r="E1020" s="904" t="str">
        <f>IF(Tabulka4[[#This Row],[Typ úlohy]]="Účet",GETPIVOTDATA("Součet z Celková cena bez DPH (CZK)",$G$3,"Zkratka kalkulační položky",B1020,"Výrobce / Dodavatel",C1020),"")</f>
        <v/>
      </c>
    </row>
    <row r="1021" spans="1:5" x14ac:dyDescent="0.35">
      <c r="A1021" s="902" t="str">
        <f t="shared" si="16"/>
        <v/>
      </c>
      <c r="B1021" s="903" t="str">
        <f>IF(Tabulka4[[#This Row],[Typ úlohy]]="Součet",G1021,IF(Tabulka4[[#This Row],[Typ úlohy]]="Účet",B1020,""))</f>
        <v/>
      </c>
      <c r="C1021" s="903" t="str">
        <f>IF(Tabulka4[[#This Row],[Typ úlohy]]="Účet",H1021,"")</f>
        <v/>
      </c>
      <c r="D1021" s="903" t="str">
        <f>IF(Tabulka4[[#This Row],[Typ úlohy]]="Účet",GETPIVOTDATA("Součet z Celková hmotnost položek [kg]",$G$2,"Zkratka kalkulační položky",B1021,"Výrobce / Dodavatel",C1021),"")</f>
        <v/>
      </c>
      <c r="E1021" s="904" t="str">
        <f>IF(Tabulka4[[#This Row],[Typ úlohy]]="Účet",GETPIVOTDATA("Součet z Celková cena bez DPH (CZK)",$G$3,"Zkratka kalkulační položky",B1021,"Výrobce / Dodavatel",C1021),"")</f>
        <v/>
      </c>
    </row>
    <row r="1022" spans="1:5" x14ac:dyDescent="0.35">
      <c r="A1022" s="902" t="str">
        <f t="shared" si="16"/>
        <v/>
      </c>
      <c r="B1022" s="903" t="str">
        <f>IF(Tabulka4[[#This Row],[Typ úlohy]]="Součet",G1022,IF(Tabulka4[[#This Row],[Typ úlohy]]="Účet",B1021,""))</f>
        <v/>
      </c>
      <c r="C1022" s="903" t="str">
        <f>IF(Tabulka4[[#This Row],[Typ úlohy]]="Účet",H1022,"")</f>
        <v/>
      </c>
      <c r="D1022" s="903" t="str">
        <f>IF(Tabulka4[[#This Row],[Typ úlohy]]="Účet",GETPIVOTDATA("Součet z Celková hmotnost položek [kg]",$G$2,"Zkratka kalkulační položky",B1022,"Výrobce / Dodavatel",C1022),"")</f>
        <v/>
      </c>
      <c r="E1022" s="904" t="str">
        <f>IF(Tabulka4[[#This Row],[Typ úlohy]]="Účet",GETPIVOTDATA("Součet z Celková cena bez DPH (CZK)",$G$3,"Zkratka kalkulační položky",B1022,"Výrobce / Dodavatel",C1022),"")</f>
        <v/>
      </c>
    </row>
    <row r="1023" spans="1:5" x14ac:dyDescent="0.35">
      <c r="A1023" s="902" t="str">
        <f t="shared" si="16"/>
        <v/>
      </c>
      <c r="B1023" s="903" t="str">
        <f>IF(Tabulka4[[#This Row],[Typ úlohy]]="Součet",G1023,IF(Tabulka4[[#This Row],[Typ úlohy]]="Účet",B1022,""))</f>
        <v/>
      </c>
      <c r="C1023" s="903" t="str">
        <f>IF(Tabulka4[[#This Row],[Typ úlohy]]="Účet",H1023,"")</f>
        <v/>
      </c>
      <c r="D1023" s="903" t="str">
        <f>IF(Tabulka4[[#This Row],[Typ úlohy]]="Účet",GETPIVOTDATA("Součet z Celková hmotnost položek [kg]",$G$2,"Zkratka kalkulační položky",B1023,"Výrobce / Dodavatel",C1023),"")</f>
        <v/>
      </c>
      <c r="E1023" s="904" t="str">
        <f>IF(Tabulka4[[#This Row],[Typ úlohy]]="Účet",GETPIVOTDATA("Součet z Celková cena bez DPH (CZK)",$G$3,"Zkratka kalkulační položky",B1023,"Výrobce / Dodavatel",C1023),"")</f>
        <v/>
      </c>
    </row>
    <row r="1024" spans="1:5" x14ac:dyDescent="0.35">
      <c r="A1024" s="902" t="str">
        <f t="shared" si="16"/>
        <v/>
      </c>
      <c r="B1024" s="903" t="str">
        <f>IF(Tabulka4[[#This Row],[Typ úlohy]]="Součet",G1024,IF(Tabulka4[[#This Row],[Typ úlohy]]="Účet",B1023,""))</f>
        <v/>
      </c>
      <c r="C1024" s="903" t="str">
        <f>IF(Tabulka4[[#This Row],[Typ úlohy]]="Účet",H1024,"")</f>
        <v/>
      </c>
      <c r="D1024" s="903" t="str">
        <f>IF(Tabulka4[[#This Row],[Typ úlohy]]="Účet",GETPIVOTDATA("Součet z Celková hmotnost položek [kg]",$G$2,"Zkratka kalkulační položky",B1024,"Výrobce / Dodavatel",C1024),"")</f>
        <v/>
      </c>
      <c r="E1024" s="904" t="str">
        <f>IF(Tabulka4[[#This Row],[Typ úlohy]]="Účet",GETPIVOTDATA("Součet z Celková cena bez DPH (CZK)",$G$3,"Zkratka kalkulační položky",B1024,"Výrobce / Dodavatel",C1024),"")</f>
        <v/>
      </c>
    </row>
    <row r="1025" spans="1:5" x14ac:dyDescent="0.35">
      <c r="A1025" s="902" t="str">
        <f t="shared" si="16"/>
        <v/>
      </c>
      <c r="B1025" s="903" t="str">
        <f>IF(Tabulka4[[#This Row],[Typ úlohy]]="Součet",G1025,IF(Tabulka4[[#This Row],[Typ úlohy]]="Účet",B1024,""))</f>
        <v/>
      </c>
      <c r="C1025" s="903" t="str">
        <f>IF(Tabulka4[[#This Row],[Typ úlohy]]="Účet",H1025,"")</f>
        <v/>
      </c>
      <c r="D1025" s="903" t="str">
        <f>IF(Tabulka4[[#This Row],[Typ úlohy]]="Účet",GETPIVOTDATA("Součet z Celková hmotnost položek [kg]",$G$2,"Zkratka kalkulační položky",B1025,"Výrobce / Dodavatel",C1025),"")</f>
        <v/>
      </c>
      <c r="E1025" s="904" t="str">
        <f>IF(Tabulka4[[#This Row],[Typ úlohy]]="Účet",GETPIVOTDATA("Součet z Celková cena bez DPH (CZK)",$G$3,"Zkratka kalkulační položky",B1025,"Výrobce / Dodavatel",C1025),"")</f>
        <v/>
      </c>
    </row>
    <row r="1026" spans="1:5" x14ac:dyDescent="0.35">
      <c r="A1026" s="902" t="str">
        <f t="shared" si="16"/>
        <v/>
      </c>
      <c r="B1026" s="903" t="str">
        <f>IF(Tabulka4[[#This Row],[Typ úlohy]]="Součet",G1026,IF(Tabulka4[[#This Row],[Typ úlohy]]="Účet",B1025,""))</f>
        <v/>
      </c>
      <c r="C1026" s="903" t="str">
        <f>IF(Tabulka4[[#This Row],[Typ úlohy]]="Účet",H1026,"")</f>
        <v/>
      </c>
      <c r="D1026" s="903" t="str">
        <f>IF(Tabulka4[[#This Row],[Typ úlohy]]="Účet",GETPIVOTDATA("Součet z Celková hmotnost položek [kg]",$G$2,"Zkratka kalkulační položky",B1026,"Výrobce / Dodavatel",C1026),"")</f>
        <v/>
      </c>
      <c r="E1026" s="904" t="str">
        <f>IF(Tabulka4[[#This Row],[Typ úlohy]]="Účet",GETPIVOTDATA("Součet z Celková cena bez DPH (CZK)",$G$3,"Zkratka kalkulační položky",B1026,"Výrobce / Dodavatel",C1026),"")</f>
        <v/>
      </c>
    </row>
    <row r="1027" spans="1:5" x14ac:dyDescent="0.35">
      <c r="A1027" s="902" t="str">
        <f t="shared" si="16"/>
        <v/>
      </c>
      <c r="B1027" s="903" t="str">
        <f>IF(Tabulka4[[#This Row],[Typ úlohy]]="Součet",G1027,IF(Tabulka4[[#This Row],[Typ úlohy]]="Účet",B1026,""))</f>
        <v/>
      </c>
      <c r="C1027" s="903" t="str">
        <f>IF(Tabulka4[[#This Row],[Typ úlohy]]="Účet",H1027,"")</f>
        <v/>
      </c>
      <c r="D1027" s="903" t="str">
        <f>IF(Tabulka4[[#This Row],[Typ úlohy]]="Účet",GETPIVOTDATA("Součet z Celková hmotnost položek [kg]",$G$2,"Zkratka kalkulační položky",B1027,"Výrobce / Dodavatel",C1027),"")</f>
        <v/>
      </c>
      <c r="E1027" s="904" t="str">
        <f>IF(Tabulka4[[#This Row],[Typ úlohy]]="Účet",GETPIVOTDATA("Součet z Celková cena bez DPH (CZK)",$G$3,"Zkratka kalkulační položky",B1027,"Výrobce / Dodavatel",C1027),"")</f>
        <v/>
      </c>
    </row>
    <row r="1028" spans="1:5" x14ac:dyDescent="0.35">
      <c r="A1028" s="902" t="str">
        <f t="shared" si="16"/>
        <v/>
      </c>
      <c r="B1028" s="903" t="str">
        <f>IF(Tabulka4[[#This Row],[Typ úlohy]]="Součet",G1028,IF(Tabulka4[[#This Row],[Typ úlohy]]="Účet",B1027,""))</f>
        <v/>
      </c>
      <c r="C1028" s="903" t="str">
        <f>IF(Tabulka4[[#This Row],[Typ úlohy]]="Účet",H1028,"")</f>
        <v/>
      </c>
      <c r="D1028" s="903" t="str">
        <f>IF(Tabulka4[[#This Row],[Typ úlohy]]="Účet",GETPIVOTDATA("Součet z Celková hmotnost položek [kg]",$G$2,"Zkratka kalkulační položky",B1028,"Výrobce / Dodavatel",C1028),"")</f>
        <v/>
      </c>
      <c r="E1028" s="904" t="str">
        <f>IF(Tabulka4[[#This Row],[Typ úlohy]]="Účet",GETPIVOTDATA("Součet z Celková cena bez DPH (CZK)",$G$3,"Zkratka kalkulační položky",B1028,"Výrobce / Dodavatel",C1028),"")</f>
        <v/>
      </c>
    </row>
    <row r="1029" spans="1:5" x14ac:dyDescent="0.35">
      <c r="A1029" s="902" t="str">
        <f t="shared" ref="A1029:A1092" si="17">IF(H1029="",IF(G1029="","","Součet"),"Účet")</f>
        <v/>
      </c>
      <c r="B1029" s="903" t="str">
        <f>IF(Tabulka4[[#This Row],[Typ úlohy]]="Součet",G1029,IF(Tabulka4[[#This Row],[Typ úlohy]]="Účet",B1028,""))</f>
        <v/>
      </c>
      <c r="C1029" s="903" t="str">
        <f>IF(Tabulka4[[#This Row],[Typ úlohy]]="Účet",H1029,"")</f>
        <v/>
      </c>
      <c r="D1029" s="903" t="str">
        <f>IF(Tabulka4[[#This Row],[Typ úlohy]]="Účet",GETPIVOTDATA("Součet z Celková hmotnost položek [kg]",$G$2,"Zkratka kalkulační položky",B1029,"Výrobce / Dodavatel",C1029),"")</f>
        <v/>
      </c>
      <c r="E1029" s="904" t="str">
        <f>IF(Tabulka4[[#This Row],[Typ úlohy]]="Účet",GETPIVOTDATA("Součet z Celková cena bez DPH (CZK)",$G$3,"Zkratka kalkulační položky",B1029,"Výrobce / Dodavatel",C1029),"")</f>
        <v/>
      </c>
    </row>
    <row r="1030" spans="1:5" x14ac:dyDescent="0.35">
      <c r="A1030" s="902" t="str">
        <f t="shared" si="17"/>
        <v/>
      </c>
      <c r="B1030" s="903" t="str">
        <f>IF(Tabulka4[[#This Row],[Typ úlohy]]="Součet",G1030,IF(Tabulka4[[#This Row],[Typ úlohy]]="Účet",B1029,""))</f>
        <v/>
      </c>
      <c r="C1030" s="903" t="str">
        <f>IF(Tabulka4[[#This Row],[Typ úlohy]]="Účet",H1030,"")</f>
        <v/>
      </c>
      <c r="D1030" s="903" t="str">
        <f>IF(Tabulka4[[#This Row],[Typ úlohy]]="Účet",GETPIVOTDATA("Součet z Celková hmotnost položek [kg]",$G$2,"Zkratka kalkulační položky",B1030,"Výrobce / Dodavatel",C1030),"")</f>
        <v/>
      </c>
      <c r="E1030" s="904" t="str">
        <f>IF(Tabulka4[[#This Row],[Typ úlohy]]="Účet",GETPIVOTDATA("Součet z Celková cena bez DPH (CZK)",$G$3,"Zkratka kalkulační položky",B1030,"Výrobce / Dodavatel",C1030),"")</f>
        <v/>
      </c>
    </row>
    <row r="1031" spans="1:5" x14ac:dyDescent="0.35">
      <c r="A1031" s="902" t="str">
        <f t="shared" si="17"/>
        <v/>
      </c>
      <c r="B1031" s="903" t="str">
        <f>IF(Tabulka4[[#This Row],[Typ úlohy]]="Součet",G1031,IF(Tabulka4[[#This Row],[Typ úlohy]]="Účet",B1030,""))</f>
        <v/>
      </c>
      <c r="C1031" s="903" t="str">
        <f>IF(Tabulka4[[#This Row],[Typ úlohy]]="Účet",H1031,"")</f>
        <v/>
      </c>
      <c r="D1031" s="903" t="str">
        <f>IF(Tabulka4[[#This Row],[Typ úlohy]]="Účet",GETPIVOTDATA("Součet z Celková hmotnost položek [kg]",$G$2,"Zkratka kalkulační položky",B1031,"Výrobce / Dodavatel",C1031),"")</f>
        <v/>
      </c>
      <c r="E1031" s="904" t="str">
        <f>IF(Tabulka4[[#This Row],[Typ úlohy]]="Účet",GETPIVOTDATA("Součet z Celková cena bez DPH (CZK)",$G$3,"Zkratka kalkulační položky",B1031,"Výrobce / Dodavatel",C1031),"")</f>
        <v/>
      </c>
    </row>
    <row r="1032" spans="1:5" x14ac:dyDescent="0.35">
      <c r="A1032" s="902" t="str">
        <f t="shared" si="17"/>
        <v/>
      </c>
      <c r="B1032" s="903" t="str">
        <f>IF(Tabulka4[[#This Row],[Typ úlohy]]="Součet",G1032,IF(Tabulka4[[#This Row],[Typ úlohy]]="Účet",B1031,""))</f>
        <v/>
      </c>
      <c r="C1032" s="903" t="str">
        <f>IF(Tabulka4[[#This Row],[Typ úlohy]]="Účet",H1032,"")</f>
        <v/>
      </c>
      <c r="D1032" s="903" t="str">
        <f>IF(Tabulka4[[#This Row],[Typ úlohy]]="Účet",GETPIVOTDATA("Součet z Celková hmotnost položek [kg]",$G$2,"Zkratka kalkulační položky",B1032,"Výrobce / Dodavatel",C1032),"")</f>
        <v/>
      </c>
      <c r="E1032" s="904" t="str">
        <f>IF(Tabulka4[[#This Row],[Typ úlohy]]="Účet",GETPIVOTDATA("Součet z Celková cena bez DPH (CZK)",$G$3,"Zkratka kalkulační položky",B1032,"Výrobce / Dodavatel",C1032),"")</f>
        <v/>
      </c>
    </row>
    <row r="1033" spans="1:5" x14ac:dyDescent="0.35">
      <c r="A1033" s="902" t="str">
        <f t="shared" si="17"/>
        <v/>
      </c>
      <c r="B1033" s="903" t="str">
        <f>IF(Tabulka4[[#This Row],[Typ úlohy]]="Součet",G1033,IF(Tabulka4[[#This Row],[Typ úlohy]]="Účet",B1032,""))</f>
        <v/>
      </c>
      <c r="C1033" s="903" t="str">
        <f>IF(Tabulka4[[#This Row],[Typ úlohy]]="Účet",H1033,"")</f>
        <v/>
      </c>
      <c r="D1033" s="903" t="str">
        <f>IF(Tabulka4[[#This Row],[Typ úlohy]]="Účet",GETPIVOTDATA("Součet z Celková hmotnost položek [kg]",$G$2,"Zkratka kalkulační položky",B1033,"Výrobce / Dodavatel",C1033),"")</f>
        <v/>
      </c>
      <c r="E1033" s="904" t="str">
        <f>IF(Tabulka4[[#This Row],[Typ úlohy]]="Účet",GETPIVOTDATA("Součet z Celková cena bez DPH (CZK)",$G$3,"Zkratka kalkulační položky",B1033,"Výrobce / Dodavatel",C1033),"")</f>
        <v/>
      </c>
    </row>
    <row r="1034" spans="1:5" x14ac:dyDescent="0.35">
      <c r="A1034" s="902" t="str">
        <f t="shared" si="17"/>
        <v/>
      </c>
      <c r="B1034" s="903" t="str">
        <f>IF(Tabulka4[[#This Row],[Typ úlohy]]="Součet",G1034,IF(Tabulka4[[#This Row],[Typ úlohy]]="Účet",B1033,""))</f>
        <v/>
      </c>
      <c r="C1034" s="903" t="str">
        <f>IF(Tabulka4[[#This Row],[Typ úlohy]]="Účet",H1034,"")</f>
        <v/>
      </c>
      <c r="D1034" s="903" t="str">
        <f>IF(Tabulka4[[#This Row],[Typ úlohy]]="Účet",GETPIVOTDATA("Součet z Celková hmotnost položek [kg]",$G$2,"Zkratka kalkulační položky",B1034,"Výrobce / Dodavatel",C1034),"")</f>
        <v/>
      </c>
      <c r="E1034" s="904" t="str">
        <f>IF(Tabulka4[[#This Row],[Typ úlohy]]="Účet",GETPIVOTDATA("Součet z Celková cena bez DPH (CZK)",$G$3,"Zkratka kalkulační položky",B1034,"Výrobce / Dodavatel",C1034),"")</f>
        <v/>
      </c>
    </row>
    <row r="1035" spans="1:5" x14ac:dyDescent="0.35">
      <c r="A1035" s="902" t="str">
        <f t="shared" si="17"/>
        <v/>
      </c>
      <c r="B1035" s="903" t="str">
        <f>IF(Tabulka4[[#This Row],[Typ úlohy]]="Součet",G1035,IF(Tabulka4[[#This Row],[Typ úlohy]]="Účet",B1034,""))</f>
        <v/>
      </c>
      <c r="C1035" s="903" t="str">
        <f>IF(Tabulka4[[#This Row],[Typ úlohy]]="Účet",H1035,"")</f>
        <v/>
      </c>
      <c r="D1035" s="903" t="str">
        <f>IF(Tabulka4[[#This Row],[Typ úlohy]]="Účet",GETPIVOTDATA("Součet z Celková hmotnost položek [kg]",$G$2,"Zkratka kalkulační položky",B1035,"Výrobce / Dodavatel",C1035),"")</f>
        <v/>
      </c>
      <c r="E1035" s="904" t="str">
        <f>IF(Tabulka4[[#This Row],[Typ úlohy]]="Účet",GETPIVOTDATA("Součet z Celková cena bez DPH (CZK)",$G$3,"Zkratka kalkulační položky",B1035,"Výrobce / Dodavatel",C1035),"")</f>
        <v/>
      </c>
    </row>
    <row r="1036" spans="1:5" x14ac:dyDescent="0.35">
      <c r="A1036" s="902" t="str">
        <f t="shared" si="17"/>
        <v/>
      </c>
      <c r="B1036" s="903" t="str">
        <f>IF(Tabulka4[[#This Row],[Typ úlohy]]="Součet",G1036,IF(Tabulka4[[#This Row],[Typ úlohy]]="Účet",B1035,""))</f>
        <v/>
      </c>
      <c r="C1036" s="903" t="str">
        <f>IF(Tabulka4[[#This Row],[Typ úlohy]]="Účet",H1036,"")</f>
        <v/>
      </c>
      <c r="D1036" s="903" t="str">
        <f>IF(Tabulka4[[#This Row],[Typ úlohy]]="Účet",GETPIVOTDATA("Součet z Celková hmotnost položek [kg]",$G$2,"Zkratka kalkulační položky",B1036,"Výrobce / Dodavatel",C1036),"")</f>
        <v/>
      </c>
      <c r="E1036" s="904" t="str">
        <f>IF(Tabulka4[[#This Row],[Typ úlohy]]="Účet",GETPIVOTDATA("Součet z Celková cena bez DPH (CZK)",$G$3,"Zkratka kalkulační položky",B1036,"Výrobce / Dodavatel",C1036),"")</f>
        <v/>
      </c>
    </row>
    <row r="1037" spans="1:5" x14ac:dyDescent="0.35">
      <c r="A1037" s="902" t="str">
        <f t="shared" si="17"/>
        <v/>
      </c>
      <c r="B1037" s="903" t="str">
        <f>IF(Tabulka4[[#This Row],[Typ úlohy]]="Součet",G1037,IF(Tabulka4[[#This Row],[Typ úlohy]]="Účet",B1036,""))</f>
        <v/>
      </c>
      <c r="C1037" s="903" t="str">
        <f>IF(Tabulka4[[#This Row],[Typ úlohy]]="Účet",H1037,"")</f>
        <v/>
      </c>
      <c r="D1037" s="903" t="str">
        <f>IF(Tabulka4[[#This Row],[Typ úlohy]]="Účet",GETPIVOTDATA("Součet z Celková hmotnost položek [kg]",$G$2,"Zkratka kalkulační položky",B1037,"Výrobce / Dodavatel",C1037),"")</f>
        <v/>
      </c>
      <c r="E1037" s="904" t="str">
        <f>IF(Tabulka4[[#This Row],[Typ úlohy]]="Účet",GETPIVOTDATA("Součet z Celková cena bez DPH (CZK)",$G$3,"Zkratka kalkulační položky",B1037,"Výrobce / Dodavatel",C1037),"")</f>
        <v/>
      </c>
    </row>
    <row r="1038" spans="1:5" x14ac:dyDescent="0.35">
      <c r="A1038" s="902" t="str">
        <f t="shared" si="17"/>
        <v/>
      </c>
      <c r="B1038" s="903" t="str">
        <f>IF(Tabulka4[[#This Row],[Typ úlohy]]="Součet",G1038,IF(Tabulka4[[#This Row],[Typ úlohy]]="Účet",B1037,""))</f>
        <v/>
      </c>
      <c r="C1038" s="903" t="str">
        <f>IF(Tabulka4[[#This Row],[Typ úlohy]]="Účet",H1038,"")</f>
        <v/>
      </c>
      <c r="D1038" s="903" t="str">
        <f>IF(Tabulka4[[#This Row],[Typ úlohy]]="Účet",GETPIVOTDATA("Součet z Celková hmotnost položek [kg]",$G$2,"Zkratka kalkulační položky",B1038,"Výrobce / Dodavatel",C1038),"")</f>
        <v/>
      </c>
      <c r="E1038" s="904" t="str">
        <f>IF(Tabulka4[[#This Row],[Typ úlohy]]="Účet",GETPIVOTDATA("Součet z Celková cena bez DPH (CZK)",$G$3,"Zkratka kalkulační položky",B1038,"Výrobce / Dodavatel",C1038),"")</f>
        <v/>
      </c>
    </row>
    <row r="1039" spans="1:5" x14ac:dyDescent="0.35">
      <c r="A1039" s="902" t="str">
        <f t="shared" si="17"/>
        <v/>
      </c>
      <c r="B1039" s="903" t="str">
        <f>IF(Tabulka4[[#This Row],[Typ úlohy]]="Součet",G1039,IF(Tabulka4[[#This Row],[Typ úlohy]]="Účet",B1038,""))</f>
        <v/>
      </c>
      <c r="C1039" s="903" t="str">
        <f>IF(Tabulka4[[#This Row],[Typ úlohy]]="Účet",H1039,"")</f>
        <v/>
      </c>
      <c r="D1039" s="903" t="str">
        <f>IF(Tabulka4[[#This Row],[Typ úlohy]]="Účet",GETPIVOTDATA("Součet z Celková hmotnost položek [kg]",$G$2,"Zkratka kalkulační položky",B1039,"Výrobce / Dodavatel",C1039),"")</f>
        <v/>
      </c>
      <c r="E1039" s="904" t="str">
        <f>IF(Tabulka4[[#This Row],[Typ úlohy]]="Účet",GETPIVOTDATA("Součet z Celková cena bez DPH (CZK)",$G$3,"Zkratka kalkulační položky",B1039,"Výrobce / Dodavatel",C1039),"")</f>
        <v/>
      </c>
    </row>
    <row r="1040" spans="1:5" x14ac:dyDescent="0.35">
      <c r="A1040" s="902" t="str">
        <f t="shared" si="17"/>
        <v/>
      </c>
      <c r="B1040" s="903" t="str">
        <f>IF(Tabulka4[[#This Row],[Typ úlohy]]="Součet",G1040,IF(Tabulka4[[#This Row],[Typ úlohy]]="Účet",B1039,""))</f>
        <v/>
      </c>
      <c r="C1040" s="903" t="str">
        <f>IF(Tabulka4[[#This Row],[Typ úlohy]]="Účet",H1040,"")</f>
        <v/>
      </c>
      <c r="D1040" s="903" t="str">
        <f>IF(Tabulka4[[#This Row],[Typ úlohy]]="Účet",GETPIVOTDATA("Součet z Celková hmotnost položek [kg]",$G$2,"Zkratka kalkulační položky",B1040,"Výrobce / Dodavatel",C1040),"")</f>
        <v/>
      </c>
      <c r="E1040" s="904" t="str">
        <f>IF(Tabulka4[[#This Row],[Typ úlohy]]="Účet",GETPIVOTDATA("Součet z Celková cena bez DPH (CZK)",$G$3,"Zkratka kalkulační položky",B1040,"Výrobce / Dodavatel",C1040),"")</f>
        <v/>
      </c>
    </row>
    <row r="1041" spans="1:5" x14ac:dyDescent="0.35">
      <c r="A1041" s="902" t="str">
        <f t="shared" si="17"/>
        <v/>
      </c>
      <c r="B1041" s="903" t="str">
        <f>IF(Tabulka4[[#This Row],[Typ úlohy]]="Součet",G1041,IF(Tabulka4[[#This Row],[Typ úlohy]]="Účet",B1040,""))</f>
        <v/>
      </c>
      <c r="C1041" s="903" t="str">
        <f>IF(Tabulka4[[#This Row],[Typ úlohy]]="Účet",H1041,"")</f>
        <v/>
      </c>
      <c r="D1041" s="903" t="str">
        <f>IF(Tabulka4[[#This Row],[Typ úlohy]]="Účet",GETPIVOTDATA("Součet z Celková hmotnost položek [kg]",$G$2,"Zkratka kalkulační položky",B1041,"Výrobce / Dodavatel",C1041),"")</f>
        <v/>
      </c>
      <c r="E1041" s="904" t="str">
        <f>IF(Tabulka4[[#This Row],[Typ úlohy]]="Účet",GETPIVOTDATA("Součet z Celková cena bez DPH (CZK)",$G$3,"Zkratka kalkulační položky",B1041,"Výrobce / Dodavatel",C1041),"")</f>
        <v/>
      </c>
    </row>
    <row r="1042" spans="1:5" x14ac:dyDescent="0.35">
      <c r="A1042" s="902" t="str">
        <f t="shared" si="17"/>
        <v/>
      </c>
      <c r="B1042" s="903" t="str">
        <f>IF(Tabulka4[[#This Row],[Typ úlohy]]="Součet",G1042,IF(Tabulka4[[#This Row],[Typ úlohy]]="Účet",B1041,""))</f>
        <v/>
      </c>
      <c r="C1042" s="903" t="str">
        <f>IF(Tabulka4[[#This Row],[Typ úlohy]]="Účet",H1042,"")</f>
        <v/>
      </c>
      <c r="D1042" s="903" t="str">
        <f>IF(Tabulka4[[#This Row],[Typ úlohy]]="Účet",GETPIVOTDATA("Součet z Celková hmotnost položek [kg]",$G$2,"Zkratka kalkulační položky",B1042,"Výrobce / Dodavatel",C1042),"")</f>
        <v/>
      </c>
      <c r="E1042" s="904" t="str">
        <f>IF(Tabulka4[[#This Row],[Typ úlohy]]="Účet",GETPIVOTDATA("Součet z Celková cena bez DPH (CZK)",$G$3,"Zkratka kalkulační položky",B1042,"Výrobce / Dodavatel",C1042),"")</f>
        <v/>
      </c>
    </row>
    <row r="1043" spans="1:5" x14ac:dyDescent="0.35">
      <c r="A1043" s="902" t="str">
        <f t="shared" si="17"/>
        <v/>
      </c>
      <c r="B1043" s="903" t="str">
        <f>IF(Tabulka4[[#This Row],[Typ úlohy]]="Součet",G1043,IF(Tabulka4[[#This Row],[Typ úlohy]]="Účet",B1042,""))</f>
        <v/>
      </c>
      <c r="C1043" s="903" t="str">
        <f>IF(Tabulka4[[#This Row],[Typ úlohy]]="Účet",H1043,"")</f>
        <v/>
      </c>
      <c r="D1043" s="903" t="str">
        <f>IF(Tabulka4[[#This Row],[Typ úlohy]]="Účet",GETPIVOTDATA("Součet z Celková hmotnost položek [kg]",$G$2,"Zkratka kalkulační položky",B1043,"Výrobce / Dodavatel",C1043),"")</f>
        <v/>
      </c>
      <c r="E1043" s="904" t="str">
        <f>IF(Tabulka4[[#This Row],[Typ úlohy]]="Účet",GETPIVOTDATA("Součet z Celková cena bez DPH (CZK)",$G$3,"Zkratka kalkulační položky",B1043,"Výrobce / Dodavatel",C1043),"")</f>
        <v/>
      </c>
    </row>
    <row r="1044" spans="1:5" x14ac:dyDescent="0.35">
      <c r="A1044" s="902" t="str">
        <f t="shared" si="17"/>
        <v/>
      </c>
      <c r="B1044" s="903" t="str">
        <f>IF(Tabulka4[[#This Row],[Typ úlohy]]="Součet",G1044,IF(Tabulka4[[#This Row],[Typ úlohy]]="Účet",B1043,""))</f>
        <v/>
      </c>
      <c r="C1044" s="903" t="str">
        <f>IF(Tabulka4[[#This Row],[Typ úlohy]]="Účet",H1044,"")</f>
        <v/>
      </c>
      <c r="D1044" s="903" t="str">
        <f>IF(Tabulka4[[#This Row],[Typ úlohy]]="Účet",GETPIVOTDATA("Součet z Celková hmotnost položek [kg]",$G$2,"Zkratka kalkulační položky",B1044,"Výrobce / Dodavatel",C1044),"")</f>
        <v/>
      </c>
      <c r="E1044" s="904" t="str">
        <f>IF(Tabulka4[[#This Row],[Typ úlohy]]="Účet",GETPIVOTDATA("Součet z Celková cena bez DPH (CZK)",$G$3,"Zkratka kalkulační položky",B1044,"Výrobce / Dodavatel",C1044),"")</f>
        <v/>
      </c>
    </row>
    <row r="1045" spans="1:5" x14ac:dyDescent="0.35">
      <c r="A1045" s="902" t="str">
        <f t="shared" si="17"/>
        <v/>
      </c>
      <c r="B1045" s="903" t="str">
        <f>IF(Tabulka4[[#This Row],[Typ úlohy]]="Součet",G1045,IF(Tabulka4[[#This Row],[Typ úlohy]]="Účet",B1044,""))</f>
        <v/>
      </c>
      <c r="C1045" s="903" t="str">
        <f>IF(Tabulka4[[#This Row],[Typ úlohy]]="Účet",H1045,"")</f>
        <v/>
      </c>
      <c r="D1045" s="903" t="str">
        <f>IF(Tabulka4[[#This Row],[Typ úlohy]]="Účet",GETPIVOTDATA("Součet z Celková hmotnost položek [kg]",$G$2,"Zkratka kalkulační položky",B1045,"Výrobce / Dodavatel",C1045),"")</f>
        <v/>
      </c>
      <c r="E1045" s="904" t="str">
        <f>IF(Tabulka4[[#This Row],[Typ úlohy]]="Účet",GETPIVOTDATA("Součet z Celková cena bez DPH (CZK)",$G$3,"Zkratka kalkulační položky",B1045,"Výrobce / Dodavatel",C1045),"")</f>
        <v/>
      </c>
    </row>
    <row r="1046" spans="1:5" x14ac:dyDescent="0.35">
      <c r="A1046" s="902" t="str">
        <f t="shared" si="17"/>
        <v/>
      </c>
      <c r="B1046" s="903" t="str">
        <f>IF(Tabulka4[[#This Row],[Typ úlohy]]="Součet",G1046,IF(Tabulka4[[#This Row],[Typ úlohy]]="Účet",B1045,""))</f>
        <v/>
      </c>
      <c r="C1046" s="903" t="str">
        <f>IF(Tabulka4[[#This Row],[Typ úlohy]]="Účet",H1046,"")</f>
        <v/>
      </c>
      <c r="D1046" s="903" t="str">
        <f>IF(Tabulka4[[#This Row],[Typ úlohy]]="Účet",GETPIVOTDATA("Součet z Celková hmotnost položek [kg]",$G$2,"Zkratka kalkulační položky",B1046,"Výrobce / Dodavatel",C1046),"")</f>
        <v/>
      </c>
      <c r="E1046" s="904" t="str">
        <f>IF(Tabulka4[[#This Row],[Typ úlohy]]="Účet",GETPIVOTDATA("Součet z Celková cena bez DPH (CZK)",$G$3,"Zkratka kalkulační položky",B1046,"Výrobce / Dodavatel",C1046),"")</f>
        <v/>
      </c>
    </row>
    <row r="1047" spans="1:5" x14ac:dyDescent="0.35">
      <c r="A1047" s="902" t="str">
        <f t="shared" si="17"/>
        <v/>
      </c>
      <c r="B1047" s="903" t="str">
        <f>IF(Tabulka4[[#This Row],[Typ úlohy]]="Součet",G1047,IF(Tabulka4[[#This Row],[Typ úlohy]]="Účet",B1046,""))</f>
        <v/>
      </c>
      <c r="C1047" s="903" t="str">
        <f>IF(Tabulka4[[#This Row],[Typ úlohy]]="Účet",H1047,"")</f>
        <v/>
      </c>
      <c r="D1047" s="903" t="str">
        <f>IF(Tabulka4[[#This Row],[Typ úlohy]]="Účet",GETPIVOTDATA("Součet z Celková hmotnost položek [kg]",$G$2,"Zkratka kalkulační položky",B1047,"Výrobce / Dodavatel",C1047),"")</f>
        <v/>
      </c>
      <c r="E1047" s="904" t="str">
        <f>IF(Tabulka4[[#This Row],[Typ úlohy]]="Účet",GETPIVOTDATA("Součet z Celková cena bez DPH (CZK)",$G$3,"Zkratka kalkulační položky",B1047,"Výrobce / Dodavatel",C1047),"")</f>
        <v/>
      </c>
    </row>
    <row r="1048" spans="1:5" x14ac:dyDescent="0.35">
      <c r="A1048" s="902" t="str">
        <f t="shared" si="17"/>
        <v/>
      </c>
      <c r="B1048" s="903" t="str">
        <f>IF(Tabulka4[[#This Row],[Typ úlohy]]="Součet",G1048,IF(Tabulka4[[#This Row],[Typ úlohy]]="Účet",B1047,""))</f>
        <v/>
      </c>
      <c r="C1048" s="903" t="str">
        <f>IF(Tabulka4[[#This Row],[Typ úlohy]]="Účet",H1048,"")</f>
        <v/>
      </c>
      <c r="D1048" s="903" t="str">
        <f>IF(Tabulka4[[#This Row],[Typ úlohy]]="Účet",GETPIVOTDATA("Součet z Celková hmotnost položek [kg]",$G$2,"Zkratka kalkulační položky",B1048,"Výrobce / Dodavatel",C1048),"")</f>
        <v/>
      </c>
      <c r="E1048" s="904" t="str">
        <f>IF(Tabulka4[[#This Row],[Typ úlohy]]="Účet",GETPIVOTDATA("Součet z Celková cena bez DPH (CZK)",$G$3,"Zkratka kalkulační položky",B1048,"Výrobce / Dodavatel",C1048),"")</f>
        <v/>
      </c>
    </row>
    <row r="1049" spans="1:5" x14ac:dyDescent="0.35">
      <c r="A1049" s="902" t="str">
        <f t="shared" si="17"/>
        <v/>
      </c>
      <c r="B1049" s="903" t="str">
        <f>IF(Tabulka4[[#This Row],[Typ úlohy]]="Součet",G1049,IF(Tabulka4[[#This Row],[Typ úlohy]]="Účet",B1048,""))</f>
        <v/>
      </c>
      <c r="C1049" s="903" t="str">
        <f>IF(Tabulka4[[#This Row],[Typ úlohy]]="Účet",H1049,"")</f>
        <v/>
      </c>
      <c r="D1049" s="903" t="str">
        <f>IF(Tabulka4[[#This Row],[Typ úlohy]]="Účet",GETPIVOTDATA("Součet z Celková hmotnost položek [kg]",$G$2,"Zkratka kalkulační položky",B1049,"Výrobce / Dodavatel",C1049),"")</f>
        <v/>
      </c>
      <c r="E1049" s="904" t="str">
        <f>IF(Tabulka4[[#This Row],[Typ úlohy]]="Účet",GETPIVOTDATA("Součet z Celková cena bez DPH (CZK)",$G$3,"Zkratka kalkulační položky",B1049,"Výrobce / Dodavatel",C1049),"")</f>
        <v/>
      </c>
    </row>
    <row r="1050" spans="1:5" x14ac:dyDescent="0.35">
      <c r="A1050" s="902" t="str">
        <f t="shared" si="17"/>
        <v/>
      </c>
      <c r="B1050" s="903" t="str">
        <f>IF(Tabulka4[[#This Row],[Typ úlohy]]="Součet",G1050,IF(Tabulka4[[#This Row],[Typ úlohy]]="Účet",B1049,""))</f>
        <v/>
      </c>
      <c r="C1050" s="903" t="str">
        <f>IF(Tabulka4[[#This Row],[Typ úlohy]]="Účet",H1050,"")</f>
        <v/>
      </c>
      <c r="D1050" s="903" t="str">
        <f>IF(Tabulka4[[#This Row],[Typ úlohy]]="Účet",GETPIVOTDATA("Součet z Celková hmotnost položek [kg]",$G$2,"Zkratka kalkulační položky",B1050,"Výrobce / Dodavatel",C1050),"")</f>
        <v/>
      </c>
      <c r="E1050" s="904" t="str">
        <f>IF(Tabulka4[[#This Row],[Typ úlohy]]="Účet",GETPIVOTDATA("Součet z Celková cena bez DPH (CZK)",$G$3,"Zkratka kalkulační položky",B1050,"Výrobce / Dodavatel",C1050),"")</f>
        <v/>
      </c>
    </row>
    <row r="1051" spans="1:5" x14ac:dyDescent="0.35">
      <c r="A1051" s="902" t="str">
        <f t="shared" si="17"/>
        <v/>
      </c>
      <c r="B1051" s="903" t="str">
        <f>IF(Tabulka4[[#This Row],[Typ úlohy]]="Součet",G1051,IF(Tabulka4[[#This Row],[Typ úlohy]]="Účet",B1050,""))</f>
        <v/>
      </c>
      <c r="C1051" s="903" t="str">
        <f>IF(Tabulka4[[#This Row],[Typ úlohy]]="Účet",H1051,"")</f>
        <v/>
      </c>
      <c r="D1051" s="903" t="str">
        <f>IF(Tabulka4[[#This Row],[Typ úlohy]]="Účet",GETPIVOTDATA("Součet z Celková hmotnost položek [kg]",$G$2,"Zkratka kalkulační položky",B1051,"Výrobce / Dodavatel",C1051),"")</f>
        <v/>
      </c>
      <c r="E1051" s="904" t="str">
        <f>IF(Tabulka4[[#This Row],[Typ úlohy]]="Účet",GETPIVOTDATA("Součet z Celková cena bez DPH (CZK)",$G$3,"Zkratka kalkulační položky",B1051,"Výrobce / Dodavatel",C1051),"")</f>
        <v/>
      </c>
    </row>
    <row r="1052" spans="1:5" x14ac:dyDescent="0.35">
      <c r="A1052" s="902" t="str">
        <f t="shared" si="17"/>
        <v/>
      </c>
      <c r="B1052" s="903" t="str">
        <f>IF(Tabulka4[[#This Row],[Typ úlohy]]="Součet",G1052,IF(Tabulka4[[#This Row],[Typ úlohy]]="Účet",B1051,""))</f>
        <v/>
      </c>
      <c r="C1052" s="903" t="str">
        <f>IF(Tabulka4[[#This Row],[Typ úlohy]]="Účet",H1052,"")</f>
        <v/>
      </c>
      <c r="D1052" s="903" t="str">
        <f>IF(Tabulka4[[#This Row],[Typ úlohy]]="Účet",GETPIVOTDATA("Součet z Celková hmotnost položek [kg]",$G$2,"Zkratka kalkulační položky",B1052,"Výrobce / Dodavatel",C1052),"")</f>
        <v/>
      </c>
      <c r="E1052" s="904" t="str">
        <f>IF(Tabulka4[[#This Row],[Typ úlohy]]="Účet",GETPIVOTDATA("Součet z Celková cena bez DPH (CZK)",$G$3,"Zkratka kalkulační položky",B1052,"Výrobce / Dodavatel",C1052),"")</f>
        <v/>
      </c>
    </row>
    <row r="1053" spans="1:5" x14ac:dyDescent="0.35">
      <c r="A1053" s="902" t="str">
        <f t="shared" si="17"/>
        <v/>
      </c>
      <c r="B1053" s="903" t="str">
        <f>IF(Tabulka4[[#This Row],[Typ úlohy]]="Součet",G1053,IF(Tabulka4[[#This Row],[Typ úlohy]]="Účet",B1052,""))</f>
        <v/>
      </c>
      <c r="C1053" s="903" t="str">
        <f>IF(Tabulka4[[#This Row],[Typ úlohy]]="Účet",H1053,"")</f>
        <v/>
      </c>
      <c r="D1053" s="903" t="str">
        <f>IF(Tabulka4[[#This Row],[Typ úlohy]]="Účet",GETPIVOTDATA("Součet z Celková hmotnost položek [kg]",$G$2,"Zkratka kalkulační položky",B1053,"Výrobce / Dodavatel",C1053),"")</f>
        <v/>
      </c>
      <c r="E1053" s="904" t="str">
        <f>IF(Tabulka4[[#This Row],[Typ úlohy]]="Účet",GETPIVOTDATA("Součet z Celková cena bez DPH (CZK)",$G$3,"Zkratka kalkulační položky",B1053,"Výrobce / Dodavatel",C1053),"")</f>
        <v/>
      </c>
    </row>
    <row r="1054" spans="1:5" x14ac:dyDescent="0.35">
      <c r="A1054" s="902" t="str">
        <f t="shared" si="17"/>
        <v/>
      </c>
      <c r="B1054" s="903" t="str">
        <f>IF(Tabulka4[[#This Row],[Typ úlohy]]="Součet",G1054,IF(Tabulka4[[#This Row],[Typ úlohy]]="Účet",B1053,""))</f>
        <v/>
      </c>
      <c r="C1054" s="903" t="str">
        <f>IF(Tabulka4[[#This Row],[Typ úlohy]]="Účet",H1054,"")</f>
        <v/>
      </c>
      <c r="D1054" s="903" t="str">
        <f>IF(Tabulka4[[#This Row],[Typ úlohy]]="Účet",GETPIVOTDATA("Součet z Celková hmotnost položek [kg]",$G$2,"Zkratka kalkulační položky",B1054,"Výrobce / Dodavatel",C1054),"")</f>
        <v/>
      </c>
      <c r="E1054" s="904" t="str">
        <f>IF(Tabulka4[[#This Row],[Typ úlohy]]="Účet",GETPIVOTDATA("Součet z Celková cena bez DPH (CZK)",$G$3,"Zkratka kalkulační položky",B1054,"Výrobce / Dodavatel",C1054),"")</f>
        <v/>
      </c>
    </row>
    <row r="1055" spans="1:5" x14ac:dyDescent="0.35">
      <c r="A1055" s="902" t="str">
        <f t="shared" si="17"/>
        <v/>
      </c>
      <c r="B1055" s="903" t="str">
        <f>IF(Tabulka4[[#This Row],[Typ úlohy]]="Součet",G1055,IF(Tabulka4[[#This Row],[Typ úlohy]]="Účet",B1054,""))</f>
        <v/>
      </c>
      <c r="C1055" s="903" t="str">
        <f>IF(Tabulka4[[#This Row],[Typ úlohy]]="Účet",H1055,"")</f>
        <v/>
      </c>
      <c r="D1055" s="903" t="str">
        <f>IF(Tabulka4[[#This Row],[Typ úlohy]]="Účet",GETPIVOTDATA("Součet z Celková hmotnost položek [kg]",$G$2,"Zkratka kalkulační položky",B1055,"Výrobce / Dodavatel",C1055),"")</f>
        <v/>
      </c>
      <c r="E1055" s="904" t="str">
        <f>IF(Tabulka4[[#This Row],[Typ úlohy]]="Účet",GETPIVOTDATA("Součet z Celková cena bez DPH (CZK)",$G$3,"Zkratka kalkulační položky",B1055,"Výrobce / Dodavatel",C1055),"")</f>
        <v/>
      </c>
    </row>
    <row r="1056" spans="1:5" x14ac:dyDescent="0.35">
      <c r="A1056" s="902" t="str">
        <f t="shared" si="17"/>
        <v/>
      </c>
      <c r="B1056" s="903" t="str">
        <f>IF(Tabulka4[[#This Row],[Typ úlohy]]="Součet",G1056,IF(Tabulka4[[#This Row],[Typ úlohy]]="Účet",B1055,""))</f>
        <v/>
      </c>
      <c r="C1056" s="903" t="str">
        <f>IF(Tabulka4[[#This Row],[Typ úlohy]]="Účet",H1056,"")</f>
        <v/>
      </c>
      <c r="D1056" s="903" t="str">
        <f>IF(Tabulka4[[#This Row],[Typ úlohy]]="Účet",GETPIVOTDATA("Součet z Celková hmotnost položek [kg]",$G$2,"Zkratka kalkulační položky",B1056,"Výrobce / Dodavatel",C1056),"")</f>
        <v/>
      </c>
      <c r="E1056" s="904" t="str">
        <f>IF(Tabulka4[[#This Row],[Typ úlohy]]="Účet",GETPIVOTDATA("Součet z Celková cena bez DPH (CZK)",$G$3,"Zkratka kalkulační položky",B1056,"Výrobce / Dodavatel",C1056),"")</f>
        <v/>
      </c>
    </row>
    <row r="1057" spans="1:5" x14ac:dyDescent="0.35">
      <c r="A1057" s="902" t="str">
        <f t="shared" si="17"/>
        <v/>
      </c>
      <c r="B1057" s="903" t="str">
        <f>IF(Tabulka4[[#This Row],[Typ úlohy]]="Součet",G1057,IF(Tabulka4[[#This Row],[Typ úlohy]]="Účet",B1056,""))</f>
        <v/>
      </c>
      <c r="C1057" s="903" t="str">
        <f>IF(Tabulka4[[#This Row],[Typ úlohy]]="Účet",H1057,"")</f>
        <v/>
      </c>
      <c r="D1057" s="903" t="str">
        <f>IF(Tabulka4[[#This Row],[Typ úlohy]]="Účet",GETPIVOTDATA("Součet z Celková hmotnost položek [kg]",$G$2,"Zkratka kalkulační položky",B1057,"Výrobce / Dodavatel",C1057),"")</f>
        <v/>
      </c>
      <c r="E1057" s="904" t="str">
        <f>IF(Tabulka4[[#This Row],[Typ úlohy]]="Účet",GETPIVOTDATA("Součet z Celková cena bez DPH (CZK)",$G$3,"Zkratka kalkulační položky",B1057,"Výrobce / Dodavatel",C1057),"")</f>
        <v/>
      </c>
    </row>
    <row r="1058" spans="1:5" x14ac:dyDescent="0.35">
      <c r="A1058" s="902" t="str">
        <f t="shared" si="17"/>
        <v/>
      </c>
      <c r="B1058" s="903" t="str">
        <f>IF(Tabulka4[[#This Row],[Typ úlohy]]="Součet",G1058,IF(Tabulka4[[#This Row],[Typ úlohy]]="Účet",B1057,""))</f>
        <v/>
      </c>
      <c r="C1058" s="903" t="str">
        <f>IF(Tabulka4[[#This Row],[Typ úlohy]]="Účet",H1058,"")</f>
        <v/>
      </c>
      <c r="D1058" s="903" t="str">
        <f>IF(Tabulka4[[#This Row],[Typ úlohy]]="Účet",GETPIVOTDATA("Součet z Celková hmotnost položek [kg]",$G$2,"Zkratka kalkulační položky",B1058,"Výrobce / Dodavatel",C1058),"")</f>
        <v/>
      </c>
      <c r="E1058" s="904" t="str">
        <f>IF(Tabulka4[[#This Row],[Typ úlohy]]="Účet",GETPIVOTDATA("Součet z Celková cena bez DPH (CZK)",$G$3,"Zkratka kalkulační položky",B1058,"Výrobce / Dodavatel",C1058),"")</f>
        <v/>
      </c>
    </row>
    <row r="1059" spans="1:5" x14ac:dyDescent="0.35">
      <c r="A1059" s="902" t="str">
        <f t="shared" si="17"/>
        <v/>
      </c>
      <c r="B1059" s="903" t="str">
        <f>IF(Tabulka4[[#This Row],[Typ úlohy]]="Součet",G1059,IF(Tabulka4[[#This Row],[Typ úlohy]]="Účet",B1058,""))</f>
        <v/>
      </c>
      <c r="C1059" s="903" t="str">
        <f>IF(Tabulka4[[#This Row],[Typ úlohy]]="Účet",H1059,"")</f>
        <v/>
      </c>
      <c r="D1059" s="903" t="str">
        <f>IF(Tabulka4[[#This Row],[Typ úlohy]]="Účet",GETPIVOTDATA("Součet z Celková hmotnost položek [kg]",$G$2,"Zkratka kalkulační položky",B1059,"Výrobce / Dodavatel",C1059),"")</f>
        <v/>
      </c>
      <c r="E1059" s="904" t="str">
        <f>IF(Tabulka4[[#This Row],[Typ úlohy]]="Účet",GETPIVOTDATA("Součet z Celková cena bez DPH (CZK)",$G$3,"Zkratka kalkulační položky",B1059,"Výrobce / Dodavatel",C1059),"")</f>
        <v/>
      </c>
    </row>
    <row r="1060" spans="1:5" x14ac:dyDescent="0.35">
      <c r="A1060" s="902" t="str">
        <f t="shared" si="17"/>
        <v/>
      </c>
      <c r="B1060" s="903" t="str">
        <f>IF(Tabulka4[[#This Row],[Typ úlohy]]="Součet",G1060,IF(Tabulka4[[#This Row],[Typ úlohy]]="Účet",B1059,""))</f>
        <v/>
      </c>
      <c r="C1060" s="903" t="str">
        <f>IF(Tabulka4[[#This Row],[Typ úlohy]]="Účet",H1060,"")</f>
        <v/>
      </c>
      <c r="D1060" s="903" t="str">
        <f>IF(Tabulka4[[#This Row],[Typ úlohy]]="Účet",GETPIVOTDATA("Součet z Celková hmotnost položek [kg]",$G$2,"Zkratka kalkulační položky",B1060,"Výrobce / Dodavatel",C1060),"")</f>
        <v/>
      </c>
      <c r="E1060" s="904" t="str">
        <f>IF(Tabulka4[[#This Row],[Typ úlohy]]="Účet",GETPIVOTDATA("Součet z Celková cena bez DPH (CZK)",$G$3,"Zkratka kalkulační položky",B1060,"Výrobce / Dodavatel",C1060),"")</f>
        <v/>
      </c>
    </row>
    <row r="1061" spans="1:5" x14ac:dyDescent="0.35">
      <c r="A1061" s="902" t="str">
        <f t="shared" si="17"/>
        <v/>
      </c>
      <c r="B1061" s="903" t="str">
        <f>IF(Tabulka4[[#This Row],[Typ úlohy]]="Součet",G1061,IF(Tabulka4[[#This Row],[Typ úlohy]]="Účet",B1060,""))</f>
        <v/>
      </c>
      <c r="C1061" s="903" t="str">
        <f>IF(Tabulka4[[#This Row],[Typ úlohy]]="Účet",H1061,"")</f>
        <v/>
      </c>
      <c r="D1061" s="903" t="str">
        <f>IF(Tabulka4[[#This Row],[Typ úlohy]]="Účet",GETPIVOTDATA("Součet z Celková hmotnost položek [kg]",$G$2,"Zkratka kalkulační položky",B1061,"Výrobce / Dodavatel",C1061),"")</f>
        <v/>
      </c>
      <c r="E1061" s="904" t="str">
        <f>IF(Tabulka4[[#This Row],[Typ úlohy]]="Účet",GETPIVOTDATA("Součet z Celková cena bez DPH (CZK)",$G$3,"Zkratka kalkulační položky",B1061,"Výrobce / Dodavatel",C1061),"")</f>
        <v/>
      </c>
    </row>
    <row r="1062" spans="1:5" x14ac:dyDescent="0.35">
      <c r="A1062" s="902" t="str">
        <f t="shared" si="17"/>
        <v/>
      </c>
      <c r="B1062" s="903" t="str">
        <f>IF(Tabulka4[[#This Row],[Typ úlohy]]="Součet",G1062,IF(Tabulka4[[#This Row],[Typ úlohy]]="Účet",B1061,""))</f>
        <v/>
      </c>
      <c r="C1062" s="903" t="str">
        <f>IF(Tabulka4[[#This Row],[Typ úlohy]]="Účet",H1062,"")</f>
        <v/>
      </c>
      <c r="D1062" s="903" t="str">
        <f>IF(Tabulka4[[#This Row],[Typ úlohy]]="Účet",GETPIVOTDATA("Součet z Celková hmotnost položek [kg]",$G$2,"Zkratka kalkulační položky",B1062,"Výrobce / Dodavatel",C1062),"")</f>
        <v/>
      </c>
      <c r="E1062" s="904" t="str">
        <f>IF(Tabulka4[[#This Row],[Typ úlohy]]="Účet",GETPIVOTDATA("Součet z Celková cena bez DPH (CZK)",$G$3,"Zkratka kalkulační položky",B1062,"Výrobce / Dodavatel",C1062),"")</f>
        <v/>
      </c>
    </row>
    <row r="1063" spans="1:5" x14ac:dyDescent="0.35">
      <c r="A1063" s="902" t="str">
        <f t="shared" si="17"/>
        <v/>
      </c>
      <c r="B1063" s="903" t="str">
        <f>IF(Tabulka4[[#This Row],[Typ úlohy]]="Součet",G1063,IF(Tabulka4[[#This Row],[Typ úlohy]]="Účet",B1062,""))</f>
        <v/>
      </c>
      <c r="C1063" s="903" t="str">
        <f>IF(Tabulka4[[#This Row],[Typ úlohy]]="Účet",H1063,"")</f>
        <v/>
      </c>
      <c r="D1063" s="903" t="str">
        <f>IF(Tabulka4[[#This Row],[Typ úlohy]]="Účet",GETPIVOTDATA("Součet z Celková hmotnost položek [kg]",$G$2,"Zkratka kalkulační položky",B1063,"Výrobce / Dodavatel",C1063),"")</f>
        <v/>
      </c>
      <c r="E1063" s="904" t="str">
        <f>IF(Tabulka4[[#This Row],[Typ úlohy]]="Účet",GETPIVOTDATA("Součet z Celková cena bez DPH (CZK)",$G$3,"Zkratka kalkulační položky",B1063,"Výrobce / Dodavatel",C1063),"")</f>
        <v/>
      </c>
    </row>
    <row r="1064" spans="1:5" x14ac:dyDescent="0.35">
      <c r="A1064" s="902" t="str">
        <f t="shared" si="17"/>
        <v/>
      </c>
      <c r="B1064" s="903" t="str">
        <f>IF(Tabulka4[[#This Row],[Typ úlohy]]="Součet",G1064,IF(Tabulka4[[#This Row],[Typ úlohy]]="Účet",B1063,""))</f>
        <v/>
      </c>
      <c r="C1064" s="903" t="str">
        <f>IF(Tabulka4[[#This Row],[Typ úlohy]]="Účet",H1064,"")</f>
        <v/>
      </c>
      <c r="D1064" s="903" t="str">
        <f>IF(Tabulka4[[#This Row],[Typ úlohy]]="Účet",GETPIVOTDATA("Součet z Celková hmotnost položek [kg]",$G$2,"Zkratka kalkulační položky",B1064,"Výrobce / Dodavatel",C1064),"")</f>
        <v/>
      </c>
      <c r="E1064" s="904" t="str">
        <f>IF(Tabulka4[[#This Row],[Typ úlohy]]="Účet",GETPIVOTDATA("Součet z Celková cena bez DPH (CZK)",$G$3,"Zkratka kalkulační položky",B1064,"Výrobce / Dodavatel",C1064),"")</f>
        <v/>
      </c>
    </row>
    <row r="1065" spans="1:5" x14ac:dyDescent="0.35">
      <c r="A1065" s="902" t="str">
        <f t="shared" si="17"/>
        <v/>
      </c>
      <c r="B1065" s="903" t="str">
        <f>IF(Tabulka4[[#This Row],[Typ úlohy]]="Součet",G1065,IF(Tabulka4[[#This Row],[Typ úlohy]]="Účet",B1064,""))</f>
        <v/>
      </c>
      <c r="C1065" s="903" t="str">
        <f>IF(Tabulka4[[#This Row],[Typ úlohy]]="Účet",H1065,"")</f>
        <v/>
      </c>
      <c r="D1065" s="903" t="str">
        <f>IF(Tabulka4[[#This Row],[Typ úlohy]]="Účet",GETPIVOTDATA("Součet z Celková hmotnost položek [kg]",$G$2,"Zkratka kalkulační položky",B1065,"Výrobce / Dodavatel",C1065),"")</f>
        <v/>
      </c>
      <c r="E1065" s="904" t="str">
        <f>IF(Tabulka4[[#This Row],[Typ úlohy]]="Účet",GETPIVOTDATA("Součet z Celková cena bez DPH (CZK)",$G$3,"Zkratka kalkulační položky",B1065,"Výrobce / Dodavatel",C1065),"")</f>
        <v/>
      </c>
    </row>
    <row r="1066" spans="1:5" x14ac:dyDescent="0.35">
      <c r="A1066" s="902" t="str">
        <f t="shared" si="17"/>
        <v/>
      </c>
      <c r="B1066" s="903" t="str">
        <f>IF(Tabulka4[[#This Row],[Typ úlohy]]="Součet",G1066,IF(Tabulka4[[#This Row],[Typ úlohy]]="Účet",B1065,""))</f>
        <v/>
      </c>
      <c r="C1066" s="903" t="str">
        <f>IF(Tabulka4[[#This Row],[Typ úlohy]]="Účet",H1066,"")</f>
        <v/>
      </c>
      <c r="D1066" s="903" t="str">
        <f>IF(Tabulka4[[#This Row],[Typ úlohy]]="Účet",GETPIVOTDATA("Součet z Celková hmotnost položek [kg]",$G$2,"Zkratka kalkulační položky",B1066,"Výrobce / Dodavatel",C1066),"")</f>
        <v/>
      </c>
      <c r="E1066" s="904" t="str">
        <f>IF(Tabulka4[[#This Row],[Typ úlohy]]="Účet",GETPIVOTDATA("Součet z Celková cena bez DPH (CZK)",$G$3,"Zkratka kalkulační položky",B1066,"Výrobce / Dodavatel",C1066),"")</f>
        <v/>
      </c>
    </row>
    <row r="1067" spans="1:5" x14ac:dyDescent="0.35">
      <c r="A1067" s="902" t="str">
        <f t="shared" si="17"/>
        <v/>
      </c>
      <c r="B1067" s="903" t="str">
        <f>IF(Tabulka4[[#This Row],[Typ úlohy]]="Součet",G1067,IF(Tabulka4[[#This Row],[Typ úlohy]]="Účet",B1066,""))</f>
        <v/>
      </c>
      <c r="C1067" s="903" t="str">
        <f>IF(Tabulka4[[#This Row],[Typ úlohy]]="Účet",H1067,"")</f>
        <v/>
      </c>
      <c r="D1067" s="903" t="str">
        <f>IF(Tabulka4[[#This Row],[Typ úlohy]]="Účet",GETPIVOTDATA("Součet z Celková hmotnost položek [kg]",$G$2,"Zkratka kalkulační položky",B1067,"Výrobce / Dodavatel",C1067),"")</f>
        <v/>
      </c>
      <c r="E1067" s="904" t="str">
        <f>IF(Tabulka4[[#This Row],[Typ úlohy]]="Účet",GETPIVOTDATA("Součet z Celková cena bez DPH (CZK)",$G$3,"Zkratka kalkulační položky",B1067,"Výrobce / Dodavatel",C1067),"")</f>
        <v/>
      </c>
    </row>
    <row r="1068" spans="1:5" x14ac:dyDescent="0.35">
      <c r="A1068" s="902" t="str">
        <f t="shared" si="17"/>
        <v/>
      </c>
      <c r="B1068" s="903" t="str">
        <f>IF(Tabulka4[[#This Row],[Typ úlohy]]="Součet",G1068,IF(Tabulka4[[#This Row],[Typ úlohy]]="Účet",B1067,""))</f>
        <v/>
      </c>
      <c r="C1068" s="903" t="str">
        <f>IF(Tabulka4[[#This Row],[Typ úlohy]]="Účet",H1068,"")</f>
        <v/>
      </c>
      <c r="D1068" s="903" t="str">
        <f>IF(Tabulka4[[#This Row],[Typ úlohy]]="Účet",GETPIVOTDATA("Součet z Celková hmotnost položek [kg]",$G$2,"Zkratka kalkulační položky",B1068,"Výrobce / Dodavatel",C1068),"")</f>
        <v/>
      </c>
      <c r="E1068" s="904" t="str">
        <f>IF(Tabulka4[[#This Row],[Typ úlohy]]="Účet",GETPIVOTDATA("Součet z Celková cena bez DPH (CZK)",$G$3,"Zkratka kalkulační položky",B1068,"Výrobce / Dodavatel",C1068),"")</f>
        <v/>
      </c>
    </row>
    <row r="1069" spans="1:5" x14ac:dyDescent="0.35">
      <c r="A1069" s="902" t="str">
        <f t="shared" si="17"/>
        <v/>
      </c>
      <c r="B1069" s="903" t="str">
        <f>IF(Tabulka4[[#This Row],[Typ úlohy]]="Součet",G1069,IF(Tabulka4[[#This Row],[Typ úlohy]]="Účet",B1068,""))</f>
        <v/>
      </c>
      <c r="C1069" s="903" t="str">
        <f>IF(Tabulka4[[#This Row],[Typ úlohy]]="Účet",H1069,"")</f>
        <v/>
      </c>
      <c r="D1069" s="903" t="str">
        <f>IF(Tabulka4[[#This Row],[Typ úlohy]]="Účet",GETPIVOTDATA("Součet z Celková hmotnost položek [kg]",$G$2,"Zkratka kalkulační položky",B1069,"Výrobce / Dodavatel",C1069),"")</f>
        <v/>
      </c>
      <c r="E1069" s="904" t="str">
        <f>IF(Tabulka4[[#This Row],[Typ úlohy]]="Účet",GETPIVOTDATA("Součet z Celková cena bez DPH (CZK)",$G$3,"Zkratka kalkulační položky",B1069,"Výrobce / Dodavatel",C1069),"")</f>
        <v/>
      </c>
    </row>
    <row r="1070" spans="1:5" x14ac:dyDescent="0.35">
      <c r="A1070" s="902" t="str">
        <f t="shared" si="17"/>
        <v/>
      </c>
      <c r="B1070" s="903" t="str">
        <f>IF(Tabulka4[[#This Row],[Typ úlohy]]="Součet",G1070,IF(Tabulka4[[#This Row],[Typ úlohy]]="Účet",B1069,""))</f>
        <v/>
      </c>
      <c r="C1070" s="903" t="str">
        <f>IF(Tabulka4[[#This Row],[Typ úlohy]]="Účet",H1070,"")</f>
        <v/>
      </c>
      <c r="D1070" s="903" t="str">
        <f>IF(Tabulka4[[#This Row],[Typ úlohy]]="Účet",GETPIVOTDATA("Součet z Celková hmotnost položek [kg]",$G$2,"Zkratka kalkulační položky",B1070,"Výrobce / Dodavatel",C1070),"")</f>
        <v/>
      </c>
      <c r="E1070" s="904" t="str">
        <f>IF(Tabulka4[[#This Row],[Typ úlohy]]="Účet",GETPIVOTDATA("Součet z Celková cena bez DPH (CZK)",$G$3,"Zkratka kalkulační položky",B1070,"Výrobce / Dodavatel",C1070),"")</f>
        <v/>
      </c>
    </row>
    <row r="1071" spans="1:5" x14ac:dyDescent="0.35">
      <c r="A1071" s="902" t="str">
        <f t="shared" si="17"/>
        <v/>
      </c>
      <c r="B1071" s="903" t="str">
        <f>IF(Tabulka4[[#This Row],[Typ úlohy]]="Součet",G1071,IF(Tabulka4[[#This Row],[Typ úlohy]]="Účet",B1070,""))</f>
        <v/>
      </c>
      <c r="C1071" s="903" t="str">
        <f>IF(Tabulka4[[#This Row],[Typ úlohy]]="Účet",H1071,"")</f>
        <v/>
      </c>
      <c r="D1071" s="903" t="str">
        <f>IF(Tabulka4[[#This Row],[Typ úlohy]]="Účet",GETPIVOTDATA("Součet z Celková hmotnost položek [kg]",$G$2,"Zkratka kalkulační položky",B1071,"Výrobce / Dodavatel",C1071),"")</f>
        <v/>
      </c>
      <c r="E1071" s="904" t="str">
        <f>IF(Tabulka4[[#This Row],[Typ úlohy]]="Účet",GETPIVOTDATA("Součet z Celková cena bez DPH (CZK)",$G$3,"Zkratka kalkulační položky",B1071,"Výrobce / Dodavatel",C1071),"")</f>
        <v/>
      </c>
    </row>
    <row r="1072" spans="1:5" x14ac:dyDescent="0.35">
      <c r="A1072" s="902" t="str">
        <f t="shared" si="17"/>
        <v/>
      </c>
      <c r="B1072" s="903" t="str">
        <f>IF(Tabulka4[[#This Row],[Typ úlohy]]="Součet",G1072,IF(Tabulka4[[#This Row],[Typ úlohy]]="Účet",B1071,""))</f>
        <v/>
      </c>
      <c r="C1072" s="903" t="str">
        <f>IF(Tabulka4[[#This Row],[Typ úlohy]]="Účet",H1072,"")</f>
        <v/>
      </c>
      <c r="D1072" s="903" t="str">
        <f>IF(Tabulka4[[#This Row],[Typ úlohy]]="Účet",GETPIVOTDATA("Součet z Celková hmotnost položek [kg]",$G$2,"Zkratka kalkulační položky",B1072,"Výrobce / Dodavatel",C1072),"")</f>
        <v/>
      </c>
      <c r="E1072" s="904" t="str">
        <f>IF(Tabulka4[[#This Row],[Typ úlohy]]="Účet",GETPIVOTDATA("Součet z Celková cena bez DPH (CZK)",$G$3,"Zkratka kalkulační položky",B1072,"Výrobce / Dodavatel",C1072),"")</f>
        <v/>
      </c>
    </row>
    <row r="1073" spans="1:5" x14ac:dyDescent="0.35">
      <c r="A1073" s="902" t="str">
        <f t="shared" si="17"/>
        <v/>
      </c>
      <c r="B1073" s="903" t="str">
        <f>IF(Tabulka4[[#This Row],[Typ úlohy]]="Součet",G1073,IF(Tabulka4[[#This Row],[Typ úlohy]]="Účet",B1072,""))</f>
        <v/>
      </c>
      <c r="C1073" s="903" t="str">
        <f>IF(Tabulka4[[#This Row],[Typ úlohy]]="Účet",H1073,"")</f>
        <v/>
      </c>
      <c r="D1073" s="903" t="str">
        <f>IF(Tabulka4[[#This Row],[Typ úlohy]]="Účet",GETPIVOTDATA("Součet z Celková hmotnost položek [kg]",$G$2,"Zkratka kalkulační položky",B1073,"Výrobce / Dodavatel",C1073),"")</f>
        <v/>
      </c>
      <c r="E1073" s="904" t="str">
        <f>IF(Tabulka4[[#This Row],[Typ úlohy]]="Účet",GETPIVOTDATA("Součet z Celková cena bez DPH (CZK)",$G$3,"Zkratka kalkulační položky",B1073,"Výrobce / Dodavatel",C1073),"")</f>
        <v/>
      </c>
    </row>
    <row r="1074" spans="1:5" x14ac:dyDescent="0.35">
      <c r="A1074" s="902" t="str">
        <f t="shared" si="17"/>
        <v/>
      </c>
      <c r="B1074" s="903" t="str">
        <f>IF(Tabulka4[[#This Row],[Typ úlohy]]="Součet",G1074,IF(Tabulka4[[#This Row],[Typ úlohy]]="Účet",B1073,""))</f>
        <v/>
      </c>
      <c r="C1074" s="903" t="str">
        <f>IF(Tabulka4[[#This Row],[Typ úlohy]]="Účet",H1074,"")</f>
        <v/>
      </c>
      <c r="D1074" s="903" t="str">
        <f>IF(Tabulka4[[#This Row],[Typ úlohy]]="Účet",GETPIVOTDATA("Součet z Celková hmotnost položek [kg]",$G$2,"Zkratka kalkulační položky",B1074,"Výrobce / Dodavatel",C1074),"")</f>
        <v/>
      </c>
      <c r="E1074" s="904" t="str">
        <f>IF(Tabulka4[[#This Row],[Typ úlohy]]="Účet",GETPIVOTDATA("Součet z Celková cena bez DPH (CZK)",$G$3,"Zkratka kalkulační položky",B1074,"Výrobce / Dodavatel",C1074),"")</f>
        <v/>
      </c>
    </row>
    <row r="1075" spans="1:5" x14ac:dyDescent="0.35">
      <c r="A1075" s="902" t="str">
        <f t="shared" si="17"/>
        <v/>
      </c>
      <c r="B1075" s="903" t="str">
        <f>IF(Tabulka4[[#This Row],[Typ úlohy]]="Součet",G1075,IF(Tabulka4[[#This Row],[Typ úlohy]]="Účet",B1074,""))</f>
        <v/>
      </c>
      <c r="C1075" s="903" t="str">
        <f>IF(Tabulka4[[#This Row],[Typ úlohy]]="Účet",H1075,"")</f>
        <v/>
      </c>
      <c r="D1075" s="903" t="str">
        <f>IF(Tabulka4[[#This Row],[Typ úlohy]]="Účet",GETPIVOTDATA("Součet z Celková hmotnost položek [kg]",$G$2,"Zkratka kalkulační položky",B1075,"Výrobce / Dodavatel",C1075),"")</f>
        <v/>
      </c>
      <c r="E1075" s="904" t="str">
        <f>IF(Tabulka4[[#This Row],[Typ úlohy]]="Účet",GETPIVOTDATA("Součet z Celková cena bez DPH (CZK)",$G$3,"Zkratka kalkulační položky",B1075,"Výrobce / Dodavatel",C1075),"")</f>
        <v/>
      </c>
    </row>
    <row r="1076" spans="1:5" x14ac:dyDescent="0.35">
      <c r="A1076" s="902" t="str">
        <f t="shared" si="17"/>
        <v/>
      </c>
      <c r="B1076" s="903" t="str">
        <f>IF(Tabulka4[[#This Row],[Typ úlohy]]="Součet",G1076,IF(Tabulka4[[#This Row],[Typ úlohy]]="Účet",B1075,""))</f>
        <v/>
      </c>
      <c r="C1076" s="903" t="str">
        <f>IF(Tabulka4[[#This Row],[Typ úlohy]]="Účet",H1076,"")</f>
        <v/>
      </c>
      <c r="D1076" s="903" t="str">
        <f>IF(Tabulka4[[#This Row],[Typ úlohy]]="Účet",GETPIVOTDATA("Součet z Celková hmotnost položek [kg]",$G$2,"Zkratka kalkulační položky",B1076,"Výrobce / Dodavatel",C1076),"")</f>
        <v/>
      </c>
      <c r="E1076" s="904" t="str">
        <f>IF(Tabulka4[[#This Row],[Typ úlohy]]="Účet",GETPIVOTDATA("Součet z Celková cena bez DPH (CZK)",$G$3,"Zkratka kalkulační položky",B1076,"Výrobce / Dodavatel",C1076),"")</f>
        <v/>
      </c>
    </row>
    <row r="1077" spans="1:5" x14ac:dyDescent="0.35">
      <c r="A1077" s="902" t="str">
        <f t="shared" si="17"/>
        <v/>
      </c>
      <c r="B1077" s="903" t="str">
        <f>IF(Tabulka4[[#This Row],[Typ úlohy]]="Součet",G1077,IF(Tabulka4[[#This Row],[Typ úlohy]]="Účet",B1076,""))</f>
        <v/>
      </c>
      <c r="C1077" s="903" t="str">
        <f>IF(Tabulka4[[#This Row],[Typ úlohy]]="Účet",H1077,"")</f>
        <v/>
      </c>
      <c r="D1077" s="903" t="str">
        <f>IF(Tabulka4[[#This Row],[Typ úlohy]]="Účet",GETPIVOTDATA("Součet z Celková hmotnost položek [kg]",$G$2,"Zkratka kalkulační položky",B1077,"Výrobce / Dodavatel",C1077),"")</f>
        <v/>
      </c>
      <c r="E1077" s="904" t="str">
        <f>IF(Tabulka4[[#This Row],[Typ úlohy]]="Účet",GETPIVOTDATA("Součet z Celková cena bez DPH (CZK)",$G$3,"Zkratka kalkulační položky",B1077,"Výrobce / Dodavatel",C1077),"")</f>
        <v/>
      </c>
    </row>
    <row r="1078" spans="1:5" x14ac:dyDescent="0.35">
      <c r="A1078" s="902" t="str">
        <f t="shared" si="17"/>
        <v/>
      </c>
      <c r="B1078" s="903" t="str">
        <f>IF(Tabulka4[[#This Row],[Typ úlohy]]="Součet",G1078,IF(Tabulka4[[#This Row],[Typ úlohy]]="Účet",B1077,""))</f>
        <v/>
      </c>
      <c r="C1078" s="903" t="str">
        <f>IF(Tabulka4[[#This Row],[Typ úlohy]]="Účet",H1078,"")</f>
        <v/>
      </c>
      <c r="D1078" s="903" t="str">
        <f>IF(Tabulka4[[#This Row],[Typ úlohy]]="Účet",GETPIVOTDATA("Součet z Celková hmotnost položek [kg]",$G$2,"Zkratka kalkulační položky",B1078,"Výrobce / Dodavatel",C1078),"")</f>
        <v/>
      </c>
      <c r="E1078" s="904" t="str">
        <f>IF(Tabulka4[[#This Row],[Typ úlohy]]="Účet",GETPIVOTDATA("Součet z Celková cena bez DPH (CZK)",$G$3,"Zkratka kalkulační položky",B1078,"Výrobce / Dodavatel",C1078),"")</f>
        <v/>
      </c>
    </row>
    <row r="1079" spans="1:5" x14ac:dyDescent="0.35">
      <c r="A1079" s="902" t="str">
        <f t="shared" si="17"/>
        <v/>
      </c>
      <c r="B1079" s="903" t="str">
        <f>IF(Tabulka4[[#This Row],[Typ úlohy]]="Součet",G1079,IF(Tabulka4[[#This Row],[Typ úlohy]]="Účet",B1078,""))</f>
        <v/>
      </c>
      <c r="C1079" s="903" t="str">
        <f>IF(Tabulka4[[#This Row],[Typ úlohy]]="Účet",H1079,"")</f>
        <v/>
      </c>
      <c r="D1079" s="903" t="str">
        <f>IF(Tabulka4[[#This Row],[Typ úlohy]]="Účet",GETPIVOTDATA("Součet z Celková hmotnost položek [kg]",$G$2,"Zkratka kalkulační položky",B1079,"Výrobce / Dodavatel",C1079),"")</f>
        <v/>
      </c>
      <c r="E1079" s="904" t="str">
        <f>IF(Tabulka4[[#This Row],[Typ úlohy]]="Účet",GETPIVOTDATA("Součet z Celková cena bez DPH (CZK)",$G$3,"Zkratka kalkulační položky",B1079,"Výrobce / Dodavatel",C1079),"")</f>
        <v/>
      </c>
    </row>
    <row r="1080" spans="1:5" x14ac:dyDescent="0.35">
      <c r="A1080" s="902" t="str">
        <f t="shared" si="17"/>
        <v/>
      </c>
      <c r="B1080" s="903" t="str">
        <f>IF(Tabulka4[[#This Row],[Typ úlohy]]="Součet",G1080,IF(Tabulka4[[#This Row],[Typ úlohy]]="Účet",B1079,""))</f>
        <v/>
      </c>
      <c r="C1080" s="903" t="str">
        <f>IF(Tabulka4[[#This Row],[Typ úlohy]]="Účet",H1080,"")</f>
        <v/>
      </c>
      <c r="D1080" s="903" t="str">
        <f>IF(Tabulka4[[#This Row],[Typ úlohy]]="Účet",GETPIVOTDATA("Součet z Celková hmotnost položek [kg]",$G$2,"Zkratka kalkulační položky",B1080,"Výrobce / Dodavatel",C1080),"")</f>
        <v/>
      </c>
      <c r="E1080" s="904" t="str">
        <f>IF(Tabulka4[[#This Row],[Typ úlohy]]="Účet",GETPIVOTDATA("Součet z Celková cena bez DPH (CZK)",$G$3,"Zkratka kalkulační položky",B1080,"Výrobce / Dodavatel",C1080),"")</f>
        <v/>
      </c>
    </row>
    <row r="1081" spans="1:5" x14ac:dyDescent="0.35">
      <c r="A1081" s="902" t="str">
        <f t="shared" si="17"/>
        <v/>
      </c>
      <c r="B1081" s="903" t="str">
        <f>IF(Tabulka4[[#This Row],[Typ úlohy]]="Součet",G1081,IF(Tabulka4[[#This Row],[Typ úlohy]]="Účet",B1080,""))</f>
        <v/>
      </c>
      <c r="C1081" s="903" t="str">
        <f>IF(Tabulka4[[#This Row],[Typ úlohy]]="Účet",H1081,"")</f>
        <v/>
      </c>
      <c r="D1081" s="903" t="str">
        <f>IF(Tabulka4[[#This Row],[Typ úlohy]]="Účet",GETPIVOTDATA("Součet z Celková hmotnost položek [kg]",$G$2,"Zkratka kalkulační položky",B1081,"Výrobce / Dodavatel",C1081),"")</f>
        <v/>
      </c>
      <c r="E1081" s="904" t="str">
        <f>IF(Tabulka4[[#This Row],[Typ úlohy]]="Účet",GETPIVOTDATA("Součet z Celková cena bez DPH (CZK)",$G$3,"Zkratka kalkulační položky",B1081,"Výrobce / Dodavatel",C1081),"")</f>
        <v/>
      </c>
    </row>
    <row r="1082" spans="1:5" x14ac:dyDescent="0.35">
      <c r="A1082" s="902" t="str">
        <f t="shared" si="17"/>
        <v/>
      </c>
      <c r="B1082" s="903" t="str">
        <f>IF(Tabulka4[[#This Row],[Typ úlohy]]="Součet",G1082,IF(Tabulka4[[#This Row],[Typ úlohy]]="Účet",B1081,""))</f>
        <v/>
      </c>
      <c r="C1082" s="903" t="str">
        <f>IF(Tabulka4[[#This Row],[Typ úlohy]]="Účet",H1082,"")</f>
        <v/>
      </c>
      <c r="D1082" s="903" t="str">
        <f>IF(Tabulka4[[#This Row],[Typ úlohy]]="Účet",GETPIVOTDATA("Součet z Celková hmotnost položek [kg]",$G$2,"Zkratka kalkulační položky",B1082,"Výrobce / Dodavatel",C1082),"")</f>
        <v/>
      </c>
      <c r="E1082" s="904" t="str">
        <f>IF(Tabulka4[[#This Row],[Typ úlohy]]="Účet",GETPIVOTDATA("Součet z Celková cena bez DPH (CZK)",$G$3,"Zkratka kalkulační položky",B1082,"Výrobce / Dodavatel",C1082),"")</f>
        <v/>
      </c>
    </row>
    <row r="1083" spans="1:5" x14ac:dyDescent="0.35">
      <c r="A1083" s="902" t="str">
        <f t="shared" si="17"/>
        <v/>
      </c>
      <c r="B1083" s="903" t="str">
        <f>IF(Tabulka4[[#This Row],[Typ úlohy]]="Součet",G1083,IF(Tabulka4[[#This Row],[Typ úlohy]]="Účet",B1082,""))</f>
        <v/>
      </c>
      <c r="C1083" s="903" t="str">
        <f>IF(Tabulka4[[#This Row],[Typ úlohy]]="Účet",H1083,"")</f>
        <v/>
      </c>
      <c r="D1083" s="903" t="str">
        <f>IF(Tabulka4[[#This Row],[Typ úlohy]]="Účet",GETPIVOTDATA("Součet z Celková hmotnost položek [kg]",$G$2,"Zkratka kalkulační položky",B1083,"Výrobce / Dodavatel",C1083),"")</f>
        <v/>
      </c>
      <c r="E1083" s="904" t="str">
        <f>IF(Tabulka4[[#This Row],[Typ úlohy]]="Účet",GETPIVOTDATA("Součet z Celková cena bez DPH (CZK)",$G$3,"Zkratka kalkulační položky",B1083,"Výrobce / Dodavatel",C1083),"")</f>
        <v/>
      </c>
    </row>
    <row r="1084" spans="1:5" x14ac:dyDescent="0.35">
      <c r="A1084" s="902" t="str">
        <f t="shared" si="17"/>
        <v/>
      </c>
      <c r="B1084" s="903" t="str">
        <f>IF(Tabulka4[[#This Row],[Typ úlohy]]="Součet",G1084,IF(Tabulka4[[#This Row],[Typ úlohy]]="Účet",B1083,""))</f>
        <v/>
      </c>
      <c r="C1084" s="903" t="str">
        <f>IF(Tabulka4[[#This Row],[Typ úlohy]]="Účet",H1084,"")</f>
        <v/>
      </c>
      <c r="D1084" s="903" t="str">
        <f>IF(Tabulka4[[#This Row],[Typ úlohy]]="Účet",GETPIVOTDATA("Součet z Celková hmotnost položek [kg]",$G$2,"Zkratka kalkulační položky",B1084,"Výrobce / Dodavatel",C1084),"")</f>
        <v/>
      </c>
      <c r="E1084" s="904" t="str">
        <f>IF(Tabulka4[[#This Row],[Typ úlohy]]="Účet",GETPIVOTDATA("Součet z Celková cena bez DPH (CZK)",$G$3,"Zkratka kalkulační položky",B1084,"Výrobce / Dodavatel",C1084),"")</f>
        <v/>
      </c>
    </row>
    <row r="1085" spans="1:5" x14ac:dyDescent="0.35">
      <c r="A1085" s="902" t="str">
        <f t="shared" si="17"/>
        <v/>
      </c>
      <c r="B1085" s="903" t="str">
        <f>IF(Tabulka4[[#This Row],[Typ úlohy]]="Součet",G1085,IF(Tabulka4[[#This Row],[Typ úlohy]]="Účet",B1084,""))</f>
        <v/>
      </c>
      <c r="C1085" s="903" t="str">
        <f>IF(Tabulka4[[#This Row],[Typ úlohy]]="Účet",H1085,"")</f>
        <v/>
      </c>
      <c r="D1085" s="903" t="str">
        <f>IF(Tabulka4[[#This Row],[Typ úlohy]]="Účet",GETPIVOTDATA("Součet z Celková hmotnost položek [kg]",$G$2,"Zkratka kalkulační položky",B1085,"Výrobce / Dodavatel",C1085),"")</f>
        <v/>
      </c>
      <c r="E1085" s="904" t="str">
        <f>IF(Tabulka4[[#This Row],[Typ úlohy]]="Účet",GETPIVOTDATA("Součet z Celková cena bez DPH (CZK)",$G$3,"Zkratka kalkulační položky",B1085,"Výrobce / Dodavatel",C1085),"")</f>
        <v/>
      </c>
    </row>
    <row r="1086" spans="1:5" x14ac:dyDescent="0.35">
      <c r="A1086" s="902" t="str">
        <f t="shared" si="17"/>
        <v/>
      </c>
      <c r="B1086" s="903" t="str">
        <f>IF(Tabulka4[[#This Row],[Typ úlohy]]="Součet",G1086,IF(Tabulka4[[#This Row],[Typ úlohy]]="Účet",B1085,""))</f>
        <v/>
      </c>
      <c r="C1086" s="903" t="str">
        <f>IF(Tabulka4[[#This Row],[Typ úlohy]]="Účet",H1086,"")</f>
        <v/>
      </c>
      <c r="D1086" s="903" t="str">
        <f>IF(Tabulka4[[#This Row],[Typ úlohy]]="Účet",GETPIVOTDATA("Součet z Celková hmotnost položek [kg]",$G$2,"Zkratka kalkulační položky",B1086,"Výrobce / Dodavatel",C1086),"")</f>
        <v/>
      </c>
      <c r="E1086" s="904" t="str">
        <f>IF(Tabulka4[[#This Row],[Typ úlohy]]="Účet",GETPIVOTDATA("Součet z Celková cena bez DPH (CZK)",$G$3,"Zkratka kalkulační položky",B1086,"Výrobce / Dodavatel",C1086),"")</f>
        <v/>
      </c>
    </row>
    <row r="1087" spans="1:5" x14ac:dyDescent="0.35">
      <c r="A1087" s="902" t="str">
        <f t="shared" si="17"/>
        <v/>
      </c>
      <c r="B1087" s="903" t="str">
        <f>IF(Tabulka4[[#This Row],[Typ úlohy]]="Součet",G1087,IF(Tabulka4[[#This Row],[Typ úlohy]]="Účet",B1086,""))</f>
        <v/>
      </c>
      <c r="C1087" s="903" t="str">
        <f>IF(Tabulka4[[#This Row],[Typ úlohy]]="Účet",H1087,"")</f>
        <v/>
      </c>
      <c r="D1087" s="903" t="str">
        <f>IF(Tabulka4[[#This Row],[Typ úlohy]]="Účet",GETPIVOTDATA("Součet z Celková hmotnost položek [kg]",$G$2,"Zkratka kalkulační položky",B1087,"Výrobce / Dodavatel",C1087),"")</f>
        <v/>
      </c>
      <c r="E1087" s="904" t="str">
        <f>IF(Tabulka4[[#This Row],[Typ úlohy]]="Účet",GETPIVOTDATA("Součet z Celková cena bez DPH (CZK)",$G$3,"Zkratka kalkulační položky",B1087,"Výrobce / Dodavatel",C1087),"")</f>
        <v/>
      </c>
    </row>
    <row r="1088" spans="1:5" x14ac:dyDescent="0.35">
      <c r="A1088" s="902" t="str">
        <f t="shared" si="17"/>
        <v/>
      </c>
      <c r="B1088" s="903" t="str">
        <f>IF(Tabulka4[[#This Row],[Typ úlohy]]="Součet",G1088,IF(Tabulka4[[#This Row],[Typ úlohy]]="Účet",B1087,""))</f>
        <v/>
      </c>
      <c r="C1088" s="903" t="str">
        <f>IF(Tabulka4[[#This Row],[Typ úlohy]]="Účet",H1088,"")</f>
        <v/>
      </c>
      <c r="D1088" s="903" t="str">
        <f>IF(Tabulka4[[#This Row],[Typ úlohy]]="Účet",GETPIVOTDATA("Součet z Celková hmotnost položek [kg]",$G$2,"Zkratka kalkulační položky",B1088,"Výrobce / Dodavatel",C1088),"")</f>
        <v/>
      </c>
      <c r="E1088" s="904" t="str">
        <f>IF(Tabulka4[[#This Row],[Typ úlohy]]="Účet",GETPIVOTDATA("Součet z Celková cena bez DPH (CZK)",$G$3,"Zkratka kalkulační položky",B1088,"Výrobce / Dodavatel",C1088),"")</f>
        <v/>
      </c>
    </row>
    <row r="1089" spans="1:5" x14ac:dyDescent="0.35">
      <c r="A1089" s="902" t="str">
        <f t="shared" si="17"/>
        <v/>
      </c>
      <c r="B1089" s="903" t="str">
        <f>IF(Tabulka4[[#This Row],[Typ úlohy]]="Součet",G1089,IF(Tabulka4[[#This Row],[Typ úlohy]]="Účet",B1088,""))</f>
        <v/>
      </c>
      <c r="C1089" s="903" t="str">
        <f>IF(Tabulka4[[#This Row],[Typ úlohy]]="Účet",H1089,"")</f>
        <v/>
      </c>
      <c r="D1089" s="903" t="str">
        <f>IF(Tabulka4[[#This Row],[Typ úlohy]]="Účet",GETPIVOTDATA("Součet z Celková hmotnost položek [kg]",$G$2,"Zkratka kalkulační položky",B1089,"Výrobce / Dodavatel",C1089),"")</f>
        <v/>
      </c>
      <c r="E1089" s="904" t="str">
        <f>IF(Tabulka4[[#This Row],[Typ úlohy]]="Účet",GETPIVOTDATA("Součet z Celková cena bez DPH (CZK)",$G$3,"Zkratka kalkulační položky",B1089,"Výrobce / Dodavatel",C1089),"")</f>
        <v/>
      </c>
    </row>
    <row r="1090" spans="1:5" x14ac:dyDescent="0.35">
      <c r="A1090" s="902" t="str">
        <f t="shared" si="17"/>
        <v/>
      </c>
      <c r="B1090" s="903" t="str">
        <f>IF(Tabulka4[[#This Row],[Typ úlohy]]="Součet",G1090,IF(Tabulka4[[#This Row],[Typ úlohy]]="Účet",B1089,""))</f>
        <v/>
      </c>
      <c r="C1090" s="903" t="str">
        <f>IF(Tabulka4[[#This Row],[Typ úlohy]]="Účet",H1090,"")</f>
        <v/>
      </c>
      <c r="D1090" s="903" t="str">
        <f>IF(Tabulka4[[#This Row],[Typ úlohy]]="Účet",GETPIVOTDATA("Součet z Celková hmotnost položek [kg]",$G$2,"Zkratka kalkulační položky",B1090,"Výrobce / Dodavatel",C1090),"")</f>
        <v/>
      </c>
      <c r="E1090" s="904" t="str">
        <f>IF(Tabulka4[[#This Row],[Typ úlohy]]="Účet",GETPIVOTDATA("Součet z Celková cena bez DPH (CZK)",$G$3,"Zkratka kalkulační položky",B1090,"Výrobce / Dodavatel",C1090),"")</f>
        <v/>
      </c>
    </row>
    <row r="1091" spans="1:5" x14ac:dyDescent="0.35">
      <c r="A1091" s="902" t="str">
        <f t="shared" si="17"/>
        <v/>
      </c>
      <c r="B1091" s="903" t="str">
        <f>IF(Tabulka4[[#This Row],[Typ úlohy]]="Součet",G1091,IF(Tabulka4[[#This Row],[Typ úlohy]]="Účet",B1090,""))</f>
        <v/>
      </c>
      <c r="C1091" s="903" t="str">
        <f>IF(Tabulka4[[#This Row],[Typ úlohy]]="Účet",H1091,"")</f>
        <v/>
      </c>
      <c r="D1091" s="903" t="str">
        <f>IF(Tabulka4[[#This Row],[Typ úlohy]]="Účet",GETPIVOTDATA("Součet z Celková hmotnost položek [kg]",$G$2,"Zkratka kalkulační položky",B1091,"Výrobce / Dodavatel",C1091),"")</f>
        <v/>
      </c>
      <c r="E1091" s="904" t="str">
        <f>IF(Tabulka4[[#This Row],[Typ úlohy]]="Účet",GETPIVOTDATA("Součet z Celková cena bez DPH (CZK)",$G$3,"Zkratka kalkulační položky",B1091,"Výrobce / Dodavatel",C1091),"")</f>
        <v/>
      </c>
    </row>
    <row r="1092" spans="1:5" x14ac:dyDescent="0.35">
      <c r="A1092" s="902" t="str">
        <f t="shared" si="17"/>
        <v/>
      </c>
      <c r="B1092" s="903" t="str">
        <f>IF(Tabulka4[[#This Row],[Typ úlohy]]="Součet",G1092,IF(Tabulka4[[#This Row],[Typ úlohy]]="Účet",B1091,""))</f>
        <v/>
      </c>
      <c r="C1092" s="903" t="str">
        <f>IF(Tabulka4[[#This Row],[Typ úlohy]]="Účet",H1092,"")</f>
        <v/>
      </c>
      <c r="D1092" s="903" t="str">
        <f>IF(Tabulka4[[#This Row],[Typ úlohy]]="Účet",GETPIVOTDATA("Součet z Celková hmotnost položek [kg]",$G$2,"Zkratka kalkulační položky",B1092,"Výrobce / Dodavatel",C1092),"")</f>
        <v/>
      </c>
      <c r="E1092" s="904" t="str">
        <f>IF(Tabulka4[[#This Row],[Typ úlohy]]="Účet",GETPIVOTDATA("Součet z Celková cena bez DPH (CZK)",$G$3,"Zkratka kalkulační položky",B1092,"Výrobce / Dodavatel",C1092),"")</f>
        <v/>
      </c>
    </row>
    <row r="1093" spans="1:5" x14ac:dyDescent="0.35">
      <c r="A1093" s="902" t="str">
        <f t="shared" ref="A1093:A1156" si="18">IF(H1093="",IF(G1093="","","Součet"),"Účet")</f>
        <v/>
      </c>
      <c r="B1093" s="903" t="str">
        <f>IF(Tabulka4[[#This Row],[Typ úlohy]]="Součet",G1093,IF(Tabulka4[[#This Row],[Typ úlohy]]="Účet",B1092,""))</f>
        <v/>
      </c>
      <c r="C1093" s="903" t="str">
        <f>IF(Tabulka4[[#This Row],[Typ úlohy]]="Účet",H1093,"")</f>
        <v/>
      </c>
      <c r="D1093" s="903" t="str">
        <f>IF(Tabulka4[[#This Row],[Typ úlohy]]="Účet",GETPIVOTDATA("Součet z Celková hmotnost položek [kg]",$G$2,"Zkratka kalkulační položky",B1093,"Výrobce / Dodavatel",C1093),"")</f>
        <v/>
      </c>
      <c r="E1093" s="904" t="str">
        <f>IF(Tabulka4[[#This Row],[Typ úlohy]]="Účet",GETPIVOTDATA("Součet z Celková cena bez DPH (CZK)",$G$3,"Zkratka kalkulační položky",B1093,"Výrobce / Dodavatel",C1093),"")</f>
        <v/>
      </c>
    </row>
    <row r="1094" spans="1:5" x14ac:dyDescent="0.35">
      <c r="A1094" s="902" t="str">
        <f t="shared" si="18"/>
        <v/>
      </c>
      <c r="B1094" s="903" t="str">
        <f>IF(Tabulka4[[#This Row],[Typ úlohy]]="Součet",G1094,IF(Tabulka4[[#This Row],[Typ úlohy]]="Účet",B1093,""))</f>
        <v/>
      </c>
      <c r="C1094" s="903" t="str">
        <f>IF(Tabulka4[[#This Row],[Typ úlohy]]="Účet",H1094,"")</f>
        <v/>
      </c>
      <c r="D1094" s="903" t="str">
        <f>IF(Tabulka4[[#This Row],[Typ úlohy]]="Účet",GETPIVOTDATA("Součet z Celková hmotnost položek [kg]",$G$2,"Zkratka kalkulační položky",B1094,"Výrobce / Dodavatel",C1094),"")</f>
        <v/>
      </c>
      <c r="E1094" s="904" t="str">
        <f>IF(Tabulka4[[#This Row],[Typ úlohy]]="Účet",GETPIVOTDATA("Součet z Celková cena bez DPH (CZK)",$G$3,"Zkratka kalkulační položky",B1094,"Výrobce / Dodavatel",C1094),"")</f>
        <v/>
      </c>
    </row>
    <row r="1095" spans="1:5" x14ac:dyDescent="0.35">
      <c r="A1095" s="902" t="str">
        <f t="shared" si="18"/>
        <v/>
      </c>
      <c r="B1095" s="903" t="str">
        <f>IF(Tabulka4[[#This Row],[Typ úlohy]]="Součet",G1095,IF(Tabulka4[[#This Row],[Typ úlohy]]="Účet",B1094,""))</f>
        <v/>
      </c>
      <c r="C1095" s="903" t="str">
        <f>IF(Tabulka4[[#This Row],[Typ úlohy]]="Účet",H1095,"")</f>
        <v/>
      </c>
      <c r="D1095" s="903" t="str">
        <f>IF(Tabulka4[[#This Row],[Typ úlohy]]="Účet",GETPIVOTDATA("Součet z Celková hmotnost položek [kg]",$G$2,"Zkratka kalkulační položky",B1095,"Výrobce / Dodavatel",C1095),"")</f>
        <v/>
      </c>
      <c r="E1095" s="904" t="str">
        <f>IF(Tabulka4[[#This Row],[Typ úlohy]]="Účet",GETPIVOTDATA("Součet z Celková cena bez DPH (CZK)",$G$3,"Zkratka kalkulační položky",B1095,"Výrobce / Dodavatel",C1095),"")</f>
        <v/>
      </c>
    </row>
    <row r="1096" spans="1:5" x14ac:dyDescent="0.35">
      <c r="A1096" s="902" t="str">
        <f t="shared" si="18"/>
        <v/>
      </c>
      <c r="B1096" s="903" t="str">
        <f>IF(Tabulka4[[#This Row],[Typ úlohy]]="Součet",G1096,IF(Tabulka4[[#This Row],[Typ úlohy]]="Účet",B1095,""))</f>
        <v/>
      </c>
      <c r="C1096" s="903" t="str">
        <f>IF(Tabulka4[[#This Row],[Typ úlohy]]="Účet",H1096,"")</f>
        <v/>
      </c>
      <c r="D1096" s="903" t="str">
        <f>IF(Tabulka4[[#This Row],[Typ úlohy]]="Účet",GETPIVOTDATA("Součet z Celková hmotnost položek [kg]",$G$2,"Zkratka kalkulační položky",B1096,"Výrobce / Dodavatel",C1096),"")</f>
        <v/>
      </c>
      <c r="E1096" s="904" t="str">
        <f>IF(Tabulka4[[#This Row],[Typ úlohy]]="Účet",GETPIVOTDATA("Součet z Celková cena bez DPH (CZK)",$G$3,"Zkratka kalkulační položky",B1096,"Výrobce / Dodavatel",C1096),"")</f>
        <v/>
      </c>
    </row>
    <row r="1097" spans="1:5" x14ac:dyDescent="0.35">
      <c r="A1097" s="902" t="str">
        <f t="shared" si="18"/>
        <v/>
      </c>
      <c r="B1097" s="903" t="str">
        <f>IF(Tabulka4[[#This Row],[Typ úlohy]]="Součet",G1097,IF(Tabulka4[[#This Row],[Typ úlohy]]="Účet",B1096,""))</f>
        <v/>
      </c>
      <c r="C1097" s="903" t="str">
        <f>IF(Tabulka4[[#This Row],[Typ úlohy]]="Účet",H1097,"")</f>
        <v/>
      </c>
      <c r="D1097" s="903" t="str">
        <f>IF(Tabulka4[[#This Row],[Typ úlohy]]="Účet",GETPIVOTDATA("Součet z Celková hmotnost položek [kg]",$G$2,"Zkratka kalkulační položky",B1097,"Výrobce / Dodavatel",C1097),"")</f>
        <v/>
      </c>
      <c r="E1097" s="904" t="str">
        <f>IF(Tabulka4[[#This Row],[Typ úlohy]]="Účet",GETPIVOTDATA("Součet z Celková cena bez DPH (CZK)",$G$3,"Zkratka kalkulační položky",B1097,"Výrobce / Dodavatel",C1097),"")</f>
        <v/>
      </c>
    </row>
    <row r="1098" spans="1:5" x14ac:dyDescent="0.35">
      <c r="A1098" s="902" t="str">
        <f t="shared" si="18"/>
        <v/>
      </c>
      <c r="B1098" s="903" t="str">
        <f>IF(Tabulka4[[#This Row],[Typ úlohy]]="Součet",G1098,IF(Tabulka4[[#This Row],[Typ úlohy]]="Účet",B1097,""))</f>
        <v/>
      </c>
      <c r="C1098" s="903" t="str">
        <f>IF(Tabulka4[[#This Row],[Typ úlohy]]="Účet",H1098,"")</f>
        <v/>
      </c>
      <c r="D1098" s="903" t="str">
        <f>IF(Tabulka4[[#This Row],[Typ úlohy]]="Účet",GETPIVOTDATA("Součet z Celková hmotnost položek [kg]",$G$2,"Zkratka kalkulační položky",B1098,"Výrobce / Dodavatel",C1098),"")</f>
        <v/>
      </c>
      <c r="E1098" s="904" t="str">
        <f>IF(Tabulka4[[#This Row],[Typ úlohy]]="Účet",GETPIVOTDATA("Součet z Celková cena bez DPH (CZK)",$G$3,"Zkratka kalkulační položky",B1098,"Výrobce / Dodavatel",C1098),"")</f>
        <v/>
      </c>
    </row>
    <row r="1099" spans="1:5" x14ac:dyDescent="0.35">
      <c r="A1099" s="902" t="str">
        <f t="shared" si="18"/>
        <v/>
      </c>
      <c r="B1099" s="903" t="str">
        <f>IF(Tabulka4[[#This Row],[Typ úlohy]]="Součet",G1099,IF(Tabulka4[[#This Row],[Typ úlohy]]="Účet",B1098,""))</f>
        <v/>
      </c>
      <c r="C1099" s="903" t="str">
        <f>IF(Tabulka4[[#This Row],[Typ úlohy]]="Účet",H1099,"")</f>
        <v/>
      </c>
      <c r="D1099" s="903" t="str">
        <f>IF(Tabulka4[[#This Row],[Typ úlohy]]="Účet",GETPIVOTDATA("Součet z Celková hmotnost položek [kg]",$G$2,"Zkratka kalkulační položky",B1099,"Výrobce / Dodavatel",C1099),"")</f>
        <v/>
      </c>
      <c r="E1099" s="904" t="str">
        <f>IF(Tabulka4[[#This Row],[Typ úlohy]]="Účet",GETPIVOTDATA("Součet z Celková cena bez DPH (CZK)",$G$3,"Zkratka kalkulační položky",B1099,"Výrobce / Dodavatel",C1099),"")</f>
        <v/>
      </c>
    </row>
    <row r="1100" spans="1:5" x14ac:dyDescent="0.35">
      <c r="A1100" s="902" t="str">
        <f t="shared" si="18"/>
        <v/>
      </c>
      <c r="B1100" s="903" t="str">
        <f>IF(Tabulka4[[#This Row],[Typ úlohy]]="Součet",G1100,IF(Tabulka4[[#This Row],[Typ úlohy]]="Účet",B1099,""))</f>
        <v/>
      </c>
      <c r="C1100" s="903" t="str">
        <f>IF(Tabulka4[[#This Row],[Typ úlohy]]="Účet",H1100,"")</f>
        <v/>
      </c>
      <c r="D1100" s="903" t="str">
        <f>IF(Tabulka4[[#This Row],[Typ úlohy]]="Účet",GETPIVOTDATA("Součet z Celková hmotnost položek [kg]",$G$2,"Zkratka kalkulační položky",B1100,"Výrobce / Dodavatel",C1100),"")</f>
        <v/>
      </c>
      <c r="E1100" s="904" t="str">
        <f>IF(Tabulka4[[#This Row],[Typ úlohy]]="Účet",GETPIVOTDATA("Součet z Celková cena bez DPH (CZK)",$G$3,"Zkratka kalkulační položky",B1100,"Výrobce / Dodavatel",C1100),"")</f>
        <v/>
      </c>
    </row>
    <row r="1101" spans="1:5" x14ac:dyDescent="0.35">
      <c r="A1101" s="902" t="str">
        <f t="shared" si="18"/>
        <v/>
      </c>
      <c r="B1101" s="903" t="str">
        <f>IF(Tabulka4[[#This Row],[Typ úlohy]]="Součet",G1101,IF(Tabulka4[[#This Row],[Typ úlohy]]="Účet",B1100,""))</f>
        <v/>
      </c>
      <c r="C1101" s="903" t="str">
        <f>IF(Tabulka4[[#This Row],[Typ úlohy]]="Účet",H1101,"")</f>
        <v/>
      </c>
      <c r="D1101" s="903" t="str">
        <f>IF(Tabulka4[[#This Row],[Typ úlohy]]="Účet",GETPIVOTDATA("Součet z Celková hmotnost položek [kg]",$G$2,"Zkratka kalkulační položky",B1101,"Výrobce / Dodavatel",C1101),"")</f>
        <v/>
      </c>
      <c r="E1101" s="904" t="str">
        <f>IF(Tabulka4[[#This Row],[Typ úlohy]]="Účet",GETPIVOTDATA("Součet z Celková cena bez DPH (CZK)",$G$3,"Zkratka kalkulační položky",B1101,"Výrobce / Dodavatel",C1101),"")</f>
        <v/>
      </c>
    </row>
    <row r="1102" spans="1:5" x14ac:dyDescent="0.35">
      <c r="A1102" s="902" t="str">
        <f t="shared" si="18"/>
        <v/>
      </c>
      <c r="B1102" s="903" t="str">
        <f>IF(Tabulka4[[#This Row],[Typ úlohy]]="Součet",G1102,IF(Tabulka4[[#This Row],[Typ úlohy]]="Účet",B1101,""))</f>
        <v/>
      </c>
      <c r="C1102" s="903" t="str">
        <f>IF(Tabulka4[[#This Row],[Typ úlohy]]="Účet",H1102,"")</f>
        <v/>
      </c>
      <c r="D1102" s="903" t="str">
        <f>IF(Tabulka4[[#This Row],[Typ úlohy]]="Účet",GETPIVOTDATA("Součet z Celková hmotnost položek [kg]",$G$2,"Zkratka kalkulační položky",B1102,"Výrobce / Dodavatel",C1102),"")</f>
        <v/>
      </c>
      <c r="E1102" s="904" t="str">
        <f>IF(Tabulka4[[#This Row],[Typ úlohy]]="Účet",GETPIVOTDATA("Součet z Celková cena bez DPH (CZK)",$G$3,"Zkratka kalkulační položky",B1102,"Výrobce / Dodavatel",C1102),"")</f>
        <v/>
      </c>
    </row>
    <row r="1103" spans="1:5" x14ac:dyDescent="0.35">
      <c r="A1103" s="902" t="str">
        <f t="shared" si="18"/>
        <v/>
      </c>
      <c r="B1103" s="903" t="str">
        <f>IF(Tabulka4[[#This Row],[Typ úlohy]]="Součet",G1103,IF(Tabulka4[[#This Row],[Typ úlohy]]="Účet",B1102,""))</f>
        <v/>
      </c>
      <c r="C1103" s="903" t="str">
        <f>IF(Tabulka4[[#This Row],[Typ úlohy]]="Účet",H1103,"")</f>
        <v/>
      </c>
      <c r="D1103" s="903" t="str">
        <f>IF(Tabulka4[[#This Row],[Typ úlohy]]="Účet",GETPIVOTDATA("Součet z Celková hmotnost položek [kg]",$G$2,"Zkratka kalkulační položky",B1103,"Výrobce / Dodavatel",C1103),"")</f>
        <v/>
      </c>
      <c r="E1103" s="904" t="str">
        <f>IF(Tabulka4[[#This Row],[Typ úlohy]]="Účet",GETPIVOTDATA("Součet z Celková cena bez DPH (CZK)",$G$3,"Zkratka kalkulační položky",B1103,"Výrobce / Dodavatel",C1103),"")</f>
        <v/>
      </c>
    </row>
    <row r="1104" spans="1:5" x14ac:dyDescent="0.35">
      <c r="A1104" s="902" t="str">
        <f t="shared" si="18"/>
        <v/>
      </c>
      <c r="B1104" s="903" t="str">
        <f>IF(Tabulka4[[#This Row],[Typ úlohy]]="Součet",G1104,IF(Tabulka4[[#This Row],[Typ úlohy]]="Účet",B1103,""))</f>
        <v/>
      </c>
      <c r="C1104" s="903" t="str">
        <f>IF(Tabulka4[[#This Row],[Typ úlohy]]="Účet",H1104,"")</f>
        <v/>
      </c>
      <c r="D1104" s="903" t="str">
        <f>IF(Tabulka4[[#This Row],[Typ úlohy]]="Účet",GETPIVOTDATA("Součet z Celková hmotnost položek [kg]",$G$2,"Zkratka kalkulační položky",B1104,"Výrobce / Dodavatel",C1104),"")</f>
        <v/>
      </c>
      <c r="E1104" s="904" t="str">
        <f>IF(Tabulka4[[#This Row],[Typ úlohy]]="Účet",GETPIVOTDATA("Součet z Celková cena bez DPH (CZK)",$G$3,"Zkratka kalkulační položky",B1104,"Výrobce / Dodavatel",C1104),"")</f>
        <v/>
      </c>
    </row>
    <row r="1105" spans="1:5" x14ac:dyDescent="0.35">
      <c r="A1105" s="902" t="str">
        <f t="shared" si="18"/>
        <v/>
      </c>
      <c r="B1105" s="903" t="str">
        <f>IF(Tabulka4[[#This Row],[Typ úlohy]]="Součet",G1105,IF(Tabulka4[[#This Row],[Typ úlohy]]="Účet",B1104,""))</f>
        <v/>
      </c>
      <c r="C1105" s="903" t="str">
        <f>IF(Tabulka4[[#This Row],[Typ úlohy]]="Účet",H1105,"")</f>
        <v/>
      </c>
      <c r="D1105" s="903" t="str">
        <f>IF(Tabulka4[[#This Row],[Typ úlohy]]="Účet",GETPIVOTDATA("Součet z Celková hmotnost položek [kg]",$G$2,"Zkratka kalkulační položky",B1105,"Výrobce / Dodavatel",C1105),"")</f>
        <v/>
      </c>
      <c r="E1105" s="904" t="str">
        <f>IF(Tabulka4[[#This Row],[Typ úlohy]]="Účet",GETPIVOTDATA("Součet z Celková cena bez DPH (CZK)",$G$3,"Zkratka kalkulační položky",B1105,"Výrobce / Dodavatel",C1105),"")</f>
        <v/>
      </c>
    </row>
    <row r="1106" spans="1:5" x14ac:dyDescent="0.35">
      <c r="A1106" s="902" t="str">
        <f t="shared" si="18"/>
        <v/>
      </c>
      <c r="B1106" s="903" t="str">
        <f>IF(Tabulka4[[#This Row],[Typ úlohy]]="Součet",G1106,IF(Tabulka4[[#This Row],[Typ úlohy]]="Účet",B1105,""))</f>
        <v/>
      </c>
      <c r="C1106" s="903" t="str">
        <f>IF(Tabulka4[[#This Row],[Typ úlohy]]="Účet",H1106,"")</f>
        <v/>
      </c>
      <c r="D1106" s="903" t="str">
        <f>IF(Tabulka4[[#This Row],[Typ úlohy]]="Účet",GETPIVOTDATA("Součet z Celková hmotnost položek [kg]",$G$2,"Zkratka kalkulační položky",B1106,"Výrobce / Dodavatel",C1106),"")</f>
        <v/>
      </c>
      <c r="E1106" s="904" t="str">
        <f>IF(Tabulka4[[#This Row],[Typ úlohy]]="Účet",GETPIVOTDATA("Součet z Celková cena bez DPH (CZK)",$G$3,"Zkratka kalkulační položky",B1106,"Výrobce / Dodavatel",C1106),"")</f>
        <v/>
      </c>
    </row>
    <row r="1107" spans="1:5" x14ac:dyDescent="0.35">
      <c r="A1107" s="902" t="str">
        <f t="shared" si="18"/>
        <v/>
      </c>
      <c r="B1107" s="903" t="str">
        <f>IF(Tabulka4[[#This Row],[Typ úlohy]]="Součet",G1107,IF(Tabulka4[[#This Row],[Typ úlohy]]="Účet",B1106,""))</f>
        <v/>
      </c>
      <c r="C1107" s="903" t="str">
        <f>IF(Tabulka4[[#This Row],[Typ úlohy]]="Účet",H1107,"")</f>
        <v/>
      </c>
      <c r="D1107" s="903" t="str">
        <f>IF(Tabulka4[[#This Row],[Typ úlohy]]="Účet",GETPIVOTDATA("Součet z Celková hmotnost položek [kg]",$G$2,"Zkratka kalkulační položky",B1107,"Výrobce / Dodavatel",C1107),"")</f>
        <v/>
      </c>
      <c r="E1107" s="904" t="str">
        <f>IF(Tabulka4[[#This Row],[Typ úlohy]]="Účet",GETPIVOTDATA("Součet z Celková cena bez DPH (CZK)",$G$3,"Zkratka kalkulační položky",B1107,"Výrobce / Dodavatel",C1107),"")</f>
        <v/>
      </c>
    </row>
    <row r="1108" spans="1:5" x14ac:dyDescent="0.35">
      <c r="A1108" s="902" t="str">
        <f t="shared" si="18"/>
        <v/>
      </c>
      <c r="B1108" s="903" t="str">
        <f>IF(Tabulka4[[#This Row],[Typ úlohy]]="Součet",G1108,IF(Tabulka4[[#This Row],[Typ úlohy]]="Účet",B1107,""))</f>
        <v/>
      </c>
      <c r="C1108" s="903" t="str">
        <f>IF(Tabulka4[[#This Row],[Typ úlohy]]="Účet",H1108,"")</f>
        <v/>
      </c>
      <c r="D1108" s="903" t="str">
        <f>IF(Tabulka4[[#This Row],[Typ úlohy]]="Účet",GETPIVOTDATA("Součet z Celková hmotnost položek [kg]",$G$2,"Zkratka kalkulační položky",B1108,"Výrobce / Dodavatel",C1108),"")</f>
        <v/>
      </c>
      <c r="E1108" s="904" t="str">
        <f>IF(Tabulka4[[#This Row],[Typ úlohy]]="Účet",GETPIVOTDATA("Součet z Celková cena bez DPH (CZK)",$G$3,"Zkratka kalkulační položky",B1108,"Výrobce / Dodavatel",C1108),"")</f>
        <v/>
      </c>
    </row>
    <row r="1109" spans="1:5" x14ac:dyDescent="0.35">
      <c r="A1109" s="902" t="str">
        <f t="shared" si="18"/>
        <v/>
      </c>
      <c r="B1109" s="903" t="str">
        <f>IF(Tabulka4[[#This Row],[Typ úlohy]]="Součet",G1109,IF(Tabulka4[[#This Row],[Typ úlohy]]="Účet",B1108,""))</f>
        <v/>
      </c>
      <c r="C1109" s="903" t="str">
        <f>IF(Tabulka4[[#This Row],[Typ úlohy]]="Účet",H1109,"")</f>
        <v/>
      </c>
      <c r="D1109" s="903" t="str">
        <f>IF(Tabulka4[[#This Row],[Typ úlohy]]="Účet",GETPIVOTDATA("Součet z Celková hmotnost položek [kg]",$G$2,"Zkratka kalkulační položky",B1109,"Výrobce / Dodavatel",C1109),"")</f>
        <v/>
      </c>
      <c r="E1109" s="904" t="str">
        <f>IF(Tabulka4[[#This Row],[Typ úlohy]]="Účet",GETPIVOTDATA("Součet z Celková cena bez DPH (CZK)",$G$3,"Zkratka kalkulační položky",B1109,"Výrobce / Dodavatel",C1109),"")</f>
        <v/>
      </c>
    </row>
    <row r="1110" spans="1:5" x14ac:dyDescent="0.35">
      <c r="A1110" s="902" t="str">
        <f t="shared" si="18"/>
        <v/>
      </c>
      <c r="B1110" s="903" t="str">
        <f>IF(Tabulka4[[#This Row],[Typ úlohy]]="Součet",G1110,IF(Tabulka4[[#This Row],[Typ úlohy]]="Účet",B1109,""))</f>
        <v/>
      </c>
      <c r="C1110" s="903" t="str">
        <f>IF(Tabulka4[[#This Row],[Typ úlohy]]="Účet",H1110,"")</f>
        <v/>
      </c>
      <c r="D1110" s="903" t="str">
        <f>IF(Tabulka4[[#This Row],[Typ úlohy]]="Účet",GETPIVOTDATA("Součet z Celková hmotnost položek [kg]",$G$2,"Zkratka kalkulační položky",B1110,"Výrobce / Dodavatel",C1110),"")</f>
        <v/>
      </c>
      <c r="E1110" s="904" t="str">
        <f>IF(Tabulka4[[#This Row],[Typ úlohy]]="Účet",GETPIVOTDATA("Součet z Celková cena bez DPH (CZK)",$G$3,"Zkratka kalkulační položky",B1110,"Výrobce / Dodavatel",C1110),"")</f>
        <v/>
      </c>
    </row>
    <row r="1111" spans="1:5" x14ac:dyDescent="0.35">
      <c r="A1111" s="902" t="str">
        <f t="shared" si="18"/>
        <v/>
      </c>
      <c r="B1111" s="903" t="str">
        <f>IF(Tabulka4[[#This Row],[Typ úlohy]]="Součet",G1111,IF(Tabulka4[[#This Row],[Typ úlohy]]="Účet",B1110,""))</f>
        <v/>
      </c>
      <c r="C1111" s="903" t="str">
        <f>IF(Tabulka4[[#This Row],[Typ úlohy]]="Účet",H1111,"")</f>
        <v/>
      </c>
      <c r="D1111" s="903" t="str">
        <f>IF(Tabulka4[[#This Row],[Typ úlohy]]="Účet",GETPIVOTDATA("Součet z Celková hmotnost položek [kg]",$G$2,"Zkratka kalkulační položky",B1111,"Výrobce / Dodavatel",C1111),"")</f>
        <v/>
      </c>
      <c r="E1111" s="904" t="str">
        <f>IF(Tabulka4[[#This Row],[Typ úlohy]]="Účet",GETPIVOTDATA("Součet z Celková cena bez DPH (CZK)",$G$3,"Zkratka kalkulační položky",B1111,"Výrobce / Dodavatel",C1111),"")</f>
        <v/>
      </c>
    </row>
    <row r="1112" spans="1:5" x14ac:dyDescent="0.35">
      <c r="A1112" s="902" t="str">
        <f t="shared" si="18"/>
        <v/>
      </c>
      <c r="B1112" s="903" t="str">
        <f>IF(Tabulka4[[#This Row],[Typ úlohy]]="Součet",G1112,IF(Tabulka4[[#This Row],[Typ úlohy]]="Účet",B1111,""))</f>
        <v/>
      </c>
      <c r="C1112" s="903" t="str">
        <f>IF(Tabulka4[[#This Row],[Typ úlohy]]="Účet",H1112,"")</f>
        <v/>
      </c>
      <c r="D1112" s="903" t="str">
        <f>IF(Tabulka4[[#This Row],[Typ úlohy]]="Účet",GETPIVOTDATA("Součet z Celková hmotnost položek [kg]",$G$2,"Zkratka kalkulační položky",B1112,"Výrobce / Dodavatel",C1112),"")</f>
        <v/>
      </c>
      <c r="E1112" s="904" t="str">
        <f>IF(Tabulka4[[#This Row],[Typ úlohy]]="Účet",GETPIVOTDATA("Součet z Celková cena bez DPH (CZK)",$G$3,"Zkratka kalkulační položky",B1112,"Výrobce / Dodavatel",C1112),"")</f>
        <v/>
      </c>
    </row>
    <row r="1113" spans="1:5" x14ac:dyDescent="0.35">
      <c r="A1113" s="902" t="str">
        <f t="shared" si="18"/>
        <v/>
      </c>
      <c r="B1113" s="903" t="str">
        <f>IF(Tabulka4[[#This Row],[Typ úlohy]]="Součet",G1113,IF(Tabulka4[[#This Row],[Typ úlohy]]="Účet",B1112,""))</f>
        <v/>
      </c>
      <c r="C1113" s="903" t="str">
        <f>IF(Tabulka4[[#This Row],[Typ úlohy]]="Účet",H1113,"")</f>
        <v/>
      </c>
      <c r="D1113" s="903" t="str">
        <f>IF(Tabulka4[[#This Row],[Typ úlohy]]="Účet",GETPIVOTDATA("Součet z Celková hmotnost položek [kg]",$G$2,"Zkratka kalkulační položky",B1113,"Výrobce / Dodavatel",C1113),"")</f>
        <v/>
      </c>
      <c r="E1113" s="904" t="str">
        <f>IF(Tabulka4[[#This Row],[Typ úlohy]]="Účet",GETPIVOTDATA("Součet z Celková cena bez DPH (CZK)",$G$3,"Zkratka kalkulační položky",B1113,"Výrobce / Dodavatel",C1113),"")</f>
        <v/>
      </c>
    </row>
    <row r="1114" spans="1:5" x14ac:dyDescent="0.35">
      <c r="A1114" s="902" t="str">
        <f t="shared" si="18"/>
        <v/>
      </c>
      <c r="B1114" s="903" t="str">
        <f>IF(Tabulka4[[#This Row],[Typ úlohy]]="Součet",G1114,IF(Tabulka4[[#This Row],[Typ úlohy]]="Účet",B1113,""))</f>
        <v/>
      </c>
      <c r="C1114" s="903" t="str">
        <f>IF(Tabulka4[[#This Row],[Typ úlohy]]="Účet",H1114,"")</f>
        <v/>
      </c>
      <c r="D1114" s="903" t="str">
        <f>IF(Tabulka4[[#This Row],[Typ úlohy]]="Účet",GETPIVOTDATA("Součet z Celková hmotnost položek [kg]",$G$2,"Zkratka kalkulační položky",B1114,"Výrobce / Dodavatel",C1114),"")</f>
        <v/>
      </c>
      <c r="E1114" s="904" t="str">
        <f>IF(Tabulka4[[#This Row],[Typ úlohy]]="Účet",GETPIVOTDATA("Součet z Celková cena bez DPH (CZK)",$G$3,"Zkratka kalkulační položky",B1114,"Výrobce / Dodavatel",C1114),"")</f>
        <v/>
      </c>
    </row>
    <row r="1115" spans="1:5" x14ac:dyDescent="0.35">
      <c r="A1115" s="902" t="str">
        <f t="shared" si="18"/>
        <v/>
      </c>
      <c r="B1115" s="903" t="str">
        <f>IF(Tabulka4[[#This Row],[Typ úlohy]]="Součet",G1115,IF(Tabulka4[[#This Row],[Typ úlohy]]="Účet",B1114,""))</f>
        <v/>
      </c>
      <c r="C1115" s="903" t="str">
        <f>IF(Tabulka4[[#This Row],[Typ úlohy]]="Účet",H1115,"")</f>
        <v/>
      </c>
      <c r="D1115" s="903" t="str">
        <f>IF(Tabulka4[[#This Row],[Typ úlohy]]="Účet",GETPIVOTDATA("Součet z Celková hmotnost položek [kg]",$G$2,"Zkratka kalkulační položky",B1115,"Výrobce / Dodavatel",C1115),"")</f>
        <v/>
      </c>
      <c r="E1115" s="904" t="str">
        <f>IF(Tabulka4[[#This Row],[Typ úlohy]]="Účet",GETPIVOTDATA("Součet z Celková cena bez DPH (CZK)",$G$3,"Zkratka kalkulační položky",B1115,"Výrobce / Dodavatel",C1115),"")</f>
        <v/>
      </c>
    </row>
    <row r="1116" spans="1:5" x14ac:dyDescent="0.35">
      <c r="A1116" s="902" t="str">
        <f t="shared" si="18"/>
        <v/>
      </c>
      <c r="B1116" s="903" t="str">
        <f>IF(Tabulka4[[#This Row],[Typ úlohy]]="Součet",G1116,IF(Tabulka4[[#This Row],[Typ úlohy]]="Účet",B1115,""))</f>
        <v/>
      </c>
      <c r="C1116" s="903" t="str">
        <f>IF(Tabulka4[[#This Row],[Typ úlohy]]="Účet",H1116,"")</f>
        <v/>
      </c>
      <c r="D1116" s="903" t="str">
        <f>IF(Tabulka4[[#This Row],[Typ úlohy]]="Účet",GETPIVOTDATA("Součet z Celková hmotnost položek [kg]",$G$2,"Zkratka kalkulační položky",B1116,"Výrobce / Dodavatel",C1116),"")</f>
        <v/>
      </c>
      <c r="E1116" s="904" t="str">
        <f>IF(Tabulka4[[#This Row],[Typ úlohy]]="Účet",GETPIVOTDATA("Součet z Celková cena bez DPH (CZK)",$G$3,"Zkratka kalkulační položky",B1116,"Výrobce / Dodavatel",C1116),"")</f>
        <v/>
      </c>
    </row>
    <row r="1117" spans="1:5" x14ac:dyDescent="0.35">
      <c r="A1117" s="902" t="str">
        <f t="shared" si="18"/>
        <v/>
      </c>
      <c r="B1117" s="903" t="str">
        <f>IF(Tabulka4[[#This Row],[Typ úlohy]]="Součet",G1117,IF(Tabulka4[[#This Row],[Typ úlohy]]="Účet",B1116,""))</f>
        <v/>
      </c>
      <c r="C1117" s="903" t="str">
        <f>IF(Tabulka4[[#This Row],[Typ úlohy]]="Účet",H1117,"")</f>
        <v/>
      </c>
      <c r="D1117" s="903" t="str">
        <f>IF(Tabulka4[[#This Row],[Typ úlohy]]="Účet",GETPIVOTDATA("Součet z Celková hmotnost položek [kg]",$G$2,"Zkratka kalkulační položky",B1117,"Výrobce / Dodavatel",C1117),"")</f>
        <v/>
      </c>
      <c r="E1117" s="904" t="str">
        <f>IF(Tabulka4[[#This Row],[Typ úlohy]]="Účet",GETPIVOTDATA("Součet z Celková cena bez DPH (CZK)",$G$3,"Zkratka kalkulační položky",B1117,"Výrobce / Dodavatel",C1117),"")</f>
        <v/>
      </c>
    </row>
    <row r="1118" spans="1:5" x14ac:dyDescent="0.35">
      <c r="A1118" s="902" t="str">
        <f t="shared" si="18"/>
        <v/>
      </c>
      <c r="B1118" s="903" t="str">
        <f>IF(Tabulka4[[#This Row],[Typ úlohy]]="Součet",G1118,IF(Tabulka4[[#This Row],[Typ úlohy]]="Účet",B1117,""))</f>
        <v/>
      </c>
      <c r="C1118" s="903" t="str">
        <f>IF(Tabulka4[[#This Row],[Typ úlohy]]="Účet",H1118,"")</f>
        <v/>
      </c>
      <c r="D1118" s="903" t="str">
        <f>IF(Tabulka4[[#This Row],[Typ úlohy]]="Účet",GETPIVOTDATA("Součet z Celková hmotnost položek [kg]",$G$2,"Zkratka kalkulační položky",B1118,"Výrobce / Dodavatel",C1118),"")</f>
        <v/>
      </c>
      <c r="E1118" s="904" t="str">
        <f>IF(Tabulka4[[#This Row],[Typ úlohy]]="Účet",GETPIVOTDATA("Součet z Celková cena bez DPH (CZK)",$G$3,"Zkratka kalkulační položky",B1118,"Výrobce / Dodavatel",C1118),"")</f>
        <v/>
      </c>
    </row>
    <row r="1119" spans="1:5" x14ac:dyDescent="0.35">
      <c r="A1119" s="902" t="str">
        <f t="shared" si="18"/>
        <v/>
      </c>
      <c r="B1119" s="903" t="str">
        <f>IF(Tabulka4[[#This Row],[Typ úlohy]]="Součet",G1119,IF(Tabulka4[[#This Row],[Typ úlohy]]="Účet",B1118,""))</f>
        <v/>
      </c>
      <c r="C1119" s="903" t="str">
        <f>IF(Tabulka4[[#This Row],[Typ úlohy]]="Účet",H1119,"")</f>
        <v/>
      </c>
      <c r="D1119" s="903" t="str">
        <f>IF(Tabulka4[[#This Row],[Typ úlohy]]="Účet",GETPIVOTDATA("Součet z Celková hmotnost položek [kg]",$G$2,"Zkratka kalkulační položky",B1119,"Výrobce / Dodavatel",C1119),"")</f>
        <v/>
      </c>
      <c r="E1119" s="904" t="str">
        <f>IF(Tabulka4[[#This Row],[Typ úlohy]]="Účet",GETPIVOTDATA("Součet z Celková cena bez DPH (CZK)",$G$3,"Zkratka kalkulační položky",B1119,"Výrobce / Dodavatel",C1119),"")</f>
        <v/>
      </c>
    </row>
    <row r="1120" spans="1:5" x14ac:dyDescent="0.35">
      <c r="A1120" s="902" t="str">
        <f t="shared" si="18"/>
        <v/>
      </c>
      <c r="B1120" s="903" t="str">
        <f>IF(Tabulka4[[#This Row],[Typ úlohy]]="Součet",G1120,IF(Tabulka4[[#This Row],[Typ úlohy]]="Účet",B1119,""))</f>
        <v/>
      </c>
      <c r="C1120" s="903" t="str">
        <f>IF(Tabulka4[[#This Row],[Typ úlohy]]="Účet",H1120,"")</f>
        <v/>
      </c>
      <c r="D1120" s="903" t="str">
        <f>IF(Tabulka4[[#This Row],[Typ úlohy]]="Účet",GETPIVOTDATA("Součet z Celková hmotnost položek [kg]",$G$2,"Zkratka kalkulační položky",B1120,"Výrobce / Dodavatel",C1120),"")</f>
        <v/>
      </c>
      <c r="E1120" s="904" t="str">
        <f>IF(Tabulka4[[#This Row],[Typ úlohy]]="Účet",GETPIVOTDATA("Součet z Celková cena bez DPH (CZK)",$G$3,"Zkratka kalkulační položky",B1120,"Výrobce / Dodavatel",C1120),"")</f>
        <v/>
      </c>
    </row>
    <row r="1121" spans="1:5" x14ac:dyDescent="0.35">
      <c r="A1121" s="902" t="str">
        <f t="shared" si="18"/>
        <v/>
      </c>
      <c r="B1121" s="903" t="str">
        <f>IF(Tabulka4[[#This Row],[Typ úlohy]]="Součet",G1121,IF(Tabulka4[[#This Row],[Typ úlohy]]="Účet",B1120,""))</f>
        <v/>
      </c>
      <c r="C1121" s="903" t="str">
        <f>IF(Tabulka4[[#This Row],[Typ úlohy]]="Účet",H1121,"")</f>
        <v/>
      </c>
      <c r="D1121" s="903" t="str">
        <f>IF(Tabulka4[[#This Row],[Typ úlohy]]="Účet",GETPIVOTDATA("Součet z Celková hmotnost položek [kg]",$G$2,"Zkratka kalkulační položky",B1121,"Výrobce / Dodavatel",C1121),"")</f>
        <v/>
      </c>
      <c r="E1121" s="904" t="str">
        <f>IF(Tabulka4[[#This Row],[Typ úlohy]]="Účet",GETPIVOTDATA("Součet z Celková cena bez DPH (CZK)",$G$3,"Zkratka kalkulační položky",B1121,"Výrobce / Dodavatel",C1121),"")</f>
        <v/>
      </c>
    </row>
    <row r="1122" spans="1:5" x14ac:dyDescent="0.35">
      <c r="A1122" s="902" t="str">
        <f t="shared" si="18"/>
        <v/>
      </c>
      <c r="B1122" s="903" t="str">
        <f>IF(Tabulka4[[#This Row],[Typ úlohy]]="Součet",G1122,IF(Tabulka4[[#This Row],[Typ úlohy]]="Účet",B1121,""))</f>
        <v/>
      </c>
      <c r="C1122" s="903" t="str">
        <f>IF(Tabulka4[[#This Row],[Typ úlohy]]="Účet",H1122,"")</f>
        <v/>
      </c>
      <c r="D1122" s="903" t="str">
        <f>IF(Tabulka4[[#This Row],[Typ úlohy]]="Účet",GETPIVOTDATA("Součet z Celková hmotnost položek [kg]",$G$2,"Zkratka kalkulační položky",B1122,"Výrobce / Dodavatel",C1122),"")</f>
        <v/>
      </c>
      <c r="E1122" s="904" t="str">
        <f>IF(Tabulka4[[#This Row],[Typ úlohy]]="Účet",GETPIVOTDATA("Součet z Celková cena bez DPH (CZK)",$G$3,"Zkratka kalkulační položky",B1122,"Výrobce / Dodavatel",C1122),"")</f>
        <v/>
      </c>
    </row>
    <row r="1123" spans="1:5" x14ac:dyDescent="0.35">
      <c r="A1123" s="902" t="str">
        <f t="shared" si="18"/>
        <v/>
      </c>
      <c r="B1123" s="903" t="str">
        <f>IF(Tabulka4[[#This Row],[Typ úlohy]]="Součet",G1123,IF(Tabulka4[[#This Row],[Typ úlohy]]="Účet",B1122,""))</f>
        <v/>
      </c>
      <c r="C1123" s="903" t="str">
        <f>IF(Tabulka4[[#This Row],[Typ úlohy]]="Účet",H1123,"")</f>
        <v/>
      </c>
      <c r="D1123" s="903" t="str">
        <f>IF(Tabulka4[[#This Row],[Typ úlohy]]="Účet",GETPIVOTDATA("Součet z Celková hmotnost položek [kg]",$G$2,"Zkratka kalkulační položky",B1123,"Výrobce / Dodavatel",C1123),"")</f>
        <v/>
      </c>
      <c r="E1123" s="904" t="str">
        <f>IF(Tabulka4[[#This Row],[Typ úlohy]]="Účet",GETPIVOTDATA("Součet z Celková cena bez DPH (CZK)",$G$3,"Zkratka kalkulační položky",B1123,"Výrobce / Dodavatel",C1123),"")</f>
        <v/>
      </c>
    </row>
    <row r="1124" spans="1:5" x14ac:dyDescent="0.35">
      <c r="A1124" s="902" t="str">
        <f t="shared" si="18"/>
        <v/>
      </c>
      <c r="B1124" s="903" t="str">
        <f>IF(Tabulka4[[#This Row],[Typ úlohy]]="Součet",G1124,IF(Tabulka4[[#This Row],[Typ úlohy]]="Účet",B1123,""))</f>
        <v/>
      </c>
      <c r="C1124" s="903" t="str">
        <f>IF(Tabulka4[[#This Row],[Typ úlohy]]="Účet",H1124,"")</f>
        <v/>
      </c>
      <c r="D1124" s="903" t="str">
        <f>IF(Tabulka4[[#This Row],[Typ úlohy]]="Účet",GETPIVOTDATA("Součet z Celková hmotnost položek [kg]",$G$2,"Zkratka kalkulační položky",B1124,"Výrobce / Dodavatel",C1124),"")</f>
        <v/>
      </c>
      <c r="E1124" s="904" t="str">
        <f>IF(Tabulka4[[#This Row],[Typ úlohy]]="Účet",GETPIVOTDATA("Součet z Celková cena bez DPH (CZK)",$G$3,"Zkratka kalkulační položky",B1124,"Výrobce / Dodavatel",C1124),"")</f>
        <v/>
      </c>
    </row>
    <row r="1125" spans="1:5" x14ac:dyDescent="0.35">
      <c r="A1125" s="902" t="str">
        <f t="shared" si="18"/>
        <v/>
      </c>
      <c r="B1125" s="903" t="str">
        <f>IF(Tabulka4[[#This Row],[Typ úlohy]]="Součet",G1125,IF(Tabulka4[[#This Row],[Typ úlohy]]="Účet",B1124,""))</f>
        <v/>
      </c>
      <c r="C1125" s="903" t="str">
        <f>IF(Tabulka4[[#This Row],[Typ úlohy]]="Účet",H1125,"")</f>
        <v/>
      </c>
      <c r="D1125" s="903" t="str">
        <f>IF(Tabulka4[[#This Row],[Typ úlohy]]="Účet",GETPIVOTDATA("Součet z Celková hmotnost položek [kg]",$G$2,"Zkratka kalkulační položky",B1125,"Výrobce / Dodavatel",C1125),"")</f>
        <v/>
      </c>
      <c r="E1125" s="904" t="str">
        <f>IF(Tabulka4[[#This Row],[Typ úlohy]]="Účet",GETPIVOTDATA("Součet z Celková cena bez DPH (CZK)",$G$3,"Zkratka kalkulační položky",B1125,"Výrobce / Dodavatel",C1125),"")</f>
        <v/>
      </c>
    </row>
    <row r="1126" spans="1:5" x14ac:dyDescent="0.35">
      <c r="A1126" s="902" t="str">
        <f t="shared" si="18"/>
        <v/>
      </c>
      <c r="B1126" s="903" t="str">
        <f>IF(Tabulka4[[#This Row],[Typ úlohy]]="Součet",G1126,IF(Tabulka4[[#This Row],[Typ úlohy]]="Účet",B1125,""))</f>
        <v/>
      </c>
      <c r="C1126" s="903" t="str">
        <f>IF(Tabulka4[[#This Row],[Typ úlohy]]="Účet",H1126,"")</f>
        <v/>
      </c>
      <c r="D1126" s="903" t="str">
        <f>IF(Tabulka4[[#This Row],[Typ úlohy]]="Účet",GETPIVOTDATA("Součet z Celková hmotnost položek [kg]",$G$2,"Zkratka kalkulační položky",B1126,"Výrobce / Dodavatel",C1126),"")</f>
        <v/>
      </c>
      <c r="E1126" s="904" t="str">
        <f>IF(Tabulka4[[#This Row],[Typ úlohy]]="Účet",GETPIVOTDATA("Součet z Celková cena bez DPH (CZK)",$G$3,"Zkratka kalkulační položky",B1126,"Výrobce / Dodavatel",C1126),"")</f>
        <v/>
      </c>
    </row>
    <row r="1127" spans="1:5" x14ac:dyDescent="0.35">
      <c r="A1127" s="902" t="str">
        <f t="shared" si="18"/>
        <v/>
      </c>
      <c r="B1127" s="903" t="str">
        <f>IF(Tabulka4[[#This Row],[Typ úlohy]]="Součet",G1127,IF(Tabulka4[[#This Row],[Typ úlohy]]="Účet",B1126,""))</f>
        <v/>
      </c>
      <c r="C1127" s="903" t="str">
        <f>IF(Tabulka4[[#This Row],[Typ úlohy]]="Účet",H1127,"")</f>
        <v/>
      </c>
      <c r="D1127" s="903" t="str">
        <f>IF(Tabulka4[[#This Row],[Typ úlohy]]="Účet",GETPIVOTDATA("Součet z Celková hmotnost položek [kg]",$G$2,"Zkratka kalkulační položky",B1127,"Výrobce / Dodavatel",C1127),"")</f>
        <v/>
      </c>
      <c r="E1127" s="904" t="str">
        <f>IF(Tabulka4[[#This Row],[Typ úlohy]]="Účet",GETPIVOTDATA("Součet z Celková cena bez DPH (CZK)",$G$3,"Zkratka kalkulační položky",B1127,"Výrobce / Dodavatel",C1127),"")</f>
        <v/>
      </c>
    </row>
    <row r="1128" spans="1:5" x14ac:dyDescent="0.35">
      <c r="A1128" s="902" t="str">
        <f t="shared" si="18"/>
        <v/>
      </c>
      <c r="B1128" s="903" t="str">
        <f>IF(Tabulka4[[#This Row],[Typ úlohy]]="Součet",G1128,IF(Tabulka4[[#This Row],[Typ úlohy]]="Účet",B1127,""))</f>
        <v/>
      </c>
      <c r="C1128" s="903" t="str">
        <f>IF(Tabulka4[[#This Row],[Typ úlohy]]="Účet",H1128,"")</f>
        <v/>
      </c>
      <c r="D1128" s="903" t="str">
        <f>IF(Tabulka4[[#This Row],[Typ úlohy]]="Účet",GETPIVOTDATA("Součet z Celková hmotnost položek [kg]",$G$2,"Zkratka kalkulační položky",B1128,"Výrobce / Dodavatel",C1128),"")</f>
        <v/>
      </c>
      <c r="E1128" s="904" t="str">
        <f>IF(Tabulka4[[#This Row],[Typ úlohy]]="Účet",GETPIVOTDATA("Součet z Celková cena bez DPH (CZK)",$G$3,"Zkratka kalkulační položky",B1128,"Výrobce / Dodavatel",C1128),"")</f>
        <v/>
      </c>
    </row>
    <row r="1129" spans="1:5" x14ac:dyDescent="0.35">
      <c r="A1129" s="902" t="str">
        <f t="shared" si="18"/>
        <v/>
      </c>
      <c r="B1129" s="903" t="str">
        <f>IF(Tabulka4[[#This Row],[Typ úlohy]]="Součet",G1129,IF(Tabulka4[[#This Row],[Typ úlohy]]="Účet",B1128,""))</f>
        <v/>
      </c>
      <c r="C1129" s="903" t="str">
        <f>IF(Tabulka4[[#This Row],[Typ úlohy]]="Účet",H1129,"")</f>
        <v/>
      </c>
      <c r="D1129" s="903" t="str">
        <f>IF(Tabulka4[[#This Row],[Typ úlohy]]="Účet",GETPIVOTDATA("Součet z Celková hmotnost položek [kg]",$G$2,"Zkratka kalkulační položky",B1129,"Výrobce / Dodavatel",C1129),"")</f>
        <v/>
      </c>
      <c r="E1129" s="904" t="str">
        <f>IF(Tabulka4[[#This Row],[Typ úlohy]]="Účet",GETPIVOTDATA("Součet z Celková cena bez DPH (CZK)",$G$3,"Zkratka kalkulační položky",B1129,"Výrobce / Dodavatel",C1129),"")</f>
        <v/>
      </c>
    </row>
    <row r="1130" spans="1:5" x14ac:dyDescent="0.35">
      <c r="A1130" s="902" t="str">
        <f t="shared" si="18"/>
        <v/>
      </c>
      <c r="B1130" s="903" t="str">
        <f>IF(Tabulka4[[#This Row],[Typ úlohy]]="Součet",G1130,IF(Tabulka4[[#This Row],[Typ úlohy]]="Účet",B1129,""))</f>
        <v/>
      </c>
      <c r="C1130" s="903" t="str">
        <f>IF(Tabulka4[[#This Row],[Typ úlohy]]="Účet",H1130,"")</f>
        <v/>
      </c>
      <c r="D1130" s="903" t="str">
        <f>IF(Tabulka4[[#This Row],[Typ úlohy]]="Účet",GETPIVOTDATA("Součet z Celková hmotnost položek [kg]",$G$2,"Zkratka kalkulační položky",B1130,"Výrobce / Dodavatel",C1130),"")</f>
        <v/>
      </c>
      <c r="E1130" s="904" t="str">
        <f>IF(Tabulka4[[#This Row],[Typ úlohy]]="Účet",GETPIVOTDATA("Součet z Celková cena bez DPH (CZK)",$G$3,"Zkratka kalkulační položky",B1130,"Výrobce / Dodavatel",C1130),"")</f>
        <v/>
      </c>
    </row>
    <row r="1131" spans="1:5" x14ac:dyDescent="0.35">
      <c r="A1131" s="902" t="str">
        <f t="shared" si="18"/>
        <v/>
      </c>
      <c r="B1131" s="903" t="str">
        <f>IF(Tabulka4[[#This Row],[Typ úlohy]]="Součet",G1131,IF(Tabulka4[[#This Row],[Typ úlohy]]="Účet",B1130,""))</f>
        <v/>
      </c>
      <c r="C1131" s="903" t="str">
        <f>IF(Tabulka4[[#This Row],[Typ úlohy]]="Účet",H1131,"")</f>
        <v/>
      </c>
      <c r="D1131" s="903" t="str">
        <f>IF(Tabulka4[[#This Row],[Typ úlohy]]="Účet",GETPIVOTDATA("Součet z Celková hmotnost položek [kg]",$G$2,"Zkratka kalkulační položky",B1131,"Výrobce / Dodavatel",C1131),"")</f>
        <v/>
      </c>
      <c r="E1131" s="904" t="str">
        <f>IF(Tabulka4[[#This Row],[Typ úlohy]]="Účet",GETPIVOTDATA("Součet z Celková cena bez DPH (CZK)",$G$3,"Zkratka kalkulační položky",B1131,"Výrobce / Dodavatel",C1131),"")</f>
        <v/>
      </c>
    </row>
    <row r="1132" spans="1:5" x14ac:dyDescent="0.35">
      <c r="A1132" s="902" t="str">
        <f t="shared" si="18"/>
        <v/>
      </c>
      <c r="B1132" s="903" t="str">
        <f>IF(Tabulka4[[#This Row],[Typ úlohy]]="Součet",G1132,IF(Tabulka4[[#This Row],[Typ úlohy]]="Účet",B1131,""))</f>
        <v/>
      </c>
      <c r="C1132" s="903" t="str">
        <f>IF(Tabulka4[[#This Row],[Typ úlohy]]="Účet",H1132,"")</f>
        <v/>
      </c>
      <c r="D1132" s="903" t="str">
        <f>IF(Tabulka4[[#This Row],[Typ úlohy]]="Účet",GETPIVOTDATA("Součet z Celková hmotnost položek [kg]",$G$2,"Zkratka kalkulační položky",B1132,"Výrobce / Dodavatel",C1132),"")</f>
        <v/>
      </c>
      <c r="E1132" s="904" t="str">
        <f>IF(Tabulka4[[#This Row],[Typ úlohy]]="Účet",GETPIVOTDATA("Součet z Celková cena bez DPH (CZK)",$G$3,"Zkratka kalkulační položky",B1132,"Výrobce / Dodavatel",C1132),"")</f>
        <v/>
      </c>
    </row>
    <row r="1133" spans="1:5" x14ac:dyDescent="0.35">
      <c r="A1133" s="902" t="str">
        <f t="shared" si="18"/>
        <v/>
      </c>
      <c r="B1133" s="903" t="str">
        <f>IF(Tabulka4[[#This Row],[Typ úlohy]]="Součet",G1133,IF(Tabulka4[[#This Row],[Typ úlohy]]="Účet",B1132,""))</f>
        <v/>
      </c>
      <c r="C1133" s="903" t="str">
        <f>IF(Tabulka4[[#This Row],[Typ úlohy]]="Účet",H1133,"")</f>
        <v/>
      </c>
      <c r="D1133" s="903" t="str">
        <f>IF(Tabulka4[[#This Row],[Typ úlohy]]="Účet",GETPIVOTDATA("Součet z Celková hmotnost položek [kg]",$G$2,"Zkratka kalkulační položky",B1133,"Výrobce / Dodavatel",C1133),"")</f>
        <v/>
      </c>
      <c r="E1133" s="904" t="str">
        <f>IF(Tabulka4[[#This Row],[Typ úlohy]]="Účet",GETPIVOTDATA("Součet z Celková cena bez DPH (CZK)",$G$3,"Zkratka kalkulační položky",B1133,"Výrobce / Dodavatel",C1133),"")</f>
        <v/>
      </c>
    </row>
    <row r="1134" spans="1:5" x14ac:dyDescent="0.35">
      <c r="A1134" s="902" t="str">
        <f t="shared" si="18"/>
        <v/>
      </c>
      <c r="B1134" s="903" t="str">
        <f>IF(Tabulka4[[#This Row],[Typ úlohy]]="Součet",G1134,IF(Tabulka4[[#This Row],[Typ úlohy]]="Účet",B1133,""))</f>
        <v/>
      </c>
      <c r="C1134" s="903" t="str">
        <f>IF(Tabulka4[[#This Row],[Typ úlohy]]="Účet",H1134,"")</f>
        <v/>
      </c>
      <c r="D1134" s="903" t="str">
        <f>IF(Tabulka4[[#This Row],[Typ úlohy]]="Účet",GETPIVOTDATA("Součet z Celková hmotnost položek [kg]",$G$2,"Zkratka kalkulační položky",B1134,"Výrobce / Dodavatel",C1134),"")</f>
        <v/>
      </c>
      <c r="E1134" s="904" t="str">
        <f>IF(Tabulka4[[#This Row],[Typ úlohy]]="Účet",GETPIVOTDATA("Součet z Celková cena bez DPH (CZK)",$G$3,"Zkratka kalkulační položky",B1134,"Výrobce / Dodavatel",C1134),"")</f>
        <v/>
      </c>
    </row>
    <row r="1135" spans="1:5" x14ac:dyDescent="0.35">
      <c r="A1135" s="902" t="str">
        <f t="shared" si="18"/>
        <v/>
      </c>
      <c r="B1135" s="903" t="str">
        <f>IF(Tabulka4[[#This Row],[Typ úlohy]]="Součet",G1135,IF(Tabulka4[[#This Row],[Typ úlohy]]="Účet",B1134,""))</f>
        <v/>
      </c>
      <c r="C1135" s="903" t="str">
        <f>IF(Tabulka4[[#This Row],[Typ úlohy]]="Účet",H1135,"")</f>
        <v/>
      </c>
      <c r="D1135" s="903" t="str">
        <f>IF(Tabulka4[[#This Row],[Typ úlohy]]="Účet",GETPIVOTDATA("Součet z Celková hmotnost položek [kg]",$G$2,"Zkratka kalkulační položky",B1135,"Výrobce / Dodavatel",C1135),"")</f>
        <v/>
      </c>
      <c r="E1135" s="904" t="str">
        <f>IF(Tabulka4[[#This Row],[Typ úlohy]]="Účet",GETPIVOTDATA("Součet z Celková cena bez DPH (CZK)",$G$3,"Zkratka kalkulační položky",B1135,"Výrobce / Dodavatel",C1135),"")</f>
        <v/>
      </c>
    </row>
    <row r="1136" spans="1:5" x14ac:dyDescent="0.35">
      <c r="A1136" s="902" t="str">
        <f t="shared" si="18"/>
        <v/>
      </c>
      <c r="B1136" s="903" t="str">
        <f>IF(Tabulka4[[#This Row],[Typ úlohy]]="Součet",G1136,IF(Tabulka4[[#This Row],[Typ úlohy]]="Účet",B1135,""))</f>
        <v/>
      </c>
      <c r="C1136" s="903" t="str">
        <f>IF(Tabulka4[[#This Row],[Typ úlohy]]="Účet",H1136,"")</f>
        <v/>
      </c>
      <c r="D1136" s="903" t="str">
        <f>IF(Tabulka4[[#This Row],[Typ úlohy]]="Účet",GETPIVOTDATA("Součet z Celková hmotnost položek [kg]",$G$2,"Zkratka kalkulační položky",B1136,"Výrobce / Dodavatel",C1136),"")</f>
        <v/>
      </c>
      <c r="E1136" s="904" t="str">
        <f>IF(Tabulka4[[#This Row],[Typ úlohy]]="Účet",GETPIVOTDATA("Součet z Celková cena bez DPH (CZK)",$G$3,"Zkratka kalkulační položky",B1136,"Výrobce / Dodavatel",C1136),"")</f>
        <v/>
      </c>
    </row>
    <row r="1137" spans="1:5" x14ac:dyDescent="0.35">
      <c r="A1137" s="902" t="str">
        <f t="shared" si="18"/>
        <v/>
      </c>
      <c r="B1137" s="903" t="str">
        <f>IF(Tabulka4[[#This Row],[Typ úlohy]]="Součet",G1137,IF(Tabulka4[[#This Row],[Typ úlohy]]="Účet",B1136,""))</f>
        <v/>
      </c>
      <c r="C1137" s="903" t="str">
        <f>IF(Tabulka4[[#This Row],[Typ úlohy]]="Účet",H1137,"")</f>
        <v/>
      </c>
      <c r="D1137" s="903" t="str">
        <f>IF(Tabulka4[[#This Row],[Typ úlohy]]="Účet",GETPIVOTDATA("Součet z Celková hmotnost položek [kg]",$G$2,"Zkratka kalkulační položky",B1137,"Výrobce / Dodavatel",C1137),"")</f>
        <v/>
      </c>
      <c r="E1137" s="904" t="str">
        <f>IF(Tabulka4[[#This Row],[Typ úlohy]]="Účet",GETPIVOTDATA("Součet z Celková cena bez DPH (CZK)",$G$3,"Zkratka kalkulační položky",B1137,"Výrobce / Dodavatel",C1137),"")</f>
        <v/>
      </c>
    </row>
    <row r="1138" spans="1:5" x14ac:dyDescent="0.35">
      <c r="A1138" s="902" t="str">
        <f t="shared" si="18"/>
        <v/>
      </c>
      <c r="B1138" s="903" t="str">
        <f>IF(Tabulka4[[#This Row],[Typ úlohy]]="Součet",G1138,IF(Tabulka4[[#This Row],[Typ úlohy]]="Účet",B1137,""))</f>
        <v/>
      </c>
      <c r="C1138" s="903" t="str">
        <f>IF(Tabulka4[[#This Row],[Typ úlohy]]="Účet",H1138,"")</f>
        <v/>
      </c>
      <c r="D1138" s="903" t="str">
        <f>IF(Tabulka4[[#This Row],[Typ úlohy]]="Účet",GETPIVOTDATA("Součet z Celková hmotnost položek [kg]",$G$2,"Zkratka kalkulační položky",B1138,"Výrobce / Dodavatel",C1138),"")</f>
        <v/>
      </c>
      <c r="E1138" s="904" t="str">
        <f>IF(Tabulka4[[#This Row],[Typ úlohy]]="Účet",GETPIVOTDATA("Součet z Celková cena bez DPH (CZK)",$G$3,"Zkratka kalkulační položky",B1138,"Výrobce / Dodavatel",C1138),"")</f>
        <v/>
      </c>
    </row>
    <row r="1139" spans="1:5" x14ac:dyDescent="0.35">
      <c r="A1139" s="902" t="str">
        <f t="shared" si="18"/>
        <v/>
      </c>
      <c r="B1139" s="903" t="str">
        <f>IF(Tabulka4[[#This Row],[Typ úlohy]]="Součet",G1139,IF(Tabulka4[[#This Row],[Typ úlohy]]="Účet",B1138,""))</f>
        <v/>
      </c>
      <c r="C1139" s="903" t="str">
        <f>IF(Tabulka4[[#This Row],[Typ úlohy]]="Účet",H1139,"")</f>
        <v/>
      </c>
      <c r="D1139" s="903" t="str">
        <f>IF(Tabulka4[[#This Row],[Typ úlohy]]="Účet",GETPIVOTDATA("Součet z Celková hmotnost položek [kg]",$G$2,"Zkratka kalkulační položky",B1139,"Výrobce / Dodavatel",C1139),"")</f>
        <v/>
      </c>
      <c r="E1139" s="904" t="str">
        <f>IF(Tabulka4[[#This Row],[Typ úlohy]]="Účet",GETPIVOTDATA("Součet z Celková cena bez DPH (CZK)",$G$3,"Zkratka kalkulační položky",B1139,"Výrobce / Dodavatel",C1139),"")</f>
        <v/>
      </c>
    </row>
    <row r="1140" spans="1:5" x14ac:dyDescent="0.35">
      <c r="A1140" s="902" t="str">
        <f t="shared" si="18"/>
        <v/>
      </c>
      <c r="B1140" s="903" t="str">
        <f>IF(Tabulka4[[#This Row],[Typ úlohy]]="Součet",G1140,IF(Tabulka4[[#This Row],[Typ úlohy]]="Účet",B1139,""))</f>
        <v/>
      </c>
      <c r="C1140" s="903" t="str">
        <f>IF(Tabulka4[[#This Row],[Typ úlohy]]="Účet",H1140,"")</f>
        <v/>
      </c>
      <c r="D1140" s="903" t="str">
        <f>IF(Tabulka4[[#This Row],[Typ úlohy]]="Účet",GETPIVOTDATA("Součet z Celková hmotnost položek [kg]",$G$2,"Zkratka kalkulační položky",B1140,"Výrobce / Dodavatel",C1140),"")</f>
        <v/>
      </c>
      <c r="E1140" s="904" t="str">
        <f>IF(Tabulka4[[#This Row],[Typ úlohy]]="Účet",GETPIVOTDATA("Součet z Celková cena bez DPH (CZK)",$G$3,"Zkratka kalkulační položky",B1140,"Výrobce / Dodavatel",C1140),"")</f>
        <v/>
      </c>
    </row>
    <row r="1141" spans="1:5" x14ac:dyDescent="0.35">
      <c r="A1141" s="902" t="str">
        <f t="shared" si="18"/>
        <v/>
      </c>
      <c r="B1141" s="903" t="str">
        <f>IF(Tabulka4[[#This Row],[Typ úlohy]]="Součet",G1141,IF(Tabulka4[[#This Row],[Typ úlohy]]="Účet",B1140,""))</f>
        <v/>
      </c>
      <c r="C1141" s="903" t="str">
        <f>IF(Tabulka4[[#This Row],[Typ úlohy]]="Účet",H1141,"")</f>
        <v/>
      </c>
      <c r="D1141" s="903" t="str">
        <f>IF(Tabulka4[[#This Row],[Typ úlohy]]="Účet",GETPIVOTDATA("Součet z Celková hmotnost položek [kg]",$G$2,"Zkratka kalkulační položky",B1141,"Výrobce / Dodavatel",C1141),"")</f>
        <v/>
      </c>
      <c r="E1141" s="904" t="str">
        <f>IF(Tabulka4[[#This Row],[Typ úlohy]]="Účet",GETPIVOTDATA("Součet z Celková cena bez DPH (CZK)",$G$3,"Zkratka kalkulační položky",B1141,"Výrobce / Dodavatel",C1141),"")</f>
        <v/>
      </c>
    </row>
    <row r="1142" spans="1:5" x14ac:dyDescent="0.35">
      <c r="A1142" s="902" t="str">
        <f t="shared" si="18"/>
        <v/>
      </c>
      <c r="B1142" s="903" t="str">
        <f>IF(Tabulka4[[#This Row],[Typ úlohy]]="Součet",G1142,IF(Tabulka4[[#This Row],[Typ úlohy]]="Účet",B1141,""))</f>
        <v/>
      </c>
      <c r="C1142" s="903" t="str">
        <f>IF(Tabulka4[[#This Row],[Typ úlohy]]="Účet",H1142,"")</f>
        <v/>
      </c>
      <c r="D1142" s="903" t="str">
        <f>IF(Tabulka4[[#This Row],[Typ úlohy]]="Účet",GETPIVOTDATA("Součet z Celková hmotnost položek [kg]",$G$2,"Zkratka kalkulační položky",B1142,"Výrobce / Dodavatel",C1142),"")</f>
        <v/>
      </c>
      <c r="E1142" s="904" t="str">
        <f>IF(Tabulka4[[#This Row],[Typ úlohy]]="Účet",GETPIVOTDATA("Součet z Celková cena bez DPH (CZK)",$G$3,"Zkratka kalkulační položky",B1142,"Výrobce / Dodavatel",C1142),"")</f>
        <v/>
      </c>
    </row>
    <row r="1143" spans="1:5" x14ac:dyDescent="0.35">
      <c r="A1143" s="902" t="str">
        <f t="shared" si="18"/>
        <v/>
      </c>
      <c r="B1143" s="903" t="str">
        <f>IF(Tabulka4[[#This Row],[Typ úlohy]]="Součet",G1143,IF(Tabulka4[[#This Row],[Typ úlohy]]="Účet",B1142,""))</f>
        <v/>
      </c>
      <c r="C1143" s="903" t="str">
        <f>IF(Tabulka4[[#This Row],[Typ úlohy]]="Účet",H1143,"")</f>
        <v/>
      </c>
      <c r="D1143" s="903" t="str">
        <f>IF(Tabulka4[[#This Row],[Typ úlohy]]="Účet",GETPIVOTDATA("Součet z Celková hmotnost položek [kg]",$G$2,"Zkratka kalkulační položky",B1143,"Výrobce / Dodavatel",C1143),"")</f>
        <v/>
      </c>
      <c r="E1143" s="904" t="str">
        <f>IF(Tabulka4[[#This Row],[Typ úlohy]]="Účet",GETPIVOTDATA("Součet z Celková cena bez DPH (CZK)",$G$3,"Zkratka kalkulační položky",B1143,"Výrobce / Dodavatel",C1143),"")</f>
        <v/>
      </c>
    </row>
    <row r="1144" spans="1:5" x14ac:dyDescent="0.35">
      <c r="A1144" s="902" t="str">
        <f t="shared" si="18"/>
        <v/>
      </c>
      <c r="B1144" s="903" t="str">
        <f>IF(Tabulka4[[#This Row],[Typ úlohy]]="Součet",G1144,IF(Tabulka4[[#This Row],[Typ úlohy]]="Účet",B1143,""))</f>
        <v/>
      </c>
      <c r="C1144" s="903" t="str">
        <f>IF(Tabulka4[[#This Row],[Typ úlohy]]="Účet",H1144,"")</f>
        <v/>
      </c>
      <c r="D1144" s="903" t="str">
        <f>IF(Tabulka4[[#This Row],[Typ úlohy]]="Účet",GETPIVOTDATA("Součet z Celková hmotnost položek [kg]",$G$2,"Zkratka kalkulační položky",B1144,"Výrobce / Dodavatel",C1144),"")</f>
        <v/>
      </c>
      <c r="E1144" s="904" t="str">
        <f>IF(Tabulka4[[#This Row],[Typ úlohy]]="Účet",GETPIVOTDATA("Součet z Celková cena bez DPH (CZK)",$G$3,"Zkratka kalkulační položky",B1144,"Výrobce / Dodavatel",C1144),"")</f>
        <v/>
      </c>
    </row>
    <row r="1145" spans="1:5" x14ac:dyDescent="0.35">
      <c r="A1145" s="902" t="str">
        <f t="shared" si="18"/>
        <v/>
      </c>
      <c r="B1145" s="903" t="str">
        <f>IF(Tabulka4[[#This Row],[Typ úlohy]]="Součet",G1145,IF(Tabulka4[[#This Row],[Typ úlohy]]="Účet",B1144,""))</f>
        <v/>
      </c>
      <c r="C1145" s="903" t="str">
        <f>IF(Tabulka4[[#This Row],[Typ úlohy]]="Účet",H1145,"")</f>
        <v/>
      </c>
      <c r="D1145" s="903" t="str">
        <f>IF(Tabulka4[[#This Row],[Typ úlohy]]="Účet",GETPIVOTDATA("Součet z Celková hmotnost položek [kg]",$G$2,"Zkratka kalkulační položky",B1145,"Výrobce / Dodavatel",C1145),"")</f>
        <v/>
      </c>
      <c r="E1145" s="904" t="str">
        <f>IF(Tabulka4[[#This Row],[Typ úlohy]]="Účet",GETPIVOTDATA("Součet z Celková cena bez DPH (CZK)",$G$3,"Zkratka kalkulační položky",B1145,"Výrobce / Dodavatel",C1145),"")</f>
        <v/>
      </c>
    </row>
    <row r="1146" spans="1:5" x14ac:dyDescent="0.35">
      <c r="A1146" s="902" t="str">
        <f t="shared" si="18"/>
        <v/>
      </c>
      <c r="B1146" s="903" t="str">
        <f>IF(Tabulka4[[#This Row],[Typ úlohy]]="Součet",G1146,IF(Tabulka4[[#This Row],[Typ úlohy]]="Účet",B1145,""))</f>
        <v/>
      </c>
      <c r="C1146" s="903" t="str">
        <f>IF(Tabulka4[[#This Row],[Typ úlohy]]="Účet",H1146,"")</f>
        <v/>
      </c>
      <c r="D1146" s="903" t="str">
        <f>IF(Tabulka4[[#This Row],[Typ úlohy]]="Účet",GETPIVOTDATA("Součet z Celková hmotnost položek [kg]",$G$2,"Zkratka kalkulační položky",B1146,"Výrobce / Dodavatel",C1146),"")</f>
        <v/>
      </c>
      <c r="E1146" s="904" t="str">
        <f>IF(Tabulka4[[#This Row],[Typ úlohy]]="Účet",GETPIVOTDATA("Součet z Celková cena bez DPH (CZK)",$G$3,"Zkratka kalkulační položky",B1146,"Výrobce / Dodavatel",C1146),"")</f>
        <v/>
      </c>
    </row>
    <row r="1147" spans="1:5" x14ac:dyDescent="0.35">
      <c r="A1147" s="902" t="str">
        <f t="shared" si="18"/>
        <v/>
      </c>
      <c r="B1147" s="903" t="str">
        <f>IF(Tabulka4[[#This Row],[Typ úlohy]]="Součet",G1147,IF(Tabulka4[[#This Row],[Typ úlohy]]="Účet",B1146,""))</f>
        <v/>
      </c>
      <c r="C1147" s="903" t="str">
        <f>IF(Tabulka4[[#This Row],[Typ úlohy]]="Účet",H1147,"")</f>
        <v/>
      </c>
      <c r="D1147" s="903" t="str">
        <f>IF(Tabulka4[[#This Row],[Typ úlohy]]="Účet",GETPIVOTDATA("Součet z Celková hmotnost položek [kg]",$G$2,"Zkratka kalkulační položky",B1147,"Výrobce / Dodavatel",C1147),"")</f>
        <v/>
      </c>
      <c r="E1147" s="904" t="str">
        <f>IF(Tabulka4[[#This Row],[Typ úlohy]]="Účet",GETPIVOTDATA("Součet z Celková cena bez DPH (CZK)",$G$3,"Zkratka kalkulační položky",B1147,"Výrobce / Dodavatel",C1147),"")</f>
        <v/>
      </c>
    </row>
    <row r="1148" spans="1:5" x14ac:dyDescent="0.35">
      <c r="A1148" s="902" t="str">
        <f t="shared" si="18"/>
        <v/>
      </c>
      <c r="B1148" s="903" t="str">
        <f>IF(Tabulka4[[#This Row],[Typ úlohy]]="Součet",G1148,IF(Tabulka4[[#This Row],[Typ úlohy]]="Účet",B1147,""))</f>
        <v/>
      </c>
      <c r="C1148" s="903" t="str">
        <f>IF(Tabulka4[[#This Row],[Typ úlohy]]="Účet",H1148,"")</f>
        <v/>
      </c>
      <c r="D1148" s="903" t="str">
        <f>IF(Tabulka4[[#This Row],[Typ úlohy]]="Účet",GETPIVOTDATA("Součet z Celková hmotnost položek [kg]",$G$2,"Zkratka kalkulační položky",B1148,"Výrobce / Dodavatel",C1148),"")</f>
        <v/>
      </c>
      <c r="E1148" s="904" t="str">
        <f>IF(Tabulka4[[#This Row],[Typ úlohy]]="Účet",GETPIVOTDATA("Součet z Celková cena bez DPH (CZK)",$G$3,"Zkratka kalkulační položky",B1148,"Výrobce / Dodavatel",C1148),"")</f>
        <v/>
      </c>
    </row>
    <row r="1149" spans="1:5" x14ac:dyDescent="0.35">
      <c r="A1149" s="902" t="str">
        <f t="shared" si="18"/>
        <v/>
      </c>
      <c r="B1149" s="903" t="str">
        <f>IF(Tabulka4[[#This Row],[Typ úlohy]]="Součet",G1149,IF(Tabulka4[[#This Row],[Typ úlohy]]="Účet",B1148,""))</f>
        <v/>
      </c>
      <c r="C1149" s="903" t="str">
        <f>IF(Tabulka4[[#This Row],[Typ úlohy]]="Účet",H1149,"")</f>
        <v/>
      </c>
      <c r="D1149" s="903" t="str">
        <f>IF(Tabulka4[[#This Row],[Typ úlohy]]="Účet",GETPIVOTDATA("Součet z Celková hmotnost položek [kg]",$G$2,"Zkratka kalkulační položky",B1149,"Výrobce / Dodavatel",C1149),"")</f>
        <v/>
      </c>
      <c r="E1149" s="904" t="str">
        <f>IF(Tabulka4[[#This Row],[Typ úlohy]]="Účet",GETPIVOTDATA("Součet z Celková cena bez DPH (CZK)",$G$3,"Zkratka kalkulační položky",B1149,"Výrobce / Dodavatel",C1149),"")</f>
        <v/>
      </c>
    </row>
    <row r="1150" spans="1:5" x14ac:dyDescent="0.35">
      <c r="A1150" s="902" t="str">
        <f t="shared" si="18"/>
        <v/>
      </c>
      <c r="B1150" s="903" t="str">
        <f>IF(Tabulka4[[#This Row],[Typ úlohy]]="Součet",G1150,IF(Tabulka4[[#This Row],[Typ úlohy]]="Účet",B1149,""))</f>
        <v/>
      </c>
      <c r="C1150" s="903" t="str">
        <f>IF(Tabulka4[[#This Row],[Typ úlohy]]="Účet",H1150,"")</f>
        <v/>
      </c>
      <c r="D1150" s="903" t="str">
        <f>IF(Tabulka4[[#This Row],[Typ úlohy]]="Účet",GETPIVOTDATA("Součet z Celková hmotnost položek [kg]",$G$2,"Zkratka kalkulační položky",B1150,"Výrobce / Dodavatel",C1150),"")</f>
        <v/>
      </c>
      <c r="E1150" s="904" t="str">
        <f>IF(Tabulka4[[#This Row],[Typ úlohy]]="Účet",GETPIVOTDATA("Součet z Celková cena bez DPH (CZK)",$G$3,"Zkratka kalkulační položky",B1150,"Výrobce / Dodavatel",C1150),"")</f>
        <v/>
      </c>
    </row>
    <row r="1151" spans="1:5" x14ac:dyDescent="0.35">
      <c r="A1151" s="902" t="str">
        <f t="shared" si="18"/>
        <v/>
      </c>
      <c r="B1151" s="903" t="str">
        <f>IF(Tabulka4[[#This Row],[Typ úlohy]]="Součet",G1151,IF(Tabulka4[[#This Row],[Typ úlohy]]="Účet",B1150,""))</f>
        <v/>
      </c>
      <c r="C1151" s="903" t="str">
        <f>IF(Tabulka4[[#This Row],[Typ úlohy]]="Účet",H1151,"")</f>
        <v/>
      </c>
      <c r="D1151" s="903" t="str">
        <f>IF(Tabulka4[[#This Row],[Typ úlohy]]="Účet",GETPIVOTDATA("Součet z Celková hmotnost položek [kg]",$G$2,"Zkratka kalkulační položky",B1151,"Výrobce / Dodavatel",C1151),"")</f>
        <v/>
      </c>
      <c r="E1151" s="904" t="str">
        <f>IF(Tabulka4[[#This Row],[Typ úlohy]]="Účet",GETPIVOTDATA("Součet z Celková cena bez DPH (CZK)",$G$3,"Zkratka kalkulační položky",B1151,"Výrobce / Dodavatel",C1151),"")</f>
        <v/>
      </c>
    </row>
    <row r="1152" spans="1:5" x14ac:dyDescent="0.35">
      <c r="A1152" s="902" t="str">
        <f t="shared" si="18"/>
        <v/>
      </c>
      <c r="B1152" s="903" t="str">
        <f>IF(Tabulka4[[#This Row],[Typ úlohy]]="Součet",G1152,IF(Tabulka4[[#This Row],[Typ úlohy]]="Účet",B1151,""))</f>
        <v/>
      </c>
      <c r="C1152" s="903" t="str">
        <f>IF(Tabulka4[[#This Row],[Typ úlohy]]="Účet",H1152,"")</f>
        <v/>
      </c>
      <c r="D1152" s="903" t="str">
        <f>IF(Tabulka4[[#This Row],[Typ úlohy]]="Účet",GETPIVOTDATA("Součet z Celková hmotnost položek [kg]",$G$2,"Zkratka kalkulační položky",B1152,"Výrobce / Dodavatel",C1152),"")</f>
        <v/>
      </c>
      <c r="E1152" s="904" t="str">
        <f>IF(Tabulka4[[#This Row],[Typ úlohy]]="Účet",GETPIVOTDATA("Součet z Celková cena bez DPH (CZK)",$G$3,"Zkratka kalkulační položky",B1152,"Výrobce / Dodavatel",C1152),"")</f>
        <v/>
      </c>
    </row>
    <row r="1153" spans="1:5" x14ac:dyDescent="0.35">
      <c r="A1153" s="902" t="str">
        <f t="shared" si="18"/>
        <v/>
      </c>
      <c r="B1153" s="903" t="str">
        <f>IF(Tabulka4[[#This Row],[Typ úlohy]]="Součet",G1153,IF(Tabulka4[[#This Row],[Typ úlohy]]="Účet",B1152,""))</f>
        <v/>
      </c>
      <c r="C1153" s="903" t="str">
        <f>IF(Tabulka4[[#This Row],[Typ úlohy]]="Účet",H1153,"")</f>
        <v/>
      </c>
      <c r="D1153" s="903" t="str">
        <f>IF(Tabulka4[[#This Row],[Typ úlohy]]="Účet",GETPIVOTDATA("Součet z Celková hmotnost položek [kg]",$G$2,"Zkratka kalkulační položky",B1153,"Výrobce / Dodavatel",C1153),"")</f>
        <v/>
      </c>
      <c r="E1153" s="904" t="str">
        <f>IF(Tabulka4[[#This Row],[Typ úlohy]]="Účet",GETPIVOTDATA("Součet z Celková cena bez DPH (CZK)",$G$3,"Zkratka kalkulační položky",B1153,"Výrobce / Dodavatel",C1153),"")</f>
        <v/>
      </c>
    </row>
    <row r="1154" spans="1:5" x14ac:dyDescent="0.35">
      <c r="A1154" s="902" t="str">
        <f t="shared" si="18"/>
        <v/>
      </c>
      <c r="B1154" s="903" t="str">
        <f>IF(Tabulka4[[#This Row],[Typ úlohy]]="Součet",G1154,IF(Tabulka4[[#This Row],[Typ úlohy]]="Účet",B1153,""))</f>
        <v/>
      </c>
      <c r="C1154" s="903" t="str">
        <f>IF(Tabulka4[[#This Row],[Typ úlohy]]="Účet",H1154,"")</f>
        <v/>
      </c>
      <c r="D1154" s="903" t="str">
        <f>IF(Tabulka4[[#This Row],[Typ úlohy]]="Účet",GETPIVOTDATA("Součet z Celková hmotnost položek [kg]",$G$2,"Zkratka kalkulační položky",B1154,"Výrobce / Dodavatel",C1154),"")</f>
        <v/>
      </c>
      <c r="E1154" s="904" t="str">
        <f>IF(Tabulka4[[#This Row],[Typ úlohy]]="Účet",GETPIVOTDATA("Součet z Celková cena bez DPH (CZK)",$G$3,"Zkratka kalkulační položky",B1154,"Výrobce / Dodavatel",C1154),"")</f>
        <v/>
      </c>
    </row>
    <row r="1155" spans="1:5" x14ac:dyDescent="0.35">
      <c r="A1155" s="902" t="str">
        <f t="shared" si="18"/>
        <v/>
      </c>
      <c r="B1155" s="903" t="str">
        <f>IF(Tabulka4[[#This Row],[Typ úlohy]]="Součet",G1155,IF(Tabulka4[[#This Row],[Typ úlohy]]="Účet",B1154,""))</f>
        <v/>
      </c>
      <c r="C1155" s="903" t="str">
        <f>IF(Tabulka4[[#This Row],[Typ úlohy]]="Účet",H1155,"")</f>
        <v/>
      </c>
      <c r="D1155" s="903" t="str">
        <f>IF(Tabulka4[[#This Row],[Typ úlohy]]="Účet",GETPIVOTDATA("Součet z Celková hmotnost položek [kg]",$G$2,"Zkratka kalkulační položky",B1155,"Výrobce / Dodavatel",C1155),"")</f>
        <v/>
      </c>
      <c r="E1155" s="904" t="str">
        <f>IF(Tabulka4[[#This Row],[Typ úlohy]]="Účet",GETPIVOTDATA("Součet z Celková cena bez DPH (CZK)",$G$3,"Zkratka kalkulační položky",B1155,"Výrobce / Dodavatel",C1155),"")</f>
        <v/>
      </c>
    </row>
    <row r="1156" spans="1:5" x14ac:dyDescent="0.35">
      <c r="A1156" s="902" t="str">
        <f t="shared" si="18"/>
        <v/>
      </c>
      <c r="B1156" s="903" t="str">
        <f>IF(Tabulka4[[#This Row],[Typ úlohy]]="Součet",G1156,IF(Tabulka4[[#This Row],[Typ úlohy]]="Účet",B1155,""))</f>
        <v/>
      </c>
      <c r="C1156" s="903" t="str">
        <f>IF(Tabulka4[[#This Row],[Typ úlohy]]="Účet",H1156,"")</f>
        <v/>
      </c>
      <c r="D1156" s="903" t="str">
        <f>IF(Tabulka4[[#This Row],[Typ úlohy]]="Účet",GETPIVOTDATA("Součet z Celková hmotnost položek [kg]",$G$2,"Zkratka kalkulační položky",B1156,"Výrobce / Dodavatel",C1156),"")</f>
        <v/>
      </c>
      <c r="E1156" s="904" t="str">
        <f>IF(Tabulka4[[#This Row],[Typ úlohy]]="Účet",GETPIVOTDATA("Součet z Celková cena bez DPH (CZK)",$G$3,"Zkratka kalkulační položky",B1156,"Výrobce / Dodavatel",C1156),"")</f>
        <v/>
      </c>
    </row>
    <row r="1157" spans="1:5" x14ac:dyDescent="0.35">
      <c r="A1157" s="902" t="str">
        <f t="shared" ref="A1157:A1220" si="19">IF(H1157="",IF(G1157="","","Součet"),"Účet")</f>
        <v/>
      </c>
      <c r="B1157" s="903" t="str">
        <f>IF(Tabulka4[[#This Row],[Typ úlohy]]="Součet",G1157,IF(Tabulka4[[#This Row],[Typ úlohy]]="Účet",B1156,""))</f>
        <v/>
      </c>
      <c r="C1157" s="903" t="str">
        <f>IF(Tabulka4[[#This Row],[Typ úlohy]]="Účet",H1157,"")</f>
        <v/>
      </c>
      <c r="D1157" s="903" t="str">
        <f>IF(Tabulka4[[#This Row],[Typ úlohy]]="Účet",GETPIVOTDATA("Součet z Celková hmotnost položek [kg]",$G$2,"Zkratka kalkulační položky",B1157,"Výrobce / Dodavatel",C1157),"")</f>
        <v/>
      </c>
      <c r="E1157" s="904" t="str">
        <f>IF(Tabulka4[[#This Row],[Typ úlohy]]="Účet",GETPIVOTDATA("Součet z Celková cena bez DPH (CZK)",$G$3,"Zkratka kalkulační položky",B1157,"Výrobce / Dodavatel",C1157),"")</f>
        <v/>
      </c>
    </row>
    <row r="1158" spans="1:5" x14ac:dyDescent="0.35">
      <c r="A1158" s="902" t="str">
        <f t="shared" si="19"/>
        <v/>
      </c>
      <c r="B1158" s="903" t="str">
        <f>IF(Tabulka4[[#This Row],[Typ úlohy]]="Součet",G1158,IF(Tabulka4[[#This Row],[Typ úlohy]]="Účet",B1157,""))</f>
        <v/>
      </c>
      <c r="C1158" s="903" t="str">
        <f>IF(Tabulka4[[#This Row],[Typ úlohy]]="Účet",H1158,"")</f>
        <v/>
      </c>
      <c r="D1158" s="903" t="str">
        <f>IF(Tabulka4[[#This Row],[Typ úlohy]]="Účet",GETPIVOTDATA("Součet z Celková hmotnost položek [kg]",$G$2,"Zkratka kalkulační položky",B1158,"Výrobce / Dodavatel",C1158),"")</f>
        <v/>
      </c>
      <c r="E1158" s="904" t="str">
        <f>IF(Tabulka4[[#This Row],[Typ úlohy]]="Účet",GETPIVOTDATA("Součet z Celková cena bez DPH (CZK)",$G$3,"Zkratka kalkulační položky",B1158,"Výrobce / Dodavatel",C1158),"")</f>
        <v/>
      </c>
    </row>
    <row r="1159" spans="1:5" x14ac:dyDescent="0.35">
      <c r="A1159" s="902" t="str">
        <f t="shared" si="19"/>
        <v/>
      </c>
      <c r="B1159" s="903" t="str">
        <f>IF(Tabulka4[[#This Row],[Typ úlohy]]="Součet",G1159,IF(Tabulka4[[#This Row],[Typ úlohy]]="Účet",B1158,""))</f>
        <v/>
      </c>
      <c r="C1159" s="903" t="str">
        <f>IF(Tabulka4[[#This Row],[Typ úlohy]]="Účet",H1159,"")</f>
        <v/>
      </c>
      <c r="D1159" s="903" t="str">
        <f>IF(Tabulka4[[#This Row],[Typ úlohy]]="Účet",GETPIVOTDATA("Součet z Celková hmotnost položek [kg]",$G$2,"Zkratka kalkulační položky",B1159,"Výrobce / Dodavatel",C1159),"")</f>
        <v/>
      </c>
      <c r="E1159" s="904" t="str">
        <f>IF(Tabulka4[[#This Row],[Typ úlohy]]="Účet",GETPIVOTDATA("Součet z Celková cena bez DPH (CZK)",$G$3,"Zkratka kalkulační položky",B1159,"Výrobce / Dodavatel",C1159),"")</f>
        <v/>
      </c>
    </row>
    <row r="1160" spans="1:5" x14ac:dyDescent="0.35">
      <c r="A1160" s="902" t="str">
        <f t="shared" si="19"/>
        <v/>
      </c>
      <c r="B1160" s="903" t="str">
        <f>IF(Tabulka4[[#This Row],[Typ úlohy]]="Součet",G1160,IF(Tabulka4[[#This Row],[Typ úlohy]]="Účet",B1159,""))</f>
        <v/>
      </c>
      <c r="C1160" s="903" t="str">
        <f>IF(Tabulka4[[#This Row],[Typ úlohy]]="Účet",H1160,"")</f>
        <v/>
      </c>
      <c r="D1160" s="903" t="str">
        <f>IF(Tabulka4[[#This Row],[Typ úlohy]]="Účet",GETPIVOTDATA("Součet z Celková hmotnost položek [kg]",$G$2,"Zkratka kalkulační položky",B1160,"Výrobce / Dodavatel",C1160),"")</f>
        <v/>
      </c>
      <c r="E1160" s="904" t="str">
        <f>IF(Tabulka4[[#This Row],[Typ úlohy]]="Účet",GETPIVOTDATA("Součet z Celková cena bez DPH (CZK)",$G$3,"Zkratka kalkulační položky",B1160,"Výrobce / Dodavatel",C1160),"")</f>
        <v/>
      </c>
    </row>
    <row r="1161" spans="1:5" x14ac:dyDescent="0.35">
      <c r="A1161" s="902" t="str">
        <f t="shared" si="19"/>
        <v/>
      </c>
      <c r="B1161" s="903" t="str">
        <f>IF(Tabulka4[[#This Row],[Typ úlohy]]="Součet",G1161,IF(Tabulka4[[#This Row],[Typ úlohy]]="Účet",B1160,""))</f>
        <v/>
      </c>
      <c r="C1161" s="903" t="str">
        <f>IF(Tabulka4[[#This Row],[Typ úlohy]]="Účet",H1161,"")</f>
        <v/>
      </c>
      <c r="D1161" s="903" t="str">
        <f>IF(Tabulka4[[#This Row],[Typ úlohy]]="Účet",GETPIVOTDATA("Součet z Celková hmotnost položek [kg]",$G$2,"Zkratka kalkulační položky",B1161,"Výrobce / Dodavatel",C1161),"")</f>
        <v/>
      </c>
      <c r="E1161" s="904" t="str">
        <f>IF(Tabulka4[[#This Row],[Typ úlohy]]="Účet",GETPIVOTDATA("Součet z Celková cena bez DPH (CZK)",$G$3,"Zkratka kalkulační položky",B1161,"Výrobce / Dodavatel",C1161),"")</f>
        <v/>
      </c>
    </row>
    <row r="1162" spans="1:5" x14ac:dyDescent="0.35">
      <c r="A1162" s="902" t="str">
        <f t="shared" si="19"/>
        <v/>
      </c>
      <c r="B1162" s="903" t="str">
        <f>IF(Tabulka4[[#This Row],[Typ úlohy]]="Součet",G1162,IF(Tabulka4[[#This Row],[Typ úlohy]]="Účet",B1161,""))</f>
        <v/>
      </c>
      <c r="C1162" s="903" t="str">
        <f>IF(Tabulka4[[#This Row],[Typ úlohy]]="Účet",H1162,"")</f>
        <v/>
      </c>
      <c r="D1162" s="903" t="str">
        <f>IF(Tabulka4[[#This Row],[Typ úlohy]]="Účet",GETPIVOTDATA("Součet z Celková hmotnost položek [kg]",$G$2,"Zkratka kalkulační položky",B1162,"Výrobce / Dodavatel",C1162),"")</f>
        <v/>
      </c>
      <c r="E1162" s="904" t="str">
        <f>IF(Tabulka4[[#This Row],[Typ úlohy]]="Účet",GETPIVOTDATA("Součet z Celková cena bez DPH (CZK)",$G$3,"Zkratka kalkulační položky",B1162,"Výrobce / Dodavatel",C1162),"")</f>
        <v/>
      </c>
    </row>
    <row r="1163" spans="1:5" x14ac:dyDescent="0.35">
      <c r="A1163" s="902" t="str">
        <f t="shared" si="19"/>
        <v/>
      </c>
      <c r="B1163" s="903" t="str">
        <f>IF(Tabulka4[[#This Row],[Typ úlohy]]="Součet",G1163,IF(Tabulka4[[#This Row],[Typ úlohy]]="Účet",B1162,""))</f>
        <v/>
      </c>
      <c r="C1163" s="903" t="str">
        <f>IF(Tabulka4[[#This Row],[Typ úlohy]]="Účet",H1163,"")</f>
        <v/>
      </c>
      <c r="D1163" s="903" t="str">
        <f>IF(Tabulka4[[#This Row],[Typ úlohy]]="Účet",GETPIVOTDATA("Součet z Celková hmotnost položek [kg]",$G$2,"Zkratka kalkulační položky",B1163,"Výrobce / Dodavatel",C1163),"")</f>
        <v/>
      </c>
      <c r="E1163" s="904" t="str">
        <f>IF(Tabulka4[[#This Row],[Typ úlohy]]="Účet",GETPIVOTDATA("Součet z Celková cena bez DPH (CZK)",$G$3,"Zkratka kalkulační položky",B1163,"Výrobce / Dodavatel",C1163),"")</f>
        <v/>
      </c>
    </row>
    <row r="1164" spans="1:5" x14ac:dyDescent="0.35">
      <c r="A1164" s="902" t="str">
        <f t="shared" si="19"/>
        <v/>
      </c>
      <c r="B1164" s="903" t="str">
        <f>IF(Tabulka4[[#This Row],[Typ úlohy]]="Součet",G1164,IF(Tabulka4[[#This Row],[Typ úlohy]]="Účet",B1163,""))</f>
        <v/>
      </c>
      <c r="C1164" s="903" t="str">
        <f>IF(Tabulka4[[#This Row],[Typ úlohy]]="Účet",H1164,"")</f>
        <v/>
      </c>
      <c r="D1164" s="903" t="str">
        <f>IF(Tabulka4[[#This Row],[Typ úlohy]]="Účet",GETPIVOTDATA("Součet z Celková hmotnost položek [kg]",$G$2,"Zkratka kalkulační položky",B1164,"Výrobce / Dodavatel",C1164),"")</f>
        <v/>
      </c>
      <c r="E1164" s="904" t="str">
        <f>IF(Tabulka4[[#This Row],[Typ úlohy]]="Účet",GETPIVOTDATA("Součet z Celková cena bez DPH (CZK)",$G$3,"Zkratka kalkulační položky",B1164,"Výrobce / Dodavatel",C1164),"")</f>
        <v/>
      </c>
    </row>
    <row r="1165" spans="1:5" x14ac:dyDescent="0.35">
      <c r="A1165" s="902" t="str">
        <f t="shared" si="19"/>
        <v/>
      </c>
      <c r="B1165" s="903" t="str">
        <f>IF(Tabulka4[[#This Row],[Typ úlohy]]="Součet",G1165,IF(Tabulka4[[#This Row],[Typ úlohy]]="Účet",B1164,""))</f>
        <v/>
      </c>
      <c r="C1165" s="903" t="str">
        <f>IF(Tabulka4[[#This Row],[Typ úlohy]]="Účet",H1165,"")</f>
        <v/>
      </c>
      <c r="D1165" s="903" t="str">
        <f>IF(Tabulka4[[#This Row],[Typ úlohy]]="Účet",GETPIVOTDATA("Součet z Celková hmotnost položek [kg]",$G$2,"Zkratka kalkulační položky",B1165,"Výrobce / Dodavatel",C1165),"")</f>
        <v/>
      </c>
      <c r="E1165" s="904" t="str">
        <f>IF(Tabulka4[[#This Row],[Typ úlohy]]="Účet",GETPIVOTDATA("Součet z Celková cena bez DPH (CZK)",$G$3,"Zkratka kalkulační položky",B1165,"Výrobce / Dodavatel",C1165),"")</f>
        <v/>
      </c>
    </row>
    <row r="1166" spans="1:5" x14ac:dyDescent="0.35">
      <c r="A1166" s="902" t="str">
        <f t="shared" si="19"/>
        <v/>
      </c>
      <c r="B1166" s="903" t="str">
        <f>IF(Tabulka4[[#This Row],[Typ úlohy]]="Součet",G1166,IF(Tabulka4[[#This Row],[Typ úlohy]]="Účet",B1165,""))</f>
        <v/>
      </c>
      <c r="C1166" s="903" t="str">
        <f>IF(Tabulka4[[#This Row],[Typ úlohy]]="Účet",H1166,"")</f>
        <v/>
      </c>
      <c r="D1166" s="903" t="str">
        <f>IF(Tabulka4[[#This Row],[Typ úlohy]]="Účet",GETPIVOTDATA("Součet z Celková hmotnost položek [kg]",$G$2,"Zkratka kalkulační položky",B1166,"Výrobce / Dodavatel",C1166),"")</f>
        <v/>
      </c>
      <c r="E1166" s="904" t="str">
        <f>IF(Tabulka4[[#This Row],[Typ úlohy]]="Účet",GETPIVOTDATA("Součet z Celková cena bez DPH (CZK)",$G$3,"Zkratka kalkulační položky",B1166,"Výrobce / Dodavatel",C1166),"")</f>
        <v/>
      </c>
    </row>
    <row r="1167" spans="1:5" x14ac:dyDescent="0.35">
      <c r="A1167" s="902" t="str">
        <f t="shared" si="19"/>
        <v/>
      </c>
      <c r="B1167" s="903" t="str">
        <f>IF(Tabulka4[[#This Row],[Typ úlohy]]="Součet",G1167,IF(Tabulka4[[#This Row],[Typ úlohy]]="Účet",B1166,""))</f>
        <v/>
      </c>
      <c r="C1167" s="903" t="str">
        <f>IF(Tabulka4[[#This Row],[Typ úlohy]]="Účet",H1167,"")</f>
        <v/>
      </c>
      <c r="D1167" s="903" t="str">
        <f>IF(Tabulka4[[#This Row],[Typ úlohy]]="Účet",GETPIVOTDATA("Součet z Celková hmotnost položek [kg]",$G$2,"Zkratka kalkulační položky",B1167,"Výrobce / Dodavatel",C1167),"")</f>
        <v/>
      </c>
      <c r="E1167" s="904" t="str">
        <f>IF(Tabulka4[[#This Row],[Typ úlohy]]="Účet",GETPIVOTDATA("Součet z Celková cena bez DPH (CZK)",$G$3,"Zkratka kalkulační položky",B1167,"Výrobce / Dodavatel",C1167),"")</f>
        <v/>
      </c>
    </row>
    <row r="1168" spans="1:5" x14ac:dyDescent="0.35">
      <c r="A1168" s="902" t="str">
        <f t="shared" si="19"/>
        <v/>
      </c>
      <c r="B1168" s="903" t="str">
        <f>IF(Tabulka4[[#This Row],[Typ úlohy]]="Součet",G1168,IF(Tabulka4[[#This Row],[Typ úlohy]]="Účet",B1167,""))</f>
        <v/>
      </c>
      <c r="C1168" s="903" t="str">
        <f>IF(Tabulka4[[#This Row],[Typ úlohy]]="Účet",H1168,"")</f>
        <v/>
      </c>
      <c r="D1168" s="903" t="str">
        <f>IF(Tabulka4[[#This Row],[Typ úlohy]]="Účet",GETPIVOTDATA("Součet z Celková hmotnost položek [kg]",$G$2,"Zkratka kalkulační položky",B1168,"Výrobce / Dodavatel",C1168),"")</f>
        <v/>
      </c>
      <c r="E1168" s="904" t="str">
        <f>IF(Tabulka4[[#This Row],[Typ úlohy]]="Účet",GETPIVOTDATA("Součet z Celková cena bez DPH (CZK)",$G$3,"Zkratka kalkulační položky",B1168,"Výrobce / Dodavatel",C1168),"")</f>
        <v/>
      </c>
    </row>
    <row r="1169" spans="1:5" x14ac:dyDescent="0.35">
      <c r="A1169" s="902" t="str">
        <f t="shared" si="19"/>
        <v/>
      </c>
      <c r="B1169" s="903" t="str">
        <f>IF(Tabulka4[[#This Row],[Typ úlohy]]="Součet",G1169,IF(Tabulka4[[#This Row],[Typ úlohy]]="Účet",B1168,""))</f>
        <v/>
      </c>
      <c r="C1169" s="903" t="str">
        <f>IF(Tabulka4[[#This Row],[Typ úlohy]]="Účet",H1169,"")</f>
        <v/>
      </c>
      <c r="D1169" s="903" t="str">
        <f>IF(Tabulka4[[#This Row],[Typ úlohy]]="Účet",GETPIVOTDATA("Součet z Celková hmotnost položek [kg]",$G$2,"Zkratka kalkulační položky",B1169,"Výrobce / Dodavatel",C1169),"")</f>
        <v/>
      </c>
      <c r="E1169" s="904" t="str">
        <f>IF(Tabulka4[[#This Row],[Typ úlohy]]="Účet",GETPIVOTDATA("Součet z Celková cena bez DPH (CZK)",$G$3,"Zkratka kalkulační položky",B1169,"Výrobce / Dodavatel",C1169),"")</f>
        <v/>
      </c>
    </row>
    <row r="1170" spans="1:5" x14ac:dyDescent="0.35">
      <c r="A1170" s="902" t="str">
        <f t="shared" si="19"/>
        <v/>
      </c>
      <c r="B1170" s="903" t="str">
        <f>IF(Tabulka4[[#This Row],[Typ úlohy]]="Součet",G1170,IF(Tabulka4[[#This Row],[Typ úlohy]]="Účet",B1169,""))</f>
        <v/>
      </c>
      <c r="C1170" s="903" t="str">
        <f>IF(Tabulka4[[#This Row],[Typ úlohy]]="Účet",H1170,"")</f>
        <v/>
      </c>
      <c r="D1170" s="903" t="str">
        <f>IF(Tabulka4[[#This Row],[Typ úlohy]]="Účet",GETPIVOTDATA("Součet z Celková hmotnost položek [kg]",$G$2,"Zkratka kalkulační položky",B1170,"Výrobce / Dodavatel",C1170),"")</f>
        <v/>
      </c>
      <c r="E1170" s="904" t="str">
        <f>IF(Tabulka4[[#This Row],[Typ úlohy]]="Účet",GETPIVOTDATA("Součet z Celková cena bez DPH (CZK)",$G$3,"Zkratka kalkulační položky",B1170,"Výrobce / Dodavatel",C1170),"")</f>
        <v/>
      </c>
    </row>
    <row r="1171" spans="1:5" x14ac:dyDescent="0.35">
      <c r="A1171" s="902" t="str">
        <f t="shared" si="19"/>
        <v/>
      </c>
      <c r="B1171" s="903" t="str">
        <f>IF(Tabulka4[[#This Row],[Typ úlohy]]="Součet",G1171,IF(Tabulka4[[#This Row],[Typ úlohy]]="Účet",B1170,""))</f>
        <v/>
      </c>
      <c r="C1171" s="903" t="str">
        <f>IF(Tabulka4[[#This Row],[Typ úlohy]]="Účet",H1171,"")</f>
        <v/>
      </c>
      <c r="D1171" s="903" t="str">
        <f>IF(Tabulka4[[#This Row],[Typ úlohy]]="Účet",GETPIVOTDATA("Součet z Celková hmotnost položek [kg]",$G$2,"Zkratka kalkulační položky",B1171,"Výrobce / Dodavatel",C1171),"")</f>
        <v/>
      </c>
      <c r="E1171" s="904" t="str">
        <f>IF(Tabulka4[[#This Row],[Typ úlohy]]="Účet",GETPIVOTDATA("Součet z Celková cena bez DPH (CZK)",$G$3,"Zkratka kalkulační položky",B1171,"Výrobce / Dodavatel",C1171),"")</f>
        <v/>
      </c>
    </row>
    <row r="1172" spans="1:5" x14ac:dyDescent="0.35">
      <c r="A1172" s="902" t="str">
        <f t="shared" si="19"/>
        <v/>
      </c>
      <c r="B1172" s="903" t="str">
        <f>IF(Tabulka4[[#This Row],[Typ úlohy]]="Součet",G1172,IF(Tabulka4[[#This Row],[Typ úlohy]]="Účet",B1171,""))</f>
        <v/>
      </c>
      <c r="C1172" s="903" t="str">
        <f>IF(Tabulka4[[#This Row],[Typ úlohy]]="Účet",H1172,"")</f>
        <v/>
      </c>
      <c r="D1172" s="903" t="str">
        <f>IF(Tabulka4[[#This Row],[Typ úlohy]]="Účet",GETPIVOTDATA("Součet z Celková hmotnost položek [kg]",$G$2,"Zkratka kalkulační položky",B1172,"Výrobce / Dodavatel",C1172),"")</f>
        <v/>
      </c>
      <c r="E1172" s="904" t="str">
        <f>IF(Tabulka4[[#This Row],[Typ úlohy]]="Účet",GETPIVOTDATA("Součet z Celková cena bez DPH (CZK)",$G$3,"Zkratka kalkulační položky",B1172,"Výrobce / Dodavatel",C1172),"")</f>
        <v/>
      </c>
    </row>
    <row r="1173" spans="1:5" x14ac:dyDescent="0.35">
      <c r="A1173" s="902" t="str">
        <f t="shared" si="19"/>
        <v/>
      </c>
      <c r="B1173" s="903" t="str">
        <f>IF(Tabulka4[[#This Row],[Typ úlohy]]="Součet",G1173,IF(Tabulka4[[#This Row],[Typ úlohy]]="Účet",B1172,""))</f>
        <v/>
      </c>
      <c r="C1173" s="903" t="str">
        <f>IF(Tabulka4[[#This Row],[Typ úlohy]]="Účet",H1173,"")</f>
        <v/>
      </c>
      <c r="D1173" s="903" t="str">
        <f>IF(Tabulka4[[#This Row],[Typ úlohy]]="Účet",GETPIVOTDATA("Součet z Celková hmotnost položek [kg]",$G$2,"Zkratka kalkulační položky",B1173,"Výrobce / Dodavatel",C1173),"")</f>
        <v/>
      </c>
      <c r="E1173" s="904" t="str">
        <f>IF(Tabulka4[[#This Row],[Typ úlohy]]="Účet",GETPIVOTDATA("Součet z Celková cena bez DPH (CZK)",$G$3,"Zkratka kalkulační položky",B1173,"Výrobce / Dodavatel",C1173),"")</f>
        <v/>
      </c>
    </row>
    <row r="1174" spans="1:5" x14ac:dyDescent="0.35">
      <c r="A1174" s="902" t="str">
        <f t="shared" si="19"/>
        <v/>
      </c>
      <c r="B1174" s="903" t="str">
        <f>IF(Tabulka4[[#This Row],[Typ úlohy]]="Součet",G1174,IF(Tabulka4[[#This Row],[Typ úlohy]]="Účet",B1173,""))</f>
        <v/>
      </c>
      <c r="C1174" s="903" t="str">
        <f>IF(Tabulka4[[#This Row],[Typ úlohy]]="Účet",H1174,"")</f>
        <v/>
      </c>
      <c r="D1174" s="903" t="str">
        <f>IF(Tabulka4[[#This Row],[Typ úlohy]]="Účet",GETPIVOTDATA("Součet z Celková hmotnost položek [kg]",$G$2,"Zkratka kalkulační položky",B1174,"Výrobce / Dodavatel",C1174),"")</f>
        <v/>
      </c>
      <c r="E1174" s="904" t="str">
        <f>IF(Tabulka4[[#This Row],[Typ úlohy]]="Účet",GETPIVOTDATA("Součet z Celková cena bez DPH (CZK)",$G$3,"Zkratka kalkulační položky",B1174,"Výrobce / Dodavatel",C1174),"")</f>
        <v/>
      </c>
    </row>
    <row r="1175" spans="1:5" x14ac:dyDescent="0.35">
      <c r="A1175" s="902" t="str">
        <f t="shared" si="19"/>
        <v/>
      </c>
      <c r="B1175" s="903" t="str">
        <f>IF(Tabulka4[[#This Row],[Typ úlohy]]="Součet",G1175,IF(Tabulka4[[#This Row],[Typ úlohy]]="Účet",B1174,""))</f>
        <v/>
      </c>
      <c r="C1175" s="903" t="str">
        <f>IF(Tabulka4[[#This Row],[Typ úlohy]]="Účet",H1175,"")</f>
        <v/>
      </c>
      <c r="D1175" s="903" t="str">
        <f>IF(Tabulka4[[#This Row],[Typ úlohy]]="Účet",GETPIVOTDATA("Součet z Celková hmotnost položek [kg]",$G$2,"Zkratka kalkulační položky",B1175,"Výrobce / Dodavatel",C1175),"")</f>
        <v/>
      </c>
      <c r="E1175" s="904" t="str">
        <f>IF(Tabulka4[[#This Row],[Typ úlohy]]="Účet",GETPIVOTDATA("Součet z Celková cena bez DPH (CZK)",$G$3,"Zkratka kalkulační položky",B1175,"Výrobce / Dodavatel",C1175),"")</f>
        <v/>
      </c>
    </row>
    <row r="1176" spans="1:5" x14ac:dyDescent="0.35">
      <c r="A1176" s="902" t="str">
        <f t="shared" si="19"/>
        <v/>
      </c>
      <c r="B1176" s="903" t="str">
        <f>IF(Tabulka4[[#This Row],[Typ úlohy]]="Součet",G1176,IF(Tabulka4[[#This Row],[Typ úlohy]]="Účet",B1175,""))</f>
        <v/>
      </c>
      <c r="C1176" s="903" t="str">
        <f>IF(Tabulka4[[#This Row],[Typ úlohy]]="Účet",H1176,"")</f>
        <v/>
      </c>
      <c r="D1176" s="903" t="str">
        <f>IF(Tabulka4[[#This Row],[Typ úlohy]]="Účet",GETPIVOTDATA("Součet z Celková hmotnost položek [kg]",$G$2,"Zkratka kalkulační položky",B1176,"Výrobce / Dodavatel",C1176),"")</f>
        <v/>
      </c>
      <c r="E1176" s="904" t="str">
        <f>IF(Tabulka4[[#This Row],[Typ úlohy]]="Účet",GETPIVOTDATA("Součet z Celková cena bez DPH (CZK)",$G$3,"Zkratka kalkulační položky",B1176,"Výrobce / Dodavatel",C1176),"")</f>
        <v/>
      </c>
    </row>
    <row r="1177" spans="1:5" x14ac:dyDescent="0.35">
      <c r="A1177" s="902" t="str">
        <f t="shared" si="19"/>
        <v/>
      </c>
      <c r="B1177" s="903" t="str">
        <f>IF(Tabulka4[[#This Row],[Typ úlohy]]="Součet",G1177,IF(Tabulka4[[#This Row],[Typ úlohy]]="Účet",B1176,""))</f>
        <v/>
      </c>
      <c r="C1177" s="903" t="str">
        <f>IF(Tabulka4[[#This Row],[Typ úlohy]]="Účet",H1177,"")</f>
        <v/>
      </c>
      <c r="D1177" s="903" t="str">
        <f>IF(Tabulka4[[#This Row],[Typ úlohy]]="Účet",GETPIVOTDATA("Součet z Celková hmotnost položek [kg]",$G$2,"Zkratka kalkulační položky",B1177,"Výrobce / Dodavatel",C1177),"")</f>
        <v/>
      </c>
      <c r="E1177" s="904" t="str">
        <f>IF(Tabulka4[[#This Row],[Typ úlohy]]="Účet",GETPIVOTDATA("Součet z Celková cena bez DPH (CZK)",$G$3,"Zkratka kalkulační položky",B1177,"Výrobce / Dodavatel",C1177),"")</f>
        <v/>
      </c>
    </row>
    <row r="1178" spans="1:5" x14ac:dyDescent="0.35">
      <c r="A1178" s="902" t="str">
        <f t="shared" si="19"/>
        <v/>
      </c>
      <c r="B1178" s="903" t="str">
        <f>IF(Tabulka4[[#This Row],[Typ úlohy]]="Součet",G1178,IF(Tabulka4[[#This Row],[Typ úlohy]]="Účet",B1177,""))</f>
        <v/>
      </c>
      <c r="C1178" s="903" t="str">
        <f>IF(Tabulka4[[#This Row],[Typ úlohy]]="Účet",H1178,"")</f>
        <v/>
      </c>
      <c r="D1178" s="903" t="str">
        <f>IF(Tabulka4[[#This Row],[Typ úlohy]]="Účet",GETPIVOTDATA("Součet z Celková hmotnost položek [kg]",$G$2,"Zkratka kalkulační položky",B1178,"Výrobce / Dodavatel",C1178),"")</f>
        <v/>
      </c>
      <c r="E1178" s="904" t="str">
        <f>IF(Tabulka4[[#This Row],[Typ úlohy]]="Účet",GETPIVOTDATA("Součet z Celková cena bez DPH (CZK)",$G$3,"Zkratka kalkulační položky",B1178,"Výrobce / Dodavatel",C1178),"")</f>
        <v/>
      </c>
    </row>
    <row r="1179" spans="1:5" x14ac:dyDescent="0.35">
      <c r="A1179" s="902" t="str">
        <f t="shared" si="19"/>
        <v/>
      </c>
      <c r="B1179" s="903" t="str">
        <f>IF(Tabulka4[[#This Row],[Typ úlohy]]="Součet",G1179,IF(Tabulka4[[#This Row],[Typ úlohy]]="Účet",B1178,""))</f>
        <v/>
      </c>
      <c r="C1179" s="903" t="str">
        <f>IF(Tabulka4[[#This Row],[Typ úlohy]]="Účet",H1179,"")</f>
        <v/>
      </c>
      <c r="D1179" s="903" t="str">
        <f>IF(Tabulka4[[#This Row],[Typ úlohy]]="Účet",GETPIVOTDATA("Součet z Celková hmotnost položek [kg]",$G$2,"Zkratka kalkulační položky",B1179,"Výrobce / Dodavatel",C1179),"")</f>
        <v/>
      </c>
      <c r="E1179" s="904" t="str">
        <f>IF(Tabulka4[[#This Row],[Typ úlohy]]="Účet",GETPIVOTDATA("Součet z Celková cena bez DPH (CZK)",$G$3,"Zkratka kalkulační položky",B1179,"Výrobce / Dodavatel",C1179),"")</f>
        <v/>
      </c>
    </row>
    <row r="1180" spans="1:5" x14ac:dyDescent="0.35">
      <c r="A1180" s="902" t="str">
        <f t="shared" si="19"/>
        <v/>
      </c>
      <c r="B1180" s="903" t="str">
        <f>IF(Tabulka4[[#This Row],[Typ úlohy]]="Součet",G1180,IF(Tabulka4[[#This Row],[Typ úlohy]]="Účet",B1179,""))</f>
        <v/>
      </c>
      <c r="C1180" s="903" t="str">
        <f>IF(Tabulka4[[#This Row],[Typ úlohy]]="Účet",H1180,"")</f>
        <v/>
      </c>
      <c r="D1180" s="903" t="str">
        <f>IF(Tabulka4[[#This Row],[Typ úlohy]]="Účet",GETPIVOTDATA("Součet z Celková hmotnost položek [kg]",$G$2,"Zkratka kalkulační položky",B1180,"Výrobce / Dodavatel",C1180),"")</f>
        <v/>
      </c>
      <c r="E1180" s="904" t="str">
        <f>IF(Tabulka4[[#This Row],[Typ úlohy]]="Účet",GETPIVOTDATA("Součet z Celková cena bez DPH (CZK)",$G$3,"Zkratka kalkulační položky",B1180,"Výrobce / Dodavatel",C1180),"")</f>
        <v/>
      </c>
    </row>
    <row r="1181" spans="1:5" x14ac:dyDescent="0.35">
      <c r="A1181" s="902" t="str">
        <f t="shared" si="19"/>
        <v/>
      </c>
      <c r="B1181" s="903" t="str">
        <f>IF(Tabulka4[[#This Row],[Typ úlohy]]="Součet",G1181,IF(Tabulka4[[#This Row],[Typ úlohy]]="Účet",B1180,""))</f>
        <v/>
      </c>
      <c r="C1181" s="903" t="str">
        <f>IF(Tabulka4[[#This Row],[Typ úlohy]]="Účet",H1181,"")</f>
        <v/>
      </c>
      <c r="D1181" s="903" t="str">
        <f>IF(Tabulka4[[#This Row],[Typ úlohy]]="Účet",GETPIVOTDATA("Součet z Celková hmotnost položek [kg]",$G$2,"Zkratka kalkulační položky",B1181,"Výrobce / Dodavatel",C1181),"")</f>
        <v/>
      </c>
      <c r="E1181" s="904" t="str">
        <f>IF(Tabulka4[[#This Row],[Typ úlohy]]="Účet",GETPIVOTDATA("Součet z Celková cena bez DPH (CZK)",$G$3,"Zkratka kalkulační položky",B1181,"Výrobce / Dodavatel",C1181),"")</f>
        <v/>
      </c>
    </row>
    <row r="1182" spans="1:5" x14ac:dyDescent="0.35">
      <c r="A1182" s="902" t="str">
        <f t="shared" si="19"/>
        <v/>
      </c>
      <c r="B1182" s="903" t="str">
        <f>IF(Tabulka4[[#This Row],[Typ úlohy]]="Součet",G1182,IF(Tabulka4[[#This Row],[Typ úlohy]]="Účet",B1181,""))</f>
        <v/>
      </c>
      <c r="C1182" s="903" t="str">
        <f>IF(Tabulka4[[#This Row],[Typ úlohy]]="Účet",H1182,"")</f>
        <v/>
      </c>
      <c r="D1182" s="903" t="str">
        <f>IF(Tabulka4[[#This Row],[Typ úlohy]]="Účet",GETPIVOTDATA("Součet z Celková hmotnost položek [kg]",$G$2,"Zkratka kalkulační položky",B1182,"Výrobce / Dodavatel",C1182),"")</f>
        <v/>
      </c>
      <c r="E1182" s="904" t="str">
        <f>IF(Tabulka4[[#This Row],[Typ úlohy]]="Účet",GETPIVOTDATA("Součet z Celková cena bez DPH (CZK)",$G$3,"Zkratka kalkulační položky",B1182,"Výrobce / Dodavatel",C1182),"")</f>
        <v/>
      </c>
    </row>
    <row r="1183" spans="1:5" x14ac:dyDescent="0.35">
      <c r="A1183" s="902" t="str">
        <f t="shared" si="19"/>
        <v/>
      </c>
      <c r="B1183" s="903" t="str">
        <f>IF(Tabulka4[[#This Row],[Typ úlohy]]="Součet",G1183,IF(Tabulka4[[#This Row],[Typ úlohy]]="Účet",B1182,""))</f>
        <v/>
      </c>
      <c r="C1183" s="903" t="str">
        <f>IF(Tabulka4[[#This Row],[Typ úlohy]]="Účet",H1183,"")</f>
        <v/>
      </c>
      <c r="D1183" s="903" t="str">
        <f>IF(Tabulka4[[#This Row],[Typ úlohy]]="Účet",GETPIVOTDATA("Součet z Celková hmotnost položek [kg]",$G$2,"Zkratka kalkulační položky",B1183,"Výrobce / Dodavatel",C1183),"")</f>
        <v/>
      </c>
      <c r="E1183" s="904" t="str">
        <f>IF(Tabulka4[[#This Row],[Typ úlohy]]="Účet",GETPIVOTDATA("Součet z Celková cena bez DPH (CZK)",$G$3,"Zkratka kalkulační položky",B1183,"Výrobce / Dodavatel",C1183),"")</f>
        <v/>
      </c>
    </row>
    <row r="1184" spans="1:5" x14ac:dyDescent="0.35">
      <c r="A1184" s="902" t="str">
        <f t="shared" si="19"/>
        <v/>
      </c>
      <c r="B1184" s="903" t="str">
        <f>IF(Tabulka4[[#This Row],[Typ úlohy]]="Součet",G1184,IF(Tabulka4[[#This Row],[Typ úlohy]]="Účet",B1183,""))</f>
        <v/>
      </c>
      <c r="C1184" s="903" t="str">
        <f>IF(Tabulka4[[#This Row],[Typ úlohy]]="Účet",H1184,"")</f>
        <v/>
      </c>
      <c r="D1184" s="903" t="str">
        <f>IF(Tabulka4[[#This Row],[Typ úlohy]]="Účet",GETPIVOTDATA("Součet z Celková hmotnost položek [kg]",$G$2,"Zkratka kalkulační položky",B1184,"Výrobce / Dodavatel",C1184),"")</f>
        <v/>
      </c>
      <c r="E1184" s="904" t="str">
        <f>IF(Tabulka4[[#This Row],[Typ úlohy]]="Účet",GETPIVOTDATA("Součet z Celková cena bez DPH (CZK)",$G$3,"Zkratka kalkulační položky",B1184,"Výrobce / Dodavatel",C1184),"")</f>
        <v/>
      </c>
    </row>
    <row r="1185" spans="1:5" x14ac:dyDescent="0.35">
      <c r="A1185" s="902" t="str">
        <f t="shared" si="19"/>
        <v/>
      </c>
      <c r="B1185" s="903" t="str">
        <f>IF(Tabulka4[[#This Row],[Typ úlohy]]="Součet",G1185,IF(Tabulka4[[#This Row],[Typ úlohy]]="Účet",B1184,""))</f>
        <v/>
      </c>
      <c r="C1185" s="903" t="str">
        <f>IF(Tabulka4[[#This Row],[Typ úlohy]]="Účet",H1185,"")</f>
        <v/>
      </c>
      <c r="D1185" s="903" t="str">
        <f>IF(Tabulka4[[#This Row],[Typ úlohy]]="Účet",GETPIVOTDATA("Součet z Celková hmotnost položek [kg]",$G$2,"Zkratka kalkulační položky",B1185,"Výrobce / Dodavatel",C1185),"")</f>
        <v/>
      </c>
      <c r="E1185" s="904" t="str">
        <f>IF(Tabulka4[[#This Row],[Typ úlohy]]="Účet",GETPIVOTDATA("Součet z Celková cena bez DPH (CZK)",$G$3,"Zkratka kalkulační položky",B1185,"Výrobce / Dodavatel",C1185),"")</f>
        <v/>
      </c>
    </row>
    <row r="1186" spans="1:5" x14ac:dyDescent="0.35">
      <c r="A1186" s="902" t="str">
        <f t="shared" si="19"/>
        <v/>
      </c>
      <c r="B1186" s="903" t="str">
        <f>IF(Tabulka4[[#This Row],[Typ úlohy]]="Součet",G1186,IF(Tabulka4[[#This Row],[Typ úlohy]]="Účet",B1185,""))</f>
        <v/>
      </c>
      <c r="C1186" s="903" t="str">
        <f>IF(Tabulka4[[#This Row],[Typ úlohy]]="Účet",H1186,"")</f>
        <v/>
      </c>
      <c r="D1186" s="903" t="str">
        <f>IF(Tabulka4[[#This Row],[Typ úlohy]]="Účet",GETPIVOTDATA("Součet z Celková hmotnost položek [kg]",$G$2,"Zkratka kalkulační položky",B1186,"Výrobce / Dodavatel",C1186),"")</f>
        <v/>
      </c>
      <c r="E1186" s="904" t="str">
        <f>IF(Tabulka4[[#This Row],[Typ úlohy]]="Účet",GETPIVOTDATA("Součet z Celková cena bez DPH (CZK)",$G$3,"Zkratka kalkulační položky",B1186,"Výrobce / Dodavatel",C1186),"")</f>
        <v/>
      </c>
    </row>
    <row r="1187" spans="1:5" x14ac:dyDescent="0.35">
      <c r="A1187" s="902" t="str">
        <f t="shared" si="19"/>
        <v/>
      </c>
      <c r="B1187" s="903" t="str">
        <f>IF(Tabulka4[[#This Row],[Typ úlohy]]="Součet",G1187,IF(Tabulka4[[#This Row],[Typ úlohy]]="Účet",B1186,""))</f>
        <v/>
      </c>
      <c r="C1187" s="903" t="str">
        <f>IF(Tabulka4[[#This Row],[Typ úlohy]]="Účet",H1187,"")</f>
        <v/>
      </c>
      <c r="D1187" s="903" t="str">
        <f>IF(Tabulka4[[#This Row],[Typ úlohy]]="Účet",GETPIVOTDATA("Součet z Celková hmotnost položek [kg]",$G$2,"Zkratka kalkulační položky",B1187,"Výrobce / Dodavatel",C1187),"")</f>
        <v/>
      </c>
      <c r="E1187" s="904" t="str">
        <f>IF(Tabulka4[[#This Row],[Typ úlohy]]="Účet",GETPIVOTDATA("Součet z Celková cena bez DPH (CZK)",$G$3,"Zkratka kalkulační položky",B1187,"Výrobce / Dodavatel",C1187),"")</f>
        <v/>
      </c>
    </row>
    <row r="1188" spans="1:5" x14ac:dyDescent="0.35">
      <c r="A1188" s="902" t="str">
        <f t="shared" si="19"/>
        <v/>
      </c>
      <c r="B1188" s="903" t="str">
        <f>IF(Tabulka4[[#This Row],[Typ úlohy]]="Součet",G1188,IF(Tabulka4[[#This Row],[Typ úlohy]]="Účet",B1187,""))</f>
        <v/>
      </c>
      <c r="C1188" s="903" t="str">
        <f>IF(Tabulka4[[#This Row],[Typ úlohy]]="Účet",H1188,"")</f>
        <v/>
      </c>
      <c r="D1188" s="903" t="str">
        <f>IF(Tabulka4[[#This Row],[Typ úlohy]]="Účet",GETPIVOTDATA("Součet z Celková hmotnost položek [kg]",$G$2,"Zkratka kalkulační položky",B1188,"Výrobce / Dodavatel",C1188),"")</f>
        <v/>
      </c>
      <c r="E1188" s="904" t="str">
        <f>IF(Tabulka4[[#This Row],[Typ úlohy]]="Účet",GETPIVOTDATA("Součet z Celková cena bez DPH (CZK)",$G$3,"Zkratka kalkulační položky",B1188,"Výrobce / Dodavatel",C1188),"")</f>
        <v/>
      </c>
    </row>
    <row r="1189" spans="1:5" x14ac:dyDescent="0.35">
      <c r="A1189" s="902" t="str">
        <f t="shared" si="19"/>
        <v/>
      </c>
      <c r="B1189" s="903" t="str">
        <f>IF(Tabulka4[[#This Row],[Typ úlohy]]="Součet",G1189,IF(Tabulka4[[#This Row],[Typ úlohy]]="Účet",B1188,""))</f>
        <v/>
      </c>
      <c r="C1189" s="903" t="str">
        <f>IF(Tabulka4[[#This Row],[Typ úlohy]]="Účet",H1189,"")</f>
        <v/>
      </c>
      <c r="D1189" s="903" t="str">
        <f>IF(Tabulka4[[#This Row],[Typ úlohy]]="Účet",GETPIVOTDATA("Součet z Celková hmotnost položek [kg]",$G$2,"Zkratka kalkulační položky",B1189,"Výrobce / Dodavatel",C1189),"")</f>
        <v/>
      </c>
      <c r="E1189" s="904" t="str">
        <f>IF(Tabulka4[[#This Row],[Typ úlohy]]="Účet",GETPIVOTDATA("Součet z Celková cena bez DPH (CZK)",$G$3,"Zkratka kalkulační položky",B1189,"Výrobce / Dodavatel",C1189),"")</f>
        <v/>
      </c>
    </row>
    <row r="1190" spans="1:5" x14ac:dyDescent="0.35">
      <c r="A1190" s="902" t="str">
        <f t="shared" si="19"/>
        <v/>
      </c>
      <c r="B1190" s="903" t="str">
        <f>IF(Tabulka4[[#This Row],[Typ úlohy]]="Součet",G1190,IF(Tabulka4[[#This Row],[Typ úlohy]]="Účet",B1189,""))</f>
        <v/>
      </c>
      <c r="C1190" s="903" t="str">
        <f>IF(Tabulka4[[#This Row],[Typ úlohy]]="Účet",H1190,"")</f>
        <v/>
      </c>
      <c r="D1190" s="903" t="str">
        <f>IF(Tabulka4[[#This Row],[Typ úlohy]]="Účet",GETPIVOTDATA("Součet z Celková hmotnost položek [kg]",$G$2,"Zkratka kalkulační položky",B1190,"Výrobce / Dodavatel",C1190),"")</f>
        <v/>
      </c>
      <c r="E1190" s="904" t="str">
        <f>IF(Tabulka4[[#This Row],[Typ úlohy]]="Účet",GETPIVOTDATA("Součet z Celková cena bez DPH (CZK)",$G$3,"Zkratka kalkulační položky",B1190,"Výrobce / Dodavatel",C1190),"")</f>
        <v/>
      </c>
    </row>
    <row r="1191" spans="1:5" x14ac:dyDescent="0.35">
      <c r="A1191" s="902" t="str">
        <f t="shared" si="19"/>
        <v/>
      </c>
      <c r="B1191" s="903" t="str">
        <f>IF(Tabulka4[[#This Row],[Typ úlohy]]="Součet",G1191,IF(Tabulka4[[#This Row],[Typ úlohy]]="Účet",B1190,""))</f>
        <v/>
      </c>
      <c r="C1191" s="903" t="str">
        <f>IF(Tabulka4[[#This Row],[Typ úlohy]]="Účet",H1191,"")</f>
        <v/>
      </c>
      <c r="D1191" s="903" t="str">
        <f>IF(Tabulka4[[#This Row],[Typ úlohy]]="Účet",GETPIVOTDATA("Součet z Celková hmotnost položek [kg]",$G$2,"Zkratka kalkulační položky",B1191,"Výrobce / Dodavatel",C1191),"")</f>
        <v/>
      </c>
      <c r="E1191" s="904" t="str">
        <f>IF(Tabulka4[[#This Row],[Typ úlohy]]="Účet",GETPIVOTDATA("Součet z Celková cena bez DPH (CZK)",$G$3,"Zkratka kalkulační položky",B1191,"Výrobce / Dodavatel",C1191),"")</f>
        <v/>
      </c>
    </row>
    <row r="1192" spans="1:5" x14ac:dyDescent="0.35">
      <c r="A1192" s="902" t="str">
        <f t="shared" si="19"/>
        <v/>
      </c>
      <c r="B1192" s="903" t="str">
        <f>IF(Tabulka4[[#This Row],[Typ úlohy]]="Součet",G1192,IF(Tabulka4[[#This Row],[Typ úlohy]]="Účet",B1191,""))</f>
        <v/>
      </c>
      <c r="C1192" s="903" t="str">
        <f>IF(Tabulka4[[#This Row],[Typ úlohy]]="Účet",H1192,"")</f>
        <v/>
      </c>
      <c r="D1192" s="903" t="str">
        <f>IF(Tabulka4[[#This Row],[Typ úlohy]]="Účet",GETPIVOTDATA("Součet z Celková hmotnost položek [kg]",$G$2,"Zkratka kalkulační položky",B1192,"Výrobce / Dodavatel",C1192),"")</f>
        <v/>
      </c>
      <c r="E1192" s="904" t="str">
        <f>IF(Tabulka4[[#This Row],[Typ úlohy]]="Účet",GETPIVOTDATA("Součet z Celková cena bez DPH (CZK)",$G$3,"Zkratka kalkulační položky",B1192,"Výrobce / Dodavatel",C1192),"")</f>
        <v/>
      </c>
    </row>
    <row r="1193" spans="1:5" x14ac:dyDescent="0.35">
      <c r="A1193" s="902" t="str">
        <f t="shared" si="19"/>
        <v/>
      </c>
      <c r="B1193" s="903" t="str">
        <f>IF(Tabulka4[[#This Row],[Typ úlohy]]="Součet",G1193,IF(Tabulka4[[#This Row],[Typ úlohy]]="Účet",B1192,""))</f>
        <v/>
      </c>
      <c r="C1193" s="903" t="str">
        <f>IF(Tabulka4[[#This Row],[Typ úlohy]]="Účet",H1193,"")</f>
        <v/>
      </c>
      <c r="D1193" s="903" t="str">
        <f>IF(Tabulka4[[#This Row],[Typ úlohy]]="Účet",GETPIVOTDATA("Součet z Celková hmotnost položek [kg]",$G$2,"Zkratka kalkulační položky",B1193,"Výrobce / Dodavatel",C1193),"")</f>
        <v/>
      </c>
      <c r="E1193" s="904" t="str">
        <f>IF(Tabulka4[[#This Row],[Typ úlohy]]="Účet",GETPIVOTDATA("Součet z Celková cena bez DPH (CZK)",$G$3,"Zkratka kalkulační položky",B1193,"Výrobce / Dodavatel",C1193),"")</f>
        <v/>
      </c>
    </row>
    <row r="1194" spans="1:5" x14ac:dyDescent="0.35">
      <c r="A1194" s="902" t="str">
        <f t="shared" si="19"/>
        <v/>
      </c>
      <c r="B1194" s="903" t="str">
        <f>IF(Tabulka4[[#This Row],[Typ úlohy]]="Součet",G1194,IF(Tabulka4[[#This Row],[Typ úlohy]]="Účet",B1193,""))</f>
        <v/>
      </c>
      <c r="C1194" s="903" t="str">
        <f>IF(Tabulka4[[#This Row],[Typ úlohy]]="Účet",H1194,"")</f>
        <v/>
      </c>
      <c r="D1194" s="903" t="str">
        <f>IF(Tabulka4[[#This Row],[Typ úlohy]]="Účet",GETPIVOTDATA("Součet z Celková hmotnost položek [kg]",$G$2,"Zkratka kalkulační položky",B1194,"Výrobce / Dodavatel",C1194),"")</f>
        <v/>
      </c>
      <c r="E1194" s="904" t="str">
        <f>IF(Tabulka4[[#This Row],[Typ úlohy]]="Účet",GETPIVOTDATA("Součet z Celková cena bez DPH (CZK)",$G$3,"Zkratka kalkulační položky",B1194,"Výrobce / Dodavatel",C1194),"")</f>
        <v/>
      </c>
    </row>
    <row r="1195" spans="1:5" x14ac:dyDescent="0.35">
      <c r="A1195" s="902" t="str">
        <f t="shared" si="19"/>
        <v/>
      </c>
      <c r="B1195" s="903" t="str">
        <f>IF(Tabulka4[[#This Row],[Typ úlohy]]="Součet",G1195,IF(Tabulka4[[#This Row],[Typ úlohy]]="Účet",B1194,""))</f>
        <v/>
      </c>
      <c r="C1195" s="903" t="str">
        <f>IF(Tabulka4[[#This Row],[Typ úlohy]]="Účet",H1195,"")</f>
        <v/>
      </c>
      <c r="D1195" s="903" t="str">
        <f>IF(Tabulka4[[#This Row],[Typ úlohy]]="Účet",GETPIVOTDATA("Součet z Celková hmotnost položek [kg]",$G$2,"Zkratka kalkulační položky",B1195,"Výrobce / Dodavatel",C1195),"")</f>
        <v/>
      </c>
      <c r="E1195" s="904" t="str">
        <f>IF(Tabulka4[[#This Row],[Typ úlohy]]="Účet",GETPIVOTDATA("Součet z Celková cena bez DPH (CZK)",$G$3,"Zkratka kalkulační položky",B1195,"Výrobce / Dodavatel",C1195),"")</f>
        <v/>
      </c>
    </row>
    <row r="1196" spans="1:5" x14ac:dyDescent="0.35">
      <c r="A1196" s="902" t="str">
        <f t="shared" si="19"/>
        <v/>
      </c>
      <c r="B1196" s="903" t="str">
        <f>IF(Tabulka4[[#This Row],[Typ úlohy]]="Součet",G1196,IF(Tabulka4[[#This Row],[Typ úlohy]]="Účet",B1195,""))</f>
        <v/>
      </c>
      <c r="C1196" s="903" t="str">
        <f>IF(Tabulka4[[#This Row],[Typ úlohy]]="Účet",H1196,"")</f>
        <v/>
      </c>
      <c r="D1196" s="903" t="str">
        <f>IF(Tabulka4[[#This Row],[Typ úlohy]]="Účet",GETPIVOTDATA("Součet z Celková hmotnost položek [kg]",$G$2,"Zkratka kalkulační položky",B1196,"Výrobce / Dodavatel",C1196),"")</f>
        <v/>
      </c>
      <c r="E1196" s="904" t="str">
        <f>IF(Tabulka4[[#This Row],[Typ úlohy]]="Účet",GETPIVOTDATA("Součet z Celková cena bez DPH (CZK)",$G$3,"Zkratka kalkulační položky",B1196,"Výrobce / Dodavatel",C1196),"")</f>
        <v/>
      </c>
    </row>
    <row r="1197" spans="1:5" x14ac:dyDescent="0.35">
      <c r="A1197" s="902" t="str">
        <f t="shared" si="19"/>
        <v/>
      </c>
      <c r="B1197" s="903" t="str">
        <f>IF(Tabulka4[[#This Row],[Typ úlohy]]="Součet",G1197,IF(Tabulka4[[#This Row],[Typ úlohy]]="Účet",B1196,""))</f>
        <v/>
      </c>
      <c r="C1197" s="903" t="str">
        <f>IF(Tabulka4[[#This Row],[Typ úlohy]]="Účet",H1197,"")</f>
        <v/>
      </c>
      <c r="D1197" s="903" t="str">
        <f>IF(Tabulka4[[#This Row],[Typ úlohy]]="Účet",GETPIVOTDATA("Součet z Celková hmotnost položek [kg]",$G$2,"Zkratka kalkulační položky",B1197,"Výrobce / Dodavatel",C1197),"")</f>
        <v/>
      </c>
      <c r="E1197" s="904" t="str">
        <f>IF(Tabulka4[[#This Row],[Typ úlohy]]="Účet",GETPIVOTDATA("Součet z Celková cena bez DPH (CZK)",$G$3,"Zkratka kalkulační položky",B1197,"Výrobce / Dodavatel",C1197),"")</f>
        <v/>
      </c>
    </row>
    <row r="1198" spans="1:5" x14ac:dyDescent="0.35">
      <c r="A1198" s="902" t="str">
        <f t="shared" si="19"/>
        <v/>
      </c>
      <c r="B1198" s="903" t="str">
        <f>IF(Tabulka4[[#This Row],[Typ úlohy]]="Součet",G1198,IF(Tabulka4[[#This Row],[Typ úlohy]]="Účet",B1197,""))</f>
        <v/>
      </c>
      <c r="C1198" s="903" t="str">
        <f>IF(Tabulka4[[#This Row],[Typ úlohy]]="Účet",H1198,"")</f>
        <v/>
      </c>
      <c r="D1198" s="903" t="str">
        <f>IF(Tabulka4[[#This Row],[Typ úlohy]]="Účet",GETPIVOTDATA("Součet z Celková hmotnost položek [kg]",$G$2,"Zkratka kalkulační položky",B1198,"Výrobce / Dodavatel",C1198),"")</f>
        <v/>
      </c>
      <c r="E1198" s="904" t="str">
        <f>IF(Tabulka4[[#This Row],[Typ úlohy]]="Účet",GETPIVOTDATA("Součet z Celková cena bez DPH (CZK)",$G$3,"Zkratka kalkulační položky",B1198,"Výrobce / Dodavatel",C1198),"")</f>
        <v/>
      </c>
    </row>
    <row r="1199" spans="1:5" x14ac:dyDescent="0.35">
      <c r="A1199" s="902" t="str">
        <f t="shared" si="19"/>
        <v/>
      </c>
      <c r="B1199" s="903" t="str">
        <f>IF(Tabulka4[[#This Row],[Typ úlohy]]="Součet",G1199,IF(Tabulka4[[#This Row],[Typ úlohy]]="Účet",B1198,""))</f>
        <v/>
      </c>
      <c r="C1199" s="903" t="str">
        <f>IF(Tabulka4[[#This Row],[Typ úlohy]]="Účet",H1199,"")</f>
        <v/>
      </c>
      <c r="D1199" s="903" t="str">
        <f>IF(Tabulka4[[#This Row],[Typ úlohy]]="Účet",GETPIVOTDATA("Součet z Celková hmotnost položek [kg]",$G$2,"Zkratka kalkulační položky",B1199,"Výrobce / Dodavatel",C1199),"")</f>
        <v/>
      </c>
      <c r="E1199" s="904" t="str">
        <f>IF(Tabulka4[[#This Row],[Typ úlohy]]="Účet",GETPIVOTDATA("Součet z Celková cena bez DPH (CZK)",$G$3,"Zkratka kalkulační položky",B1199,"Výrobce / Dodavatel",C1199),"")</f>
        <v/>
      </c>
    </row>
    <row r="1200" spans="1:5" x14ac:dyDescent="0.35">
      <c r="A1200" s="902" t="str">
        <f t="shared" si="19"/>
        <v/>
      </c>
      <c r="B1200" s="903" t="str">
        <f>IF(Tabulka4[[#This Row],[Typ úlohy]]="Součet",G1200,IF(Tabulka4[[#This Row],[Typ úlohy]]="Účet",B1199,""))</f>
        <v/>
      </c>
      <c r="C1200" s="903" t="str">
        <f>IF(Tabulka4[[#This Row],[Typ úlohy]]="Účet",H1200,"")</f>
        <v/>
      </c>
      <c r="D1200" s="903" t="str">
        <f>IF(Tabulka4[[#This Row],[Typ úlohy]]="Účet",GETPIVOTDATA("Součet z Celková hmotnost položek [kg]",$G$2,"Zkratka kalkulační položky",B1200,"Výrobce / Dodavatel",C1200),"")</f>
        <v/>
      </c>
      <c r="E1200" s="904" t="str">
        <f>IF(Tabulka4[[#This Row],[Typ úlohy]]="Účet",GETPIVOTDATA("Součet z Celková cena bez DPH (CZK)",$G$3,"Zkratka kalkulační položky",B1200,"Výrobce / Dodavatel",C1200),"")</f>
        <v/>
      </c>
    </row>
    <row r="1201" spans="1:5" x14ac:dyDescent="0.35">
      <c r="A1201" s="902" t="str">
        <f t="shared" si="19"/>
        <v/>
      </c>
      <c r="B1201" s="903" t="str">
        <f>IF(Tabulka4[[#This Row],[Typ úlohy]]="Součet",G1201,IF(Tabulka4[[#This Row],[Typ úlohy]]="Účet",B1200,""))</f>
        <v/>
      </c>
      <c r="C1201" s="903" t="str">
        <f>IF(Tabulka4[[#This Row],[Typ úlohy]]="Účet",H1201,"")</f>
        <v/>
      </c>
      <c r="D1201" s="903" t="str">
        <f>IF(Tabulka4[[#This Row],[Typ úlohy]]="Účet",GETPIVOTDATA("Součet z Celková hmotnost položek [kg]",$G$2,"Zkratka kalkulační položky",B1201,"Výrobce / Dodavatel",C1201),"")</f>
        <v/>
      </c>
      <c r="E1201" s="904" t="str">
        <f>IF(Tabulka4[[#This Row],[Typ úlohy]]="Účet",GETPIVOTDATA("Součet z Celková cena bez DPH (CZK)",$G$3,"Zkratka kalkulační položky",B1201,"Výrobce / Dodavatel",C1201),"")</f>
        <v/>
      </c>
    </row>
    <row r="1202" spans="1:5" x14ac:dyDescent="0.35">
      <c r="A1202" s="902" t="str">
        <f t="shared" si="19"/>
        <v/>
      </c>
      <c r="B1202" s="903" t="str">
        <f>IF(Tabulka4[[#This Row],[Typ úlohy]]="Součet",G1202,IF(Tabulka4[[#This Row],[Typ úlohy]]="Účet",B1201,""))</f>
        <v/>
      </c>
      <c r="C1202" s="903" t="str">
        <f>IF(Tabulka4[[#This Row],[Typ úlohy]]="Účet",H1202,"")</f>
        <v/>
      </c>
      <c r="D1202" s="903" t="str">
        <f>IF(Tabulka4[[#This Row],[Typ úlohy]]="Účet",GETPIVOTDATA("Součet z Celková hmotnost položek [kg]",$G$2,"Zkratka kalkulační položky",B1202,"Výrobce / Dodavatel",C1202),"")</f>
        <v/>
      </c>
      <c r="E1202" s="904" t="str">
        <f>IF(Tabulka4[[#This Row],[Typ úlohy]]="Účet",GETPIVOTDATA("Součet z Celková cena bez DPH (CZK)",$G$3,"Zkratka kalkulační položky",B1202,"Výrobce / Dodavatel",C1202),"")</f>
        <v/>
      </c>
    </row>
    <row r="1203" spans="1:5" x14ac:dyDescent="0.35">
      <c r="A1203" s="902" t="str">
        <f t="shared" si="19"/>
        <v/>
      </c>
      <c r="B1203" s="903" t="str">
        <f>IF(Tabulka4[[#This Row],[Typ úlohy]]="Součet",G1203,IF(Tabulka4[[#This Row],[Typ úlohy]]="Účet",B1202,""))</f>
        <v/>
      </c>
      <c r="C1203" s="903" t="str">
        <f>IF(Tabulka4[[#This Row],[Typ úlohy]]="Účet",H1203,"")</f>
        <v/>
      </c>
      <c r="D1203" s="903" t="str">
        <f>IF(Tabulka4[[#This Row],[Typ úlohy]]="Účet",GETPIVOTDATA("Součet z Celková hmotnost položek [kg]",$G$2,"Zkratka kalkulační položky",B1203,"Výrobce / Dodavatel",C1203),"")</f>
        <v/>
      </c>
      <c r="E1203" s="904" t="str">
        <f>IF(Tabulka4[[#This Row],[Typ úlohy]]="Účet",GETPIVOTDATA("Součet z Celková cena bez DPH (CZK)",$G$3,"Zkratka kalkulační položky",B1203,"Výrobce / Dodavatel",C1203),"")</f>
        <v/>
      </c>
    </row>
    <row r="1204" spans="1:5" x14ac:dyDescent="0.35">
      <c r="A1204" s="902" t="str">
        <f t="shared" si="19"/>
        <v/>
      </c>
      <c r="B1204" s="903" t="str">
        <f>IF(Tabulka4[[#This Row],[Typ úlohy]]="Součet",G1204,IF(Tabulka4[[#This Row],[Typ úlohy]]="Účet",B1203,""))</f>
        <v/>
      </c>
      <c r="C1204" s="903" t="str">
        <f>IF(Tabulka4[[#This Row],[Typ úlohy]]="Účet",H1204,"")</f>
        <v/>
      </c>
      <c r="D1204" s="903" t="str">
        <f>IF(Tabulka4[[#This Row],[Typ úlohy]]="Účet",GETPIVOTDATA("Součet z Celková hmotnost položek [kg]",$G$2,"Zkratka kalkulační položky",B1204,"Výrobce / Dodavatel",C1204),"")</f>
        <v/>
      </c>
      <c r="E1204" s="904" t="str">
        <f>IF(Tabulka4[[#This Row],[Typ úlohy]]="Účet",GETPIVOTDATA("Součet z Celková cena bez DPH (CZK)",$G$3,"Zkratka kalkulační položky",B1204,"Výrobce / Dodavatel",C1204),"")</f>
        <v/>
      </c>
    </row>
    <row r="1205" spans="1:5" x14ac:dyDescent="0.35">
      <c r="A1205" s="902" t="str">
        <f t="shared" si="19"/>
        <v/>
      </c>
      <c r="B1205" s="903" t="str">
        <f>IF(Tabulka4[[#This Row],[Typ úlohy]]="Součet",G1205,IF(Tabulka4[[#This Row],[Typ úlohy]]="Účet",B1204,""))</f>
        <v/>
      </c>
      <c r="C1205" s="903" t="str">
        <f>IF(Tabulka4[[#This Row],[Typ úlohy]]="Účet",H1205,"")</f>
        <v/>
      </c>
      <c r="D1205" s="903" t="str">
        <f>IF(Tabulka4[[#This Row],[Typ úlohy]]="Účet",GETPIVOTDATA("Součet z Celková hmotnost položek [kg]",$G$2,"Zkratka kalkulační položky",B1205,"Výrobce / Dodavatel",C1205),"")</f>
        <v/>
      </c>
      <c r="E1205" s="904" t="str">
        <f>IF(Tabulka4[[#This Row],[Typ úlohy]]="Účet",GETPIVOTDATA("Součet z Celková cena bez DPH (CZK)",$G$3,"Zkratka kalkulační položky",B1205,"Výrobce / Dodavatel",C1205),"")</f>
        <v/>
      </c>
    </row>
    <row r="1206" spans="1:5" x14ac:dyDescent="0.35">
      <c r="A1206" s="902" t="str">
        <f t="shared" si="19"/>
        <v/>
      </c>
      <c r="B1206" s="903" t="str">
        <f>IF(Tabulka4[[#This Row],[Typ úlohy]]="Součet",G1206,IF(Tabulka4[[#This Row],[Typ úlohy]]="Účet",B1205,""))</f>
        <v/>
      </c>
      <c r="C1206" s="903" t="str">
        <f>IF(Tabulka4[[#This Row],[Typ úlohy]]="Účet",H1206,"")</f>
        <v/>
      </c>
      <c r="D1206" s="903" t="str">
        <f>IF(Tabulka4[[#This Row],[Typ úlohy]]="Účet",GETPIVOTDATA("Součet z Celková hmotnost položek [kg]",$G$2,"Zkratka kalkulační položky",B1206,"Výrobce / Dodavatel",C1206),"")</f>
        <v/>
      </c>
      <c r="E1206" s="904" t="str">
        <f>IF(Tabulka4[[#This Row],[Typ úlohy]]="Účet",GETPIVOTDATA("Součet z Celková cena bez DPH (CZK)",$G$3,"Zkratka kalkulační položky",B1206,"Výrobce / Dodavatel",C1206),"")</f>
        <v/>
      </c>
    </row>
    <row r="1207" spans="1:5" x14ac:dyDescent="0.35">
      <c r="A1207" s="902" t="str">
        <f t="shared" si="19"/>
        <v/>
      </c>
      <c r="B1207" s="903" t="str">
        <f>IF(Tabulka4[[#This Row],[Typ úlohy]]="Součet",G1207,IF(Tabulka4[[#This Row],[Typ úlohy]]="Účet",B1206,""))</f>
        <v/>
      </c>
      <c r="C1207" s="903" t="str">
        <f>IF(Tabulka4[[#This Row],[Typ úlohy]]="Účet",H1207,"")</f>
        <v/>
      </c>
      <c r="D1207" s="903" t="str">
        <f>IF(Tabulka4[[#This Row],[Typ úlohy]]="Účet",GETPIVOTDATA("Součet z Celková hmotnost položek [kg]",$G$2,"Zkratka kalkulační položky",B1207,"Výrobce / Dodavatel",C1207),"")</f>
        <v/>
      </c>
      <c r="E1207" s="904" t="str">
        <f>IF(Tabulka4[[#This Row],[Typ úlohy]]="Účet",GETPIVOTDATA("Součet z Celková cena bez DPH (CZK)",$G$3,"Zkratka kalkulační položky",B1207,"Výrobce / Dodavatel",C1207),"")</f>
        <v/>
      </c>
    </row>
    <row r="1208" spans="1:5" x14ac:dyDescent="0.35">
      <c r="A1208" s="902" t="str">
        <f t="shared" si="19"/>
        <v/>
      </c>
      <c r="B1208" s="903" t="str">
        <f>IF(Tabulka4[[#This Row],[Typ úlohy]]="Součet",G1208,IF(Tabulka4[[#This Row],[Typ úlohy]]="Účet",B1207,""))</f>
        <v/>
      </c>
      <c r="C1208" s="903" t="str">
        <f>IF(Tabulka4[[#This Row],[Typ úlohy]]="Účet",H1208,"")</f>
        <v/>
      </c>
      <c r="D1208" s="903" t="str">
        <f>IF(Tabulka4[[#This Row],[Typ úlohy]]="Účet",GETPIVOTDATA("Součet z Celková hmotnost položek [kg]",$G$2,"Zkratka kalkulační položky",B1208,"Výrobce / Dodavatel",C1208),"")</f>
        <v/>
      </c>
      <c r="E1208" s="904" t="str">
        <f>IF(Tabulka4[[#This Row],[Typ úlohy]]="Účet",GETPIVOTDATA("Součet z Celková cena bez DPH (CZK)",$G$3,"Zkratka kalkulační položky",B1208,"Výrobce / Dodavatel",C1208),"")</f>
        <v/>
      </c>
    </row>
    <row r="1209" spans="1:5" x14ac:dyDescent="0.35">
      <c r="A1209" s="902" t="str">
        <f t="shared" si="19"/>
        <v/>
      </c>
      <c r="B1209" s="903" t="str">
        <f>IF(Tabulka4[[#This Row],[Typ úlohy]]="Součet",G1209,IF(Tabulka4[[#This Row],[Typ úlohy]]="Účet",B1208,""))</f>
        <v/>
      </c>
      <c r="C1209" s="903" t="str">
        <f>IF(Tabulka4[[#This Row],[Typ úlohy]]="Účet",H1209,"")</f>
        <v/>
      </c>
      <c r="D1209" s="903" t="str">
        <f>IF(Tabulka4[[#This Row],[Typ úlohy]]="Účet",GETPIVOTDATA("Součet z Celková hmotnost položek [kg]",$G$2,"Zkratka kalkulační položky",B1209,"Výrobce / Dodavatel",C1209),"")</f>
        <v/>
      </c>
      <c r="E1209" s="904" t="str">
        <f>IF(Tabulka4[[#This Row],[Typ úlohy]]="Účet",GETPIVOTDATA("Součet z Celková cena bez DPH (CZK)",$G$3,"Zkratka kalkulační položky",B1209,"Výrobce / Dodavatel",C1209),"")</f>
        <v/>
      </c>
    </row>
    <row r="1210" spans="1:5" x14ac:dyDescent="0.35">
      <c r="A1210" s="902" t="str">
        <f t="shared" si="19"/>
        <v/>
      </c>
      <c r="B1210" s="903" t="str">
        <f>IF(Tabulka4[[#This Row],[Typ úlohy]]="Součet",G1210,IF(Tabulka4[[#This Row],[Typ úlohy]]="Účet",B1209,""))</f>
        <v/>
      </c>
      <c r="C1210" s="903" t="str">
        <f>IF(Tabulka4[[#This Row],[Typ úlohy]]="Účet",H1210,"")</f>
        <v/>
      </c>
      <c r="D1210" s="903" t="str">
        <f>IF(Tabulka4[[#This Row],[Typ úlohy]]="Účet",GETPIVOTDATA("Součet z Celková hmotnost položek [kg]",$G$2,"Zkratka kalkulační položky",B1210,"Výrobce / Dodavatel",C1210),"")</f>
        <v/>
      </c>
      <c r="E1210" s="904" t="str">
        <f>IF(Tabulka4[[#This Row],[Typ úlohy]]="Účet",GETPIVOTDATA("Součet z Celková cena bez DPH (CZK)",$G$3,"Zkratka kalkulační položky",B1210,"Výrobce / Dodavatel",C1210),"")</f>
        <v/>
      </c>
    </row>
    <row r="1211" spans="1:5" x14ac:dyDescent="0.35">
      <c r="A1211" s="902" t="str">
        <f t="shared" si="19"/>
        <v/>
      </c>
      <c r="B1211" s="903" t="str">
        <f>IF(Tabulka4[[#This Row],[Typ úlohy]]="Součet",G1211,IF(Tabulka4[[#This Row],[Typ úlohy]]="Účet",B1210,""))</f>
        <v/>
      </c>
      <c r="C1211" s="903" t="str">
        <f>IF(Tabulka4[[#This Row],[Typ úlohy]]="Účet",H1211,"")</f>
        <v/>
      </c>
      <c r="D1211" s="903" t="str">
        <f>IF(Tabulka4[[#This Row],[Typ úlohy]]="Účet",GETPIVOTDATA("Součet z Celková hmotnost položek [kg]",$G$2,"Zkratka kalkulační položky",B1211,"Výrobce / Dodavatel",C1211),"")</f>
        <v/>
      </c>
      <c r="E1211" s="904" t="str">
        <f>IF(Tabulka4[[#This Row],[Typ úlohy]]="Účet",GETPIVOTDATA("Součet z Celková cena bez DPH (CZK)",$G$3,"Zkratka kalkulační položky",B1211,"Výrobce / Dodavatel",C1211),"")</f>
        <v/>
      </c>
    </row>
    <row r="1212" spans="1:5" x14ac:dyDescent="0.35">
      <c r="A1212" s="902" t="str">
        <f t="shared" si="19"/>
        <v/>
      </c>
      <c r="B1212" s="903" t="str">
        <f>IF(Tabulka4[[#This Row],[Typ úlohy]]="Součet",G1212,IF(Tabulka4[[#This Row],[Typ úlohy]]="Účet",B1211,""))</f>
        <v/>
      </c>
      <c r="C1212" s="903" t="str">
        <f>IF(Tabulka4[[#This Row],[Typ úlohy]]="Účet",H1212,"")</f>
        <v/>
      </c>
      <c r="D1212" s="903" t="str">
        <f>IF(Tabulka4[[#This Row],[Typ úlohy]]="Účet",GETPIVOTDATA("Součet z Celková hmotnost položek [kg]",$G$2,"Zkratka kalkulační položky",B1212,"Výrobce / Dodavatel",C1212),"")</f>
        <v/>
      </c>
      <c r="E1212" s="904" t="str">
        <f>IF(Tabulka4[[#This Row],[Typ úlohy]]="Účet",GETPIVOTDATA("Součet z Celková cena bez DPH (CZK)",$G$3,"Zkratka kalkulační položky",B1212,"Výrobce / Dodavatel",C1212),"")</f>
        <v/>
      </c>
    </row>
    <row r="1213" spans="1:5" x14ac:dyDescent="0.35">
      <c r="A1213" s="902" t="str">
        <f t="shared" si="19"/>
        <v/>
      </c>
      <c r="B1213" s="903" t="str">
        <f>IF(Tabulka4[[#This Row],[Typ úlohy]]="Součet",G1213,IF(Tabulka4[[#This Row],[Typ úlohy]]="Účet",B1212,""))</f>
        <v/>
      </c>
      <c r="C1213" s="903" t="str">
        <f>IF(Tabulka4[[#This Row],[Typ úlohy]]="Účet",H1213,"")</f>
        <v/>
      </c>
      <c r="D1213" s="903" t="str">
        <f>IF(Tabulka4[[#This Row],[Typ úlohy]]="Účet",GETPIVOTDATA("Součet z Celková hmotnost položek [kg]",$G$2,"Zkratka kalkulační položky",B1213,"Výrobce / Dodavatel",C1213),"")</f>
        <v/>
      </c>
      <c r="E1213" s="904" t="str">
        <f>IF(Tabulka4[[#This Row],[Typ úlohy]]="Účet",GETPIVOTDATA("Součet z Celková cena bez DPH (CZK)",$G$3,"Zkratka kalkulační položky",B1213,"Výrobce / Dodavatel",C1213),"")</f>
        <v/>
      </c>
    </row>
    <row r="1214" spans="1:5" x14ac:dyDescent="0.35">
      <c r="A1214" s="902" t="str">
        <f t="shared" si="19"/>
        <v/>
      </c>
      <c r="B1214" s="903" t="str">
        <f>IF(Tabulka4[[#This Row],[Typ úlohy]]="Součet",G1214,IF(Tabulka4[[#This Row],[Typ úlohy]]="Účet",B1213,""))</f>
        <v/>
      </c>
      <c r="C1214" s="903" t="str">
        <f>IF(Tabulka4[[#This Row],[Typ úlohy]]="Účet",H1214,"")</f>
        <v/>
      </c>
      <c r="D1214" s="903" t="str">
        <f>IF(Tabulka4[[#This Row],[Typ úlohy]]="Účet",GETPIVOTDATA("Součet z Celková hmotnost položek [kg]",$G$2,"Zkratka kalkulační položky",B1214,"Výrobce / Dodavatel",C1214),"")</f>
        <v/>
      </c>
      <c r="E1214" s="904" t="str">
        <f>IF(Tabulka4[[#This Row],[Typ úlohy]]="Účet",GETPIVOTDATA("Součet z Celková cena bez DPH (CZK)",$G$3,"Zkratka kalkulační položky",B1214,"Výrobce / Dodavatel",C1214),"")</f>
        <v/>
      </c>
    </row>
    <row r="1215" spans="1:5" x14ac:dyDescent="0.35">
      <c r="A1215" s="902" t="str">
        <f t="shared" si="19"/>
        <v/>
      </c>
      <c r="B1215" s="903" t="str">
        <f>IF(Tabulka4[[#This Row],[Typ úlohy]]="Součet",G1215,IF(Tabulka4[[#This Row],[Typ úlohy]]="Účet",B1214,""))</f>
        <v/>
      </c>
      <c r="C1215" s="903" t="str">
        <f>IF(Tabulka4[[#This Row],[Typ úlohy]]="Účet",H1215,"")</f>
        <v/>
      </c>
      <c r="D1215" s="903" t="str">
        <f>IF(Tabulka4[[#This Row],[Typ úlohy]]="Účet",GETPIVOTDATA("Součet z Celková hmotnost položek [kg]",$G$2,"Zkratka kalkulační položky",B1215,"Výrobce / Dodavatel",C1215),"")</f>
        <v/>
      </c>
      <c r="E1215" s="904" t="str">
        <f>IF(Tabulka4[[#This Row],[Typ úlohy]]="Účet",GETPIVOTDATA("Součet z Celková cena bez DPH (CZK)",$G$3,"Zkratka kalkulační položky",B1215,"Výrobce / Dodavatel",C1215),"")</f>
        <v/>
      </c>
    </row>
    <row r="1216" spans="1:5" x14ac:dyDescent="0.35">
      <c r="A1216" s="902" t="str">
        <f t="shared" si="19"/>
        <v/>
      </c>
      <c r="B1216" s="903" t="str">
        <f>IF(Tabulka4[[#This Row],[Typ úlohy]]="Součet",G1216,IF(Tabulka4[[#This Row],[Typ úlohy]]="Účet",B1215,""))</f>
        <v/>
      </c>
      <c r="C1216" s="903" t="str">
        <f>IF(Tabulka4[[#This Row],[Typ úlohy]]="Účet",H1216,"")</f>
        <v/>
      </c>
      <c r="D1216" s="903" t="str">
        <f>IF(Tabulka4[[#This Row],[Typ úlohy]]="Účet",GETPIVOTDATA("Součet z Celková hmotnost položek [kg]",$G$2,"Zkratka kalkulační položky",B1216,"Výrobce / Dodavatel",C1216),"")</f>
        <v/>
      </c>
      <c r="E1216" s="904" t="str">
        <f>IF(Tabulka4[[#This Row],[Typ úlohy]]="Účet",GETPIVOTDATA("Součet z Celková cena bez DPH (CZK)",$G$3,"Zkratka kalkulační položky",B1216,"Výrobce / Dodavatel",C1216),"")</f>
        <v/>
      </c>
    </row>
    <row r="1217" spans="1:5" x14ac:dyDescent="0.35">
      <c r="A1217" s="902" t="str">
        <f t="shared" si="19"/>
        <v/>
      </c>
      <c r="B1217" s="903" t="str">
        <f>IF(Tabulka4[[#This Row],[Typ úlohy]]="Součet",G1217,IF(Tabulka4[[#This Row],[Typ úlohy]]="Účet",B1216,""))</f>
        <v/>
      </c>
      <c r="C1217" s="903" t="str">
        <f>IF(Tabulka4[[#This Row],[Typ úlohy]]="Účet",H1217,"")</f>
        <v/>
      </c>
      <c r="D1217" s="903" t="str">
        <f>IF(Tabulka4[[#This Row],[Typ úlohy]]="Účet",GETPIVOTDATA("Součet z Celková hmotnost položek [kg]",$G$2,"Zkratka kalkulační položky",B1217,"Výrobce / Dodavatel",C1217),"")</f>
        <v/>
      </c>
      <c r="E1217" s="904" t="str">
        <f>IF(Tabulka4[[#This Row],[Typ úlohy]]="Účet",GETPIVOTDATA("Součet z Celková cena bez DPH (CZK)",$G$3,"Zkratka kalkulační položky",B1217,"Výrobce / Dodavatel",C1217),"")</f>
        <v/>
      </c>
    </row>
    <row r="1218" spans="1:5" x14ac:dyDescent="0.35">
      <c r="A1218" s="902" t="str">
        <f t="shared" si="19"/>
        <v/>
      </c>
      <c r="B1218" s="903" t="str">
        <f>IF(Tabulka4[[#This Row],[Typ úlohy]]="Součet",G1218,IF(Tabulka4[[#This Row],[Typ úlohy]]="Účet",B1217,""))</f>
        <v/>
      </c>
      <c r="C1218" s="903" t="str">
        <f>IF(Tabulka4[[#This Row],[Typ úlohy]]="Účet",H1218,"")</f>
        <v/>
      </c>
      <c r="D1218" s="903" t="str">
        <f>IF(Tabulka4[[#This Row],[Typ úlohy]]="Účet",GETPIVOTDATA("Součet z Celková hmotnost položek [kg]",$G$2,"Zkratka kalkulační položky",B1218,"Výrobce / Dodavatel",C1218),"")</f>
        <v/>
      </c>
      <c r="E1218" s="904" t="str">
        <f>IF(Tabulka4[[#This Row],[Typ úlohy]]="Účet",GETPIVOTDATA("Součet z Celková cena bez DPH (CZK)",$G$3,"Zkratka kalkulační položky",B1218,"Výrobce / Dodavatel",C1218),"")</f>
        <v/>
      </c>
    </row>
    <row r="1219" spans="1:5" x14ac:dyDescent="0.35">
      <c r="A1219" s="902" t="str">
        <f t="shared" si="19"/>
        <v/>
      </c>
      <c r="B1219" s="903" t="str">
        <f>IF(Tabulka4[[#This Row],[Typ úlohy]]="Součet",G1219,IF(Tabulka4[[#This Row],[Typ úlohy]]="Účet",B1218,""))</f>
        <v/>
      </c>
      <c r="C1219" s="903" t="str">
        <f>IF(Tabulka4[[#This Row],[Typ úlohy]]="Účet",H1219,"")</f>
        <v/>
      </c>
      <c r="D1219" s="903" t="str">
        <f>IF(Tabulka4[[#This Row],[Typ úlohy]]="Účet",GETPIVOTDATA("Součet z Celková hmotnost položek [kg]",$G$2,"Zkratka kalkulační položky",B1219,"Výrobce / Dodavatel",C1219),"")</f>
        <v/>
      </c>
      <c r="E1219" s="904" t="str">
        <f>IF(Tabulka4[[#This Row],[Typ úlohy]]="Účet",GETPIVOTDATA("Součet z Celková cena bez DPH (CZK)",$G$3,"Zkratka kalkulační položky",B1219,"Výrobce / Dodavatel",C1219),"")</f>
        <v/>
      </c>
    </row>
    <row r="1220" spans="1:5" x14ac:dyDescent="0.35">
      <c r="A1220" s="902" t="str">
        <f t="shared" si="19"/>
        <v/>
      </c>
      <c r="B1220" s="903" t="str">
        <f>IF(Tabulka4[[#This Row],[Typ úlohy]]="Součet",G1220,IF(Tabulka4[[#This Row],[Typ úlohy]]="Účet",B1219,""))</f>
        <v/>
      </c>
      <c r="C1220" s="903" t="str">
        <f>IF(Tabulka4[[#This Row],[Typ úlohy]]="Účet",H1220,"")</f>
        <v/>
      </c>
      <c r="D1220" s="903" t="str">
        <f>IF(Tabulka4[[#This Row],[Typ úlohy]]="Účet",GETPIVOTDATA("Součet z Celková hmotnost položek [kg]",$G$2,"Zkratka kalkulační položky",B1220,"Výrobce / Dodavatel",C1220),"")</f>
        <v/>
      </c>
      <c r="E1220" s="904" t="str">
        <f>IF(Tabulka4[[#This Row],[Typ úlohy]]="Účet",GETPIVOTDATA("Součet z Celková cena bez DPH (CZK)",$G$3,"Zkratka kalkulační položky",B1220,"Výrobce / Dodavatel",C1220),"")</f>
        <v/>
      </c>
    </row>
    <row r="1221" spans="1:5" x14ac:dyDescent="0.35">
      <c r="A1221" s="902" t="str">
        <f t="shared" ref="A1221:A1284" si="20">IF(H1221="",IF(G1221="","","Součet"),"Účet")</f>
        <v/>
      </c>
      <c r="B1221" s="903" t="str">
        <f>IF(Tabulka4[[#This Row],[Typ úlohy]]="Součet",G1221,IF(Tabulka4[[#This Row],[Typ úlohy]]="Účet",B1220,""))</f>
        <v/>
      </c>
      <c r="C1221" s="903" t="str">
        <f>IF(Tabulka4[[#This Row],[Typ úlohy]]="Účet",H1221,"")</f>
        <v/>
      </c>
      <c r="D1221" s="903" t="str">
        <f>IF(Tabulka4[[#This Row],[Typ úlohy]]="Účet",GETPIVOTDATA("Součet z Celková hmotnost položek [kg]",$G$2,"Zkratka kalkulační položky",B1221,"Výrobce / Dodavatel",C1221),"")</f>
        <v/>
      </c>
      <c r="E1221" s="904" t="str">
        <f>IF(Tabulka4[[#This Row],[Typ úlohy]]="Účet",GETPIVOTDATA("Součet z Celková cena bez DPH (CZK)",$G$3,"Zkratka kalkulační položky",B1221,"Výrobce / Dodavatel",C1221),"")</f>
        <v/>
      </c>
    </row>
    <row r="1222" spans="1:5" x14ac:dyDescent="0.35">
      <c r="A1222" s="902" t="str">
        <f t="shared" si="20"/>
        <v/>
      </c>
      <c r="B1222" s="903" t="str">
        <f>IF(Tabulka4[[#This Row],[Typ úlohy]]="Součet",G1222,IF(Tabulka4[[#This Row],[Typ úlohy]]="Účet",B1221,""))</f>
        <v/>
      </c>
      <c r="C1222" s="903" t="str">
        <f>IF(Tabulka4[[#This Row],[Typ úlohy]]="Účet",H1222,"")</f>
        <v/>
      </c>
      <c r="D1222" s="903" t="str">
        <f>IF(Tabulka4[[#This Row],[Typ úlohy]]="Účet",GETPIVOTDATA("Součet z Celková hmotnost položek [kg]",$G$2,"Zkratka kalkulační položky",B1222,"Výrobce / Dodavatel",C1222),"")</f>
        <v/>
      </c>
      <c r="E1222" s="904" t="str">
        <f>IF(Tabulka4[[#This Row],[Typ úlohy]]="Účet",GETPIVOTDATA("Součet z Celková cena bez DPH (CZK)",$G$3,"Zkratka kalkulační položky",B1222,"Výrobce / Dodavatel",C1222),"")</f>
        <v/>
      </c>
    </row>
    <row r="1223" spans="1:5" x14ac:dyDescent="0.35">
      <c r="A1223" s="902" t="str">
        <f t="shared" si="20"/>
        <v/>
      </c>
      <c r="B1223" s="903" t="str">
        <f>IF(Tabulka4[[#This Row],[Typ úlohy]]="Součet",G1223,IF(Tabulka4[[#This Row],[Typ úlohy]]="Účet",B1222,""))</f>
        <v/>
      </c>
      <c r="C1223" s="903" t="str">
        <f>IF(Tabulka4[[#This Row],[Typ úlohy]]="Účet",H1223,"")</f>
        <v/>
      </c>
      <c r="D1223" s="903" t="str">
        <f>IF(Tabulka4[[#This Row],[Typ úlohy]]="Účet",GETPIVOTDATA("Součet z Celková hmotnost položek [kg]",$G$2,"Zkratka kalkulační položky",B1223,"Výrobce / Dodavatel",C1223),"")</f>
        <v/>
      </c>
      <c r="E1223" s="904" t="str">
        <f>IF(Tabulka4[[#This Row],[Typ úlohy]]="Účet",GETPIVOTDATA("Součet z Celková cena bez DPH (CZK)",$G$3,"Zkratka kalkulační položky",B1223,"Výrobce / Dodavatel",C1223),"")</f>
        <v/>
      </c>
    </row>
    <row r="1224" spans="1:5" x14ac:dyDescent="0.35">
      <c r="A1224" s="902" t="str">
        <f t="shared" si="20"/>
        <v/>
      </c>
      <c r="B1224" s="903" t="str">
        <f>IF(Tabulka4[[#This Row],[Typ úlohy]]="Součet",G1224,IF(Tabulka4[[#This Row],[Typ úlohy]]="Účet",B1223,""))</f>
        <v/>
      </c>
      <c r="C1224" s="903" t="str">
        <f>IF(Tabulka4[[#This Row],[Typ úlohy]]="Účet",H1224,"")</f>
        <v/>
      </c>
      <c r="D1224" s="903" t="str">
        <f>IF(Tabulka4[[#This Row],[Typ úlohy]]="Účet",GETPIVOTDATA("Součet z Celková hmotnost položek [kg]",$G$2,"Zkratka kalkulační položky",B1224,"Výrobce / Dodavatel",C1224),"")</f>
        <v/>
      </c>
      <c r="E1224" s="904" t="str">
        <f>IF(Tabulka4[[#This Row],[Typ úlohy]]="Účet",GETPIVOTDATA("Součet z Celková cena bez DPH (CZK)",$G$3,"Zkratka kalkulační položky",B1224,"Výrobce / Dodavatel",C1224),"")</f>
        <v/>
      </c>
    </row>
    <row r="1225" spans="1:5" x14ac:dyDescent="0.35">
      <c r="A1225" s="902" t="str">
        <f t="shared" si="20"/>
        <v/>
      </c>
      <c r="B1225" s="903" t="str">
        <f>IF(Tabulka4[[#This Row],[Typ úlohy]]="Součet",G1225,IF(Tabulka4[[#This Row],[Typ úlohy]]="Účet",B1224,""))</f>
        <v/>
      </c>
      <c r="C1225" s="903" t="str">
        <f>IF(Tabulka4[[#This Row],[Typ úlohy]]="Účet",H1225,"")</f>
        <v/>
      </c>
      <c r="D1225" s="903" t="str">
        <f>IF(Tabulka4[[#This Row],[Typ úlohy]]="Účet",GETPIVOTDATA("Součet z Celková hmotnost položek [kg]",$G$2,"Zkratka kalkulační položky",B1225,"Výrobce / Dodavatel",C1225),"")</f>
        <v/>
      </c>
      <c r="E1225" s="904" t="str">
        <f>IF(Tabulka4[[#This Row],[Typ úlohy]]="Účet",GETPIVOTDATA("Součet z Celková cena bez DPH (CZK)",$G$3,"Zkratka kalkulační položky",B1225,"Výrobce / Dodavatel",C1225),"")</f>
        <v/>
      </c>
    </row>
    <row r="1226" spans="1:5" x14ac:dyDescent="0.35">
      <c r="A1226" s="902" t="str">
        <f t="shared" si="20"/>
        <v/>
      </c>
      <c r="B1226" s="903" t="str">
        <f>IF(Tabulka4[[#This Row],[Typ úlohy]]="Součet",G1226,IF(Tabulka4[[#This Row],[Typ úlohy]]="Účet",B1225,""))</f>
        <v/>
      </c>
      <c r="C1226" s="903" t="str">
        <f>IF(Tabulka4[[#This Row],[Typ úlohy]]="Účet",H1226,"")</f>
        <v/>
      </c>
      <c r="D1226" s="903" t="str">
        <f>IF(Tabulka4[[#This Row],[Typ úlohy]]="Účet",GETPIVOTDATA("Součet z Celková hmotnost položek [kg]",$G$2,"Zkratka kalkulační položky",B1226,"Výrobce / Dodavatel",C1226),"")</f>
        <v/>
      </c>
      <c r="E1226" s="904" t="str">
        <f>IF(Tabulka4[[#This Row],[Typ úlohy]]="Účet",GETPIVOTDATA("Součet z Celková cena bez DPH (CZK)",$G$3,"Zkratka kalkulační položky",B1226,"Výrobce / Dodavatel",C1226),"")</f>
        <v/>
      </c>
    </row>
    <row r="1227" spans="1:5" x14ac:dyDescent="0.35">
      <c r="A1227" s="902" t="str">
        <f t="shared" si="20"/>
        <v/>
      </c>
      <c r="B1227" s="903" t="str">
        <f>IF(Tabulka4[[#This Row],[Typ úlohy]]="Součet",G1227,IF(Tabulka4[[#This Row],[Typ úlohy]]="Účet",B1226,""))</f>
        <v/>
      </c>
      <c r="C1227" s="903" t="str">
        <f>IF(Tabulka4[[#This Row],[Typ úlohy]]="Účet",H1227,"")</f>
        <v/>
      </c>
      <c r="D1227" s="903" t="str">
        <f>IF(Tabulka4[[#This Row],[Typ úlohy]]="Účet",GETPIVOTDATA("Součet z Celková hmotnost položek [kg]",$G$2,"Zkratka kalkulační položky",B1227,"Výrobce / Dodavatel",C1227),"")</f>
        <v/>
      </c>
      <c r="E1227" s="904" t="str">
        <f>IF(Tabulka4[[#This Row],[Typ úlohy]]="Účet",GETPIVOTDATA("Součet z Celková cena bez DPH (CZK)",$G$3,"Zkratka kalkulační položky",B1227,"Výrobce / Dodavatel",C1227),"")</f>
        <v/>
      </c>
    </row>
    <row r="1228" spans="1:5" x14ac:dyDescent="0.35">
      <c r="A1228" s="902" t="str">
        <f t="shared" si="20"/>
        <v/>
      </c>
      <c r="B1228" s="903" t="str">
        <f>IF(Tabulka4[[#This Row],[Typ úlohy]]="Součet",G1228,IF(Tabulka4[[#This Row],[Typ úlohy]]="Účet",B1227,""))</f>
        <v/>
      </c>
      <c r="C1228" s="903" t="str">
        <f>IF(Tabulka4[[#This Row],[Typ úlohy]]="Účet",H1228,"")</f>
        <v/>
      </c>
      <c r="D1228" s="903" t="str">
        <f>IF(Tabulka4[[#This Row],[Typ úlohy]]="Účet",GETPIVOTDATA("Součet z Celková hmotnost položek [kg]",$G$2,"Zkratka kalkulační položky",B1228,"Výrobce / Dodavatel",C1228),"")</f>
        <v/>
      </c>
      <c r="E1228" s="904" t="str">
        <f>IF(Tabulka4[[#This Row],[Typ úlohy]]="Účet",GETPIVOTDATA("Součet z Celková cena bez DPH (CZK)",$G$3,"Zkratka kalkulační položky",B1228,"Výrobce / Dodavatel",C1228),"")</f>
        <v/>
      </c>
    </row>
    <row r="1229" spans="1:5" x14ac:dyDescent="0.35">
      <c r="A1229" s="902" t="str">
        <f t="shared" si="20"/>
        <v/>
      </c>
      <c r="B1229" s="903" t="str">
        <f>IF(Tabulka4[[#This Row],[Typ úlohy]]="Součet",G1229,IF(Tabulka4[[#This Row],[Typ úlohy]]="Účet",B1228,""))</f>
        <v/>
      </c>
      <c r="C1229" s="903" t="str">
        <f>IF(Tabulka4[[#This Row],[Typ úlohy]]="Účet",H1229,"")</f>
        <v/>
      </c>
      <c r="D1229" s="903" t="str">
        <f>IF(Tabulka4[[#This Row],[Typ úlohy]]="Účet",GETPIVOTDATA("Součet z Celková hmotnost položek [kg]",$G$2,"Zkratka kalkulační položky",B1229,"Výrobce / Dodavatel",C1229),"")</f>
        <v/>
      </c>
      <c r="E1229" s="904" t="str">
        <f>IF(Tabulka4[[#This Row],[Typ úlohy]]="Účet",GETPIVOTDATA("Součet z Celková cena bez DPH (CZK)",$G$3,"Zkratka kalkulační položky",B1229,"Výrobce / Dodavatel",C1229),"")</f>
        <v/>
      </c>
    </row>
    <row r="1230" spans="1:5" x14ac:dyDescent="0.35">
      <c r="A1230" s="902" t="str">
        <f t="shared" si="20"/>
        <v/>
      </c>
      <c r="B1230" s="903" t="str">
        <f>IF(Tabulka4[[#This Row],[Typ úlohy]]="Součet",G1230,IF(Tabulka4[[#This Row],[Typ úlohy]]="Účet",B1229,""))</f>
        <v/>
      </c>
      <c r="C1230" s="903" t="str">
        <f>IF(Tabulka4[[#This Row],[Typ úlohy]]="Účet",H1230,"")</f>
        <v/>
      </c>
      <c r="D1230" s="903" t="str">
        <f>IF(Tabulka4[[#This Row],[Typ úlohy]]="Účet",GETPIVOTDATA("Součet z Celková hmotnost položek [kg]",$G$2,"Zkratka kalkulační položky",B1230,"Výrobce / Dodavatel",C1230),"")</f>
        <v/>
      </c>
      <c r="E1230" s="904" t="str">
        <f>IF(Tabulka4[[#This Row],[Typ úlohy]]="Účet",GETPIVOTDATA("Součet z Celková cena bez DPH (CZK)",$G$3,"Zkratka kalkulační položky",B1230,"Výrobce / Dodavatel",C1230),"")</f>
        <v/>
      </c>
    </row>
    <row r="1231" spans="1:5" x14ac:dyDescent="0.35">
      <c r="A1231" s="902" t="str">
        <f t="shared" si="20"/>
        <v/>
      </c>
      <c r="B1231" s="903" t="str">
        <f>IF(Tabulka4[[#This Row],[Typ úlohy]]="Součet",G1231,IF(Tabulka4[[#This Row],[Typ úlohy]]="Účet",B1230,""))</f>
        <v/>
      </c>
      <c r="C1231" s="903" t="str">
        <f>IF(Tabulka4[[#This Row],[Typ úlohy]]="Účet",H1231,"")</f>
        <v/>
      </c>
      <c r="D1231" s="903" t="str">
        <f>IF(Tabulka4[[#This Row],[Typ úlohy]]="Účet",GETPIVOTDATA("Součet z Celková hmotnost položek [kg]",$G$2,"Zkratka kalkulační položky",B1231,"Výrobce / Dodavatel",C1231),"")</f>
        <v/>
      </c>
      <c r="E1231" s="904" t="str">
        <f>IF(Tabulka4[[#This Row],[Typ úlohy]]="Účet",GETPIVOTDATA("Součet z Celková cena bez DPH (CZK)",$G$3,"Zkratka kalkulační položky",B1231,"Výrobce / Dodavatel",C1231),"")</f>
        <v/>
      </c>
    </row>
    <row r="1232" spans="1:5" x14ac:dyDescent="0.35">
      <c r="A1232" s="902" t="str">
        <f t="shared" si="20"/>
        <v/>
      </c>
      <c r="B1232" s="903" t="str">
        <f>IF(Tabulka4[[#This Row],[Typ úlohy]]="Součet",G1232,IF(Tabulka4[[#This Row],[Typ úlohy]]="Účet",B1231,""))</f>
        <v/>
      </c>
      <c r="C1232" s="903" t="str">
        <f>IF(Tabulka4[[#This Row],[Typ úlohy]]="Účet",H1232,"")</f>
        <v/>
      </c>
      <c r="D1232" s="903" t="str">
        <f>IF(Tabulka4[[#This Row],[Typ úlohy]]="Účet",GETPIVOTDATA("Součet z Celková hmotnost položek [kg]",$G$2,"Zkratka kalkulační položky",B1232,"Výrobce / Dodavatel",C1232),"")</f>
        <v/>
      </c>
      <c r="E1232" s="904" t="str">
        <f>IF(Tabulka4[[#This Row],[Typ úlohy]]="Účet",GETPIVOTDATA("Součet z Celková cena bez DPH (CZK)",$G$3,"Zkratka kalkulační položky",B1232,"Výrobce / Dodavatel",C1232),"")</f>
        <v/>
      </c>
    </row>
    <row r="1233" spans="1:5" x14ac:dyDescent="0.35">
      <c r="A1233" s="902" t="str">
        <f t="shared" si="20"/>
        <v/>
      </c>
      <c r="B1233" s="903" t="str">
        <f>IF(Tabulka4[[#This Row],[Typ úlohy]]="Součet",G1233,IF(Tabulka4[[#This Row],[Typ úlohy]]="Účet",B1232,""))</f>
        <v/>
      </c>
      <c r="C1233" s="903" t="str">
        <f>IF(Tabulka4[[#This Row],[Typ úlohy]]="Účet",H1233,"")</f>
        <v/>
      </c>
      <c r="D1233" s="903" t="str">
        <f>IF(Tabulka4[[#This Row],[Typ úlohy]]="Účet",GETPIVOTDATA("Součet z Celková hmotnost položek [kg]",$G$2,"Zkratka kalkulační položky",B1233,"Výrobce / Dodavatel",C1233),"")</f>
        <v/>
      </c>
      <c r="E1233" s="904" t="str">
        <f>IF(Tabulka4[[#This Row],[Typ úlohy]]="Účet",GETPIVOTDATA("Součet z Celková cena bez DPH (CZK)",$G$3,"Zkratka kalkulační položky",B1233,"Výrobce / Dodavatel",C1233),"")</f>
        <v/>
      </c>
    </row>
    <row r="1234" spans="1:5" x14ac:dyDescent="0.35">
      <c r="A1234" s="902" t="str">
        <f t="shared" si="20"/>
        <v/>
      </c>
      <c r="B1234" s="903" t="str">
        <f>IF(Tabulka4[[#This Row],[Typ úlohy]]="Součet",G1234,IF(Tabulka4[[#This Row],[Typ úlohy]]="Účet",B1233,""))</f>
        <v/>
      </c>
      <c r="C1234" s="903" t="str">
        <f>IF(Tabulka4[[#This Row],[Typ úlohy]]="Účet",H1234,"")</f>
        <v/>
      </c>
      <c r="D1234" s="903" t="str">
        <f>IF(Tabulka4[[#This Row],[Typ úlohy]]="Účet",GETPIVOTDATA("Součet z Celková hmotnost položek [kg]",$G$2,"Zkratka kalkulační položky",B1234,"Výrobce / Dodavatel",C1234),"")</f>
        <v/>
      </c>
      <c r="E1234" s="904" t="str">
        <f>IF(Tabulka4[[#This Row],[Typ úlohy]]="Účet",GETPIVOTDATA("Součet z Celková cena bez DPH (CZK)",$G$3,"Zkratka kalkulační položky",B1234,"Výrobce / Dodavatel",C1234),"")</f>
        <v/>
      </c>
    </row>
    <row r="1235" spans="1:5" x14ac:dyDescent="0.35">
      <c r="A1235" s="902" t="str">
        <f t="shared" si="20"/>
        <v/>
      </c>
      <c r="B1235" s="903" t="str">
        <f>IF(Tabulka4[[#This Row],[Typ úlohy]]="Součet",G1235,IF(Tabulka4[[#This Row],[Typ úlohy]]="Účet",B1234,""))</f>
        <v/>
      </c>
      <c r="C1235" s="903" t="str">
        <f>IF(Tabulka4[[#This Row],[Typ úlohy]]="Účet",H1235,"")</f>
        <v/>
      </c>
      <c r="D1235" s="903" t="str">
        <f>IF(Tabulka4[[#This Row],[Typ úlohy]]="Účet",GETPIVOTDATA("Součet z Celková hmotnost položek [kg]",$G$2,"Zkratka kalkulační položky",B1235,"Výrobce / Dodavatel",C1235),"")</f>
        <v/>
      </c>
      <c r="E1235" s="904" t="str">
        <f>IF(Tabulka4[[#This Row],[Typ úlohy]]="Účet",GETPIVOTDATA("Součet z Celková cena bez DPH (CZK)",$G$3,"Zkratka kalkulační položky",B1235,"Výrobce / Dodavatel",C1235),"")</f>
        <v/>
      </c>
    </row>
    <row r="1236" spans="1:5" x14ac:dyDescent="0.35">
      <c r="A1236" s="902" t="str">
        <f t="shared" si="20"/>
        <v/>
      </c>
      <c r="B1236" s="903" t="str">
        <f>IF(Tabulka4[[#This Row],[Typ úlohy]]="Součet",G1236,IF(Tabulka4[[#This Row],[Typ úlohy]]="Účet",B1235,""))</f>
        <v/>
      </c>
      <c r="C1236" s="903" t="str">
        <f>IF(Tabulka4[[#This Row],[Typ úlohy]]="Účet",H1236,"")</f>
        <v/>
      </c>
      <c r="D1236" s="903" t="str">
        <f>IF(Tabulka4[[#This Row],[Typ úlohy]]="Účet",GETPIVOTDATA("Součet z Celková hmotnost položek [kg]",$G$2,"Zkratka kalkulační položky",B1236,"Výrobce / Dodavatel",C1236),"")</f>
        <v/>
      </c>
      <c r="E1236" s="904" t="str">
        <f>IF(Tabulka4[[#This Row],[Typ úlohy]]="Účet",GETPIVOTDATA("Součet z Celková cena bez DPH (CZK)",$G$3,"Zkratka kalkulační položky",B1236,"Výrobce / Dodavatel",C1236),"")</f>
        <v/>
      </c>
    </row>
    <row r="1237" spans="1:5" x14ac:dyDescent="0.35">
      <c r="A1237" s="902" t="str">
        <f t="shared" si="20"/>
        <v/>
      </c>
      <c r="B1237" s="903" t="str">
        <f>IF(Tabulka4[[#This Row],[Typ úlohy]]="Součet",G1237,IF(Tabulka4[[#This Row],[Typ úlohy]]="Účet",B1236,""))</f>
        <v/>
      </c>
      <c r="C1237" s="903" t="str">
        <f>IF(Tabulka4[[#This Row],[Typ úlohy]]="Účet",H1237,"")</f>
        <v/>
      </c>
      <c r="D1237" s="903" t="str">
        <f>IF(Tabulka4[[#This Row],[Typ úlohy]]="Účet",GETPIVOTDATA("Součet z Celková hmotnost položek [kg]",$G$2,"Zkratka kalkulační položky",B1237,"Výrobce / Dodavatel",C1237),"")</f>
        <v/>
      </c>
      <c r="E1237" s="904" t="str">
        <f>IF(Tabulka4[[#This Row],[Typ úlohy]]="Účet",GETPIVOTDATA("Součet z Celková cena bez DPH (CZK)",$G$3,"Zkratka kalkulační položky",B1237,"Výrobce / Dodavatel",C1237),"")</f>
        <v/>
      </c>
    </row>
    <row r="1238" spans="1:5" x14ac:dyDescent="0.35">
      <c r="A1238" s="902" t="str">
        <f t="shared" si="20"/>
        <v/>
      </c>
      <c r="B1238" s="903" t="str">
        <f>IF(Tabulka4[[#This Row],[Typ úlohy]]="Součet",G1238,IF(Tabulka4[[#This Row],[Typ úlohy]]="Účet",B1237,""))</f>
        <v/>
      </c>
      <c r="C1238" s="903" t="str">
        <f>IF(Tabulka4[[#This Row],[Typ úlohy]]="Účet",H1238,"")</f>
        <v/>
      </c>
      <c r="D1238" s="903" t="str">
        <f>IF(Tabulka4[[#This Row],[Typ úlohy]]="Účet",GETPIVOTDATA("Součet z Celková hmotnost položek [kg]",$G$2,"Zkratka kalkulační položky",B1238,"Výrobce / Dodavatel",C1238),"")</f>
        <v/>
      </c>
      <c r="E1238" s="904" t="str">
        <f>IF(Tabulka4[[#This Row],[Typ úlohy]]="Účet",GETPIVOTDATA("Součet z Celková cena bez DPH (CZK)",$G$3,"Zkratka kalkulační položky",B1238,"Výrobce / Dodavatel",C1238),"")</f>
        <v/>
      </c>
    </row>
    <row r="1239" spans="1:5" x14ac:dyDescent="0.35">
      <c r="A1239" s="902" t="str">
        <f t="shared" si="20"/>
        <v/>
      </c>
      <c r="B1239" s="903" t="str">
        <f>IF(Tabulka4[[#This Row],[Typ úlohy]]="Součet",G1239,IF(Tabulka4[[#This Row],[Typ úlohy]]="Účet",B1238,""))</f>
        <v/>
      </c>
      <c r="C1239" s="903" t="str">
        <f>IF(Tabulka4[[#This Row],[Typ úlohy]]="Účet",H1239,"")</f>
        <v/>
      </c>
      <c r="D1239" s="903" t="str">
        <f>IF(Tabulka4[[#This Row],[Typ úlohy]]="Účet",GETPIVOTDATA("Součet z Celková hmotnost položek [kg]",$G$2,"Zkratka kalkulační položky",B1239,"Výrobce / Dodavatel",C1239),"")</f>
        <v/>
      </c>
      <c r="E1239" s="904" t="str">
        <f>IF(Tabulka4[[#This Row],[Typ úlohy]]="Účet",GETPIVOTDATA("Součet z Celková cena bez DPH (CZK)",$G$3,"Zkratka kalkulační položky",B1239,"Výrobce / Dodavatel",C1239),"")</f>
        <v/>
      </c>
    </row>
    <row r="1240" spans="1:5" x14ac:dyDescent="0.35">
      <c r="A1240" s="902" t="str">
        <f t="shared" si="20"/>
        <v/>
      </c>
      <c r="B1240" s="903" t="str">
        <f>IF(Tabulka4[[#This Row],[Typ úlohy]]="Součet",G1240,IF(Tabulka4[[#This Row],[Typ úlohy]]="Účet",B1239,""))</f>
        <v/>
      </c>
      <c r="C1240" s="903" t="str">
        <f>IF(Tabulka4[[#This Row],[Typ úlohy]]="Účet",H1240,"")</f>
        <v/>
      </c>
      <c r="D1240" s="903" t="str">
        <f>IF(Tabulka4[[#This Row],[Typ úlohy]]="Účet",GETPIVOTDATA("Součet z Celková hmotnost položek [kg]",$G$2,"Zkratka kalkulační položky",B1240,"Výrobce / Dodavatel",C1240),"")</f>
        <v/>
      </c>
      <c r="E1240" s="904" t="str">
        <f>IF(Tabulka4[[#This Row],[Typ úlohy]]="Účet",GETPIVOTDATA("Součet z Celková cena bez DPH (CZK)",$G$3,"Zkratka kalkulační položky",B1240,"Výrobce / Dodavatel",C1240),"")</f>
        <v/>
      </c>
    </row>
    <row r="1241" spans="1:5" x14ac:dyDescent="0.35">
      <c r="A1241" s="902" t="str">
        <f t="shared" si="20"/>
        <v/>
      </c>
      <c r="B1241" s="903" t="str">
        <f>IF(Tabulka4[[#This Row],[Typ úlohy]]="Součet",G1241,IF(Tabulka4[[#This Row],[Typ úlohy]]="Účet",B1240,""))</f>
        <v/>
      </c>
      <c r="C1241" s="903" t="str">
        <f>IF(Tabulka4[[#This Row],[Typ úlohy]]="Účet",H1241,"")</f>
        <v/>
      </c>
      <c r="D1241" s="903" t="str">
        <f>IF(Tabulka4[[#This Row],[Typ úlohy]]="Účet",GETPIVOTDATA("Součet z Celková hmotnost položek [kg]",$G$2,"Zkratka kalkulační položky",B1241,"Výrobce / Dodavatel",C1241),"")</f>
        <v/>
      </c>
      <c r="E1241" s="904" t="str">
        <f>IF(Tabulka4[[#This Row],[Typ úlohy]]="Účet",GETPIVOTDATA("Součet z Celková cena bez DPH (CZK)",$G$3,"Zkratka kalkulační položky",B1241,"Výrobce / Dodavatel",C1241),"")</f>
        <v/>
      </c>
    </row>
    <row r="1242" spans="1:5" x14ac:dyDescent="0.35">
      <c r="A1242" s="902" t="str">
        <f t="shared" si="20"/>
        <v/>
      </c>
      <c r="B1242" s="903" t="str">
        <f>IF(Tabulka4[[#This Row],[Typ úlohy]]="Součet",G1242,IF(Tabulka4[[#This Row],[Typ úlohy]]="Účet",B1241,""))</f>
        <v/>
      </c>
      <c r="C1242" s="903" t="str">
        <f>IF(Tabulka4[[#This Row],[Typ úlohy]]="Účet",H1242,"")</f>
        <v/>
      </c>
      <c r="D1242" s="903" t="str">
        <f>IF(Tabulka4[[#This Row],[Typ úlohy]]="Účet",GETPIVOTDATA("Součet z Celková hmotnost položek [kg]",$G$2,"Zkratka kalkulační položky",B1242,"Výrobce / Dodavatel",C1242),"")</f>
        <v/>
      </c>
      <c r="E1242" s="904" t="str">
        <f>IF(Tabulka4[[#This Row],[Typ úlohy]]="Účet",GETPIVOTDATA("Součet z Celková cena bez DPH (CZK)",$G$3,"Zkratka kalkulační položky",B1242,"Výrobce / Dodavatel",C1242),"")</f>
        <v/>
      </c>
    </row>
    <row r="1243" spans="1:5" x14ac:dyDescent="0.35">
      <c r="A1243" s="902" t="str">
        <f t="shared" si="20"/>
        <v/>
      </c>
      <c r="B1243" s="903" t="str">
        <f>IF(Tabulka4[[#This Row],[Typ úlohy]]="Součet",G1243,IF(Tabulka4[[#This Row],[Typ úlohy]]="Účet",B1242,""))</f>
        <v/>
      </c>
      <c r="C1243" s="903" t="str">
        <f>IF(Tabulka4[[#This Row],[Typ úlohy]]="Účet",H1243,"")</f>
        <v/>
      </c>
      <c r="D1243" s="903" t="str">
        <f>IF(Tabulka4[[#This Row],[Typ úlohy]]="Účet",GETPIVOTDATA("Součet z Celková hmotnost položek [kg]",$G$2,"Zkratka kalkulační položky",B1243,"Výrobce / Dodavatel",C1243),"")</f>
        <v/>
      </c>
      <c r="E1243" s="904" t="str">
        <f>IF(Tabulka4[[#This Row],[Typ úlohy]]="Účet",GETPIVOTDATA("Součet z Celková cena bez DPH (CZK)",$G$3,"Zkratka kalkulační položky",B1243,"Výrobce / Dodavatel",C1243),"")</f>
        <v/>
      </c>
    </row>
    <row r="1244" spans="1:5" x14ac:dyDescent="0.35">
      <c r="A1244" s="902" t="str">
        <f t="shared" si="20"/>
        <v/>
      </c>
      <c r="B1244" s="903" t="str">
        <f>IF(Tabulka4[[#This Row],[Typ úlohy]]="Součet",G1244,IF(Tabulka4[[#This Row],[Typ úlohy]]="Účet",B1243,""))</f>
        <v/>
      </c>
      <c r="C1244" s="903" t="str">
        <f>IF(Tabulka4[[#This Row],[Typ úlohy]]="Účet",H1244,"")</f>
        <v/>
      </c>
      <c r="D1244" s="903" t="str">
        <f>IF(Tabulka4[[#This Row],[Typ úlohy]]="Účet",GETPIVOTDATA("Součet z Celková hmotnost položek [kg]",$G$2,"Zkratka kalkulační položky",B1244,"Výrobce / Dodavatel",C1244),"")</f>
        <v/>
      </c>
      <c r="E1244" s="904" t="str">
        <f>IF(Tabulka4[[#This Row],[Typ úlohy]]="Účet",GETPIVOTDATA("Součet z Celková cena bez DPH (CZK)",$G$3,"Zkratka kalkulační položky",B1244,"Výrobce / Dodavatel",C1244),"")</f>
        <v/>
      </c>
    </row>
    <row r="1245" spans="1:5" x14ac:dyDescent="0.35">
      <c r="A1245" s="902" t="str">
        <f t="shared" si="20"/>
        <v/>
      </c>
      <c r="B1245" s="903" t="str">
        <f>IF(Tabulka4[[#This Row],[Typ úlohy]]="Součet",G1245,IF(Tabulka4[[#This Row],[Typ úlohy]]="Účet",B1244,""))</f>
        <v/>
      </c>
      <c r="C1245" s="903" t="str">
        <f>IF(Tabulka4[[#This Row],[Typ úlohy]]="Účet",H1245,"")</f>
        <v/>
      </c>
      <c r="D1245" s="903" t="str">
        <f>IF(Tabulka4[[#This Row],[Typ úlohy]]="Účet",GETPIVOTDATA("Součet z Celková hmotnost položek [kg]",$G$2,"Zkratka kalkulační položky",B1245,"Výrobce / Dodavatel",C1245),"")</f>
        <v/>
      </c>
      <c r="E1245" s="904" t="str">
        <f>IF(Tabulka4[[#This Row],[Typ úlohy]]="Účet",GETPIVOTDATA("Součet z Celková cena bez DPH (CZK)",$G$3,"Zkratka kalkulační položky",B1245,"Výrobce / Dodavatel",C1245),"")</f>
        <v/>
      </c>
    </row>
    <row r="1246" spans="1:5" x14ac:dyDescent="0.35">
      <c r="A1246" s="902" t="str">
        <f t="shared" si="20"/>
        <v/>
      </c>
      <c r="B1246" s="903" t="str">
        <f>IF(Tabulka4[[#This Row],[Typ úlohy]]="Součet",G1246,IF(Tabulka4[[#This Row],[Typ úlohy]]="Účet",B1245,""))</f>
        <v/>
      </c>
      <c r="C1246" s="903" t="str">
        <f>IF(Tabulka4[[#This Row],[Typ úlohy]]="Účet",H1246,"")</f>
        <v/>
      </c>
      <c r="D1246" s="903" t="str">
        <f>IF(Tabulka4[[#This Row],[Typ úlohy]]="Účet",GETPIVOTDATA("Součet z Celková hmotnost položek [kg]",$G$2,"Zkratka kalkulační položky",B1246,"Výrobce / Dodavatel",C1246),"")</f>
        <v/>
      </c>
      <c r="E1246" s="904" t="str">
        <f>IF(Tabulka4[[#This Row],[Typ úlohy]]="Účet",GETPIVOTDATA("Součet z Celková cena bez DPH (CZK)",$G$3,"Zkratka kalkulační položky",B1246,"Výrobce / Dodavatel",C1246),"")</f>
        <v/>
      </c>
    </row>
    <row r="1247" spans="1:5" x14ac:dyDescent="0.35">
      <c r="A1247" s="902" t="str">
        <f t="shared" si="20"/>
        <v/>
      </c>
      <c r="B1247" s="903" t="str">
        <f>IF(Tabulka4[[#This Row],[Typ úlohy]]="Součet",G1247,IF(Tabulka4[[#This Row],[Typ úlohy]]="Účet",B1246,""))</f>
        <v/>
      </c>
      <c r="C1247" s="903" t="str">
        <f>IF(Tabulka4[[#This Row],[Typ úlohy]]="Účet",H1247,"")</f>
        <v/>
      </c>
      <c r="D1247" s="903" t="str">
        <f>IF(Tabulka4[[#This Row],[Typ úlohy]]="Účet",GETPIVOTDATA("Součet z Celková hmotnost položek [kg]",$G$2,"Zkratka kalkulační položky",B1247,"Výrobce / Dodavatel",C1247),"")</f>
        <v/>
      </c>
      <c r="E1247" s="904" t="str">
        <f>IF(Tabulka4[[#This Row],[Typ úlohy]]="Účet",GETPIVOTDATA("Součet z Celková cena bez DPH (CZK)",$G$3,"Zkratka kalkulační položky",B1247,"Výrobce / Dodavatel",C1247),"")</f>
        <v/>
      </c>
    </row>
    <row r="1248" spans="1:5" x14ac:dyDescent="0.35">
      <c r="A1248" s="902" t="str">
        <f t="shared" si="20"/>
        <v/>
      </c>
      <c r="B1248" s="903" t="str">
        <f>IF(Tabulka4[[#This Row],[Typ úlohy]]="Součet",G1248,IF(Tabulka4[[#This Row],[Typ úlohy]]="Účet",B1247,""))</f>
        <v/>
      </c>
      <c r="C1248" s="903" t="str">
        <f>IF(Tabulka4[[#This Row],[Typ úlohy]]="Účet",H1248,"")</f>
        <v/>
      </c>
      <c r="D1248" s="903" t="str">
        <f>IF(Tabulka4[[#This Row],[Typ úlohy]]="Účet",GETPIVOTDATA("Součet z Celková hmotnost položek [kg]",$G$2,"Zkratka kalkulační položky",B1248,"Výrobce / Dodavatel",C1248),"")</f>
        <v/>
      </c>
      <c r="E1248" s="904" t="str">
        <f>IF(Tabulka4[[#This Row],[Typ úlohy]]="Účet",GETPIVOTDATA("Součet z Celková cena bez DPH (CZK)",$G$3,"Zkratka kalkulační položky",B1248,"Výrobce / Dodavatel",C1248),"")</f>
        <v/>
      </c>
    </row>
    <row r="1249" spans="1:5" x14ac:dyDescent="0.35">
      <c r="A1249" s="902" t="str">
        <f t="shared" si="20"/>
        <v/>
      </c>
      <c r="B1249" s="903" t="str">
        <f>IF(Tabulka4[[#This Row],[Typ úlohy]]="Součet",G1249,IF(Tabulka4[[#This Row],[Typ úlohy]]="Účet",B1248,""))</f>
        <v/>
      </c>
      <c r="C1249" s="903" t="str">
        <f>IF(Tabulka4[[#This Row],[Typ úlohy]]="Účet",H1249,"")</f>
        <v/>
      </c>
      <c r="D1249" s="903" t="str">
        <f>IF(Tabulka4[[#This Row],[Typ úlohy]]="Účet",GETPIVOTDATA("Součet z Celková hmotnost položek [kg]",$G$2,"Zkratka kalkulační položky",B1249,"Výrobce / Dodavatel",C1249),"")</f>
        <v/>
      </c>
      <c r="E1249" s="904" t="str">
        <f>IF(Tabulka4[[#This Row],[Typ úlohy]]="Účet",GETPIVOTDATA("Součet z Celková cena bez DPH (CZK)",$G$3,"Zkratka kalkulační položky",B1249,"Výrobce / Dodavatel",C1249),"")</f>
        <v/>
      </c>
    </row>
    <row r="1250" spans="1:5" x14ac:dyDescent="0.35">
      <c r="A1250" s="902" t="str">
        <f t="shared" si="20"/>
        <v/>
      </c>
      <c r="B1250" s="903" t="str">
        <f>IF(Tabulka4[[#This Row],[Typ úlohy]]="Součet",G1250,IF(Tabulka4[[#This Row],[Typ úlohy]]="Účet",B1249,""))</f>
        <v/>
      </c>
      <c r="C1250" s="903" t="str">
        <f>IF(Tabulka4[[#This Row],[Typ úlohy]]="Účet",H1250,"")</f>
        <v/>
      </c>
      <c r="D1250" s="903" t="str">
        <f>IF(Tabulka4[[#This Row],[Typ úlohy]]="Účet",GETPIVOTDATA("Součet z Celková hmotnost položek [kg]",$G$2,"Zkratka kalkulační položky",B1250,"Výrobce / Dodavatel",C1250),"")</f>
        <v/>
      </c>
      <c r="E1250" s="904" t="str">
        <f>IF(Tabulka4[[#This Row],[Typ úlohy]]="Účet",GETPIVOTDATA("Součet z Celková cena bez DPH (CZK)",$G$3,"Zkratka kalkulační položky",B1250,"Výrobce / Dodavatel",C1250),"")</f>
        <v/>
      </c>
    </row>
    <row r="1251" spans="1:5" x14ac:dyDescent="0.35">
      <c r="A1251" s="902" t="str">
        <f t="shared" si="20"/>
        <v/>
      </c>
      <c r="B1251" s="903" t="str">
        <f>IF(Tabulka4[[#This Row],[Typ úlohy]]="Součet",G1251,IF(Tabulka4[[#This Row],[Typ úlohy]]="Účet",B1250,""))</f>
        <v/>
      </c>
      <c r="C1251" s="903" t="str">
        <f>IF(Tabulka4[[#This Row],[Typ úlohy]]="Účet",H1251,"")</f>
        <v/>
      </c>
      <c r="D1251" s="903" t="str">
        <f>IF(Tabulka4[[#This Row],[Typ úlohy]]="Účet",GETPIVOTDATA("Součet z Celková hmotnost položek [kg]",$G$2,"Zkratka kalkulační položky",B1251,"Výrobce / Dodavatel",C1251),"")</f>
        <v/>
      </c>
      <c r="E1251" s="904" t="str">
        <f>IF(Tabulka4[[#This Row],[Typ úlohy]]="Účet",GETPIVOTDATA("Součet z Celková cena bez DPH (CZK)",$G$3,"Zkratka kalkulační položky",B1251,"Výrobce / Dodavatel",C1251),"")</f>
        <v/>
      </c>
    </row>
    <row r="1252" spans="1:5" x14ac:dyDescent="0.35">
      <c r="A1252" s="902" t="str">
        <f t="shared" si="20"/>
        <v/>
      </c>
      <c r="B1252" s="903" t="str">
        <f>IF(Tabulka4[[#This Row],[Typ úlohy]]="Součet",G1252,IF(Tabulka4[[#This Row],[Typ úlohy]]="Účet",B1251,""))</f>
        <v/>
      </c>
      <c r="C1252" s="903" t="str">
        <f>IF(Tabulka4[[#This Row],[Typ úlohy]]="Účet",H1252,"")</f>
        <v/>
      </c>
      <c r="D1252" s="903" t="str">
        <f>IF(Tabulka4[[#This Row],[Typ úlohy]]="Účet",GETPIVOTDATA("Součet z Celková hmotnost položek [kg]",$G$2,"Zkratka kalkulační položky",B1252,"Výrobce / Dodavatel",C1252),"")</f>
        <v/>
      </c>
      <c r="E1252" s="904" t="str">
        <f>IF(Tabulka4[[#This Row],[Typ úlohy]]="Účet",GETPIVOTDATA("Součet z Celková cena bez DPH (CZK)",$G$3,"Zkratka kalkulační položky",B1252,"Výrobce / Dodavatel",C1252),"")</f>
        <v/>
      </c>
    </row>
    <row r="1253" spans="1:5" x14ac:dyDescent="0.35">
      <c r="A1253" s="902" t="str">
        <f t="shared" si="20"/>
        <v/>
      </c>
      <c r="B1253" s="903" t="str">
        <f>IF(Tabulka4[[#This Row],[Typ úlohy]]="Součet",G1253,IF(Tabulka4[[#This Row],[Typ úlohy]]="Účet",B1252,""))</f>
        <v/>
      </c>
      <c r="C1253" s="903" t="str">
        <f>IF(Tabulka4[[#This Row],[Typ úlohy]]="Účet",H1253,"")</f>
        <v/>
      </c>
      <c r="D1253" s="903" t="str">
        <f>IF(Tabulka4[[#This Row],[Typ úlohy]]="Účet",GETPIVOTDATA("Součet z Celková hmotnost položek [kg]",$G$2,"Zkratka kalkulační položky",B1253,"Výrobce / Dodavatel",C1253),"")</f>
        <v/>
      </c>
      <c r="E1253" s="904" t="str">
        <f>IF(Tabulka4[[#This Row],[Typ úlohy]]="Účet",GETPIVOTDATA("Součet z Celková cena bez DPH (CZK)",$G$3,"Zkratka kalkulační položky",B1253,"Výrobce / Dodavatel",C1253),"")</f>
        <v/>
      </c>
    </row>
    <row r="1254" spans="1:5" x14ac:dyDescent="0.35">
      <c r="A1254" s="902" t="str">
        <f t="shared" si="20"/>
        <v/>
      </c>
      <c r="B1254" s="903" t="str">
        <f>IF(Tabulka4[[#This Row],[Typ úlohy]]="Součet",G1254,IF(Tabulka4[[#This Row],[Typ úlohy]]="Účet",B1253,""))</f>
        <v/>
      </c>
      <c r="C1254" s="903" t="str">
        <f>IF(Tabulka4[[#This Row],[Typ úlohy]]="Účet",H1254,"")</f>
        <v/>
      </c>
      <c r="D1254" s="903" t="str">
        <f>IF(Tabulka4[[#This Row],[Typ úlohy]]="Účet",GETPIVOTDATA("Součet z Celková hmotnost položek [kg]",$G$2,"Zkratka kalkulační položky",B1254,"Výrobce / Dodavatel",C1254),"")</f>
        <v/>
      </c>
      <c r="E1254" s="904" t="str">
        <f>IF(Tabulka4[[#This Row],[Typ úlohy]]="Účet",GETPIVOTDATA("Součet z Celková cena bez DPH (CZK)",$G$3,"Zkratka kalkulační položky",B1254,"Výrobce / Dodavatel",C1254),"")</f>
        <v/>
      </c>
    </row>
    <row r="1255" spans="1:5" x14ac:dyDescent="0.35">
      <c r="A1255" s="902" t="str">
        <f t="shared" si="20"/>
        <v/>
      </c>
      <c r="B1255" s="903" t="str">
        <f>IF(Tabulka4[[#This Row],[Typ úlohy]]="Součet",G1255,IF(Tabulka4[[#This Row],[Typ úlohy]]="Účet",B1254,""))</f>
        <v/>
      </c>
      <c r="C1255" s="903" t="str">
        <f>IF(Tabulka4[[#This Row],[Typ úlohy]]="Účet",H1255,"")</f>
        <v/>
      </c>
      <c r="D1255" s="903" t="str">
        <f>IF(Tabulka4[[#This Row],[Typ úlohy]]="Účet",GETPIVOTDATA("Součet z Celková hmotnost položek [kg]",$G$2,"Zkratka kalkulační položky",B1255,"Výrobce / Dodavatel",C1255),"")</f>
        <v/>
      </c>
      <c r="E1255" s="904" t="str">
        <f>IF(Tabulka4[[#This Row],[Typ úlohy]]="Účet",GETPIVOTDATA("Součet z Celková cena bez DPH (CZK)",$G$3,"Zkratka kalkulační položky",B1255,"Výrobce / Dodavatel",C1255),"")</f>
        <v/>
      </c>
    </row>
    <row r="1256" spans="1:5" x14ac:dyDescent="0.35">
      <c r="A1256" s="902" t="str">
        <f t="shared" si="20"/>
        <v/>
      </c>
      <c r="B1256" s="903" t="str">
        <f>IF(Tabulka4[[#This Row],[Typ úlohy]]="Součet",G1256,IF(Tabulka4[[#This Row],[Typ úlohy]]="Účet",B1255,""))</f>
        <v/>
      </c>
      <c r="C1256" s="903" t="str">
        <f>IF(Tabulka4[[#This Row],[Typ úlohy]]="Účet",H1256,"")</f>
        <v/>
      </c>
      <c r="D1256" s="903" t="str">
        <f>IF(Tabulka4[[#This Row],[Typ úlohy]]="Účet",GETPIVOTDATA("Součet z Celková hmotnost položek [kg]",$G$2,"Zkratka kalkulační položky",B1256,"Výrobce / Dodavatel",C1256),"")</f>
        <v/>
      </c>
      <c r="E1256" s="904" t="str">
        <f>IF(Tabulka4[[#This Row],[Typ úlohy]]="Účet",GETPIVOTDATA("Součet z Celková cena bez DPH (CZK)",$G$3,"Zkratka kalkulační položky",B1256,"Výrobce / Dodavatel",C1256),"")</f>
        <v/>
      </c>
    </row>
    <row r="1257" spans="1:5" x14ac:dyDescent="0.35">
      <c r="A1257" s="902" t="str">
        <f t="shared" si="20"/>
        <v/>
      </c>
      <c r="B1257" s="903" t="str">
        <f>IF(Tabulka4[[#This Row],[Typ úlohy]]="Součet",G1257,IF(Tabulka4[[#This Row],[Typ úlohy]]="Účet",B1256,""))</f>
        <v/>
      </c>
      <c r="C1257" s="903" t="str">
        <f>IF(Tabulka4[[#This Row],[Typ úlohy]]="Účet",H1257,"")</f>
        <v/>
      </c>
      <c r="D1257" s="903" t="str">
        <f>IF(Tabulka4[[#This Row],[Typ úlohy]]="Účet",GETPIVOTDATA("Součet z Celková hmotnost položek [kg]",$G$2,"Zkratka kalkulační položky",B1257,"Výrobce / Dodavatel",C1257),"")</f>
        <v/>
      </c>
      <c r="E1257" s="904" t="str">
        <f>IF(Tabulka4[[#This Row],[Typ úlohy]]="Účet",GETPIVOTDATA("Součet z Celková cena bez DPH (CZK)",$G$3,"Zkratka kalkulační položky",B1257,"Výrobce / Dodavatel",C1257),"")</f>
        <v/>
      </c>
    </row>
    <row r="1258" spans="1:5" x14ac:dyDescent="0.35">
      <c r="A1258" s="902" t="str">
        <f t="shared" si="20"/>
        <v/>
      </c>
      <c r="B1258" s="903" t="str">
        <f>IF(Tabulka4[[#This Row],[Typ úlohy]]="Součet",G1258,IF(Tabulka4[[#This Row],[Typ úlohy]]="Účet",B1257,""))</f>
        <v/>
      </c>
      <c r="C1258" s="903" t="str">
        <f>IF(Tabulka4[[#This Row],[Typ úlohy]]="Účet",H1258,"")</f>
        <v/>
      </c>
      <c r="D1258" s="903" t="str">
        <f>IF(Tabulka4[[#This Row],[Typ úlohy]]="Účet",GETPIVOTDATA("Součet z Celková hmotnost položek [kg]",$G$2,"Zkratka kalkulační položky",B1258,"Výrobce / Dodavatel",C1258),"")</f>
        <v/>
      </c>
      <c r="E1258" s="904" t="str">
        <f>IF(Tabulka4[[#This Row],[Typ úlohy]]="Účet",GETPIVOTDATA("Součet z Celková cena bez DPH (CZK)",$G$3,"Zkratka kalkulační položky",B1258,"Výrobce / Dodavatel",C1258),"")</f>
        <v/>
      </c>
    </row>
    <row r="1259" spans="1:5" x14ac:dyDescent="0.35">
      <c r="A1259" s="902" t="str">
        <f t="shared" si="20"/>
        <v/>
      </c>
      <c r="B1259" s="903" t="str">
        <f>IF(Tabulka4[[#This Row],[Typ úlohy]]="Součet",G1259,IF(Tabulka4[[#This Row],[Typ úlohy]]="Účet",B1258,""))</f>
        <v/>
      </c>
      <c r="C1259" s="903" t="str">
        <f>IF(Tabulka4[[#This Row],[Typ úlohy]]="Účet",H1259,"")</f>
        <v/>
      </c>
      <c r="D1259" s="903" t="str">
        <f>IF(Tabulka4[[#This Row],[Typ úlohy]]="Účet",GETPIVOTDATA("Součet z Celková hmotnost položek [kg]",$G$2,"Zkratka kalkulační položky",B1259,"Výrobce / Dodavatel",C1259),"")</f>
        <v/>
      </c>
      <c r="E1259" s="904" t="str">
        <f>IF(Tabulka4[[#This Row],[Typ úlohy]]="Účet",GETPIVOTDATA("Součet z Celková cena bez DPH (CZK)",$G$3,"Zkratka kalkulační položky",B1259,"Výrobce / Dodavatel",C1259),"")</f>
        <v/>
      </c>
    </row>
    <row r="1260" spans="1:5" x14ac:dyDescent="0.35">
      <c r="A1260" s="902" t="str">
        <f t="shared" si="20"/>
        <v/>
      </c>
      <c r="B1260" s="903" t="str">
        <f>IF(Tabulka4[[#This Row],[Typ úlohy]]="Součet",G1260,IF(Tabulka4[[#This Row],[Typ úlohy]]="Účet",B1259,""))</f>
        <v/>
      </c>
      <c r="C1260" s="903" t="str">
        <f>IF(Tabulka4[[#This Row],[Typ úlohy]]="Účet",H1260,"")</f>
        <v/>
      </c>
      <c r="D1260" s="903" t="str">
        <f>IF(Tabulka4[[#This Row],[Typ úlohy]]="Účet",GETPIVOTDATA("Součet z Celková hmotnost položek [kg]",$G$2,"Zkratka kalkulační položky",B1260,"Výrobce / Dodavatel",C1260),"")</f>
        <v/>
      </c>
      <c r="E1260" s="904" t="str">
        <f>IF(Tabulka4[[#This Row],[Typ úlohy]]="Účet",GETPIVOTDATA("Součet z Celková cena bez DPH (CZK)",$G$3,"Zkratka kalkulační položky",B1260,"Výrobce / Dodavatel",C1260),"")</f>
        <v/>
      </c>
    </row>
    <row r="1261" spans="1:5" x14ac:dyDescent="0.35">
      <c r="A1261" s="902" t="str">
        <f t="shared" si="20"/>
        <v/>
      </c>
      <c r="B1261" s="903" t="str">
        <f>IF(Tabulka4[[#This Row],[Typ úlohy]]="Součet",G1261,IF(Tabulka4[[#This Row],[Typ úlohy]]="Účet",B1260,""))</f>
        <v/>
      </c>
      <c r="C1261" s="903" t="str">
        <f>IF(Tabulka4[[#This Row],[Typ úlohy]]="Účet",H1261,"")</f>
        <v/>
      </c>
      <c r="D1261" s="903" t="str">
        <f>IF(Tabulka4[[#This Row],[Typ úlohy]]="Účet",GETPIVOTDATA("Součet z Celková hmotnost položek [kg]",$G$2,"Zkratka kalkulační položky",B1261,"Výrobce / Dodavatel",C1261),"")</f>
        <v/>
      </c>
      <c r="E1261" s="904" t="str">
        <f>IF(Tabulka4[[#This Row],[Typ úlohy]]="Účet",GETPIVOTDATA("Součet z Celková cena bez DPH (CZK)",$G$3,"Zkratka kalkulační položky",B1261,"Výrobce / Dodavatel",C1261),"")</f>
        <v/>
      </c>
    </row>
    <row r="1262" spans="1:5" x14ac:dyDescent="0.35">
      <c r="A1262" s="902" t="str">
        <f t="shared" si="20"/>
        <v/>
      </c>
      <c r="B1262" s="903" t="str">
        <f>IF(Tabulka4[[#This Row],[Typ úlohy]]="Součet",G1262,IF(Tabulka4[[#This Row],[Typ úlohy]]="Účet",B1261,""))</f>
        <v/>
      </c>
      <c r="C1262" s="903" t="str">
        <f>IF(Tabulka4[[#This Row],[Typ úlohy]]="Účet",H1262,"")</f>
        <v/>
      </c>
      <c r="D1262" s="903" t="str">
        <f>IF(Tabulka4[[#This Row],[Typ úlohy]]="Účet",GETPIVOTDATA("Součet z Celková hmotnost položek [kg]",$G$2,"Zkratka kalkulační položky",B1262,"Výrobce / Dodavatel",C1262),"")</f>
        <v/>
      </c>
      <c r="E1262" s="904" t="str">
        <f>IF(Tabulka4[[#This Row],[Typ úlohy]]="Účet",GETPIVOTDATA("Součet z Celková cena bez DPH (CZK)",$G$3,"Zkratka kalkulační položky",B1262,"Výrobce / Dodavatel",C1262),"")</f>
        <v/>
      </c>
    </row>
    <row r="1263" spans="1:5" x14ac:dyDescent="0.35">
      <c r="A1263" s="902" t="str">
        <f t="shared" si="20"/>
        <v/>
      </c>
      <c r="B1263" s="903" t="str">
        <f>IF(Tabulka4[[#This Row],[Typ úlohy]]="Součet",G1263,IF(Tabulka4[[#This Row],[Typ úlohy]]="Účet",B1262,""))</f>
        <v/>
      </c>
      <c r="C1263" s="903" t="str">
        <f>IF(Tabulka4[[#This Row],[Typ úlohy]]="Účet",H1263,"")</f>
        <v/>
      </c>
      <c r="D1263" s="903" t="str">
        <f>IF(Tabulka4[[#This Row],[Typ úlohy]]="Účet",GETPIVOTDATA("Součet z Celková hmotnost položek [kg]",$G$2,"Zkratka kalkulační položky",B1263,"Výrobce / Dodavatel",C1263),"")</f>
        <v/>
      </c>
      <c r="E1263" s="904" t="str">
        <f>IF(Tabulka4[[#This Row],[Typ úlohy]]="Účet",GETPIVOTDATA("Součet z Celková cena bez DPH (CZK)",$G$3,"Zkratka kalkulační položky",B1263,"Výrobce / Dodavatel",C1263),"")</f>
        <v/>
      </c>
    </row>
    <row r="1264" spans="1:5" x14ac:dyDescent="0.35">
      <c r="A1264" s="902" t="str">
        <f t="shared" si="20"/>
        <v/>
      </c>
      <c r="B1264" s="903" t="str">
        <f>IF(Tabulka4[[#This Row],[Typ úlohy]]="Součet",G1264,IF(Tabulka4[[#This Row],[Typ úlohy]]="Účet",B1263,""))</f>
        <v/>
      </c>
      <c r="C1264" s="903" t="str">
        <f>IF(Tabulka4[[#This Row],[Typ úlohy]]="Účet",H1264,"")</f>
        <v/>
      </c>
      <c r="D1264" s="903" t="str">
        <f>IF(Tabulka4[[#This Row],[Typ úlohy]]="Účet",GETPIVOTDATA("Součet z Celková hmotnost položek [kg]",$G$2,"Zkratka kalkulační položky",B1264,"Výrobce / Dodavatel",C1264),"")</f>
        <v/>
      </c>
      <c r="E1264" s="904" t="str">
        <f>IF(Tabulka4[[#This Row],[Typ úlohy]]="Účet",GETPIVOTDATA("Součet z Celková cena bez DPH (CZK)",$G$3,"Zkratka kalkulační položky",B1264,"Výrobce / Dodavatel",C1264),"")</f>
        <v/>
      </c>
    </row>
    <row r="1265" spans="1:5" x14ac:dyDescent="0.35">
      <c r="A1265" s="902" t="str">
        <f t="shared" si="20"/>
        <v/>
      </c>
      <c r="B1265" s="903" t="str">
        <f>IF(Tabulka4[[#This Row],[Typ úlohy]]="Součet",G1265,IF(Tabulka4[[#This Row],[Typ úlohy]]="Účet",B1264,""))</f>
        <v/>
      </c>
      <c r="C1265" s="903" t="str">
        <f>IF(Tabulka4[[#This Row],[Typ úlohy]]="Účet",H1265,"")</f>
        <v/>
      </c>
      <c r="D1265" s="903" t="str">
        <f>IF(Tabulka4[[#This Row],[Typ úlohy]]="Účet",GETPIVOTDATA("Součet z Celková hmotnost položek [kg]",$G$2,"Zkratka kalkulační položky",B1265,"Výrobce / Dodavatel",C1265),"")</f>
        <v/>
      </c>
      <c r="E1265" s="904" t="str">
        <f>IF(Tabulka4[[#This Row],[Typ úlohy]]="Účet",GETPIVOTDATA("Součet z Celková cena bez DPH (CZK)",$G$3,"Zkratka kalkulační položky",B1265,"Výrobce / Dodavatel",C1265),"")</f>
        <v/>
      </c>
    </row>
    <row r="1266" spans="1:5" x14ac:dyDescent="0.35">
      <c r="A1266" s="902" t="str">
        <f t="shared" si="20"/>
        <v/>
      </c>
      <c r="B1266" s="903" t="str">
        <f>IF(Tabulka4[[#This Row],[Typ úlohy]]="Součet",G1266,IF(Tabulka4[[#This Row],[Typ úlohy]]="Účet",B1265,""))</f>
        <v/>
      </c>
      <c r="C1266" s="903" t="str">
        <f>IF(Tabulka4[[#This Row],[Typ úlohy]]="Účet",H1266,"")</f>
        <v/>
      </c>
      <c r="D1266" s="903" t="str">
        <f>IF(Tabulka4[[#This Row],[Typ úlohy]]="Účet",GETPIVOTDATA("Součet z Celková hmotnost položek [kg]",$G$2,"Zkratka kalkulační položky",B1266,"Výrobce / Dodavatel",C1266),"")</f>
        <v/>
      </c>
      <c r="E1266" s="904" t="str">
        <f>IF(Tabulka4[[#This Row],[Typ úlohy]]="Účet",GETPIVOTDATA("Součet z Celková cena bez DPH (CZK)",$G$3,"Zkratka kalkulační položky",B1266,"Výrobce / Dodavatel",C1266),"")</f>
        <v/>
      </c>
    </row>
    <row r="1267" spans="1:5" x14ac:dyDescent="0.35">
      <c r="A1267" s="902" t="str">
        <f t="shared" si="20"/>
        <v/>
      </c>
      <c r="B1267" s="903" t="str">
        <f>IF(Tabulka4[[#This Row],[Typ úlohy]]="Součet",G1267,IF(Tabulka4[[#This Row],[Typ úlohy]]="Účet",B1266,""))</f>
        <v/>
      </c>
      <c r="C1267" s="903" t="str">
        <f>IF(Tabulka4[[#This Row],[Typ úlohy]]="Účet",H1267,"")</f>
        <v/>
      </c>
      <c r="D1267" s="903" t="str">
        <f>IF(Tabulka4[[#This Row],[Typ úlohy]]="Účet",GETPIVOTDATA("Součet z Celková hmotnost položek [kg]",$G$2,"Zkratka kalkulační položky",B1267,"Výrobce / Dodavatel",C1267),"")</f>
        <v/>
      </c>
      <c r="E1267" s="904" t="str">
        <f>IF(Tabulka4[[#This Row],[Typ úlohy]]="Účet",GETPIVOTDATA("Součet z Celková cena bez DPH (CZK)",$G$3,"Zkratka kalkulační položky",B1267,"Výrobce / Dodavatel",C1267),"")</f>
        <v/>
      </c>
    </row>
    <row r="1268" spans="1:5" x14ac:dyDescent="0.35">
      <c r="A1268" s="902" t="str">
        <f t="shared" si="20"/>
        <v/>
      </c>
      <c r="B1268" s="903" t="str">
        <f>IF(Tabulka4[[#This Row],[Typ úlohy]]="Součet",G1268,IF(Tabulka4[[#This Row],[Typ úlohy]]="Účet",B1267,""))</f>
        <v/>
      </c>
      <c r="C1268" s="903" t="str">
        <f>IF(Tabulka4[[#This Row],[Typ úlohy]]="Účet",H1268,"")</f>
        <v/>
      </c>
      <c r="D1268" s="903" t="str">
        <f>IF(Tabulka4[[#This Row],[Typ úlohy]]="Účet",GETPIVOTDATA("Součet z Celková hmotnost položek [kg]",$G$2,"Zkratka kalkulační položky",B1268,"Výrobce / Dodavatel",C1268),"")</f>
        <v/>
      </c>
      <c r="E1268" s="904" t="str">
        <f>IF(Tabulka4[[#This Row],[Typ úlohy]]="Účet",GETPIVOTDATA("Součet z Celková cena bez DPH (CZK)",$G$3,"Zkratka kalkulační položky",B1268,"Výrobce / Dodavatel",C1268),"")</f>
        <v/>
      </c>
    </row>
    <row r="1269" spans="1:5" x14ac:dyDescent="0.35">
      <c r="A1269" s="902" t="str">
        <f t="shared" si="20"/>
        <v/>
      </c>
      <c r="B1269" s="903" t="str">
        <f>IF(Tabulka4[[#This Row],[Typ úlohy]]="Součet",G1269,IF(Tabulka4[[#This Row],[Typ úlohy]]="Účet",B1268,""))</f>
        <v/>
      </c>
      <c r="C1269" s="903" t="str">
        <f>IF(Tabulka4[[#This Row],[Typ úlohy]]="Účet",H1269,"")</f>
        <v/>
      </c>
      <c r="D1269" s="903" t="str">
        <f>IF(Tabulka4[[#This Row],[Typ úlohy]]="Účet",GETPIVOTDATA("Součet z Celková hmotnost položek [kg]",$G$2,"Zkratka kalkulační položky",B1269,"Výrobce / Dodavatel",C1269),"")</f>
        <v/>
      </c>
      <c r="E1269" s="904" t="str">
        <f>IF(Tabulka4[[#This Row],[Typ úlohy]]="Účet",GETPIVOTDATA("Součet z Celková cena bez DPH (CZK)",$G$3,"Zkratka kalkulační položky",B1269,"Výrobce / Dodavatel",C1269),"")</f>
        <v/>
      </c>
    </row>
    <row r="1270" spans="1:5" x14ac:dyDescent="0.35">
      <c r="A1270" s="902" t="str">
        <f t="shared" si="20"/>
        <v/>
      </c>
      <c r="B1270" s="903" t="str">
        <f>IF(Tabulka4[[#This Row],[Typ úlohy]]="Součet",G1270,IF(Tabulka4[[#This Row],[Typ úlohy]]="Účet",B1269,""))</f>
        <v/>
      </c>
      <c r="C1270" s="903" t="str">
        <f>IF(Tabulka4[[#This Row],[Typ úlohy]]="Účet",H1270,"")</f>
        <v/>
      </c>
      <c r="D1270" s="903" t="str">
        <f>IF(Tabulka4[[#This Row],[Typ úlohy]]="Účet",GETPIVOTDATA("Součet z Celková hmotnost položek [kg]",$G$2,"Zkratka kalkulační položky",B1270,"Výrobce / Dodavatel",C1270),"")</f>
        <v/>
      </c>
      <c r="E1270" s="904" t="str">
        <f>IF(Tabulka4[[#This Row],[Typ úlohy]]="Účet",GETPIVOTDATA("Součet z Celková cena bez DPH (CZK)",$G$3,"Zkratka kalkulační položky",B1270,"Výrobce / Dodavatel",C1270),"")</f>
        <v/>
      </c>
    </row>
    <row r="1271" spans="1:5" x14ac:dyDescent="0.35">
      <c r="A1271" s="902" t="str">
        <f t="shared" si="20"/>
        <v/>
      </c>
      <c r="B1271" s="903" t="str">
        <f>IF(Tabulka4[[#This Row],[Typ úlohy]]="Součet",G1271,IF(Tabulka4[[#This Row],[Typ úlohy]]="Účet",B1270,""))</f>
        <v/>
      </c>
      <c r="C1271" s="903" t="str">
        <f>IF(Tabulka4[[#This Row],[Typ úlohy]]="Účet",H1271,"")</f>
        <v/>
      </c>
      <c r="D1271" s="903" t="str">
        <f>IF(Tabulka4[[#This Row],[Typ úlohy]]="Účet",GETPIVOTDATA("Součet z Celková hmotnost položek [kg]",$G$2,"Zkratka kalkulační položky",B1271,"Výrobce / Dodavatel",C1271),"")</f>
        <v/>
      </c>
      <c r="E1271" s="904" t="str">
        <f>IF(Tabulka4[[#This Row],[Typ úlohy]]="Účet",GETPIVOTDATA("Součet z Celková cena bez DPH (CZK)",$G$3,"Zkratka kalkulační položky",B1271,"Výrobce / Dodavatel",C1271),"")</f>
        <v/>
      </c>
    </row>
    <row r="1272" spans="1:5" x14ac:dyDescent="0.35">
      <c r="A1272" s="902" t="str">
        <f t="shared" si="20"/>
        <v/>
      </c>
      <c r="B1272" s="903" t="str">
        <f>IF(Tabulka4[[#This Row],[Typ úlohy]]="Součet",G1272,IF(Tabulka4[[#This Row],[Typ úlohy]]="Účet",B1271,""))</f>
        <v/>
      </c>
      <c r="C1272" s="903" t="str">
        <f>IF(Tabulka4[[#This Row],[Typ úlohy]]="Účet",H1272,"")</f>
        <v/>
      </c>
      <c r="D1272" s="903" t="str">
        <f>IF(Tabulka4[[#This Row],[Typ úlohy]]="Účet",GETPIVOTDATA("Součet z Celková hmotnost položek [kg]",$G$2,"Zkratka kalkulační položky",B1272,"Výrobce / Dodavatel",C1272),"")</f>
        <v/>
      </c>
      <c r="E1272" s="904" t="str">
        <f>IF(Tabulka4[[#This Row],[Typ úlohy]]="Účet",GETPIVOTDATA("Součet z Celková cena bez DPH (CZK)",$G$3,"Zkratka kalkulační položky",B1272,"Výrobce / Dodavatel",C1272),"")</f>
        <v/>
      </c>
    </row>
    <row r="1273" spans="1:5" x14ac:dyDescent="0.35">
      <c r="A1273" s="902" t="str">
        <f t="shared" si="20"/>
        <v/>
      </c>
      <c r="B1273" s="903" t="str">
        <f>IF(Tabulka4[[#This Row],[Typ úlohy]]="Součet",G1273,IF(Tabulka4[[#This Row],[Typ úlohy]]="Účet",B1272,""))</f>
        <v/>
      </c>
      <c r="C1273" s="903" t="str">
        <f>IF(Tabulka4[[#This Row],[Typ úlohy]]="Účet",H1273,"")</f>
        <v/>
      </c>
      <c r="D1273" s="903" t="str">
        <f>IF(Tabulka4[[#This Row],[Typ úlohy]]="Účet",GETPIVOTDATA("Součet z Celková hmotnost položek [kg]",$G$2,"Zkratka kalkulační položky",B1273,"Výrobce / Dodavatel",C1273),"")</f>
        <v/>
      </c>
      <c r="E1273" s="904" t="str">
        <f>IF(Tabulka4[[#This Row],[Typ úlohy]]="Účet",GETPIVOTDATA("Součet z Celková cena bez DPH (CZK)",$G$3,"Zkratka kalkulační položky",B1273,"Výrobce / Dodavatel",C1273),"")</f>
        <v/>
      </c>
    </row>
    <row r="1274" spans="1:5" x14ac:dyDescent="0.35">
      <c r="A1274" s="902" t="str">
        <f t="shared" si="20"/>
        <v/>
      </c>
      <c r="B1274" s="903" t="str">
        <f>IF(Tabulka4[[#This Row],[Typ úlohy]]="Součet",G1274,IF(Tabulka4[[#This Row],[Typ úlohy]]="Účet",B1273,""))</f>
        <v/>
      </c>
      <c r="C1274" s="903" t="str">
        <f>IF(Tabulka4[[#This Row],[Typ úlohy]]="Účet",H1274,"")</f>
        <v/>
      </c>
      <c r="D1274" s="903" t="str">
        <f>IF(Tabulka4[[#This Row],[Typ úlohy]]="Účet",GETPIVOTDATA("Součet z Celková hmotnost položek [kg]",$G$2,"Zkratka kalkulační položky",B1274,"Výrobce / Dodavatel",C1274),"")</f>
        <v/>
      </c>
      <c r="E1274" s="904" t="str">
        <f>IF(Tabulka4[[#This Row],[Typ úlohy]]="Účet",GETPIVOTDATA("Součet z Celková cena bez DPH (CZK)",$G$3,"Zkratka kalkulační položky",B1274,"Výrobce / Dodavatel",C1274),"")</f>
        <v/>
      </c>
    </row>
    <row r="1275" spans="1:5" x14ac:dyDescent="0.35">
      <c r="A1275" s="902" t="str">
        <f t="shared" si="20"/>
        <v/>
      </c>
      <c r="B1275" s="903" t="str">
        <f>IF(Tabulka4[[#This Row],[Typ úlohy]]="Součet",G1275,IF(Tabulka4[[#This Row],[Typ úlohy]]="Účet",B1274,""))</f>
        <v/>
      </c>
      <c r="C1275" s="903" t="str">
        <f>IF(Tabulka4[[#This Row],[Typ úlohy]]="Účet",H1275,"")</f>
        <v/>
      </c>
      <c r="D1275" s="903" t="str">
        <f>IF(Tabulka4[[#This Row],[Typ úlohy]]="Účet",GETPIVOTDATA("Součet z Celková hmotnost položek [kg]",$G$2,"Zkratka kalkulační položky",B1275,"Výrobce / Dodavatel",C1275),"")</f>
        <v/>
      </c>
      <c r="E1275" s="904" t="str">
        <f>IF(Tabulka4[[#This Row],[Typ úlohy]]="Účet",GETPIVOTDATA("Součet z Celková cena bez DPH (CZK)",$G$3,"Zkratka kalkulační položky",B1275,"Výrobce / Dodavatel",C1275),"")</f>
        <v/>
      </c>
    </row>
    <row r="1276" spans="1:5" x14ac:dyDescent="0.35">
      <c r="A1276" s="902" t="str">
        <f t="shared" si="20"/>
        <v/>
      </c>
      <c r="B1276" s="903" t="str">
        <f>IF(Tabulka4[[#This Row],[Typ úlohy]]="Součet",G1276,IF(Tabulka4[[#This Row],[Typ úlohy]]="Účet",B1275,""))</f>
        <v/>
      </c>
      <c r="C1276" s="903" t="str">
        <f>IF(Tabulka4[[#This Row],[Typ úlohy]]="Účet",H1276,"")</f>
        <v/>
      </c>
      <c r="D1276" s="903" t="str">
        <f>IF(Tabulka4[[#This Row],[Typ úlohy]]="Účet",GETPIVOTDATA("Součet z Celková hmotnost položek [kg]",$G$2,"Zkratka kalkulační položky",B1276,"Výrobce / Dodavatel",C1276),"")</f>
        <v/>
      </c>
      <c r="E1276" s="904" t="str">
        <f>IF(Tabulka4[[#This Row],[Typ úlohy]]="Účet",GETPIVOTDATA("Součet z Celková cena bez DPH (CZK)",$G$3,"Zkratka kalkulační položky",B1276,"Výrobce / Dodavatel",C1276),"")</f>
        <v/>
      </c>
    </row>
    <row r="1277" spans="1:5" x14ac:dyDescent="0.35">
      <c r="A1277" s="902" t="str">
        <f t="shared" si="20"/>
        <v/>
      </c>
      <c r="B1277" s="903" t="str">
        <f>IF(Tabulka4[[#This Row],[Typ úlohy]]="Součet",G1277,IF(Tabulka4[[#This Row],[Typ úlohy]]="Účet",B1276,""))</f>
        <v/>
      </c>
      <c r="C1277" s="903" t="str">
        <f>IF(Tabulka4[[#This Row],[Typ úlohy]]="Účet",H1277,"")</f>
        <v/>
      </c>
      <c r="D1277" s="903" t="str">
        <f>IF(Tabulka4[[#This Row],[Typ úlohy]]="Účet",GETPIVOTDATA("Součet z Celková hmotnost položek [kg]",$G$2,"Zkratka kalkulační položky",B1277,"Výrobce / Dodavatel",C1277),"")</f>
        <v/>
      </c>
      <c r="E1277" s="904" t="str">
        <f>IF(Tabulka4[[#This Row],[Typ úlohy]]="Účet",GETPIVOTDATA("Součet z Celková cena bez DPH (CZK)",$G$3,"Zkratka kalkulační položky",B1277,"Výrobce / Dodavatel",C1277),"")</f>
        <v/>
      </c>
    </row>
    <row r="1278" spans="1:5" x14ac:dyDescent="0.35">
      <c r="A1278" s="902" t="str">
        <f t="shared" si="20"/>
        <v/>
      </c>
      <c r="B1278" s="903" t="str">
        <f>IF(Tabulka4[[#This Row],[Typ úlohy]]="Součet",G1278,IF(Tabulka4[[#This Row],[Typ úlohy]]="Účet",B1277,""))</f>
        <v/>
      </c>
      <c r="C1278" s="903" t="str">
        <f>IF(Tabulka4[[#This Row],[Typ úlohy]]="Účet",H1278,"")</f>
        <v/>
      </c>
      <c r="D1278" s="903" t="str">
        <f>IF(Tabulka4[[#This Row],[Typ úlohy]]="Účet",GETPIVOTDATA("Součet z Celková hmotnost položek [kg]",$G$2,"Zkratka kalkulační položky",B1278,"Výrobce / Dodavatel",C1278),"")</f>
        <v/>
      </c>
      <c r="E1278" s="904" t="str">
        <f>IF(Tabulka4[[#This Row],[Typ úlohy]]="Účet",GETPIVOTDATA("Součet z Celková cena bez DPH (CZK)",$G$3,"Zkratka kalkulační položky",B1278,"Výrobce / Dodavatel",C1278),"")</f>
        <v/>
      </c>
    </row>
    <row r="1279" spans="1:5" x14ac:dyDescent="0.35">
      <c r="A1279" s="902" t="str">
        <f t="shared" si="20"/>
        <v/>
      </c>
      <c r="B1279" s="903" t="str">
        <f>IF(Tabulka4[[#This Row],[Typ úlohy]]="Součet",G1279,IF(Tabulka4[[#This Row],[Typ úlohy]]="Účet",B1278,""))</f>
        <v/>
      </c>
      <c r="C1279" s="903" t="str">
        <f>IF(Tabulka4[[#This Row],[Typ úlohy]]="Účet",H1279,"")</f>
        <v/>
      </c>
      <c r="D1279" s="903" t="str">
        <f>IF(Tabulka4[[#This Row],[Typ úlohy]]="Účet",GETPIVOTDATA("Součet z Celková hmotnost položek [kg]",$G$2,"Zkratka kalkulační položky",B1279,"Výrobce / Dodavatel",C1279),"")</f>
        <v/>
      </c>
      <c r="E1279" s="904" t="str">
        <f>IF(Tabulka4[[#This Row],[Typ úlohy]]="Účet",GETPIVOTDATA("Součet z Celková cena bez DPH (CZK)",$G$3,"Zkratka kalkulační položky",B1279,"Výrobce / Dodavatel",C1279),"")</f>
        <v/>
      </c>
    </row>
    <row r="1280" spans="1:5" x14ac:dyDescent="0.35">
      <c r="A1280" s="902" t="str">
        <f t="shared" si="20"/>
        <v/>
      </c>
      <c r="B1280" s="903" t="str">
        <f>IF(Tabulka4[[#This Row],[Typ úlohy]]="Součet",G1280,IF(Tabulka4[[#This Row],[Typ úlohy]]="Účet",B1279,""))</f>
        <v/>
      </c>
      <c r="C1280" s="903" t="str">
        <f>IF(Tabulka4[[#This Row],[Typ úlohy]]="Účet",H1280,"")</f>
        <v/>
      </c>
      <c r="D1280" s="903" t="str">
        <f>IF(Tabulka4[[#This Row],[Typ úlohy]]="Účet",GETPIVOTDATA("Součet z Celková hmotnost položek [kg]",$G$2,"Zkratka kalkulační položky",B1280,"Výrobce / Dodavatel",C1280),"")</f>
        <v/>
      </c>
      <c r="E1280" s="904" t="str">
        <f>IF(Tabulka4[[#This Row],[Typ úlohy]]="Účet",GETPIVOTDATA("Součet z Celková cena bez DPH (CZK)",$G$3,"Zkratka kalkulační položky",B1280,"Výrobce / Dodavatel",C1280),"")</f>
        <v/>
      </c>
    </row>
    <row r="1281" spans="1:5" x14ac:dyDescent="0.35">
      <c r="A1281" s="902" t="str">
        <f t="shared" si="20"/>
        <v/>
      </c>
      <c r="B1281" s="903" t="str">
        <f>IF(Tabulka4[[#This Row],[Typ úlohy]]="Součet",G1281,IF(Tabulka4[[#This Row],[Typ úlohy]]="Účet",B1280,""))</f>
        <v/>
      </c>
      <c r="C1281" s="903" t="str">
        <f>IF(Tabulka4[[#This Row],[Typ úlohy]]="Účet",H1281,"")</f>
        <v/>
      </c>
      <c r="D1281" s="903" t="str">
        <f>IF(Tabulka4[[#This Row],[Typ úlohy]]="Účet",GETPIVOTDATA("Součet z Celková hmotnost položek [kg]",$G$2,"Zkratka kalkulační položky",B1281,"Výrobce / Dodavatel",C1281),"")</f>
        <v/>
      </c>
      <c r="E1281" s="904" t="str">
        <f>IF(Tabulka4[[#This Row],[Typ úlohy]]="Účet",GETPIVOTDATA("Součet z Celková cena bez DPH (CZK)",$G$3,"Zkratka kalkulační položky",B1281,"Výrobce / Dodavatel",C1281),"")</f>
        <v/>
      </c>
    </row>
    <row r="1282" spans="1:5" x14ac:dyDescent="0.35">
      <c r="A1282" s="902" t="str">
        <f t="shared" si="20"/>
        <v/>
      </c>
      <c r="B1282" s="903" t="str">
        <f>IF(Tabulka4[[#This Row],[Typ úlohy]]="Součet",G1282,IF(Tabulka4[[#This Row],[Typ úlohy]]="Účet",B1281,""))</f>
        <v/>
      </c>
      <c r="C1282" s="903" t="str">
        <f>IF(Tabulka4[[#This Row],[Typ úlohy]]="Účet",H1282,"")</f>
        <v/>
      </c>
      <c r="D1282" s="903" t="str">
        <f>IF(Tabulka4[[#This Row],[Typ úlohy]]="Účet",GETPIVOTDATA("Součet z Celková hmotnost položek [kg]",$G$2,"Zkratka kalkulační položky",B1282,"Výrobce / Dodavatel",C1282),"")</f>
        <v/>
      </c>
      <c r="E1282" s="904" t="str">
        <f>IF(Tabulka4[[#This Row],[Typ úlohy]]="Účet",GETPIVOTDATA("Součet z Celková cena bez DPH (CZK)",$G$3,"Zkratka kalkulační položky",B1282,"Výrobce / Dodavatel",C1282),"")</f>
        <v/>
      </c>
    </row>
    <row r="1283" spans="1:5" x14ac:dyDescent="0.35">
      <c r="A1283" s="902" t="str">
        <f t="shared" si="20"/>
        <v/>
      </c>
      <c r="B1283" s="903" t="str">
        <f>IF(Tabulka4[[#This Row],[Typ úlohy]]="Součet",G1283,IF(Tabulka4[[#This Row],[Typ úlohy]]="Účet",B1282,""))</f>
        <v/>
      </c>
      <c r="C1283" s="903" t="str">
        <f>IF(Tabulka4[[#This Row],[Typ úlohy]]="Účet",H1283,"")</f>
        <v/>
      </c>
      <c r="D1283" s="903" t="str">
        <f>IF(Tabulka4[[#This Row],[Typ úlohy]]="Účet",GETPIVOTDATA("Součet z Celková hmotnost položek [kg]",$G$2,"Zkratka kalkulační položky",B1283,"Výrobce / Dodavatel",C1283),"")</f>
        <v/>
      </c>
      <c r="E1283" s="904" t="str">
        <f>IF(Tabulka4[[#This Row],[Typ úlohy]]="Účet",GETPIVOTDATA("Součet z Celková cena bez DPH (CZK)",$G$3,"Zkratka kalkulační položky",B1283,"Výrobce / Dodavatel",C1283),"")</f>
        <v/>
      </c>
    </row>
    <row r="1284" spans="1:5" x14ac:dyDescent="0.35">
      <c r="A1284" s="902" t="str">
        <f t="shared" si="20"/>
        <v/>
      </c>
      <c r="B1284" s="903" t="str">
        <f>IF(Tabulka4[[#This Row],[Typ úlohy]]="Součet",G1284,IF(Tabulka4[[#This Row],[Typ úlohy]]="Účet",B1283,""))</f>
        <v/>
      </c>
      <c r="C1284" s="903" t="str">
        <f>IF(Tabulka4[[#This Row],[Typ úlohy]]="Účet",H1284,"")</f>
        <v/>
      </c>
      <c r="D1284" s="903" t="str">
        <f>IF(Tabulka4[[#This Row],[Typ úlohy]]="Účet",GETPIVOTDATA("Součet z Celková hmotnost položek [kg]",$G$2,"Zkratka kalkulační položky",B1284,"Výrobce / Dodavatel",C1284),"")</f>
        <v/>
      </c>
      <c r="E1284" s="904" t="str">
        <f>IF(Tabulka4[[#This Row],[Typ úlohy]]="Účet",GETPIVOTDATA("Součet z Celková cena bez DPH (CZK)",$G$3,"Zkratka kalkulační položky",B1284,"Výrobce / Dodavatel",C1284),"")</f>
        <v/>
      </c>
    </row>
    <row r="1285" spans="1:5" x14ac:dyDescent="0.35">
      <c r="A1285" s="902" t="str">
        <f t="shared" ref="A1285:A1348" si="21">IF(H1285="",IF(G1285="","","Součet"),"Účet")</f>
        <v/>
      </c>
      <c r="B1285" s="903" t="str">
        <f>IF(Tabulka4[[#This Row],[Typ úlohy]]="Součet",G1285,IF(Tabulka4[[#This Row],[Typ úlohy]]="Účet",B1284,""))</f>
        <v/>
      </c>
      <c r="C1285" s="903" t="str">
        <f>IF(Tabulka4[[#This Row],[Typ úlohy]]="Účet",H1285,"")</f>
        <v/>
      </c>
      <c r="D1285" s="903" t="str">
        <f>IF(Tabulka4[[#This Row],[Typ úlohy]]="Účet",GETPIVOTDATA("Součet z Celková hmotnost položek [kg]",$G$2,"Zkratka kalkulační položky",B1285,"Výrobce / Dodavatel",C1285),"")</f>
        <v/>
      </c>
      <c r="E1285" s="904" t="str">
        <f>IF(Tabulka4[[#This Row],[Typ úlohy]]="Účet",GETPIVOTDATA("Součet z Celková cena bez DPH (CZK)",$G$3,"Zkratka kalkulační položky",B1285,"Výrobce / Dodavatel",C1285),"")</f>
        <v/>
      </c>
    </row>
    <row r="1286" spans="1:5" x14ac:dyDescent="0.35">
      <c r="A1286" s="902" t="str">
        <f t="shared" si="21"/>
        <v/>
      </c>
      <c r="B1286" s="903" t="str">
        <f>IF(Tabulka4[[#This Row],[Typ úlohy]]="Součet",G1286,IF(Tabulka4[[#This Row],[Typ úlohy]]="Účet",B1285,""))</f>
        <v/>
      </c>
      <c r="C1286" s="903" t="str">
        <f>IF(Tabulka4[[#This Row],[Typ úlohy]]="Účet",H1286,"")</f>
        <v/>
      </c>
      <c r="D1286" s="903" t="str">
        <f>IF(Tabulka4[[#This Row],[Typ úlohy]]="Účet",GETPIVOTDATA("Součet z Celková hmotnost položek [kg]",$G$2,"Zkratka kalkulační položky",B1286,"Výrobce / Dodavatel",C1286),"")</f>
        <v/>
      </c>
      <c r="E1286" s="904" t="str">
        <f>IF(Tabulka4[[#This Row],[Typ úlohy]]="Účet",GETPIVOTDATA("Součet z Celková cena bez DPH (CZK)",$G$3,"Zkratka kalkulační položky",B1286,"Výrobce / Dodavatel",C1286),"")</f>
        <v/>
      </c>
    </row>
    <row r="1287" spans="1:5" x14ac:dyDescent="0.35">
      <c r="A1287" s="902" t="str">
        <f t="shared" si="21"/>
        <v/>
      </c>
      <c r="B1287" s="903" t="str">
        <f>IF(Tabulka4[[#This Row],[Typ úlohy]]="Součet",G1287,IF(Tabulka4[[#This Row],[Typ úlohy]]="Účet",B1286,""))</f>
        <v/>
      </c>
      <c r="C1287" s="903" t="str">
        <f>IF(Tabulka4[[#This Row],[Typ úlohy]]="Účet",H1287,"")</f>
        <v/>
      </c>
      <c r="D1287" s="903" t="str">
        <f>IF(Tabulka4[[#This Row],[Typ úlohy]]="Účet",GETPIVOTDATA("Součet z Celková hmotnost položek [kg]",$G$2,"Zkratka kalkulační položky",B1287,"Výrobce / Dodavatel",C1287),"")</f>
        <v/>
      </c>
      <c r="E1287" s="904" t="str">
        <f>IF(Tabulka4[[#This Row],[Typ úlohy]]="Účet",GETPIVOTDATA("Součet z Celková cena bez DPH (CZK)",$G$3,"Zkratka kalkulační položky",B1287,"Výrobce / Dodavatel",C1287),"")</f>
        <v/>
      </c>
    </row>
    <row r="1288" spans="1:5" x14ac:dyDescent="0.35">
      <c r="A1288" s="902" t="str">
        <f t="shared" si="21"/>
        <v/>
      </c>
      <c r="B1288" s="903" t="str">
        <f>IF(Tabulka4[[#This Row],[Typ úlohy]]="Součet",G1288,IF(Tabulka4[[#This Row],[Typ úlohy]]="Účet",B1287,""))</f>
        <v/>
      </c>
      <c r="C1288" s="903" t="str">
        <f>IF(Tabulka4[[#This Row],[Typ úlohy]]="Účet",H1288,"")</f>
        <v/>
      </c>
      <c r="D1288" s="903" t="str">
        <f>IF(Tabulka4[[#This Row],[Typ úlohy]]="Účet",GETPIVOTDATA("Součet z Celková hmotnost položek [kg]",$G$2,"Zkratka kalkulační položky",B1288,"Výrobce / Dodavatel",C1288),"")</f>
        <v/>
      </c>
      <c r="E1288" s="904" t="str">
        <f>IF(Tabulka4[[#This Row],[Typ úlohy]]="Účet",GETPIVOTDATA("Součet z Celková cena bez DPH (CZK)",$G$3,"Zkratka kalkulační položky",B1288,"Výrobce / Dodavatel",C1288),"")</f>
        <v/>
      </c>
    </row>
    <row r="1289" spans="1:5" x14ac:dyDescent="0.35">
      <c r="A1289" s="902" t="str">
        <f t="shared" si="21"/>
        <v/>
      </c>
      <c r="B1289" s="903" t="str">
        <f>IF(Tabulka4[[#This Row],[Typ úlohy]]="Součet",G1289,IF(Tabulka4[[#This Row],[Typ úlohy]]="Účet",B1288,""))</f>
        <v/>
      </c>
      <c r="C1289" s="903" t="str">
        <f>IF(Tabulka4[[#This Row],[Typ úlohy]]="Účet",H1289,"")</f>
        <v/>
      </c>
      <c r="D1289" s="903" t="str">
        <f>IF(Tabulka4[[#This Row],[Typ úlohy]]="Účet",GETPIVOTDATA("Součet z Celková hmotnost položek [kg]",$G$2,"Zkratka kalkulační položky",B1289,"Výrobce / Dodavatel",C1289),"")</f>
        <v/>
      </c>
      <c r="E1289" s="904" t="str">
        <f>IF(Tabulka4[[#This Row],[Typ úlohy]]="Účet",GETPIVOTDATA("Součet z Celková cena bez DPH (CZK)",$G$3,"Zkratka kalkulační položky",B1289,"Výrobce / Dodavatel",C1289),"")</f>
        <v/>
      </c>
    </row>
    <row r="1290" spans="1:5" x14ac:dyDescent="0.35">
      <c r="A1290" s="902" t="str">
        <f t="shared" si="21"/>
        <v/>
      </c>
      <c r="B1290" s="903" t="str">
        <f>IF(Tabulka4[[#This Row],[Typ úlohy]]="Součet",G1290,IF(Tabulka4[[#This Row],[Typ úlohy]]="Účet",B1289,""))</f>
        <v/>
      </c>
      <c r="C1290" s="903" t="str">
        <f>IF(Tabulka4[[#This Row],[Typ úlohy]]="Účet",H1290,"")</f>
        <v/>
      </c>
      <c r="D1290" s="903" t="str">
        <f>IF(Tabulka4[[#This Row],[Typ úlohy]]="Účet",GETPIVOTDATA("Součet z Celková hmotnost položek [kg]",$G$2,"Zkratka kalkulační položky",B1290,"Výrobce / Dodavatel",C1290),"")</f>
        <v/>
      </c>
      <c r="E1290" s="904" t="str">
        <f>IF(Tabulka4[[#This Row],[Typ úlohy]]="Účet",GETPIVOTDATA("Součet z Celková cena bez DPH (CZK)",$G$3,"Zkratka kalkulační položky",B1290,"Výrobce / Dodavatel",C1290),"")</f>
        <v/>
      </c>
    </row>
    <row r="1291" spans="1:5" x14ac:dyDescent="0.35">
      <c r="A1291" s="902" t="str">
        <f t="shared" si="21"/>
        <v/>
      </c>
      <c r="B1291" s="903" t="str">
        <f>IF(Tabulka4[[#This Row],[Typ úlohy]]="Součet",G1291,IF(Tabulka4[[#This Row],[Typ úlohy]]="Účet",B1290,""))</f>
        <v/>
      </c>
      <c r="C1291" s="903" t="str">
        <f>IF(Tabulka4[[#This Row],[Typ úlohy]]="Účet",H1291,"")</f>
        <v/>
      </c>
      <c r="D1291" s="903" t="str">
        <f>IF(Tabulka4[[#This Row],[Typ úlohy]]="Účet",GETPIVOTDATA("Součet z Celková hmotnost položek [kg]",$G$2,"Zkratka kalkulační položky",B1291,"Výrobce / Dodavatel",C1291),"")</f>
        <v/>
      </c>
      <c r="E1291" s="904" t="str">
        <f>IF(Tabulka4[[#This Row],[Typ úlohy]]="Účet",GETPIVOTDATA("Součet z Celková cena bez DPH (CZK)",$G$3,"Zkratka kalkulační položky",B1291,"Výrobce / Dodavatel",C1291),"")</f>
        <v/>
      </c>
    </row>
    <row r="1292" spans="1:5" x14ac:dyDescent="0.35">
      <c r="A1292" s="902" t="str">
        <f t="shared" si="21"/>
        <v/>
      </c>
      <c r="B1292" s="903" t="str">
        <f>IF(Tabulka4[[#This Row],[Typ úlohy]]="Součet",G1292,IF(Tabulka4[[#This Row],[Typ úlohy]]="Účet",B1291,""))</f>
        <v/>
      </c>
      <c r="C1292" s="903" t="str">
        <f>IF(Tabulka4[[#This Row],[Typ úlohy]]="Účet",H1292,"")</f>
        <v/>
      </c>
      <c r="D1292" s="903" t="str">
        <f>IF(Tabulka4[[#This Row],[Typ úlohy]]="Účet",GETPIVOTDATA("Součet z Celková hmotnost položek [kg]",$G$2,"Zkratka kalkulační položky",B1292,"Výrobce / Dodavatel",C1292),"")</f>
        <v/>
      </c>
      <c r="E1292" s="904" t="str">
        <f>IF(Tabulka4[[#This Row],[Typ úlohy]]="Účet",GETPIVOTDATA("Součet z Celková cena bez DPH (CZK)",$G$3,"Zkratka kalkulační položky",B1292,"Výrobce / Dodavatel",C1292),"")</f>
        <v/>
      </c>
    </row>
    <row r="1293" spans="1:5" x14ac:dyDescent="0.35">
      <c r="A1293" s="902" t="str">
        <f t="shared" si="21"/>
        <v/>
      </c>
      <c r="B1293" s="903" t="str">
        <f>IF(Tabulka4[[#This Row],[Typ úlohy]]="Součet",G1293,IF(Tabulka4[[#This Row],[Typ úlohy]]="Účet",B1292,""))</f>
        <v/>
      </c>
      <c r="C1293" s="903" t="str">
        <f>IF(Tabulka4[[#This Row],[Typ úlohy]]="Účet",H1293,"")</f>
        <v/>
      </c>
      <c r="D1293" s="903" t="str">
        <f>IF(Tabulka4[[#This Row],[Typ úlohy]]="Účet",GETPIVOTDATA("Součet z Celková hmotnost položek [kg]",$G$2,"Zkratka kalkulační položky",B1293,"Výrobce / Dodavatel",C1293),"")</f>
        <v/>
      </c>
      <c r="E1293" s="904" t="str">
        <f>IF(Tabulka4[[#This Row],[Typ úlohy]]="Účet",GETPIVOTDATA("Součet z Celková cena bez DPH (CZK)",$G$3,"Zkratka kalkulační položky",B1293,"Výrobce / Dodavatel",C1293),"")</f>
        <v/>
      </c>
    </row>
    <row r="1294" spans="1:5" x14ac:dyDescent="0.35">
      <c r="A1294" s="902" t="str">
        <f t="shared" si="21"/>
        <v/>
      </c>
      <c r="B1294" s="903" t="str">
        <f>IF(Tabulka4[[#This Row],[Typ úlohy]]="Součet",G1294,IF(Tabulka4[[#This Row],[Typ úlohy]]="Účet",B1293,""))</f>
        <v/>
      </c>
      <c r="C1294" s="903" t="str">
        <f>IF(Tabulka4[[#This Row],[Typ úlohy]]="Účet",H1294,"")</f>
        <v/>
      </c>
      <c r="D1294" s="903" t="str">
        <f>IF(Tabulka4[[#This Row],[Typ úlohy]]="Účet",GETPIVOTDATA("Součet z Celková hmotnost položek [kg]",$G$2,"Zkratka kalkulační položky",B1294,"Výrobce / Dodavatel",C1294),"")</f>
        <v/>
      </c>
      <c r="E1294" s="904" t="str">
        <f>IF(Tabulka4[[#This Row],[Typ úlohy]]="Účet",GETPIVOTDATA("Součet z Celková cena bez DPH (CZK)",$G$3,"Zkratka kalkulační položky",B1294,"Výrobce / Dodavatel",C1294),"")</f>
        <v/>
      </c>
    </row>
    <row r="1295" spans="1:5" x14ac:dyDescent="0.35">
      <c r="A1295" s="902" t="str">
        <f t="shared" si="21"/>
        <v/>
      </c>
      <c r="B1295" s="903" t="str">
        <f>IF(Tabulka4[[#This Row],[Typ úlohy]]="Součet",G1295,IF(Tabulka4[[#This Row],[Typ úlohy]]="Účet",B1294,""))</f>
        <v/>
      </c>
      <c r="C1295" s="903" t="str">
        <f>IF(Tabulka4[[#This Row],[Typ úlohy]]="Účet",H1295,"")</f>
        <v/>
      </c>
      <c r="D1295" s="903" t="str">
        <f>IF(Tabulka4[[#This Row],[Typ úlohy]]="Účet",GETPIVOTDATA("Součet z Celková hmotnost položek [kg]",$G$2,"Zkratka kalkulační položky",B1295,"Výrobce / Dodavatel",C1295),"")</f>
        <v/>
      </c>
      <c r="E1295" s="904" t="str">
        <f>IF(Tabulka4[[#This Row],[Typ úlohy]]="Účet",GETPIVOTDATA("Součet z Celková cena bez DPH (CZK)",$G$3,"Zkratka kalkulační položky",B1295,"Výrobce / Dodavatel",C1295),"")</f>
        <v/>
      </c>
    </row>
    <row r="1296" spans="1:5" x14ac:dyDescent="0.35">
      <c r="A1296" s="902" t="str">
        <f t="shared" si="21"/>
        <v/>
      </c>
      <c r="B1296" s="903" t="str">
        <f>IF(Tabulka4[[#This Row],[Typ úlohy]]="Součet",G1296,IF(Tabulka4[[#This Row],[Typ úlohy]]="Účet",B1295,""))</f>
        <v/>
      </c>
      <c r="C1296" s="903" t="str">
        <f>IF(Tabulka4[[#This Row],[Typ úlohy]]="Účet",H1296,"")</f>
        <v/>
      </c>
      <c r="D1296" s="903" t="str">
        <f>IF(Tabulka4[[#This Row],[Typ úlohy]]="Účet",GETPIVOTDATA("Součet z Celková hmotnost položek [kg]",$G$2,"Zkratka kalkulační položky",B1296,"Výrobce / Dodavatel",C1296),"")</f>
        <v/>
      </c>
      <c r="E1296" s="904" t="str">
        <f>IF(Tabulka4[[#This Row],[Typ úlohy]]="Účet",GETPIVOTDATA("Součet z Celková cena bez DPH (CZK)",$G$3,"Zkratka kalkulační položky",B1296,"Výrobce / Dodavatel",C1296),"")</f>
        <v/>
      </c>
    </row>
    <row r="1297" spans="1:5" x14ac:dyDescent="0.35">
      <c r="A1297" s="902" t="str">
        <f t="shared" si="21"/>
        <v/>
      </c>
      <c r="B1297" s="903" t="str">
        <f>IF(Tabulka4[[#This Row],[Typ úlohy]]="Součet",G1297,IF(Tabulka4[[#This Row],[Typ úlohy]]="Účet",B1296,""))</f>
        <v/>
      </c>
      <c r="C1297" s="903" t="str">
        <f>IF(Tabulka4[[#This Row],[Typ úlohy]]="Účet",H1297,"")</f>
        <v/>
      </c>
      <c r="D1297" s="903" t="str">
        <f>IF(Tabulka4[[#This Row],[Typ úlohy]]="Účet",GETPIVOTDATA("Součet z Celková hmotnost položek [kg]",$G$2,"Zkratka kalkulační položky",B1297,"Výrobce / Dodavatel",C1297),"")</f>
        <v/>
      </c>
      <c r="E1297" s="904" t="str">
        <f>IF(Tabulka4[[#This Row],[Typ úlohy]]="Účet",GETPIVOTDATA("Součet z Celková cena bez DPH (CZK)",$G$3,"Zkratka kalkulační položky",B1297,"Výrobce / Dodavatel",C1297),"")</f>
        <v/>
      </c>
    </row>
    <row r="1298" spans="1:5" x14ac:dyDescent="0.35">
      <c r="A1298" s="902" t="str">
        <f t="shared" si="21"/>
        <v/>
      </c>
      <c r="B1298" s="903" t="str">
        <f>IF(Tabulka4[[#This Row],[Typ úlohy]]="Součet",G1298,IF(Tabulka4[[#This Row],[Typ úlohy]]="Účet",B1297,""))</f>
        <v/>
      </c>
      <c r="C1298" s="903" t="str">
        <f>IF(Tabulka4[[#This Row],[Typ úlohy]]="Účet",H1298,"")</f>
        <v/>
      </c>
      <c r="D1298" s="903" t="str">
        <f>IF(Tabulka4[[#This Row],[Typ úlohy]]="Účet",GETPIVOTDATA("Součet z Celková hmotnost položek [kg]",$G$2,"Zkratka kalkulační položky",B1298,"Výrobce / Dodavatel",C1298),"")</f>
        <v/>
      </c>
      <c r="E1298" s="904" t="str">
        <f>IF(Tabulka4[[#This Row],[Typ úlohy]]="Účet",GETPIVOTDATA("Součet z Celková cena bez DPH (CZK)",$G$3,"Zkratka kalkulační položky",B1298,"Výrobce / Dodavatel",C1298),"")</f>
        <v/>
      </c>
    </row>
    <row r="1299" spans="1:5" x14ac:dyDescent="0.35">
      <c r="A1299" s="902" t="str">
        <f t="shared" si="21"/>
        <v/>
      </c>
      <c r="B1299" s="903" t="str">
        <f>IF(Tabulka4[[#This Row],[Typ úlohy]]="Součet",G1299,IF(Tabulka4[[#This Row],[Typ úlohy]]="Účet",B1298,""))</f>
        <v/>
      </c>
      <c r="C1299" s="903" t="str">
        <f>IF(Tabulka4[[#This Row],[Typ úlohy]]="Účet",H1299,"")</f>
        <v/>
      </c>
      <c r="D1299" s="903" t="str">
        <f>IF(Tabulka4[[#This Row],[Typ úlohy]]="Účet",GETPIVOTDATA("Součet z Celková hmotnost položek [kg]",$G$2,"Zkratka kalkulační položky",B1299,"Výrobce / Dodavatel",C1299),"")</f>
        <v/>
      </c>
      <c r="E1299" s="904" t="str">
        <f>IF(Tabulka4[[#This Row],[Typ úlohy]]="Účet",GETPIVOTDATA("Součet z Celková cena bez DPH (CZK)",$G$3,"Zkratka kalkulační položky",B1299,"Výrobce / Dodavatel",C1299),"")</f>
        <v/>
      </c>
    </row>
    <row r="1300" spans="1:5" x14ac:dyDescent="0.35">
      <c r="A1300" s="902" t="str">
        <f t="shared" si="21"/>
        <v/>
      </c>
      <c r="B1300" s="903" t="str">
        <f>IF(Tabulka4[[#This Row],[Typ úlohy]]="Součet",G1300,IF(Tabulka4[[#This Row],[Typ úlohy]]="Účet",B1299,""))</f>
        <v/>
      </c>
      <c r="C1300" s="903" t="str">
        <f>IF(Tabulka4[[#This Row],[Typ úlohy]]="Účet",H1300,"")</f>
        <v/>
      </c>
      <c r="D1300" s="903" t="str">
        <f>IF(Tabulka4[[#This Row],[Typ úlohy]]="Účet",GETPIVOTDATA("Součet z Celková hmotnost položek [kg]",$G$2,"Zkratka kalkulační položky",B1300,"Výrobce / Dodavatel",C1300),"")</f>
        <v/>
      </c>
      <c r="E1300" s="904" t="str">
        <f>IF(Tabulka4[[#This Row],[Typ úlohy]]="Účet",GETPIVOTDATA("Součet z Celková cena bez DPH (CZK)",$G$3,"Zkratka kalkulační položky",B1300,"Výrobce / Dodavatel",C1300),"")</f>
        <v/>
      </c>
    </row>
    <row r="1301" spans="1:5" x14ac:dyDescent="0.35">
      <c r="A1301" s="902" t="str">
        <f t="shared" si="21"/>
        <v/>
      </c>
      <c r="B1301" s="903" t="str">
        <f>IF(Tabulka4[[#This Row],[Typ úlohy]]="Součet",G1301,IF(Tabulka4[[#This Row],[Typ úlohy]]="Účet",B1300,""))</f>
        <v/>
      </c>
      <c r="C1301" s="903" t="str">
        <f>IF(Tabulka4[[#This Row],[Typ úlohy]]="Účet",H1301,"")</f>
        <v/>
      </c>
      <c r="D1301" s="903" t="str">
        <f>IF(Tabulka4[[#This Row],[Typ úlohy]]="Účet",GETPIVOTDATA("Součet z Celková hmotnost položek [kg]",$G$2,"Zkratka kalkulační položky",B1301,"Výrobce / Dodavatel",C1301),"")</f>
        <v/>
      </c>
      <c r="E1301" s="904" t="str">
        <f>IF(Tabulka4[[#This Row],[Typ úlohy]]="Účet",GETPIVOTDATA("Součet z Celková cena bez DPH (CZK)",$G$3,"Zkratka kalkulační položky",B1301,"Výrobce / Dodavatel",C1301),"")</f>
        <v/>
      </c>
    </row>
    <row r="1302" spans="1:5" x14ac:dyDescent="0.35">
      <c r="A1302" s="902" t="str">
        <f t="shared" si="21"/>
        <v/>
      </c>
      <c r="B1302" s="903" t="str">
        <f>IF(Tabulka4[[#This Row],[Typ úlohy]]="Součet",G1302,IF(Tabulka4[[#This Row],[Typ úlohy]]="Účet",B1301,""))</f>
        <v/>
      </c>
      <c r="C1302" s="903" t="str">
        <f>IF(Tabulka4[[#This Row],[Typ úlohy]]="Účet",H1302,"")</f>
        <v/>
      </c>
      <c r="D1302" s="903" t="str">
        <f>IF(Tabulka4[[#This Row],[Typ úlohy]]="Účet",GETPIVOTDATA("Součet z Celková hmotnost položek [kg]",$G$2,"Zkratka kalkulační položky",B1302,"Výrobce / Dodavatel",C1302),"")</f>
        <v/>
      </c>
      <c r="E1302" s="904" t="str">
        <f>IF(Tabulka4[[#This Row],[Typ úlohy]]="Účet",GETPIVOTDATA("Součet z Celková cena bez DPH (CZK)",$G$3,"Zkratka kalkulační položky",B1302,"Výrobce / Dodavatel",C1302),"")</f>
        <v/>
      </c>
    </row>
    <row r="1303" spans="1:5" x14ac:dyDescent="0.35">
      <c r="A1303" s="902" t="str">
        <f t="shared" si="21"/>
        <v/>
      </c>
      <c r="B1303" s="903" t="str">
        <f>IF(Tabulka4[[#This Row],[Typ úlohy]]="Součet",G1303,IF(Tabulka4[[#This Row],[Typ úlohy]]="Účet",B1302,""))</f>
        <v/>
      </c>
      <c r="C1303" s="903" t="str">
        <f>IF(Tabulka4[[#This Row],[Typ úlohy]]="Účet",H1303,"")</f>
        <v/>
      </c>
      <c r="D1303" s="903" t="str">
        <f>IF(Tabulka4[[#This Row],[Typ úlohy]]="Účet",GETPIVOTDATA("Součet z Celková hmotnost položek [kg]",$G$2,"Zkratka kalkulační položky",B1303,"Výrobce / Dodavatel",C1303),"")</f>
        <v/>
      </c>
      <c r="E1303" s="904" t="str">
        <f>IF(Tabulka4[[#This Row],[Typ úlohy]]="Účet",GETPIVOTDATA("Součet z Celková cena bez DPH (CZK)",$G$3,"Zkratka kalkulační položky",B1303,"Výrobce / Dodavatel",C1303),"")</f>
        <v/>
      </c>
    </row>
    <row r="1304" spans="1:5" x14ac:dyDescent="0.35">
      <c r="A1304" s="902" t="str">
        <f t="shared" si="21"/>
        <v/>
      </c>
      <c r="B1304" s="903" t="str">
        <f>IF(Tabulka4[[#This Row],[Typ úlohy]]="Součet",G1304,IF(Tabulka4[[#This Row],[Typ úlohy]]="Účet",B1303,""))</f>
        <v/>
      </c>
      <c r="C1304" s="903" t="str">
        <f>IF(Tabulka4[[#This Row],[Typ úlohy]]="Účet",H1304,"")</f>
        <v/>
      </c>
      <c r="D1304" s="903" t="str">
        <f>IF(Tabulka4[[#This Row],[Typ úlohy]]="Účet",GETPIVOTDATA("Součet z Celková hmotnost položek [kg]",$G$2,"Zkratka kalkulační položky",B1304,"Výrobce / Dodavatel",C1304),"")</f>
        <v/>
      </c>
      <c r="E1304" s="904" t="str">
        <f>IF(Tabulka4[[#This Row],[Typ úlohy]]="Účet",GETPIVOTDATA("Součet z Celková cena bez DPH (CZK)",$G$3,"Zkratka kalkulační položky",B1304,"Výrobce / Dodavatel",C1304),"")</f>
        <v/>
      </c>
    </row>
    <row r="1305" spans="1:5" x14ac:dyDescent="0.35">
      <c r="A1305" s="902" t="str">
        <f t="shared" si="21"/>
        <v/>
      </c>
      <c r="B1305" s="903" t="str">
        <f>IF(Tabulka4[[#This Row],[Typ úlohy]]="Součet",G1305,IF(Tabulka4[[#This Row],[Typ úlohy]]="Účet",B1304,""))</f>
        <v/>
      </c>
      <c r="C1305" s="903" t="str">
        <f>IF(Tabulka4[[#This Row],[Typ úlohy]]="Účet",H1305,"")</f>
        <v/>
      </c>
      <c r="D1305" s="903" t="str">
        <f>IF(Tabulka4[[#This Row],[Typ úlohy]]="Účet",GETPIVOTDATA("Součet z Celková hmotnost položek [kg]",$G$2,"Zkratka kalkulační položky",B1305,"Výrobce / Dodavatel",C1305),"")</f>
        <v/>
      </c>
      <c r="E1305" s="904" t="str">
        <f>IF(Tabulka4[[#This Row],[Typ úlohy]]="Účet",GETPIVOTDATA("Součet z Celková cena bez DPH (CZK)",$G$3,"Zkratka kalkulační položky",B1305,"Výrobce / Dodavatel",C1305),"")</f>
        <v/>
      </c>
    </row>
    <row r="1306" spans="1:5" x14ac:dyDescent="0.35">
      <c r="A1306" s="902" t="str">
        <f t="shared" si="21"/>
        <v/>
      </c>
      <c r="B1306" s="903" t="str">
        <f>IF(Tabulka4[[#This Row],[Typ úlohy]]="Součet",G1306,IF(Tabulka4[[#This Row],[Typ úlohy]]="Účet",B1305,""))</f>
        <v/>
      </c>
      <c r="C1306" s="903" t="str">
        <f>IF(Tabulka4[[#This Row],[Typ úlohy]]="Účet",H1306,"")</f>
        <v/>
      </c>
      <c r="D1306" s="903" t="str">
        <f>IF(Tabulka4[[#This Row],[Typ úlohy]]="Účet",GETPIVOTDATA("Součet z Celková hmotnost položek [kg]",$G$2,"Zkratka kalkulační položky",B1306,"Výrobce / Dodavatel",C1306),"")</f>
        <v/>
      </c>
      <c r="E1306" s="904" t="str">
        <f>IF(Tabulka4[[#This Row],[Typ úlohy]]="Účet",GETPIVOTDATA("Součet z Celková cena bez DPH (CZK)",$G$3,"Zkratka kalkulační položky",B1306,"Výrobce / Dodavatel",C1306),"")</f>
        <v/>
      </c>
    </row>
    <row r="1307" spans="1:5" x14ac:dyDescent="0.35">
      <c r="A1307" s="902" t="str">
        <f t="shared" si="21"/>
        <v/>
      </c>
      <c r="B1307" s="903" t="str">
        <f>IF(Tabulka4[[#This Row],[Typ úlohy]]="Součet",G1307,IF(Tabulka4[[#This Row],[Typ úlohy]]="Účet",B1306,""))</f>
        <v/>
      </c>
      <c r="C1307" s="903" t="str">
        <f>IF(Tabulka4[[#This Row],[Typ úlohy]]="Účet",H1307,"")</f>
        <v/>
      </c>
      <c r="D1307" s="903" t="str">
        <f>IF(Tabulka4[[#This Row],[Typ úlohy]]="Účet",GETPIVOTDATA("Součet z Celková hmotnost položek [kg]",$G$2,"Zkratka kalkulační položky",B1307,"Výrobce / Dodavatel",C1307),"")</f>
        <v/>
      </c>
      <c r="E1307" s="904" t="str">
        <f>IF(Tabulka4[[#This Row],[Typ úlohy]]="Účet",GETPIVOTDATA("Součet z Celková cena bez DPH (CZK)",$G$3,"Zkratka kalkulační položky",B1307,"Výrobce / Dodavatel",C1307),"")</f>
        <v/>
      </c>
    </row>
    <row r="1308" spans="1:5" x14ac:dyDescent="0.35">
      <c r="A1308" s="902" t="str">
        <f t="shared" si="21"/>
        <v/>
      </c>
      <c r="B1308" s="903" t="str">
        <f>IF(Tabulka4[[#This Row],[Typ úlohy]]="Součet",G1308,IF(Tabulka4[[#This Row],[Typ úlohy]]="Účet",B1307,""))</f>
        <v/>
      </c>
      <c r="C1308" s="903" t="str">
        <f>IF(Tabulka4[[#This Row],[Typ úlohy]]="Účet",H1308,"")</f>
        <v/>
      </c>
      <c r="D1308" s="903" t="str">
        <f>IF(Tabulka4[[#This Row],[Typ úlohy]]="Účet",GETPIVOTDATA("Součet z Celková hmotnost položek [kg]",$G$2,"Zkratka kalkulační položky",B1308,"Výrobce / Dodavatel",C1308),"")</f>
        <v/>
      </c>
      <c r="E1308" s="904" t="str">
        <f>IF(Tabulka4[[#This Row],[Typ úlohy]]="Účet",GETPIVOTDATA("Součet z Celková cena bez DPH (CZK)",$G$3,"Zkratka kalkulační položky",B1308,"Výrobce / Dodavatel",C1308),"")</f>
        <v/>
      </c>
    </row>
    <row r="1309" spans="1:5" x14ac:dyDescent="0.35">
      <c r="A1309" s="902" t="str">
        <f t="shared" si="21"/>
        <v/>
      </c>
      <c r="B1309" s="903" t="str">
        <f>IF(Tabulka4[[#This Row],[Typ úlohy]]="Součet",G1309,IF(Tabulka4[[#This Row],[Typ úlohy]]="Účet",B1308,""))</f>
        <v/>
      </c>
      <c r="C1309" s="903" t="str">
        <f>IF(Tabulka4[[#This Row],[Typ úlohy]]="Účet",H1309,"")</f>
        <v/>
      </c>
      <c r="D1309" s="903" t="str">
        <f>IF(Tabulka4[[#This Row],[Typ úlohy]]="Účet",GETPIVOTDATA("Součet z Celková hmotnost položek [kg]",$G$2,"Zkratka kalkulační položky",B1309,"Výrobce / Dodavatel",C1309),"")</f>
        <v/>
      </c>
      <c r="E1309" s="904" t="str">
        <f>IF(Tabulka4[[#This Row],[Typ úlohy]]="Účet",GETPIVOTDATA("Součet z Celková cena bez DPH (CZK)",$G$3,"Zkratka kalkulační položky",B1309,"Výrobce / Dodavatel",C1309),"")</f>
        <v/>
      </c>
    </row>
    <row r="1310" spans="1:5" x14ac:dyDescent="0.35">
      <c r="A1310" s="902" t="str">
        <f t="shared" si="21"/>
        <v/>
      </c>
      <c r="B1310" s="903" t="str">
        <f>IF(Tabulka4[[#This Row],[Typ úlohy]]="Součet",G1310,IF(Tabulka4[[#This Row],[Typ úlohy]]="Účet",B1309,""))</f>
        <v/>
      </c>
      <c r="C1310" s="903" t="str">
        <f>IF(Tabulka4[[#This Row],[Typ úlohy]]="Účet",H1310,"")</f>
        <v/>
      </c>
      <c r="D1310" s="903" t="str">
        <f>IF(Tabulka4[[#This Row],[Typ úlohy]]="Účet",GETPIVOTDATA("Součet z Celková hmotnost položek [kg]",$G$2,"Zkratka kalkulační položky",B1310,"Výrobce / Dodavatel",C1310),"")</f>
        <v/>
      </c>
      <c r="E1310" s="904" t="str">
        <f>IF(Tabulka4[[#This Row],[Typ úlohy]]="Účet",GETPIVOTDATA("Součet z Celková cena bez DPH (CZK)",$G$3,"Zkratka kalkulační položky",B1310,"Výrobce / Dodavatel",C1310),"")</f>
        <v/>
      </c>
    </row>
    <row r="1311" spans="1:5" x14ac:dyDescent="0.35">
      <c r="A1311" s="902" t="str">
        <f t="shared" si="21"/>
        <v/>
      </c>
      <c r="B1311" s="903" t="str">
        <f>IF(Tabulka4[[#This Row],[Typ úlohy]]="Součet",G1311,IF(Tabulka4[[#This Row],[Typ úlohy]]="Účet",B1310,""))</f>
        <v/>
      </c>
      <c r="C1311" s="903" t="str">
        <f>IF(Tabulka4[[#This Row],[Typ úlohy]]="Účet",H1311,"")</f>
        <v/>
      </c>
      <c r="D1311" s="903" t="str">
        <f>IF(Tabulka4[[#This Row],[Typ úlohy]]="Účet",GETPIVOTDATA("Součet z Celková hmotnost položek [kg]",$G$2,"Zkratka kalkulační položky",B1311,"Výrobce / Dodavatel",C1311),"")</f>
        <v/>
      </c>
      <c r="E1311" s="904" t="str">
        <f>IF(Tabulka4[[#This Row],[Typ úlohy]]="Účet",GETPIVOTDATA("Součet z Celková cena bez DPH (CZK)",$G$3,"Zkratka kalkulační položky",B1311,"Výrobce / Dodavatel",C1311),"")</f>
        <v/>
      </c>
    </row>
    <row r="1312" spans="1:5" x14ac:dyDescent="0.35">
      <c r="A1312" s="902" t="str">
        <f t="shared" si="21"/>
        <v/>
      </c>
      <c r="B1312" s="903" t="str">
        <f>IF(Tabulka4[[#This Row],[Typ úlohy]]="Součet",G1312,IF(Tabulka4[[#This Row],[Typ úlohy]]="Účet",B1311,""))</f>
        <v/>
      </c>
      <c r="C1312" s="903" t="str">
        <f>IF(Tabulka4[[#This Row],[Typ úlohy]]="Účet",H1312,"")</f>
        <v/>
      </c>
      <c r="D1312" s="903" t="str">
        <f>IF(Tabulka4[[#This Row],[Typ úlohy]]="Účet",GETPIVOTDATA("Součet z Celková hmotnost položek [kg]",$G$2,"Zkratka kalkulační položky",B1312,"Výrobce / Dodavatel",C1312),"")</f>
        <v/>
      </c>
      <c r="E1312" s="904" t="str">
        <f>IF(Tabulka4[[#This Row],[Typ úlohy]]="Účet",GETPIVOTDATA("Součet z Celková cena bez DPH (CZK)",$G$3,"Zkratka kalkulační položky",B1312,"Výrobce / Dodavatel",C1312),"")</f>
        <v/>
      </c>
    </row>
    <row r="1313" spans="1:5" x14ac:dyDescent="0.35">
      <c r="A1313" s="902" t="str">
        <f t="shared" si="21"/>
        <v/>
      </c>
      <c r="B1313" s="903" t="str">
        <f>IF(Tabulka4[[#This Row],[Typ úlohy]]="Součet",G1313,IF(Tabulka4[[#This Row],[Typ úlohy]]="Účet",B1312,""))</f>
        <v/>
      </c>
      <c r="C1313" s="903" t="str">
        <f>IF(Tabulka4[[#This Row],[Typ úlohy]]="Účet",H1313,"")</f>
        <v/>
      </c>
      <c r="D1313" s="903" t="str">
        <f>IF(Tabulka4[[#This Row],[Typ úlohy]]="Účet",GETPIVOTDATA("Součet z Celková hmotnost položek [kg]",$G$2,"Zkratka kalkulační položky",B1313,"Výrobce / Dodavatel",C1313),"")</f>
        <v/>
      </c>
      <c r="E1313" s="904" t="str">
        <f>IF(Tabulka4[[#This Row],[Typ úlohy]]="Účet",GETPIVOTDATA("Součet z Celková cena bez DPH (CZK)",$G$3,"Zkratka kalkulační položky",B1313,"Výrobce / Dodavatel",C1313),"")</f>
        <v/>
      </c>
    </row>
    <row r="1314" spans="1:5" x14ac:dyDescent="0.35">
      <c r="A1314" s="902" t="str">
        <f t="shared" si="21"/>
        <v/>
      </c>
      <c r="B1314" s="903" t="str">
        <f>IF(Tabulka4[[#This Row],[Typ úlohy]]="Součet",G1314,IF(Tabulka4[[#This Row],[Typ úlohy]]="Účet",B1313,""))</f>
        <v/>
      </c>
      <c r="C1314" s="903" t="str">
        <f>IF(Tabulka4[[#This Row],[Typ úlohy]]="Účet",H1314,"")</f>
        <v/>
      </c>
      <c r="D1314" s="903" t="str">
        <f>IF(Tabulka4[[#This Row],[Typ úlohy]]="Účet",GETPIVOTDATA("Součet z Celková hmotnost položek [kg]",$G$2,"Zkratka kalkulační položky",B1314,"Výrobce / Dodavatel",C1314),"")</f>
        <v/>
      </c>
      <c r="E1314" s="904" t="str">
        <f>IF(Tabulka4[[#This Row],[Typ úlohy]]="Účet",GETPIVOTDATA("Součet z Celková cena bez DPH (CZK)",$G$3,"Zkratka kalkulační položky",B1314,"Výrobce / Dodavatel",C1314),"")</f>
        <v/>
      </c>
    </row>
    <row r="1315" spans="1:5" x14ac:dyDescent="0.35">
      <c r="A1315" s="902" t="str">
        <f t="shared" si="21"/>
        <v/>
      </c>
      <c r="B1315" s="903" t="str">
        <f>IF(Tabulka4[[#This Row],[Typ úlohy]]="Součet",G1315,IF(Tabulka4[[#This Row],[Typ úlohy]]="Účet",B1314,""))</f>
        <v/>
      </c>
      <c r="C1315" s="903" t="str">
        <f>IF(Tabulka4[[#This Row],[Typ úlohy]]="Účet",H1315,"")</f>
        <v/>
      </c>
      <c r="D1315" s="903" t="str">
        <f>IF(Tabulka4[[#This Row],[Typ úlohy]]="Účet",GETPIVOTDATA("Součet z Celková hmotnost položek [kg]",$G$2,"Zkratka kalkulační položky",B1315,"Výrobce / Dodavatel",C1315),"")</f>
        <v/>
      </c>
      <c r="E1315" s="904" t="str">
        <f>IF(Tabulka4[[#This Row],[Typ úlohy]]="Účet",GETPIVOTDATA("Součet z Celková cena bez DPH (CZK)",$G$3,"Zkratka kalkulační položky",B1315,"Výrobce / Dodavatel",C1315),"")</f>
        <v/>
      </c>
    </row>
    <row r="1316" spans="1:5" x14ac:dyDescent="0.35">
      <c r="A1316" s="902" t="str">
        <f t="shared" si="21"/>
        <v/>
      </c>
      <c r="B1316" s="903" t="str">
        <f>IF(Tabulka4[[#This Row],[Typ úlohy]]="Součet",G1316,IF(Tabulka4[[#This Row],[Typ úlohy]]="Účet",B1315,""))</f>
        <v/>
      </c>
      <c r="C1316" s="903" t="str">
        <f>IF(Tabulka4[[#This Row],[Typ úlohy]]="Účet",H1316,"")</f>
        <v/>
      </c>
      <c r="D1316" s="903" t="str">
        <f>IF(Tabulka4[[#This Row],[Typ úlohy]]="Účet",GETPIVOTDATA("Součet z Celková hmotnost položek [kg]",$G$2,"Zkratka kalkulační položky",B1316,"Výrobce / Dodavatel",C1316),"")</f>
        <v/>
      </c>
      <c r="E1316" s="904" t="str">
        <f>IF(Tabulka4[[#This Row],[Typ úlohy]]="Účet",GETPIVOTDATA("Součet z Celková cena bez DPH (CZK)",$G$3,"Zkratka kalkulační položky",B1316,"Výrobce / Dodavatel",C1316),"")</f>
        <v/>
      </c>
    </row>
    <row r="1317" spans="1:5" x14ac:dyDescent="0.35">
      <c r="A1317" s="902" t="str">
        <f t="shared" si="21"/>
        <v/>
      </c>
      <c r="B1317" s="903" t="str">
        <f>IF(Tabulka4[[#This Row],[Typ úlohy]]="Součet",G1317,IF(Tabulka4[[#This Row],[Typ úlohy]]="Účet",B1316,""))</f>
        <v/>
      </c>
      <c r="C1317" s="903" t="str">
        <f>IF(Tabulka4[[#This Row],[Typ úlohy]]="Účet",H1317,"")</f>
        <v/>
      </c>
      <c r="D1317" s="903" t="str">
        <f>IF(Tabulka4[[#This Row],[Typ úlohy]]="Účet",GETPIVOTDATA("Součet z Celková hmotnost položek [kg]",$G$2,"Zkratka kalkulační položky",B1317,"Výrobce / Dodavatel",C1317),"")</f>
        <v/>
      </c>
      <c r="E1317" s="904" t="str">
        <f>IF(Tabulka4[[#This Row],[Typ úlohy]]="Účet",GETPIVOTDATA("Součet z Celková cena bez DPH (CZK)",$G$3,"Zkratka kalkulační položky",B1317,"Výrobce / Dodavatel",C1317),"")</f>
        <v/>
      </c>
    </row>
    <row r="1318" spans="1:5" x14ac:dyDescent="0.35">
      <c r="A1318" s="902" t="str">
        <f t="shared" si="21"/>
        <v/>
      </c>
      <c r="B1318" s="903" t="str">
        <f>IF(Tabulka4[[#This Row],[Typ úlohy]]="Součet",G1318,IF(Tabulka4[[#This Row],[Typ úlohy]]="Účet",B1317,""))</f>
        <v/>
      </c>
      <c r="C1318" s="903" t="str">
        <f>IF(Tabulka4[[#This Row],[Typ úlohy]]="Účet",H1318,"")</f>
        <v/>
      </c>
      <c r="D1318" s="903" t="str">
        <f>IF(Tabulka4[[#This Row],[Typ úlohy]]="Účet",GETPIVOTDATA("Součet z Celková hmotnost položek [kg]",$G$2,"Zkratka kalkulační položky",B1318,"Výrobce / Dodavatel",C1318),"")</f>
        <v/>
      </c>
      <c r="E1318" s="904" t="str">
        <f>IF(Tabulka4[[#This Row],[Typ úlohy]]="Účet",GETPIVOTDATA("Součet z Celková cena bez DPH (CZK)",$G$3,"Zkratka kalkulační položky",B1318,"Výrobce / Dodavatel",C1318),"")</f>
        <v/>
      </c>
    </row>
    <row r="1319" spans="1:5" x14ac:dyDescent="0.35">
      <c r="A1319" s="902" t="str">
        <f t="shared" si="21"/>
        <v/>
      </c>
      <c r="B1319" s="903" t="str">
        <f>IF(Tabulka4[[#This Row],[Typ úlohy]]="Součet",G1319,IF(Tabulka4[[#This Row],[Typ úlohy]]="Účet",B1318,""))</f>
        <v/>
      </c>
      <c r="C1319" s="903" t="str">
        <f>IF(Tabulka4[[#This Row],[Typ úlohy]]="Účet",H1319,"")</f>
        <v/>
      </c>
      <c r="D1319" s="903" t="str">
        <f>IF(Tabulka4[[#This Row],[Typ úlohy]]="Účet",GETPIVOTDATA("Součet z Celková hmotnost položek [kg]",$G$2,"Zkratka kalkulační položky",B1319,"Výrobce / Dodavatel",C1319),"")</f>
        <v/>
      </c>
      <c r="E1319" s="904" t="str">
        <f>IF(Tabulka4[[#This Row],[Typ úlohy]]="Účet",GETPIVOTDATA("Součet z Celková cena bez DPH (CZK)",$G$3,"Zkratka kalkulační položky",B1319,"Výrobce / Dodavatel",C1319),"")</f>
        <v/>
      </c>
    </row>
    <row r="1320" spans="1:5" x14ac:dyDescent="0.35">
      <c r="A1320" s="902" t="str">
        <f t="shared" si="21"/>
        <v/>
      </c>
      <c r="B1320" s="903" t="str">
        <f>IF(Tabulka4[[#This Row],[Typ úlohy]]="Součet",G1320,IF(Tabulka4[[#This Row],[Typ úlohy]]="Účet",B1319,""))</f>
        <v/>
      </c>
      <c r="C1320" s="903" t="str">
        <f>IF(Tabulka4[[#This Row],[Typ úlohy]]="Účet",H1320,"")</f>
        <v/>
      </c>
      <c r="D1320" s="903" t="str">
        <f>IF(Tabulka4[[#This Row],[Typ úlohy]]="Účet",GETPIVOTDATA("Součet z Celková hmotnost položek [kg]",$G$2,"Zkratka kalkulační položky",B1320,"Výrobce / Dodavatel",C1320),"")</f>
        <v/>
      </c>
      <c r="E1320" s="904" t="str">
        <f>IF(Tabulka4[[#This Row],[Typ úlohy]]="Účet",GETPIVOTDATA("Součet z Celková cena bez DPH (CZK)",$G$3,"Zkratka kalkulační položky",B1320,"Výrobce / Dodavatel",C1320),"")</f>
        <v/>
      </c>
    </row>
    <row r="1321" spans="1:5" x14ac:dyDescent="0.35">
      <c r="A1321" s="902" t="str">
        <f t="shared" si="21"/>
        <v/>
      </c>
      <c r="B1321" s="903" t="str">
        <f>IF(Tabulka4[[#This Row],[Typ úlohy]]="Součet",G1321,IF(Tabulka4[[#This Row],[Typ úlohy]]="Účet",B1320,""))</f>
        <v/>
      </c>
      <c r="C1321" s="903" t="str">
        <f>IF(Tabulka4[[#This Row],[Typ úlohy]]="Účet",H1321,"")</f>
        <v/>
      </c>
      <c r="D1321" s="903" t="str">
        <f>IF(Tabulka4[[#This Row],[Typ úlohy]]="Účet",GETPIVOTDATA("Součet z Celková hmotnost položek [kg]",$G$2,"Zkratka kalkulační položky",B1321,"Výrobce / Dodavatel",C1321),"")</f>
        <v/>
      </c>
      <c r="E1321" s="904" t="str">
        <f>IF(Tabulka4[[#This Row],[Typ úlohy]]="Účet",GETPIVOTDATA("Součet z Celková cena bez DPH (CZK)",$G$3,"Zkratka kalkulační položky",B1321,"Výrobce / Dodavatel",C1321),"")</f>
        <v/>
      </c>
    </row>
    <row r="1322" spans="1:5" x14ac:dyDescent="0.35">
      <c r="A1322" s="902" t="str">
        <f t="shared" si="21"/>
        <v/>
      </c>
      <c r="B1322" s="903" t="str">
        <f>IF(Tabulka4[[#This Row],[Typ úlohy]]="Součet",G1322,IF(Tabulka4[[#This Row],[Typ úlohy]]="Účet",B1321,""))</f>
        <v/>
      </c>
      <c r="C1322" s="903" t="str">
        <f>IF(Tabulka4[[#This Row],[Typ úlohy]]="Účet",H1322,"")</f>
        <v/>
      </c>
      <c r="D1322" s="903" t="str">
        <f>IF(Tabulka4[[#This Row],[Typ úlohy]]="Účet",GETPIVOTDATA("Součet z Celková hmotnost položek [kg]",$G$2,"Zkratka kalkulační položky",B1322,"Výrobce / Dodavatel",C1322),"")</f>
        <v/>
      </c>
      <c r="E1322" s="904" t="str">
        <f>IF(Tabulka4[[#This Row],[Typ úlohy]]="Účet",GETPIVOTDATA("Součet z Celková cena bez DPH (CZK)",$G$3,"Zkratka kalkulační položky",B1322,"Výrobce / Dodavatel",C1322),"")</f>
        <v/>
      </c>
    </row>
    <row r="1323" spans="1:5" x14ac:dyDescent="0.35">
      <c r="A1323" s="902" t="str">
        <f t="shared" si="21"/>
        <v/>
      </c>
      <c r="B1323" s="903" t="str">
        <f>IF(Tabulka4[[#This Row],[Typ úlohy]]="Součet",G1323,IF(Tabulka4[[#This Row],[Typ úlohy]]="Účet",B1322,""))</f>
        <v/>
      </c>
      <c r="C1323" s="903" t="str">
        <f>IF(Tabulka4[[#This Row],[Typ úlohy]]="Účet",H1323,"")</f>
        <v/>
      </c>
      <c r="D1323" s="903" t="str">
        <f>IF(Tabulka4[[#This Row],[Typ úlohy]]="Účet",GETPIVOTDATA("Součet z Celková hmotnost položek [kg]",$G$2,"Zkratka kalkulační položky",B1323,"Výrobce / Dodavatel",C1323),"")</f>
        <v/>
      </c>
      <c r="E1323" s="904" t="str">
        <f>IF(Tabulka4[[#This Row],[Typ úlohy]]="Účet",GETPIVOTDATA("Součet z Celková cena bez DPH (CZK)",$G$3,"Zkratka kalkulační položky",B1323,"Výrobce / Dodavatel",C1323),"")</f>
        <v/>
      </c>
    </row>
    <row r="1324" spans="1:5" x14ac:dyDescent="0.35">
      <c r="A1324" s="902" t="str">
        <f t="shared" si="21"/>
        <v/>
      </c>
      <c r="B1324" s="903" t="str">
        <f>IF(Tabulka4[[#This Row],[Typ úlohy]]="Součet",G1324,IF(Tabulka4[[#This Row],[Typ úlohy]]="Účet",B1323,""))</f>
        <v/>
      </c>
      <c r="C1324" s="903" t="str">
        <f>IF(Tabulka4[[#This Row],[Typ úlohy]]="Účet",H1324,"")</f>
        <v/>
      </c>
      <c r="D1324" s="903" t="str">
        <f>IF(Tabulka4[[#This Row],[Typ úlohy]]="Účet",GETPIVOTDATA("Součet z Celková hmotnost položek [kg]",$G$2,"Zkratka kalkulační položky",B1324,"Výrobce / Dodavatel",C1324),"")</f>
        <v/>
      </c>
      <c r="E1324" s="904" t="str">
        <f>IF(Tabulka4[[#This Row],[Typ úlohy]]="Účet",GETPIVOTDATA("Součet z Celková cena bez DPH (CZK)",$G$3,"Zkratka kalkulační položky",B1324,"Výrobce / Dodavatel",C1324),"")</f>
        <v/>
      </c>
    </row>
    <row r="1325" spans="1:5" x14ac:dyDescent="0.35">
      <c r="A1325" s="902" t="str">
        <f t="shared" si="21"/>
        <v/>
      </c>
      <c r="B1325" s="903" t="str">
        <f>IF(Tabulka4[[#This Row],[Typ úlohy]]="Součet",G1325,IF(Tabulka4[[#This Row],[Typ úlohy]]="Účet",B1324,""))</f>
        <v/>
      </c>
      <c r="C1325" s="903" t="str">
        <f>IF(Tabulka4[[#This Row],[Typ úlohy]]="Účet",H1325,"")</f>
        <v/>
      </c>
      <c r="D1325" s="903" t="str">
        <f>IF(Tabulka4[[#This Row],[Typ úlohy]]="Účet",GETPIVOTDATA("Součet z Celková hmotnost položek [kg]",$G$2,"Zkratka kalkulační položky",B1325,"Výrobce / Dodavatel",C1325),"")</f>
        <v/>
      </c>
      <c r="E1325" s="904" t="str">
        <f>IF(Tabulka4[[#This Row],[Typ úlohy]]="Účet",GETPIVOTDATA("Součet z Celková cena bez DPH (CZK)",$G$3,"Zkratka kalkulační položky",B1325,"Výrobce / Dodavatel",C1325),"")</f>
        <v/>
      </c>
    </row>
    <row r="1326" spans="1:5" x14ac:dyDescent="0.35">
      <c r="A1326" s="902" t="str">
        <f t="shared" si="21"/>
        <v/>
      </c>
      <c r="B1326" s="903" t="str">
        <f>IF(Tabulka4[[#This Row],[Typ úlohy]]="Součet",G1326,IF(Tabulka4[[#This Row],[Typ úlohy]]="Účet",B1325,""))</f>
        <v/>
      </c>
      <c r="C1326" s="903" t="str">
        <f>IF(Tabulka4[[#This Row],[Typ úlohy]]="Účet",H1326,"")</f>
        <v/>
      </c>
      <c r="D1326" s="903" t="str">
        <f>IF(Tabulka4[[#This Row],[Typ úlohy]]="Účet",GETPIVOTDATA("Součet z Celková hmotnost položek [kg]",$G$2,"Zkratka kalkulační položky",B1326,"Výrobce / Dodavatel",C1326),"")</f>
        <v/>
      </c>
      <c r="E1326" s="904" t="str">
        <f>IF(Tabulka4[[#This Row],[Typ úlohy]]="Účet",GETPIVOTDATA("Součet z Celková cena bez DPH (CZK)",$G$3,"Zkratka kalkulační položky",B1326,"Výrobce / Dodavatel",C1326),"")</f>
        <v/>
      </c>
    </row>
    <row r="1327" spans="1:5" x14ac:dyDescent="0.35">
      <c r="A1327" s="902" t="str">
        <f t="shared" si="21"/>
        <v/>
      </c>
      <c r="B1327" s="903" t="str">
        <f>IF(Tabulka4[[#This Row],[Typ úlohy]]="Součet",G1327,IF(Tabulka4[[#This Row],[Typ úlohy]]="Účet",B1326,""))</f>
        <v/>
      </c>
      <c r="C1327" s="903" t="str">
        <f>IF(Tabulka4[[#This Row],[Typ úlohy]]="Účet",H1327,"")</f>
        <v/>
      </c>
      <c r="D1327" s="903" t="str">
        <f>IF(Tabulka4[[#This Row],[Typ úlohy]]="Účet",GETPIVOTDATA("Součet z Celková hmotnost položek [kg]",$G$2,"Zkratka kalkulační položky",B1327,"Výrobce / Dodavatel",C1327),"")</f>
        <v/>
      </c>
      <c r="E1327" s="904" t="str">
        <f>IF(Tabulka4[[#This Row],[Typ úlohy]]="Účet",GETPIVOTDATA("Součet z Celková cena bez DPH (CZK)",$G$3,"Zkratka kalkulační položky",B1327,"Výrobce / Dodavatel",C1327),"")</f>
        <v/>
      </c>
    </row>
    <row r="1328" spans="1:5" x14ac:dyDescent="0.35">
      <c r="A1328" s="902" t="str">
        <f t="shared" si="21"/>
        <v/>
      </c>
      <c r="B1328" s="903" t="str">
        <f>IF(Tabulka4[[#This Row],[Typ úlohy]]="Součet",G1328,IF(Tabulka4[[#This Row],[Typ úlohy]]="Účet",B1327,""))</f>
        <v/>
      </c>
      <c r="C1328" s="903" t="str">
        <f>IF(Tabulka4[[#This Row],[Typ úlohy]]="Účet",H1328,"")</f>
        <v/>
      </c>
      <c r="D1328" s="903" t="str">
        <f>IF(Tabulka4[[#This Row],[Typ úlohy]]="Účet",GETPIVOTDATA("Součet z Celková hmotnost položek [kg]",$G$2,"Zkratka kalkulační položky",B1328,"Výrobce / Dodavatel",C1328),"")</f>
        <v/>
      </c>
      <c r="E1328" s="904" t="str">
        <f>IF(Tabulka4[[#This Row],[Typ úlohy]]="Účet",GETPIVOTDATA("Součet z Celková cena bez DPH (CZK)",$G$3,"Zkratka kalkulační položky",B1328,"Výrobce / Dodavatel",C1328),"")</f>
        <v/>
      </c>
    </row>
    <row r="1329" spans="1:5" x14ac:dyDescent="0.35">
      <c r="A1329" s="902" t="str">
        <f t="shared" si="21"/>
        <v/>
      </c>
      <c r="B1329" s="903" t="str">
        <f>IF(Tabulka4[[#This Row],[Typ úlohy]]="Součet",G1329,IF(Tabulka4[[#This Row],[Typ úlohy]]="Účet",B1328,""))</f>
        <v/>
      </c>
      <c r="C1329" s="903" t="str">
        <f>IF(Tabulka4[[#This Row],[Typ úlohy]]="Účet",H1329,"")</f>
        <v/>
      </c>
      <c r="D1329" s="903" t="str">
        <f>IF(Tabulka4[[#This Row],[Typ úlohy]]="Účet",GETPIVOTDATA("Součet z Celková hmotnost položek [kg]",$G$2,"Zkratka kalkulační položky",B1329,"Výrobce / Dodavatel",C1329),"")</f>
        <v/>
      </c>
      <c r="E1329" s="904" t="str">
        <f>IF(Tabulka4[[#This Row],[Typ úlohy]]="Účet",GETPIVOTDATA("Součet z Celková cena bez DPH (CZK)",$G$3,"Zkratka kalkulační položky",B1329,"Výrobce / Dodavatel",C1329),"")</f>
        <v/>
      </c>
    </row>
    <row r="1330" spans="1:5" x14ac:dyDescent="0.35">
      <c r="A1330" s="902" t="str">
        <f t="shared" si="21"/>
        <v/>
      </c>
      <c r="B1330" s="903" t="str">
        <f>IF(Tabulka4[[#This Row],[Typ úlohy]]="Součet",G1330,IF(Tabulka4[[#This Row],[Typ úlohy]]="Účet",B1329,""))</f>
        <v/>
      </c>
      <c r="C1330" s="903" t="str">
        <f>IF(Tabulka4[[#This Row],[Typ úlohy]]="Účet",H1330,"")</f>
        <v/>
      </c>
      <c r="D1330" s="903" t="str">
        <f>IF(Tabulka4[[#This Row],[Typ úlohy]]="Účet",GETPIVOTDATA("Součet z Celková hmotnost položek [kg]",$G$2,"Zkratka kalkulační položky",B1330,"Výrobce / Dodavatel",C1330),"")</f>
        <v/>
      </c>
      <c r="E1330" s="904" t="str">
        <f>IF(Tabulka4[[#This Row],[Typ úlohy]]="Účet",GETPIVOTDATA("Součet z Celková cena bez DPH (CZK)",$G$3,"Zkratka kalkulační položky",B1330,"Výrobce / Dodavatel",C1330),"")</f>
        <v/>
      </c>
    </row>
    <row r="1331" spans="1:5" x14ac:dyDescent="0.35">
      <c r="A1331" s="902" t="str">
        <f t="shared" si="21"/>
        <v/>
      </c>
      <c r="B1331" s="903" t="str">
        <f>IF(Tabulka4[[#This Row],[Typ úlohy]]="Součet",G1331,IF(Tabulka4[[#This Row],[Typ úlohy]]="Účet",B1330,""))</f>
        <v/>
      </c>
      <c r="C1331" s="903" t="str">
        <f>IF(Tabulka4[[#This Row],[Typ úlohy]]="Účet",H1331,"")</f>
        <v/>
      </c>
      <c r="D1331" s="903" t="str">
        <f>IF(Tabulka4[[#This Row],[Typ úlohy]]="Účet",GETPIVOTDATA("Součet z Celková hmotnost položek [kg]",$G$2,"Zkratka kalkulační položky",B1331,"Výrobce / Dodavatel",C1331),"")</f>
        <v/>
      </c>
      <c r="E1331" s="904" t="str">
        <f>IF(Tabulka4[[#This Row],[Typ úlohy]]="Účet",GETPIVOTDATA("Součet z Celková cena bez DPH (CZK)",$G$3,"Zkratka kalkulační položky",B1331,"Výrobce / Dodavatel",C1331),"")</f>
        <v/>
      </c>
    </row>
    <row r="1332" spans="1:5" x14ac:dyDescent="0.35">
      <c r="A1332" s="902" t="str">
        <f t="shared" si="21"/>
        <v/>
      </c>
      <c r="B1332" s="903" t="str">
        <f>IF(Tabulka4[[#This Row],[Typ úlohy]]="Součet",G1332,IF(Tabulka4[[#This Row],[Typ úlohy]]="Účet",B1331,""))</f>
        <v/>
      </c>
      <c r="C1332" s="903" t="str">
        <f>IF(Tabulka4[[#This Row],[Typ úlohy]]="Účet",H1332,"")</f>
        <v/>
      </c>
      <c r="D1332" s="903" t="str">
        <f>IF(Tabulka4[[#This Row],[Typ úlohy]]="Účet",GETPIVOTDATA("Součet z Celková hmotnost položek [kg]",$G$2,"Zkratka kalkulační položky",B1332,"Výrobce / Dodavatel",C1332),"")</f>
        <v/>
      </c>
      <c r="E1332" s="904" t="str">
        <f>IF(Tabulka4[[#This Row],[Typ úlohy]]="Účet",GETPIVOTDATA("Součet z Celková cena bez DPH (CZK)",$G$3,"Zkratka kalkulační položky",B1332,"Výrobce / Dodavatel",C1332),"")</f>
        <v/>
      </c>
    </row>
    <row r="1333" spans="1:5" x14ac:dyDescent="0.35">
      <c r="A1333" s="902" t="str">
        <f t="shared" si="21"/>
        <v/>
      </c>
      <c r="B1333" s="903" t="str">
        <f>IF(Tabulka4[[#This Row],[Typ úlohy]]="Součet",G1333,IF(Tabulka4[[#This Row],[Typ úlohy]]="Účet",B1332,""))</f>
        <v/>
      </c>
      <c r="C1333" s="903" t="str">
        <f>IF(Tabulka4[[#This Row],[Typ úlohy]]="Účet",H1333,"")</f>
        <v/>
      </c>
      <c r="D1333" s="903" t="str">
        <f>IF(Tabulka4[[#This Row],[Typ úlohy]]="Účet",GETPIVOTDATA("Součet z Celková hmotnost položek [kg]",$G$2,"Zkratka kalkulační položky",B1333,"Výrobce / Dodavatel",C1333),"")</f>
        <v/>
      </c>
      <c r="E1333" s="904" t="str">
        <f>IF(Tabulka4[[#This Row],[Typ úlohy]]="Účet",GETPIVOTDATA("Součet z Celková cena bez DPH (CZK)",$G$3,"Zkratka kalkulační položky",B1333,"Výrobce / Dodavatel",C1333),"")</f>
        <v/>
      </c>
    </row>
    <row r="1334" spans="1:5" x14ac:dyDescent="0.35">
      <c r="A1334" s="902" t="str">
        <f t="shared" si="21"/>
        <v/>
      </c>
      <c r="B1334" s="903" t="str">
        <f>IF(Tabulka4[[#This Row],[Typ úlohy]]="Součet",G1334,IF(Tabulka4[[#This Row],[Typ úlohy]]="Účet",B1333,""))</f>
        <v/>
      </c>
      <c r="C1334" s="903" t="str">
        <f>IF(Tabulka4[[#This Row],[Typ úlohy]]="Účet",H1334,"")</f>
        <v/>
      </c>
      <c r="D1334" s="903" t="str">
        <f>IF(Tabulka4[[#This Row],[Typ úlohy]]="Účet",GETPIVOTDATA("Součet z Celková hmotnost položek [kg]",$G$2,"Zkratka kalkulační položky",B1334,"Výrobce / Dodavatel",C1334),"")</f>
        <v/>
      </c>
      <c r="E1334" s="904" t="str">
        <f>IF(Tabulka4[[#This Row],[Typ úlohy]]="Účet",GETPIVOTDATA("Součet z Celková cena bez DPH (CZK)",$G$3,"Zkratka kalkulační položky",B1334,"Výrobce / Dodavatel",C1334),"")</f>
        <v/>
      </c>
    </row>
    <row r="1335" spans="1:5" x14ac:dyDescent="0.35">
      <c r="A1335" s="902" t="str">
        <f t="shared" si="21"/>
        <v/>
      </c>
      <c r="B1335" s="903" t="str">
        <f>IF(Tabulka4[[#This Row],[Typ úlohy]]="Součet",G1335,IF(Tabulka4[[#This Row],[Typ úlohy]]="Účet",B1334,""))</f>
        <v/>
      </c>
      <c r="C1335" s="903" t="str">
        <f>IF(Tabulka4[[#This Row],[Typ úlohy]]="Účet",H1335,"")</f>
        <v/>
      </c>
      <c r="D1335" s="903" t="str">
        <f>IF(Tabulka4[[#This Row],[Typ úlohy]]="Účet",GETPIVOTDATA("Součet z Celková hmotnost položek [kg]",$G$2,"Zkratka kalkulační položky",B1335,"Výrobce / Dodavatel",C1335),"")</f>
        <v/>
      </c>
      <c r="E1335" s="904" t="str">
        <f>IF(Tabulka4[[#This Row],[Typ úlohy]]="Účet",GETPIVOTDATA("Součet z Celková cena bez DPH (CZK)",$G$3,"Zkratka kalkulační položky",B1335,"Výrobce / Dodavatel",C1335),"")</f>
        <v/>
      </c>
    </row>
    <row r="1336" spans="1:5" x14ac:dyDescent="0.35">
      <c r="A1336" s="902" t="str">
        <f t="shared" si="21"/>
        <v/>
      </c>
      <c r="B1336" s="903" t="str">
        <f>IF(Tabulka4[[#This Row],[Typ úlohy]]="Součet",G1336,IF(Tabulka4[[#This Row],[Typ úlohy]]="Účet",B1335,""))</f>
        <v/>
      </c>
      <c r="C1336" s="903" t="str">
        <f>IF(Tabulka4[[#This Row],[Typ úlohy]]="Účet",H1336,"")</f>
        <v/>
      </c>
      <c r="D1336" s="903" t="str">
        <f>IF(Tabulka4[[#This Row],[Typ úlohy]]="Účet",GETPIVOTDATA("Součet z Celková hmotnost položek [kg]",$G$2,"Zkratka kalkulační položky",B1336,"Výrobce / Dodavatel",C1336),"")</f>
        <v/>
      </c>
      <c r="E1336" s="904" t="str">
        <f>IF(Tabulka4[[#This Row],[Typ úlohy]]="Účet",GETPIVOTDATA("Součet z Celková cena bez DPH (CZK)",$G$3,"Zkratka kalkulační položky",B1336,"Výrobce / Dodavatel",C1336),"")</f>
        <v/>
      </c>
    </row>
    <row r="1337" spans="1:5" x14ac:dyDescent="0.35">
      <c r="A1337" s="902" t="str">
        <f t="shared" si="21"/>
        <v/>
      </c>
      <c r="B1337" s="903" t="str">
        <f>IF(Tabulka4[[#This Row],[Typ úlohy]]="Součet",G1337,IF(Tabulka4[[#This Row],[Typ úlohy]]="Účet",B1336,""))</f>
        <v/>
      </c>
      <c r="C1337" s="903" t="str">
        <f>IF(Tabulka4[[#This Row],[Typ úlohy]]="Účet",H1337,"")</f>
        <v/>
      </c>
      <c r="D1337" s="903" t="str">
        <f>IF(Tabulka4[[#This Row],[Typ úlohy]]="Účet",GETPIVOTDATA("Součet z Celková hmotnost položek [kg]",$G$2,"Zkratka kalkulační položky",B1337,"Výrobce / Dodavatel",C1337),"")</f>
        <v/>
      </c>
      <c r="E1337" s="904" t="str">
        <f>IF(Tabulka4[[#This Row],[Typ úlohy]]="Účet",GETPIVOTDATA("Součet z Celková cena bez DPH (CZK)",$G$3,"Zkratka kalkulační položky",B1337,"Výrobce / Dodavatel",C1337),"")</f>
        <v/>
      </c>
    </row>
    <row r="1338" spans="1:5" x14ac:dyDescent="0.35">
      <c r="A1338" s="902" t="str">
        <f t="shared" si="21"/>
        <v/>
      </c>
      <c r="B1338" s="903" t="str">
        <f>IF(Tabulka4[[#This Row],[Typ úlohy]]="Součet",G1338,IF(Tabulka4[[#This Row],[Typ úlohy]]="Účet",B1337,""))</f>
        <v/>
      </c>
      <c r="C1338" s="903" t="str">
        <f>IF(Tabulka4[[#This Row],[Typ úlohy]]="Účet",H1338,"")</f>
        <v/>
      </c>
      <c r="D1338" s="903" t="str">
        <f>IF(Tabulka4[[#This Row],[Typ úlohy]]="Účet",GETPIVOTDATA("Součet z Celková hmotnost položek [kg]",$G$2,"Zkratka kalkulační položky",B1338,"Výrobce / Dodavatel",C1338),"")</f>
        <v/>
      </c>
      <c r="E1338" s="904" t="str">
        <f>IF(Tabulka4[[#This Row],[Typ úlohy]]="Účet",GETPIVOTDATA("Součet z Celková cena bez DPH (CZK)",$G$3,"Zkratka kalkulační položky",B1338,"Výrobce / Dodavatel",C1338),"")</f>
        <v/>
      </c>
    </row>
    <row r="1339" spans="1:5" x14ac:dyDescent="0.35">
      <c r="A1339" s="902" t="str">
        <f t="shared" si="21"/>
        <v/>
      </c>
      <c r="B1339" s="903" t="str">
        <f>IF(Tabulka4[[#This Row],[Typ úlohy]]="Součet",G1339,IF(Tabulka4[[#This Row],[Typ úlohy]]="Účet",B1338,""))</f>
        <v/>
      </c>
      <c r="C1339" s="903" t="str">
        <f>IF(Tabulka4[[#This Row],[Typ úlohy]]="Účet",H1339,"")</f>
        <v/>
      </c>
      <c r="D1339" s="903" t="str">
        <f>IF(Tabulka4[[#This Row],[Typ úlohy]]="Účet",GETPIVOTDATA("Součet z Celková hmotnost položek [kg]",$G$2,"Zkratka kalkulační položky",B1339,"Výrobce / Dodavatel",C1339),"")</f>
        <v/>
      </c>
      <c r="E1339" s="904" t="str">
        <f>IF(Tabulka4[[#This Row],[Typ úlohy]]="Účet",GETPIVOTDATA("Součet z Celková cena bez DPH (CZK)",$G$3,"Zkratka kalkulační položky",B1339,"Výrobce / Dodavatel",C1339),"")</f>
        <v/>
      </c>
    </row>
    <row r="1340" spans="1:5" x14ac:dyDescent="0.35">
      <c r="A1340" s="902" t="str">
        <f t="shared" si="21"/>
        <v/>
      </c>
      <c r="B1340" s="903" t="str">
        <f>IF(Tabulka4[[#This Row],[Typ úlohy]]="Součet",G1340,IF(Tabulka4[[#This Row],[Typ úlohy]]="Účet",B1339,""))</f>
        <v/>
      </c>
      <c r="C1340" s="903" t="str">
        <f>IF(Tabulka4[[#This Row],[Typ úlohy]]="Účet",H1340,"")</f>
        <v/>
      </c>
      <c r="D1340" s="903" t="str">
        <f>IF(Tabulka4[[#This Row],[Typ úlohy]]="Účet",GETPIVOTDATA("Součet z Celková hmotnost položek [kg]",$G$2,"Zkratka kalkulační položky",B1340,"Výrobce / Dodavatel",C1340),"")</f>
        <v/>
      </c>
      <c r="E1340" s="904" t="str">
        <f>IF(Tabulka4[[#This Row],[Typ úlohy]]="Účet",GETPIVOTDATA("Součet z Celková cena bez DPH (CZK)",$G$3,"Zkratka kalkulační položky",B1340,"Výrobce / Dodavatel",C1340),"")</f>
        <v/>
      </c>
    </row>
    <row r="1341" spans="1:5" x14ac:dyDescent="0.35">
      <c r="A1341" s="902" t="str">
        <f t="shared" si="21"/>
        <v/>
      </c>
      <c r="B1341" s="903" t="str">
        <f>IF(Tabulka4[[#This Row],[Typ úlohy]]="Součet",G1341,IF(Tabulka4[[#This Row],[Typ úlohy]]="Účet",B1340,""))</f>
        <v/>
      </c>
      <c r="C1341" s="903" t="str">
        <f>IF(Tabulka4[[#This Row],[Typ úlohy]]="Účet",H1341,"")</f>
        <v/>
      </c>
      <c r="D1341" s="903" t="str">
        <f>IF(Tabulka4[[#This Row],[Typ úlohy]]="Účet",GETPIVOTDATA("Součet z Celková hmotnost položek [kg]",$G$2,"Zkratka kalkulační položky",B1341,"Výrobce / Dodavatel",C1341),"")</f>
        <v/>
      </c>
      <c r="E1341" s="904" t="str">
        <f>IF(Tabulka4[[#This Row],[Typ úlohy]]="Účet",GETPIVOTDATA("Součet z Celková cena bez DPH (CZK)",$G$3,"Zkratka kalkulační položky",B1341,"Výrobce / Dodavatel",C1341),"")</f>
        <v/>
      </c>
    </row>
    <row r="1342" spans="1:5" x14ac:dyDescent="0.35">
      <c r="A1342" s="902" t="str">
        <f t="shared" si="21"/>
        <v/>
      </c>
      <c r="B1342" s="903" t="str">
        <f>IF(Tabulka4[[#This Row],[Typ úlohy]]="Součet",G1342,IF(Tabulka4[[#This Row],[Typ úlohy]]="Účet",B1341,""))</f>
        <v/>
      </c>
      <c r="C1342" s="903" t="str">
        <f>IF(Tabulka4[[#This Row],[Typ úlohy]]="Účet",H1342,"")</f>
        <v/>
      </c>
      <c r="D1342" s="903" t="str">
        <f>IF(Tabulka4[[#This Row],[Typ úlohy]]="Účet",GETPIVOTDATA("Součet z Celková hmotnost položek [kg]",$G$2,"Zkratka kalkulační položky",B1342,"Výrobce / Dodavatel",C1342),"")</f>
        <v/>
      </c>
      <c r="E1342" s="904" t="str">
        <f>IF(Tabulka4[[#This Row],[Typ úlohy]]="Účet",GETPIVOTDATA("Součet z Celková cena bez DPH (CZK)",$G$3,"Zkratka kalkulační položky",B1342,"Výrobce / Dodavatel",C1342),"")</f>
        <v/>
      </c>
    </row>
    <row r="1343" spans="1:5" x14ac:dyDescent="0.35">
      <c r="A1343" s="902" t="str">
        <f t="shared" si="21"/>
        <v/>
      </c>
      <c r="B1343" s="903" t="str">
        <f>IF(Tabulka4[[#This Row],[Typ úlohy]]="Součet",G1343,IF(Tabulka4[[#This Row],[Typ úlohy]]="Účet",B1342,""))</f>
        <v/>
      </c>
      <c r="C1343" s="903" t="str">
        <f>IF(Tabulka4[[#This Row],[Typ úlohy]]="Účet",H1343,"")</f>
        <v/>
      </c>
      <c r="D1343" s="903" t="str">
        <f>IF(Tabulka4[[#This Row],[Typ úlohy]]="Účet",GETPIVOTDATA("Součet z Celková hmotnost položek [kg]",$G$2,"Zkratka kalkulační položky",B1343,"Výrobce / Dodavatel",C1343),"")</f>
        <v/>
      </c>
      <c r="E1343" s="904" t="str">
        <f>IF(Tabulka4[[#This Row],[Typ úlohy]]="Účet",GETPIVOTDATA("Součet z Celková cena bez DPH (CZK)",$G$3,"Zkratka kalkulační položky",B1343,"Výrobce / Dodavatel",C1343),"")</f>
        <v/>
      </c>
    </row>
    <row r="1344" spans="1:5" x14ac:dyDescent="0.35">
      <c r="A1344" s="902" t="str">
        <f t="shared" si="21"/>
        <v/>
      </c>
      <c r="B1344" s="903" t="str">
        <f>IF(Tabulka4[[#This Row],[Typ úlohy]]="Součet",G1344,IF(Tabulka4[[#This Row],[Typ úlohy]]="Účet",B1343,""))</f>
        <v/>
      </c>
      <c r="C1344" s="903" t="str">
        <f>IF(Tabulka4[[#This Row],[Typ úlohy]]="Účet",H1344,"")</f>
        <v/>
      </c>
      <c r="D1344" s="903" t="str">
        <f>IF(Tabulka4[[#This Row],[Typ úlohy]]="Účet",GETPIVOTDATA("Součet z Celková hmotnost položek [kg]",$G$2,"Zkratka kalkulační položky",B1344,"Výrobce / Dodavatel",C1344),"")</f>
        <v/>
      </c>
      <c r="E1344" s="904" t="str">
        <f>IF(Tabulka4[[#This Row],[Typ úlohy]]="Účet",GETPIVOTDATA("Součet z Celková cena bez DPH (CZK)",$G$3,"Zkratka kalkulační položky",B1344,"Výrobce / Dodavatel",C1344),"")</f>
        <v/>
      </c>
    </row>
    <row r="1345" spans="1:5" x14ac:dyDescent="0.35">
      <c r="A1345" s="902" t="str">
        <f t="shared" si="21"/>
        <v/>
      </c>
      <c r="B1345" s="903" t="str">
        <f>IF(Tabulka4[[#This Row],[Typ úlohy]]="Součet",G1345,IF(Tabulka4[[#This Row],[Typ úlohy]]="Účet",B1344,""))</f>
        <v/>
      </c>
      <c r="C1345" s="903" t="str">
        <f>IF(Tabulka4[[#This Row],[Typ úlohy]]="Účet",H1345,"")</f>
        <v/>
      </c>
      <c r="D1345" s="903" t="str">
        <f>IF(Tabulka4[[#This Row],[Typ úlohy]]="Účet",GETPIVOTDATA("Součet z Celková hmotnost položek [kg]",$G$2,"Zkratka kalkulační položky",B1345,"Výrobce / Dodavatel",C1345),"")</f>
        <v/>
      </c>
      <c r="E1345" s="904" t="str">
        <f>IF(Tabulka4[[#This Row],[Typ úlohy]]="Účet",GETPIVOTDATA("Součet z Celková cena bez DPH (CZK)",$G$3,"Zkratka kalkulační položky",B1345,"Výrobce / Dodavatel",C1345),"")</f>
        <v/>
      </c>
    </row>
    <row r="1346" spans="1:5" x14ac:dyDescent="0.35">
      <c r="A1346" s="902" t="str">
        <f t="shared" si="21"/>
        <v/>
      </c>
      <c r="B1346" s="903" t="str">
        <f>IF(Tabulka4[[#This Row],[Typ úlohy]]="Součet",G1346,IF(Tabulka4[[#This Row],[Typ úlohy]]="Účet",B1345,""))</f>
        <v/>
      </c>
      <c r="C1346" s="903" t="str">
        <f>IF(Tabulka4[[#This Row],[Typ úlohy]]="Účet",H1346,"")</f>
        <v/>
      </c>
      <c r="D1346" s="903" t="str">
        <f>IF(Tabulka4[[#This Row],[Typ úlohy]]="Účet",GETPIVOTDATA("Součet z Celková hmotnost položek [kg]",$G$2,"Zkratka kalkulační položky",B1346,"Výrobce / Dodavatel",C1346),"")</f>
        <v/>
      </c>
      <c r="E1346" s="904" t="str">
        <f>IF(Tabulka4[[#This Row],[Typ úlohy]]="Účet",GETPIVOTDATA("Součet z Celková cena bez DPH (CZK)",$G$3,"Zkratka kalkulační položky",B1346,"Výrobce / Dodavatel",C1346),"")</f>
        <v/>
      </c>
    </row>
    <row r="1347" spans="1:5" x14ac:dyDescent="0.35">
      <c r="A1347" s="902" t="str">
        <f t="shared" si="21"/>
        <v/>
      </c>
      <c r="B1347" s="903" t="str">
        <f>IF(Tabulka4[[#This Row],[Typ úlohy]]="Součet",G1347,IF(Tabulka4[[#This Row],[Typ úlohy]]="Účet",B1346,""))</f>
        <v/>
      </c>
      <c r="C1347" s="903" t="str">
        <f>IF(Tabulka4[[#This Row],[Typ úlohy]]="Účet",H1347,"")</f>
        <v/>
      </c>
      <c r="D1347" s="903" t="str">
        <f>IF(Tabulka4[[#This Row],[Typ úlohy]]="Účet",GETPIVOTDATA("Součet z Celková hmotnost položek [kg]",$G$2,"Zkratka kalkulační položky",B1347,"Výrobce / Dodavatel",C1347),"")</f>
        <v/>
      </c>
      <c r="E1347" s="904" t="str">
        <f>IF(Tabulka4[[#This Row],[Typ úlohy]]="Účet",GETPIVOTDATA("Součet z Celková cena bez DPH (CZK)",$G$3,"Zkratka kalkulační položky",B1347,"Výrobce / Dodavatel",C1347),"")</f>
        <v/>
      </c>
    </row>
    <row r="1348" spans="1:5" x14ac:dyDescent="0.35">
      <c r="A1348" s="902" t="str">
        <f t="shared" si="21"/>
        <v/>
      </c>
      <c r="B1348" s="903" t="str">
        <f>IF(Tabulka4[[#This Row],[Typ úlohy]]="Součet",G1348,IF(Tabulka4[[#This Row],[Typ úlohy]]="Účet",B1347,""))</f>
        <v/>
      </c>
      <c r="C1348" s="903" t="str">
        <f>IF(Tabulka4[[#This Row],[Typ úlohy]]="Účet",H1348,"")</f>
        <v/>
      </c>
      <c r="D1348" s="903" t="str">
        <f>IF(Tabulka4[[#This Row],[Typ úlohy]]="Účet",GETPIVOTDATA("Součet z Celková hmotnost položek [kg]",$G$2,"Zkratka kalkulační položky",B1348,"Výrobce / Dodavatel",C1348),"")</f>
        <v/>
      </c>
      <c r="E1348" s="904" t="str">
        <f>IF(Tabulka4[[#This Row],[Typ úlohy]]="Účet",GETPIVOTDATA("Součet z Celková cena bez DPH (CZK)",$G$3,"Zkratka kalkulační položky",B1348,"Výrobce / Dodavatel",C1348),"")</f>
        <v/>
      </c>
    </row>
    <row r="1349" spans="1:5" x14ac:dyDescent="0.35">
      <c r="A1349" s="902" t="str">
        <f t="shared" ref="A1349:A1412" si="22">IF(H1349="",IF(G1349="","","Součet"),"Účet")</f>
        <v/>
      </c>
      <c r="B1349" s="903" t="str">
        <f>IF(Tabulka4[[#This Row],[Typ úlohy]]="Součet",G1349,IF(Tabulka4[[#This Row],[Typ úlohy]]="Účet",B1348,""))</f>
        <v/>
      </c>
      <c r="C1349" s="903" t="str">
        <f>IF(Tabulka4[[#This Row],[Typ úlohy]]="Účet",H1349,"")</f>
        <v/>
      </c>
      <c r="D1349" s="903" t="str">
        <f>IF(Tabulka4[[#This Row],[Typ úlohy]]="Účet",GETPIVOTDATA("Součet z Celková hmotnost položek [kg]",$G$2,"Zkratka kalkulační položky",B1349,"Výrobce / Dodavatel",C1349),"")</f>
        <v/>
      </c>
      <c r="E1349" s="904" t="str">
        <f>IF(Tabulka4[[#This Row],[Typ úlohy]]="Účet",GETPIVOTDATA("Součet z Celková cena bez DPH (CZK)",$G$3,"Zkratka kalkulační položky",B1349,"Výrobce / Dodavatel",C1349),"")</f>
        <v/>
      </c>
    </row>
    <row r="1350" spans="1:5" x14ac:dyDescent="0.35">
      <c r="A1350" s="902" t="str">
        <f t="shared" si="22"/>
        <v/>
      </c>
      <c r="B1350" s="903" t="str">
        <f>IF(Tabulka4[[#This Row],[Typ úlohy]]="Součet",G1350,IF(Tabulka4[[#This Row],[Typ úlohy]]="Účet",B1349,""))</f>
        <v/>
      </c>
      <c r="C1350" s="903" t="str">
        <f>IF(Tabulka4[[#This Row],[Typ úlohy]]="Účet",H1350,"")</f>
        <v/>
      </c>
      <c r="D1350" s="903" t="str">
        <f>IF(Tabulka4[[#This Row],[Typ úlohy]]="Účet",GETPIVOTDATA("Součet z Celková hmotnost položek [kg]",$G$2,"Zkratka kalkulační položky",B1350,"Výrobce / Dodavatel",C1350),"")</f>
        <v/>
      </c>
      <c r="E1350" s="904" t="str">
        <f>IF(Tabulka4[[#This Row],[Typ úlohy]]="Účet",GETPIVOTDATA("Součet z Celková cena bez DPH (CZK)",$G$3,"Zkratka kalkulační položky",B1350,"Výrobce / Dodavatel",C1350),"")</f>
        <v/>
      </c>
    </row>
    <row r="1351" spans="1:5" x14ac:dyDescent="0.35">
      <c r="A1351" s="902" t="str">
        <f t="shared" si="22"/>
        <v/>
      </c>
      <c r="B1351" s="903" t="str">
        <f>IF(Tabulka4[[#This Row],[Typ úlohy]]="Součet",G1351,IF(Tabulka4[[#This Row],[Typ úlohy]]="Účet",B1350,""))</f>
        <v/>
      </c>
      <c r="C1351" s="903" t="str">
        <f>IF(Tabulka4[[#This Row],[Typ úlohy]]="Účet",H1351,"")</f>
        <v/>
      </c>
      <c r="D1351" s="903" t="str">
        <f>IF(Tabulka4[[#This Row],[Typ úlohy]]="Účet",GETPIVOTDATA("Součet z Celková hmotnost položek [kg]",$G$2,"Zkratka kalkulační položky",B1351,"Výrobce / Dodavatel",C1351),"")</f>
        <v/>
      </c>
      <c r="E1351" s="904" t="str">
        <f>IF(Tabulka4[[#This Row],[Typ úlohy]]="Účet",GETPIVOTDATA("Součet z Celková cena bez DPH (CZK)",$G$3,"Zkratka kalkulační položky",B1351,"Výrobce / Dodavatel",C1351),"")</f>
        <v/>
      </c>
    </row>
    <row r="1352" spans="1:5" x14ac:dyDescent="0.35">
      <c r="A1352" s="902" t="str">
        <f t="shared" si="22"/>
        <v/>
      </c>
      <c r="B1352" s="903" t="str">
        <f>IF(Tabulka4[[#This Row],[Typ úlohy]]="Součet",G1352,IF(Tabulka4[[#This Row],[Typ úlohy]]="Účet",B1351,""))</f>
        <v/>
      </c>
      <c r="C1352" s="903" t="str">
        <f>IF(Tabulka4[[#This Row],[Typ úlohy]]="Účet",H1352,"")</f>
        <v/>
      </c>
      <c r="D1352" s="903" t="str">
        <f>IF(Tabulka4[[#This Row],[Typ úlohy]]="Účet",GETPIVOTDATA("Součet z Celková hmotnost položek [kg]",$G$2,"Zkratka kalkulační položky",B1352,"Výrobce / Dodavatel",C1352),"")</f>
        <v/>
      </c>
      <c r="E1352" s="904" t="str">
        <f>IF(Tabulka4[[#This Row],[Typ úlohy]]="Účet",GETPIVOTDATA("Součet z Celková cena bez DPH (CZK)",$G$3,"Zkratka kalkulační položky",B1352,"Výrobce / Dodavatel",C1352),"")</f>
        <v/>
      </c>
    </row>
    <row r="1353" spans="1:5" x14ac:dyDescent="0.35">
      <c r="A1353" s="902" t="str">
        <f t="shared" si="22"/>
        <v/>
      </c>
      <c r="B1353" s="903" t="str">
        <f>IF(Tabulka4[[#This Row],[Typ úlohy]]="Součet",G1353,IF(Tabulka4[[#This Row],[Typ úlohy]]="Účet",B1352,""))</f>
        <v/>
      </c>
      <c r="C1353" s="903" t="str">
        <f>IF(Tabulka4[[#This Row],[Typ úlohy]]="Účet",H1353,"")</f>
        <v/>
      </c>
      <c r="D1353" s="903" t="str">
        <f>IF(Tabulka4[[#This Row],[Typ úlohy]]="Účet",GETPIVOTDATA("Součet z Celková hmotnost položek [kg]",$G$2,"Zkratka kalkulační položky",B1353,"Výrobce / Dodavatel",C1353),"")</f>
        <v/>
      </c>
      <c r="E1353" s="904" t="str">
        <f>IF(Tabulka4[[#This Row],[Typ úlohy]]="Účet",GETPIVOTDATA("Součet z Celková cena bez DPH (CZK)",$G$3,"Zkratka kalkulační položky",B1353,"Výrobce / Dodavatel",C1353),"")</f>
        <v/>
      </c>
    </row>
    <row r="1354" spans="1:5" x14ac:dyDescent="0.35">
      <c r="A1354" s="902" t="str">
        <f t="shared" si="22"/>
        <v/>
      </c>
      <c r="B1354" s="903" t="str">
        <f>IF(Tabulka4[[#This Row],[Typ úlohy]]="Součet",G1354,IF(Tabulka4[[#This Row],[Typ úlohy]]="Účet",B1353,""))</f>
        <v/>
      </c>
      <c r="C1354" s="903" t="str">
        <f>IF(Tabulka4[[#This Row],[Typ úlohy]]="Účet",H1354,"")</f>
        <v/>
      </c>
      <c r="D1354" s="903" t="str">
        <f>IF(Tabulka4[[#This Row],[Typ úlohy]]="Účet",GETPIVOTDATA("Součet z Celková hmotnost položek [kg]",$G$2,"Zkratka kalkulační položky",B1354,"Výrobce / Dodavatel",C1354),"")</f>
        <v/>
      </c>
      <c r="E1354" s="904" t="str">
        <f>IF(Tabulka4[[#This Row],[Typ úlohy]]="Účet",GETPIVOTDATA("Součet z Celková cena bez DPH (CZK)",$G$3,"Zkratka kalkulační položky",B1354,"Výrobce / Dodavatel",C1354),"")</f>
        <v/>
      </c>
    </row>
    <row r="1355" spans="1:5" x14ac:dyDescent="0.35">
      <c r="A1355" s="902" t="str">
        <f t="shared" si="22"/>
        <v/>
      </c>
      <c r="B1355" s="903" t="str">
        <f>IF(Tabulka4[[#This Row],[Typ úlohy]]="Součet",G1355,IF(Tabulka4[[#This Row],[Typ úlohy]]="Účet",B1354,""))</f>
        <v/>
      </c>
      <c r="C1355" s="903" t="str">
        <f>IF(Tabulka4[[#This Row],[Typ úlohy]]="Účet",H1355,"")</f>
        <v/>
      </c>
      <c r="D1355" s="903" t="str">
        <f>IF(Tabulka4[[#This Row],[Typ úlohy]]="Účet",GETPIVOTDATA("Součet z Celková hmotnost položek [kg]",$G$2,"Zkratka kalkulační položky",B1355,"Výrobce / Dodavatel",C1355),"")</f>
        <v/>
      </c>
      <c r="E1355" s="904" t="str">
        <f>IF(Tabulka4[[#This Row],[Typ úlohy]]="Účet",GETPIVOTDATA("Součet z Celková cena bez DPH (CZK)",$G$3,"Zkratka kalkulační položky",B1355,"Výrobce / Dodavatel",C1355),"")</f>
        <v/>
      </c>
    </row>
    <row r="1356" spans="1:5" x14ac:dyDescent="0.35">
      <c r="A1356" s="902" t="str">
        <f t="shared" si="22"/>
        <v/>
      </c>
      <c r="B1356" s="903" t="str">
        <f>IF(Tabulka4[[#This Row],[Typ úlohy]]="Součet",G1356,IF(Tabulka4[[#This Row],[Typ úlohy]]="Účet",B1355,""))</f>
        <v/>
      </c>
      <c r="C1356" s="903" t="str">
        <f>IF(Tabulka4[[#This Row],[Typ úlohy]]="Účet",H1356,"")</f>
        <v/>
      </c>
      <c r="D1356" s="903" t="str">
        <f>IF(Tabulka4[[#This Row],[Typ úlohy]]="Účet",GETPIVOTDATA("Součet z Celková hmotnost položek [kg]",$G$2,"Zkratka kalkulační položky",B1356,"Výrobce / Dodavatel",C1356),"")</f>
        <v/>
      </c>
      <c r="E1356" s="904" t="str">
        <f>IF(Tabulka4[[#This Row],[Typ úlohy]]="Účet",GETPIVOTDATA("Součet z Celková cena bez DPH (CZK)",$G$3,"Zkratka kalkulační položky",B1356,"Výrobce / Dodavatel",C1356),"")</f>
        <v/>
      </c>
    </row>
    <row r="1357" spans="1:5" x14ac:dyDescent="0.35">
      <c r="A1357" s="902" t="str">
        <f t="shared" si="22"/>
        <v/>
      </c>
      <c r="B1357" s="903" t="str">
        <f>IF(Tabulka4[[#This Row],[Typ úlohy]]="Součet",G1357,IF(Tabulka4[[#This Row],[Typ úlohy]]="Účet",B1356,""))</f>
        <v/>
      </c>
      <c r="C1357" s="903" t="str">
        <f>IF(Tabulka4[[#This Row],[Typ úlohy]]="Účet",H1357,"")</f>
        <v/>
      </c>
      <c r="D1357" s="903" t="str">
        <f>IF(Tabulka4[[#This Row],[Typ úlohy]]="Účet",GETPIVOTDATA("Součet z Celková hmotnost položek [kg]",$G$2,"Zkratka kalkulační položky",B1357,"Výrobce / Dodavatel",C1357),"")</f>
        <v/>
      </c>
      <c r="E1357" s="904" t="str">
        <f>IF(Tabulka4[[#This Row],[Typ úlohy]]="Účet",GETPIVOTDATA("Součet z Celková cena bez DPH (CZK)",$G$3,"Zkratka kalkulační položky",B1357,"Výrobce / Dodavatel",C1357),"")</f>
        <v/>
      </c>
    </row>
    <row r="1358" spans="1:5" x14ac:dyDescent="0.35">
      <c r="A1358" s="902" t="str">
        <f t="shared" si="22"/>
        <v/>
      </c>
      <c r="B1358" s="903" t="str">
        <f>IF(Tabulka4[[#This Row],[Typ úlohy]]="Součet",G1358,IF(Tabulka4[[#This Row],[Typ úlohy]]="Účet",B1357,""))</f>
        <v/>
      </c>
      <c r="C1358" s="903" t="str">
        <f>IF(Tabulka4[[#This Row],[Typ úlohy]]="Účet",H1358,"")</f>
        <v/>
      </c>
      <c r="D1358" s="903" t="str">
        <f>IF(Tabulka4[[#This Row],[Typ úlohy]]="Účet",GETPIVOTDATA("Součet z Celková hmotnost položek [kg]",$G$2,"Zkratka kalkulační položky",B1358,"Výrobce / Dodavatel",C1358),"")</f>
        <v/>
      </c>
      <c r="E1358" s="904" t="str">
        <f>IF(Tabulka4[[#This Row],[Typ úlohy]]="Účet",GETPIVOTDATA("Součet z Celková cena bez DPH (CZK)",$G$3,"Zkratka kalkulační položky",B1358,"Výrobce / Dodavatel",C1358),"")</f>
        <v/>
      </c>
    </row>
    <row r="1359" spans="1:5" x14ac:dyDescent="0.35">
      <c r="A1359" s="902" t="str">
        <f t="shared" si="22"/>
        <v/>
      </c>
      <c r="B1359" s="903" t="str">
        <f>IF(Tabulka4[[#This Row],[Typ úlohy]]="Součet",G1359,IF(Tabulka4[[#This Row],[Typ úlohy]]="Účet",B1358,""))</f>
        <v/>
      </c>
      <c r="C1359" s="903" t="str">
        <f>IF(Tabulka4[[#This Row],[Typ úlohy]]="Účet",H1359,"")</f>
        <v/>
      </c>
      <c r="D1359" s="903" t="str">
        <f>IF(Tabulka4[[#This Row],[Typ úlohy]]="Účet",GETPIVOTDATA("Součet z Celková hmotnost položek [kg]",$G$2,"Zkratka kalkulační položky",B1359,"Výrobce / Dodavatel",C1359),"")</f>
        <v/>
      </c>
      <c r="E1359" s="904" t="str">
        <f>IF(Tabulka4[[#This Row],[Typ úlohy]]="Účet",GETPIVOTDATA("Součet z Celková cena bez DPH (CZK)",$G$3,"Zkratka kalkulační položky",B1359,"Výrobce / Dodavatel",C1359),"")</f>
        <v/>
      </c>
    </row>
    <row r="1360" spans="1:5" x14ac:dyDescent="0.35">
      <c r="A1360" s="902" t="str">
        <f t="shared" si="22"/>
        <v/>
      </c>
      <c r="B1360" s="903" t="str">
        <f>IF(Tabulka4[[#This Row],[Typ úlohy]]="Součet",G1360,IF(Tabulka4[[#This Row],[Typ úlohy]]="Účet",B1359,""))</f>
        <v/>
      </c>
      <c r="C1360" s="903" t="str">
        <f>IF(Tabulka4[[#This Row],[Typ úlohy]]="Účet",H1360,"")</f>
        <v/>
      </c>
      <c r="D1360" s="903" t="str">
        <f>IF(Tabulka4[[#This Row],[Typ úlohy]]="Účet",GETPIVOTDATA("Součet z Celková hmotnost položek [kg]",$G$2,"Zkratka kalkulační položky",B1360,"Výrobce / Dodavatel",C1360),"")</f>
        <v/>
      </c>
      <c r="E1360" s="904" t="str">
        <f>IF(Tabulka4[[#This Row],[Typ úlohy]]="Účet",GETPIVOTDATA("Součet z Celková cena bez DPH (CZK)",$G$3,"Zkratka kalkulační položky",B1360,"Výrobce / Dodavatel",C1360),"")</f>
        <v/>
      </c>
    </row>
    <row r="1361" spans="1:5" x14ac:dyDescent="0.35">
      <c r="A1361" s="902" t="str">
        <f t="shared" si="22"/>
        <v/>
      </c>
      <c r="B1361" s="903" t="str">
        <f>IF(Tabulka4[[#This Row],[Typ úlohy]]="Součet",G1361,IF(Tabulka4[[#This Row],[Typ úlohy]]="Účet",B1360,""))</f>
        <v/>
      </c>
      <c r="C1361" s="903" t="str">
        <f>IF(Tabulka4[[#This Row],[Typ úlohy]]="Účet",H1361,"")</f>
        <v/>
      </c>
      <c r="D1361" s="903" t="str">
        <f>IF(Tabulka4[[#This Row],[Typ úlohy]]="Účet",GETPIVOTDATA("Součet z Celková hmotnost položek [kg]",$G$2,"Zkratka kalkulační položky",B1361,"Výrobce / Dodavatel",C1361),"")</f>
        <v/>
      </c>
      <c r="E1361" s="904" t="str">
        <f>IF(Tabulka4[[#This Row],[Typ úlohy]]="Účet",GETPIVOTDATA("Součet z Celková cena bez DPH (CZK)",$G$3,"Zkratka kalkulační položky",B1361,"Výrobce / Dodavatel",C1361),"")</f>
        <v/>
      </c>
    </row>
    <row r="1362" spans="1:5" x14ac:dyDescent="0.35">
      <c r="A1362" s="902" t="str">
        <f t="shared" si="22"/>
        <v/>
      </c>
      <c r="B1362" s="903" t="str">
        <f>IF(Tabulka4[[#This Row],[Typ úlohy]]="Součet",G1362,IF(Tabulka4[[#This Row],[Typ úlohy]]="Účet",B1361,""))</f>
        <v/>
      </c>
      <c r="C1362" s="903" t="str">
        <f>IF(Tabulka4[[#This Row],[Typ úlohy]]="Účet",H1362,"")</f>
        <v/>
      </c>
      <c r="D1362" s="903" t="str">
        <f>IF(Tabulka4[[#This Row],[Typ úlohy]]="Účet",GETPIVOTDATA("Součet z Celková hmotnost položek [kg]",$G$2,"Zkratka kalkulační položky",B1362,"Výrobce / Dodavatel",C1362),"")</f>
        <v/>
      </c>
      <c r="E1362" s="904" t="str">
        <f>IF(Tabulka4[[#This Row],[Typ úlohy]]="Účet",GETPIVOTDATA("Součet z Celková cena bez DPH (CZK)",$G$3,"Zkratka kalkulační položky",B1362,"Výrobce / Dodavatel",C1362),"")</f>
        <v/>
      </c>
    </row>
    <row r="1363" spans="1:5" x14ac:dyDescent="0.35">
      <c r="A1363" s="902" t="str">
        <f t="shared" si="22"/>
        <v/>
      </c>
      <c r="B1363" s="903" t="str">
        <f>IF(Tabulka4[[#This Row],[Typ úlohy]]="Součet",G1363,IF(Tabulka4[[#This Row],[Typ úlohy]]="Účet",B1362,""))</f>
        <v/>
      </c>
      <c r="C1363" s="903" t="str">
        <f>IF(Tabulka4[[#This Row],[Typ úlohy]]="Účet",H1363,"")</f>
        <v/>
      </c>
      <c r="D1363" s="903" t="str">
        <f>IF(Tabulka4[[#This Row],[Typ úlohy]]="Účet",GETPIVOTDATA("Součet z Celková hmotnost položek [kg]",$G$2,"Zkratka kalkulační položky",B1363,"Výrobce / Dodavatel",C1363),"")</f>
        <v/>
      </c>
      <c r="E1363" s="904" t="str">
        <f>IF(Tabulka4[[#This Row],[Typ úlohy]]="Účet",GETPIVOTDATA("Součet z Celková cena bez DPH (CZK)",$G$3,"Zkratka kalkulační položky",B1363,"Výrobce / Dodavatel",C1363),"")</f>
        <v/>
      </c>
    </row>
    <row r="1364" spans="1:5" x14ac:dyDescent="0.35">
      <c r="A1364" s="902" t="str">
        <f t="shared" si="22"/>
        <v/>
      </c>
      <c r="B1364" s="903" t="str">
        <f>IF(Tabulka4[[#This Row],[Typ úlohy]]="Součet",G1364,IF(Tabulka4[[#This Row],[Typ úlohy]]="Účet",B1363,""))</f>
        <v/>
      </c>
      <c r="C1364" s="903" t="str">
        <f>IF(Tabulka4[[#This Row],[Typ úlohy]]="Účet",H1364,"")</f>
        <v/>
      </c>
      <c r="D1364" s="903" t="str">
        <f>IF(Tabulka4[[#This Row],[Typ úlohy]]="Účet",GETPIVOTDATA("Součet z Celková hmotnost položek [kg]",$G$2,"Zkratka kalkulační položky",B1364,"Výrobce / Dodavatel",C1364),"")</f>
        <v/>
      </c>
      <c r="E1364" s="904" t="str">
        <f>IF(Tabulka4[[#This Row],[Typ úlohy]]="Účet",GETPIVOTDATA("Součet z Celková cena bez DPH (CZK)",$G$3,"Zkratka kalkulační položky",B1364,"Výrobce / Dodavatel",C1364),"")</f>
        <v/>
      </c>
    </row>
    <row r="1365" spans="1:5" x14ac:dyDescent="0.35">
      <c r="A1365" s="902" t="str">
        <f t="shared" si="22"/>
        <v/>
      </c>
      <c r="B1365" s="903" t="str">
        <f>IF(Tabulka4[[#This Row],[Typ úlohy]]="Součet",G1365,IF(Tabulka4[[#This Row],[Typ úlohy]]="Účet",B1364,""))</f>
        <v/>
      </c>
      <c r="C1365" s="903" t="str">
        <f>IF(Tabulka4[[#This Row],[Typ úlohy]]="Účet",H1365,"")</f>
        <v/>
      </c>
      <c r="D1365" s="903" t="str">
        <f>IF(Tabulka4[[#This Row],[Typ úlohy]]="Účet",GETPIVOTDATA("Součet z Celková hmotnost položek [kg]",$G$2,"Zkratka kalkulační položky",B1365,"Výrobce / Dodavatel",C1365),"")</f>
        <v/>
      </c>
      <c r="E1365" s="904" t="str">
        <f>IF(Tabulka4[[#This Row],[Typ úlohy]]="Účet",GETPIVOTDATA("Součet z Celková cena bez DPH (CZK)",$G$3,"Zkratka kalkulační položky",B1365,"Výrobce / Dodavatel",C1365),"")</f>
        <v/>
      </c>
    </row>
    <row r="1366" spans="1:5" x14ac:dyDescent="0.35">
      <c r="A1366" s="902" t="str">
        <f t="shared" si="22"/>
        <v/>
      </c>
      <c r="B1366" s="903" t="str">
        <f>IF(Tabulka4[[#This Row],[Typ úlohy]]="Součet",G1366,IF(Tabulka4[[#This Row],[Typ úlohy]]="Účet",B1365,""))</f>
        <v/>
      </c>
      <c r="C1366" s="903" t="str">
        <f>IF(Tabulka4[[#This Row],[Typ úlohy]]="Účet",H1366,"")</f>
        <v/>
      </c>
      <c r="D1366" s="903" t="str">
        <f>IF(Tabulka4[[#This Row],[Typ úlohy]]="Účet",GETPIVOTDATA("Součet z Celková hmotnost položek [kg]",$G$2,"Zkratka kalkulační položky",B1366,"Výrobce / Dodavatel",C1366),"")</f>
        <v/>
      </c>
      <c r="E1366" s="904" t="str">
        <f>IF(Tabulka4[[#This Row],[Typ úlohy]]="Účet",GETPIVOTDATA("Součet z Celková cena bez DPH (CZK)",$G$3,"Zkratka kalkulační položky",B1366,"Výrobce / Dodavatel",C1366),"")</f>
        <v/>
      </c>
    </row>
    <row r="1367" spans="1:5" x14ac:dyDescent="0.35">
      <c r="A1367" s="902" t="str">
        <f t="shared" si="22"/>
        <v/>
      </c>
      <c r="B1367" s="903" t="str">
        <f>IF(Tabulka4[[#This Row],[Typ úlohy]]="Součet",G1367,IF(Tabulka4[[#This Row],[Typ úlohy]]="Účet",B1366,""))</f>
        <v/>
      </c>
      <c r="C1367" s="903" t="str">
        <f>IF(Tabulka4[[#This Row],[Typ úlohy]]="Účet",H1367,"")</f>
        <v/>
      </c>
      <c r="D1367" s="903" t="str">
        <f>IF(Tabulka4[[#This Row],[Typ úlohy]]="Účet",GETPIVOTDATA("Součet z Celková hmotnost položek [kg]",$G$2,"Zkratka kalkulační položky",B1367,"Výrobce / Dodavatel",C1367),"")</f>
        <v/>
      </c>
      <c r="E1367" s="904" t="str">
        <f>IF(Tabulka4[[#This Row],[Typ úlohy]]="Účet",GETPIVOTDATA("Součet z Celková cena bez DPH (CZK)",$G$3,"Zkratka kalkulační položky",B1367,"Výrobce / Dodavatel",C1367),"")</f>
        <v/>
      </c>
    </row>
    <row r="1368" spans="1:5" x14ac:dyDescent="0.35">
      <c r="A1368" s="902" t="str">
        <f t="shared" si="22"/>
        <v/>
      </c>
      <c r="B1368" s="903" t="str">
        <f>IF(Tabulka4[[#This Row],[Typ úlohy]]="Součet",G1368,IF(Tabulka4[[#This Row],[Typ úlohy]]="Účet",B1367,""))</f>
        <v/>
      </c>
      <c r="C1368" s="903" t="str">
        <f>IF(Tabulka4[[#This Row],[Typ úlohy]]="Účet",H1368,"")</f>
        <v/>
      </c>
      <c r="D1368" s="903" t="str">
        <f>IF(Tabulka4[[#This Row],[Typ úlohy]]="Účet",GETPIVOTDATA("Součet z Celková hmotnost položek [kg]",$G$2,"Zkratka kalkulační položky",B1368,"Výrobce / Dodavatel",C1368),"")</f>
        <v/>
      </c>
      <c r="E1368" s="904" t="str">
        <f>IF(Tabulka4[[#This Row],[Typ úlohy]]="Účet",GETPIVOTDATA("Součet z Celková cena bez DPH (CZK)",$G$3,"Zkratka kalkulační položky",B1368,"Výrobce / Dodavatel",C1368),"")</f>
        <v/>
      </c>
    </row>
    <row r="1369" spans="1:5" x14ac:dyDescent="0.35">
      <c r="A1369" s="902" t="str">
        <f t="shared" si="22"/>
        <v/>
      </c>
      <c r="B1369" s="903" t="str">
        <f>IF(Tabulka4[[#This Row],[Typ úlohy]]="Součet",G1369,IF(Tabulka4[[#This Row],[Typ úlohy]]="Účet",B1368,""))</f>
        <v/>
      </c>
      <c r="C1369" s="903" t="str">
        <f>IF(Tabulka4[[#This Row],[Typ úlohy]]="Účet",H1369,"")</f>
        <v/>
      </c>
      <c r="D1369" s="903" t="str">
        <f>IF(Tabulka4[[#This Row],[Typ úlohy]]="Účet",GETPIVOTDATA("Součet z Celková hmotnost položek [kg]",$G$2,"Zkratka kalkulační položky",B1369,"Výrobce / Dodavatel",C1369),"")</f>
        <v/>
      </c>
      <c r="E1369" s="904" t="str">
        <f>IF(Tabulka4[[#This Row],[Typ úlohy]]="Účet",GETPIVOTDATA("Součet z Celková cena bez DPH (CZK)",$G$3,"Zkratka kalkulační položky",B1369,"Výrobce / Dodavatel",C1369),"")</f>
        <v/>
      </c>
    </row>
    <row r="1370" spans="1:5" x14ac:dyDescent="0.35">
      <c r="A1370" s="902" t="str">
        <f t="shared" si="22"/>
        <v/>
      </c>
      <c r="B1370" s="903" t="str">
        <f>IF(Tabulka4[[#This Row],[Typ úlohy]]="Součet",G1370,IF(Tabulka4[[#This Row],[Typ úlohy]]="Účet",B1369,""))</f>
        <v/>
      </c>
      <c r="C1370" s="903" t="str">
        <f>IF(Tabulka4[[#This Row],[Typ úlohy]]="Účet",H1370,"")</f>
        <v/>
      </c>
      <c r="D1370" s="903" t="str">
        <f>IF(Tabulka4[[#This Row],[Typ úlohy]]="Účet",GETPIVOTDATA("Součet z Celková hmotnost položek [kg]",$G$2,"Zkratka kalkulační položky",B1370,"Výrobce / Dodavatel",C1370),"")</f>
        <v/>
      </c>
      <c r="E1370" s="904" t="str">
        <f>IF(Tabulka4[[#This Row],[Typ úlohy]]="Účet",GETPIVOTDATA("Součet z Celková cena bez DPH (CZK)",$G$3,"Zkratka kalkulační položky",B1370,"Výrobce / Dodavatel",C1370),"")</f>
        <v/>
      </c>
    </row>
    <row r="1371" spans="1:5" x14ac:dyDescent="0.35">
      <c r="A1371" s="902" t="str">
        <f t="shared" si="22"/>
        <v/>
      </c>
      <c r="B1371" s="903" t="str">
        <f>IF(Tabulka4[[#This Row],[Typ úlohy]]="Součet",G1371,IF(Tabulka4[[#This Row],[Typ úlohy]]="Účet",B1370,""))</f>
        <v/>
      </c>
      <c r="C1371" s="903" t="str">
        <f>IF(Tabulka4[[#This Row],[Typ úlohy]]="Účet",H1371,"")</f>
        <v/>
      </c>
      <c r="D1371" s="903" t="str">
        <f>IF(Tabulka4[[#This Row],[Typ úlohy]]="Účet",GETPIVOTDATA("Součet z Celková hmotnost položek [kg]",$G$2,"Zkratka kalkulační položky",B1371,"Výrobce / Dodavatel",C1371),"")</f>
        <v/>
      </c>
      <c r="E1371" s="904" t="str">
        <f>IF(Tabulka4[[#This Row],[Typ úlohy]]="Účet",GETPIVOTDATA("Součet z Celková cena bez DPH (CZK)",$G$3,"Zkratka kalkulační položky",B1371,"Výrobce / Dodavatel",C1371),"")</f>
        <v/>
      </c>
    </row>
    <row r="1372" spans="1:5" x14ac:dyDescent="0.35">
      <c r="A1372" s="902" t="str">
        <f t="shared" si="22"/>
        <v/>
      </c>
      <c r="B1372" s="903" t="str">
        <f>IF(Tabulka4[[#This Row],[Typ úlohy]]="Součet",G1372,IF(Tabulka4[[#This Row],[Typ úlohy]]="Účet",B1371,""))</f>
        <v/>
      </c>
      <c r="C1372" s="903" t="str">
        <f>IF(Tabulka4[[#This Row],[Typ úlohy]]="Účet",H1372,"")</f>
        <v/>
      </c>
      <c r="D1372" s="903" t="str">
        <f>IF(Tabulka4[[#This Row],[Typ úlohy]]="Účet",GETPIVOTDATA("Součet z Celková hmotnost položek [kg]",$G$2,"Zkratka kalkulační položky",B1372,"Výrobce / Dodavatel",C1372),"")</f>
        <v/>
      </c>
      <c r="E1372" s="904" t="str">
        <f>IF(Tabulka4[[#This Row],[Typ úlohy]]="Účet",GETPIVOTDATA("Součet z Celková cena bez DPH (CZK)",$G$3,"Zkratka kalkulační položky",B1372,"Výrobce / Dodavatel",C1372),"")</f>
        <v/>
      </c>
    </row>
    <row r="1373" spans="1:5" x14ac:dyDescent="0.35">
      <c r="A1373" s="902" t="str">
        <f t="shared" si="22"/>
        <v/>
      </c>
      <c r="B1373" s="903" t="str">
        <f>IF(Tabulka4[[#This Row],[Typ úlohy]]="Součet",G1373,IF(Tabulka4[[#This Row],[Typ úlohy]]="Účet",B1372,""))</f>
        <v/>
      </c>
      <c r="C1373" s="903" t="str">
        <f>IF(Tabulka4[[#This Row],[Typ úlohy]]="Účet",H1373,"")</f>
        <v/>
      </c>
      <c r="D1373" s="903" t="str">
        <f>IF(Tabulka4[[#This Row],[Typ úlohy]]="Účet",GETPIVOTDATA("Součet z Celková hmotnost položek [kg]",$G$2,"Zkratka kalkulační položky",B1373,"Výrobce / Dodavatel",C1373),"")</f>
        <v/>
      </c>
      <c r="E1373" s="904" t="str">
        <f>IF(Tabulka4[[#This Row],[Typ úlohy]]="Účet",GETPIVOTDATA("Součet z Celková cena bez DPH (CZK)",$G$3,"Zkratka kalkulační položky",B1373,"Výrobce / Dodavatel",C1373),"")</f>
        <v/>
      </c>
    </row>
    <row r="1374" spans="1:5" x14ac:dyDescent="0.35">
      <c r="A1374" s="902" t="str">
        <f t="shared" si="22"/>
        <v/>
      </c>
      <c r="B1374" s="903" t="str">
        <f>IF(Tabulka4[[#This Row],[Typ úlohy]]="Součet",G1374,IF(Tabulka4[[#This Row],[Typ úlohy]]="Účet",B1373,""))</f>
        <v/>
      </c>
      <c r="C1374" s="903" t="str">
        <f>IF(Tabulka4[[#This Row],[Typ úlohy]]="Účet",H1374,"")</f>
        <v/>
      </c>
      <c r="D1374" s="903" t="str">
        <f>IF(Tabulka4[[#This Row],[Typ úlohy]]="Účet",GETPIVOTDATA("Součet z Celková hmotnost položek [kg]",$G$2,"Zkratka kalkulační položky",B1374,"Výrobce / Dodavatel",C1374),"")</f>
        <v/>
      </c>
      <c r="E1374" s="904" t="str">
        <f>IF(Tabulka4[[#This Row],[Typ úlohy]]="Účet",GETPIVOTDATA("Součet z Celková cena bez DPH (CZK)",$G$3,"Zkratka kalkulační položky",B1374,"Výrobce / Dodavatel",C1374),"")</f>
        <v/>
      </c>
    </row>
    <row r="1375" spans="1:5" x14ac:dyDescent="0.35">
      <c r="A1375" s="902" t="str">
        <f t="shared" si="22"/>
        <v/>
      </c>
      <c r="B1375" s="903" t="str">
        <f>IF(Tabulka4[[#This Row],[Typ úlohy]]="Součet",G1375,IF(Tabulka4[[#This Row],[Typ úlohy]]="Účet",B1374,""))</f>
        <v/>
      </c>
      <c r="C1375" s="903" t="str">
        <f>IF(Tabulka4[[#This Row],[Typ úlohy]]="Účet",H1375,"")</f>
        <v/>
      </c>
      <c r="D1375" s="903" t="str">
        <f>IF(Tabulka4[[#This Row],[Typ úlohy]]="Účet",GETPIVOTDATA("Součet z Celková hmotnost položek [kg]",$G$2,"Zkratka kalkulační položky",B1375,"Výrobce / Dodavatel",C1375),"")</f>
        <v/>
      </c>
      <c r="E1375" s="904" t="str">
        <f>IF(Tabulka4[[#This Row],[Typ úlohy]]="Účet",GETPIVOTDATA("Součet z Celková cena bez DPH (CZK)",$G$3,"Zkratka kalkulační položky",B1375,"Výrobce / Dodavatel",C1375),"")</f>
        <v/>
      </c>
    </row>
    <row r="1376" spans="1:5" x14ac:dyDescent="0.35">
      <c r="A1376" s="902" t="str">
        <f t="shared" si="22"/>
        <v/>
      </c>
      <c r="B1376" s="903" t="str">
        <f>IF(Tabulka4[[#This Row],[Typ úlohy]]="Součet",G1376,IF(Tabulka4[[#This Row],[Typ úlohy]]="Účet",B1375,""))</f>
        <v/>
      </c>
      <c r="C1376" s="903" t="str">
        <f>IF(Tabulka4[[#This Row],[Typ úlohy]]="Účet",H1376,"")</f>
        <v/>
      </c>
      <c r="D1376" s="903" t="str">
        <f>IF(Tabulka4[[#This Row],[Typ úlohy]]="Účet",GETPIVOTDATA("Součet z Celková hmotnost položek [kg]",$G$2,"Zkratka kalkulační položky",B1376,"Výrobce / Dodavatel",C1376),"")</f>
        <v/>
      </c>
      <c r="E1376" s="904" t="str">
        <f>IF(Tabulka4[[#This Row],[Typ úlohy]]="Účet",GETPIVOTDATA("Součet z Celková cena bez DPH (CZK)",$G$3,"Zkratka kalkulační položky",B1376,"Výrobce / Dodavatel",C1376),"")</f>
        <v/>
      </c>
    </row>
    <row r="1377" spans="1:5" x14ac:dyDescent="0.35">
      <c r="A1377" s="902" t="str">
        <f t="shared" si="22"/>
        <v/>
      </c>
      <c r="B1377" s="903" t="str">
        <f>IF(Tabulka4[[#This Row],[Typ úlohy]]="Součet",G1377,IF(Tabulka4[[#This Row],[Typ úlohy]]="Účet",B1376,""))</f>
        <v/>
      </c>
      <c r="C1377" s="903" t="str">
        <f>IF(Tabulka4[[#This Row],[Typ úlohy]]="Účet",H1377,"")</f>
        <v/>
      </c>
      <c r="D1377" s="903" t="str">
        <f>IF(Tabulka4[[#This Row],[Typ úlohy]]="Účet",GETPIVOTDATA("Součet z Celková hmotnost položek [kg]",$G$2,"Zkratka kalkulační položky",B1377,"Výrobce / Dodavatel",C1377),"")</f>
        <v/>
      </c>
      <c r="E1377" s="904" t="str">
        <f>IF(Tabulka4[[#This Row],[Typ úlohy]]="Účet",GETPIVOTDATA("Součet z Celková cena bez DPH (CZK)",$G$3,"Zkratka kalkulační položky",B1377,"Výrobce / Dodavatel",C1377),"")</f>
        <v/>
      </c>
    </row>
    <row r="1378" spans="1:5" x14ac:dyDescent="0.35">
      <c r="A1378" s="902" t="str">
        <f t="shared" si="22"/>
        <v/>
      </c>
      <c r="B1378" s="903" t="str">
        <f>IF(Tabulka4[[#This Row],[Typ úlohy]]="Součet",G1378,IF(Tabulka4[[#This Row],[Typ úlohy]]="Účet",B1377,""))</f>
        <v/>
      </c>
      <c r="C1378" s="903" t="str">
        <f>IF(Tabulka4[[#This Row],[Typ úlohy]]="Účet",H1378,"")</f>
        <v/>
      </c>
      <c r="D1378" s="903" t="str">
        <f>IF(Tabulka4[[#This Row],[Typ úlohy]]="Účet",GETPIVOTDATA("Součet z Celková hmotnost položek [kg]",$G$2,"Zkratka kalkulační položky",B1378,"Výrobce / Dodavatel",C1378),"")</f>
        <v/>
      </c>
      <c r="E1378" s="904" t="str">
        <f>IF(Tabulka4[[#This Row],[Typ úlohy]]="Účet",GETPIVOTDATA("Součet z Celková cena bez DPH (CZK)",$G$3,"Zkratka kalkulační položky",B1378,"Výrobce / Dodavatel",C1378),"")</f>
        <v/>
      </c>
    </row>
    <row r="1379" spans="1:5" x14ac:dyDescent="0.35">
      <c r="A1379" s="902" t="str">
        <f t="shared" si="22"/>
        <v/>
      </c>
      <c r="B1379" s="903" t="str">
        <f>IF(Tabulka4[[#This Row],[Typ úlohy]]="Součet",G1379,IF(Tabulka4[[#This Row],[Typ úlohy]]="Účet",B1378,""))</f>
        <v/>
      </c>
      <c r="C1379" s="903" t="str">
        <f>IF(Tabulka4[[#This Row],[Typ úlohy]]="Účet",H1379,"")</f>
        <v/>
      </c>
      <c r="D1379" s="903" t="str">
        <f>IF(Tabulka4[[#This Row],[Typ úlohy]]="Účet",GETPIVOTDATA("Součet z Celková hmotnost položek [kg]",$G$2,"Zkratka kalkulační položky",B1379,"Výrobce / Dodavatel",C1379),"")</f>
        <v/>
      </c>
      <c r="E1379" s="904" t="str">
        <f>IF(Tabulka4[[#This Row],[Typ úlohy]]="Účet",GETPIVOTDATA("Součet z Celková cena bez DPH (CZK)",$G$3,"Zkratka kalkulační položky",B1379,"Výrobce / Dodavatel",C1379),"")</f>
        <v/>
      </c>
    </row>
    <row r="1380" spans="1:5" x14ac:dyDescent="0.35">
      <c r="A1380" s="902" t="str">
        <f t="shared" si="22"/>
        <v/>
      </c>
      <c r="B1380" s="903" t="str">
        <f>IF(Tabulka4[[#This Row],[Typ úlohy]]="Součet",G1380,IF(Tabulka4[[#This Row],[Typ úlohy]]="Účet",B1379,""))</f>
        <v/>
      </c>
      <c r="C1380" s="903" t="str">
        <f>IF(Tabulka4[[#This Row],[Typ úlohy]]="Účet",H1380,"")</f>
        <v/>
      </c>
      <c r="D1380" s="903" t="str">
        <f>IF(Tabulka4[[#This Row],[Typ úlohy]]="Účet",GETPIVOTDATA("Součet z Celková hmotnost položek [kg]",$G$2,"Zkratka kalkulační položky",B1380,"Výrobce / Dodavatel",C1380),"")</f>
        <v/>
      </c>
      <c r="E1380" s="904" t="str">
        <f>IF(Tabulka4[[#This Row],[Typ úlohy]]="Účet",GETPIVOTDATA("Součet z Celková cena bez DPH (CZK)",$G$3,"Zkratka kalkulační položky",B1380,"Výrobce / Dodavatel",C1380),"")</f>
        <v/>
      </c>
    </row>
    <row r="1381" spans="1:5" x14ac:dyDescent="0.35">
      <c r="A1381" s="902" t="str">
        <f t="shared" si="22"/>
        <v/>
      </c>
      <c r="B1381" s="903" t="str">
        <f>IF(Tabulka4[[#This Row],[Typ úlohy]]="Součet",G1381,IF(Tabulka4[[#This Row],[Typ úlohy]]="Účet",B1380,""))</f>
        <v/>
      </c>
      <c r="C1381" s="903" t="str">
        <f>IF(Tabulka4[[#This Row],[Typ úlohy]]="Účet",H1381,"")</f>
        <v/>
      </c>
      <c r="D1381" s="903" t="str">
        <f>IF(Tabulka4[[#This Row],[Typ úlohy]]="Účet",GETPIVOTDATA("Součet z Celková hmotnost položek [kg]",$G$2,"Zkratka kalkulační položky",B1381,"Výrobce / Dodavatel",C1381),"")</f>
        <v/>
      </c>
      <c r="E1381" s="904" t="str">
        <f>IF(Tabulka4[[#This Row],[Typ úlohy]]="Účet",GETPIVOTDATA("Součet z Celková cena bez DPH (CZK)",$G$3,"Zkratka kalkulační položky",B1381,"Výrobce / Dodavatel",C1381),"")</f>
        <v/>
      </c>
    </row>
    <row r="1382" spans="1:5" x14ac:dyDescent="0.35">
      <c r="A1382" s="902" t="str">
        <f t="shared" si="22"/>
        <v/>
      </c>
      <c r="B1382" s="903" t="str">
        <f>IF(Tabulka4[[#This Row],[Typ úlohy]]="Součet",G1382,IF(Tabulka4[[#This Row],[Typ úlohy]]="Účet",B1381,""))</f>
        <v/>
      </c>
      <c r="C1382" s="903" t="str">
        <f>IF(Tabulka4[[#This Row],[Typ úlohy]]="Účet",H1382,"")</f>
        <v/>
      </c>
      <c r="D1382" s="903" t="str">
        <f>IF(Tabulka4[[#This Row],[Typ úlohy]]="Účet",GETPIVOTDATA("Součet z Celková hmotnost položek [kg]",$G$2,"Zkratka kalkulační položky",B1382,"Výrobce / Dodavatel",C1382),"")</f>
        <v/>
      </c>
      <c r="E1382" s="904" t="str">
        <f>IF(Tabulka4[[#This Row],[Typ úlohy]]="Účet",GETPIVOTDATA("Součet z Celková cena bez DPH (CZK)",$G$3,"Zkratka kalkulační položky",B1382,"Výrobce / Dodavatel",C1382),"")</f>
        <v/>
      </c>
    </row>
    <row r="1383" spans="1:5" x14ac:dyDescent="0.35">
      <c r="A1383" s="902" t="str">
        <f t="shared" si="22"/>
        <v/>
      </c>
      <c r="B1383" s="903" t="str">
        <f>IF(Tabulka4[[#This Row],[Typ úlohy]]="Součet",G1383,IF(Tabulka4[[#This Row],[Typ úlohy]]="Účet",B1382,""))</f>
        <v/>
      </c>
      <c r="C1383" s="903" t="str">
        <f>IF(Tabulka4[[#This Row],[Typ úlohy]]="Účet",H1383,"")</f>
        <v/>
      </c>
      <c r="D1383" s="903" t="str">
        <f>IF(Tabulka4[[#This Row],[Typ úlohy]]="Účet",GETPIVOTDATA("Součet z Celková hmotnost položek [kg]",$G$2,"Zkratka kalkulační položky",B1383,"Výrobce / Dodavatel",C1383),"")</f>
        <v/>
      </c>
      <c r="E1383" s="904" t="str">
        <f>IF(Tabulka4[[#This Row],[Typ úlohy]]="Účet",GETPIVOTDATA("Součet z Celková cena bez DPH (CZK)",$G$3,"Zkratka kalkulační položky",B1383,"Výrobce / Dodavatel",C1383),"")</f>
        <v/>
      </c>
    </row>
    <row r="1384" spans="1:5" x14ac:dyDescent="0.35">
      <c r="A1384" s="902" t="str">
        <f t="shared" si="22"/>
        <v/>
      </c>
      <c r="B1384" s="903" t="str">
        <f>IF(Tabulka4[[#This Row],[Typ úlohy]]="Součet",G1384,IF(Tabulka4[[#This Row],[Typ úlohy]]="Účet",B1383,""))</f>
        <v/>
      </c>
      <c r="C1384" s="903" t="str">
        <f>IF(Tabulka4[[#This Row],[Typ úlohy]]="Účet",H1384,"")</f>
        <v/>
      </c>
      <c r="D1384" s="903" t="str">
        <f>IF(Tabulka4[[#This Row],[Typ úlohy]]="Účet",GETPIVOTDATA("Součet z Celková hmotnost položek [kg]",$G$2,"Zkratka kalkulační položky",B1384,"Výrobce / Dodavatel",C1384),"")</f>
        <v/>
      </c>
      <c r="E1384" s="904" t="str">
        <f>IF(Tabulka4[[#This Row],[Typ úlohy]]="Účet",GETPIVOTDATA("Součet z Celková cena bez DPH (CZK)",$G$3,"Zkratka kalkulační položky",B1384,"Výrobce / Dodavatel",C1384),"")</f>
        <v/>
      </c>
    </row>
    <row r="1385" spans="1:5" x14ac:dyDescent="0.35">
      <c r="A1385" s="902" t="str">
        <f t="shared" si="22"/>
        <v/>
      </c>
      <c r="B1385" s="903" t="str">
        <f>IF(Tabulka4[[#This Row],[Typ úlohy]]="Součet",G1385,IF(Tabulka4[[#This Row],[Typ úlohy]]="Účet",B1384,""))</f>
        <v/>
      </c>
      <c r="C1385" s="903" t="str">
        <f>IF(Tabulka4[[#This Row],[Typ úlohy]]="Účet",H1385,"")</f>
        <v/>
      </c>
      <c r="D1385" s="903" t="str">
        <f>IF(Tabulka4[[#This Row],[Typ úlohy]]="Účet",GETPIVOTDATA("Součet z Celková hmotnost položek [kg]",$G$2,"Zkratka kalkulační položky",B1385,"Výrobce / Dodavatel",C1385),"")</f>
        <v/>
      </c>
      <c r="E1385" s="904" t="str">
        <f>IF(Tabulka4[[#This Row],[Typ úlohy]]="Účet",GETPIVOTDATA("Součet z Celková cena bez DPH (CZK)",$G$3,"Zkratka kalkulační položky",B1385,"Výrobce / Dodavatel",C1385),"")</f>
        <v/>
      </c>
    </row>
    <row r="1386" spans="1:5" x14ac:dyDescent="0.35">
      <c r="A1386" s="902" t="str">
        <f t="shared" si="22"/>
        <v/>
      </c>
      <c r="B1386" s="903" t="str">
        <f>IF(Tabulka4[[#This Row],[Typ úlohy]]="Součet",G1386,IF(Tabulka4[[#This Row],[Typ úlohy]]="Účet",B1385,""))</f>
        <v/>
      </c>
      <c r="C1386" s="903" t="str">
        <f>IF(Tabulka4[[#This Row],[Typ úlohy]]="Účet",H1386,"")</f>
        <v/>
      </c>
      <c r="D1386" s="903" t="str">
        <f>IF(Tabulka4[[#This Row],[Typ úlohy]]="Účet",GETPIVOTDATA("Součet z Celková hmotnost položek [kg]",$G$2,"Zkratka kalkulační položky",B1386,"Výrobce / Dodavatel",C1386),"")</f>
        <v/>
      </c>
      <c r="E1386" s="904" t="str">
        <f>IF(Tabulka4[[#This Row],[Typ úlohy]]="Účet",GETPIVOTDATA("Součet z Celková cena bez DPH (CZK)",$G$3,"Zkratka kalkulační položky",B1386,"Výrobce / Dodavatel",C1386),"")</f>
        <v/>
      </c>
    </row>
    <row r="1387" spans="1:5" x14ac:dyDescent="0.35">
      <c r="A1387" s="902" t="str">
        <f t="shared" si="22"/>
        <v/>
      </c>
      <c r="B1387" s="903" t="str">
        <f>IF(Tabulka4[[#This Row],[Typ úlohy]]="Součet",G1387,IF(Tabulka4[[#This Row],[Typ úlohy]]="Účet",B1386,""))</f>
        <v/>
      </c>
      <c r="C1387" s="903" t="str">
        <f>IF(Tabulka4[[#This Row],[Typ úlohy]]="Účet",H1387,"")</f>
        <v/>
      </c>
      <c r="D1387" s="903" t="str">
        <f>IF(Tabulka4[[#This Row],[Typ úlohy]]="Účet",GETPIVOTDATA("Součet z Celková hmotnost položek [kg]",$G$2,"Zkratka kalkulační položky",B1387,"Výrobce / Dodavatel",C1387),"")</f>
        <v/>
      </c>
      <c r="E1387" s="904" t="str">
        <f>IF(Tabulka4[[#This Row],[Typ úlohy]]="Účet",GETPIVOTDATA("Součet z Celková cena bez DPH (CZK)",$G$3,"Zkratka kalkulační položky",B1387,"Výrobce / Dodavatel",C1387),"")</f>
        <v/>
      </c>
    </row>
    <row r="1388" spans="1:5" x14ac:dyDescent="0.35">
      <c r="A1388" s="902" t="str">
        <f t="shared" si="22"/>
        <v/>
      </c>
      <c r="B1388" s="903" t="str">
        <f>IF(Tabulka4[[#This Row],[Typ úlohy]]="Součet",G1388,IF(Tabulka4[[#This Row],[Typ úlohy]]="Účet",B1387,""))</f>
        <v/>
      </c>
      <c r="C1388" s="903" t="str">
        <f>IF(Tabulka4[[#This Row],[Typ úlohy]]="Účet",H1388,"")</f>
        <v/>
      </c>
      <c r="D1388" s="903" t="str">
        <f>IF(Tabulka4[[#This Row],[Typ úlohy]]="Účet",GETPIVOTDATA("Součet z Celková hmotnost položek [kg]",$G$2,"Zkratka kalkulační položky",B1388,"Výrobce / Dodavatel",C1388),"")</f>
        <v/>
      </c>
      <c r="E1388" s="904" t="str">
        <f>IF(Tabulka4[[#This Row],[Typ úlohy]]="Účet",GETPIVOTDATA("Součet z Celková cena bez DPH (CZK)",$G$3,"Zkratka kalkulační položky",B1388,"Výrobce / Dodavatel",C1388),"")</f>
        <v/>
      </c>
    </row>
    <row r="1389" spans="1:5" x14ac:dyDescent="0.35">
      <c r="A1389" s="902" t="str">
        <f t="shared" si="22"/>
        <v/>
      </c>
      <c r="B1389" s="903" t="str">
        <f>IF(Tabulka4[[#This Row],[Typ úlohy]]="Součet",G1389,IF(Tabulka4[[#This Row],[Typ úlohy]]="Účet",B1388,""))</f>
        <v/>
      </c>
      <c r="C1389" s="903" t="str">
        <f>IF(Tabulka4[[#This Row],[Typ úlohy]]="Účet",H1389,"")</f>
        <v/>
      </c>
      <c r="D1389" s="903" t="str">
        <f>IF(Tabulka4[[#This Row],[Typ úlohy]]="Účet",GETPIVOTDATA("Součet z Celková hmotnost položek [kg]",$G$2,"Zkratka kalkulační položky",B1389,"Výrobce / Dodavatel",C1389),"")</f>
        <v/>
      </c>
      <c r="E1389" s="904" t="str">
        <f>IF(Tabulka4[[#This Row],[Typ úlohy]]="Účet",GETPIVOTDATA("Součet z Celková cena bez DPH (CZK)",$G$3,"Zkratka kalkulační položky",B1389,"Výrobce / Dodavatel",C1389),"")</f>
        <v/>
      </c>
    </row>
    <row r="1390" spans="1:5" x14ac:dyDescent="0.35">
      <c r="A1390" s="902" t="str">
        <f t="shared" si="22"/>
        <v/>
      </c>
      <c r="B1390" s="903" t="str">
        <f>IF(Tabulka4[[#This Row],[Typ úlohy]]="Součet",G1390,IF(Tabulka4[[#This Row],[Typ úlohy]]="Účet",B1389,""))</f>
        <v/>
      </c>
      <c r="C1390" s="903" t="str">
        <f>IF(Tabulka4[[#This Row],[Typ úlohy]]="Účet",H1390,"")</f>
        <v/>
      </c>
      <c r="D1390" s="903" t="str">
        <f>IF(Tabulka4[[#This Row],[Typ úlohy]]="Účet",GETPIVOTDATA("Součet z Celková hmotnost položek [kg]",$G$2,"Zkratka kalkulační položky",B1390,"Výrobce / Dodavatel",C1390),"")</f>
        <v/>
      </c>
      <c r="E1390" s="904" t="str">
        <f>IF(Tabulka4[[#This Row],[Typ úlohy]]="Účet",GETPIVOTDATA("Součet z Celková cena bez DPH (CZK)",$G$3,"Zkratka kalkulační položky",B1390,"Výrobce / Dodavatel",C1390),"")</f>
        <v/>
      </c>
    </row>
    <row r="1391" spans="1:5" x14ac:dyDescent="0.35">
      <c r="A1391" s="902" t="str">
        <f t="shared" si="22"/>
        <v/>
      </c>
      <c r="B1391" s="903" t="str">
        <f>IF(Tabulka4[[#This Row],[Typ úlohy]]="Součet",G1391,IF(Tabulka4[[#This Row],[Typ úlohy]]="Účet",B1390,""))</f>
        <v/>
      </c>
      <c r="C1391" s="903" t="str">
        <f>IF(Tabulka4[[#This Row],[Typ úlohy]]="Účet",H1391,"")</f>
        <v/>
      </c>
      <c r="D1391" s="903" t="str">
        <f>IF(Tabulka4[[#This Row],[Typ úlohy]]="Účet",GETPIVOTDATA("Součet z Celková hmotnost položek [kg]",$G$2,"Zkratka kalkulační položky",B1391,"Výrobce / Dodavatel",C1391),"")</f>
        <v/>
      </c>
      <c r="E1391" s="904" t="str">
        <f>IF(Tabulka4[[#This Row],[Typ úlohy]]="Účet",GETPIVOTDATA("Součet z Celková cena bez DPH (CZK)",$G$3,"Zkratka kalkulační položky",B1391,"Výrobce / Dodavatel",C1391),"")</f>
        <v/>
      </c>
    </row>
    <row r="1392" spans="1:5" x14ac:dyDescent="0.35">
      <c r="A1392" s="902" t="str">
        <f t="shared" si="22"/>
        <v/>
      </c>
      <c r="B1392" s="903" t="str">
        <f>IF(Tabulka4[[#This Row],[Typ úlohy]]="Součet",G1392,IF(Tabulka4[[#This Row],[Typ úlohy]]="Účet",B1391,""))</f>
        <v/>
      </c>
      <c r="C1392" s="903" t="str">
        <f>IF(Tabulka4[[#This Row],[Typ úlohy]]="Účet",H1392,"")</f>
        <v/>
      </c>
      <c r="D1392" s="903" t="str">
        <f>IF(Tabulka4[[#This Row],[Typ úlohy]]="Účet",GETPIVOTDATA("Součet z Celková hmotnost položek [kg]",$G$2,"Zkratka kalkulační položky",B1392,"Výrobce / Dodavatel",C1392),"")</f>
        <v/>
      </c>
      <c r="E1392" s="904" t="str">
        <f>IF(Tabulka4[[#This Row],[Typ úlohy]]="Účet",GETPIVOTDATA("Součet z Celková cena bez DPH (CZK)",$G$3,"Zkratka kalkulační položky",B1392,"Výrobce / Dodavatel",C1392),"")</f>
        <v/>
      </c>
    </row>
    <row r="1393" spans="1:5" x14ac:dyDescent="0.35">
      <c r="A1393" s="902" t="str">
        <f t="shared" si="22"/>
        <v/>
      </c>
      <c r="B1393" s="903" t="str">
        <f>IF(Tabulka4[[#This Row],[Typ úlohy]]="Součet",G1393,IF(Tabulka4[[#This Row],[Typ úlohy]]="Účet",B1392,""))</f>
        <v/>
      </c>
      <c r="C1393" s="903" t="str">
        <f>IF(Tabulka4[[#This Row],[Typ úlohy]]="Účet",H1393,"")</f>
        <v/>
      </c>
      <c r="D1393" s="903" t="str">
        <f>IF(Tabulka4[[#This Row],[Typ úlohy]]="Účet",GETPIVOTDATA("Součet z Celková hmotnost položek [kg]",$G$2,"Zkratka kalkulační položky",B1393,"Výrobce / Dodavatel",C1393),"")</f>
        <v/>
      </c>
      <c r="E1393" s="904" t="str">
        <f>IF(Tabulka4[[#This Row],[Typ úlohy]]="Účet",GETPIVOTDATA("Součet z Celková cena bez DPH (CZK)",$G$3,"Zkratka kalkulační položky",B1393,"Výrobce / Dodavatel",C1393),"")</f>
        <v/>
      </c>
    </row>
    <row r="1394" spans="1:5" x14ac:dyDescent="0.35">
      <c r="A1394" s="902" t="str">
        <f t="shared" si="22"/>
        <v/>
      </c>
      <c r="B1394" s="903" t="str">
        <f>IF(Tabulka4[[#This Row],[Typ úlohy]]="Součet",G1394,IF(Tabulka4[[#This Row],[Typ úlohy]]="Účet",B1393,""))</f>
        <v/>
      </c>
      <c r="C1394" s="903" t="str">
        <f>IF(Tabulka4[[#This Row],[Typ úlohy]]="Účet",H1394,"")</f>
        <v/>
      </c>
      <c r="D1394" s="903" t="str">
        <f>IF(Tabulka4[[#This Row],[Typ úlohy]]="Účet",GETPIVOTDATA("Součet z Celková hmotnost položek [kg]",$G$2,"Zkratka kalkulační položky",B1394,"Výrobce / Dodavatel",C1394),"")</f>
        <v/>
      </c>
      <c r="E1394" s="904" t="str">
        <f>IF(Tabulka4[[#This Row],[Typ úlohy]]="Účet",GETPIVOTDATA("Součet z Celková cena bez DPH (CZK)",$G$3,"Zkratka kalkulační položky",B1394,"Výrobce / Dodavatel",C1394),"")</f>
        <v/>
      </c>
    </row>
    <row r="1395" spans="1:5" x14ac:dyDescent="0.35">
      <c r="A1395" s="902" t="str">
        <f t="shared" si="22"/>
        <v/>
      </c>
      <c r="B1395" s="903" t="str">
        <f>IF(Tabulka4[[#This Row],[Typ úlohy]]="Součet",G1395,IF(Tabulka4[[#This Row],[Typ úlohy]]="Účet",B1394,""))</f>
        <v/>
      </c>
      <c r="C1395" s="903" t="str">
        <f>IF(Tabulka4[[#This Row],[Typ úlohy]]="Účet",H1395,"")</f>
        <v/>
      </c>
      <c r="D1395" s="903" t="str">
        <f>IF(Tabulka4[[#This Row],[Typ úlohy]]="Účet",GETPIVOTDATA("Součet z Celková hmotnost položek [kg]",$G$2,"Zkratka kalkulační položky",B1395,"Výrobce / Dodavatel",C1395),"")</f>
        <v/>
      </c>
      <c r="E1395" s="904" t="str">
        <f>IF(Tabulka4[[#This Row],[Typ úlohy]]="Účet",GETPIVOTDATA("Součet z Celková cena bez DPH (CZK)",$G$3,"Zkratka kalkulační položky",B1395,"Výrobce / Dodavatel",C1395),"")</f>
        <v/>
      </c>
    </row>
    <row r="1396" spans="1:5" x14ac:dyDescent="0.35">
      <c r="A1396" s="902" t="str">
        <f t="shared" si="22"/>
        <v/>
      </c>
      <c r="B1396" s="903" t="str">
        <f>IF(Tabulka4[[#This Row],[Typ úlohy]]="Součet",G1396,IF(Tabulka4[[#This Row],[Typ úlohy]]="Účet",B1395,""))</f>
        <v/>
      </c>
      <c r="C1396" s="903" t="str">
        <f>IF(Tabulka4[[#This Row],[Typ úlohy]]="Účet",H1396,"")</f>
        <v/>
      </c>
      <c r="D1396" s="903" t="str">
        <f>IF(Tabulka4[[#This Row],[Typ úlohy]]="Účet",GETPIVOTDATA("Součet z Celková hmotnost položek [kg]",$G$2,"Zkratka kalkulační položky",B1396,"Výrobce / Dodavatel",C1396),"")</f>
        <v/>
      </c>
      <c r="E1396" s="904" t="str">
        <f>IF(Tabulka4[[#This Row],[Typ úlohy]]="Účet",GETPIVOTDATA("Součet z Celková cena bez DPH (CZK)",$G$3,"Zkratka kalkulační položky",B1396,"Výrobce / Dodavatel",C1396),"")</f>
        <v/>
      </c>
    </row>
    <row r="1397" spans="1:5" x14ac:dyDescent="0.35">
      <c r="A1397" s="902" t="str">
        <f t="shared" si="22"/>
        <v/>
      </c>
      <c r="B1397" s="903" t="str">
        <f>IF(Tabulka4[[#This Row],[Typ úlohy]]="Součet",G1397,IF(Tabulka4[[#This Row],[Typ úlohy]]="Účet",B1396,""))</f>
        <v/>
      </c>
      <c r="C1397" s="903" t="str">
        <f>IF(Tabulka4[[#This Row],[Typ úlohy]]="Účet",H1397,"")</f>
        <v/>
      </c>
      <c r="D1397" s="903" t="str">
        <f>IF(Tabulka4[[#This Row],[Typ úlohy]]="Účet",GETPIVOTDATA("Součet z Celková hmotnost položek [kg]",$G$2,"Zkratka kalkulační položky",B1397,"Výrobce / Dodavatel",C1397),"")</f>
        <v/>
      </c>
      <c r="E1397" s="904" t="str">
        <f>IF(Tabulka4[[#This Row],[Typ úlohy]]="Účet",GETPIVOTDATA("Součet z Celková cena bez DPH (CZK)",$G$3,"Zkratka kalkulační položky",B1397,"Výrobce / Dodavatel",C1397),"")</f>
        <v/>
      </c>
    </row>
    <row r="1398" spans="1:5" x14ac:dyDescent="0.35">
      <c r="A1398" s="902" t="str">
        <f t="shared" si="22"/>
        <v/>
      </c>
      <c r="B1398" s="903" t="str">
        <f>IF(Tabulka4[[#This Row],[Typ úlohy]]="Součet",G1398,IF(Tabulka4[[#This Row],[Typ úlohy]]="Účet",B1397,""))</f>
        <v/>
      </c>
      <c r="C1398" s="903" t="str">
        <f>IF(Tabulka4[[#This Row],[Typ úlohy]]="Účet",H1398,"")</f>
        <v/>
      </c>
      <c r="D1398" s="903" t="str">
        <f>IF(Tabulka4[[#This Row],[Typ úlohy]]="Účet",GETPIVOTDATA("Součet z Celková hmotnost položek [kg]",$G$2,"Zkratka kalkulační položky",B1398,"Výrobce / Dodavatel",C1398),"")</f>
        <v/>
      </c>
      <c r="E1398" s="904" t="str">
        <f>IF(Tabulka4[[#This Row],[Typ úlohy]]="Účet",GETPIVOTDATA("Součet z Celková cena bez DPH (CZK)",$G$3,"Zkratka kalkulační položky",B1398,"Výrobce / Dodavatel",C1398),"")</f>
        <v/>
      </c>
    </row>
    <row r="1399" spans="1:5" x14ac:dyDescent="0.35">
      <c r="A1399" s="902" t="str">
        <f t="shared" si="22"/>
        <v/>
      </c>
      <c r="B1399" s="903" t="str">
        <f>IF(Tabulka4[[#This Row],[Typ úlohy]]="Součet",G1399,IF(Tabulka4[[#This Row],[Typ úlohy]]="Účet",B1398,""))</f>
        <v/>
      </c>
      <c r="C1399" s="903" t="str">
        <f>IF(Tabulka4[[#This Row],[Typ úlohy]]="Účet",H1399,"")</f>
        <v/>
      </c>
      <c r="D1399" s="903" t="str">
        <f>IF(Tabulka4[[#This Row],[Typ úlohy]]="Účet",GETPIVOTDATA("Součet z Celková hmotnost položek [kg]",$G$2,"Zkratka kalkulační položky",B1399,"Výrobce / Dodavatel",C1399),"")</f>
        <v/>
      </c>
      <c r="E1399" s="904" t="str">
        <f>IF(Tabulka4[[#This Row],[Typ úlohy]]="Účet",GETPIVOTDATA("Součet z Celková cena bez DPH (CZK)",$G$3,"Zkratka kalkulační položky",B1399,"Výrobce / Dodavatel",C1399),"")</f>
        <v/>
      </c>
    </row>
    <row r="1400" spans="1:5" x14ac:dyDescent="0.35">
      <c r="A1400" s="902" t="str">
        <f t="shared" si="22"/>
        <v/>
      </c>
      <c r="B1400" s="903" t="str">
        <f>IF(Tabulka4[[#This Row],[Typ úlohy]]="Součet",G1400,IF(Tabulka4[[#This Row],[Typ úlohy]]="Účet",B1399,""))</f>
        <v/>
      </c>
      <c r="C1400" s="903" t="str">
        <f>IF(Tabulka4[[#This Row],[Typ úlohy]]="Účet",H1400,"")</f>
        <v/>
      </c>
      <c r="D1400" s="903" t="str">
        <f>IF(Tabulka4[[#This Row],[Typ úlohy]]="Účet",GETPIVOTDATA("Součet z Celková hmotnost položek [kg]",$G$2,"Zkratka kalkulační položky",B1400,"Výrobce / Dodavatel",C1400),"")</f>
        <v/>
      </c>
      <c r="E1400" s="904" t="str">
        <f>IF(Tabulka4[[#This Row],[Typ úlohy]]="Účet",GETPIVOTDATA("Součet z Celková cena bez DPH (CZK)",$G$3,"Zkratka kalkulační položky",B1400,"Výrobce / Dodavatel",C1400),"")</f>
        <v/>
      </c>
    </row>
    <row r="1401" spans="1:5" x14ac:dyDescent="0.35">
      <c r="A1401" s="902" t="str">
        <f t="shared" si="22"/>
        <v/>
      </c>
      <c r="B1401" s="903" t="str">
        <f>IF(Tabulka4[[#This Row],[Typ úlohy]]="Součet",G1401,IF(Tabulka4[[#This Row],[Typ úlohy]]="Účet",B1400,""))</f>
        <v/>
      </c>
      <c r="C1401" s="903" t="str">
        <f>IF(Tabulka4[[#This Row],[Typ úlohy]]="Účet",H1401,"")</f>
        <v/>
      </c>
      <c r="D1401" s="903" t="str">
        <f>IF(Tabulka4[[#This Row],[Typ úlohy]]="Účet",GETPIVOTDATA("Součet z Celková hmotnost položek [kg]",$G$2,"Zkratka kalkulační položky",B1401,"Výrobce / Dodavatel",C1401),"")</f>
        <v/>
      </c>
      <c r="E1401" s="904" t="str">
        <f>IF(Tabulka4[[#This Row],[Typ úlohy]]="Účet",GETPIVOTDATA("Součet z Celková cena bez DPH (CZK)",$G$3,"Zkratka kalkulační položky",B1401,"Výrobce / Dodavatel",C1401),"")</f>
        <v/>
      </c>
    </row>
    <row r="1402" spans="1:5" x14ac:dyDescent="0.35">
      <c r="A1402" s="902" t="str">
        <f t="shared" si="22"/>
        <v/>
      </c>
      <c r="B1402" s="903" t="str">
        <f>IF(Tabulka4[[#This Row],[Typ úlohy]]="Součet",G1402,IF(Tabulka4[[#This Row],[Typ úlohy]]="Účet",B1401,""))</f>
        <v/>
      </c>
      <c r="C1402" s="903" t="str">
        <f>IF(Tabulka4[[#This Row],[Typ úlohy]]="Účet",H1402,"")</f>
        <v/>
      </c>
      <c r="D1402" s="903" t="str">
        <f>IF(Tabulka4[[#This Row],[Typ úlohy]]="Účet",GETPIVOTDATA("Součet z Celková hmotnost položek [kg]",$G$2,"Zkratka kalkulační položky",B1402,"Výrobce / Dodavatel",C1402),"")</f>
        <v/>
      </c>
      <c r="E1402" s="904" t="str">
        <f>IF(Tabulka4[[#This Row],[Typ úlohy]]="Účet",GETPIVOTDATA("Součet z Celková cena bez DPH (CZK)",$G$3,"Zkratka kalkulační položky",B1402,"Výrobce / Dodavatel",C1402),"")</f>
        <v/>
      </c>
    </row>
    <row r="1403" spans="1:5" x14ac:dyDescent="0.35">
      <c r="A1403" s="902" t="str">
        <f t="shared" si="22"/>
        <v/>
      </c>
      <c r="B1403" s="903" t="str">
        <f>IF(Tabulka4[[#This Row],[Typ úlohy]]="Součet",G1403,IF(Tabulka4[[#This Row],[Typ úlohy]]="Účet",B1402,""))</f>
        <v/>
      </c>
      <c r="C1403" s="903" t="str">
        <f>IF(Tabulka4[[#This Row],[Typ úlohy]]="Účet",H1403,"")</f>
        <v/>
      </c>
      <c r="D1403" s="903" t="str">
        <f>IF(Tabulka4[[#This Row],[Typ úlohy]]="Účet",GETPIVOTDATA("Součet z Celková hmotnost položek [kg]",$G$2,"Zkratka kalkulační položky",B1403,"Výrobce / Dodavatel",C1403),"")</f>
        <v/>
      </c>
      <c r="E1403" s="904" t="str">
        <f>IF(Tabulka4[[#This Row],[Typ úlohy]]="Účet",GETPIVOTDATA("Součet z Celková cena bez DPH (CZK)",$G$3,"Zkratka kalkulační položky",B1403,"Výrobce / Dodavatel",C1403),"")</f>
        <v/>
      </c>
    </row>
    <row r="1404" spans="1:5" x14ac:dyDescent="0.35">
      <c r="A1404" s="902" t="str">
        <f t="shared" si="22"/>
        <v/>
      </c>
      <c r="B1404" s="903" t="str">
        <f>IF(Tabulka4[[#This Row],[Typ úlohy]]="Součet",G1404,IF(Tabulka4[[#This Row],[Typ úlohy]]="Účet",B1403,""))</f>
        <v/>
      </c>
      <c r="C1404" s="903" t="str">
        <f>IF(Tabulka4[[#This Row],[Typ úlohy]]="Účet",H1404,"")</f>
        <v/>
      </c>
      <c r="D1404" s="903" t="str">
        <f>IF(Tabulka4[[#This Row],[Typ úlohy]]="Účet",GETPIVOTDATA("Součet z Celková hmotnost položek [kg]",$G$2,"Zkratka kalkulační položky",B1404,"Výrobce / Dodavatel",C1404),"")</f>
        <v/>
      </c>
      <c r="E1404" s="904" t="str">
        <f>IF(Tabulka4[[#This Row],[Typ úlohy]]="Účet",GETPIVOTDATA("Součet z Celková cena bez DPH (CZK)",$G$3,"Zkratka kalkulační položky",B1404,"Výrobce / Dodavatel",C1404),"")</f>
        <v/>
      </c>
    </row>
    <row r="1405" spans="1:5" x14ac:dyDescent="0.35">
      <c r="A1405" s="902" t="str">
        <f t="shared" si="22"/>
        <v/>
      </c>
      <c r="B1405" s="903" t="str">
        <f>IF(Tabulka4[[#This Row],[Typ úlohy]]="Součet",G1405,IF(Tabulka4[[#This Row],[Typ úlohy]]="Účet",B1404,""))</f>
        <v/>
      </c>
      <c r="C1405" s="903" t="str">
        <f>IF(Tabulka4[[#This Row],[Typ úlohy]]="Účet",H1405,"")</f>
        <v/>
      </c>
      <c r="D1405" s="903" t="str">
        <f>IF(Tabulka4[[#This Row],[Typ úlohy]]="Účet",GETPIVOTDATA("Součet z Celková hmotnost položek [kg]",$G$2,"Zkratka kalkulační položky",B1405,"Výrobce / Dodavatel",C1405),"")</f>
        <v/>
      </c>
      <c r="E1405" s="904" t="str">
        <f>IF(Tabulka4[[#This Row],[Typ úlohy]]="Účet",GETPIVOTDATA("Součet z Celková cena bez DPH (CZK)",$G$3,"Zkratka kalkulační položky",B1405,"Výrobce / Dodavatel",C1405),"")</f>
        <v/>
      </c>
    </row>
    <row r="1406" spans="1:5" x14ac:dyDescent="0.35">
      <c r="A1406" s="902" t="str">
        <f t="shared" si="22"/>
        <v/>
      </c>
      <c r="B1406" s="903" t="str">
        <f>IF(Tabulka4[[#This Row],[Typ úlohy]]="Součet",G1406,IF(Tabulka4[[#This Row],[Typ úlohy]]="Účet",B1405,""))</f>
        <v/>
      </c>
      <c r="C1406" s="903" t="str">
        <f>IF(Tabulka4[[#This Row],[Typ úlohy]]="Účet",H1406,"")</f>
        <v/>
      </c>
      <c r="D1406" s="903" t="str">
        <f>IF(Tabulka4[[#This Row],[Typ úlohy]]="Účet",GETPIVOTDATA("Součet z Celková hmotnost položek [kg]",$G$2,"Zkratka kalkulační položky",B1406,"Výrobce / Dodavatel",C1406),"")</f>
        <v/>
      </c>
      <c r="E1406" s="904" t="str">
        <f>IF(Tabulka4[[#This Row],[Typ úlohy]]="Účet",GETPIVOTDATA("Součet z Celková cena bez DPH (CZK)",$G$3,"Zkratka kalkulační položky",B1406,"Výrobce / Dodavatel",C1406),"")</f>
        <v/>
      </c>
    </row>
    <row r="1407" spans="1:5" x14ac:dyDescent="0.35">
      <c r="A1407" s="902" t="str">
        <f t="shared" si="22"/>
        <v/>
      </c>
      <c r="B1407" s="903" t="str">
        <f>IF(Tabulka4[[#This Row],[Typ úlohy]]="Součet",G1407,IF(Tabulka4[[#This Row],[Typ úlohy]]="Účet",B1406,""))</f>
        <v/>
      </c>
      <c r="C1407" s="903" t="str">
        <f>IF(Tabulka4[[#This Row],[Typ úlohy]]="Účet",H1407,"")</f>
        <v/>
      </c>
      <c r="D1407" s="903" t="str">
        <f>IF(Tabulka4[[#This Row],[Typ úlohy]]="Účet",GETPIVOTDATA("Součet z Celková hmotnost položek [kg]",$G$2,"Zkratka kalkulační položky",B1407,"Výrobce / Dodavatel",C1407),"")</f>
        <v/>
      </c>
      <c r="E1407" s="904" t="str">
        <f>IF(Tabulka4[[#This Row],[Typ úlohy]]="Účet",GETPIVOTDATA("Součet z Celková cena bez DPH (CZK)",$G$3,"Zkratka kalkulační položky",B1407,"Výrobce / Dodavatel",C1407),"")</f>
        <v/>
      </c>
    </row>
    <row r="1408" spans="1:5" x14ac:dyDescent="0.35">
      <c r="A1408" s="902" t="str">
        <f t="shared" si="22"/>
        <v/>
      </c>
      <c r="B1408" s="903" t="str">
        <f>IF(Tabulka4[[#This Row],[Typ úlohy]]="Součet",G1408,IF(Tabulka4[[#This Row],[Typ úlohy]]="Účet",B1407,""))</f>
        <v/>
      </c>
      <c r="C1408" s="903" t="str">
        <f>IF(Tabulka4[[#This Row],[Typ úlohy]]="Účet",H1408,"")</f>
        <v/>
      </c>
      <c r="D1408" s="903" t="str">
        <f>IF(Tabulka4[[#This Row],[Typ úlohy]]="Účet",GETPIVOTDATA("Součet z Celková hmotnost položek [kg]",$G$2,"Zkratka kalkulační položky",B1408,"Výrobce / Dodavatel",C1408),"")</f>
        <v/>
      </c>
      <c r="E1408" s="904" t="str">
        <f>IF(Tabulka4[[#This Row],[Typ úlohy]]="Účet",GETPIVOTDATA("Součet z Celková cena bez DPH (CZK)",$G$3,"Zkratka kalkulační položky",B1408,"Výrobce / Dodavatel",C1408),"")</f>
        <v/>
      </c>
    </row>
    <row r="1409" spans="1:5" x14ac:dyDescent="0.35">
      <c r="A1409" s="902" t="str">
        <f t="shared" si="22"/>
        <v/>
      </c>
      <c r="B1409" s="903" t="str">
        <f>IF(Tabulka4[[#This Row],[Typ úlohy]]="Součet",G1409,IF(Tabulka4[[#This Row],[Typ úlohy]]="Účet",B1408,""))</f>
        <v/>
      </c>
      <c r="C1409" s="903" t="str">
        <f>IF(Tabulka4[[#This Row],[Typ úlohy]]="Účet",H1409,"")</f>
        <v/>
      </c>
      <c r="D1409" s="903" t="str">
        <f>IF(Tabulka4[[#This Row],[Typ úlohy]]="Účet",GETPIVOTDATA("Součet z Celková hmotnost položek [kg]",$G$2,"Zkratka kalkulační položky",B1409,"Výrobce / Dodavatel",C1409),"")</f>
        <v/>
      </c>
      <c r="E1409" s="904" t="str">
        <f>IF(Tabulka4[[#This Row],[Typ úlohy]]="Účet",GETPIVOTDATA("Součet z Celková cena bez DPH (CZK)",$G$3,"Zkratka kalkulační položky",B1409,"Výrobce / Dodavatel",C1409),"")</f>
        <v/>
      </c>
    </row>
    <row r="1410" spans="1:5" x14ac:dyDescent="0.35">
      <c r="A1410" s="902" t="str">
        <f t="shared" si="22"/>
        <v/>
      </c>
      <c r="B1410" s="903" t="str">
        <f>IF(Tabulka4[[#This Row],[Typ úlohy]]="Součet",G1410,IF(Tabulka4[[#This Row],[Typ úlohy]]="Účet",B1409,""))</f>
        <v/>
      </c>
      <c r="C1410" s="903" t="str">
        <f>IF(Tabulka4[[#This Row],[Typ úlohy]]="Účet",H1410,"")</f>
        <v/>
      </c>
      <c r="D1410" s="903" t="str">
        <f>IF(Tabulka4[[#This Row],[Typ úlohy]]="Účet",GETPIVOTDATA("Součet z Celková hmotnost položek [kg]",$G$2,"Zkratka kalkulační položky",B1410,"Výrobce / Dodavatel",C1410),"")</f>
        <v/>
      </c>
      <c r="E1410" s="904" t="str">
        <f>IF(Tabulka4[[#This Row],[Typ úlohy]]="Účet",GETPIVOTDATA("Součet z Celková cena bez DPH (CZK)",$G$3,"Zkratka kalkulační položky",B1410,"Výrobce / Dodavatel",C1410),"")</f>
        <v/>
      </c>
    </row>
    <row r="1411" spans="1:5" x14ac:dyDescent="0.35">
      <c r="A1411" s="902" t="str">
        <f t="shared" si="22"/>
        <v/>
      </c>
      <c r="B1411" s="903" t="str">
        <f>IF(Tabulka4[[#This Row],[Typ úlohy]]="Součet",G1411,IF(Tabulka4[[#This Row],[Typ úlohy]]="Účet",B1410,""))</f>
        <v/>
      </c>
      <c r="C1411" s="903" t="str">
        <f>IF(Tabulka4[[#This Row],[Typ úlohy]]="Účet",H1411,"")</f>
        <v/>
      </c>
      <c r="D1411" s="903" t="str">
        <f>IF(Tabulka4[[#This Row],[Typ úlohy]]="Účet",GETPIVOTDATA("Součet z Celková hmotnost položek [kg]",$G$2,"Zkratka kalkulační položky",B1411,"Výrobce / Dodavatel",C1411),"")</f>
        <v/>
      </c>
      <c r="E1411" s="904" t="str">
        <f>IF(Tabulka4[[#This Row],[Typ úlohy]]="Účet",GETPIVOTDATA("Součet z Celková cena bez DPH (CZK)",$G$3,"Zkratka kalkulační položky",B1411,"Výrobce / Dodavatel",C1411),"")</f>
        <v/>
      </c>
    </row>
    <row r="1412" spans="1:5" x14ac:dyDescent="0.35">
      <c r="A1412" s="902" t="str">
        <f t="shared" si="22"/>
        <v/>
      </c>
      <c r="B1412" s="903" t="str">
        <f>IF(Tabulka4[[#This Row],[Typ úlohy]]="Součet",G1412,IF(Tabulka4[[#This Row],[Typ úlohy]]="Účet",B1411,""))</f>
        <v/>
      </c>
      <c r="C1412" s="903" t="str">
        <f>IF(Tabulka4[[#This Row],[Typ úlohy]]="Účet",H1412,"")</f>
        <v/>
      </c>
      <c r="D1412" s="903" t="str">
        <f>IF(Tabulka4[[#This Row],[Typ úlohy]]="Účet",GETPIVOTDATA("Součet z Celková hmotnost položek [kg]",$G$2,"Zkratka kalkulační položky",B1412,"Výrobce / Dodavatel",C1412),"")</f>
        <v/>
      </c>
      <c r="E1412" s="904" t="str">
        <f>IF(Tabulka4[[#This Row],[Typ úlohy]]="Účet",GETPIVOTDATA("Součet z Celková cena bez DPH (CZK)",$G$3,"Zkratka kalkulační položky",B1412,"Výrobce / Dodavatel",C1412),"")</f>
        <v/>
      </c>
    </row>
    <row r="1413" spans="1:5" x14ac:dyDescent="0.35">
      <c r="A1413" s="902" t="str">
        <f t="shared" ref="A1413:A1476" si="23">IF(H1413="",IF(G1413="","","Součet"),"Účet")</f>
        <v/>
      </c>
      <c r="B1413" s="903" t="str">
        <f>IF(Tabulka4[[#This Row],[Typ úlohy]]="Součet",G1413,IF(Tabulka4[[#This Row],[Typ úlohy]]="Účet",B1412,""))</f>
        <v/>
      </c>
      <c r="C1413" s="903" t="str">
        <f>IF(Tabulka4[[#This Row],[Typ úlohy]]="Účet",H1413,"")</f>
        <v/>
      </c>
      <c r="D1413" s="903" t="str">
        <f>IF(Tabulka4[[#This Row],[Typ úlohy]]="Účet",GETPIVOTDATA("Součet z Celková hmotnost položek [kg]",$G$2,"Zkratka kalkulační položky",B1413,"Výrobce / Dodavatel",C1413),"")</f>
        <v/>
      </c>
      <c r="E1413" s="904" t="str">
        <f>IF(Tabulka4[[#This Row],[Typ úlohy]]="Účet",GETPIVOTDATA("Součet z Celková cena bez DPH (CZK)",$G$3,"Zkratka kalkulační položky",B1413,"Výrobce / Dodavatel",C1413),"")</f>
        <v/>
      </c>
    </row>
    <row r="1414" spans="1:5" x14ac:dyDescent="0.35">
      <c r="A1414" s="902" t="str">
        <f t="shared" si="23"/>
        <v/>
      </c>
      <c r="B1414" s="903" t="str">
        <f>IF(Tabulka4[[#This Row],[Typ úlohy]]="Součet",G1414,IF(Tabulka4[[#This Row],[Typ úlohy]]="Účet",B1413,""))</f>
        <v/>
      </c>
      <c r="C1414" s="903" t="str">
        <f>IF(Tabulka4[[#This Row],[Typ úlohy]]="Účet",H1414,"")</f>
        <v/>
      </c>
      <c r="D1414" s="903" t="str">
        <f>IF(Tabulka4[[#This Row],[Typ úlohy]]="Účet",GETPIVOTDATA("Součet z Celková hmotnost položek [kg]",$G$2,"Zkratka kalkulační položky",B1414,"Výrobce / Dodavatel",C1414),"")</f>
        <v/>
      </c>
      <c r="E1414" s="904" t="str">
        <f>IF(Tabulka4[[#This Row],[Typ úlohy]]="Účet",GETPIVOTDATA("Součet z Celková cena bez DPH (CZK)",$G$3,"Zkratka kalkulační položky",B1414,"Výrobce / Dodavatel",C1414),"")</f>
        <v/>
      </c>
    </row>
    <row r="1415" spans="1:5" x14ac:dyDescent="0.35">
      <c r="A1415" s="902" t="str">
        <f t="shared" si="23"/>
        <v/>
      </c>
      <c r="B1415" s="903" t="str">
        <f>IF(Tabulka4[[#This Row],[Typ úlohy]]="Součet",G1415,IF(Tabulka4[[#This Row],[Typ úlohy]]="Účet",B1414,""))</f>
        <v/>
      </c>
      <c r="C1415" s="903" t="str">
        <f>IF(Tabulka4[[#This Row],[Typ úlohy]]="Účet",H1415,"")</f>
        <v/>
      </c>
      <c r="D1415" s="903" t="str">
        <f>IF(Tabulka4[[#This Row],[Typ úlohy]]="Účet",GETPIVOTDATA("Součet z Celková hmotnost položek [kg]",$G$2,"Zkratka kalkulační položky",B1415,"Výrobce / Dodavatel",C1415),"")</f>
        <v/>
      </c>
      <c r="E1415" s="904" t="str">
        <f>IF(Tabulka4[[#This Row],[Typ úlohy]]="Účet",GETPIVOTDATA("Součet z Celková cena bez DPH (CZK)",$G$3,"Zkratka kalkulační položky",B1415,"Výrobce / Dodavatel",C1415),"")</f>
        <v/>
      </c>
    </row>
    <row r="1416" spans="1:5" x14ac:dyDescent="0.35">
      <c r="A1416" s="902" t="str">
        <f t="shared" si="23"/>
        <v/>
      </c>
      <c r="B1416" s="903" t="str">
        <f>IF(Tabulka4[[#This Row],[Typ úlohy]]="Součet",G1416,IF(Tabulka4[[#This Row],[Typ úlohy]]="Účet",B1415,""))</f>
        <v/>
      </c>
      <c r="C1416" s="903" t="str">
        <f>IF(Tabulka4[[#This Row],[Typ úlohy]]="Účet",H1416,"")</f>
        <v/>
      </c>
      <c r="D1416" s="903" t="str">
        <f>IF(Tabulka4[[#This Row],[Typ úlohy]]="Účet",GETPIVOTDATA("Součet z Celková hmotnost položek [kg]",$G$2,"Zkratka kalkulační položky",B1416,"Výrobce / Dodavatel",C1416),"")</f>
        <v/>
      </c>
      <c r="E1416" s="904" t="str">
        <f>IF(Tabulka4[[#This Row],[Typ úlohy]]="Účet",GETPIVOTDATA("Součet z Celková cena bez DPH (CZK)",$G$3,"Zkratka kalkulační položky",B1416,"Výrobce / Dodavatel",C1416),"")</f>
        <v/>
      </c>
    </row>
    <row r="1417" spans="1:5" x14ac:dyDescent="0.35">
      <c r="A1417" s="902" t="str">
        <f t="shared" si="23"/>
        <v/>
      </c>
      <c r="B1417" s="903" t="str">
        <f>IF(Tabulka4[[#This Row],[Typ úlohy]]="Součet",G1417,IF(Tabulka4[[#This Row],[Typ úlohy]]="Účet",B1416,""))</f>
        <v/>
      </c>
      <c r="C1417" s="903" t="str">
        <f>IF(Tabulka4[[#This Row],[Typ úlohy]]="Účet",H1417,"")</f>
        <v/>
      </c>
      <c r="D1417" s="903" t="str">
        <f>IF(Tabulka4[[#This Row],[Typ úlohy]]="Účet",GETPIVOTDATA("Součet z Celková hmotnost položek [kg]",$G$2,"Zkratka kalkulační položky",B1417,"Výrobce / Dodavatel",C1417),"")</f>
        <v/>
      </c>
      <c r="E1417" s="904" t="str">
        <f>IF(Tabulka4[[#This Row],[Typ úlohy]]="Účet",GETPIVOTDATA("Součet z Celková cena bez DPH (CZK)",$G$3,"Zkratka kalkulační položky",B1417,"Výrobce / Dodavatel",C1417),"")</f>
        <v/>
      </c>
    </row>
    <row r="1418" spans="1:5" x14ac:dyDescent="0.35">
      <c r="A1418" s="902" t="str">
        <f t="shared" si="23"/>
        <v/>
      </c>
      <c r="B1418" s="903" t="str">
        <f>IF(Tabulka4[[#This Row],[Typ úlohy]]="Součet",G1418,IF(Tabulka4[[#This Row],[Typ úlohy]]="Účet",B1417,""))</f>
        <v/>
      </c>
      <c r="C1418" s="903" t="str">
        <f>IF(Tabulka4[[#This Row],[Typ úlohy]]="Účet",H1418,"")</f>
        <v/>
      </c>
      <c r="D1418" s="903" t="str">
        <f>IF(Tabulka4[[#This Row],[Typ úlohy]]="Účet",GETPIVOTDATA("Součet z Celková hmotnost položek [kg]",$G$2,"Zkratka kalkulační položky",B1418,"Výrobce / Dodavatel",C1418),"")</f>
        <v/>
      </c>
      <c r="E1418" s="904" t="str">
        <f>IF(Tabulka4[[#This Row],[Typ úlohy]]="Účet",GETPIVOTDATA("Součet z Celková cena bez DPH (CZK)",$G$3,"Zkratka kalkulační položky",B1418,"Výrobce / Dodavatel",C1418),"")</f>
        <v/>
      </c>
    </row>
    <row r="1419" spans="1:5" x14ac:dyDescent="0.35">
      <c r="A1419" s="902" t="str">
        <f t="shared" si="23"/>
        <v/>
      </c>
      <c r="B1419" s="903" t="str">
        <f>IF(Tabulka4[[#This Row],[Typ úlohy]]="Součet",G1419,IF(Tabulka4[[#This Row],[Typ úlohy]]="Účet",B1418,""))</f>
        <v/>
      </c>
      <c r="C1419" s="903" t="str">
        <f>IF(Tabulka4[[#This Row],[Typ úlohy]]="Účet",H1419,"")</f>
        <v/>
      </c>
      <c r="D1419" s="903" t="str">
        <f>IF(Tabulka4[[#This Row],[Typ úlohy]]="Účet",GETPIVOTDATA("Součet z Celková hmotnost položek [kg]",$G$2,"Zkratka kalkulační položky",B1419,"Výrobce / Dodavatel",C1419),"")</f>
        <v/>
      </c>
      <c r="E1419" s="904" t="str">
        <f>IF(Tabulka4[[#This Row],[Typ úlohy]]="Účet",GETPIVOTDATA("Součet z Celková cena bez DPH (CZK)",$G$3,"Zkratka kalkulační položky",B1419,"Výrobce / Dodavatel",C1419),"")</f>
        <v/>
      </c>
    </row>
    <row r="1420" spans="1:5" x14ac:dyDescent="0.35">
      <c r="A1420" s="902" t="str">
        <f t="shared" si="23"/>
        <v/>
      </c>
      <c r="B1420" s="903" t="str">
        <f>IF(Tabulka4[[#This Row],[Typ úlohy]]="Součet",G1420,IF(Tabulka4[[#This Row],[Typ úlohy]]="Účet",B1419,""))</f>
        <v/>
      </c>
      <c r="C1420" s="903" t="str">
        <f>IF(Tabulka4[[#This Row],[Typ úlohy]]="Účet",H1420,"")</f>
        <v/>
      </c>
      <c r="D1420" s="903" t="str">
        <f>IF(Tabulka4[[#This Row],[Typ úlohy]]="Účet",GETPIVOTDATA("Součet z Celková hmotnost položek [kg]",$G$2,"Zkratka kalkulační položky",B1420,"Výrobce / Dodavatel",C1420),"")</f>
        <v/>
      </c>
      <c r="E1420" s="904" t="str">
        <f>IF(Tabulka4[[#This Row],[Typ úlohy]]="Účet",GETPIVOTDATA("Součet z Celková cena bez DPH (CZK)",$G$3,"Zkratka kalkulační položky",B1420,"Výrobce / Dodavatel",C1420),"")</f>
        <v/>
      </c>
    </row>
    <row r="1421" spans="1:5" x14ac:dyDescent="0.35">
      <c r="A1421" s="902" t="str">
        <f t="shared" si="23"/>
        <v/>
      </c>
      <c r="B1421" s="903" t="str">
        <f>IF(Tabulka4[[#This Row],[Typ úlohy]]="Součet",G1421,IF(Tabulka4[[#This Row],[Typ úlohy]]="Účet",B1420,""))</f>
        <v/>
      </c>
      <c r="C1421" s="903" t="str">
        <f>IF(Tabulka4[[#This Row],[Typ úlohy]]="Účet",H1421,"")</f>
        <v/>
      </c>
      <c r="D1421" s="903" t="str">
        <f>IF(Tabulka4[[#This Row],[Typ úlohy]]="Účet",GETPIVOTDATA("Součet z Celková hmotnost položek [kg]",$G$2,"Zkratka kalkulační položky",B1421,"Výrobce / Dodavatel",C1421),"")</f>
        <v/>
      </c>
      <c r="E1421" s="904" t="str">
        <f>IF(Tabulka4[[#This Row],[Typ úlohy]]="Účet",GETPIVOTDATA("Součet z Celková cena bez DPH (CZK)",$G$3,"Zkratka kalkulační položky",B1421,"Výrobce / Dodavatel",C1421),"")</f>
        <v/>
      </c>
    </row>
    <row r="1422" spans="1:5" x14ac:dyDescent="0.35">
      <c r="A1422" s="902" t="str">
        <f t="shared" si="23"/>
        <v/>
      </c>
      <c r="B1422" s="903" t="str">
        <f>IF(Tabulka4[[#This Row],[Typ úlohy]]="Součet",G1422,IF(Tabulka4[[#This Row],[Typ úlohy]]="Účet",B1421,""))</f>
        <v/>
      </c>
      <c r="C1422" s="903" t="str">
        <f>IF(Tabulka4[[#This Row],[Typ úlohy]]="Účet",H1422,"")</f>
        <v/>
      </c>
      <c r="D1422" s="903" t="str">
        <f>IF(Tabulka4[[#This Row],[Typ úlohy]]="Účet",GETPIVOTDATA("Součet z Celková hmotnost položek [kg]",$G$2,"Zkratka kalkulační položky",B1422,"Výrobce / Dodavatel",C1422),"")</f>
        <v/>
      </c>
      <c r="E1422" s="904" t="str">
        <f>IF(Tabulka4[[#This Row],[Typ úlohy]]="Účet",GETPIVOTDATA("Součet z Celková cena bez DPH (CZK)",$G$3,"Zkratka kalkulační položky",B1422,"Výrobce / Dodavatel",C1422),"")</f>
        <v/>
      </c>
    </row>
    <row r="1423" spans="1:5" x14ac:dyDescent="0.35">
      <c r="A1423" s="902" t="str">
        <f t="shared" si="23"/>
        <v/>
      </c>
      <c r="B1423" s="903" t="str">
        <f>IF(Tabulka4[[#This Row],[Typ úlohy]]="Součet",G1423,IF(Tabulka4[[#This Row],[Typ úlohy]]="Účet",B1422,""))</f>
        <v/>
      </c>
      <c r="C1423" s="903" t="str">
        <f>IF(Tabulka4[[#This Row],[Typ úlohy]]="Účet",H1423,"")</f>
        <v/>
      </c>
      <c r="D1423" s="903" t="str">
        <f>IF(Tabulka4[[#This Row],[Typ úlohy]]="Účet",GETPIVOTDATA("Součet z Celková hmotnost položek [kg]",$G$2,"Zkratka kalkulační položky",B1423,"Výrobce / Dodavatel",C1423),"")</f>
        <v/>
      </c>
      <c r="E1423" s="904" t="str">
        <f>IF(Tabulka4[[#This Row],[Typ úlohy]]="Účet",GETPIVOTDATA("Součet z Celková cena bez DPH (CZK)",$G$3,"Zkratka kalkulační položky",B1423,"Výrobce / Dodavatel",C1423),"")</f>
        <v/>
      </c>
    </row>
    <row r="1424" spans="1:5" x14ac:dyDescent="0.35">
      <c r="A1424" s="902" t="str">
        <f t="shared" si="23"/>
        <v/>
      </c>
      <c r="B1424" s="903" t="str">
        <f>IF(Tabulka4[[#This Row],[Typ úlohy]]="Součet",G1424,IF(Tabulka4[[#This Row],[Typ úlohy]]="Účet",B1423,""))</f>
        <v/>
      </c>
      <c r="C1424" s="903" t="str">
        <f>IF(Tabulka4[[#This Row],[Typ úlohy]]="Účet",H1424,"")</f>
        <v/>
      </c>
      <c r="D1424" s="903" t="str">
        <f>IF(Tabulka4[[#This Row],[Typ úlohy]]="Účet",GETPIVOTDATA("Součet z Celková hmotnost položek [kg]",$G$2,"Zkratka kalkulační položky",B1424,"Výrobce / Dodavatel",C1424),"")</f>
        <v/>
      </c>
      <c r="E1424" s="904" t="str">
        <f>IF(Tabulka4[[#This Row],[Typ úlohy]]="Účet",GETPIVOTDATA("Součet z Celková cena bez DPH (CZK)",$G$3,"Zkratka kalkulační položky",B1424,"Výrobce / Dodavatel",C1424),"")</f>
        <v/>
      </c>
    </row>
    <row r="1425" spans="1:5" x14ac:dyDescent="0.35">
      <c r="A1425" s="902" t="str">
        <f t="shared" si="23"/>
        <v/>
      </c>
      <c r="B1425" s="903" t="str">
        <f>IF(Tabulka4[[#This Row],[Typ úlohy]]="Součet",G1425,IF(Tabulka4[[#This Row],[Typ úlohy]]="Účet",B1424,""))</f>
        <v/>
      </c>
      <c r="C1425" s="903" t="str">
        <f>IF(Tabulka4[[#This Row],[Typ úlohy]]="Účet",H1425,"")</f>
        <v/>
      </c>
      <c r="D1425" s="903" t="str">
        <f>IF(Tabulka4[[#This Row],[Typ úlohy]]="Účet",GETPIVOTDATA("Součet z Celková hmotnost položek [kg]",$G$2,"Zkratka kalkulační položky",B1425,"Výrobce / Dodavatel",C1425),"")</f>
        <v/>
      </c>
      <c r="E1425" s="904" t="str">
        <f>IF(Tabulka4[[#This Row],[Typ úlohy]]="Účet",GETPIVOTDATA("Součet z Celková cena bez DPH (CZK)",$G$3,"Zkratka kalkulační položky",B1425,"Výrobce / Dodavatel",C1425),"")</f>
        <v/>
      </c>
    </row>
    <row r="1426" spans="1:5" x14ac:dyDescent="0.35">
      <c r="A1426" s="902" t="str">
        <f t="shared" si="23"/>
        <v/>
      </c>
      <c r="B1426" s="903" t="str">
        <f>IF(Tabulka4[[#This Row],[Typ úlohy]]="Součet",G1426,IF(Tabulka4[[#This Row],[Typ úlohy]]="Účet",B1425,""))</f>
        <v/>
      </c>
      <c r="C1426" s="903" t="str">
        <f>IF(Tabulka4[[#This Row],[Typ úlohy]]="Účet",H1426,"")</f>
        <v/>
      </c>
      <c r="D1426" s="903" t="str">
        <f>IF(Tabulka4[[#This Row],[Typ úlohy]]="Účet",GETPIVOTDATA("Součet z Celková hmotnost položek [kg]",$G$2,"Zkratka kalkulační položky",B1426,"Výrobce / Dodavatel",C1426),"")</f>
        <v/>
      </c>
      <c r="E1426" s="904" t="str">
        <f>IF(Tabulka4[[#This Row],[Typ úlohy]]="Účet",GETPIVOTDATA("Součet z Celková cena bez DPH (CZK)",$G$3,"Zkratka kalkulační položky",B1426,"Výrobce / Dodavatel",C1426),"")</f>
        <v/>
      </c>
    </row>
    <row r="1427" spans="1:5" x14ac:dyDescent="0.35">
      <c r="A1427" s="902" t="str">
        <f t="shared" si="23"/>
        <v/>
      </c>
      <c r="B1427" s="903" t="str">
        <f>IF(Tabulka4[[#This Row],[Typ úlohy]]="Součet",G1427,IF(Tabulka4[[#This Row],[Typ úlohy]]="Účet",B1426,""))</f>
        <v/>
      </c>
      <c r="C1427" s="903" t="str">
        <f>IF(Tabulka4[[#This Row],[Typ úlohy]]="Účet",H1427,"")</f>
        <v/>
      </c>
      <c r="D1427" s="903" t="str">
        <f>IF(Tabulka4[[#This Row],[Typ úlohy]]="Účet",GETPIVOTDATA("Součet z Celková hmotnost položek [kg]",$G$2,"Zkratka kalkulační položky",B1427,"Výrobce / Dodavatel",C1427),"")</f>
        <v/>
      </c>
      <c r="E1427" s="904" t="str">
        <f>IF(Tabulka4[[#This Row],[Typ úlohy]]="Účet",GETPIVOTDATA("Součet z Celková cena bez DPH (CZK)",$G$3,"Zkratka kalkulační položky",B1427,"Výrobce / Dodavatel",C1427),"")</f>
        <v/>
      </c>
    </row>
    <row r="1428" spans="1:5" x14ac:dyDescent="0.35">
      <c r="A1428" s="902" t="str">
        <f t="shared" si="23"/>
        <v/>
      </c>
      <c r="B1428" s="903" t="str">
        <f>IF(Tabulka4[[#This Row],[Typ úlohy]]="Součet",G1428,IF(Tabulka4[[#This Row],[Typ úlohy]]="Účet",B1427,""))</f>
        <v/>
      </c>
      <c r="C1428" s="903" t="str">
        <f>IF(Tabulka4[[#This Row],[Typ úlohy]]="Účet",H1428,"")</f>
        <v/>
      </c>
      <c r="D1428" s="903" t="str">
        <f>IF(Tabulka4[[#This Row],[Typ úlohy]]="Účet",GETPIVOTDATA("Součet z Celková hmotnost položek [kg]",$G$2,"Zkratka kalkulační položky",B1428,"Výrobce / Dodavatel",C1428),"")</f>
        <v/>
      </c>
      <c r="E1428" s="904" t="str">
        <f>IF(Tabulka4[[#This Row],[Typ úlohy]]="Účet",GETPIVOTDATA("Součet z Celková cena bez DPH (CZK)",$G$3,"Zkratka kalkulační položky",B1428,"Výrobce / Dodavatel",C1428),"")</f>
        <v/>
      </c>
    </row>
    <row r="1429" spans="1:5" x14ac:dyDescent="0.35">
      <c r="A1429" s="902" t="str">
        <f t="shared" si="23"/>
        <v/>
      </c>
      <c r="B1429" s="903" t="str">
        <f>IF(Tabulka4[[#This Row],[Typ úlohy]]="Součet",G1429,IF(Tabulka4[[#This Row],[Typ úlohy]]="Účet",B1428,""))</f>
        <v/>
      </c>
      <c r="C1429" s="903" t="str">
        <f>IF(Tabulka4[[#This Row],[Typ úlohy]]="Účet",H1429,"")</f>
        <v/>
      </c>
      <c r="D1429" s="903" t="str">
        <f>IF(Tabulka4[[#This Row],[Typ úlohy]]="Účet",GETPIVOTDATA("Součet z Celková hmotnost položek [kg]",$G$2,"Zkratka kalkulační položky",B1429,"Výrobce / Dodavatel",C1429),"")</f>
        <v/>
      </c>
      <c r="E1429" s="904" t="str">
        <f>IF(Tabulka4[[#This Row],[Typ úlohy]]="Účet",GETPIVOTDATA("Součet z Celková cena bez DPH (CZK)",$G$3,"Zkratka kalkulační položky",B1429,"Výrobce / Dodavatel",C1429),"")</f>
        <v/>
      </c>
    </row>
    <row r="1430" spans="1:5" x14ac:dyDescent="0.35">
      <c r="A1430" s="902" t="str">
        <f t="shared" si="23"/>
        <v/>
      </c>
      <c r="B1430" s="903" t="str">
        <f>IF(Tabulka4[[#This Row],[Typ úlohy]]="Součet",G1430,IF(Tabulka4[[#This Row],[Typ úlohy]]="Účet",B1429,""))</f>
        <v/>
      </c>
      <c r="C1430" s="903" t="str">
        <f>IF(Tabulka4[[#This Row],[Typ úlohy]]="Účet",H1430,"")</f>
        <v/>
      </c>
      <c r="D1430" s="903" t="str">
        <f>IF(Tabulka4[[#This Row],[Typ úlohy]]="Účet",GETPIVOTDATA("Součet z Celková hmotnost položek [kg]",$G$2,"Zkratka kalkulační položky",B1430,"Výrobce / Dodavatel",C1430),"")</f>
        <v/>
      </c>
      <c r="E1430" s="904" t="str">
        <f>IF(Tabulka4[[#This Row],[Typ úlohy]]="Účet",GETPIVOTDATA("Součet z Celková cena bez DPH (CZK)",$G$3,"Zkratka kalkulační položky",B1430,"Výrobce / Dodavatel",C1430),"")</f>
        <v/>
      </c>
    </row>
    <row r="1431" spans="1:5" x14ac:dyDescent="0.35">
      <c r="A1431" s="902" t="str">
        <f t="shared" si="23"/>
        <v/>
      </c>
      <c r="B1431" s="903" t="str">
        <f>IF(Tabulka4[[#This Row],[Typ úlohy]]="Součet",G1431,IF(Tabulka4[[#This Row],[Typ úlohy]]="Účet",B1430,""))</f>
        <v/>
      </c>
      <c r="C1431" s="903" t="str">
        <f>IF(Tabulka4[[#This Row],[Typ úlohy]]="Účet",H1431,"")</f>
        <v/>
      </c>
      <c r="D1431" s="903" t="str">
        <f>IF(Tabulka4[[#This Row],[Typ úlohy]]="Účet",GETPIVOTDATA("Součet z Celková hmotnost položek [kg]",$G$2,"Zkratka kalkulační položky",B1431,"Výrobce / Dodavatel",C1431),"")</f>
        <v/>
      </c>
      <c r="E1431" s="904" t="str">
        <f>IF(Tabulka4[[#This Row],[Typ úlohy]]="Účet",GETPIVOTDATA("Součet z Celková cena bez DPH (CZK)",$G$3,"Zkratka kalkulační položky",B1431,"Výrobce / Dodavatel",C1431),"")</f>
        <v/>
      </c>
    </row>
    <row r="1432" spans="1:5" x14ac:dyDescent="0.35">
      <c r="A1432" s="902" t="str">
        <f t="shared" si="23"/>
        <v/>
      </c>
      <c r="B1432" s="903" t="str">
        <f>IF(Tabulka4[[#This Row],[Typ úlohy]]="Součet",G1432,IF(Tabulka4[[#This Row],[Typ úlohy]]="Účet",B1431,""))</f>
        <v/>
      </c>
      <c r="C1432" s="903" t="str">
        <f>IF(Tabulka4[[#This Row],[Typ úlohy]]="Účet",H1432,"")</f>
        <v/>
      </c>
      <c r="D1432" s="903" t="str">
        <f>IF(Tabulka4[[#This Row],[Typ úlohy]]="Účet",GETPIVOTDATA("Součet z Celková hmotnost položek [kg]",$G$2,"Zkratka kalkulační položky",B1432,"Výrobce / Dodavatel",C1432),"")</f>
        <v/>
      </c>
      <c r="E1432" s="904" t="str">
        <f>IF(Tabulka4[[#This Row],[Typ úlohy]]="Účet",GETPIVOTDATA("Součet z Celková cena bez DPH (CZK)",$G$3,"Zkratka kalkulační položky",B1432,"Výrobce / Dodavatel",C1432),"")</f>
        <v/>
      </c>
    </row>
    <row r="1433" spans="1:5" x14ac:dyDescent="0.35">
      <c r="A1433" s="902" t="str">
        <f t="shared" si="23"/>
        <v/>
      </c>
      <c r="B1433" s="903" t="str">
        <f>IF(Tabulka4[[#This Row],[Typ úlohy]]="Součet",G1433,IF(Tabulka4[[#This Row],[Typ úlohy]]="Účet",B1432,""))</f>
        <v/>
      </c>
      <c r="C1433" s="903" t="str">
        <f>IF(Tabulka4[[#This Row],[Typ úlohy]]="Účet",H1433,"")</f>
        <v/>
      </c>
      <c r="D1433" s="903" t="str">
        <f>IF(Tabulka4[[#This Row],[Typ úlohy]]="Účet",GETPIVOTDATA("Součet z Celková hmotnost položek [kg]",$G$2,"Zkratka kalkulační položky",B1433,"Výrobce / Dodavatel",C1433),"")</f>
        <v/>
      </c>
      <c r="E1433" s="904" t="str">
        <f>IF(Tabulka4[[#This Row],[Typ úlohy]]="Účet",GETPIVOTDATA("Součet z Celková cena bez DPH (CZK)",$G$3,"Zkratka kalkulační položky",B1433,"Výrobce / Dodavatel",C1433),"")</f>
        <v/>
      </c>
    </row>
    <row r="1434" spans="1:5" x14ac:dyDescent="0.35">
      <c r="A1434" s="902" t="str">
        <f t="shared" si="23"/>
        <v/>
      </c>
      <c r="B1434" s="903" t="str">
        <f>IF(Tabulka4[[#This Row],[Typ úlohy]]="Součet",G1434,IF(Tabulka4[[#This Row],[Typ úlohy]]="Účet",B1433,""))</f>
        <v/>
      </c>
      <c r="C1434" s="903" t="str">
        <f>IF(Tabulka4[[#This Row],[Typ úlohy]]="Účet",H1434,"")</f>
        <v/>
      </c>
      <c r="D1434" s="903" t="str">
        <f>IF(Tabulka4[[#This Row],[Typ úlohy]]="Účet",GETPIVOTDATA("Součet z Celková hmotnost položek [kg]",$G$2,"Zkratka kalkulační položky",B1434,"Výrobce / Dodavatel",C1434),"")</f>
        <v/>
      </c>
      <c r="E1434" s="904" t="str">
        <f>IF(Tabulka4[[#This Row],[Typ úlohy]]="Účet",GETPIVOTDATA("Součet z Celková cena bez DPH (CZK)",$G$3,"Zkratka kalkulační položky",B1434,"Výrobce / Dodavatel",C1434),"")</f>
        <v/>
      </c>
    </row>
    <row r="1435" spans="1:5" x14ac:dyDescent="0.35">
      <c r="A1435" s="902" t="str">
        <f t="shared" si="23"/>
        <v/>
      </c>
      <c r="B1435" s="903" t="str">
        <f>IF(Tabulka4[[#This Row],[Typ úlohy]]="Součet",G1435,IF(Tabulka4[[#This Row],[Typ úlohy]]="Účet",B1434,""))</f>
        <v/>
      </c>
      <c r="C1435" s="903" t="str">
        <f>IF(Tabulka4[[#This Row],[Typ úlohy]]="Účet",H1435,"")</f>
        <v/>
      </c>
      <c r="D1435" s="903" t="str">
        <f>IF(Tabulka4[[#This Row],[Typ úlohy]]="Účet",GETPIVOTDATA("Součet z Celková hmotnost položek [kg]",$G$2,"Zkratka kalkulační položky",B1435,"Výrobce / Dodavatel",C1435),"")</f>
        <v/>
      </c>
      <c r="E1435" s="904" t="str">
        <f>IF(Tabulka4[[#This Row],[Typ úlohy]]="Účet",GETPIVOTDATA("Součet z Celková cena bez DPH (CZK)",$G$3,"Zkratka kalkulační položky",B1435,"Výrobce / Dodavatel",C1435),"")</f>
        <v/>
      </c>
    </row>
    <row r="1436" spans="1:5" x14ac:dyDescent="0.35">
      <c r="A1436" s="902" t="str">
        <f t="shared" si="23"/>
        <v/>
      </c>
      <c r="B1436" s="903" t="str">
        <f>IF(Tabulka4[[#This Row],[Typ úlohy]]="Součet",G1436,IF(Tabulka4[[#This Row],[Typ úlohy]]="Účet",B1435,""))</f>
        <v/>
      </c>
      <c r="C1436" s="903" t="str">
        <f>IF(Tabulka4[[#This Row],[Typ úlohy]]="Účet",H1436,"")</f>
        <v/>
      </c>
      <c r="D1436" s="903" t="str">
        <f>IF(Tabulka4[[#This Row],[Typ úlohy]]="Účet",GETPIVOTDATA("Součet z Celková hmotnost položek [kg]",$G$2,"Zkratka kalkulační položky",B1436,"Výrobce / Dodavatel",C1436),"")</f>
        <v/>
      </c>
      <c r="E1436" s="904" t="str">
        <f>IF(Tabulka4[[#This Row],[Typ úlohy]]="Účet",GETPIVOTDATA("Součet z Celková cena bez DPH (CZK)",$G$3,"Zkratka kalkulační položky",B1436,"Výrobce / Dodavatel",C1436),"")</f>
        <v/>
      </c>
    </row>
    <row r="1437" spans="1:5" x14ac:dyDescent="0.35">
      <c r="A1437" s="902" t="str">
        <f t="shared" si="23"/>
        <v/>
      </c>
      <c r="B1437" s="903" t="str">
        <f>IF(Tabulka4[[#This Row],[Typ úlohy]]="Součet",G1437,IF(Tabulka4[[#This Row],[Typ úlohy]]="Účet",B1436,""))</f>
        <v/>
      </c>
      <c r="C1437" s="903" t="str">
        <f>IF(Tabulka4[[#This Row],[Typ úlohy]]="Účet",H1437,"")</f>
        <v/>
      </c>
      <c r="D1437" s="903" t="str">
        <f>IF(Tabulka4[[#This Row],[Typ úlohy]]="Účet",GETPIVOTDATA("Součet z Celková hmotnost položek [kg]",$G$2,"Zkratka kalkulační položky",B1437,"Výrobce / Dodavatel",C1437),"")</f>
        <v/>
      </c>
      <c r="E1437" s="904" t="str">
        <f>IF(Tabulka4[[#This Row],[Typ úlohy]]="Účet",GETPIVOTDATA("Součet z Celková cena bez DPH (CZK)",$G$3,"Zkratka kalkulační položky",B1437,"Výrobce / Dodavatel",C1437),"")</f>
        <v/>
      </c>
    </row>
    <row r="1438" spans="1:5" x14ac:dyDescent="0.35">
      <c r="A1438" s="902" t="str">
        <f t="shared" si="23"/>
        <v/>
      </c>
      <c r="B1438" s="903" t="str">
        <f>IF(Tabulka4[[#This Row],[Typ úlohy]]="Součet",G1438,IF(Tabulka4[[#This Row],[Typ úlohy]]="Účet",B1437,""))</f>
        <v/>
      </c>
      <c r="C1438" s="903" t="str">
        <f>IF(Tabulka4[[#This Row],[Typ úlohy]]="Účet",H1438,"")</f>
        <v/>
      </c>
      <c r="D1438" s="903" t="str">
        <f>IF(Tabulka4[[#This Row],[Typ úlohy]]="Účet",GETPIVOTDATA("Součet z Celková hmotnost položek [kg]",$G$2,"Zkratka kalkulační položky",B1438,"Výrobce / Dodavatel",C1438),"")</f>
        <v/>
      </c>
      <c r="E1438" s="904" t="str">
        <f>IF(Tabulka4[[#This Row],[Typ úlohy]]="Účet",GETPIVOTDATA("Součet z Celková cena bez DPH (CZK)",$G$3,"Zkratka kalkulační položky",B1438,"Výrobce / Dodavatel",C1438),"")</f>
        <v/>
      </c>
    </row>
    <row r="1439" spans="1:5" x14ac:dyDescent="0.35">
      <c r="A1439" s="902" t="str">
        <f t="shared" si="23"/>
        <v/>
      </c>
      <c r="B1439" s="903" t="str">
        <f>IF(Tabulka4[[#This Row],[Typ úlohy]]="Součet",G1439,IF(Tabulka4[[#This Row],[Typ úlohy]]="Účet",B1438,""))</f>
        <v/>
      </c>
      <c r="C1439" s="903" t="str">
        <f>IF(Tabulka4[[#This Row],[Typ úlohy]]="Účet",H1439,"")</f>
        <v/>
      </c>
      <c r="D1439" s="903" t="str">
        <f>IF(Tabulka4[[#This Row],[Typ úlohy]]="Účet",GETPIVOTDATA("Součet z Celková hmotnost položek [kg]",$G$2,"Zkratka kalkulační položky",B1439,"Výrobce / Dodavatel",C1439),"")</f>
        <v/>
      </c>
      <c r="E1439" s="904" t="str">
        <f>IF(Tabulka4[[#This Row],[Typ úlohy]]="Účet",GETPIVOTDATA("Součet z Celková cena bez DPH (CZK)",$G$3,"Zkratka kalkulační položky",B1439,"Výrobce / Dodavatel",C1439),"")</f>
        <v/>
      </c>
    </row>
    <row r="1440" spans="1:5" x14ac:dyDescent="0.35">
      <c r="A1440" s="902" t="str">
        <f t="shared" si="23"/>
        <v/>
      </c>
      <c r="B1440" s="903" t="str">
        <f>IF(Tabulka4[[#This Row],[Typ úlohy]]="Součet",G1440,IF(Tabulka4[[#This Row],[Typ úlohy]]="Účet",B1439,""))</f>
        <v/>
      </c>
      <c r="C1440" s="903" t="str">
        <f>IF(Tabulka4[[#This Row],[Typ úlohy]]="Účet",H1440,"")</f>
        <v/>
      </c>
      <c r="D1440" s="903" t="str">
        <f>IF(Tabulka4[[#This Row],[Typ úlohy]]="Účet",GETPIVOTDATA("Součet z Celková hmotnost položek [kg]",$G$2,"Zkratka kalkulační položky",B1440,"Výrobce / Dodavatel",C1440),"")</f>
        <v/>
      </c>
      <c r="E1440" s="904" t="str">
        <f>IF(Tabulka4[[#This Row],[Typ úlohy]]="Účet",GETPIVOTDATA("Součet z Celková cena bez DPH (CZK)",$G$3,"Zkratka kalkulační položky",B1440,"Výrobce / Dodavatel",C1440),"")</f>
        <v/>
      </c>
    </row>
    <row r="1441" spans="1:5" x14ac:dyDescent="0.35">
      <c r="A1441" s="902" t="str">
        <f t="shared" si="23"/>
        <v/>
      </c>
      <c r="B1441" s="903" t="str">
        <f>IF(Tabulka4[[#This Row],[Typ úlohy]]="Součet",G1441,IF(Tabulka4[[#This Row],[Typ úlohy]]="Účet",B1440,""))</f>
        <v/>
      </c>
      <c r="C1441" s="903" t="str">
        <f>IF(Tabulka4[[#This Row],[Typ úlohy]]="Účet",H1441,"")</f>
        <v/>
      </c>
      <c r="D1441" s="903" t="str">
        <f>IF(Tabulka4[[#This Row],[Typ úlohy]]="Účet",GETPIVOTDATA("Součet z Celková hmotnost položek [kg]",$G$2,"Zkratka kalkulační položky",B1441,"Výrobce / Dodavatel",C1441),"")</f>
        <v/>
      </c>
      <c r="E1441" s="904" t="str">
        <f>IF(Tabulka4[[#This Row],[Typ úlohy]]="Účet",GETPIVOTDATA("Součet z Celková cena bez DPH (CZK)",$G$3,"Zkratka kalkulační položky",B1441,"Výrobce / Dodavatel",C1441),"")</f>
        <v/>
      </c>
    </row>
    <row r="1442" spans="1:5" x14ac:dyDescent="0.35">
      <c r="A1442" s="902" t="str">
        <f t="shared" si="23"/>
        <v/>
      </c>
      <c r="B1442" s="903" t="str">
        <f>IF(Tabulka4[[#This Row],[Typ úlohy]]="Součet",G1442,IF(Tabulka4[[#This Row],[Typ úlohy]]="Účet",B1441,""))</f>
        <v/>
      </c>
      <c r="C1442" s="903" t="str">
        <f>IF(Tabulka4[[#This Row],[Typ úlohy]]="Účet",H1442,"")</f>
        <v/>
      </c>
      <c r="D1442" s="903" t="str">
        <f>IF(Tabulka4[[#This Row],[Typ úlohy]]="Účet",GETPIVOTDATA("Součet z Celková hmotnost položek [kg]",$G$2,"Zkratka kalkulační položky",B1442,"Výrobce / Dodavatel",C1442),"")</f>
        <v/>
      </c>
      <c r="E1442" s="904" t="str">
        <f>IF(Tabulka4[[#This Row],[Typ úlohy]]="Účet",GETPIVOTDATA("Součet z Celková cena bez DPH (CZK)",$G$3,"Zkratka kalkulační položky",B1442,"Výrobce / Dodavatel",C1442),"")</f>
        <v/>
      </c>
    </row>
    <row r="1443" spans="1:5" x14ac:dyDescent="0.35">
      <c r="A1443" s="902" t="str">
        <f t="shared" si="23"/>
        <v/>
      </c>
      <c r="B1443" s="903" t="str">
        <f>IF(Tabulka4[[#This Row],[Typ úlohy]]="Součet",G1443,IF(Tabulka4[[#This Row],[Typ úlohy]]="Účet",B1442,""))</f>
        <v/>
      </c>
      <c r="C1443" s="903" t="str">
        <f>IF(Tabulka4[[#This Row],[Typ úlohy]]="Účet",H1443,"")</f>
        <v/>
      </c>
      <c r="D1443" s="903" t="str">
        <f>IF(Tabulka4[[#This Row],[Typ úlohy]]="Účet",GETPIVOTDATA("Součet z Celková hmotnost položek [kg]",$G$2,"Zkratka kalkulační položky",B1443,"Výrobce / Dodavatel",C1443),"")</f>
        <v/>
      </c>
      <c r="E1443" s="904" t="str">
        <f>IF(Tabulka4[[#This Row],[Typ úlohy]]="Účet",GETPIVOTDATA("Součet z Celková cena bez DPH (CZK)",$G$3,"Zkratka kalkulační položky",B1443,"Výrobce / Dodavatel",C1443),"")</f>
        <v/>
      </c>
    </row>
    <row r="1444" spans="1:5" x14ac:dyDescent="0.35">
      <c r="A1444" s="902" t="str">
        <f t="shared" si="23"/>
        <v/>
      </c>
      <c r="B1444" s="903" t="str">
        <f>IF(Tabulka4[[#This Row],[Typ úlohy]]="Součet",G1444,IF(Tabulka4[[#This Row],[Typ úlohy]]="Účet",B1443,""))</f>
        <v/>
      </c>
      <c r="C1444" s="903" t="str">
        <f>IF(Tabulka4[[#This Row],[Typ úlohy]]="Účet",H1444,"")</f>
        <v/>
      </c>
      <c r="D1444" s="903" t="str">
        <f>IF(Tabulka4[[#This Row],[Typ úlohy]]="Účet",GETPIVOTDATA("Součet z Celková hmotnost položek [kg]",$G$2,"Zkratka kalkulační položky",B1444,"Výrobce / Dodavatel",C1444),"")</f>
        <v/>
      </c>
      <c r="E1444" s="904" t="str">
        <f>IF(Tabulka4[[#This Row],[Typ úlohy]]="Účet",GETPIVOTDATA("Součet z Celková cena bez DPH (CZK)",$G$3,"Zkratka kalkulační položky",B1444,"Výrobce / Dodavatel",C1444),"")</f>
        <v/>
      </c>
    </row>
    <row r="1445" spans="1:5" x14ac:dyDescent="0.35">
      <c r="A1445" s="902" t="str">
        <f t="shared" si="23"/>
        <v/>
      </c>
      <c r="B1445" s="903" t="str">
        <f>IF(Tabulka4[[#This Row],[Typ úlohy]]="Součet",G1445,IF(Tabulka4[[#This Row],[Typ úlohy]]="Účet",B1444,""))</f>
        <v/>
      </c>
      <c r="C1445" s="903" t="str">
        <f>IF(Tabulka4[[#This Row],[Typ úlohy]]="Účet",H1445,"")</f>
        <v/>
      </c>
      <c r="D1445" s="903" t="str">
        <f>IF(Tabulka4[[#This Row],[Typ úlohy]]="Účet",GETPIVOTDATA("Součet z Celková hmotnost položek [kg]",$G$2,"Zkratka kalkulační položky",B1445,"Výrobce / Dodavatel",C1445),"")</f>
        <v/>
      </c>
      <c r="E1445" s="904" t="str">
        <f>IF(Tabulka4[[#This Row],[Typ úlohy]]="Účet",GETPIVOTDATA("Součet z Celková cena bez DPH (CZK)",$G$3,"Zkratka kalkulační položky",B1445,"Výrobce / Dodavatel",C1445),"")</f>
        <v/>
      </c>
    </row>
    <row r="1446" spans="1:5" x14ac:dyDescent="0.35">
      <c r="A1446" s="902" t="str">
        <f t="shared" si="23"/>
        <v/>
      </c>
      <c r="B1446" s="903" t="str">
        <f>IF(Tabulka4[[#This Row],[Typ úlohy]]="Součet",G1446,IF(Tabulka4[[#This Row],[Typ úlohy]]="Účet",B1445,""))</f>
        <v/>
      </c>
      <c r="C1446" s="903" t="str">
        <f>IF(Tabulka4[[#This Row],[Typ úlohy]]="Účet",H1446,"")</f>
        <v/>
      </c>
      <c r="D1446" s="903" t="str">
        <f>IF(Tabulka4[[#This Row],[Typ úlohy]]="Účet",GETPIVOTDATA("Součet z Celková hmotnost položek [kg]",$G$2,"Zkratka kalkulační položky",B1446,"Výrobce / Dodavatel",C1446),"")</f>
        <v/>
      </c>
      <c r="E1446" s="904" t="str">
        <f>IF(Tabulka4[[#This Row],[Typ úlohy]]="Účet",GETPIVOTDATA("Součet z Celková cena bez DPH (CZK)",$G$3,"Zkratka kalkulační položky",B1446,"Výrobce / Dodavatel",C1446),"")</f>
        <v/>
      </c>
    </row>
    <row r="1447" spans="1:5" x14ac:dyDescent="0.35">
      <c r="A1447" s="902" t="str">
        <f t="shared" si="23"/>
        <v/>
      </c>
      <c r="B1447" s="903" t="str">
        <f>IF(Tabulka4[[#This Row],[Typ úlohy]]="Součet",G1447,IF(Tabulka4[[#This Row],[Typ úlohy]]="Účet",B1446,""))</f>
        <v/>
      </c>
      <c r="C1447" s="903" t="str">
        <f>IF(Tabulka4[[#This Row],[Typ úlohy]]="Účet",H1447,"")</f>
        <v/>
      </c>
      <c r="D1447" s="903" t="str">
        <f>IF(Tabulka4[[#This Row],[Typ úlohy]]="Účet",GETPIVOTDATA("Součet z Celková hmotnost položek [kg]",$G$2,"Zkratka kalkulační položky",B1447,"Výrobce / Dodavatel",C1447),"")</f>
        <v/>
      </c>
      <c r="E1447" s="904" t="str">
        <f>IF(Tabulka4[[#This Row],[Typ úlohy]]="Účet",GETPIVOTDATA("Součet z Celková cena bez DPH (CZK)",$G$3,"Zkratka kalkulační položky",B1447,"Výrobce / Dodavatel",C1447),"")</f>
        <v/>
      </c>
    </row>
    <row r="1448" spans="1:5" x14ac:dyDescent="0.35">
      <c r="A1448" s="902" t="str">
        <f t="shared" si="23"/>
        <v/>
      </c>
      <c r="B1448" s="903" t="str">
        <f>IF(Tabulka4[[#This Row],[Typ úlohy]]="Součet",G1448,IF(Tabulka4[[#This Row],[Typ úlohy]]="Účet",B1447,""))</f>
        <v/>
      </c>
      <c r="C1448" s="903" t="str">
        <f>IF(Tabulka4[[#This Row],[Typ úlohy]]="Účet",H1448,"")</f>
        <v/>
      </c>
      <c r="D1448" s="903" t="str">
        <f>IF(Tabulka4[[#This Row],[Typ úlohy]]="Účet",GETPIVOTDATA("Součet z Celková hmotnost položek [kg]",$G$2,"Zkratka kalkulační položky",B1448,"Výrobce / Dodavatel",C1448),"")</f>
        <v/>
      </c>
      <c r="E1448" s="904" t="str">
        <f>IF(Tabulka4[[#This Row],[Typ úlohy]]="Účet",GETPIVOTDATA("Součet z Celková cena bez DPH (CZK)",$G$3,"Zkratka kalkulační položky",B1448,"Výrobce / Dodavatel",C1448),"")</f>
        <v/>
      </c>
    </row>
    <row r="1449" spans="1:5" x14ac:dyDescent="0.35">
      <c r="A1449" s="902" t="str">
        <f t="shared" si="23"/>
        <v/>
      </c>
      <c r="B1449" s="903" t="str">
        <f>IF(Tabulka4[[#This Row],[Typ úlohy]]="Součet",G1449,IF(Tabulka4[[#This Row],[Typ úlohy]]="Účet",B1448,""))</f>
        <v/>
      </c>
      <c r="C1449" s="903" t="str">
        <f>IF(Tabulka4[[#This Row],[Typ úlohy]]="Účet",H1449,"")</f>
        <v/>
      </c>
      <c r="D1449" s="903" t="str">
        <f>IF(Tabulka4[[#This Row],[Typ úlohy]]="Účet",GETPIVOTDATA("Součet z Celková hmotnost položek [kg]",$G$2,"Zkratka kalkulační položky",B1449,"Výrobce / Dodavatel",C1449),"")</f>
        <v/>
      </c>
      <c r="E1449" s="904" t="str">
        <f>IF(Tabulka4[[#This Row],[Typ úlohy]]="Účet",GETPIVOTDATA("Součet z Celková cena bez DPH (CZK)",$G$3,"Zkratka kalkulační položky",B1449,"Výrobce / Dodavatel",C1449),"")</f>
        <v/>
      </c>
    </row>
    <row r="1450" spans="1:5" x14ac:dyDescent="0.35">
      <c r="A1450" s="902" t="str">
        <f t="shared" si="23"/>
        <v/>
      </c>
      <c r="B1450" s="903" t="str">
        <f>IF(Tabulka4[[#This Row],[Typ úlohy]]="Součet",G1450,IF(Tabulka4[[#This Row],[Typ úlohy]]="Účet",B1449,""))</f>
        <v/>
      </c>
      <c r="C1450" s="903" t="str">
        <f>IF(Tabulka4[[#This Row],[Typ úlohy]]="Účet",H1450,"")</f>
        <v/>
      </c>
      <c r="D1450" s="903" t="str">
        <f>IF(Tabulka4[[#This Row],[Typ úlohy]]="Účet",GETPIVOTDATA("Součet z Celková hmotnost položek [kg]",$G$2,"Zkratka kalkulační položky",B1450,"Výrobce / Dodavatel",C1450),"")</f>
        <v/>
      </c>
      <c r="E1450" s="904" t="str">
        <f>IF(Tabulka4[[#This Row],[Typ úlohy]]="Účet",GETPIVOTDATA("Součet z Celková cena bez DPH (CZK)",$G$3,"Zkratka kalkulační položky",B1450,"Výrobce / Dodavatel",C1450),"")</f>
        <v/>
      </c>
    </row>
    <row r="1451" spans="1:5" x14ac:dyDescent="0.35">
      <c r="A1451" s="902" t="str">
        <f t="shared" si="23"/>
        <v/>
      </c>
      <c r="B1451" s="903" t="str">
        <f>IF(Tabulka4[[#This Row],[Typ úlohy]]="Součet",G1451,IF(Tabulka4[[#This Row],[Typ úlohy]]="Účet",B1450,""))</f>
        <v/>
      </c>
      <c r="C1451" s="903" t="str">
        <f>IF(Tabulka4[[#This Row],[Typ úlohy]]="Účet",H1451,"")</f>
        <v/>
      </c>
      <c r="D1451" s="903" t="str">
        <f>IF(Tabulka4[[#This Row],[Typ úlohy]]="Účet",GETPIVOTDATA("Součet z Celková hmotnost položek [kg]",$G$2,"Zkratka kalkulační položky",B1451,"Výrobce / Dodavatel",C1451),"")</f>
        <v/>
      </c>
      <c r="E1451" s="904" t="str">
        <f>IF(Tabulka4[[#This Row],[Typ úlohy]]="Účet",GETPIVOTDATA("Součet z Celková cena bez DPH (CZK)",$G$3,"Zkratka kalkulační položky",B1451,"Výrobce / Dodavatel",C1451),"")</f>
        <v/>
      </c>
    </row>
    <row r="1452" spans="1:5" x14ac:dyDescent="0.35">
      <c r="A1452" s="902" t="str">
        <f t="shared" si="23"/>
        <v/>
      </c>
      <c r="B1452" s="903" t="str">
        <f>IF(Tabulka4[[#This Row],[Typ úlohy]]="Součet",G1452,IF(Tabulka4[[#This Row],[Typ úlohy]]="Účet",B1451,""))</f>
        <v/>
      </c>
      <c r="C1452" s="903" t="str">
        <f>IF(Tabulka4[[#This Row],[Typ úlohy]]="Účet",H1452,"")</f>
        <v/>
      </c>
      <c r="D1452" s="903" t="str">
        <f>IF(Tabulka4[[#This Row],[Typ úlohy]]="Účet",GETPIVOTDATA("Součet z Celková hmotnost položek [kg]",$G$2,"Zkratka kalkulační položky",B1452,"Výrobce / Dodavatel",C1452),"")</f>
        <v/>
      </c>
      <c r="E1452" s="904" t="str">
        <f>IF(Tabulka4[[#This Row],[Typ úlohy]]="Účet",GETPIVOTDATA("Součet z Celková cena bez DPH (CZK)",$G$3,"Zkratka kalkulační položky",B1452,"Výrobce / Dodavatel",C1452),"")</f>
        <v/>
      </c>
    </row>
    <row r="1453" spans="1:5" x14ac:dyDescent="0.35">
      <c r="A1453" s="902" t="str">
        <f t="shared" si="23"/>
        <v/>
      </c>
      <c r="B1453" s="903" t="str">
        <f>IF(Tabulka4[[#This Row],[Typ úlohy]]="Součet",G1453,IF(Tabulka4[[#This Row],[Typ úlohy]]="Účet",B1452,""))</f>
        <v/>
      </c>
      <c r="C1453" s="903" t="str">
        <f>IF(Tabulka4[[#This Row],[Typ úlohy]]="Účet",H1453,"")</f>
        <v/>
      </c>
      <c r="D1453" s="903" t="str">
        <f>IF(Tabulka4[[#This Row],[Typ úlohy]]="Účet",GETPIVOTDATA("Součet z Celková hmotnost položek [kg]",$G$2,"Zkratka kalkulační položky",B1453,"Výrobce / Dodavatel",C1453),"")</f>
        <v/>
      </c>
      <c r="E1453" s="904" t="str">
        <f>IF(Tabulka4[[#This Row],[Typ úlohy]]="Účet",GETPIVOTDATA("Součet z Celková cena bez DPH (CZK)",$G$3,"Zkratka kalkulační položky",B1453,"Výrobce / Dodavatel",C1453),"")</f>
        <v/>
      </c>
    </row>
    <row r="1454" spans="1:5" x14ac:dyDescent="0.35">
      <c r="A1454" s="902" t="str">
        <f t="shared" si="23"/>
        <v/>
      </c>
      <c r="B1454" s="903" t="str">
        <f>IF(Tabulka4[[#This Row],[Typ úlohy]]="Součet",G1454,IF(Tabulka4[[#This Row],[Typ úlohy]]="Účet",B1453,""))</f>
        <v/>
      </c>
      <c r="C1454" s="903" t="str">
        <f>IF(Tabulka4[[#This Row],[Typ úlohy]]="Účet",H1454,"")</f>
        <v/>
      </c>
      <c r="D1454" s="903" t="str">
        <f>IF(Tabulka4[[#This Row],[Typ úlohy]]="Účet",GETPIVOTDATA("Součet z Celková hmotnost položek [kg]",$G$2,"Zkratka kalkulační položky",B1454,"Výrobce / Dodavatel",C1454),"")</f>
        <v/>
      </c>
      <c r="E1454" s="904" t="str">
        <f>IF(Tabulka4[[#This Row],[Typ úlohy]]="Účet",GETPIVOTDATA("Součet z Celková cena bez DPH (CZK)",$G$3,"Zkratka kalkulační položky",B1454,"Výrobce / Dodavatel",C1454),"")</f>
        <v/>
      </c>
    </row>
    <row r="1455" spans="1:5" x14ac:dyDescent="0.35">
      <c r="A1455" s="902" t="str">
        <f t="shared" si="23"/>
        <v/>
      </c>
      <c r="B1455" s="903" t="str">
        <f>IF(Tabulka4[[#This Row],[Typ úlohy]]="Součet",G1455,IF(Tabulka4[[#This Row],[Typ úlohy]]="Účet",B1454,""))</f>
        <v/>
      </c>
      <c r="C1455" s="903" t="str">
        <f>IF(Tabulka4[[#This Row],[Typ úlohy]]="Účet",H1455,"")</f>
        <v/>
      </c>
      <c r="D1455" s="903" t="str">
        <f>IF(Tabulka4[[#This Row],[Typ úlohy]]="Účet",GETPIVOTDATA("Součet z Celková hmotnost položek [kg]",$G$2,"Zkratka kalkulační položky",B1455,"Výrobce / Dodavatel",C1455),"")</f>
        <v/>
      </c>
      <c r="E1455" s="904" t="str">
        <f>IF(Tabulka4[[#This Row],[Typ úlohy]]="Účet",GETPIVOTDATA("Součet z Celková cena bez DPH (CZK)",$G$3,"Zkratka kalkulační položky",B1455,"Výrobce / Dodavatel",C1455),"")</f>
        <v/>
      </c>
    </row>
    <row r="1456" spans="1:5" x14ac:dyDescent="0.35">
      <c r="A1456" s="902" t="str">
        <f t="shared" si="23"/>
        <v/>
      </c>
      <c r="B1456" s="903" t="str">
        <f>IF(Tabulka4[[#This Row],[Typ úlohy]]="Součet",G1456,IF(Tabulka4[[#This Row],[Typ úlohy]]="Účet",B1455,""))</f>
        <v/>
      </c>
      <c r="C1456" s="903" t="str">
        <f>IF(Tabulka4[[#This Row],[Typ úlohy]]="Účet",H1456,"")</f>
        <v/>
      </c>
      <c r="D1456" s="903" t="str">
        <f>IF(Tabulka4[[#This Row],[Typ úlohy]]="Účet",GETPIVOTDATA("Součet z Celková hmotnost položek [kg]",$G$2,"Zkratka kalkulační položky",B1456,"Výrobce / Dodavatel",C1456),"")</f>
        <v/>
      </c>
      <c r="E1456" s="904" t="str">
        <f>IF(Tabulka4[[#This Row],[Typ úlohy]]="Účet",GETPIVOTDATA("Součet z Celková cena bez DPH (CZK)",$G$3,"Zkratka kalkulační položky",B1456,"Výrobce / Dodavatel",C1456),"")</f>
        <v/>
      </c>
    </row>
    <row r="1457" spans="1:5" x14ac:dyDescent="0.35">
      <c r="A1457" s="902" t="str">
        <f t="shared" si="23"/>
        <v/>
      </c>
      <c r="B1457" s="903" t="str">
        <f>IF(Tabulka4[[#This Row],[Typ úlohy]]="Součet",G1457,IF(Tabulka4[[#This Row],[Typ úlohy]]="Účet",B1456,""))</f>
        <v/>
      </c>
      <c r="C1457" s="903" t="str">
        <f>IF(Tabulka4[[#This Row],[Typ úlohy]]="Účet",H1457,"")</f>
        <v/>
      </c>
      <c r="D1457" s="903" t="str">
        <f>IF(Tabulka4[[#This Row],[Typ úlohy]]="Účet",GETPIVOTDATA("Součet z Celková hmotnost položek [kg]",$G$2,"Zkratka kalkulační položky",B1457,"Výrobce / Dodavatel",C1457),"")</f>
        <v/>
      </c>
      <c r="E1457" s="904" t="str">
        <f>IF(Tabulka4[[#This Row],[Typ úlohy]]="Účet",GETPIVOTDATA("Součet z Celková cena bez DPH (CZK)",$G$3,"Zkratka kalkulační položky",B1457,"Výrobce / Dodavatel",C1457),"")</f>
        <v/>
      </c>
    </row>
    <row r="1458" spans="1:5" x14ac:dyDescent="0.35">
      <c r="A1458" s="902" t="str">
        <f t="shared" si="23"/>
        <v/>
      </c>
      <c r="B1458" s="903" t="str">
        <f>IF(Tabulka4[[#This Row],[Typ úlohy]]="Součet",G1458,IF(Tabulka4[[#This Row],[Typ úlohy]]="Účet",B1457,""))</f>
        <v/>
      </c>
      <c r="C1458" s="903" t="str">
        <f>IF(Tabulka4[[#This Row],[Typ úlohy]]="Účet",H1458,"")</f>
        <v/>
      </c>
      <c r="D1458" s="903" t="str">
        <f>IF(Tabulka4[[#This Row],[Typ úlohy]]="Účet",GETPIVOTDATA("Součet z Celková hmotnost položek [kg]",$G$2,"Zkratka kalkulační položky",B1458,"Výrobce / Dodavatel",C1458),"")</f>
        <v/>
      </c>
      <c r="E1458" s="904" t="str">
        <f>IF(Tabulka4[[#This Row],[Typ úlohy]]="Účet",GETPIVOTDATA("Součet z Celková cena bez DPH (CZK)",$G$3,"Zkratka kalkulační položky",B1458,"Výrobce / Dodavatel",C1458),"")</f>
        <v/>
      </c>
    </row>
    <row r="1459" spans="1:5" x14ac:dyDescent="0.35">
      <c r="A1459" s="902" t="str">
        <f t="shared" si="23"/>
        <v/>
      </c>
      <c r="B1459" s="903" t="str">
        <f>IF(Tabulka4[[#This Row],[Typ úlohy]]="Součet",G1459,IF(Tabulka4[[#This Row],[Typ úlohy]]="Účet",B1458,""))</f>
        <v/>
      </c>
      <c r="C1459" s="903" t="str">
        <f>IF(Tabulka4[[#This Row],[Typ úlohy]]="Účet",H1459,"")</f>
        <v/>
      </c>
      <c r="D1459" s="903" t="str">
        <f>IF(Tabulka4[[#This Row],[Typ úlohy]]="Účet",GETPIVOTDATA("Součet z Celková hmotnost položek [kg]",$G$2,"Zkratka kalkulační položky",B1459,"Výrobce / Dodavatel",C1459),"")</f>
        <v/>
      </c>
      <c r="E1459" s="904" t="str">
        <f>IF(Tabulka4[[#This Row],[Typ úlohy]]="Účet",GETPIVOTDATA("Součet z Celková cena bez DPH (CZK)",$G$3,"Zkratka kalkulační položky",B1459,"Výrobce / Dodavatel",C1459),"")</f>
        <v/>
      </c>
    </row>
    <row r="1460" spans="1:5" x14ac:dyDescent="0.35">
      <c r="A1460" s="902" t="str">
        <f t="shared" si="23"/>
        <v/>
      </c>
      <c r="B1460" s="903" t="str">
        <f>IF(Tabulka4[[#This Row],[Typ úlohy]]="Součet",G1460,IF(Tabulka4[[#This Row],[Typ úlohy]]="Účet",B1459,""))</f>
        <v/>
      </c>
      <c r="C1460" s="903" t="str">
        <f>IF(Tabulka4[[#This Row],[Typ úlohy]]="Účet",H1460,"")</f>
        <v/>
      </c>
      <c r="D1460" s="903" t="str">
        <f>IF(Tabulka4[[#This Row],[Typ úlohy]]="Účet",GETPIVOTDATA("Součet z Celková hmotnost položek [kg]",$G$2,"Zkratka kalkulační položky",B1460,"Výrobce / Dodavatel",C1460),"")</f>
        <v/>
      </c>
      <c r="E1460" s="904" t="str">
        <f>IF(Tabulka4[[#This Row],[Typ úlohy]]="Účet",GETPIVOTDATA("Součet z Celková cena bez DPH (CZK)",$G$3,"Zkratka kalkulační položky",B1460,"Výrobce / Dodavatel",C1460),"")</f>
        <v/>
      </c>
    </row>
    <row r="1461" spans="1:5" x14ac:dyDescent="0.35">
      <c r="A1461" s="902" t="str">
        <f t="shared" si="23"/>
        <v/>
      </c>
      <c r="B1461" s="903" t="str">
        <f>IF(Tabulka4[[#This Row],[Typ úlohy]]="Součet",G1461,IF(Tabulka4[[#This Row],[Typ úlohy]]="Účet",B1460,""))</f>
        <v/>
      </c>
      <c r="C1461" s="903" t="str">
        <f>IF(Tabulka4[[#This Row],[Typ úlohy]]="Účet",H1461,"")</f>
        <v/>
      </c>
      <c r="D1461" s="903" t="str">
        <f>IF(Tabulka4[[#This Row],[Typ úlohy]]="Účet",GETPIVOTDATA("Součet z Celková hmotnost položek [kg]",$G$2,"Zkratka kalkulační položky",B1461,"Výrobce / Dodavatel",C1461),"")</f>
        <v/>
      </c>
      <c r="E1461" s="904" t="str">
        <f>IF(Tabulka4[[#This Row],[Typ úlohy]]="Účet",GETPIVOTDATA("Součet z Celková cena bez DPH (CZK)",$G$3,"Zkratka kalkulační položky",B1461,"Výrobce / Dodavatel",C1461),"")</f>
        <v/>
      </c>
    </row>
    <row r="1462" spans="1:5" x14ac:dyDescent="0.35">
      <c r="A1462" s="902" t="str">
        <f t="shared" si="23"/>
        <v/>
      </c>
      <c r="B1462" s="903" t="str">
        <f>IF(Tabulka4[[#This Row],[Typ úlohy]]="Součet",G1462,IF(Tabulka4[[#This Row],[Typ úlohy]]="Účet",B1461,""))</f>
        <v/>
      </c>
      <c r="C1462" s="903" t="str">
        <f>IF(Tabulka4[[#This Row],[Typ úlohy]]="Účet",H1462,"")</f>
        <v/>
      </c>
      <c r="D1462" s="903" t="str">
        <f>IF(Tabulka4[[#This Row],[Typ úlohy]]="Účet",GETPIVOTDATA("Součet z Celková hmotnost položek [kg]",$G$2,"Zkratka kalkulační položky",B1462,"Výrobce / Dodavatel",C1462),"")</f>
        <v/>
      </c>
      <c r="E1462" s="904" t="str">
        <f>IF(Tabulka4[[#This Row],[Typ úlohy]]="Účet",GETPIVOTDATA("Součet z Celková cena bez DPH (CZK)",$G$3,"Zkratka kalkulační položky",B1462,"Výrobce / Dodavatel",C1462),"")</f>
        <v/>
      </c>
    </row>
    <row r="1463" spans="1:5" x14ac:dyDescent="0.35">
      <c r="A1463" s="902" t="str">
        <f t="shared" si="23"/>
        <v/>
      </c>
      <c r="B1463" s="903" t="str">
        <f>IF(Tabulka4[[#This Row],[Typ úlohy]]="Součet",G1463,IF(Tabulka4[[#This Row],[Typ úlohy]]="Účet",B1462,""))</f>
        <v/>
      </c>
      <c r="C1463" s="903" t="str">
        <f>IF(Tabulka4[[#This Row],[Typ úlohy]]="Účet",H1463,"")</f>
        <v/>
      </c>
      <c r="D1463" s="903" t="str">
        <f>IF(Tabulka4[[#This Row],[Typ úlohy]]="Účet",GETPIVOTDATA("Součet z Celková hmotnost položek [kg]",$G$2,"Zkratka kalkulační položky",B1463,"Výrobce / Dodavatel",C1463),"")</f>
        <v/>
      </c>
      <c r="E1463" s="904" t="str">
        <f>IF(Tabulka4[[#This Row],[Typ úlohy]]="Účet",GETPIVOTDATA("Součet z Celková cena bez DPH (CZK)",$G$3,"Zkratka kalkulační položky",B1463,"Výrobce / Dodavatel",C1463),"")</f>
        <v/>
      </c>
    </row>
    <row r="1464" spans="1:5" x14ac:dyDescent="0.35">
      <c r="A1464" s="902" t="str">
        <f t="shared" si="23"/>
        <v/>
      </c>
      <c r="B1464" s="903" t="str">
        <f>IF(Tabulka4[[#This Row],[Typ úlohy]]="Součet",G1464,IF(Tabulka4[[#This Row],[Typ úlohy]]="Účet",B1463,""))</f>
        <v/>
      </c>
      <c r="C1464" s="903" t="str">
        <f>IF(Tabulka4[[#This Row],[Typ úlohy]]="Účet",H1464,"")</f>
        <v/>
      </c>
      <c r="D1464" s="903" t="str">
        <f>IF(Tabulka4[[#This Row],[Typ úlohy]]="Účet",GETPIVOTDATA("Součet z Celková hmotnost položek [kg]",$G$2,"Zkratka kalkulační položky",B1464,"Výrobce / Dodavatel",C1464),"")</f>
        <v/>
      </c>
      <c r="E1464" s="904" t="str">
        <f>IF(Tabulka4[[#This Row],[Typ úlohy]]="Účet",GETPIVOTDATA("Součet z Celková cena bez DPH (CZK)",$G$3,"Zkratka kalkulační položky",B1464,"Výrobce / Dodavatel",C1464),"")</f>
        <v/>
      </c>
    </row>
    <row r="1465" spans="1:5" x14ac:dyDescent="0.35">
      <c r="A1465" s="902" t="str">
        <f t="shared" si="23"/>
        <v/>
      </c>
      <c r="B1465" s="903" t="str">
        <f>IF(Tabulka4[[#This Row],[Typ úlohy]]="Součet",G1465,IF(Tabulka4[[#This Row],[Typ úlohy]]="Účet",B1464,""))</f>
        <v/>
      </c>
      <c r="C1465" s="903" t="str">
        <f>IF(Tabulka4[[#This Row],[Typ úlohy]]="Účet",H1465,"")</f>
        <v/>
      </c>
      <c r="D1465" s="903" t="str">
        <f>IF(Tabulka4[[#This Row],[Typ úlohy]]="Účet",GETPIVOTDATA("Součet z Celková hmotnost položek [kg]",$G$2,"Zkratka kalkulační položky",B1465,"Výrobce / Dodavatel",C1465),"")</f>
        <v/>
      </c>
      <c r="E1465" s="904" t="str">
        <f>IF(Tabulka4[[#This Row],[Typ úlohy]]="Účet",GETPIVOTDATA("Součet z Celková cena bez DPH (CZK)",$G$3,"Zkratka kalkulační položky",B1465,"Výrobce / Dodavatel",C1465),"")</f>
        <v/>
      </c>
    </row>
    <row r="1466" spans="1:5" x14ac:dyDescent="0.35">
      <c r="A1466" s="902" t="str">
        <f t="shared" si="23"/>
        <v/>
      </c>
      <c r="B1466" s="903" t="str">
        <f>IF(Tabulka4[[#This Row],[Typ úlohy]]="Součet",G1466,IF(Tabulka4[[#This Row],[Typ úlohy]]="Účet",B1465,""))</f>
        <v/>
      </c>
      <c r="C1466" s="903" t="str">
        <f>IF(Tabulka4[[#This Row],[Typ úlohy]]="Účet",H1466,"")</f>
        <v/>
      </c>
      <c r="D1466" s="903" t="str">
        <f>IF(Tabulka4[[#This Row],[Typ úlohy]]="Účet",GETPIVOTDATA("Součet z Celková hmotnost položek [kg]",$G$2,"Zkratka kalkulační položky",B1466,"Výrobce / Dodavatel",C1466),"")</f>
        <v/>
      </c>
      <c r="E1466" s="904" t="str">
        <f>IF(Tabulka4[[#This Row],[Typ úlohy]]="Účet",GETPIVOTDATA("Součet z Celková cena bez DPH (CZK)",$G$3,"Zkratka kalkulační položky",B1466,"Výrobce / Dodavatel",C1466),"")</f>
        <v/>
      </c>
    </row>
    <row r="1467" spans="1:5" x14ac:dyDescent="0.35">
      <c r="A1467" s="902" t="str">
        <f t="shared" si="23"/>
        <v/>
      </c>
      <c r="B1467" s="903" t="str">
        <f>IF(Tabulka4[[#This Row],[Typ úlohy]]="Součet",G1467,IF(Tabulka4[[#This Row],[Typ úlohy]]="Účet",B1466,""))</f>
        <v/>
      </c>
      <c r="C1467" s="903" t="str">
        <f>IF(Tabulka4[[#This Row],[Typ úlohy]]="Účet",H1467,"")</f>
        <v/>
      </c>
      <c r="D1467" s="903" t="str">
        <f>IF(Tabulka4[[#This Row],[Typ úlohy]]="Účet",GETPIVOTDATA("Součet z Celková hmotnost položek [kg]",$G$2,"Zkratka kalkulační položky",B1467,"Výrobce / Dodavatel",C1467),"")</f>
        <v/>
      </c>
      <c r="E1467" s="904" t="str">
        <f>IF(Tabulka4[[#This Row],[Typ úlohy]]="Účet",GETPIVOTDATA("Součet z Celková cena bez DPH (CZK)",$G$3,"Zkratka kalkulační položky",B1467,"Výrobce / Dodavatel",C1467),"")</f>
        <v/>
      </c>
    </row>
    <row r="1468" spans="1:5" x14ac:dyDescent="0.35">
      <c r="A1468" s="902" t="str">
        <f t="shared" si="23"/>
        <v/>
      </c>
      <c r="B1468" s="903" t="str">
        <f>IF(Tabulka4[[#This Row],[Typ úlohy]]="Součet",G1468,IF(Tabulka4[[#This Row],[Typ úlohy]]="Účet",B1467,""))</f>
        <v/>
      </c>
      <c r="C1468" s="903" t="str">
        <f>IF(Tabulka4[[#This Row],[Typ úlohy]]="Účet",H1468,"")</f>
        <v/>
      </c>
      <c r="D1468" s="903" t="str">
        <f>IF(Tabulka4[[#This Row],[Typ úlohy]]="Účet",GETPIVOTDATA("Součet z Celková hmotnost položek [kg]",$G$2,"Zkratka kalkulační položky",B1468,"Výrobce / Dodavatel",C1468),"")</f>
        <v/>
      </c>
      <c r="E1468" s="904" t="str">
        <f>IF(Tabulka4[[#This Row],[Typ úlohy]]="Účet",GETPIVOTDATA("Součet z Celková cena bez DPH (CZK)",$G$3,"Zkratka kalkulační položky",B1468,"Výrobce / Dodavatel",C1468),"")</f>
        <v/>
      </c>
    </row>
    <row r="1469" spans="1:5" x14ac:dyDescent="0.35">
      <c r="A1469" s="902" t="str">
        <f t="shared" si="23"/>
        <v/>
      </c>
      <c r="B1469" s="903" t="str">
        <f>IF(Tabulka4[[#This Row],[Typ úlohy]]="Součet",G1469,IF(Tabulka4[[#This Row],[Typ úlohy]]="Účet",B1468,""))</f>
        <v/>
      </c>
      <c r="C1469" s="903" t="str">
        <f>IF(Tabulka4[[#This Row],[Typ úlohy]]="Účet",H1469,"")</f>
        <v/>
      </c>
      <c r="D1469" s="903" t="str">
        <f>IF(Tabulka4[[#This Row],[Typ úlohy]]="Účet",GETPIVOTDATA("Součet z Celková hmotnost položek [kg]",$G$2,"Zkratka kalkulační položky",B1469,"Výrobce / Dodavatel",C1469),"")</f>
        <v/>
      </c>
      <c r="E1469" s="904" t="str">
        <f>IF(Tabulka4[[#This Row],[Typ úlohy]]="Účet",GETPIVOTDATA("Součet z Celková cena bez DPH (CZK)",$G$3,"Zkratka kalkulační položky",B1469,"Výrobce / Dodavatel",C1469),"")</f>
        <v/>
      </c>
    </row>
    <row r="1470" spans="1:5" x14ac:dyDescent="0.35">
      <c r="A1470" s="902" t="str">
        <f t="shared" si="23"/>
        <v/>
      </c>
      <c r="B1470" s="903" t="str">
        <f>IF(Tabulka4[[#This Row],[Typ úlohy]]="Součet",G1470,IF(Tabulka4[[#This Row],[Typ úlohy]]="Účet",B1469,""))</f>
        <v/>
      </c>
      <c r="C1470" s="903" t="str">
        <f>IF(Tabulka4[[#This Row],[Typ úlohy]]="Účet",H1470,"")</f>
        <v/>
      </c>
      <c r="D1470" s="903" t="str">
        <f>IF(Tabulka4[[#This Row],[Typ úlohy]]="Účet",GETPIVOTDATA("Součet z Celková hmotnost položek [kg]",$G$2,"Zkratka kalkulační položky",B1470,"Výrobce / Dodavatel",C1470),"")</f>
        <v/>
      </c>
      <c r="E1470" s="904" t="str">
        <f>IF(Tabulka4[[#This Row],[Typ úlohy]]="Účet",GETPIVOTDATA("Součet z Celková cena bez DPH (CZK)",$G$3,"Zkratka kalkulační položky",B1470,"Výrobce / Dodavatel",C1470),"")</f>
        <v/>
      </c>
    </row>
    <row r="1471" spans="1:5" x14ac:dyDescent="0.35">
      <c r="A1471" s="902" t="str">
        <f t="shared" si="23"/>
        <v/>
      </c>
      <c r="B1471" s="903" t="str">
        <f>IF(Tabulka4[[#This Row],[Typ úlohy]]="Součet",G1471,IF(Tabulka4[[#This Row],[Typ úlohy]]="Účet",B1470,""))</f>
        <v/>
      </c>
      <c r="C1471" s="903" t="str">
        <f>IF(Tabulka4[[#This Row],[Typ úlohy]]="Účet",H1471,"")</f>
        <v/>
      </c>
      <c r="D1471" s="903" t="str">
        <f>IF(Tabulka4[[#This Row],[Typ úlohy]]="Účet",GETPIVOTDATA("Součet z Celková hmotnost položek [kg]",$G$2,"Zkratka kalkulační položky",B1471,"Výrobce / Dodavatel",C1471),"")</f>
        <v/>
      </c>
      <c r="E1471" s="904" t="str">
        <f>IF(Tabulka4[[#This Row],[Typ úlohy]]="Účet",GETPIVOTDATA("Součet z Celková cena bez DPH (CZK)",$G$3,"Zkratka kalkulační položky",B1471,"Výrobce / Dodavatel",C1471),"")</f>
        <v/>
      </c>
    </row>
    <row r="1472" spans="1:5" x14ac:dyDescent="0.35">
      <c r="A1472" s="902" t="str">
        <f t="shared" si="23"/>
        <v/>
      </c>
      <c r="B1472" s="903" t="str">
        <f>IF(Tabulka4[[#This Row],[Typ úlohy]]="Součet",G1472,IF(Tabulka4[[#This Row],[Typ úlohy]]="Účet",B1471,""))</f>
        <v/>
      </c>
      <c r="C1472" s="903" t="str">
        <f>IF(Tabulka4[[#This Row],[Typ úlohy]]="Účet",H1472,"")</f>
        <v/>
      </c>
      <c r="D1472" s="903" t="str">
        <f>IF(Tabulka4[[#This Row],[Typ úlohy]]="Účet",GETPIVOTDATA("Součet z Celková hmotnost položek [kg]",$G$2,"Zkratka kalkulační položky",B1472,"Výrobce / Dodavatel",C1472),"")</f>
        <v/>
      </c>
      <c r="E1472" s="904" t="str">
        <f>IF(Tabulka4[[#This Row],[Typ úlohy]]="Účet",GETPIVOTDATA("Součet z Celková cena bez DPH (CZK)",$G$3,"Zkratka kalkulační položky",B1472,"Výrobce / Dodavatel",C1472),"")</f>
        <v/>
      </c>
    </row>
    <row r="1473" spans="1:5" x14ac:dyDescent="0.35">
      <c r="A1473" s="902" t="str">
        <f t="shared" si="23"/>
        <v/>
      </c>
      <c r="B1473" s="903" t="str">
        <f>IF(Tabulka4[[#This Row],[Typ úlohy]]="Součet",G1473,IF(Tabulka4[[#This Row],[Typ úlohy]]="Účet",B1472,""))</f>
        <v/>
      </c>
      <c r="C1473" s="903" t="str">
        <f>IF(Tabulka4[[#This Row],[Typ úlohy]]="Účet",H1473,"")</f>
        <v/>
      </c>
      <c r="D1473" s="903" t="str">
        <f>IF(Tabulka4[[#This Row],[Typ úlohy]]="Účet",GETPIVOTDATA("Součet z Celková hmotnost položek [kg]",$G$2,"Zkratka kalkulační položky",B1473,"Výrobce / Dodavatel",C1473),"")</f>
        <v/>
      </c>
      <c r="E1473" s="904" t="str">
        <f>IF(Tabulka4[[#This Row],[Typ úlohy]]="Účet",GETPIVOTDATA("Součet z Celková cena bez DPH (CZK)",$G$3,"Zkratka kalkulační položky",B1473,"Výrobce / Dodavatel",C1473),"")</f>
        <v/>
      </c>
    </row>
    <row r="1474" spans="1:5" x14ac:dyDescent="0.35">
      <c r="A1474" s="902" t="str">
        <f t="shared" si="23"/>
        <v/>
      </c>
      <c r="B1474" s="903" t="str">
        <f>IF(Tabulka4[[#This Row],[Typ úlohy]]="Součet",G1474,IF(Tabulka4[[#This Row],[Typ úlohy]]="Účet",B1473,""))</f>
        <v/>
      </c>
      <c r="C1474" s="903" t="str">
        <f>IF(Tabulka4[[#This Row],[Typ úlohy]]="Účet",H1474,"")</f>
        <v/>
      </c>
      <c r="D1474" s="903" t="str">
        <f>IF(Tabulka4[[#This Row],[Typ úlohy]]="Účet",GETPIVOTDATA("Součet z Celková hmotnost položek [kg]",$G$2,"Zkratka kalkulační položky",B1474,"Výrobce / Dodavatel",C1474),"")</f>
        <v/>
      </c>
      <c r="E1474" s="904" t="str">
        <f>IF(Tabulka4[[#This Row],[Typ úlohy]]="Účet",GETPIVOTDATA("Součet z Celková cena bez DPH (CZK)",$G$3,"Zkratka kalkulační položky",B1474,"Výrobce / Dodavatel",C1474),"")</f>
        <v/>
      </c>
    </row>
    <row r="1475" spans="1:5" x14ac:dyDescent="0.35">
      <c r="A1475" s="902" t="str">
        <f t="shared" si="23"/>
        <v/>
      </c>
      <c r="B1475" s="903" t="str">
        <f>IF(Tabulka4[[#This Row],[Typ úlohy]]="Součet",G1475,IF(Tabulka4[[#This Row],[Typ úlohy]]="Účet",B1474,""))</f>
        <v/>
      </c>
      <c r="C1475" s="903" t="str">
        <f>IF(Tabulka4[[#This Row],[Typ úlohy]]="Účet",H1475,"")</f>
        <v/>
      </c>
      <c r="D1475" s="903" t="str">
        <f>IF(Tabulka4[[#This Row],[Typ úlohy]]="Účet",GETPIVOTDATA("Součet z Celková hmotnost položek [kg]",$G$2,"Zkratka kalkulační položky",B1475,"Výrobce / Dodavatel",C1475),"")</f>
        <v/>
      </c>
      <c r="E1475" s="904" t="str">
        <f>IF(Tabulka4[[#This Row],[Typ úlohy]]="Účet",GETPIVOTDATA("Součet z Celková cena bez DPH (CZK)",$G$3,"Zkratka kalkulační položky",B1475,"Výrobce / Dodavatel",C1475),"")</f>
        <v/>
      </c>
    </row>
    <row r="1476" spans="1:5" x14ac:dyDescent="0.35">
      <c r="A1476" s="902" t="str">
        <f t="shared" si="23"/>
        <v/>
      </c>
      <c r="B1476" s="903" t="str">
        <f>IF(Tabulka4[[#This Row],[Typ úlohy]]="Součet",G1476,IF(Tabulka4[[#This Row],[Typ úlohy]]="Účet",B1475,""))</f>
        <v/>
      </c>
      <c r="C1476" s="903" t="str">
        <f>IF(Tabulka4[[#This Row],[Typ úlohy]]="Účet",H1476,"")</f>
        <v/>
      </c>
      <c r="D1476" s="903" t="str">
        <f>IF(Tabulka4[[#This Row],[Typ úlohy]]="Účet",GETPIVOTDATA("Součet z Celková hmotnost položek [kg]",$G$2,"Zkratka kalkulační položky",B1476,"Výrobce / Dodavatel",C1476),"")</f>
        <v/>
      </c>
      <c r="E1476" s="904" t="str">
        <f>IF(Tabulka4[[#This Row],[Typ úlohy]]="Účet",GETPIVOTDATA("Součet z Celková cena bez DPH (CZK)",$G$3,"Zkratka kalkulační položky",B1476,"Výrobce / Dodavatel",C1476),"")</f>
        <v/>
      </c>
    </row>
    <row r="1477" spans="1:5" x14ac:dyDescent="0.35">
      <c r="A1477" s="902" t="str">
        <f t="shared" ref="A1477:A1500" si="24">IF(H1477="",IF(G1477="","","Součet"),"Účet")</f>
        <v/>
      </c>
      <c r="B1477" s="903" t="str">
        <f>IF(Tabulka4[[#This Row],[Typ úlohy]]="Součet",G1477,IF(Tabulka4[[#This Row],[Typ úlohy]]="Účet",B1476,""))</f>
        <v/>
      </c>
      <c r="C1477" s="903" t="str">
        <f>IF(Tabulka4[[#This Row],[Typ úlohy]]="Účet",H1477,"")</f>
        <v/>
      </c>
      <c r="D1477" s="903" t="str">
        <f>IF(Tabulka4[[#This Row],[Typ úlohy]]="Účet",GETPIVOTDATA("Součet z Celková hmotnost položek [kg]",$G$2,"Zkratka kalkulační položky",B1477,"Výrobce / Dodavatel",C1477),"")</f>
        <v/>
      </c>
      <c r="E1477" s="904" t="str">
        <f>IF(Tabulka4[[#This Row],[Typ úlohy]]="Účet",GETPIVOTDATA("Součet z Celková cena bez DPH (CZK)",$G$3,"Zkratka kalkulační položky",B1477,"Výrobce / Dodavatel",C1477),"")</f>
        <v/>
      </c>
    </row>
    <row r="1478" spans="1:5" x14ac:dyDescent="0.35">
      <c r="A1478" s="902" t="str">
        <f t="shared" si="24"/>
        <v/>
      </c>
      <c r="B1478" s="903" t="str">
        <f>IF(Tabulka4[[#This Row],[Typ úlohy]]="Součet",G1478,IF(Tabulka4[[#This Row],[Typ úlohy]]="Účet",B1477,""))</f>
        <v/>
      </c>
      <c r="C1478" s="903" t="str">
        <f>IF(Tabulka4[[#This Row],[Typ úlohy]]="Účet",H1478,"")</f>
        <v/>
      </c>
      <c r="D1478" s="903" t="str">
        <f>IF(Tabulka4[[#This Row],[Typ úlohy]]="Účet",GETPIVOTDATA("Součet z Celková hmotnost položek [kg]",$G$2,"Zkratka kalkulační položky",B1478,"Výrobce / Dodavatel",C1478),"")</f>
        <v/>
      </c>
      <c r="E1478" s="904" t="str">
        <f>IF(Tabulka4[[#This Row],[Typ úlohy]]="Účet",GETPIVOTDATA("Součet z Celková cena bez DPH (CZK)",$G$3,"Zkratka kalkulační položky",B1478,"Výrobce / Dodavatel",C1478),"")</f>
        <v/>
      </c>
    </row>
    <row r="1479" spans="1:5" x14ac:dyDescent="0.35">
      <c r="A1479" s="902" t="str">
        <f t="shared" si="24"/>
        <v/>
      </c>
      <c r="B1479" s="903" t="str">
        <f>IF(Tabulka4[[#This Row],[Typ úlohy]]="Součet",G1479,IF(Tabulka4[[#This Row],[Typ úlohy]]="Účet",B1478,""))</f>
        <v/>
      </c>
      <c r="C1479" s="903" t="str">
        <f>IF(Tabulka4[[#This Row],[Typ úlohy]]="Účet",H1479,"")</f>
        <v/>
      </c>
      <c r="D1479" s="903" t="str">
        <f>IF(Tabulka4[[#This Row],[Typ úlohy]]="Účet",GETPIVOTDATA("Součet z Celková hmotnost položek [kg]",$G$2,"Zkratka kalkulační položky",B1479,"Výrobce / Dodavatel",C1479),"")</f>
        <v/>
      </c>
      <c r="E1479" s="904" t="str">
        <f>IF(Tabulka4[[#This Row],[Typ úlohy]]="Účet",GETPIVOTDATA("Součet z Celková cena bez DPH (CZK)",$G$3,"Zkratka kalkulační položky",B1479,"Výrobce / Dodavatel",C1479),"")</f>
        <v/>
      </c>
    </row>
    <row r="1480" spans="1:5" x14ac:dyDescent="0.35">
      <c r="A1480" s="902" t="str">
        <f t="shared" si="24"/>
        <v/>
      </c>
      <c r="B1480" s="903" t="str">
        <f>IF(Tabulka4[[#This Row],[Typ úlohy]]="Součet",G1480,IF(Tabulka4[[#This Row],[Typ úlohy]]="Účet",B1479,""))</f>
        <v/>
      </c>
      <c r="C1480" s="903" t="str">
        <f>IF(Tabulka4[[#This Row],[Typ úlohy]]="Účet",H1480,"")</f>
        <v/>
      </c>
      <c r="D1480" s="903" t="str">
        <f>IF(Tabulka4[[#This Row],[Typ úlohy]]="Účet",GETPIVOTDATA("Součet z Celková hmotnost položek [kg]",$G$2,"Zkratka kalkulační položky",B1480,"Výrobce / Dodavatel",C1480),"")</f>
        <v/>
      </c>
      <c r="E1480" s="904" t="str">
        <f>IF(Tabulka4[[#This Row],[Typ úlohy]]="Účet",GETPIVOTDATA("Součet z Celková cena bez DPH (CZK)",$G$3,"Zkratka kalkulační položky",B1480,"Výrobce / Dodavatel",C1480),"")</f>
        <v/>
      </c>
    </row>
    <row r="1481" spans="1:5" x14ac:dyDescent="0.35">
      <c r="A1481" s="902" t="str">
        <f t="shared" si="24"/>
        <v/>
      </c>
      <c r="B1481" s="903" t="str">
        <f>IF(Tabulka4[[#This Row],[Typ úlohy]]="Součet",G1481,IF(Tabulka4[[#This Row],[Typ úlohy]]="Účet",B1480,""))</f>
        <v/>
      </c>
      <c r="C1481" s="903" t="str">
        <f>IF(Tabulka4[[#This Row],[Typ úlohy]]="Účet",H1481,"")</f>
        <v/>
      </c>
      <c r="D1481" s="903" t="str">
        <f>IF(Tabulka4[[#This Row],[Typ úlohy]]="Účet",GETPIVOTDATA("Součet z Celková hmotnost položek [kg]",$G$2,"Zkratka kalkulační položky",B1481,"Výrobce / Dodavatel",C1481),"")</f>
        <v/>
      </c>
      <c r="E1481" s="904" t="str">
        <f>IF(Tabulka4[[#This Row],[Typ úlohy]]="Účet",GETPIVOTDATA("Součet z Celková cena bez DPH (CZK)",$G$3,"Zkratka kalkulační položky",B1481,"Výrobce / Dodavatel",C1481),"")</f>
        <v/>
      </c>
    </row>
    <row r="1482" spans="1:5" x14ac:dyDescent="0.35">
      <c r="A1482" s="902" t="str">
        <f t="shared" si="24"/>
        <v/>
      </c>
      <c r="B1482" s="903" t="str">
        <f>IF(Tabulka4[[#This Row],[Typ úlohy]]="Součet",G1482,IF(Tabulka4[[#This Row],[Typ úlohy]]="Účet",B1481,""))</f>
        <v/>
      </c>
      <c r="C1482" s="903" t="str">
        <f>IF(Tabulka4[[#This Row],[Typ úlohy]]="Účet",H1482,"")</f>
        <v/>
      </c>
      <c r="D1482" s="903" t="str">
        <f>IF(Tabulka4[[#This Row],[Typ úlohy]]="Účet",GETPIVOTDATA("Součet z Celková hmotnost položek [kg]",$G$2,"Zkratka kalkulační položky",B1482,"Výrobce / Dodavatel",C1482),"")</f>
        <v/>
      </c>
      <c r="E1482" s="904" t="str">
        <f>IF(Tabulka4[[#This Row],[Typ úlohy]]="Účet",GETPIVOTDATA("Součet z Celková cena bez DPH (CZK)",$G$3,"Zkratka kalkulační položky",B1482,"Výrobce / Dodavatel",C1482),"")</f>
        <v/>
      </c>
    </row>
    <row r="1483" spans="1:5" x14ac:dyDescent="0.35">
      <c r="A1483" s="902" t="str">
        <f t="shared" si="24"/>
        <v/>
      </c>
      <c r="B1483" s="903" t="str">
        <f>IF(Tabulka4[[#This Row],[Typ úlohy]]="Součet",G1483,IF(Tabulka4[[#This Row],[Typ úlohy]]="Účet",B1482,""))</f>
        <v/>
      </c>
      <c r="C1483" s="903" t="str">
        <f>IF(Tabulka4[[#This Row],[Typ úlohy]]="Účet",H1483,"")</f>
        <v/>
      </c>
      <c r="D1483" s="903" t="str">
        <f>IF(Tabulka4[[#This Row],[Typ úlohy]]="Účet",GETPIVOTDATA("Součet z Celková hmotnost položek [kg]",$G$2,"Zkratka kalkulační položky",B1483,"Výrobce / Dodavatel",C1483),"")</f>
        <v/>
      </c>
      <c r="E1483" s="904" t="str">
        <f>IF(Tabulka4[[#This Row],[Typ úlohy]]="Účet",GETPIVOTDATA("Součet z Celková cena bez DPH (CZK)",$G$3,"Zkratka kalkulační položky",B1483,"Výrobce / Dodavatel",C1483),"")</f>
        <v/>
      </c>
    </row>
    <row r="1484" spans="1:5" x14ac:dyDescent="0.35">
      <c r="A1484" s="902" t="str">
        <f t="shared" si="24"/>
        <v/>
      </c>
      <c r="B1484" s="903" t="str">
        <f>IF(Tabulka4[[#This Row],[Typ úlohy]]="Součet",G1484,IF(Tabulka4[[#This Row],[Typ úlohy]]="Účet",B1483,""))</f>
        <v/>
      </c>
      <c r="C1484" s="903" t="str">
        <f>IF(Tabulka4[[#This Row],[Typ úlohy]]="Účet",H1484,"")</f>
        <v/>
      </c>
      <c r="D1484" s="903" t="str">
        <f>IF(Tabulka4[[#This Row],[Typ úlohy]]="Účet",GETPIVOTDATA("Součet z Celková hmotnost položek [kg]",$G$2,"Zkratka kalkulační položky",B1484,"Výrobce / Dodavatel",C1484),"")</f>
        <v/>
      </c>
      <c r="E1484" s="904" t="str">
        <f>IF(Tabulka4[[#This Row],[Typ úlohy]]="Účet",GETPIVOTDATA("Součet z Celková cena bez DPH (CZK)",$G$3,"Zkratka kalkulační položky",B1484,"Výrobce / Dodavatel",C1484),"")</f>
        <v/>
      </c>
    </row>
    <row r="1485" spans="1:5" x14ac:dyDescent="0.35">
      <c r="A1485" s="902" t="str">
        <f t="shared" si="24"/>
        <v/>
      </c>
      <c r="B1485" s="903" t="str">
        <f>IF(Tabulka4[[#This Row],[Typ úlohy]]="Součet",G1485,IF(Tabulka4[[#This Row],[Typ úlohy]]="Účet",B1484,""))</f>
        <v/>
      </c>
      <c r="C1485" s="903" t="str">
        <f>IF(Tabulka4[[#This Row],[Typ úlohy]]="Účet",H1485,"")</f>
        <v/>
      </c>
      <c r="D1485" s="903" t="str">
        <f>IF(Tabulka4[[#This Row],[Typ úlohy]]="Účet",GETPIVOTDATA("Součet z Celková hmotnost položek [kg]",$G$2,"Zkratka kalkulační položky",B1485,"Výrobce / Dodavatel",C1485),"")</f>
        <v/>
      </c>
      <c r="E1485" s="904" t="str">
        <f>IF(Tabulka4[[#This Row],[Typ úlohy]]="Účet",GETPIVOTDATA("Součet z Celková cena bez DPH (CZK)",$G$3,"Zkratka kalkulační položky",B1485,"Výrobce / Dodavatel",C1485),"")</f>
        <v/>
      </c>
    </row>
    <row r="1486" spans="1:5" x14ac:dyDescent="0.35">
      <c r="A1486" s="902" t="str">
        <f t="shared" si="24"/>
        <v/>
      </c>
      <c r="B1486" s="903" t="str">
        <f>IF(Tabulka4[[#This Row],[Typ úlohy]]="Součet",G1486,IF(Tabulka4[[#This Row],[Typ úlohy]]="Účet",B1485,""))</f>
        <v/>
      </c>
      <c r="C1486" s="903" t="str">
        <f>IF(Tabulka4[[#This Row],[Typ úlohy]]="Účet",H1486,"")</f>
        <v/>
      </c>
      <c r="D1486" s="903" t="str">
        <f>IF(Tabulka4[[#This Row],[Typ úlohy]]="Účet",GETPIVOTDATA("Součet z Celková hmotnost položek [kg]",$G$2,"Zkratka kalkulační položky",B1486,"Výrobce / Dodavatel",C1486),"")</f>
        <v/>
      </c>
      <c r="E1486" s="904" t="str">
        <f>IF(Tabulka4[[#This Row],[Typ úlohy]]="Účet",GETPIVOTDATA("Součet z Celková cena bez DPH (CZK)",$G$3,"Zkratka kalkulační položky",B1486,"Výrobce / Dodavatel",C1486),"")</f>
        <v/>
      </c>
    </row>
    <row r="1487" spans="1:5" x14ac:dyDescent="0.35">
      <c r="A1487" s="902" t="str">
        <f t="shared" si="24"/>
        <v/>
      </c>
      <c r="B1487" s="903" t="str">
        <f>IF(Tabulka4[[#This Row],[Typ úlohy]]="Součet",G1487,IF(Tabulka4[[#This Row],[Typ úlohy]]="Účet",B1486,""))</f>
        <v/>
      </c>
      <c r="C1487" s="903" t="str">
        <f>IF(Tabulka4[[#This Row],[Typ úlohy]]="Účet",H1487,"")</f>
        <v/>
      </c>
      <c r="D1487" s="903" t="str">
        <f>IF(Tabulka4[[#This Row],[Typ úlohy]]="Účet",GETPIVOTDATA("Součet z Celková hmotnost položek [kg]",$G$2,"Zkratka kalkulační položky",B1487,"Výrobce / Dodavatel",C1487),"")</f>
        <v/>
      </c>
      <c r="E1487" s="904" t="str">
        <f>IF(Tabulka4[[#This Row],[Typ úlohy]]="Účet",GETPIVOTDATA("Součet z Celková cena bez DPH (CZK)",$G$3,"Zkratka kalkulační položky",B1487,"Výrobce / Dodavatel",C1487),"")</f>
        <v/>
      </c>
    </row>
    <row r="1488" spans="1:5" x14ac:dyDescent="0.35">
      <c r="A1488" s="902" t="str">
        <f t="shared" si="24"/>
        <v/>
      </c>
      <c r="B1488" s="903" t="str">
        <f>IF(Tabulka4[[#This Row],[Typ úlohy]]="Součet",G1488,IF(Tabulka4[[#This Row],[Typ úlohy]]="Účet",B1487,""))</f>
        <v/>
      </c>
      <c r="C1488" s="903" t="str">
        <f>IF(Tabulka4[[#This Row],[Typ úlohy]]="Účet",H1488,"")</f>
        <v/>
      </c>
      <c r="D1488" s="903" t="str">
        <f>IF(Tabulka4[[#This Row],[Typ úlohy]]="Účet",GETPIVOTDATA("Součet z Celková hmotnost položek [kg]",$G$2,"Zkratka kalkulační položky",B1488,"Výrobce / Dodavatel",C1488),"")</f>
        <v/>
      </c>
      <c r="E1488" s="904" t="str">
        <f>IF(Tabulka4[[#This Row],[Typ úlohy]]="Účet",GETPIVOTDATA("Součet z Celková cena bez DPH (CZK)",$G$3,"Zkratka kalkulační položky",B1488,"Výrobce / Dodavatel",C1488),"")</f>
        <v/>
      </c>
    </row>
    <row r="1489" spans="1:5" x14ac:dyDescent="0.35">
      <c r="A1489" s="902" t="str">
        <f t="shared" si="24"/>
        <v/>
      </c>
      <c r="B1489" s="903" t="str">
        <f>IF(Tabulka4[[#This Row],[Typ úlohy]]="Součet",G1489,IF(Tabulka4[[#This Row],[Typ úlohy]]="Účet",B1488,""))</f>
        <v/>
      </c>
      <c r="C1489" s="903" t="str">
        <f>IF(Tabulka4[[#This Row],[Typ úlohy]]="Účet",H1489,"")</f>
        <v/>
      </c>
      <c r="D1489" s="903" t="str">
        <f>IF(Tabulka4[[#This Row],[Typ úlohy]]="Účet",GETPIVOTDATA("Součet z Celková hmotnost položek [kg]",$G$2,"Zkratka kalkulační položky",B1489,"Výrobce / Dodavatel",C1489),"")</f>
        <v/>
      </c>
      <c r="E1489" s="904" t="str">
        <f>IF(Tabulka4[[#This Row],[Typ úlohy]]="Účet",GETPIVOTDATA("Součet z Celková cena bez DPH (CZK)",$G$3,"Zkratka kalkulační položky",B1489,"Výrobce / Dodavatel",C1489),"")</f>
        <v/>
      </c>
    </row>
    <row r="1490" spans="1:5" x14ac:dyDescent="0.35">
      <c r="A1490" s="902" t="str">
        <f t="shared" si="24"/>
        <v/>
      </c>
      <c r="B1490" s="903" t="str">
        <f>IF(Tabulka4[[#This Row],[Typ úlohy]]="Součet",G1490,IF(Tabulka4[[#This Row],[Typ úlohy]]="Účet",B1489,""))</f>
        <v/>
      </c>
      <c r="C1490" s="903" t="str">
        <f>IF(Tabulka4[[#This Row],[Typ úlohy]]="Účet",H1490,"")</f>
        <v/>
      </c>
      <c r="D1490" s="903" t="str">
        <f>IF(Tabulka4[[#This Row],[Typ úlohy]]="Účet",GETPIVOTDATA("Součet z Celková hmotnost položek [kg]",$G$2,"Zkratka kalkulační položky",B1490,"Výrobce / Dodavatel",C1490),"")</f>
        <v/>
      </c>
      <c r="E1490" s="904" t="str">
        <f>IF(Tabulka4[[#This Row],[Typ úlohy]]="Účet",GETPIVOTDATA("Součet z Celková cena bez DPH (CZK)",$G$3,"Zkratka kalkulační položky",B1490,"Výrobce / Dodavatel",C1490),"")</f>
        <v/>
      </c>
    </row>
    <row r="1491" spans="1:5" x14ac:dyDescent="0.35">
      <c r="A1491" s="902" t="str">
        <f t="shared" si="24"/>
        <v/>
      </c>
      <c r="B1491" s="903" t="str">
        <f>IF(Tabulka4[[#This Row],[Typ úlohy]]="Součet",G1491,IF(Tabulka4[[#This Row],[Typ úlohy]]="Účet",B1490,""))</f>
        <v/>
      </c>
      <c r="C1491" s="903" t="str">
        <f>IF(Tabulka4[[#This Row],[Typ úlohy]]="Účet",H1491,"")</f>
        <v/>
      </c>
      <c r="D1491" s="903" t="str">
        <f>IF(Tabulka4[[#This Row],[Typ úlohy]]="Účet",GETPIVOTDATA("Součet z Celková hmotnost položek [kg]",$G$2,"Zkratka kalkulační položky",B1491,"Výrobce / Dodavatel",C1491),"")</f>
        <v/>
      </c>
      <c r="E1491" s="904" t="str">
        <f>IF(Tabulka4[[#This Row],[Typ úlohy]]="Účet",GETPIVOTDATA("Součet z Celková cena bez DPH (CZK)",$G$3,"Zkratka kalkulační položky",B1491,"Výrobce / Dodavatel",C1491),"")</f>
        <v/>
      </c>
    </row>
    <row r="1492" spans="1:5" x14ac:dyDescent="0.35">
      <c r="A1492" s="902" t="str">
        <f t="shared" si="24"/>
        <v/>
      </c>
      <c r="B1492" s="903" t="str">
        <f>IF(Tabulka4[[#This Row],[Typ úlohy]]="Součet",G1492,IF(Tabulka4[[#This Row],[Typ úlohy]]="Účet",B1491,""))</f>
        <v/>
      </c>
      <c r="C1492" s="903" t="str">
        <f>IF(Tabulka4[[#This Row],[Typ úlohy]]="Účet",H1492,"")</f>
        <v/>
      </c>
      <c r="D1492" s="903" t="str">
        <f>IF(Tabulka4[[#This Row],[Typ úlohy]]="Účet",GETPIVOTDATA("Součet z Celková hmotnost položek [kg]",$G$2,"Zkratka kalkulační položky",B1492,"Výrobce / Dodavatel",C1492),"")</f>
        <v/>
      </c>
      <c r="E1492" s="904" t="str">
        <f>IF(Tabulka4[[#This Row],[Typ úlohy]]="Účet",GETPIVOTDATA("Součet z Celková cena bez DPH (CZK)",$G$3,"Zkratka kalkulační položky",B1492,"Výrobce / Dodavatel",C1492),"")</f>
        <v/>
      </c>
    </row>
    <row r="1493" spans="1:5" x14ac:dyDescent="0.35">
      <c r="A1493" s="902" t="str">
        <f t="shared" si="24"/>
        <v/>
      </c>
      <c r="B1493" s="903" t="str">
        <f>IF(Tabulka4[[#This Row],[Typ úlohy]]="Součet",G1493,IF(Tabulka4[[#This Row],[Typ úlohy]]="Účet",B1492,""))</f>
        <v/>
      </c>
      <c r="C1493" s="903" t="str">
        <f>IF(Tabulka4[[#This Row],[Typ úlohy]]="Účet",H1493,"")</f>
        <v/>
      </c>
      <c r="D1493" s="903" t="str">
        <f>IF(Tabulka4[[#This Row],[Typ úlohy]]="Účet",GETPIVOTDATA("Součet z Celková hmotnost položek [kg]",$G$2,"Zkratka kalkulační položky",B1493,"Výrobce / Dodavatel",C1493),"")</f>
        <v/>
      </c>
      <c r="E1493" s="904" t="str">
        <f>IF(Tabulka4[[#This Row],[Typ úlohy]]="Účet",GETPIVOTDATA("Součet z Celková cena bez DPH (CZK)",$G$3,"Zkratka kalkulační položky",B1493,"Výrobce / Dodavatel",C1493),"")</f>
        <v/>
      </c>
    </row>
    <row r="1494" spans="1:5" x14ac:dyDescent="0.35">
      <c r="A1494" s="902" t="str">
        <f t="shared" si="24"/>
        <v/>
      </c>
      <c r="B1494" s="903" t="str">
        <f>IF(Tabulka4[[#This Row],[Typ úlohy]]="Součet",G1494,IF(Tabulka4[[#This Row],[Typ úlohy]]="Účet",B1493,""))</f>
        <v/>
      </c>
      <c r="C1494" s="903" t="str">
        <f>IF(Tabulka4[[#This Row],[Typ úlohy]]="Účet",H1494,"")</f>
        <v/>
      </c>
      <c r="D1494" s="903" t="str">
        <f>IF(Tabulka4[[#This Row],[Typ úlohy]]="Účet",GETPIVOTDATA("Součet z Celková hmotnost položek [kg]",$G$2,"Zkratka kalkulační položky",B1494,"Výrobce / Dodavatel",C1494),"")</f>
        <v/>
      </c>
      <c r="E1494" s="904" t="str">
        <f>IF(Tabulka4[[#This Row],[Typ úlohy]]="Účet",GETPIVOTDATA("Součet z Celková cena bez DPH (CZK)",$G$3,"Zkratka kalkulační položky",B1494,"Výrobce / Dodavatel",C1494),"")</f>
        <v/>
      </c>
    </row>
    <row r="1495" spans="1:5" x14ac:dyDescent="0.35">
      <c r="A1495" s="902" t="str">
        <f t="shared" si="24"/>
        <v/>
      </c>
      <c r="B1495" s="903" t="str">
        <f>IF(Tabulka4[[#This Row],[Typ úlohy]]="Součet",G1495,IF(Tabulka4[[#This Row],[Typ úlohy]]="Účet",B1494,""))</f>
        <v/>
      </c>
      <c r="C1495" s="903" t="str">
        <f>IF(Tabulka4[[#This Row],[Typ úlohy]]="Účet",H1495,"")</f>
        <v/>
      </c>
      <c r="D1495" s="903" t="str">
        <f>IF(Tabulka4[[#This Row],[Typ úlohy]]="Účet",GETPIVOTDATA("Součet z Celková hmotnost položek [kg]",$G$2,"Zkratka kalkulační položky",B1495,"Výrobce / Dodavatel",C1495),"")</f>
        <v/>
      </c>
      <c r="E1495" s="904" t="str">
        <f>IF(Tabulka4[[#This Row],[Typ úlohy]]="Účet",GETPIVOTDATA("Součet z Celková cena bez DPH (CZK)",$G$3,"Zkratka kalkulační položky",B1495,"Výrobce / Dodavatel",C1495),"")</f>
        <v/>
      </c>
    </row>
    <row r="1496" spans="1:5" x14ac:dyDescent="0.35">
      <c r="A1496" s="902" t="str">
        <f t="shared" si="24"/>
        <v/>
      </c>
      <c r="B1496" s="903" t="str">
        <f>IF(Tabulka4[[#This Row],[Typ úlohy]]="Součet",G1496,IF(Tabulka4[[#This Row],[Typ úlohy]]="Účet",B1495,""))</f>
        <v/>
      </c>
      <c r="C1496" s="903" t="str">
        <f>IF(Tabulka4[[#This Row],[Typ úlohy]]="Účet",H1496,"")</f>
        <v/>
      </c>
      <c r="D1496" s="903" t="str">
        <f>IF(Tabulka4[[#This Row],[Typ úlohy]]="Účet",GETPIVOTDATA("Součet z Celková hmotnost položek [kg]",$G$2,"Zkratka kalkulační položky",B1496,"Výrobce / Dodavatel",C1496),"")</f>
        <v/>
      </c>
      <c r="E1496" s="904" t="str">
        <f>IF(Tabulka4[[#This Row],[Typ úlohy]]="Účet",GETPIVOTDATA("Součet z Celková cena bez DPH (CZK)",$G$3,"Zkratka kalkulační položky",B1496,"Výrobce / Dodavatel",C1496),"")</f>
        <v/>
      </c>
    </row>
    <row r="1497" spans="1:5" x14ac:dyDescent="0.35">
      <c r="A1497" s="902" t="str">
        <f t="shared" si="24"/>
        <v/>
      </c>
      <c r="B1497" s="903" t="str">
        <f>IF(Tabulka4[[#This Row],[Typ úlohy]]="Součet",G1497,IF(Tabulka4[[#This Row],[Typ úlohy]]="Účet",B1496,""))</f>
        <v/>
      </c>
      <c r="C1497" s="903" t="str">
        <f>IF(Tabulka4[[#This Row],[Typ úlohy]]="Účet",H1497,"")</f>
        <v/>
      </c>
      <c r="D1497" s="903" t="str">
        <f>IF(Tabulka4[[#This Row],[Typ úlohy]]="Účet",GETPIVOTDATA("Součet z Celková hmotnost položek [kg]",$G$2,"Zkratka kalkulační položky",B1497,"Výrobce / Dodavatel",C1497),"")</f>
        <v/>
      </c>
      <c r="E1497" s="904" t="str">
        <f>IF(Tabulka4[[#This Row],[Typ úlohy]]="Účet",GETPIVOTDATA("Součet z Celková cena bez DPH (CZK)",$G$3,"Zkratka kalkulační položky",B1497,"Výrobce / Dodavatel",C1497),"")</f>
        <v/>
      </c>
    </row>
    <row r="1498" spans="1:5" x14ac:dyDescent="0.35">
      <c r="A1498" s="902" t="str">
        <f t="shared" si="24"/>
        <v/>
      </c>
      <c r="B1498" s="903" t="str">
        <f>IF(Tabulka4[[#This Row],[Typ úlohy]]="Součet",G1498,IF(Tabulka4[[#This Row],[Typ úlohy]]="Účet",B1497,""))</f>
        <v/>
      </c>
      <c r="C1498" s="903" t="str">
        <f>IF(Tabulka4[[#This Row],[Typ úlohy]]="Účet",H1498,"")</f>
        <v/>
      </c>
      <c r="D1498" s="903" t="str">
        <f>IF(Tabulka4[[#This Row],[Typ úlohy]]="Účet",GETPIVOTDATA("Součet z Celková hmotnost položek [kg]",$G$2,"Zkratka kalkulační položky",B1498,"Výrobce / Dodavatel",C1498),"")</f>
        <v/>
      </c>
      <c r="E1498" s="904" t="str">
        <f>IF(Tabulka4[[#This Row],[Typ úlohy]]="Účet",GETPIVOTDATA("Součet z Celková cena bez DPH (CZK)",$G$3,"Zkratka kalkulační položky",B1498,"Výrobce / Dodavatel",C1498),"")</f>
        <v/>
      </c>
    </row>
    <row r="1499" spans="1:5" x14ac:dyDescent="0.35">
      <c r="A1499" s="902" t="str">
        <f t="shared" si="24"/>
        <v/>
      </c>
      <c r="B1499" s="903" t="str">
        <f>IF(Tabulka4[[#This Row],[Typ úlohy]]="Součet",G1499,IF(Tabulka4[[#This Row],[Typ úlohy]]="Účet",B1498,""))</f>
        <v/>
      </c>
      <c r="C1499" s="903" t="str">
        <f>IF(Tabulka4[[#This Row],[Typ úlohy]]="Účet",H1499,"")</f>
        <v/>
      </c>
      <c r="D1499" s="903" t="str">
        <f>IF(Tabulka4[[#This Row],[Typ úlohy]]="Účet",GETPIVOTDATA("Součet z Celková hmotnost položek [kg]",$G$2,"Zkratka kalkulační položky",B1499,"Výrobce / Dodavatel",C1499),"")</f>
        <v/>
      </c>
      <c r="E1499" s="904" t="str">
        <f>IF(Tabulka4[[#This Row],[Typ úlohy]]="Účet",GETPIVOTDATA("Součet z Celková cena bez DPH (CZK)",$G$3,"Zkratka kalkulační položky",B1499,"Výrobce / Dodavatel",C1499),"")</f>
        <v/>
      </c>
    </row>
    <row r="1500" spans="1:5" x14ac:dyDescent="0.35">
      <c r="A1500" s="902" t="str">
        <f t="shared" si="24"/>
        <v/>
      </c>
      <c r="B1500" s="903" t="str">
        <f>IF(Tabulka4[[#This Row],[Typ úlohy]]="Součet",G1500,IF(Tabulka4[[#This Row],[Typ úlohy]]="Účet",B1499,""))</f>
        <v/>
      </c>
      <c r="C1500" s="903" t="str">
        <f>IF(Tabulka4[[#This Row],[Typ úlohy]]="Účet",H1500,"")</f>
        <v/>
      </c>
      <c r="D1500" s="903" t="str">
        <f>IF(Tabulka4[[#This Row],[Typ úlohy]]="Účet",GETPIVOTDATA("Součet z Celková hmotnost položek [kg]",$G$2,"Zkratka kalkulační položky",B1500,"Výrobce / Dodavatel",C1500),"")</f>
        <v/>
      </c>
      <c r="E1500" s="904" t="str">
        <f>IF(Tabulka4[[#This Row],[Typ úlohy]]="Účet",GETPIVOTDATA("Součet z Celková cena bez DPH (CZK)",$G$3,"Zkratka kalkulační položky",B1500,"Výrobce / Dodavatel",C1500),"")</f>
        <v/>
      </c>
    </row>
  </sheetData>
  <mergeCells count="2">
    <mergeCell ref="A1:E2"/>
    <mergeCell ref="G1:J1"/>
  </mergeCells>
  <pageMargins left="0.7" right="0.7" top="0.78740157499999996" bottom="0.78740157499999996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A7E32BB45B5F94CA6F4A7712A0992EB" ma:contentTypeVersion="2" ma:contentTypeDescription="Vytvoří nový dokument" ma:contentTypeScope="" ma:versionID="eea95ac984c0f47bd5a3bd2b422c86cb">
  <xsd:schema xmlns:xsd="http://www.w3.org/2001/XMLSchema" xmlns:xs="http://www.w3.org/2001/XMLSchema" xmlns:p="http://schemas.microsoft.com/office/2006/metadata/properties" xmlns:ns2="8e70952d-1f17-4231-bd8b-46b59d3b5441" targetNamespace="http://schemas.microsoft.com/office/2006/metadata/properties" ma:root="true" ma:fieldsID="ce459c35b557fe4d712a0c458d8c9fbb" ns2:_="">
    <xsd:import namespace="8e70952d-1f17-4231-bd8b-46b59d3b54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0952d-1f17-4231-bd8b-46b59d3b54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e70952d-1f17-4231-bd8b-46b59d3b5441">
      <UserInfo>
        <DisplayName>Jakub Krása</DisplayName>
        <AccountId>15</AccountId>
        <AccountType/>
      </UserInfo>
      <UserInfo>
        <DisplayName>Aleš Palma</DisplayName>
        <AccountId>233</AccountId>
        <AccountType/>
      </UserInfo>
      <UserInfo>
        <DisplayName>Stanislav Páca</DisplayName>
        <AccountId>71</AccountId>
        <AccountType/>
      </UserInfo>
      <UserInfo>
        <DisplayName>Karel Horák</DisplayName>
        <AccountId>116</AccountId>
        <AccountType/>
      </UserInfo>
      <UserInfo>
        <DisplayName>Jarmila Nováková</DisplayName>
        <AccountId>112</AccountId>
        <AccountType/>
      </UserInfo>
      <UserInfo>
        <DisplayName>Iveta Pisingerová</DisplayName>
        <AccountId>62</AccountId>
        <AccountType/>
      </UserInfo>
      <UserInfo>
        <DisplayName>Jaroslav Ševčík</DisplayName>
        <AccountId>156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743D90-3CB0-45A5-B72B-72DD548542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70952d-1f17-4231-bd8b-46b59d3b54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FE6B52-46CC-4FF9-9FBB-0341B50D0FBB}">
  <ds:schemaRefs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e70952d-1f17-4231-bd8b-46b59d3b544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DB47BC49-757E-4B2C-BD31-3454E2268C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21</vt:i4>
      </vt:variant>
    </vt:vector>
  </HeadingPairs>
  <TitlesOfParts>
    <vt:vector size="29" baseType="lpstr">
      <vt:lpstr>Úvod</vt:lpstr>
      <vt:lpstr>Vstupy</vt:lpstr>
      <vt:lpstr>Kód položek</vt:lpstr>
      <vt:lpstr>Rozpad zakázky</vt:lpstr>
      <vt:lpstr>Společné položky</vt:lpstr>
      <vt:lpstr>Nákup - tabulka</vt:lpstr>
      <vt:lpstr>Nákup - kont.t</vt:lpstr>
      <vt:lpstr>Import NAV</vt:lpstr>
      <vt:lpstr>DUPLICITA1</vt:lpstr>
      <vt:lpstr>DUPLICITA2</vt:lpstr>
      <vt:lpstr>DUPLICITA3</vt:lpstr>
      <vt:lpstr>INDIKAT_CENA</vt:lpstr>
      <vt:lpstr>KOD_POLOZEK</vt:lpstr>
      <vt:lpstr>KURZY</vt:lpstr>
      <vt:lpstr>MENA</vt:lpstr>
      <vt:lpstr>MJCR</vt:lpstr>
      <vt:lpstr>MJHR</vt:lpstr>
      <vt:lpstr>OSOBY</vt:lpstr>
      <vt:lpstr>'Rozpad zakázky'!Print_Area</vt:lpstr>
      <vt:lpstr>RESITEL</vt:lpstr>
      <vt:lpstr>'Nákup - kont.t'!SPOLECNE_POLOZKY</vt:lpstr>
      <vt:lpstr>'Nákup - tabulka'!SPOLECNE_POLOZKY</vt:lpstr>
      <vt:lpstr>SPOLECNE_POLOZKY</vt:lpstr>
      <vt:lpstr>'Nákup - kont.t'!SPOLECNE_POLOZKY_1SLOUPEC</vt:lpstr>
      <vt:lpstr>'Nákup - tabulka'!SPOLECNE_POLOZKY_1SLOUPEC</vt:lpstr>
      <vt:lpstr>SPOLECNE_POLOZKY_1SLOUPEC</vt:lpstr>
      <vt:lpstr>STAV_NAKUP</vt:lpstr>
      <vt:lpstr>STAV_PROJEKCE</vt:lpstr>
      <vt:lpstr>VARIANTA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Horák Karel</dc:creator>
  <cp:lastModifiedBy>Jakub Krása</cp:lastModifiedBy>
  <cp:lastPrinted>2016-10-13T14:23:12Z</cp:lastPrinted>
  <dcterms:created xsi:type="dcterms:W3CDTF">2003-07-18T14:47:46Z</dcterms:created>
  <dcterms:modified xsi:type="dcterms:W3CDTF">2017-12-31T05:10:41Z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0x0101001A7E32BB45B5F94CA6F4A7712A0992EB</vt:lpwstr>
  </property>
</Properties>
</file>